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hrousse\Documents\Boulot\code\Research Visibility Checker\ressources\raw excel\"/>
    </mc:Choice>
  </mc:AlternateContent>
  <bookViews>
    <workbookView xWindow="0" yWindow="0" windowWidth="19160" windowHeight="7010"/>
  </bookViews>
  <sheets>
    <sheet name="savedrecs" sheetId="1" r:id="rId1"/>
  </sheets>
  <calcPr calcId="162913"/>
</workbook>
</file>

<file path=xl/calcChain.xml><?xml version="1.0" encoding="utf-8"?>
<calcChain xmlns="http://schemas.openxmlformats.org/spreadsheetml/2006/main">
  <c r="BT1002" i="1" l="1"/>
  <c r="BT1003" i="1"/>
  <c r="BT1004" i="1"/>
  <c r="BT1005" i="1"/>
  <c r="BT1006" i="1"/>
  <c r="BT1007" i="1"/>
  <c r="BT1008" i="1"/>
  <c r="BF1009" i="1"/>
  <c r="BT1009" i="1"/>
  <c r="BF1010" i="1"/>
  <c r="BT1010" i="1"/>
  <c r="BF1011" i="1"/>
  <c r="BT1011" i="1"/>
  <c r="BF1012" i="1"/>
  <c r="BT1012" i="1"/>
  <c r="BF1013" i="1"/>
  <c r="BT1013" i="1"/>
  <c r="BF1014" i="1"/>
  <c r="BT1014" i="1"/>
  <c r="BF1015" i="1"/>
  <c r="BT1015" i="1"/>
  <c r="BF1016" i="1"/>
  <c r="BT1016" i="1"/>
  <c r="BF1017" i="1"/>
  <c r="BT1017" i="1"/>
  <c r="BT1018" i="1"/>
  <c r="BF1019" i="1"/>
  <c r="BT1019" i="1"/>
  <c r="BF1020" i="1"/>
  <c r="BT1020" i="1"/>
  <c r="BF1021" i="1"/>
  <c r="BT1021" i="1"/>
  <c r="BF1022" i="1"/>
  <c r="BT1022" i="1"/>
  <c r="BF1023" i="1"/>
  <c r="BT1023" i="1"/>
  <c r="BF1024" i="1"/>
  <c r="BT1024" i="1"/>
  <c r="BF1025" i="1"/>
  <c r="BT1025" i="1"/>
  <c r="BT1026" i="1"/>
  <c r="BF1027" i="1"/>
  <c r="BT1027" i="1"/>
  <c r="BF1028" i="1"/>
  <c r="BT1028" i="1"/>
  <c r="BF1029" i="1"/>
  <c r="BT1029" i="1"/>
  <c r="BF1030" i="1"/>
  <c r="BT1030" i="1"/>
  <c r="BT1031" i="1"/>
  <c r="BT1032" i="1"/>
  <c r="BF1033" i="1"/>
  <c r="BT1033" i="1"/>
  <c r="BF1034" i="1"/>
  <c r="BT1034" i="1"/>
  <c r="BT1035" i="1"/>
  <c r="BT1036" i="1"/>
  <c r="BT1037" i="1"/>
  <c r="BT1038" i="1"/>
  <c r="BT1039" i="1"/>
  <c r="BT1040" i="1"/>
  <c r="BT1041" i="1"/>
  <c r="BT1042" i="1"/>
  <c r="BT1043" i="1"/>
  <c r="BT1044" i="1"/>
  <c r="BT1045" i="1"/>
  <c r="BT1046" i="1"/>
  <c r="BT1047" i="1"/>
  <c r="BT1048" i="1"/>
  <c r="BT1049" i="1"/>
  <c r="BT1050" i="1"/>
  <c r="BT1051" i="1"/>
  <c r="BT1052" i="1"/>
  <c r="BT1053" i="1"/>
  <c r="BF1054" i="1"/>
  <c r="BT1054" i="1"/>
  <c r="BT1055" i="1"/>
  <c r="BF1056" i="1"/>
  <c r="BT1056" i="1"/>
  <c r="BF1057" i="1"/>
  <c r="BT1057" i="1"/>
  <c r="BF1058" i="1"/>
  <c r="BT1058" i="1"/>
  <c r="BF1059" i="1"/>
  <c r="BT1059" i="1"/>
  <c r="BF1060" i="1"/>
  <c r="BT1060" i="1"/>
  <c r="BF1061" i="1"/>
  <c r="BT1061" i="1"/>
  <c r="BT1062" i="1"/>
  <c r="BT1063" i="1"/>
  <c r="BT1064" i="1"/>
  <c r="BT1065" i="1"/>
  <c r="BF1066" i="1"/>
  <c r="BT1066" i="1"/>
  <c r="BF1067" i="1"/>
  <c r="BT1067" i="1"/>
  <c r="BF1068" i="1"/>
  <c r="BT1068" i="1"/>
  <c r="BF1069" i="1"/>
  <c r="BT1069" i="1"/>
  <c r="BF1070" i="1"/>
  <c r="BT1070" i="1"/>
  <c r="BF1071" i="1"/>
  <c r="BT1071" i="1"/>
  <c r="BF1072" i="1"/>
  <c r="BT1072" i="1"/>
  <c r="BF1073" i="1"/>
  <c r="BT1073" i="1"/>
  <c r="BF1074" i="1"/>
  <c r="BT1074" i="1"/>
  <c r="BF1075" i="1"/>
  <c r="BT1075" i="1"/>
  <c r="BF1076" i="1"/>
  <c r="BT1076" i="1"/>
  <c r="BF1077" i="1"/>
  <c r="BT1077" i="1"/>
  <c r="BF1078" i="1"/>
  <c r="BT1078" i="1"/>
  <c r="BF1079" i="1"/>
  <c r="BT1079" i="1"/>
  <c r="BF1080" i="1"/>
  <c r="BT1080" i="1"/>
  <c r="BF1081" i="1"/>
  <c r="BT1081" i="1"/>
  <c r="BF1082" i="1"/>
  <c r="BT1082" i="1"/>
  <c r="BT1083" i="1"/>
  <c r="BT1084" i="1"/>
  <c r="BT1085" i="1"/>
  <c r="BT1086" i="1"/>
  <c r="BF1087" i="1"/>
  <c r="BT1087" i="1"/>
  <c r="BF1088" i="1"/>
  <c r="BT1088" i="1"/>
  <c r="BT1089" i="1"/>
  <c r="BF1090" i="1"/>
  <c r="BT1090" i="1"/>
  <c r="BT1091" i="1"/>
  <c r="BT1092" i="1"/>
  <c r="BT1093" i="1"/>
  <c r="BF1094" i="1"/>
  <c r="BT1094" i="1"/>
  <c r="BT1095" i="1"/>
  <c r="BF1096" i="1"/>
  <c r="BT1096" i="1"/>
  <c r="BT1097" i="1"/>
  <c r="BT1098" i="1"/>
  <c r="BT1099" i="1"/>
  <c r="BT1100" i="1"/>
  <c r="BT1101" i="1"/>
  <c r="BF1102" i="1"/>
  <c r="BT1102" i="1"/>
  <c r="BT1103" i="1"/>
  <c r="BF1104" i="1"/>
  <c r="BT1104" i="1"/>
  <c r="BT1105" i="1"/>
  <c r="BT1106" i="1"/>
  <c r="BF1107" i="1"/>
  <c r="BT1107" i="1"/>
  <c r="BF1108" i="1"/>
  <c r="BT1108" i="1"/>
  <c r="BF1109" i="1"/>
  <c r="BT1109" i="1"/>
  <c r="BF1110" i="1"/>
  <c r="BT1110" i="1"/>
  <c r="BF1111" i="1"/>
  <c r="BT1111" i="1"/>
  <c r="BF1112" i="1"/>
  <c r="BT1112" i="1"/>
  <c r="BF1113" i="1"/>
  <c r="BT1113" i="1"/>
  <c r="BF1114" i="1"/>
  <c r="BT1114" i="1"/>
  <c r="BF1115" i="1"/>
  <c r="BT1115" i="1"/>
  <c r="BF1116" i="1"/>
  <c r="BT1116" i="1"/>
  <c r="BF1117" i="1"/>
  <c r="BT1117" i="1"/>
  <c r="BF1118" i="1"/>
  <c r="BT1118" i="1"/>
  <c r="BF1119" i="1"/>
  <c r="BT1119" i="1"/>
  <c r="BF1120" i="1"/>
  <c r="BT1120" i="1"/>
  <c r="BF1121" i="1"/>
  <c r="BT1121" i="1"/>
  <c r="BT1122" i="1"/>
  <c r="BF1123" i="1"/>
  <c r="BT1123" i="1"/>
  <c r="BT1124" i="1"/>
  <c r="BF1125" i="1"/>
  <c r="BT1125" i="1"/>
  <c r="BT1126" i="1"/>
  <c r="BT1127" i="1"/>
  <c r="BT1128" i="1"/>
  <c r="BT1129" i="1"/>
  <c r="BF1130" i="1"/>
  <c r="BT1130" i="1"/>
  <c r="BT1131" i="1"/>
  <c r="BT1132" i="1"/>
  <c r="BT1133" i="1"/>
  <c r="BF1134" i="1"/>
  <c r="BT1134" i="1"/>
  <c r="BT1135" i="1"/>
  <c r="BT1136" i="1"/>
  <c r="BT1137" i="1"/>
  <c r="BT1138" i="1"/>
  <c r="BT1139" i="1"/>
  <c r="BT1140" i="1"/>
  <c r="BF1141" i="1"/>
  <c r="BT1141" i="1"/>
  <c r="BF1142" i="1"/>
  <c r="BT1142" i="1"/>
  <c r="BT1143" i="1"/>
  <c r="BT1144" i="1"/>
  <c r="BF1145" i="1"/>
  <c r="BT1145" i="1"/>
  <c r="BF1146" i="1"/>
  <c r="BT1146" i="1"/>
  <c r="BF1147" i="1"/>
  <c r="BT1147" i="1"/>
  <c r="BF1148" i="1"/>
  <c r="BT1148" i="1"/>
  <c r="BF1149" i="1"/>
  <c r="BT1149" i="1"/>
  <c r="BF1150" i="1"/>
  <c r="BT1150" i="1"/>
  <c r="BF1151" i="1"/>
  <c r="BT1151" i="1"/>
  <c r="BF1152" i="1"/>
  <c r="BT1152" i="1"/>
  <c r="BF1153" i="1"/>
  <c r="BT1153" i="1"/>
  <c r="BF1154" i="1"/>
  <c r="BT1154" i="1"/>
  <c r="BF1155" i="1"/>
  <c r="BT1155" i="1"/>
  <c r="BF1156" i="1"/>
  <c r="BT1156" i="1"/>
  <c r="BF1157" i="1"/>
  <c r="BT1157" i="1"/>
  <c r="BT1158" i="1"/>
  <c r="BT1159" i="1"/>
  <c r="BF1160" i="1"/>
  <c r="BT1160" i="1"/>
  <c r="BT1161" i="1"/>
  <c r="BF1162" i="1"/>
  <c r="BT1162" i="1"/>
  <c r="BF1163" i="1"/>
  <c r="BT1163" i="1"/>
  <c r="BF1164" i="1"/>
  <c r="BT1164" i="1"/>
  <c r="BT1165" i="1"/>
  <c r="BT1166" i="1"/>
  <c r="BF1167" i="1"/>
  <c r="BT1167" i="1"/>
  <c r="BF1168" i="1"/>
  <c r="BT1168" i="1"/>
  <c r="BT1169" i="1"/>
  <c r="BF1170" i="1"/>
  <c r="BT1170" i="1"/>
  <c r="BT1171" i="1"/>
  <c r="BF1172" i="1"/>
  <c r="BT1172" i="1"/>
  <c r="BF1173" i="1"/>
  <c r="BT1173" i="1"/>
  <c r="BT1174" i="1"/>
  <c r="BF1175" i="1"/>
  <c r="BT1175" i="1"/>
  <c r="BT1176" i="1"/>
  <c r="BT1177" i="1"/>
  <c r="BF1178" i="1"/>
  <c r="BT1178" i="1"/>
  <c r="BF1179" i="1"/>
  <c r="BT1179" i="1"/>
  <c r="BT1180" i="1"/>
  <c r="BF1181" i="1"/>
  <c r="BT1181" i="1"/>
  <c r="BT1182" i="1"/>
  <c r="BF1183" i="1"/>
  <c r="BT1183" i="1"/>
  <c r="BF1184" i="1"/>
  <c r="BT1184" i="1"/>
  <c r="BT1185" i="1"/>
  <c r="BF1186" i="1"/>
  <c r="BT1186" i="1"/>
  <c r="BF1187" i="1"/>
  <c r="BT1187" i="1"/>
  <c r="BF1188" i="1"/>
  <c r="BT1188" i="1"/>
  <c r="BF1189" i="1"/>
  <c r="BT1189" i="1"/>
  <c r="BF1190" i="1"/>
  <c r="BT1190" i="1"/>
  <c r="BF1191" i="1"/>
  <c r="BT1191" i="1"/>
  <c r="BF1192" i="1"/>
  <c r="BT1192" i="1"/>
  <c r="BF1193" i="1"/>
  <c r="BT1193" i="1"/>
  <c r="BT1194" i="1"/>
  <c r="BT1195" i="1"/>
  <c r="BT1196" i="1"/>
  <c r="BT1197" i="1"/>
  <c r="BF1198" i="1"/>
  <c r="BT1198" i="1"/>
  <c r="BF1199" i="1"/>
  <c r="BT1199" i="1"/>
  <c r="BT1200" i="1"/>
  <c r="BT1201" i="1"/>
  <c r="BF1202" i="1"/>
  <c r="BT1202" i="1"/>
  <c r="BF1203" i="1"/>
  <c r="BT1203" i="1"/>
  <c r="BF1204" i="1"/>
  <c r="BT1204" i="1"/>
  <c r="BF1205" i="1"/>
  <c r="BT1205" i="1"/>
  <c r="BT1206" i="1"/>
  <c r="BF1207" i="1"/>
  <c r="BT1207" i="1"/>
  <c r="BT1208" i="1"/>
  <c r="BT1209" i="1"/>
  <c r="BT1210" i="1"/>
  <c r="BF1211" i="1"/>
  <c r="BT1211" i="1"/>
  <c r="BT1212" i="1"/>
  <c r="BF1213" i="1"/>
  <c r="BT1213" i="1"/>
  <c r="BF1214" i="1"/>
  <c r="BT1214" i="1"/>
  <c r="BF1215" i="1"/>
  <c r="BT1215" i="1"/>
  <c r="BF1216" i="1"/>
  <c r="BT1216" i="1"/>
  <c r="BF1217" i="1"/>
  <c r="BT1217" i="1"/>
  <c r="BF1218" i="1"/>
  <c r="BT1218" i="1"/>
  <c r="BT1219" i="1"/>
  <c r="BF1220" i="1"/>
  <c r="BT1220" i="1"/>
  <c r="BF1221" i="1"/>
  <c r="BT1221" i="1"/>
  <c r="BT1222" i="1"/>
  <c r="BF1223" i="1"/>
  <c r="BT1223" i="1"/>
  <c r="BT1224" i="1"/>
  <c r="BF1225" i="1"/>
  <c r="BT1225" i="1"/>
  <c r="BT1226" i="1"/>
  <c r="BF1227" i="1"/>
  <c r="BT1227" i="1"/>
  <c r="BT1228" i="1"/>
  <c r="BF1229" i="1"/>
  <c r="BT1229" i="1"/>
  <c r="BT1230" i="1"/>
  <c r="BT1231" i="1"/>
  <c r="BT1232" i="1"/>
  <c r="BT1233" i="1"/>
  <c r="BT1234" i="1"/>
  <c r="BF1235" i="1"/>
  <c r="BT1235" i="1"/>
  <c r="BT1236" i="1"/>
  <c r="BF1237" i="1"/>
  <c r="BT1237" i="1"/>
  <c r="BT1238" i="1"/>
  <c r="BT1239" i="1"/>
  <c r="BT1240" i="1"/>
  <c r="BF1241" i="1"/>
  <c r="BT1241" i="1"/>
  <c r="BT1242" i="1"/>
  <c r="BT1243" i="1"/>
  <c r="BT1244" i="1"/>
  <c r="BF1245" i="1"/>
  <c r="BT1245" i="1"/>
  <c r="BF1246" i="1"/>
  <c r="BT1246" i="1"/>
  <c r="BF1247" i="1"/>
  <c r="BT1247" i="1"/>
  <c r="BF1248" i="1"/>
  <c r="BT1248" i="1"/>
  <c r="BF1249" i="1"/>
  <c r="BT1249" i="1"/>
  <c r="BF1250" i="1"/>
  <c r="BT1250" i="1"/>
  <c r="BF1251" i="1"/>
  <c r="BT1251" i="1"/>
  <c r="BF1252" i="1"/>
  <c r="BT1252" i="1"/>
  <c r="BT1253" i="1"/>
  <c r="BF1254" i="1"/>
  <c r="BT1254" i="1"/>
  <c r="BF1255" i="1"/>
  <c r="BT1255" i="1"/>
  <c r="BF1256" i="1"/>
  <c r="BT1256" i="1"/>
  <c r="BF1257" i="1"/>
  <c r="BT1257" i="1"/>
  <c r="BT1258" i="1"/>
  <c r="BT1259" i="1"/>
  <c r="BF1260" i="1"/>
  <c r="BT1260" i="1"/>
  <c r="BF1261" i="1"/>
  <c r="BT1261" i="1"/>
  <c r="BF1262" i="1"/>
  <c r="BT1262" i="1"/>
  <c r="BF1263" i="1"/>
  <c r="BT1263" i="1"/>
  <c r="BF1264" i="1"/>
  <c r="BT1264" i="1"/>
  <c r="BF1265" i="1"/>
  <c r="BT1265" i="1"/>
  <c r="BF1266" i="1"/>
  <c r="BT1266" i="1"/>
  <c r="BF1267" i="1"/>
  <c r="BT1267" i="1"/>
  <c r="BF1268" i="1"/>
  <c r="BT1268" i="1"/>
  <c r="BF1269" i="1"/>
  <c r="BT1269" i="1"/>
  <c r="BF1270" i="1"/>
  <c r="BT1270" i="1"/>
  <c r="BF1271" i="1"/>
  <c r="BT1271" i="1"/>
  <c r="BF1272" i="1"/>
  <c r="BT1272" i="1"/>
  <c r="BF1273" i="1"/>
  <c r="BT1273" i="1"/>
  <c r="BF1274" i="1"/>
  <c r="BT1274" i="1"/>
  <c r="BF1275" i="1"/>
  <c r="BT1275" i="1"/>
  <c r="BF1276" i="1"/>
  <c r="BT1276" i="1"/>
  <c r="BF1277" i="1"/>
  <c r="BT1277" i="1"/>
  <c r="BF1278" i="1"/>
  <c r="BT1278" i="1"/>
  <c r="BF1279" i="1"/>
  <c r="BT1279" i="1"/>
  <c r="BF1280" i="1"/>
  <c r="BT1280" i="1"/>
  <c r="BF1281" i="1"/>
  <c r="BT1281" i="1"/>
  <c r="BF1282" i="1"/>
  <c r="BT1282" i="1"/>
  <c r="BF1283" i="1"/>
  <c r="BT1283" i="1"/>
  <c r="BT1284" i="1"/>
  <c r="BF1285" i="1"/>
  <c r="BT1285" i="1"/>
  <c r="BT1286" i="1"/>
  <c r="BT1287" i="1"/>
  <c r="BT1288" i="1"/>
  <c r="BT1289" i="1"/>
  <c r="BT1290" i="1"/>
  <c r="BT1291" i="1"/>
  <c r="BF1292" i="1"/>
  <c r="BT1292" i="1"/>
  <c r="BF1293" i="1"/>
  <c r="BT1293" i="1"/>
  <c r="BF1294" i="1"/>
  <c r="BT1294" i="1"/>
  <c r="BF1295" i="1"/>
  <c r="BT1295" i="1"/>
  <c r="BF1296" i="1"/>
  <c r="BT1296" i="1"/>
  <c r="BF1297" i="1"/>
  <c r="BT1297" i="1"/>
  <c r="BT1298" i="1"/>
  <c r="BF1299" i="1"/>
  <c r="BT1299" i="1"/>
  <c r="BT1300" i="1"/>
  <c r="BF1301" i="1"/>
  <c r="BT1301" i="1"/>
  <c r="BT1302" i="1"/>
  <c r="BT1303" i="1"/>
  <c r="BT1304" i="1"/>
  <c r="BF1305" i="1"/>
  <c r="BT1305" i="1"/>
  <c r="BF1306" i="1"/>
  <c r="BT1306" i="1"/>
  <c r="BF1307" i="1"/>
  <c r="BT1307" i="1"/>
  <c r="BT1308" i="1"/>
  <c r="BT1309" i="1"/>
  <c r="BF1310" i="1"/>
  <c r="BT1310" i="1"/>
  <c r="BF1311" i="1"/>
  <c r="BT1311" i="1"/>
  <c r="BF1312" i="1"/>
  <c r="BT1312" i="1"/>
  <c r="BF1313" i="1"/>
  <c r="BT1313" i="1"/>
  <c r="BT1314" i="1"/>
  <c r="BF1315" i="1"/>
  <c r="BT1315" i="1"/>
  <c r="BF1316" i="1"/>
  <c r="BT1316" i="1"/>
  <c r="BF1317" i="1"/>
  <c r="BT1317" i="1"/>
  <c r="BF1318" i="1"/>
  <c r="BT1318" i="1"/>
  <c r="BF1319" i="1"/>
  <c r="BT1319" i="1"/>
  <c r="BF1320" i="1"/>
  <c r="BT1320" i="1"/>
  <c r="BF1321" i="1"/>
  <c r="BT1321" i="1"/>
  <c r="BF1322" i="1"/>
  <c r="BT1322" i="1"/>
  <c r="BF1323" i="1"/>
  <c r="BT1323" i="1"/>
  <c r="BF1324" i="1"/>
  <c r="BT1324" i="1"/>
  <c r="BF1325" i="1"/>
  <c r="BT1325" i="1"/>
  <c r="BF1326" i="1"/>
  <c r="BT1326" i="1"/>
  <c r="BF1327" i="1"/>
  <c r="BT1327" i="1"/>
  <c r="BF1328" i="1"/>
  <c r="BT1328" i="1"/>
  <c r="BF1329" i="1"/>
  <c r="BT1329" i="1"/>
  <c r="BF1330" i="1"/>
  <c r="BT1330" i="1"/>
  <c r="BF1331" i="1"/>
  <c r="BT1331" i="1"/>
  <c r="BF1332" i="1"/>
  <c r="BT1332" i="1"/>
  <c r="BF1333" i="1"/>
  <c r="BT1333" i="1"/>
  <c r="BF1334" i="1"/>
  <c r="BT1334" i="1"/>
  <c r="BF1335" i="1"/>
  <c r="BT1335" i="1"/>
  <c r="BF1336" i="1"/>
  <c r="BT1336" i="1"/>
  <c r="BF1337" i="1"/>
  <c r="BT1337" i="1"/>
  <c r="BF1338" i="1"/>
  <c r="BT1338" i="1"/>
  <c r="BF1339" i="1"/>
  <c r="BT1339" i="1"/>
  <c r="BF1340" i="1"/>
  <c r="BT1340" i="1"/>
  <c r="BF1341" i="1"/>
  <c r="BT1341" i="1"/>
  <c r="BF1342" i="1"/>
  <c r="BT1342" i="1"/>
  <c r="BF1343" i="1"/>
  <c r="BT1343" i="1"/>
  <c r="BF1344" i="1"/>
  <c r="BT1344" i="1"/>
  <c r="BF1345" i="1"/>
  <c r="BT1345" i="1"/>
  <c r="BT1346" i="1"/>
  <c r="BT1347" i="1"/>
  <c r="BT1348" i="1"/>
  <c r="BT1349" i="1"/>
  <c r="BF1350" i="1"/>
  <c r="BT1350" i="1"/>
  <c r="BT1351" i="1"/>
  <c r="BT1352" i="1"/>
  <c r="BT1353" i="1"/>
  <c r="BT1354" i="1"/>
  <c r="BF1355" i="1"/>
  <c r="BT1355" i="1"/>
  <c r="BT1356" i="1"/>
  <c r="BT1357" i="1"/>
  <c r="BT1358" i="1"/>
  <c r="BT1359" i="1"/>
  <c r="BT1360" i="1"/>
  <c r="BF1361" i="1"/>
  <c r="BT1361" i="1"/>
  <c r="BT1362" i="1"/>
  <c r="BT1363" i="1"/>
  <c r="BT1364" i="1"/>
  <c r="BT1365" i="1"/>
  <c r="BT1366" i="1"/>
  <c r="BF1367" i="1"/>
  <c r="BT1367" i="1"/>
  <c r="BF1368" i="1"/>
  <c r="BT1368" i="1"/>
  <c r="BT1369" i="1"/>
  <c r="BT1370" i="1"/>
  <c r="BF1371" i="1"/>
  <c r="BT1371" i="1"/>
  <c r="BF1372" i="1"/>
  <c r="BT1372" i="1"/>
  <c r="BF1373" i="1"/>
  <c r="BT1373" i="1"/>
  <c r="BF1374" i="1"/>
  <c r="BT1374" i="1"/>
  <c r="BT1375" i="1"/>
  <c r="BT1376" i="1"/>
  <c r="BT1377" i="1"/>
  <c r="BF1378" i="1"/>
  <c r="BT1378" i="1"/>
  <c r="BT1379" i="1"/>
  <c r="BT1380" i="1"/>
  <c r="BT1381" i="1"/>
  <c r="BT1382" i="1"/>
  <c r="BT1383" i="1"/>
  <c r="BF1384" i="1"/>
  <c r="BT1384" i="1"/>
  <c r="BF1385" i="1"/>
  <c r="BT1385" i="1"/>
  <c r="BF1386" i="1"/>
  <c r="BT1386" i="1"/>
  <c r="BF1387" i="1"/>
  <c r="BT1387" i="1"/>
  <c r="BF1388" i="1"/>
  <c r="BT1388" i="1"/>
  <c r="BF1389" i="1"/>
  <c r="BT1389" i="1"/>
  <c r="BF1390" i="1"/>
  <c r="BT1390" i="1"/>
  <c r="BF1391" i="1"/>
  <c r="BT1391" i="1"/>
  <c r="BF1392" i="1"/>
  <c r="BT1392" i="1"/>
  <c r="BF1393" i="1"/>
  <c r="BT1393" i="1"/>
  <c r="BF1394" i="1"/>
  <c r="BT1394" i="1"/>
  <c r="BF1395" i="1"/>
  <c r="BT1395" i="1"/>
  <c r="BF1396" i="1"/>
  <c r="BT1396" i="1"/>
  <c r="BF1397" i="1"/>
  <c r="BT1397" i="1"/>
  <c r="BT1398" i="1"/>
  <c r="BF1399" i="1"/>
  <c r="BT1399" i="1"/>
  <c r="BF1400" i="1"/>
  <c r="BT1400" i="1"/>
  <c r="BF1401" i="1"/>
  <c r="BT1401" i="1"/>
  <c r="BF1402" i="1"/>
  <c r="BT1402" i="1"/>
  <c r="BF1403" i="1"/>
  <c r="BT1403" i="1"/>
  <c r="BF1404" i="1"/>
  <c r="BT1404" i="1"/>
  <c r="BF1405" i="1"/>
  <c r="BT1405" i="1"/>
  <c r="BF1406" i="1"/>
  <c r="BT1406" i="1"/>
  <c r="BF1407" i="1"/>
  <c r="BT1407" i="1"/>
  <c r="BF1408" i="1"/>
  <c r="BT1408" i="1"/>
  <c r="BF1409" i="1"/>
  <c r="BT1409" i="1"/>
  <c r="BF1410" i="1"/>
  <c r="BT1410" i="1"/>
  <c r="BF1411" i="1"/>
  <c r="BT1411" i="1"/>
  <c r="BF1412" i="1"/>
  <c r="BT1412" i="1"/>
  <c r="BF1413" i="1"/>
  <c r="BT1413" i="1"/>
  <c r="BF1414" i="1"/>
  <c r="BT1414" i="1"/>
  <c r="BF1415" i="1"/>
  <c r="BT1415" i="1"/>
  <c r="BF1416" i="1"/>
  <c r="BT1416" i="1"/>
  <c r="BF1417" i="1"/>
  <c r="BT1417" i="1"/>
  <c r="BT1418" i="1"/>
  <c r="BF1419" i="1"/>
  <c r="BT1419" i="1"/>
  <c r="BF1420" i="1"/>
  <c r="BT1420" i="1"/>
  <c r="BF1421" i="1"/>
  <c r="BT1421" i="1"/>
  <c r="BF1422" i="1"/>
  <c r="BT1422" i="1"/>
  <c r="BF1423" i="1"/>
  <c r="BT1423" i="1"/>
  <c r="BF1424" i="1"/>
  <c r="BT1424" i="1"/>
  <c r="BF1425" i="1"/>
  <c r="BT1425" i="1"/>
  <c r="BF1426" i="1"/>
  <c r="BT1426" i="1"/>
  <c r="BF1427" i="1"/>
  <c r="BT1427" i="1"/>
  <c r="BF1428" i="1"/>
  <c r="BT1428" i="1"/>
  <c r="BF1429" i="1"/>
  <c r="BT1429" i="1"/>
  <c r="BF1430" i="1"/>
  <c r="BT1430" i="1"/>
  <c r="BF1431" i="1"/>
  <c r="BT1431" i="1"/>
  <c r="BF1432" i="1"/>
  <c r="BT1432" i="1"/>
  <c r="BF1433" i="1"/>
  <c r="BT1433" i="1"/>
  <c r="BF1434" i="1"/>
  <c r="BT1434" i="1"/>
  <c r="BF1435" i="1"/>
  <c r="BT1435" i="1"/>
  <c r="BF1436" i="1"/>
  <c r="BT1436" i="1"/>
  <c r="BF1437" i="1"/>
  <c r="BT1437" i="1"/>
  <c r="BF1438" i="1"/>
  <c r="BT1438" i="1"/>
  <c r="BT1439" i="1"/>
  <c r="BF1440" i="1"/>
  <c r="BT1440" i="1"/>
  <c r="BF1441" i="1"/>
  <c r="BT1441" i="1"/>
  <c r="BF1442" i="1"/>
  <c r="BT1442" i="1"/>
  <c r="BF1443" i="1"/>
  <c r="BT1443" i="1"/>
  <c r="BF1444" i="1"/>
  <c r="BT1444" i="1"/>
  <c r="BF1445" i="1"/>
  <c r="BT1445" i="1"/>
  <c r="BF1446" i="1"/>
  <c r="BT1446" i="1"/>
  <c r="BF1447" i="1"/>
  <c r="BT1447" i="1"/>
  <c r="BF1448" i="1"/>
  <c r="BT1448" i="1"/>
  <c r="BF1449" i="1"/>
  <c r="BT1449" i="1"/>
  <c r="BF1450" i="1"/>
  <c r="BT1450" i="1"/>
  <c r="BT1451" i="1"/>
  <c r="BF1452" i="1"/>
  <c r="BT1452" i="1"/>
  <c r="BF1453" i="1"/>
  <c r="BT1453" i="1"/>
  <c r="BF1454" i="1"/>
  <c r="BT1454" i="1"/>
  <c r="BT1455" i="1"/>
  <c r="BF1456" i="1"/>
  <c r="BT1456" i="1"/>
  <c r="BT1457" i="1"/>
  <c r="BT1458" i="1"/>
  <c r="BF1459" i="1"/>
  <c r="BT1459" i="1"/>
  <c r="BF1460" i="1"/>
  <c r="BT1460" i="1"/>
  <c r="BF1461" i="1"/>
  <c r="BT1461" i="1"/>
  <c r="BF1462" i="1"/>
  <c r="BT1462" i="1"/>
  <c r="BF1463" i="1"/>
  <c r="BT1463" i="1"/>
  <c r="BF1464" i="1"/>
  <c r="BT1464" i="1"/>
  <c r="BF1465" i="1"/>
  <c r="BT1465" i="1"/>
  <c r="BF1466" i="1"/>
  <c r="BT1466" i="1"/>
  <c r="BF1467" i="1"/>
  <c r="BT1467" i="1"/>
  <c r="BF1468" i="1"/>
  <c r="BT1468" i="1"/>
  <c r="BF1469" i="1"/>
  <c r="BT1469" i="1"/>
  <c r="BF1470" i="1"/>
  <c r="BT1470" i="1"/>
  <c r="BT1471" i="1"/>
  <c r="BF1472" i="1"/>
  <c r="BT1472" i="1"/>
  <c r="BF1473" i="1"/>
  <c r="BT1473" i="1"/>
  <c r="BF1474" i="1"/>
  <c r="BT1474" i="1"/>
  <c r="BF1475" i="1"/>
  <c r="BT1475" i="1"/>
  <c r="BT1476" i="1"/>
  <c r="BF1477" i="1"/>
  <c r="BT1477" i="1"/>
  <c r="BF1478" i="1"/>
  <c r="BT1478" i="1"/>
  <c r="BF1479" i="1"/>
  <c r="BT1479" i="1"/>
  <c r="BF1480" i="1"/>
  <c r="BT1480" i="1"/>
  <c r="BF1481" i="1"/>
  <c r="BT1481" i="1"/>
  <c r="BF1482" i="1"/>
  <c r="BT1482" i="1"/>
  <c r="BF1483" i="1"/>
  <c r="BT1483" i="1"/>
  <c r="BT1484" i="1"/>
  <c r="BF1485" i="1"/>
  <c r="BT1485" i="1"/>
  <c r="BF1486" i="1"/>
  <c r="BT1486" i="1"/>
  <c r="BF1487" i="1"/>
  <c r="BT1487" i="1"/>
  <c r="BF1488" i="1"/>
  <c r="BT1488" i="1"/>
  <c r="BF1489" i="1"/>
  <c r="BT1489" i="1"/>
  <c r="BT1490" i="1"/>
  <c r="BF1491" i="1"/>
  <c r="BT1491" i="1"/>
  <c r="BF1492" i="1"/>
  <c r="BT1492" i="1"/>
  <c r="BF1493" i="1"/>
  <c r="BT1493" i="1"/>
  <c r="BF1494" i="1"/>
  <c r="BT1494" i="1"/>
  <c r="BF1495" i="1"/>
  <c r="BT1495" i="1"/>
  <c r="BF1496" i="1"/>
  <c r="BT1496" i="1"/>
  <c r="BF1497" i="1"/>
  <c r="BT1497" i="1"/>
  <c r="BF1498" i="1"/>
  <c r="BT1498" i="1"/>
  <c r="BT1499" i="1"/>
  <c r="BT1500" i="1"/>
  <c r="BT1501" i="1"/>
  <c r="BF1502" i="1"/>
  <c r="BT1502" i="1"/>
  <c r="BF1503" i="1"/>
  <c r="BT1503" i="1"/>
  <c r="BF1504" i="1"/>
  <c r="BT1504" i="1"/>
  <c r="BF1505" i="1"/>
  <c r="BT1505" i="1"/>
  <c r="BF1506" i="1"/>
  <c r="BT1506" i="1"/>
  <c r="BT1507" i="1"/>
  <c r="BT1508" i="1"/>
  <c r="BT1509" i="1"/>
  <c r="BT1510" i="1"/>
  <c r="BF1511" i="1"/>
  <c r="BT1511" i="1"/>
  <c r="BF1512" i="1"/>
  <c r="BT1512" i="1"/>
  <c r="BF1513" i="1"/>
  <c r="BT1513" i="1"/>
  <c r="BF1514" i="1"/>
  <c r="BT1514" i="1"/>
  <c r="BF1515" i="1"/>
  <c r="BT1515" i="1"/>
  <c r="BF1516" i="1"/>
  <c r="BT1516" i="1"/>
  <c r="BF1517" i="1"/>
  <c r="BT1517" i="1"/>
  <c r="BF1518" i="1"/>
  <c r="BT1518" i="1"/>
  <c r="BF1519" i="1"/>
  <c r="BT1519" i="1"/>
  <c r="BF1520" i="1"/>
  <c r="BT1520" i="1"/>
  <c r="BT1521" i="1"/>
  <c r="BF1522" i="1"/>
  <c r="BT1522" i="1"/>
  <c r="BF1523" i="1"/>
  <c r="BT1523" i="1"/>
  <c r="BF1524" i="1"/>
  <c r="BT1524" i="1"/>
  <c r="BT1525" i="1"/>
  <c r="BT1526" i="1"/>
  <c r="BF1527" i="1"/>
  <c r="BT1527" i="1"/>
  <c r="BF1528" i="1"/>
  <c r="BT1528" i="1"/>
  <c r="BF1529" i="1"/>
  <c r="BT1529" i="1"/>
  <c r="BF1530" i="1"/>
  <c r="BT1530" i="1"/>
  <c r="BT1531" i="1"/>
  <c r="BF1532" i="1"/>
  <c r="BT1532" i="1"/>
  <c r="BT1533" i="1"/>
  <c r="BT1534" i="1"/>
  <c r="BT1535" i="1"/>
  <c r="BT1536" i="1"/>
  <c r="BF1537" i="1"/>
  <c r="BT1537" i="1"/>
  <c r="BT1538" i="1"/>
  <c r="BF1539" i="1"/>
  <c r="BT1539" i="1"/>
  <c r="BF1540" i="1"/>
  <c r="BT1540" i="1"/>
  <c r="BF1541" i="1"/>
  <c r="BT1541" i="1"/>
  <c r="BT1542" i="1"/>
  <c r="BF1543" i="1"/>
  <c r="BT1543" i="1"/>
  <c r="BF1544" i="1"/>
  <c r="BT1544" i="1"/>
  <c r="BF1545" i="1"/>
  <c r="BT1545" i="1"/>
  <c r="BF1546" i="1"/>
  <c r="BT1546" i="1"/>
  <c r="BF1547" i="1"/>
  <c r="BT1547" i="1"/>
  <c r="BF1548" i="1"/>
  <c r="BT1548" i="1"/>
  <c r="BF1549" i="1"/>
  <c r="BT1549" i="1"/>
  <c r="BF1550" i="1"/>
  <c r="BT1550" i="1"/>
  <c r="BF1551" i="1"/>
  <c r="BT1551" i="1"/>
  <c r="BF1552" i="1"/>
  <c r="BT1552" i="1"/>
  <c r="BF1553" i="1"/>
  <c r="BT1553" i="1"/>
  <c r="BT1554" i="1"/>
  <c r="BT1555" i="1"/>
  <c r="BF1556" i="1"/>
  <c r="BT1556" i="1"/>
  <c r="BF1557" i="1"/>
  <c r="BT1557" i="1"/>
  <c r="BF1558" i="1"/>
  <c r="BT1558" i="1"/>
  <c r="BT1559" i="1"/>
  <c r="BF1560" i="1"/>
  <c r="BT1560" i="1"/>
  <c r="BT1561" i="1"/>
  <c r="BT1562" i="1"/>
  <c r="BT1563" i="1"/>
  <c r="BF1564" i="1"/>
  <c r="BT1564" i="1"/>
  <c r="BF1565" i="1"/>
  <c r="BT1565" i="1"/>
  <c r="BT1566" i="1"/>
  <c r="BF1567" i="1"/>
  <c r="BT1567" i="1"/>
  <c r="BF1568" i="1"/>
  <c r="BT1568" i="1"/>
  <c r="BF1569" i="1"/>
  <c r="BT1569" i="1"/>
  <c r="BF1570" i="1"/>
  <c r="BT1570" i="1"/>
  <c r="BF1571" i="1"/>
  <c r="BT1571" i="1"/>
  <c r="BF1572" i="1"/>
  <c r="BT1572" i="1"/>
  <c r="BF1573" i="1"/>
  <c r="BT1573" i="1"/>
  <c r="BF1574" i="1"/>
  <c r="BT1574" i="1"/>
  <c r="BF1575" i="1"/>
  <c r="BT1575" i="1"/>
  <c r="BF1576" i="1"/>
  <c r="BT1576" i="1"/>
  <c r="BF1577" i="1"/>
  <c r="BT1577" i="1"/>
  <c r="BF1578" i="1"/>
  <c r="BT1578" i="1"/>
  <c r="BF1579" i="1"/>
  <c r="BT1579" i="1"/>
  <c r="BT1580" i="1"/>
  <c r="BF1581" i="1"/>
  <c r="BT1581" i="1"/>
  <c r="BF1582" i="1"/>
  <c r="BT1582" i="1"/>
  <c r="BF1583" i="1"/>
  <c r="BT1583" i="1"/>
  <c r="BF1584" i="1"/>
  <c r="BT1584" i="1"/>
  <c r="BF1585" i="1"/>
  <c r="BT1585" i="1"/>
  <c r="BF1586" i="1"/>
  <c r="BT1586" i="1"/>
  <c r="BF1587" i="1"/>
  <c r="BT1587" i="1"/>
  <c r="BF1588" i="1"/>
  <c r="BT1588" i="1"/>
  <c r="BF1589" i="1"/>
  <c r="BT1589" i="1"/>
  <c r="BF1590" i="1"/>
  <c r="BT1590" i="1"/>
  <c r="BT1591" i="1"/>
  <c r="BF1592" i="1"/>
  <c r="BT1592" i="1"/>
  <c r="BF1593" i="1"/>
  <c r="BT1593" i="1"/>
  <c r="BF1594" i="1"/>
  <c r="BT1594" i="1"/>
  <c r="BT1595" i="1"/>
  <c r="BT1596" i="1"/>
  <c r="BT1597" i="1"/>
  <c r="BT1598" i="1"/>
  <c r="BF1599" i="1"/>
  <c r="BT1599" i="1"/>
  <c r="BF1600" i="1"/>
  <c r="BT1600" i="1"/>
  <c r="BF1601" i="1"/>
  <c r="BT1601" i="1"/>
  <c r="BF1602" i="1"/>
  <c r="BT1602" i="1"/>
  <c r="BF1603" i="1"/>
  <c r="BT1603" i="1"/>
  <c r="BF1604" i="1"/>
  <c r="BT1604" i="1"/>
  <c r="BF1605" i="1"/>
  <c r="BT1605" i="1"/>
  <c r="BT1606" i="1"/>
  <c r="BT1607" i="1"/>
  <c r="BT1608" i="1"/>
  <c r="BT1609" i="1"/>
  <c r="BF1610" i="1"/>
  <c r="BT1610" i="1"/>
  <c r="BT1611" i="1"/>
  <c r="BT1612" i="1"/>
  <c r="BF1613" i="1"/>
  <c r="BT1613" i="1"/>
  <c r="BF1614" i="1"/>
  <c r="BT1614" i="1"/>
  <c r="BT1615" i="1"/>
  <c r="BT1616" i="1"/>
  <c r="BF1617" i="1"/>
  <c r="BT1617" i="1"/>
  <c r="BF1618" i="1"/>
  <c r="BT1618" i="1"/>
  <c r="BT1619" i="1"/>
  <c r="BT1620" i="1"/>
  <c r="BF1621" i="1"/>
  <c r="BT1621" i="1"/>
  <c r="BT1622" i="1"/>
  <c r="BT1623" i="1"/>
  <c r="BF1624" i="1"/>
  <c r="BT1624" i="1"/>
  <c r="BT1625" i="1"/>
  <c r="BT1626" i="1"/>
  <c r="BT1627" i="1"/>
  <c r="BF1628" i="1"/>
  <c r="BT1628" i="1"/>
  <c r="BF1629" i="1"/>
  <c r="BT1629" i="1"/>
  <c r="BF1630" i="1"/>
  <c r="BT1630" i="1"/>
  <c r="BF1631" i="1"/>
  <c r="BT1631" i="1"/>
  <c r="BF1632" i="1"/>
  <c r="BT1632" i="1"/>
  <c r="BF1633" i="1"/>
  <c r="BT1633" i="1"/>
  <c r="BF1634" i="1"/>
  <c r="BT1634" i="1"/>
  <c r="BF1635" i="1"/>
  <c r="BT1635" i="1"/>
  <c r="BF1636" i="1"/>
  <c r="BT1636" i="1"/>
  <c r="BF1637" i="1"/>
  <c r="BT1637" i="1"/>
  <c r="BF1638" i="1"/>
  <c r="BT1638" i="1"/>
  <c r="BF1639" i="1"/>
  <c r="BT1639" i="1"/>
  <c r="BF1640" i="1"/>
  <c r="BT1640" i="1"/>
  <c r="BT1641" i="1"/>
  <c r="BF1642" i="1"/>
  <c r="BT1642" i="1"/>
  <c r="BF1643" i="1"/>
  <c r="BT1643" i="1"/>
  <c r="BF1644" i="1"/>
  <c r="BT1644" i="1"/>
  <c r="BT1645" i="1"/>
  <c r="BF1646" i="1"/>
  <c r="BT1646" i="1"/>
  <c r="BF1647" i="1"/>
  <c r="BT1647" i="1"/>
  <c r="BF1648" i="1"/>
  <c r="BT1648" i="1"/>
  <c r="BF1649" i="1"/>
  <c r="BT1649" i="1"/>
  <c r="BF1650" i="1"/>
  <c r="BT1650" i="1"/>
  <c r="BF1651" i="1"/>
  <c r="BT1651" i="1"/>
  <c r="BT1652" i="1"/>
  <c r="BF1653" i="1"/>
  <c r="BT1653" i="1"/>
  <c r="BF1654" i="1"/>
  <c r="BT1654" i="1"/>
  <c r="BT1655" i="1"/>
  <c r="BF1656" i="1"/>
  <c r="BT1656" i="1"/>
  <c r="BF1657" i="1"/>
  <c r="BT1657" i="1"/>
  <c r="BF1658" i="1"/>
  <c r="BT1658" i="1"/>
  <c r="BT1659" i="1"/>
  <c r="BF1660" i="1"/>
  <c r="BT1660" i="1"/>
  <c r="BF1661" i="1"/>
  <c r="BT1661" i="1"/>
  <c r="BT1662" i="1"/>
  <c r="BF1663" i="1"/>
  <c r="BT1663" i="1"/>
  <c r="BF1664" i="1"/>
  <c r="BT1664" i="1"/>
  <c r="BF1665" i="1"/>
  <c r="BT1665" i="1"/>
  <c r="BF1666" i="1"/>
  <c r="BT1666" i="1"/>
  <c r="BF1667" i="1"/>
  <c r="BT1667" i="1"/>
  <c r="BF1668" i="1"/>
  <c r="BT1668" i="1"/>
  <c r="BF1669" i="1"/>
  <c r="BT1669" i="1"/>
  <c r="BT1670" i="1"/>
  <c r="BT1671" i="1"/>
  <c r="BF1672" i="1"/>
  <c r="BT1672" i="1"/>
  <c r="BF1673" i="1"/>
  <c r="BT1673" i="1"/>
  <c r="BT1674" i="1"/>
  <c r="BF1675" i="1"/>
  <c r="BT1675" i="1"/>
  <c r="BF1676" i="1"/>
  <c r="BT1676" i="1"/>
  <c r="BT1677" i="1"/>
  <c r="BF1678" i="1"/>
  <c r="BT1678" i="1"/>
  <c r="BF1679" i="1"/>
  <c r="BT1679" i="1"/>
  <c r="BF1680" i="1"/>
  <c r="BT1680" i="1"/>
  <c r="BT1681" i="1"/>
  <c r="BT1682" i="1"/>
  <c r="BT1683" i="1"/>
  <c r="BT1684" i="1"/>
  <c r="BF1685" i="1"/>
  <c r="BT1685" i="1"/>
  <c r="BT1686" i="1"/>
  <c r="BF1687" i="1"/>
  <c r="BT1687" i="1"/>
  <c r="BT1688" i="1"/>
  <c r="BT1689" i="1"/>
  <c r="BT1690" i="1"/>
  <c r="BF1691" i="1"/>
  <c r="BT1691" i="1"/>
  <c r="BT1692" i="1"/>
  <c r="BT1693" i="1"/>
  <c r="BT1694" i="1"/>
  <c r="BF1695" i="1"/>
  <c r="BT1695" i="1"/>
  <c r="BF2" i="1"/>
  <c r="BT2" i="1"/>
  <c r="BF3" i="1"/>
  <c r="BT3" i="1"/>
  <c r="BF4" i="1"/>
  <c r="BT4" i="1"/>
  <c r="BT5" i="1"/>
  <c r="BT6" i="1"/>
  <c r="BF7" i="1"/>
  <c r="BT7" i="1"/>
  <c r="BF8" i="1"/>
  <c r="BT8" i="1"/>
  <c r="BF9" i="1"/>
  <c r="BT9" i="1"/>
  <c r="BF10" i="1"/>
  <c r="BT10" i="1"/>
  <c r="BF11" i="1"/>
  <c r="BT11" i="1"/>
  <c r="BF12" i="1"/>
  <c r="BT12" i="1"/>
  <c r="BF13" i="1"/>
  <c r="BT13" i="1"/>
  <c r="BF14" i="1"/>
  <c r="BT14" i="1"/>
  <c r="BF15" i="1"/>
  <c r="BT15" i="1"/>
  <c r="BF16" i="1"/>
  <c r="BT16" i="1"/>
  <c r="BF17" i="1"/>
  <c r="BT17" i="1"/>
  <c r="BT18" i="1"/>
  <c r="BF19" i="1"/>
  <c r="BT19" i="1"/>
  <c r="BF20" i="1"/>
  <c r="BT20" i="1"/>
  <c r="BF21" i="1"/>
  <c r="BT21" i="1"/>
  <c r="BF22" i="1"/>
  <c r="BT22" i="1"/>
  <c r="BT23" i="1"/>
  <c r="BF24" i="1"/>
  <c r="BT24" i="1"/>
  <c r="BF25" i="1"/>
  <c r="BT25" i="1"/>
  <c r="BF26" i="1"/>
  <c r="BT26" i="1"/>
  <c r="BF27" i="1"/>
  <c r="BT27" i="1"/>
  <c r="BF28" i="1"/>
  <c r="BT28"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T52" i="1"/>
  <c r="BF53" i="1"/>
  <c r="BT53" i="1"/>
  <c r="BF54" i="1"/>
  <c r="BT54" i="1"/>
  <c r="BF55" i="1"/>
  <c r="BT55" i="1"/>
  <c r="BF56" i="1"/>
  <c r="BT56" i="1"/>
  <c r="BF57" i="1"/>
  <c r="BT57" i="1"/>
  <c r="BF58" i="1"/>
  <c r="BT58"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T102" i="1"/>
  <c r="BT103" i="1"/>
  <c r="BF104" i="1"/>
  <c r="BT104" i="1"/>
  <c r="BF105" i="1"/>
  <c r="BT105" i="1"/>
  <c r="BF106" i="1"/>
  <c r="BT106" i="1"/>
  <c r="BF107" i="1"/>
  <c r="BT107" i="1"/>
  <c r="BF108" i="1"/>
  <c r="BT108" i="1"/>
  <c r="BF109" i="1"/>
  <c r="BT109" i="1"/>
  <c r="BF110" i="1"/>
  <c r="BT110" i="1"/>
  <c r="BT111" i="1"/>
  <c r="BF112" i="1"/>
  <c r="BT112" i="1"/>
  <c r="BT113" i="1"/>
  <c r="BF114" i="1"/>
  <c r="BT114" i="1"/>
  <c r="BT115" i="1"/>
  <c r="BF116" i="1"/>
  <c r="BT116" i="1"/>
  <c r="BT117" i="1"/>
  <c r="BF118" i="1"/>
  <c r="BT118" i="1"/>
  <c r="BT119" i="1"/>
  <c r="BT120" i="1"/>
  <c r="BF121" i="1"/>
  <c r="BT121" i="1"/>
  <c r="BF122" i="1"/>
  <c r="BT122" i="1"/>
  <c r="BF123" i="1"/>
  <c r="BT123" i="1"/>
  <c r="BF124" i="1"/>
  <c r="BT124" i="1"/>
  <c r="BF125" i="1"/>
  <c r="BT125" i="1"/>
  <c r="BT126" i="1"/>
  <c r="BT127" i="1"/>
  <c r="BF128" i="1"/>
  <c r="BT128" i="1"/>
  <c r="BF129" i="1"/>
  <c r="BT129" i="1"/>
  <c r="BF130" i="1"/>
  <c r="BT130" i="1"/>
  <c r="BF131" i="1"/>
  <c r="BT131" i="1"/>
  <c r="BF132" i="1"/>
  <c r="BT132" i="1"/>
  <c r="BF133" i="1"/>
  <c r="BT133" i="1"/>
  <c r="BF134" i="1"/>
  <c r="BT134" i="1"/>
  <c r="BF135" i="1"/>
  <c r="BT135" i="1"/>
  <c r="BT136" i="1"/>
  <c r="BF137" i="1"/>
  <c r="BT137" i="1"/>
  <c r="BF138" i="1"/>
  <c r="BT138" i="1"/>
  <c r="BF139" i="1"/>
  <c r="BT139"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T153" i="1"/>
  <c r="BT154" i="1"/>
  <c r="BF155" i="1"/>
  <c r="BT155" i="1"/>
  <c r="BF156" i="1"/>
  <c r="BT156" i="1"/>
  <c r="BF157" i="1"/>
  <c r="BT157" i="1"/>
  <c r="BF158" i="1"/>
  <c r="BT158" i="1"/>
  <c r="BF159" i="1"/>
  <c r="BT159" i="1"/>
  <c r="BT160" i="1"/>
  <c r="BT161" i="1"/>
  <c r="BF162" i="1"/>
  <c r="BT162" i="1"/>
  <c r="BF163" i="1"/>
  <c r="BT163" i="1"/>
  <c r="BF164" i="1"/>
  <c r="BT164" i="1"/>
  <c r="BF165" i="1"/>
  <c r="BT165" i="1"/>
  <c r="BF166" i="1"/>
  <c r="BT166" i="1"/>
  <c r="BF167" i="1"/>
  <c r="BT167" i="1"/>
  <c r="BF168" i="1"/>
  <c r="BT168" i="1"/>
  <c r="BT169" i="1"/>
  <c r="BF170" i="1"/>
  <c r="BT170" i="1"/>
  <c r="BF171" i="1"/>
  <c r="BT171" i="1"/>
  <c r="BF172" i="1"/>
  <c r="BT172" i="1"/>
  <c r="BF173" i="1"/>
  <c r="BT173" i="1"/>
  <c r="BF174" i="1"/>
  <c r="BT174" i="1"/>
  <c r="BF175" i="1"/>
  <c r="BT175" i="1"/>
  <c r="BF176" i="1"/>
  <c r="BT176" i="1"/>
  <c r="BF177" i="1"/>
  <c r="BT177" i="1"/>
  <c r="BF178" i="1"/>
  <c r="BT178" i="1"/>
  <c r="BF179" i="1"/>
  <c r="BT179" i="1"/>
  <c r="BF180" i="1"/>
  <c r="BT180" i="1"/>
  <c r="BF181" i="1"/>
  <c r="BT181" i="1"/>
  <c r="BT182" i="1"/>
  <c r="BT183" i="1"/>
  <c r="BF184" i="1"/>
  <c r="BT184" i="1"/>
  <c r="BF185" i="1"/>
  <c r="BT185" i="1"/>
  <c r="BF186" i="1"/>
  <c r="BT186" i="1"/>
  <c r="BF187" i="1"/>
  <c r="BT187" i="1"/>
  <c r="BF188" i="1"/>
  <c r="BT188" i="1"/>
  <c r="BF189" i="1"/>
  <c r="BT189" i="1"/>
  <c r="BF190" i="1"/>
  <c r="BT190" i="1"/>
  <c r="BF191" i="1"/>
  <c r="BT191" i="1"/>
  <c r="BF192" i="1"/>
  <c r="BT192" i="1"/>
  <c r="BF193" i="1"/>
  <c r="BT193" i="1"/>
  <c r="BF194" i="1"/>
  <c r="BT194" i="1"/>
  <c r="BF195" i="1"/>
  <c r="BT195" i="1"/>
  <c r="BF196" i="1"/>
  <c r="BT196" i="1"/>
  <c r="BF197" i="1"/>
  <c r="BT197" i="1"/>
  <c r="BF198" i="1"/>
  <c r="BT198" i="1"/>
  <c r="BF199" i="1"/>
  <c r="BT199" i="1"/>
  <c r="BF200" i="1"/>
  <c r="BT200" i="1"/>
  <c r="BF201" i="1"/>
  <c r="BT201" i="1"/>
  <c r="BF202" i="1"/>
  <c r="BT202" i="1"/>
  <c r="BF203" i="1"/>
  <c r="BT203" i="1"/>
  <c r="BF204" i="1"/>
  <c r="BT204" i="1"/>
  <c r="BF205" i="1"/>
  <c r="BT205" i="1"/>
  <c r="BF206" i="1"/>
  <c r="BT206" i="1"/>
  <c r="BT207" i="1"/>
  <c r="BF208" i="1"/>
  <c r="BT208" i="1"/>
  <c r="BF209" i="1"/>
  <c r="BT209" i="1"/>
  <c r="BT210" i="1"/>
  <c r="BT211" i="1"/>
  <c r="BT212" i="1"/>
  <c r="BT213" i="1"/>
  <c r="BT214" i="1"/>
  <c r="BF215" i="1"/>
  <c r="BT215" i="1"/>
  <c r="BT216" i="1"/>
  <c r="BF217" i="1"/>
  <c r="BT217" i="1"/>
  <c r="BF218" i="1"/>
  <c r="BT218" i="1"/>
  <c r="BF219" i="1"/>
  <c r="BT219" i="1"/>
  <c r="BF220" i="1"/>
  <c r="BT220" i="1"/>
  <c r="BT221"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 r="BT255" i="1"/>
  <c r="BT256" i="1"/>
  <c r="BT257" i="1"/>
  <c r="BF258" i="1"/>
  <c r="BT258" i="1"/>
  <c r="BF259" i="1"/>
  <c r="BT259" i="1"/>
  <c r="BF260" i="1"/>
  <c r="BT260" i="1"/>
  <c r="BF261" i="1"/>
  <c r="BT261" i="1"/>
  <c r="BF262" i="1"/>
  <c r="BT262" i="1"/>
  <c r="BF263" i="1"/>
  <c r="BT263" i="1"/>
  <c r="BT264" i="1"/>
  <c r="BF265" i="1"/>
  <c r="BT265" i="1"/>
  <c r="BF266" i="1"/>
  <c r="BT266" i="1"/>
  <c r="BF267" i="1"/>
  <c r="BT267" i="1"/>
  <c r="BF268" i="1"/>
  <c r="BT268" i="1"/>
  <c r="BF269" i="1"/>
  <c r="BT269" i="1"/>
  <c r="BF270" i="1"/>
  <c r="BT270" i="1"/>
  <c r="BF271" i="1"/>
  <c r="BT271" i="1"/>
  <c r="BF272" i="1"/>
  <c r="BT272" i="1"/>
  <c r="BF273" i="1"/>
  <c r="BT273" i="1"/>
  <c r="BF274" i="1"/>
  <c r="BT274" i="1"/>
  <c r="BF275" i="1"/>
  <c r="BT275" i="1"/>
  <c r="BF276" i="1"/>
  <c r="BT276" i="1"/>
  <c r="BF277" i="1"/>
  <c r="BT277" i="1"/>
  <c r="BF278" i="1"/>
  <c r="BT278" i="1"/>
  <c r="BF279" i="1"/>
  <c r="BT279" i="1"/>
  <c r="BF280" i="1"/>
  <c r="BT280" i="1"/>
  <c r="BF281" i="1"/>
  <c r="BT281" i="1"/>
  <c r="BT282" i="1"/>
  <c r="BF283" i="1"/>
  <c r="BT283" i="1"/>
  <c r="BF284" i="1"/>
  <c r="BT284" i="1"/>
  <c r="BF285" i="1"/>
  <c r="BT285" i="1"/>
  <c r="BF286" i="1"/>
  <c r="BT286" i="1"/>
  <c r="BF287" i="1"/>
  <c r="BT287" i="1"/>
  <c r="BF288" i="1"/>
  <c r="BT288" i="1"/>
  <c r="BF289" i="1"/>
  <c r="BT289" i="1"/>
  <c r="BF290" i="1"/>
  <c r="BT290" i="1"/>
  <c r="BF291" i="1"/>
  <c r="BT291" i="1"/>
  <c r="BF292" i="1"/>
  <c r="BT292" i="1"/>
  <c r="BF293" i="1"/>
  <c r="BT293" i="1"/>
  <c r="BF294" i="1"/>
  <c r="BT294" i="1"/>
  <c r="BF295" i="1"/>
  <c r="BT295" i="1"/>
  <c r="BF296" i="1"/>
  <c r="BT296" i="1"/>
  <c r="BF297" i="1"/>
  <c r="BT297" i="1"/>
  <c r="BF298" i="1"/>
  <c r="BT298" i="1"/>
  <c r="BF299" i="1"/>
  <c r="BT299" i="1"/>
  <c r="BF300" i="1"/>
  <c r="BT300" i="1"/>
  <c r="BF301" i="1"/>
  <c r="BT301" i="1"/>
  <c r="BF302" i="1"/>
  <c r="BT302" i="1"/>
  <c r="BF303" i="1"/>
  <c r="BT303" i="1"/>
  <c r="BF304" i="1"/>
  <c r="BT304" i="1"/>
  <c r="BF305" i="1"/>
  <c r="BT305" i="1"/>
  <c r="BF306" i="1"/>
  <c r="BT306" i="1"/>
  <c r="BF307" i="1"/>
  <c r="BT307" i="1"/>
  <c r="BF308" i="1"/>
  <c r="BT308" i="1"/>
  <c r="BF309" i="1"/>
  <c r="BT309" i="1"/>
  <c r="BF310" i="1"/>
  <c r="BT310" i="1"/>
  <c r="BF311" i="1"/>
  <c r="BT311" i="1"/>
  <c r="BF312" i="1"/>
  <c r="BT312" i="1"/>
  <c r="BF313" i="1"/>
  <c r="BT313" i="1"/>
  <c r="BF314" i="1"/>
  <c r="BT314" i="1"/>
  <c r="BT315" i="1"/>
  <c r="BT316" i="1"/>
  <c r="BF317" i="1"/>
  <c r="BT317" i="1"/>
  <c r="BF318" i="1"/>
  <c r="BT318" i="1"/>
  <c r="BT319" i="1"/>
  <c r="BT320" i="1"/>
  <c r="BT321" i="1"/>
  <c r="BT322" i="1"/>
  <c r="BT323" i="1"/>
  <c r="BF324" i="1"/>
  <c r="BT324" i="1"/>
  <c r="BF325" i="1"/>
  <c r="BT325" i="1"/>
  <c r="BF326" i="1"/>
  <c r="BT326" i="1"/>
  <c r="BF327" i="1"/>
  <c r="BT327" i="1"/>
  <c r="BF328" i="1"/>
  <c r="BT328" i="1"/>
  <c r="BF329" i="1"/>
  <c r="BT329" i="1"/>
  <c r="BT330" i="1"/>
  <c r="BF331" i="1"/>
  <c r="BT331" i="1"/>
  <c r="BF332" i="1"/>
  <c r="BT332" i="1"/>
  <c r="BF333" i="1"/>
  <c r="BT333" i="1"/>
  <c r="BF334" i="1"/>
  <c r="BT334" i="1"/>
  <c r="BF335" i="1"/>
  <c r="BT335" i="1"/>
  <c r="BF336" i="1"/>
  <c r="BT336" i="1"/>
  <c r="BF337" i="1"/>
  <c r="BT337" i="1"/>
  <c r="BF338" i="1"/>
  <c r="BT338" i="1"/>
  <c r="BF339" i="1"/>
  <c r="BT339" i="1"/>
  <c r="BF340" i="1"/>
  <c r="BT340" i="1"/>
  <c r="BF341" i="1"/>
  <c r="BT341" i="1"/>
  <c r="BF342" i="1"/>
  <c r="BT342" i="1"/>
  <c r="BF343" i="1"/>
  <c r="BT343" i="1"/>
  <c r="BF344" i="1"/>
  <c r="BT344" i="1"/>
  <c r="BF345" i="1"/>
  <c r="BT345" i="1"/>
  <c r="BF346"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F359" i="1"/>
  <c r="BT359" i="1"/>
  <c r="BF360" i="1"/>
  <c r="BT360" i="1"/>
  <c r="BT361" i="1"/>
  <c r="BF362" i="1"/>
  <c r="BT362" i="1"/>
  <c r="BT363" i="1"/>
  <c r="BF364" i="1"/>
  <c r="BT364" i="1"/>
  <c r="BT365" i="1"/>
  <c r="BT366" i="1"/>
  <c r="BF367" i="1"/>
  <c r="BT367" i="1"/>
  <c r="BF368" i="1"/>
  <c r="BT368" i="1"/>
  <c r="BF369" i="1"/>
  <c r="BT369" i="1"/>
  <c r="BF370" i="1"/>
  <c r="BT370" i="1"/>
  <c r="BF371" i="1"/>
  <c r="BT371" i="1"/>
  <c r="BF372" i="1"/>
  <c r="BT372" i="1"/>
  <c r="BF373" i="1"/>
  <c r="BT373" i="1"/>
  <c r="BT374" i="1"/>
  <c r="BF375" i="1"/>
  <c r="BT375" i="1"/>
  <c r="BF376" i="1"/>
  <c r="BT376" i="1"/>
  <c r="BF377" i="1"/>
  <c r="BT377" i="1"/>
  <c r="BF378" i="1"/>
  <c r="BT378" i="1"/>
  <c r="BF379" i="1"/>
  <c r="BT379" i="1"/>
  <c r="BF380" i="1"/>
  <c r="BT380" i="1"/>
  <c r="BF381" i="1"/>
  <c r="BT381" i="1"/>
  <c r="BF382" i="1"/>
  <c r="BT382" i="1"/>
  <c r="BF383" i="1"/>
  <c r="BT383" i="1"/>
  <c r="BF384" i="1"/>
  <c r="BT384" i="1"/>
  <c r="BF385" i="1"/>
  <c r="BT385" i="1"/>
  <c r="BF386" i="1"/>
  <c r="BT386" i="1"/>
  <c r="BF387" i="1"/>
  <c r="BT387" i="1"/>
  <c r="BF388" i="1"/>
  <c r="BT388" i="1"/>
  <c r="BF389" i="1"/>
  <c r="BT389" i="1"/>
  <c r="BF390" i="1"/>
  <c r="BT390" i="1"/>
  <c r="BF391" i="1"/>
  <c r="BT391" i="1"/>
  <c r="BF392" i="1"/>
  <c r="BT392" i="1"/>
  <c r="BF393" i="1"/>
  <c r="BT393" i="1"/>
  <c r="BF394" i="1"/>
  <c r="BT394" i="1"/>
  <c r="BF395" i="1"/>
  <c r="BT395" i="1"/>
  <c r="BF396" i="1"/>
  <c r="BT396" i="1"/>
  <c r="BF397" i="1"/>
  <c r="BT397" i="1"/>
  <c r="BF398" i="1"/>
  <c r="BT398" i="1"/>
  <c r="BF399" i="1"/>
  <c r="BT399" i="1"/>
  <c r="BF400" i="1"/>
  <c r="BT400" i="1"/>
  <c r="BF401" i="1"/>
  <c r="BT401" i="1"/>
  <c r="BF402" i="1"/>
  <c r="BT402" i="1"/>
  <c r="BF403" i="1"/>
  <c r="BT403" i="1"/>
  <c r="BF404" i="1"/>
  <c r="BT404" i="1"/>
  <c r="BF405" i="1"/>
  <c r="BT405" i="1"/>
  <c r="BF406" i="1"/>
  <c r="BT406" i="1"/>
  <c r="BF407" i="1"/>
  <c r="BT407" i="1"/>
  <c r="BF408" i="1"/>
  <c r="BT408" i="1"/>
  <c r="BF409" i="1"/>
  <c r="BT409" i="1"/>
  <c r="BF410"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F431" i="1"/>
  <c r="BT431" i="1"/>
  <c r="BF432" i="1"/>
  <c r="BT432" i="1"/>
  <c r="BF433" i="1"/>
  <c r="BT433" i="1"/>
  <c r="BF434" i="1"/>
  <c r="BT434" i="1"/>
  <c r="BF435" i="1"/>
  <c r="BT435" i="1"/>
  <c r="BT436" i="1"/>
  <c r="BF437" i="1"/>
  <c r="BT437" i="1"/>
  <c r="BT438" i="1"/>
  <c r="BF439" i="1"/>
  <c r="BT439" i="1"/>
  <c r="BT440" i="1"/>
  <c r="BF441" i="1"/>
  <c r="BT441" i="1"/>
  <c r="BF442" i="1"/>
  <c r="BT442" i="1"/>
  <c r="BF443" i="1"/>
  <c r="BT443" i="1"/>
  <c r="BF444" i="1"/>
  <c r="BT444" i="1"/>
  <c r="BF445" i="1"/>
  <c r="BT445" i="1"/>
  <c r="BF446" i="1"/>
  <c r="BT446" i="1"/>
  <c r="BF447" i="1"/>
  <c r="BT447" i="1"/>
  <c r="BF448" i="1"/>
  <c r="BT448" i="1"/>
  <c r="BF449" i="1"/>
  <c r="BT449" i="1"/>
  <c r="BF450" i="1"/>
  <c r="BT450" i="1"/>
  <c r="BF451" i="1"/>
  <c r="BT451" i="1"/>
  <c r="BF452" i="1"/>
  <c r="BT452" i="1"/>
  <c r="BF453" i="1"/>
  <c r="BT453" i="1"/>
  <c r="BF454" i="1"/>
  <c r="BT454" i="1"/>
  <c r="BF455" i="1"/>
  <c r="BT455" i="1"/>
  <c r="BT456" i="1"/>
  <c r="BF457" i="1"/>
  <c r="BT457" i="1"/>
  <c r="BT458" i="1"/>
  <c r="BT459" i="1"/>
  <c r="BT460" i="1"/>
  <c r="BT461" i="1"/>
  <c r="BT462" i="1"/>
  <c r="BT463" i="1"/>
  <c r="BT464" i="1"/>
  <c r="BT465" i="1"/>
  <c r="BT466" i="1"/>
  <c r="BF467" i="1"/>
  <c r="BT467" i="1"/>
  <c r="BT468" i="1"/>
  <c r="BF469" i="1"/>
  <c r="BT469" i="1"/>
  <c r="BF470" i="1"/>
  <c r="BT470" i="1"/>
  <c r="BF471" i="1"/>
  <c r="BT471" i="1"/>
  <c r="BF472" i="1"/>
  <c r="BT472" i="1"/>
  <c r="BF473" i="1"/>
  <c r="BT473" i="1"/>
  <c r="BF474" i="1"/>
  <c r="BT474" i="1"/>
  <c r="BF475" i="1"/>
  <c r="BT475" i="1"/>
  <c r="BT476" i="1"/>
  <c r="BT477" i="1"/>
  <c r="BF478" i="1"/>
  <c r="BT478" i="1"/>
  <c r="BF479" i="1"/>
  <c r="BT479" i="1"/>
  <c r="BF480" i="1"/>
  <c r="BT480" i="1"/>
  <c r="BT481" i="1"/>
  <c r="BT482" i="1"/>
  <c r="BF483" i="1"/>
  <c r="BT483" i="1"/>
  <c r="BF484" i="1"/>
  <c r="BT484" i="1"/>
  <c r="BF485" i="1"/>
  <c r="BT485" i="1"/>
  <c r="BF486" i="1"/>
  <c r="BT486" i="1"/>
  <c r="BF487" i="1"/>
  <c r="BT487" i="1"/>
  <c r="BF488" i="1"/>
  <c r="BT488" i="1"/>
  <c r="BF489" i="1"/>
  <c r="BT489" i="1"/>
  <c r="BF490" i="1"/>
  <c r="BT490" i="1"/>
  <c r="BF491" i="1"/>
  <c r="BT491" i="1"/>
  <c r="BF492" i="1"/>
  <c r="BT492" i="1"/>
  <c r="BF493" i="1"/>
  <c r="BT493" i="1"/>
  <c r="BF494" i="1"/>
  <c r="BT494" i="1"/>
  <c r="BF495" i="1"/>
  <c r="BT495" i="1"/>
  <c r="BF496" i="1"/>
  <c r="BT496" i="1"/>
  <c r="BF497" i="1"/>
  <c r="BT497" i="1"/>
  <c r="BF498" i="1"/>
  <c r="BT498" i="1"/>
  <c r="BF499" i="1"/>
  <c r="BT499" i="1"/>
  <c r="BF500" i="1"/>
  <c r="BT500" i="1"/>
  <c r="BF501" i="1"/>
  <c r="BT501" i="1"/>
  <c r="BF502" i="1"/>
  <c r="BT502" i="1"/>
  <c r="BF503" i="1"/>
  <c r="BT503" i="1"/>
  <c r="BF504" i="1"/>
  <c r="BT504" i="1"/>
  <c r="BF505" i="1"/>
  <c r="BT505" i="1"/>
  <c r="BF506" i="1"/>
  <c r="BT506" i="1"/>
  <c r="BF507" i="1"/>
  <c r="BT507" i="1"/>
  <c r="BF508" i="1"/>
  <c r="BT508" i="1"/>
  <c r="BF509" i="1"/>
  <c r="BT509" i="1"/>
  <c r="BF510" i="1"/>
  <c r="BT510" i="1"/>
  <c r="BF511" i="1"/>
  <c r="BT511" i="1"/>
  <c r="BT512" i="1"/>
  <c r="BT513" i="1"/>
  <c r="BF514" i="1"/>
  <c r="BT514" i="1"/>
  <c r="BF515" i="1"/>
  <c r="BT515" i="1"/>
  <c r="BF516" i="1"/>
  <c r="BT516" i="1"/>
  <c r="BF517" i="1"/>
  <c r="BT517" i="1"/>
  <c r="BT518" i="1"/>
  <c r="BT519" i="1"/>
  <c r="BF520" i="1"/>
  <c r="BT520" i="1"/>
  <c r="BF521" i="1"/>
  <c r="BT521" i="1"/>
  <c r="BF522" i="1"/>
  <c r="BT522" i="1"/>
  <c r="BF523" i="1"/>
  <c r="BT523" i="1"/>
  <c r="BF524" i="1"/>
  <c r="BT524" i="1"/>
  <c r="BF525" i="1"/>
  <c r="BT525" i="1"/>
  <c r="BF526" i="1"/>
  <c r="BT526" i="1"/>
  <c r="BF527" i="1"/>
  <c r="BT527" i="1"/>
  <c r="BF528" i="1"/>
  <c r="BT528" i="1"/>
  <c r="BF529" i="1"/>
  <c r="BT529" i="1"/>
  <c r="BF530" i="1"/>
  <c r="BT530" i="1"/>
  <c r="BF531" i="1"/>
  <c r="BT531" i="1"/>
  <c r="BF532" i="1"/>
  <c r="BT532" i="1"/>
  <c r="BF533" i="1"/>
  <c r="BT533" i="1"/>
  <c r="BF534" i="1"/>
  <c r="BT534" i="1"/>
  <c r="BF535" i="1"/>
  <c r="BT535" i="1"/>
  <c r="BF536" i="1"/>
  <c r="BT536" i="1"/>
  <c r="BF537" i="1"/>
  <c r="BT537" i="1"/>
  <c r="BF538" i="1"/>
  <c r="BT538" i="1"/>
  <c r="BF539" i="1"/>
  <c r="BT539" i="1"/>
  <c r="BF540" i="1"/>
  <c r="BT540" i="1"/>
  <c r="BT541" i="1"/>
  <c r="BT542" i="1"/>
  <c r="BT543" i="1"/>
  <c r="BT544" i="1"/>
  <c r="BF545" i="1"/>
  <c r="BT545" i="1"/>
  <c r="BT546" i="1"/>
  <c r="BT547" i="1"/>
  <c r="BT548" i="1"/>
  <c r="BT549" i="1"/>
  <c r="BF550" i="1"/>
  <c r="BT550" i="1"/>
  <c r="BT551" i="1"/>
  <c r="BF552" i="1"/>
  <c r="BT552" i="1"/>
  <c r="BF553" i="1"/>
  <c r="BT553" i="1"/>
  <c r="BF554" i="1"/>
  <c r="BT554" i="1"/>
  <c r="BF555" i="1"/>
  <c r="BT555" i="1"/>
  <c r="BT556" i="1"/>
  <c r="BF557" i="1"/>
  <c r="BT557" i="1"/>
  <c r="BF558" i="1"/>
  <c r="BT558" i="1"/>
  <c r="BF559" i="1"/>
  <c r="BT559" i="1"/>
  <c r="BF560" i="1"/>
  <c r="BT560" i="1"/>
  <c r="BF561" i="1"/>
  <c r="BT561" i="1"/>
  <c r="BF562" i="1"/>
  <c r="BT562" i="1"/>
  <c r="BF563" i="1"/>
  <c r="BT563" i="1"/>
  <c r="BF564" i="1"/>
  <c r="BT564" i="1"/>
  <c r="BF565" i="1"/>
  <c r="BT565" i="1"/>
  <c r="BF566" i="1"/>
  <c r="BT566" i="1"/>
  <c r="BF567" i="1"/>
  <c r="BT567" i="1"/>
  <c r="BF568" i="1"/>
  <c r="BT568" i="1"/>
  <c r="BF569" i="1"/>
  <c r="BT569" i="1"/>
  <c r="BF570" i="1"/>
  <c r="BT570" i="1"/>
  <c r="BF571" i="1"/>
  <c r="BT571" i="1"/>
  <c r="BF572" i="1"/>
  <c r="BT572" i="1"/>
  <c r="BF573" i="1"/>
  <c r="BT573" i="1"/>
  <c r="BF574" i="1"/>
  <c r="BT574" i="1"/>
  <c r="BF575" i="1"/>
  <c r="BT575" i="1"/>
  <c r="BF576" i="1"/>
  <c r="BT576" i="1"/>
  <c r="BF577" i="1"/>
  <c r="BT577" i="1"/>
  <c r="BF578" i="1"/>
  <c r="BT578" i="1"/>
  <c r="BF579" i="1"/>
  <c r="BT579" i="1"/>
  <c r="BF580" i="1"/>
  <c r="BT580" i="1"/>
  <c r="BF581" i="1"/>
  <c r="BT581" i="1"/>
  <c r="BF582" i="1"/>
  <c r="BT582" i="1"/>
  <c r="BF583" i="1"/>
  <c r="BT583" i="1"/>
  <c r="BF584" i="1"/>
  <c r="BT584" i="1"/>
  <c r="BF585" i="1"/>
  <c r="BT585" i="1"/>
  <c r="BF586" i="1"/>
  <c r="BT586" i="1"/>
  <c r="BF587" i="1"/>
  <c r="BT587" i="1"/>
  <c r="BT588" i="1"/>
  <c r="BF589" i="1"/>
  <c r="BT589" i="1"/>
  <c r="BF590" i="1"/>
  <c r="BT590" i="1"/>
  <c r="BT591" i="1"/>
  <c r="BT592" i="1"/>
  <c r="BF593" i="1"/>
  <c r="BT593" i="1"/>
  <c r="BF594" i="1"/>
  <c r="BT594" i="1"/>
  <c r="BF595" i="1"/>
  <c r="BT595" i="1"/>
  <c r="BF596" i="1"/>
  <c r="BT596" i="1"/>
  <c r="BF597" i="1"/>
  <c r="BT597" i="1"/>
  <c r="BF598" i="1"/>
  <c r="BT598" i="1"/>
  <c r="BF599" i="1"/>
  <c r="BT599" i="1"/>
  <c r="BF600" i="1"/>
  <c r="BT600" i="1"/>
  <c r="BF601" i="1"/>
  <c r="BT601" i="1"/>
  <c r="BF602" i="1"/>
  <c r="BT602" i="1"/>
  <c r="BF603" i="1"/>
  <c r="BT603" i="1"/>
  <c r="BT604" i="1"/>
  <c r="BF605" i="1"/>
  <c r="BT605" i="1"/>
  <c r="BF606" i="1"/>
  <c r="BT606" i="1"/>
  <c r="BF607" i="1"/>
  <c r="BT607" i="1"/>
  <c r="BF608" i="1"/>
  <c r="BT608" i="1"/>
  <c r="BF609" i="1"/>
  <c r="BT609" i="1"/>
  <c r="BF610" i="1"/>
  <c r="BT610" i="1"/>
  <c r="BF611" i="1"/>
  <c r="BT611" i="1"/>
  <c r="BF612" i="1"/>
  <c r="BT612" i="1"/>
  <c r="BF613" i="1"/>
  <c r="BT613" i="1"/>
  <c r="BF614" i="1"/>
  <c r="BT614" i="1"/>
  <c r="BF615" i="1"/>
  <c r="BT615" i="1"/>
  <c r="BF616" i="1"/>
  <c r="BT616" i="1"/>
  <c r="BF617" i="1"/>
  <c r="BT617" i="1"/>
  <c r="BF618" i="1"/>
  <c r="BT618" i="1"/>
  <c r="BF619" i="1"/>
  <c r="BT619" i="1"/>
  <c r="BF620" i="1"/>
  <c r="BT620" i="1"/>
  <c r="BF621" i="1"/>
  <c r="BT621" i="1"/>
  <c r="BF622" i="1"/>
  <c r="BT622" i="1"/>
  <c r="BF623" i="1"/>
  <c r="BT623" i="1"/>
  <c r="BT624" i="1"/>
  <c r="BT625" i="1"/>
  <c r="BT626" i="1"/>
  <c r="BT627" i="1"/>
  <c r="BF628" i="1"/>
  <c r="BT628" i="1"/>
  <c r="BT629" i="1"/>
  <c r="BF630" i="1"/>
  <c r="BT630" i="1"/>
  <c r="BF631" i="1"/>
  <c r="BT631" i="1"/>
  <c r="BT632" i="1"/>
  <c r="BF633" i="1"/>
  <c r="BT633" i="1"/>
  <c r="BF634" i="1"/>
  <c r="BT634" i="1"/>
  <c r="BT635" i="1"/>
  <c r="BF636" i="1"/>
  <c r="BT636" i="1"/>
  <c r="BT637" i="1"/>
  <c r="BF638" i="1"/>
  <c r="BT638" i="1"/>
  <c r="BF639" i="1"/>
  <c r="BT639" i="1"/>
  <c r="BT640" i="1"/>
  <c r="BT641" i="1"/>
  <c r="BT642" i="1"/>
  <c r="BF643" i="1"/>
  <c r="BT643" i="1"/>
  <c r="BF644" i="1"/>
  <c r="BT644" i="1"/>
  <c r="BF645" i="1"/>
  <c r="BT645" i="1"/>
  <c r="BF646" i="1"/>
  <c r="BT646" i="1"/>
  <c r="BF647" i="1"/>
  <c r="BT647" i="1"/>
  <c r="BT648" i="1"/>
  <c r="BT649" i="1"/>
  <c r="BF650" i="1"/>
  <c r="BT650" i="1"/>
  <c r="BF651" i="1"/>
  <c r="BT651" i="1"/>
  <c r="BF652" i="1"/>
  <c r="BT652" i="1"/>
  <c r="BT653" i="1"/>
  <c r="BF654" i="1"/>
  <c r="BT654" i="1"/>
  <c r="BF655" i="1"/>
  <c r="BT655" i="1"/>
  <c r="BF656" i="1"/>
  <c r="BT656" i="1"/>
  <c r="BF657" i="1"/>
  <c r="BT657" i="1"/>
  <c r="BF658" i="1"/>
  <c r="BT658" i="1"/>
  <c r="BT659" i="1"/>
  <c r="BF660" i="1"/>
  <c r="BT660" i="1"/>
  <c r="BF661" i="1"/>
  <c r="BT661" i="1"/>
  <c r="BF662" i="1"/>
  <c r="BT662" i="1"/>
  <c r="BF663" i="1"/>
  <c r="BT663" i="1"/>
  <c r="BF664" i="1"/>
  <c r="BT664" i="1"/>
  <c r="BF665" i="1"/>
  <c r="BT665" i="1"/>
  <c r="BF666" i="1"/>
  <c r="BT666" i="1"/>
  <c r="BF667" i="1"/>
  <c r="BT667" i="1"/>
  <c r="BF668" i="1"/>
  <c r="BT668" i="1"/>
  <c r="BF669" i="1"/>
  <c r="BT669" i="1"/>
  <c r="BF670" i="1"/>
  <c r="BT670" i="1"/>
  <c r="BF671" i="1"/>
  <c r="BT671" i="1"/>
  <c r="BF672" i="1"/>
  <c r="BT672" i="1"/>
  <c r="BF673" i="1"/>
  <c r="BT673" i="1"/>
  <c r="BF674" i="1"/>
  <c r="BT674" i="1"/>
  <c r="BF675" i="1"/>
  <c r="BT675" i="1"/>
  <c r="BF676" i="1"/>
  <c r="BT676" i="1"/>
  <c r="BF677" i="1"/>
  <c r="BT677" i="1"/>
  <c r="BF678" i="1"/>
  <c r="BT678" i="1"/>
  <c r="BF679" i="1"/>
  <c r="BT679" i="1"/>
  <c r="BF680" i="1"/>
  <c r="BT680" i="1"/>
  <c r="BF681" i="1"/>
  <c r="BT681" i="1"/>
  <c r="BF682" i="1"/>
  <c r="BT682" i="1"/>
  <c r="BF683" i="1"/>
  <c r="BT683" i="1"/>
  <c r="BF684" i="1"/>
  <c r="BT684" i="1"/>
  <c r="BF685" i="1"/>
  <c r="BT685" i="1"/>
  <c r="BF686" i="1"/>
  <c r="BT686" i="1"/>
  <c r="BF687" i="1"/>
  <c r="BT687" i="1"/>
  <c r="BF688" i="1"/>
  <c r="BT688" i="1"/>
  <c r="BF689" i="1"/>
  <c r="BT689" i="1"/>
  <c r="BF690" i="1"/>
  <c r="BT690" i="1"/>
  <c r="BT691" i="1"/>
  <c r="BF692" i="1"/>
  <c r="BT692" i="1"/>
  <c r="BF693" i="1"/>
  <c r="BT693" i="1"/>
  <c r="BT694" i="1"/>
  <c r="BF695" i="1"/>
  <c r="BT695" i="1"/>
  <c r="BF696" i="1"/>
  <c r="BT696" i="1"/>
  <c r="BF697" i="1"/>
  <c r="BT697" i="1"/>
  <c r="BF698" i="1"/>
  <c r="BT698" i="1"/>
  <c r="BF699" i="1"/>
  <c r="BT699" i="1"/>
  <c r="BF700" i="1"/>
  <c r="BT700" i="1"/>
  <c r="BF701" i="1"/>
  <c r="BT701" i="1"/>
  <c r="BF702" i="1"/>
  <c r="BT702" i="1"/>
  <c r="BF703" i="1"/>
  <c r="BT703" i="1"/>
  <c r="BF704" i="1"/>
  <c r="BT704" i="1"/>
  <c r="BF705" i="1"/>
  <c r="BT705" i="1"/>
  <c r="BT706" i="1"/>
  <c r="BF707" i="1"/>
  <c r="BT707" i="1"/>
  <c r="BF708" i="1"/>
  <c r="BT708" i="1"/>
  <c r="BT709" i="1"/>
  <c r="BT710" i="1"/>
  <c r="BT711" i="1"/>
  <c r="BF712" i="1"/>
  <c r="BT712" i="1"/>
  <c r="BF713" i="1"/>
  <c r="BT713" i="1"/>
  <c r="BF714" i="1"/>
  <c r="BT714" i="1"/>
  <c r="BF715" i="1"/>
  <c r="BT715" i="1"/>
  <c r="BF716" i="1"/>
  <c r="BT716" i="1"/>
  <c r="BF717" i="1"/>
  <c r="BT717" i="1"/>
  <c r="BF718" i="1"/>
  <c r="BT718" i="1"/>
  <c r="BF719" i="1"/>
  <c r="BT719" i="1"/>
  <c r="BF720" i="1"/>
  <c r="BT720" i="1"/>
  <c r="BF721" i="1"/>
  <c r="BT721" i="1"/>
  <c r="BF722" i="1"/>
  <c r="BT722" i="1"/>
  <c r="BT723" i="1"/>
  <c r="BT724" i="1"/>
  <c r="BF725" i="1"/>
  <c r="BT725" i="1"/>
  <c r="BT726" i="1"/>
  <c r="BF727" i="1"/>
  <c r="BT727" i="1"/>
  <c r="BF728" i="1"/>
  <c r="BT728" i="1"/>
  <c r="BT729" i="1"/>
  <c r="BT730" i="1"/>
  <c r="BF731" i="1"/>
  <c r="BT731" i="1"/>
  <c r="BT732" i="1"/>
  <c r="BT733" i="1"/>
  <c r="BT734" i="1"/>
  <c r="BF735" i="1"/>
  <c r="BT735" i="1"/>
  <c r="BF736" i="1"/>
  <c r="BT736" i="1"/>
  <c r="BT737" i="1"/>
  <c r="BT738" i="1"/>
  <c r="BF739" i="1"/>
  <c r="BT739" i="1"/>
  <c r="BT740" i="1"/>
  <c r="BT741" i="1"/>
  <c r="BF742" i="1"/>
  <c r="BT742" i="1"/>
  <c r="BF743" i="1"/>
  <c r="BT743" i="1"/>
  <c r="BF744" i="1"/>
  <c r="BT744" i="1"/>
  <c r="BF745" i="1"/>
  <c r="BT745" i="1"/>
  <c r="BF746" i="1"/>
  <c r="BT746" i="1"/>
  <c r="BF747" i="1"/>
  <c r="BT747" i="1"/>
  <c r="BT748" i="1"/>
  <c r="BF749" i="1"/>
  <c r="BT749" i="1"/>
  <c r="BF750" i="1"/>
  <c r="BT750" i="1"/>
  <c r="BF751" i="1"/>
  <c r="BT751" i="1"/>
  <c r="BF752" i="1"/>
  <c r="BT752" i="1"/>
  <c r="BF753" i="1"/>
  <c r="BT753" i="1"/>
  <c r="BF754" i="1"/>
  <c r="BT754" i="1"/>
  <c r="BT755" i="1"/>
  <c r="BF756" i="1"/>
  <c r="BT756" i="1"/>
  <c r="BF757" i="1"/>
  <c r="BT757" i="1"/>
  <c r="BF758" i="1"/>
  <c r="BT758" i="1"/>
  <c r="BF759" i="1"/>
  <c r="BT759" i="1"/>
  <c r="BF760" i="1"/>
  <c r="BT760" i="1"/>
  <c r="BF761" i="1"/>
  <c r="BT761" i="1"/>
  <c r="BF762" i="1"/>
  <c r="BT762" i="1"/>
  <c r="BF763" i="1"/>
  <c r="BT763" i="1"/>
  <c r="BF764" i="1"/>
  <c r="BT764" i="1"/>
  <c r="BF765" i="1"/>
  <c r="BT765" i="1"/>
  <c r="BF766" i="1"/>
  <c r="BT766" i="1"/>
  <c r="BF767" i="1"/>
  <c r="BT767" i="1"/>
  <c r="BF768" i="1"/>
  <c r="BT768" i="1"/>
  <c r="BF769" i="1"/>
  <c r="BT769" i="1"/>
  <c r="BF770" i="1"/>
  <c r="BT770" i="1"/>
  <c r="BF771" i="1"/>
  <c r="BT771" i="1"/>
  <c r="BF772" i="1"/>
  <c r="BT772" i="1"/>
  <c r="BF773" i="1"/>
  <c r="BT773" i="1"/>
  <c r="BF774" i="1"/>
  <c r="BT774" i="1"/>
  <c r="BF775" i="1"/>
  <c r="BT775" i="1"/>
  <c r="BF776" i="1"/>
  <c r="BT776" i="1"/>
  <c r="BF777" i="1"/>
  <c r="BT777" i="1"/>
  <c r="BF778" i="1"/>
  <c r="BT778" i="1"/>
  <c r="BF779" i="1"/>
  <c r="BT779" i="1"/>
  <c r="BF780" i="1"/>
  <c r="BT780" i="1"/>
  <c r="BT781" i="1"/>
  <c r="BF782" i="1"/>
  <c r="BT782" i="1"/>
  <c r="BF783" i="1"/>
  <c r="BT783" i="1"/>
  <c r="BF784" i="1"/>
  <c r="BT784" i="1"/>
  <c r="BF785" i="1"/>
  <c r="BT785" i="1"/>
  <c r="BF786" i="1"/>
  <c r="BT786" i="1"/>
  <c r="BF787" i="1"/>
  <c r="BT787" i="1"/>
  <c r="BT788" i="1"/>
  <c r="BF789" i="1"/>
  <c r="BT789" i="1"/>
  <c r="BF790" i="1"/>
  <c r="BT790" i="1"/>
  <c r="BF791" i="1"/>
  <c r="BT791" i="1"/>
  <c r="BF792" i="1"/>
  <c r="BT792" i="1"/>
  <c r="BF793" i="1"/>
  <c r="BT793" i="1"/>
  <c r="BF794" i="1"/>
  <c r="BT794" i="1"/>
  <c r="BF795" i="1"/>
  <c r="BT795" i="1"/>
  <c r="BF796" i="1"/>
  <c r="BT796" i="1"/>
  <c r="BT797" i="1"/>
  <c r="BF798" i="1"/>
  <c r="BT798" i="1"/>
  <c r="BT799" i="1"/>
  <c r="BT800" i="1"/>
  <c r="BF801" i="1"/>
  <c r="BT801" i="1"/>
  <c r="BF802" i="1"/>
  <c r="BT802" i="1"/>
  <c r="BF803" i="1"/>
  <c r="BT803" i="1"/>
  <c r="BF804" i="1"/>
  <c r="BT804" i="1"/>
  <c r="BF805" i="1"/>
  <c r="BT805" i="1"/>
  <c r="BF806" i="1"/>
  <c r="BT806" i="1"/>
  <c r="BF807" i="1"/>
  <c r="BT807" i="1"/>
  <c r="BF808" i="1"/>
  <c r="BT808" i="1"/>
  <c r="BF809" i="1"/>
  <c r="BT809" i="1"/>
  <c r="BF810" i="1"/>
  <c r="BT810" i="1"/>
  <c r="BT811" i="1"/>
  <c r="BT812" i="1"/>
  <c r="BF813" i="1"/>
  <c r="BT813" i="1"/>
  <c r="BT814" i="1"/>
  <c r="BT815" i="1"/>
  <c r="BF816" i="1"/>
  <c r="BT816" i="1"/>
  <c r="BT817" i="1"/>
  <c r="BT818" i="1"/>
  <c r="BT819" i="1"/>
  <c r="BT820" i="1"/>
  <c r="BF821" i="1"/>
  <c r="BT821" i="1"/>
  <c r="BF822" i="1"/>
  <c r="BT822" i="1"/>
  <c r="BF823" i="1"/>
  <c r="BT823" i="1"/>
  <c r="BT824" i="1"/>
  <c r="BT825" i="1"/>
  <c r="BT826" i="1"/>
  <c r="BF827" i="1"/>
  <c r="BT827" i="1"/>
  <c r="BT828" i="1"/>
  <c r="BT829" i="1"/>
  <c r="BT830" i="1"/>
  <c r="BT831" i="1"/>
  <c r="BT832" i="1"/>
  <c r="BT833" i="1"/>
  <c r="BF834" i="1"/>
  <c r="BT834" i="1"/>
  <c r="BT835" i="1"/>
  <c r="BT836" i="1"/>
  <c r="BF837" i="1"/>
  <c r="BT837" i="1"/>
  <c r="BF838" i="1"/>
  <c r="BT838" i="1"/>
  <c r="BF839" i="1"/>
  <c r="BT839" i="1"/>
  <c r="BF840" i="1"/>
  <c r="BT840" i="1"/>
  <c r="BF841" i="1"/>
  <c r="BT841" i="1"/>
  <c r="BF842" i="1"/>
  <c r="BT842" i="1"/>
  <c r="BF843" i="1"/>
  <c r="BT843" i="1"/>
  <c r="BF844" i="1"/>
  <c r="BT844" i="1"/>
  <c r="BF845" i="1"/>
  <c r="BT845" i="1"/>
  <c r="BF846" i="1"/>
  <c r="BT846" i="1"/>
  <c r="BT847" i="1"/>
  <c r="BT848" i="1"/>
  <c r="BF849" i="1"/>
  <c r="BT849" i="1"/>
  <c r="BF850" i="1"/>
  <c r="BT850" i="1"/>
  <c r="BF851" i="1"/>
  <c r="BT851" i="1"/>
  <c r="BF852" i="1"/>
  <c r="BT852" i="1"/>
  <c r="BF853" i="1"/>
  <c r="BT853" i="1"/>
  <c r="BF854" i="1"/>
  <c r="BT854" i="1"/>
  <c r="BT855" i="1"/>
  <c r="BT856" i="1"/>
  <c r="BT857" i="1"/>
  <c r="BF858" i="1"/>
  <c r="BT858" i="1"/>
  <c r="BF859" i="1"/>
  <c r="BT859" i="1"/>
  <c r="BF860" i="1"/>
  <c r="BT860" i="1"/>
  <c r="BF861" i="1"/>
  <c r="BT861" i="1"/>
  <c r="BF862" i="1"/>
  <c r="BT862" i="1"/>
  <c r="BF863" i="1"/>
  <c r="BT863" i="1"/>
  <c r="BF864" i="1"/>
  <c r="BT864" i="1"/>
  <c r="BF865" i="1"/>
  <c r="BT865" i="1"/>
  <c r="BF866" i="1"/>
  <c r="BT866" i="1"/>
  <c r="BF867" i="1"/>
  <c r="BT867" i="1"/>
  <c r="BF868" i="1"/>
  <c r="BT868" i="1"/>
  <c r="BF869" i="1"/>
  <c r="BT869" i="1"/>
  <c r="BF870" i="1"/>
  <c r="BT870" i="1"/>
  <c r="BF871" i="1"/>
  <c r="BT871" i="1"/>
  <c r="BF872" i="1"/>
  <c r="BT872" i="1"/>
  <c r="BT873" i="1"/>
  <c r="BF874" i="1"/>
  <c r="BT874" i="1"/>
  <c r="BF875" i="1"/>
  <c r="BT875" i="1"/>
  <c r="BF876" i="1"/>
  <c r="BT876" i="1"/>
  <c r="BF877" i="1"/>
  <c r="BT877" i="1"/>
  <c r="BF878" i="1"/>
  <c r="BT878" i="1"/>
  <c r="BF879" i="1"/>
  <c r="BT879" i="1"/>
  <c r="BF880" i="1"/>
  <c r="BT880" i="1"/>
  <c r="BF881" i="1"/>
  <c r="BT881" i="1"/>
  <c r="BF882" i="1"/>
  <c r="BT882" i="1"/>
  <c r="BF883" i="1"/>
  <c r="BT883" i="1"/>
  <c r="BT884" i="1"/>
  <c r="BT885" i="1"/>
  <c r="BF886" i="1"/>
  <c r="BT886" i="1"/>
  <c r="BT887" i="1"/>
  <c r="BF888" i="1"/>
  <c r="BT888" i="1"/>
  <c r="BF889" i="1"/>
  <c r="BT889" i="1"/>
  <c r="BF890" i="1"/>
  <c r="BT890" i="1"/>
  <c r="BF891" i="1"/>
  <c r="BT891" i="1"/>
  <c r="BF892" i="1"/>
  <c r="BT892" i="1"/>
  <c r="BF893" i="1"/>
  <c r="BT893" i="1"/>
  <c r="BF894" i="1"/>
  <c r="BT894" i="1"/>
  <c r="BF895" i="1"/>
  <c r="BT895" i="1"/>
  <c r="BF896" i="1"/>
  <c r="BT896" i="1"/>
  <c r="BF897" i="1"/>
  <c r="BT897" i="1"/>
  <c r="BT898" i="1"/>
  <c r="BF899" i="1"/>
  <c r="BT899" i="1"/>
  <c r="BF900" i="1"/>
  <c r="BT900" i="1"/>
  <c r="BF901" i="1"/>
  <c r="BT901" i="1"/>
  <c r="BF902" i="1"/>
  <c r="BT902" i="1"/>
  <c r="BF903" i="1"/>
  <c r="BT903" i="1"/>
  <c r="BF904" i="1"/>
  <c r="BT904" i="1"/>
  <c r="BF905" i="1"/>
  <c r="BT905" i="1"/>
  <c r="BF906" i="1"/>
  <c r="BT906" i="1"/>
  <c r="BF907" i="1"/>
  <c r="BT907" i="1"/>
  <c r="BF908" i="1"/>
  <c r="BT908" i="1"/>
  <c r="BF909" i="1"/>
  <c r="BT909" i="1"/>
  <c r="BF910" i="1"/>
  <c r="BT910" i="1"/>
  <c r="BF911" i="1"/>
  <c r="BT911" i="1"/>
  <c r="BF912" i="1"/>
  <c r="BT912" i="1"/>
  <c r="BT913" i="1"/>
  <c r="BF914" i="1"/>
  <c r="BT914" i="1"/>
  <c r="BF915" i="1"/>
  <c r="BT915" i="1"/>
  <c r="BF916" i="1"/>
  <c r="BT916" i="1"/>
  <c r="BF917" i="1"/>
  <c r="BT917" i="1"/>
  <c r="BF918" i="1"/>
  <c r="BT918" i="1"/>
  <c r="BF919" i="1"/>
  <c r="BT919" i="1"/>
  <c r="BF920" i="1"/>
  <c r="BT920" i="1"/>
  <c r="BF921" i="1"/>
  <c r="BT921" i="1"/>
  <c r="BF922" i="1"/>
  <c r="BT922" i="1"/>
  <c r="BF923" i="1"/>
  <c r="BT923" i="1"/>
  <c r="BT924" i="1"/>
  <c r="BF925" i="1"/>
  <c r="BT925" i="1"/>
  <c r="BT926" i="1"/>
  <c r="BF927" i="1"/>
  <c r="BT927" i="1"/>
  <c r="BT928" i="1"/>
  <c r="BT929" i="1"/>
  <c r="BF930" i="1"/>
  <c r="BT930" i="1"/>
  <c r="BT931" i="1"/>
  <c r="BF932" i="1"/>
  <c r="BT932" i="1"/>
  <c r="BF933" i="1"/>
  <c r="BT933" i="1"/>
  <c r="BF934" i="1"/>
  <c r="BT934" i="1"/>
  <c r="BT935" i="1"/>
  <c r="BT936" i="1"/>
  <c r="BF937" i="1"/>
  <c r="BT937" i="1"/>
  <c r="BF938" i="1"/>
  <c r="BT938" i="1"/>
  <c r="BF939" i="1"/>
  <c r="BT939" i="1"/>
  <c r="BF940" i="1"/>
  <c r="BT940" i="1"/>
  <c r="BF941" i="1"/>
  <c r="BT941" i="1"/>
  <c r="BF942" i="1"/>
  <c r="BT942" i="1"/>
  <c r="BF943" i="1"/>
  <c r="BT943" i="1"/>
  <c r="BT944" i="1"/>
  <c r="BF945" i="1"/>
  <c r="BT945" i="1"/>
  <c r="BT946" i="1"/>
  <c r="BT947" i="1"/>
  <c r="BT948" i="1"/>
  <c r="BT949" i="1"/>
  <c r="BT950" i="1"/>
  <c r="BT951" i="1"/>
  <c r="BF952" i="1"/>
  <c r="BT952" i="1"/>
  <c r="BF953" i="1"/>
  <c r="BT953" i="1"/>
  <c r="BT954" i="1"/>
  <c r="BT955" i="1"/>
  <c r="BF956" i="1"/>
  <c r="BT956" i="1"/>
  <c r="BT957" i="1"/>
  <c r="BT958" i="1"/>
  <c r="BT959" i="1"/>
  <c r="BT960" i="1"/>
  <c r="BT961" i="1"/>
  <c r="BF962" i="1"/>
  <c r="BT962" i="1"/>
  <c r="BF963" i="1"/>
  <c r="BT963" i="1"/>
  <c r="BF964" i="1"/>
  <c r="BT964" i="1"/>
  <c r="BF965" i="1"/>
  <c r="BT965" i="1"/>
  <c r="BF966" i="1"/>
  <c r="BT966" i="1"/>
  <c r="BF967" i="1"/>
  <c r="BT967" i="1"/>
  <c r="BF968" i="1"/>
  <c r="BT968" i="1"/>
  <c r="BF969" i="1"/>
  <c r="BT969" i="1"/>
  <c r="BF970" i="1"/>
  <c r="BT970" i="1"/>
  <c r="BF971" i="1"/>
  <c r="BT971" i="1"/>
  <c r="BF972" i="1"/>
  <c r="BT972" i="1"/>
  <c r="BF973" i="1"/>
  <c r="BT973" i="1"/>
  <c r="BF974" i="1"/>
  <c r="BT974" i="1"/>
  <c r="BF975" i="1"/>
  <c r="BT975" i="1"/>
  <c r="BF976" i="1"/>
  <c r="BT976" i="1"/>
  <c r="BF977" i="1"/>
  <c r="BT977" i="1"/>
  <c r="BT978" i="1"/>
  <c r="BF979" i="1"/>
  <c r="BT979" i="1"/>
  <c r="BF980" i="1"/>
  <c r="BT980" i="1"/>
  <c r="BF981" i="1"/>
  <c r="BT981" i="1"/>
  <c r="BF982" i="1"/>
  <c r="BT982" i="1"/>
  <c r="BF983" i="1"/>
  <c r="BT983" i="1"/>
  <c r="BT984" i="1"/>
  <c r="BF985" i="1"/>
  <c r="BT985" i="1"/>
  <c r="BT986" i="1"/>
  <c r="BF987" i="1"/>
  <c r="BT987" i="1"/>
  <c r="BF988" i="1"/>
  <c r="BT988" i="1"/>
  <c r="BF989" i="1"/>
  <c r="BT989" i="1"/>
  <c r="BF990" i="1"/>
  <c r="BT990" i="1"/>
  <c r="BF991" i="1"/>
  <c r="BT991" i="1"/>
  <c r="BF992" i="1"/>
  <c r="BT992" i="1"/>
  <c r="BT993" i="1"/>
  <c r="BT994" i="1"/>
  <c r="BT995" i="1"/>
  <c r="BT996" i="1"/>
  <c r="BF997" i="1"/>
  <c r="BT997" i="1"/>
  <c r="BT998" i="1"/>
  <c r="BT999" i="1"/>
  <c r="BT1000" i="1"/>
  <c r="BF1001" i="1"/>
  <c r="BT1001" i="1"/>
</calcChain>
</file>

<file path=xl/sharedStrings.xml><?xml version="1.0" encoding="utf-8"?>
<sst xmlns="http://schemas.openxmlformats.org/spreadsheetml/2006/main" count="100781" uniqueCount="22068">
  <si>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</si>
  <si>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</si>
  <si>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</si>
  <si>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</si>
  <si>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</si>
  <si>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</si>
  <si>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</si>
  <si>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</si>
  <si>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</si>
  <si>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</si>
  <si>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</si>
  <si>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</si>
  <si>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</si>
  <si>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</si>
  <si>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</si>
  <si>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</si>
  <si>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</si>
  <si>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</si>
  <si>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</si>
  <si>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</si>
  <si>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</si>
  <si>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</si>
  <si>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</si>
  <si>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</si>
  <si>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</si>
  <si>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</si>
  <si>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</si>
  <si>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</si>
  <si>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</si>
  <si>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</si>
  <si>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</si>
  <si>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</si>
  <si>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</si>
  <si>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</si>
  <si>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</si>
  <si>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</si>
  <si>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</si>
  <si>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</si>
  <si>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</si>
  <si>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</si>
  <si>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</si>
  <si>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</si>
  <si>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</si>
  <si>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</si>
  <si>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</si>
  <si>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</si>
  <si>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</si>
  <si>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</si>
  <si>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</si>
  <si>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</si>
  <si>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</si>
  <si>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</si>
  <si>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</si>
  <si>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</si>
  <si>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</si>
  <si>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</si>
  <si>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</si>
  <si>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</si>
  <si>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</si>
  <si>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</si>
  <si>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</si>
  <si>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</si>
  <si>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</si>
  <si>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</si>
  <si>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</si>
  <si>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</si>
  <si>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</si>
  <si>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</si>
  <si>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</si>
  <si>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</si>
  <si>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</si>
  <si>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</si>
  <si>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</si>
  <si>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Robert, F; Benchenouf, F; Ha, MN; Cuomo, A; Ottaviani, M; Surbier, M; Thuillet, R; Normand, C; Dumont, F; Verstuyft, C; Fiore, F; Guinut, F; Humbert, M; Coilly, A; Gonzales, E; Sitbon, O; Tu, L; Guignabert, C; Savale, L</t>
  </si>
  <si>
    <t/>
  </si>
  <si>
    <t>Robert, Fabien; Benchenouf, Feriel; Ha, My Ngoc; Cuomo, Alessandra; Ottaviani, Mina; Surbier, Maxime; Thuillet, Raphael; Normand, Corinne; Dumont, Florent; Verstuyft, Celine; Fiore, Frederic; Guinut, Frederic; Humbert, Marc; Coilly, Audrey; Gonzales, Emmanuel; Sitbon, Olivier; Tu, Ly; Guignabert, Christophe; Savale, Laurent</t>
  </si>
  <si>
    <t>Placental growth factor modulates endothelial NO production and exacerbates experimental hepatopulmonary syndrome</t>
  </si>
  <si>
    <t>JHEP REPORTS</t>
  </si>
  <si>
    <t>English</t>
  </si>
  <si>
    <t>Article</t>
  </si>
  <si>
    <t>Liver cirrhosis; Portal hypertension; Pulmonary endothelial dysfunction; Partial portal vein ligation; Common bile duct ligation; Intrapulmonary vascular dilations; Hypoxemia; VEGF</t>
  </si>
  <si>
    <t>EXHALED NITRIC-OXIDE; CIRRHOTIC-PATIENTS; BLOOD-PRESSURE; ANGIOGENESIS; MODEL; RAT; ACTIVATION; CONTRIBUTES; OXYGENATION; EXPRESSION</t>
  </si>
  <si>
    <t>Background &amp; Aims: Hepatopulmonary syndrome (HPS) results from portal hypertension, with or without cirrhosis, and is marked by pulmonary vascular dilations leading to severe hypoxemia. Although placental growth factor (PlGF) is important for vascular growth and endothelial function, its role in HPS is unclear. This study investigated the involvement of PlGF in experimental models of HPS and in patients. Methods: Circulating PlGF levels were measured in 64 controls and 137 patients with liver disease, with or without HPS. Two rat models, common bile duct ligation (CBDL) and long-term partial portal vein ligation (PPVL), were used. Plgf-knockout (Plgf-/-) rats were generated using CRISPR-Cas9. Lung RNA-sequencing analysis was performed in the CBDL model. The effects of PlGF on endothelial nitric oxide synthase (eNOS) activity in human pulmonary microvascular endothelial cells were also investigated. Results: Circulating PlGF levels were significantly higher in patients with cirrhosis compared with healthy controls (29.4 +/- 1.2 vs. 20.2 +/- 0.8 pg/ml, p &lt;0.0001), but no difference were found between patients with and without HPS. PlGF levels were not elevated in patients with extrahepatic portal hypertension. In Plgf-/- rats, there was a protective effect against CBDL-induced HPS, whereas PPVL-induced HPS severity remained unchanged. RNA sequencing coupled with ingenuity pathway analysis identified significant interactions between PlGF and pulmonary eNOS activity. Following CBDL, Plgf-/- rats showed decreased pulmonary eNOS activity and reduced circulating nitric oxide metabolites. In vitro, PlGF stimulation enhanced eNOS activity in human pulmonary microvascular endothelial cells, whereas PlGF knockdown led to a decrease. Conclusions: These findings indicate that PlGF aggravates cirrhosis-induced HPS through modulation of pulmonary eNOS activity, and is not involved in HPS from extrahepatic portal hypertension. (c) 2024 The Author(s). Published by Elsevier B.V. on behalf of European Association for the Study of the Liver (EASL). This is an open access article under the CC BY license (http://creativecommons.org/licenses/by/4.0/).</t>
  </si>
  <si>
    <t>[Robert, Fabien; Benchenouf, Feriel; Ha, My Ngoc; Cuomo, Alessandra; Ottaviani, Mina; Surbier, Maxime; Thuillet, Raphael; Normand, Corinne; Dumont, Florent; Humbert, Marc; Sitbon, Olivier; Tu, Ly; Guignabert, Christophe; Savale, Laurent] Univ Paris Saclay, Unite Mixte Rech Sante UMR S Hypertens Plum Physio, Le Kremlin Bicetre, France; [Robert, Fabien; Benchenouf, Feriel; Ha, My Ngoc; Ottaviani, Mina; Surbier, Maxime; Thuillet, Raphael; Normand, Corinne; Dumont, Florent; Humbert, Marc; Sitbon, Olivier; Tu, Ly; Guignabert, Christophe; Savale, Laurent] INSERM U506, UMR S Hypertens Plum Physiopathol &amp; Innovat Therap, Le Kremlin Bicetre, France; [Cuomo, Alessandra] Univ Naples Federico II, Dept Translat Med Sci, Naples, Italy; [Verstuyft, Celine] Univ Paris Saclay, Hop Bicetre, AP HP, Ctr Ressource Biol Paris Saclay, Le Kremlin Bicetre, France; [Fiore, Frederic] Aix Marseille Univ, Ctr Immunophen CIPHE, INSERM, CNRS,CELPHEDIA,PHENOMIN, Marseille, France; [Guinut, Frederic] Janvier Labs, Le Genest St Isle, France; [Humbert, Marc; Sitbon, Olivier; Savale, Laurent] Hop Bicetre, AP HP, Ctr Reference Hypertens Plum PulmoTens, Serv Pneumol &amp; Soins Intensifs Resp, Le Kremlin Bicetre, France; [Coilly, Audrey] Hop Paul Brousse, AP HP, Ctr Hepatobiliaire, Villejuif, France; [Coilly, Audrey; Gonzales, Emmanuel] Univ Paris Saclay, INSERM, UMR S 1193, INSERM, Villejuif, France; [Gonzales, Emmanuel] Hop Bicetre, AP HP, Natl Reference Ctr Biliary Atresia &amp; Genet Cholest, Pediat Hepatol &amp; Liver Transplantat Unit, Le Kremlin Bicetre, France; [Savale, Laurent] Univ Paris Saclay, Fac Med, Fac Med Paris Saclay, INSERM,UMR S 999, Batiment Rech 2e etage,63 Rue Gabriel Peri, F-94276 Le Kremlin Bicetre, France</t>
  </si>
  <si>
    <t>Universite Paris Saclay; Institut National de la Sante et de la Recherche Medicale (Inserm); University of Naples Federico II; Assistance Publique Hopitaux Paris (APHP); Hopital Universitaire Bicetre - APHP; Institut National de la Sante et de la Recherche Medicale (Inserm); Hopital Universitaire Antoine-Beclere - APHP; Universite Paris Saclay; Aix-Marseille Universite; Centre National de la Recherche Scientifique (CNRS); Institut National de la Sante et de la Recherche Medicale (Inserm); Assistance Publique Hopitaux Paris (APHP); Hopital Universitaire Antoine-Beclere - APHP; Universite Paris Saclay; Hopital Universitaire Bicetre - APHP; Assistance Publique Hopitaux Paris (APHP); Hopital Universitaire Paul-Brousse - APHP; Institut National de la Sante et de la Recherche Medicale (Inserm); Universite Paris Saclay; Universite Paris Saclay; Assistance Publique Hopitaux Paris (APHP); Hopital Universitaire Antoine-Beclere - APHP; Hopital Universitaire Bicetre - APHP; Institut National de la Sante et de la Recherche Medicale (Inserm); Universite Paris Saclay</t>
  </si>
  <si>
    <t>Savale, L (corresponding author), Univ Paris Saclay, Fac Med, Fac Med Paris Saclay, INSERM,UMR S 999, Batiment Rech 2e etage,63 Rue Gabriel Peri, F-94276 Le Kremlin Bicetre, France.</t>
  </si>
  <si>
    <t>laurent.savale@aphp.fr</t>
  </si>
  <si>
    <t>Humbert, Marc/AAC-8459-2019; TU, Ly/G-4035-2013; GUIGNABERT, Christophe/G-3873-2013</t>
  </si>
  <si>
    <t>TU, Ly/0000-0003-2336-5099; ROBERT, Fabien/0000-0003-3132-8706; GUIGNABERT, Christophe/0000-0002-8545-4452</t>
  </si>
  <si>
    <t>Fondation pour la Recherche Medicale (FRM) [EQU202203014670]; Chancellerie des Universites de Paris (Legs Poix); INSERM; Fondation du Souffle (FdS); Heart Failure Association of the ESC</t>
  </si>
  <si>
    <t>Fondation pour la Recherche Medicale (FRM)(Fondation pour la Recherche Medicale); Chancellerie des Universites de Paris (Legs Poix); INSERM(Institut National de la Sante et de la Recherche Medicale (Inserm)); Fondation du Souffle (FdS); Heart Failure Association of the ESC</t>
  </si>
  <si>
    <t>This work was supported by funding from the Fondation pour la Recherche Medicale (FRM) grants no. EQU202203014670 (Equipe FRM 2022), the Chancellerie des Universites de Paris (Legs Poix), and the INSERM (Contrat Interface). F.R. is a recipient of a PhD fellowship from the Fondation du Souffle (FdS). A.C. acknowledges funding received from the Heart Failure Association of the ESC in form of an HFA Basic and Translational Research Grant.</t>
  </si>
  <si>
    <t>ELSEVIER</t>
  </si>
  <si>
    <t>AMSTERDAM</t>
  </si>
  <si>
    <t>RADARWEG 29, 1043 NX AMSTERDAM, NETHERLANDS</t>
  </si>
  <si>
    <t>2589-5559</t>
  </si>
  <si>
    <t>JHEP REP</t>
  </si>
  <si>
    <t>JHEP Rep.</t>
  </si>
  <si>
    <t>MAR</t>
  </si>
  <si>
    <t>10.1016/j.jhepr.2024.101297</t>
  </si>
  <si>
    <t>Gastroenterology &amp; Hepatology</t>
  </si>
  <si>
    <t>Science Citation Index Expanded (SCI-EXPANDED)</t>
  </si>
  <si>
    <t>W9X3M</t>
  </si>
  <si>
    <t>Green Published</t>
  </si>
  <si>
    <t>2025-04-02</t>
  </si>
  <si>
    <t>WOS:001422003500001</t>
  </si>
  <si>
    <t>Gerges, C; Jevnikar, M; Brenot, P; Savale, L; Beurnier, A; Bouvaist, H; Sitbon, O; Fadel, E; Boucly, A; Chemla, D; Simonneau, G; Humbert, M; Montani, D; Jais, X; RACE Investigators</t>
  </si>
  <si>
    <t>Gerges, Christian; Jevnikar, Mitja; Brenot, Philippe; Savale, Laurent; Beurnier, Antoine; Bouvaist, Helene; Sitbon, Olivier; Fadel, Elie; Boucly, Athenais; Chemla, Denis; Simonneau, Gerald; Humbert, Marc; Montani, David; Jais, Xavier; RACE Investigators</t>
  </si>
  <si>
    <t>Effect of Balloon Pulmonary Angioplasty and Riociguat on Right Ventricular Afterload and Function in CTEPH: Insights From the RACE Trial</t>
  </si>
  <si>
    <t>CIRCULATION-CARDIOVASCULAR INTERVENTIONS</t>
  </si>
  <si>
    <t>angioplasty, balloon; hypertension, pulmonary; riociguat; ventricular function, right; vascular resistance</t>
  </si>
  <si>
    <t>PRESSURE; HYPERTENSION</t>
  </si>
  <si>
    <t>BACKGROUND:Riociguat and balloon pulmonary angioplasty (BPA) improve hemodynamics in inoperable chronic thromboembolic pulmonary hypertension. Importantly, comparative effects of riociguat and BPA on different components of right ventricular (RV) afterload and function remain not fully elucidated. METHODS:We conducted a post hoc analysis including patients from the RACE trial (Riociguat Versus Balloon Pulmonary Angioplasty in Non-Operable Chronic Thromboembolic Pulmonary Hypertension) with complete data for the primary end point assessment (49 riociguat and 51 BPA). Symptomatic patients with a residual pulmonary vascular resistance &gt;4 WU received add-on riociguat after BPA (n=18) or add-on BPA after riociguat (n=36) and were included in an ancillary 26-week follow-up study with hemodynamic reassessment at week 52. RESULTS:Cardiac output, stroke volume, and RV afterload improved significantly with riociguat and BPA, and the relative changes in RV afterload from baseline to week 26 were more pronounced in the BPA group (all P&lt;0.001). Change in RV afterload was primarily mediated by decreased mean pulmonary arterial pressure in the BPA group, while increased cardiac output was the main driver in the riociguat group. Key parameters of RV function (RV stroke work and right atrial pressure) improved only in the BPA group. The ancillary follow-up study confirmed that relative change in RV afterload from week 26 to week 52 was more pronounced with add-on BPA, and improved RV function was only observed in the add-on BPA group. CONCLUSIONS:Both riociguat and BPA are effective in improving RV afterload in inoperable chronic thromboembolic pulmonary hypertension. However, BPA provided a more substantial impact on RV afterload reduction, and RV function only improved with BPA. REGISTRATION:URL: https://www.clinicaltrials.gov; Unique identifier: NCT02634203.</t>
  </si>
  <si>
    <t>[Gerges, Christian] Med Univ Vienna, Dept Internal Med 2, Div Cardiol, Vienna, Austria; [Gerges, Christian; Jevnikar, Mitja; Savale, Laurent; Sitbon, Olivier; Boucly, Athenais; Simonneau, Gerald; Humbert, Marc; Montani, David; Jais, Xavier] Hop Bicetre, Assistance Publ Hop Paris, Serv Pneumol &amp; Soins Intens Respiratoires, Le Kremlin Bicetre, France; [Gerges, Christian; Jevnikar, Mitja; Brenot, Philippe; Savale, Laurent; Beurnier, Antoine; Sitbon, Olivier; Fadel, Elie; Boucly, Athenais; Simonneau, Gerald; Humbert, Marc; Montani, David; Jais, Xavier] Univ Paris Saclay, Fac Med, Le Kremlin Bicetre, France; [Jevnikar, Mitja; Brenot, Philippe; Savale, Laurent; Beurnier, Antoine; Sitbon, Olivier; Fadel, Elie; Boucly, Athenais; Chemla, Denis; Simonneau, Gerald; Humbert, Marc; Montani, David; Jais, Xavier] Hop Marie Lannelongue, INSERM, UMR 999, Pulm Hypertens Pathophysiol &amp; Novel Therapies, Le Plessis Robinson, France; [Beurnier, Antoine; Chemla, Denis] Hop Bicetre, Assistance Publ Hop Paris, Serv Physiol &amp; Explorat Fonct Respiratoires, Le Kremlin Bicetre, France; [Brenot, Philippe] Hop Marie Lannelongue, Serv Radiol, Le Plessis Robinson, France; [Bouvaist, Helene] CHU Grenoble Alpes, Serv Cardiol, Grenoble, France; [Fadel, Elie] Hop Marie Lannelongue, Serv Chirurg Thorac Vasc &amp; Transplantat Cardioplum, Le Plessis Robinson, France</t>
  </si>
  <si>
    <t>Medical University of Vienna; Universite Paris Saclay; Assistance Publique Hopitaux Paris (APHP); Hopital Universitaire Bicetre - APHP; Hopital Universitaire Antoine-Beclere - APHP; Universite Paris Cite; Hopital Universitaire Saint-Louis - APHP; Universite Paris Saclay; Universite Paris Saclay; Hopital Marie Lannelongue; Institut National de la Sante et de la Recherche Medicale (Inserm); Assistance Publique Hopitaux Paris (APHP); Universite Paris Cite; Hopital Universitaire Saint-Louis - APHP; Hopital Universitaire Antoine-Beclere - APHP; Universite Paris Saclay; Hopital Universitaire Bicetre - APHP; Hopital Marie Lannelongue; CHU Grenoble Alpes; Hopital Marie Lannelongue</t>
  </si>
  <si>
    <t>Jais, X (corresponding author), Ho^pital Bicetre, Serv Pneumol, 78 Rue General Leclerc, F-94270 Le Kremlin Bicetre, France.</t>
  </si>
  <si>
    <t>christian.gerges@meduniwien.ac.at; mitja.jevnikar@gmail.com; phbrenot@gmail.com; laurent.savale@gmail.com; antoine.beurnier@gmail.com; hbouvaist@chu-grenoble.fr; olivier.sitbon@aphp.fr; e.fadel@ghpsj.fr; athenais.boucly@gmail.com; denis.chemla56@gmail.com; gerald.simonneau@gmail.com; marc.humbert@aphp.fr; davidmontani@gmail.com; xavier.jais@aphp.fr</t>
  </si>
  <si>
    <t>Humbert, Marc/AAC-8459-2019; Sitbon, Olivier/I-3623-2019; Savale, Laurent/AAJ-9781-2020; Gerges, Christian/K-7362-2013</t>
  </si>
  <si>
    <t>SITBON, Olivier/0000-0002-1942-1951; Gerges, Christian/0000-0002-6777-0996; CHEMLA, Denis/0000-0001-7479-9896; Savale, Laurent/0000-0002-6862-8975</t>
  </si>
  <si>
    <t>Programme Hospitalier de Recherche Clinique of the French Ministry of Health [PHRC 2014-0123]; Bayer HealthCare; Investissement d'Avenir programme [ANR-18-RHUS-0006]; European Respiratory Society (ERS short-term research fellowship grant) [STRTF202210-00981]; OrphaCare</t>
  </si>
  <si>
    <t>Programme Hospitalier de Recherche Clinique of the French Ministry of Health; Bayer HealthCare(Bayer AGBayer Healthcare Pharmaceuticals); Investissement d'Avenir programme(Agence Nationale de la Recherche (ANR)Agence nationale pour le developpement de la recherche en sante (ANDRS)); European Respiratory Society (ERS short-term research fellowship grant); OrphaCare</t>
  </si>
  <si>
    <t>The RACE study (Riociguat Versus Balloon Pulmonary Angioplasty in Non-Operable Chronic Thromboembolic Pulmonary Hypertension) was funded by a grant from Programme Hospitalier de Recherche Clinique of the French Ministry of Health (PHRC 2014-0123), along with an unrestricted grant from Bayer HealthCare. Drs Humbert, Jais, and Jevnikar are supported by the Investissement d'Avenir programme managed by the French National Research Agency (grant contract ANR-18-RHUS-0006 [DESTINATION 2024]). In addition, this research was funded by the European Respiratory Society (ERS short-term research fellowship grant STRTF202210-00981) and an educational grant from OrphaCare.</t>
  </si>
  <si>
    <t>LIPPINCOTT WILLIAMS &amp; WILKINS</t>
  </si>
  <si>
    <t>PHILADELPHIA</t>
  </si>
  <si>
    <t>TWO COMMERCE SQ, 2001 MARKET ST, PHILADELPHIA, PA 19103 USA</t>
  </si>
  <si>
    <t>1941-7640</t>
  </si>
  <si>
    <t>1941-7632</t>
  </si>
  <si>
    <t>CIRC-CARDIOVASC INTE</t>
  </si>
  <si>
    <t>Circ.-Cardiovasc. Interv.</t>
  </si>
  <si>
    <t>FEB</t>
  </si>
  <si>
    <t>e014785</t>
  </si>
  <si>
    <t>10.1161/CIRCINTERVENTIONS.124.014785</t>
  </si>
  <si>
    <t>Cardiac &amp; Cardiovascular Systems</t>
  </si>
  <si>
    <t>Cardiovascular System &amp; Cardiology</t>
  </si>
  <si>
    <t>W9J9S</t>
  </si>
  <si>
    <t>WOS:001421655700006</t>
  </si>
  <si>
    <t>Jackson, DJ; Heaney, LG; Humbert, M; Kent, BD; Shavit, A; Hiljemark, L; Olinger, L; Cohen, D; Menzies-Gow, A; Korn, S; SHAMAL Investigators</t>
  </si>
  <si>
    <t>Jackson, David J.; Heaney, Liam G.; Humbert, Marc; Kent, Brian D.; Shavit, Anat; Hiljemark, Lina; Olinger, Lynda; Cohen, David; Menzies-Gow, Andrew; Korn, Stephanie; SHAMAL Investigators</t>
  </si>
  <si>
    <t>Plain language summary of the SHAMAL study in patients with severe eosinophilic asthma treated with benralizumab</t>
  </si>
  <si>
    <t>IMMUNOTHERAPY</t>
  </si>
  <si>
    <t>Editorial Material</t>
  </si>
  <si>
    <t>[Jackson, David J.] Kings Coll London, Guys Hosp, Sch Immunol &amp; Microbial Sci, London, England; [Heaney, Liam G.] Queens Univ Belfast, Wellcome Wolfson Inst Expt Med, Belfast, North Ireland; [Humbert, Marc] Univ Paris Saclay, Hop Bicetre, Serv Pneumol, Paris, France; [Kent, Brian D.] St James Hosp, Trinity Coll Dublin, Sch Med, Dublin, Ireland; [Shavit, Anat; Cohen, David; Menzies-Gow, Andrew] AstraZeneca, BioPharmaceut Med Resp &amp; Immunol, Cambridge, England; [Hiljemark, Lina] AstraZeneca, Evidence Delivery, Gothenburg, Sweden; [Olinger, Lynda] AstraZeneca, BioPharmaceut R&amp;D, Late Stage Dev Resp &amp; Immunol, Cambridge, England; [Olinger, Lynda] hCytel Inc, Waltham, MA USA; [Korn, Stephanie] Thoraxklin Heidelberg, Mainz, Germany; [Korn, Stephanie] IKF Pneumol, Mainz, Germany</t>
  </si>
  <si>
    <t>Guy's &amp; St Thomas' NHS Foundation Trust; University of London; King's College London; Queens University Belfast; Universite Paris Saclay; Assistance Publique Hopitaux Paris (APHP); Hopital Universitaire Bicetre - APHP; Trinity College Dublin; AstraZeneca; AstraZeneca; AstraZeneca</t>
  </si>
  <si>
    <t>Jackson, DJ (corresponding author), Kings Coll London, Guys Hosp, Sch Immunol &amp; Microbial Sci, London, England.</t>
  </si>
  <si>
    <t>Humbert, Marc/AAC-8459-2019</t>
  </si>
  <si>
    <t>AstraZeneca</t>
  </si>
  <si>
    <t>AstraZeneca(AstraZeneca)</t>
  </si>
  <si>
    <t>The SHAMAL study and this manuscript were funded by AstraZeneca. All authors, including those employed by the funder, participated in the study design, data collection, data interpretation, and writing of the report. AstraZeneca reviewed the manuscript, without influencing the opinions of the authors, to ensure medical and scientific accuracy and the protection of intellectual property.</t>
  </si>
  <si>
    <t>TAYLOR &amp; FRANCIS LTD</t>
  </si>
  <si>
    <t>ABINGDON</t>
  </si>
  <si>
    <t>2-4 PARK SQUARE, MILTON PARK, ABINGDON OR14 4RN, OXON, ENGLAND</t>
  </si>
  <si>
    <t>1750-743X</t>
  </si>
  <si>
    <t>1750-7448</t>
  </si>
  <si>
    <t>IMMUNOTHERAPY-UK</t>
  </si>
  <si>
    <t>Immunotherapy</t>
  </si>
  <si>
    <t>DEC 15</t>
  </si>
  <si>
    <t>20-22</t>
  </si>
  <si>
    <t>10.1080/1750743X.2024.2436829</t>
  </si>
  <si>
    <t>JAN 2025</t>
  </si>
  <si>
    <t>Immunology</t>
  </si>
  <si>
    <t>T4T8K</t>
  </si>
  <si>
    <t>hybrid</t>
  </si>
  <si>
    <t>WOS:001394732200001</t>
  </si>
  <si>
    <t>Beurnier, A; Palasset, TL; Savale, L; Jaïs, X; Bouchachi, A; Keddache, S; Sitbon, O; Bonay, M; Humbert, M; Montani, D</t>
  </si>
  <si>
    <t>Beurnier, Antoine; Palasset, Thomas Lacoste-; Savale, Laurent; Jais, Xavier; Bouchachi, Amir; Keddache, Sophia; Sitbon, Olivier; Bonay, Marcel; Humbert, Marc; Montani, David</t>
  </si>
  <si>
    <t>Concordance between hyperoxia testing and transthoracic contrast echocardiography in detecting shunts among patients with pulmonary vascular disease</t>
  </si>
  <si>
    <t>ACTA PHYSIOLOGICA</t>
  </si>
  <si>
    <t>[Palasset, Thomas Lacoste-; Savale, Laurent] Univ Paris Saclay, Fac Med, Gif Sur Yvette, France; [Bonay, Marcel] Univ Versailles St Quentin Yvelines, Fac Med, Guyancourt, France; [Beurnier, Antoine; Savale, Laurent; Sitbon, Olivier; Humbert, Marc; Montani, David] Marie Lannelongue Hosp, Pulm Hypertens Pathophysiol &amp; Novel Therapies, INSERM, UMR S 999, Le Plessis Robinson, France; [Bonay, Marcel] UMR INSERM U1179, End ICAP Lab, Montigny Le Bretonneux, France; [Beurnier, Antoine; Keddache, Sophia; Bonay, Marcel] Bis Bicetre Hosp, AP HP, Dept Physiol Funct Explorat, DMU Thorinno 5, Le Kremlin Bicetre, France; [Beurnier, Antoine; Keddache, Sophia; Bonay, Marcel] Ambroise Pare Hosp, Boulogne Billancourt, France; [Palasset, Thomas Lacoste-; Savale, Laurent; Jais, Xavier; Sitbon, Olivier; Humbert, Marc; Montani, David] Bicetre Hosp, AP HP, Pulm Hypertens Natl Referral Ctr, Dept Resp &amp; Intens Care Med,DMU 5 Thorinno, Le Kremlin Bicetre, France; [Bouchachi, Amir] Bicetre Hosp, AP HP, Dept Cardiol, DMU 4 Correve, Le Kremlin Bicetre, France</t>
  </si>
  <si>
    <t>Universite Paris Saclay; Universite Paris Saclay; Institut National de la Sante et de la Recherche Medicale (Inserm); Hopital Marie Lannelongue; Universite Paris Saclay; Institut National de la Sante et de la Recherche Medicale (Inserm); Assistance Publique Hopitaux Paris (APHP); Hopital Universitaire Bicetre - APHP; Assistance Publique Hopitaux Paris (APHP); Hopital Universitaire Ambroise-Pare - APHP; Assistance Publique Hopitaux Paris (APHP); Hopital Universitaire Bicetre - APHP; Assistance Publique Hopitaux Paris (APHP); Hopital Universitaire Bicetre - APHP</t>
  </si>
  <si>
    <t>WILEY</t>
  </si>
  <si>
    <t>HOBOKEN</t>
  </si>
  <si>
    <t>111 RIVER ST, HOBOKEN 07030-5774, NJ USA</t>
  </si>
  <si>
    <t>1748-1708</t>
  </si>
  <si>
    <t>1748-1716</t>
  </si>
  <si>
    <t>ACTA PHYSIOL</t>
  </si>
  <si>
    <t>Acta Physiol.</t>
  </si>
  <si>
    <t>JAN</t>
  </si>
  <si>
    <t>Physiology</t>
  </si>
  <si>
    <t>U9F2D</t>
  </si>
  <si>
    <t>WOS:001414754400020</t>
  </si>
  <si>
    <t>Beurnier, A; Kularatne, M; Pour, FH; Bonay, M; Humbert, M; Montani, D</t>
  </si>
  <si>
    <t>Beurnier, Antoine; Kularatne, Mithum; Pour, Farhin Hashem; Bonay, Marcel; Humbert, Marc; Montani, David</t>
  </si>
  <si>
    <t>Impact of using GLI reference value equations for dlco- interpretation among patients with pulmonary hypertension</t>
  </si>
  <si>
    <t>[Beurnier, Antoine; Pour, Farhin Hashem; Humbert, Marc; Montani, David] Univ Paris Saclay, Fac Med, Paris, France; [Bonay, Marcel] Univ Versailles St Quentin En Yvelines, Fac Med, Versailles, France; [Beurnier, Antoine; Humbert, Marc; Montani, David] Marie Lannelongue Hosp, Inserm, Pulm Hypertens Pathophysiol &amp; Novel Therapies, UMR S 999, Le Plessis Robinson, France; [Bonay, Marcel] Inserm, END ICAP, U1179, Montigny Le Bretonneux, France; [Beurnier, Antoine; Bonay, Marcel] Bisite Bicetre &amp; Ambroise Pare Hosp, AP HP, Dept Physiol Funct Explorat, Boulogne Billancourt, France; [Humbert, Marc; Montani, David] Bicetre Hosp, AP HP, Pulm Hypertens Natl Referral Ctr, DMU Thorinno 5,Dept Resp &amp; Intens Care Med, Le Kremlin Bicetre, France; [Kularatne, Mithum] Univ Calgary, Calgary, AB, Canada</t>
  </si>
  <si>
    <t>Universite Paris Saclay; Universite Paris Saclay; Hopital Marie Lannelongue; Universite Paris Saclay; Institut National de la Sante et de la Recherche Medicale (Inserm); Universite Paris Saclay; Institut National de la Sante et de la Recherche Medicale (Inserm); Assistance Publique Hopitaux Paris (APHP); Hopital Universitaire Ambroise-Pare - APHP; Assistance Publique Hopitaux Paris (APHP); Hopital Universitaire Bicetre - APHP; University of Calgary</t>
  </si>
  <si>
    <t>WOS:001414754400002</t>
  </si>
  <si>
    <t>Hoeper, MM; Rosenkranz, S; Badesch, DB; Humbert, M; Langleben, D; Mcconnell, JW; Hegab, S; Rahner, C; Richard, JF; Ghofrani, HA</t>
  </si>
  <si>
    <t>Hoeper, Marius M.; Rosenkranz, Stephan; Badesch, David B.; Humbert, Marc; Langleben, David; Mcconnell, John W.; Hegab, Sara; Rahner, Claudia; Richard, Jean-Francois; Ghofrani, Hossein-Ardeschir</t>
  </si>
  <si>
    <t>Riociguat in pulmonary arterial hypertension: Application of the 4-strata COMPERA 2.0 risk assessment tool in the PATENT studies</t>
  </si>
  <si>
    <t>RESPIRATORY MEDICINE</t>
  </si>
  <si>
    <t>PAH; Pulmonary hypertension; Intermediate-low risk; Intermediate-high risk</t>
  </si>
  <si>
    <t>Background: Risk stratification is an essential part of evaluating disease severity in patients with pulmonary arterial hypertension (PAH). This study applied the 4-strata COMPERA 2.0 risk model to the Phase 3 PATENT-1/ 2 studies of riociguat. Methods: This was a post hoc analysis of PATENT-1 and PATENT-2. Log-rank tests of Kaplan-Meier curves were performed to compare the risk strata at PATENT-1 baseline and Week 12 regarding time to clinical worsening and survival at 2 years in the PATENT-2 population. Results: Data on COMPERA 2.0 status at baseline were available for 214 patients with riociguat and 100 with placebo; overall, 120 patients were identified as intermediate-low risk and 96 as intermediate-high risk. At PATENT-1 Week 12, improvements in COMPERA 2.0 risk strata and median 6-min walk distance were seen with riociguat vs placebo in patients assessed as intermediate-low risk and intermediate-high risk at baseline by COMPERA 2.0. More patients improved their COMPERA 2.0 risk status with riociguat vs placebo in the intermediate-low (38 % vs 22 %) and intermediate-high risk groups (42 % vs 31 %). COMPERA 2.0 assessed at PATENT-1 baseline and Week 12 discriminated between risk strata for survival and clinical worsening in PATENT-2 at 2 years (p &lt;= .001 for all analyses). Conclusions: In conclusion, this analysis supports the risk-reduction benefits of riociguat in patients with PAH at intermediate-low risk and intermediate-high risk, and externally validated the utility of COMPERA 2.0 in the long-term risk assessment of patients from a clinical trial population.</t>
  </si>
  <si>
    <t>[Hoeper, Marius M.] Hannover Med Sch, German Ctr Lung Res DZL, D-30625 Hannover, Germany; [Rosenkranz, Stephan] Cologne Univ, Dept Cardiol Internal Med 3, Heart Ctr, Cologne, Germany; [Rosenkranz, Stephan] Univ Cologne, Heart Ctr, Cologne, Germany; [Badesch, David B.] Univ Colorado Anschutz Med Campus, Aurora, CO USA; [Humbert, Marc] Fac Med Paris Saclay, F-94275 Le Kremlin Bicetre, France; [Humbert, Marc] Hop Marie Lannelongue, INSERM, UMR 999, Pulm Hypertension Pathophysiol &amp; Novel Therapies, Le Plessis Robinson, France; [Humbert, Marc] Hop Bicetre, AP HP, Pulm Hypertens Natl Referral Ctr, Dept Resp &amp; Intens Care Med, DMU 5 Thorinno, Le Kremlin Bicetre, France; [Langleben, David] McGill Univ, Jewish Gen Hosp, Ctr Pulm Vasc Dis, Div Cardiol, Montreal, PQ, Canada; Norton Hlth Care, Louisville, KY USA; [Hegab, Sara] Bayer Healthcare US LLC, US Med Affairs, Whippany, NJ 07981 USA; [Rahner, Claudia] Chrestos Concept GmbH &amp; Co KG, Essen, Germany; [Richard, Jean-Francois] Merck &amp; Co Inc, Rahway, NJ USA; [Ghofrani, Hossein-Ardeschir] Univ Giessen, Giessen, Germany; [Ghofrani, Hossein-Ardeschir] Marburg Lung Ctr, DZL, Giessen, Germany; [Ghofrani, Hossein-Ardeschir] Kerckhoff Klin, Dept Pneumol, D-61231 Bad Nauheim, Germany; [Ghofrani, Hossein-Ardeschir] Imperial Coll London, Dept Med, London, England</t>
  </si>
  <si>
    <t>Hannover Medical School; University of Cologne; University of Cologne; University of Colorado System; University of Colorado Anschutz Medical Campus; Universite Paris Saclay; Hopital Marie Lannelongue; Institut National de la Sante et de la Recherche Medicale (Inserm); Assistance Publique Hopitaux Paris (APHP); Hopital Universitaire Antoine-Beclere - APHP; Hopital Universitaire Bicetre - APHP; Universite Paris Saclay; McGill University; Merck &amp; Company; Merck &amp; Company USA; Justus Liebig University Giessen; Kerckhoff Clinic; Imperial College London</t>
  </si>
  <si>
    <t>Hoeper, MM (corresponding author), Hannover Med Sch, Clin Resp Med &amp; Infect Dis, DZL, D-30625 Hannover, Germany.</t>
  </si>
  <si>
    <t>hoeper.marius@mh-hannover.de; stephan.rosenkranz@uk-koeln.de; david.badesch@cuanschutz.edu; mjc.humbert@gmail.com; david.langleben@mcgill.ca; mcco3526@bellsouth.net; sara.hegab@bayer.com; claudia.rahner@chrestos.de; jeanfrancois.richard@merck.com; ardeschir.ghofrani@innere.med.uni-giessen.de</t>
  </si>
  <si>
    <t>Hoeper, Marius/Z-1546-2019; Ghofrani, Hossein/LPQ-1427-2024; Humbert, Marc/AAC-8459-2019</t>
  </si>
  <si>
    <t>richard, jean-francois/0000-0003-4750-4380; Ghofrani, Ardeschir/0000-0002-2029-4419; Hoeper, Marius/0000-0001-9086-2293</t>
  </si>
  <si>
    <t>Bayer AG, Berlin, Germany; Merck Sharp Dohme LLC; Merck &amp; Co., Inc., Rahway, New Jersey, USA</t>
  </si>
  <si>
    <t>This analysis was funded by Bayer AG, Berlin, Germany and Merck Sharp &amp; Dohme LLC, a subsidiary of Merck &amp; Co., Inc., Rahway, New Jersey, USA.</t>
  </si>
  <si>
    <t>W B SAUNDERS CO LTD</t>
  </si>
  <si>
    <t>LONDON</t>
  </si>
  <si>
    <t>32 JAMESTOWN RD, LONDON NW1 7BY, ENGLAND</t>
  </si>
  <si>
    <t>0954-6111</t>
  </si>
  <si>
    <t>1532-3064</t>
  </si>
  <si>
    <t>RESP MED</t>
  </si>
  <si>
    <t>Respir. Med.</t>
  </si>
  <si>
    <t>10.1016/j.rmed.2024.107910</t>
  </si>
  <si>
    <t>DEC 2024</t>
  </si>
  <si>
    <t>Cardiac &amp; Cardiovascular Systems; Respiratory System</t>
  </si>
  <si>
    <t>Cardiovascular System &amp; Cardiology; Respiratory System</t>
  </si>
  <si>
    <t>R6O2F</t>
  </si>
  <si>
    <t>WOS:001392610300001</t>
  </si>
  <si>
    <t>Guignabert, C; Humbert, M</t>
  </si>
  <si>
    <t>Guignabert, Christophe; Humbert, Marc</t>
  </si>
  <si>
    <t>Targeting transforming growth factor-β receptors in pulmonary hypertension (vol 57, 2002341, 2021)</t>
  </si>
  <si>
    <t>EUROPEAN RESPIRATORY JOURNAL</t>
  </si>
  <si>
    <t>Correction</t>
  </si>
  <si>
    <t>GUIGNABERT, Christophe/G-3873-2013; Humbert, Marc/AAC-8459-2019</t>
  </si>
  <si>
    <t>EUROPEAN RESPIRATORY SOC JOURNALS LTD</t>
  </si>
  <si>
    <t>SHEFFIELD</t>
  </si>
  <si>
    <t>442 GLOSSOP RD, SHEFFIELD S10 2PX, ENGLAND</t>
  </si>
  <si>
    <t>0903-1936</t>
  </si>
  <si>
    <t>1399-3003</t>
  </si>
  <si>
    <t>EUR RESPIR J</t>
  </si>
  <si>
    <t>Eur. Resp. J.</t>
  </si>
  <si>
    <t>DEC</t>
  </si>
  <si>
    <t>10.1183/13993003.52341-2020</t>
  </si>
  <si>
    <t>Respiratory System</t>
  </si>
  <si>
    <t>R5U7A</t>
  </si>
  <si>
    <t>WOS:001392102300014</t>
  </si>
  <si>
    <t>Kovacs, G; Humbert, M; Avian, A; Lewis, GD; Ulrich, S; Noordegraaf, AV; Souza, R; Galiè, N; Malhotra, R; Saxer, S; Grünig, E; Egenlauf, B; Ewert, R; Heine, A; Tedford, RJ; Houston, BA; Kasperowicz, K; Kurzyna, M; Rosenkranz, S; Herkenrath, S; Barbera, JA; Blanco, I; Oliveira, RKF; Andersen, M; Savale, L; Systrom, D; Maron, BA; Tello, K; Condliffe, R; Mak, S; Baratto, C; Hsu, S; D'Alto, M; Mccabe, C; Herve, P; Olschewski, H; ERS Clinical Res Collaboration</t>
  </si>
  <si>
    <t>Kovacs, Gabor; Humbert, Marc; Avian, Alexander; Lewis, Gregory D.; Ulrich, Silvia; Noordegraaf, Anton Vonk; Souza, Rogerio; Galie, Nazzareno; Malhotra, Rajeev; Saxer, Stephanie; Gruenig, Ekkehard; Egenlauf, Benjamin; Ewert, Ralf; Heine, Alexander; Tedford, Ryan J.; Houston, Brian A.; Kasperowicz, Krzysztof; Kurzyna, Marcin; Rosenkranz, Stephan; Herkenrath, Simon; Barbera, Joan Albert; Blanco, Isabel; Oliveira, Rudolf K. F.; Andersen, Mads; Savale, Laurent; Systrom, David; Maron, Bradley A.; Tello, Khodr; Condliffe, Robin; Mak, Susanna; Baratto, Claudia; Hsu, Steven; D'Alto, Michele; Mccabe, Colm; Herve, Philippe; Olschewski, Horst; ERS Clinical Research Collaboration</t>
  </si>
  <si>
    <t>PEX NET Pulm Haemodynamics During Exercise Network</t>
  </si>
  <si>
    <t>Prognostic relevance of exercise pulmonary hypertension: results of the multicentre PEX-NET Clinical Research Collaboration</t>
  </si>
  <si>
    <t>GUIDELINES; DIAGNOSIS</t>
  </si>
  <si>
    <t>Background Exercise pulmonary hypertension (PH) was defined by a mean pulmonary arterial pressure (mPAP)/cardiac output (CO) slope &gt;3 mmHg min L-1 between rest and exercise in the 2022 European Society of Cardiology/European Respiratory Society PH guidelines. However, large, multicentre studies on the prognostic relevance of exercise haemodynamics and its added value to resting haemodynamics are missing. Patients and methods The PEX-NET (Pulmonary Haemodynamics during Exercise Network) registry enrolled patients who underwent clinically indicated right heart catheterisations both at rest and ergometer exercise from 23 PH centres worldwide. In this retrospective analysis we included subjects with resting mPAP &lt;25 mmHg and complete haemodynamic data at rest and exercise in the same body position. Mixed effects Cox proportional hazard models with random effect centre were applied to identify independent markers of prognosis among the haemodynamic parameters. Results We included 764 patients (64% females; median (interquartile range) age 59 (46-69) years and mPAP 17 (14-20) mmHg). Median (range) observation time was 6.8 (0.1-15.9) years and 87 patients (11%) died during follow-up. After adjustment for age, sex, haemoglobin level and resting haemodynamics, CO (hazard ratio (HR) 0.85, 95% CI 0.77-0.93; p=0.001) and transpulmonary gradient (HR 1.04, 95% CI 1.00- 1.08; p=0.044) at peak exercise and the mPAP/CO slope (HR 1.12, 95% CI 1.06-1.18; p&lt;0.001) were the only independent predictors of prognosis. Patients with a mPAP/CO slope &gt;3 mmHg min L-1 had significantly worse survival compared to those with a mPAP/CO slope &lt;= 3 mmHg min L-1 (HR 2.04, 95% CI 1.16-3.58; p=0.013). Conclusion The mPAP/CO slope is a robust and independent predictor of prognosis in patients with normal or mildly elevated resting PAP that provides prognostic information beyond resting haemodynamics and appears suitable to define exercise PH.</t>
  </si>
  <si>
    <t>[Kovacs, Gabor; Olschewski, Horst] Med Univ Graz, Dept Internal Med, Div Pulmonol, Graz, Austria; [Kovacs, Gabor; Olschewski, Horst] Ludwig Boltzmann Inst Lung Vasc Res Graz, Graz, Austria; [Humbert, Marc; Savale, Laurent; Herve, Philippe] Univ Paris Saclay, Hop Bicetre, Serv Pneumol &amp; Soins Intens Respiratoires, Inserm,UMR S 999,HPPIT,ERN LUNG, Le Kremlin Bicetre, France; [Avian, Alexander] Med Univ Graz, Inst Med Informat Stat &amp; Documentat, Graz, Austria; [Lewis, Gregory D.] Harvard Med Sch, Massachusetts Gen Hosp, Boston, MA USA; [Ulrich, Silvia] Univ Zurich, Zurich, Switzerland; [Noordegraaf, Anton Vonk] Univ Amsterdam, Med Ctr, Amsterdam, Netherlands; [Souza, Rogerio] Univ Sao Paulo, Med Sch, Sao Paulo, Brazil; [Galie, Nazzareno] Univ Bologna, Bologna, Italy; [Gruenig, Ekkehard; Egenlauf, Benjamin] Heidelberg Univ, Heidelberg, Germany; [Ewert, Ralf; Heine, Alexander] Ernst Moritz Arndt Univ Greifswald, Greifswald, Germany; [Tedford, Ryan J.; Houston, Brian A.] Med Univ South Carolina, Charleston, SC USA; [Kasperowicz, Krzysztof; Kurzyna, Marcin] European Hlth Ctr Otwock, Ctr Postgrad Med Educ, Dept Pulm Circulat Thromboembol Dis &amp; Cardiol, Otwock, Poland; [Rosenkranz, Stephan; Herkenrath, Simon] Univ Cologne, Cologne, Germany; [Barbera, Joan Albert; Blanco, Isabel] Univ Barcelona, Hosp Clin IDIBAPS, Biomed Res Networking Ctr Resp Dis CIBERES, Dept Pulm Med, Barcelona, Spain; [Oliveira, Rudolf K. F.] Univ Fed Sao Paulo, UNIFESP, Sao Paulo, Brazil; [Andersen, Mads] Aarhus Univ, Aarhus, Denmark; [Systrom, David] Harvard Med Sch, Brigham &amp; Womens Hosp, Boston, MA USA; [Maron, Bradley A.] Univ Maryland, Sch Med, Div Cardiovasc Med, Baltimore, MD USA; [Maron, Bradley A.] Univ Maryland, Inst Hlth Comp, Bethesda, MD USA; [Tello, Khodr] Justus Liebig Univ, Giessen, Germany; [Condliffe, Robin] Univ Sheffield, Sheffield, England; [Mak, Susanna] Univ Toronto, Dept Med, Div Cardiol, Toronto, ON, Canada; [Baratto, Claudia] IRCCS, Osped San Luca, Ist Auxol Italiano, Dept Cardiol, Milan, Italy; [Hsu, Steven] Johns Hopkins Univ, Sch Med, Baltimore, MD USA; [D'Alto, Michele] Univ Naples 2, Monaldi Hosp, Naples, Italy; [Mccabe, Colm] Royal Brompton Hosp, London, England; [Mccabe, Colm] Imperial Coll London, London, England</t>
  </si>
  <si>
    <t>Medical University of Graz; Assistance Publique Hopitaux Paris (APHP); Hopital Universitaire Antoine-Beclere - APHP; Institut National de la Sante et de la Recherche Medicale (Inserm); Universite Paris Saclay; Hopital Universitaire Bicetre - APHP; Medical University of Graz; Harvard University; Harvard Medical School; Harvard University Medical Affiliates; Massachusetts General Hospital; University of Zurich; University of Amsterdam; Universidade de Sao Paulo; University of Bologna; Ruprecht Karls University Heidelberg; Universitat Greifswald; Medical University of South Carolina; University of Cologne; University of Barcelona; Hospital Clinic de Barcelona; IDIBAPS; CIBER - Centro de Investigacion Biomedica en Red; CIBERES; Universidade Federal de Sao Paulo (UNIFESP); Aarhus University; Harvard University; Harvard Medical School; Harvard University Medical Affiliates; Brigham &amp; Women's Hospital; University System of Maryland; University of Maryland Baltimore; Justus Liebig University Giessen; University of Sheffield; University of Toronto; IRCCS Istituto Auxologico Italiano; Johns Hopkins University; Universita della Campania Vanvitelli; Royal Brompton Hospital; Imperial College London</t>
  </si>
  <si>
    <t>Kovacs, G (corresponding author), Med Univ Graz, Dept Internal Med, Div Pulmonol, Graz, Austria.;Kovacs, G (corresponding author), Ludwig Boltzmann Inst Lung Vasc Res Graz, Graz, Austria.</t>
  </si>
  <si>
    <t>gabor.kovacs@uniklinikum.kages.at</t>
  </si>
  <si>
    <t>Savale, Laurent/AAJ-9781-2020; Egenlauf, Benjamin/JCE-4338-2023; Mak, Susanna/JAN-4314-2023; Oliveira, Rudolf/A-8409-2013; Humbert, Marc/AAC-8459-2019; Souza, Rogerio/I-3584-2013; BARATTO, CLAUDIA/AAC-5875-2022</t>
  </si>
  <si>
    <t>Ulrich, Silvia/0000-0002-5250-5022; Kovacs, Gabor/0000-0003-3709-2183; Humbert, Marc/0000-0003-0703-2892; Lewis, Gregory/0000-0001-8108-8240; Souza, Rogerio/0000-0003-2789-9143; Vonk Noordegraaf, Anton/0000-0002-4057-758X; Saxer, Stephanie/0000-0002-3278-6277; BARATTO, CLAUDIA/0000-0003-3472-4851</t>
  </si>
  <si>
    <t>European Respiratory Society</t>
  </si>
  <si>
    <t>Support statement: The PEX-NET Clinical Research Collaboration has been supported by the European Respiratory Society. Funding information for this article has been deposited with the Crossref Funder Registry.</t>
  </si>
  <si>
    <t>10.1183/13993003.00698-2024</t>
  </si>
  <si>
    <t>Green Published, hybrid</t>
  </si>
  <si>
    <t>WOS:001392102300010</t>
  </si>
  <si>
    <t>Mclaughlin, VV; Humbert, M</t>
  </si>
  <si>
    <t>Mclaughlin, Vallerie V.; Humbert, Marc</t>
  </si>
  <si>
    <t>Pulmonary Hypertension: From Therapeutic Nihilism to Multiple Therapeutic Interventions</t>
  </si>
  <si>
    <t>CIRCULATION</t>
  </si>
  <si>
    <t>history; hypertension, pulmonary; therapeutics</t>
  </si>
  <si>
    <t>[Mclaughlin, Vallerie V.] Univ Michigan, Dept Internal Med, Div Cardiovasc Med, Ann Arbor, MI USA; [Humbert, Marc] Univ Paris Saclay, Hop Bicetre, Assistance Publ Hop Paris, Fac Med,INSERM,UMRS 999,HP PIT,ERN LUNG,Serv Pneum, Le Kremlin Bicetre, France</t>
  </si>
  <si>
    <t>University of Michigan System; University of Michigan; Assistance Publique Hopitaux Paris (APHP); Hopital Universitaire Bicetre - APHP; Universite Paris Cite; Hopital Universitaire Saint-Louis - APHP; Universite Paris Saclay; Hopital Universitaire Antoine-Beclere - APHP; Institut National de la Sante et de la Recherche Medicale (Inserm)</t>
  </si>
  <si>
    <t>Mclaughlin, VV (corresponding author), 1500 E Med Ctr Dr, SPC 5853 CVC 2392, Ann Arbor, MI 48109 USA.</t>
  </si>
  <si>
    <t>vmclaugh@med.umich.edu; marc.humbert@aphp.fr</t>
  </si>
  <si>
    <t>Humbert, Marc/0000-0003-0703-2892</t>
  </si>
  <si>
    <t>0009-7322</t>
  </si>
  <si>
    <t>1524-4539</t>
  </si>
  <si>
    <t>Circulation</t>
  </si>
  <si>
    <t>NOV 19</t>
  </si>
  <si>
    <t>10.1161/CIRCULATIONAHA.124.070104</t>
  </si>
  <si>
    <t>Cardiac &amp; Cardiovascular Systems; Peripheral Vascular Disease</t>
  </si>
  <si>
    <t>R7A9M</t>
  </si>
  <si>
    <t>WOS:001392944200008</t>
  </si>
  <si>
    <t>Feriel, B; Alessandra, C; Deborah, GJ; Corinne, N; Raphaël, T; Mina, O; Ali, A; Jean-Baptiste, M; Guillaume, F; Julien, G; Maria-Rosa, G; Elie, F; Laurent, S; Olaf, M; Ly, T; Marc, H; Christophe, G</t>
  </si>
  <si>
    <t>Feriel, Benchenouf; Alessandra, Cuomo; Deborah, Gorth J.; Corinne, Normand; Raphael, Thuillet; Mina, Ottaviani; Ali, Akamkam; Jean-Baptiste, Menager; Guillaume, Fadel; Julien, Grynblat; Maria-Rosa, Ghigna; Elie, Fadel; Laurent, Savale; Olaf, Mercier; Ly, Tu; Marc, Humbert; Christophe, Guignabert</t>
  </si>
  <si>
    <t>Exploring the Endothelin-1 pathway in chronic thromboembolic pulmonary hypertension microvasculopathy</t>
  </si>
  <si>
    <t>SCIENTIFIC REPORTS</t>
  </si>
  <si>
    <t>Chronic thromboembolic pulmonary hypertension; Microvasculopathy; Endothelin-1; Endothelin receptor antagonist; Pulmonary vasculature; Therapeutic target</t>
  </si>
  <si>
    <t>PLASMA ENDOTHELIN-1; DOUBLE-BLIND; MULTICENTER; MACITENTAN; EXPRESSION; PHASE-2</t>
  </si>
  <si>
    <t>Targeted vasopeptide therapies have significantly advanced the management of pulmonary arterial hypertension (PAH). However, due to insufficient preclinical evidence regarding the involvement of the endothelin-1 (ET-1) pathway in chronic thromboembolic pulmonary hypertension (CTEPH) pathophysiology, the potential of ET-1 receptor antagonism in treating CTEPH remains uncertain. In this study, we investigated the role of the ET-1 pathway in CTEPH microvasculopathy using a multifaceted approach. Plasma ET-1 levels were measured in a cohort of 59 CTEPH patients and 41 healthy controls. Additionally, we evaluated the expression of key ET-1 pathway members in pulmonary explants from CTEPH, idiopathic PAH, and control patients. We used an in vitro system to test the hypothesis that the turbulent flow, observed near the vascular obstructions pathognomonic of CTEPH, enhances ET-1 expression. Our findings were further validated in vivo using a CTEPH piglet model that contains distinct regions representing pre- and post-thrombus lung territories. We found a twofold increase in circulating ET-1 levels in CTEPH patients compared to healthy subjects. Pulmonary explants from CTEPH patients exhibited pronounced overexpression of ET-1, endothelin receptor A (ETA), and phosphorylated myosin light chain (p-MLC) in muscularized pulmonary microvessels, suggesting heightened vascular contraction. In vitro experiments showed that turbulent flow facilitates ET-1 secretion compared to laminar flow regions. Additionally, in the CTEPH piglet model, elevated plasma ET-1 levels were observed compared to controls. Immunofluorescence and confocal microscopy analyses confirmed increased ETA and p-MLC in remodeled arteries from both pulmonary territories. However, ET-1 protein elevation was exclusively observed in the obstructed territory. These findings collectively indicate impaired vascular tone in microvessels of CTEPH patients and the CTEPH piglet model. Furthermore, our data implicates the ET-1 pathway in microvasculopathy, with turbulent flow playing a pathological role. These insights underscore the potential utility of ET-1 receptor antagonists as a promising therapeutic approach for CTEPH treatment.</t>
  </si>
  <si>
    <t>[Feriel, Benchenouf; Alessandra, Cuomo; Deborah, Gorth J.; Corinne, Normand; Raphael, Thuillet; Mina, Ottaviani; Julien, Grynblat; Maria-Rosa, Ghigna; Elie, Fadel; Laurent, Savale; Olaf, Mercier; Ly, Tu; Marc, Humbert; Christophe, Guignabert] Hop Marie Lannelongue &amp; Hop Bicetre, Pulm Hypertens Pathophysiol &amp; Novel Therapies HPPI, INSERM, UMR S 999, Le Kremlin Bicetre, France; [Feriel, Benchenouf; Alessandra, Cuomo; Deborah, Gorth J.; Corinne, Normand; Raphael, Thuillet; Mina, Ottaviani; Ali, Akamkam; Jean-Baptiste, Menager; Guillaume, Fadel; Julien, Grynblat; Maria-Rosa, Ghigna; Elie, Fadel; Laurent, Savale; Olaf, Mercier; Ly, Tu; Marc, Humbert; Christophe, Guignabert] Univ Paris Saclay, Sch Med, HPPIT, Le Kremlin Bicetre, France; [Ali, Akamkam; Jean-Baptiste, Menager; Guillaume, Fadel; Elie, Fadel] Marie Lannelongue Hosp, Grp Hospitalier Paris St Joseph, Dept Thorac Surg &amp; Heart Lung Transplantat, Le Plessis Robinson, France; [Laurent, Savale; Olaf, Mercier; Marc, Humbert] Bicetre Hosp, Assistance Publ Hop Paris AP HP, Pulm Hypertens Natl Referral Ctr, Dept Resp &amp; Intens Care Med, Le Kremlin Bicetre, France</t>
  </si>
  <si>
    <t>Institut National de la Sante et de la Recherche Medicale (Inserm); Universite Paris Saclay; Universite Paris Saclay; Hopital Marie Lannelongue; Assistance Publique Hopitaux Paris (APHP); Hopital Universitaire Bicetre - APHP</t>
  </si>
  <si>
    <t>Christophe, G (corresponding author), Hop Marie Lannelongue &amp; Hop Bicetre, Pulm Hypertens Pathophysiol &amp; Novel Therapies HPPI, INSERM, UMR S 999, Le Kremlin Bicetre, France.;Christophe, G (corresponding author), Univ Paris Saclay, Sch Med, HPPIT, Le Kremlin Bicetre, France.</t>
  </si>
  <si>
    <t>christophe.guignabert@inserm.fr</t>
  </si>
  <si>
    <t>Humbert, Marc/AAC-8459-2019; Cuomo, Alessandra/AFC-1205-2022; GUIGNABERT, Christophe/G-3873-2013; TU, Ly/G-4035-2013</t>
  </si>
  <si>
    <t>Cuomo, Alessandra/0000-0002-5781-2865; GUIGNABERT, Christophe/0000-0002-8545-4452; TU, Ly/0000-0003-2336-5099</t>
  </si>
  <si>
    <t>National Research Agency according to the Investments for the Future program integrated into France [ANR-18-RHUS-0006]; Fondation pour la Recherche Medicale (FRM) [EQU202203014670]</t>
  </si>
  <si>
    <t>National Research Agency according to the Investments for the Future program integrated into France; Fondation pour la Recherche Medicale (FRM)(Fondation pour la Recherche Medicale)</t>
  </si>
  <si>
    <t>This work has benefited from a state funding managed by the National Research Agency according to the Investments for the Future program integrated into France 2030, under the reference ANR-18-RHUS-0006. This research was also supported by grants from the Fondation pour la Recherche Medicale (FRM) grants no. EQU202203014670 (Equipe FRM 2022).</t>
  </si>
  <si>
    <t>NATURE PORTFOLIO</t>
  </si>
  <si>
    <t>BERLIN</t>
  </si>
  <si>
    <t>HEIDELBERGER PLATZ 3, BERLIN, 14197, GERMANY</t>
  </si>
  <si>
    <t>2045-2322</t>
  </si>
  <si>
    <t>SCI REP-UK</t>
  </si>
  <si>
    <t>Sci Rep</t>
  </si>
  <si>
    <t>NOV 16</t>
  </si>
  <si>
    <t>10.1038/s41598-024-79623-5</t>
  </si>
  <si>
    <t>Multidisciplinary Sciences</t>
  </si>
  <si>
    <t>Science &amp; Technology - Other Topics</t>
  </si>
  <si>
    <t>M3B0V</t>
  </si>
  <si>
    <t>gold</t>
  </si>
  <si>
    <t>WOS:001356316700011</t>
  </si>
  <si>
    <t>Escal, J; Poenou, G; Delavenne, X; Bezzeghoud, S; Mismetti, V; Humbert, M; Montani, D; Bertoletti, L</t>
  </si>
  <si>
    <t>Escal, Jean; Poenou, Geraldine; Delavenne, Xavier; Bezzeghoud, Souad; Mismetti, Valentine; Humbert, Marc; Montani, David; Bertoletti, Laurent</t>
  </si>
  <si>
    <t>Tailoring oral anticoagulant treatment in the era of multi-drug therapies for PAH and CTEPH</t>
  </si>
  <si>
    <t>BLOOD REVIEWS</t>
  </si>
  <si>
    <t>Review</t>
  </si>
  <si>
    <t>Pulmonary arterial hypertension; Chronic thromboembolic pulmonary; hypertension; Oral anticoagulants; Drug-drug interactions; Bleeding</t>
  </si>
  <si>
    <t>PULMONARY ARTERIAL-HYPERTENSION; CALCIUM-CHANNEL BLOCKERS; VITAMIN-K ANTAGONISTS; ENDOTHELIN-RECEPTOR ANTAGONIST; ATRIAL-FIBRILLATION; VENOUS THROMBOEMBOLISM; INHALED-TREPROSTINIL; DRUG-INTERACTIONS; WARFARIN; PHARMACOKINETICS</t>
  </si>
  <si>
    <t>The use of oral anticoagulants in the management of pulmonary arterial hypertension (PAH) and chronic thromboembolic pulmonary hypertension (CTEPH) presents distinct therapeutic challenges and benefits. In PAH, the benefits of oral anticoagulation are uncertain, with studies yielding mixed results on their efficacy and safety. Conversely, oral anticoagulants are a cornerstone in the treatment of CTEPH, where their use is consistently recommended to prevent recurrent thromboembolic events. The choice between vitamin K antagonists (VKAs) and direct oral anticoagulants (DOACs) remains a significant clinical question, as each type presents advantages and potential drawbacks. Furthermore, drug-drug interactions (DDIs) with concomitant PAH and CTEPH treatments complicate anticoagulant management, necessitating careful consideration of individual patient regimens. This review examines the current evidence on oral anticoagulant use in PAH and CTEPH and discusses the implications of DDIs within a context of multi-drug treatments, including targeted drugs in PAH.</t>
  </si>
  <si>
    <t>[Escal, Jean; Poenou, Geraldine; Delavenne, Xavier; Mismetti, Valentine; Bertoletti, Laurent] Univ Jean Monnet, INSERM, UMR1059, F-42023 Saint Etienne, France; [Escal, Jean; Delavenne, Xavier] CHU St Etienne, Lab Pharmacol &amp; Toxicol, F-42055 Saint Etienne, France; [Poenou, Geraldine] CHU St Etienne, Serv Med Vasc &amp; Therapeut, F-42055 Saint Etienne, France; [Bezzeghoud, Souad] CHU St Etienne, Serv Med Vasc &amp; Therapeut, INSERM, CIC 1408, F-42055 St Etienne, France; [Mismetti, Valentine] CHU St Etienne, Serv Pneumol, F-42055 Saint Etienne, France; [Humbert, Marc; Montani, David] Univ Paris Saclay, Inserm, UMR S 999, Paris, France; [Humbert, Marc] Hop Bicetre APHP, Serv Pneumol &amp; Soins Intens Respiratoires, Le Kremlin Bicetre, France; [Montani, David] Hop Bicetre APHP, Ctr Reference LHypertens Plum OrphaLung, Serv Pneumol &amp; Soins Intens Respiratoires, Le Kremlin Bicetre, France; [Bertoletti, Laurent] CHU St Etienne, Serv Med Vasc &amp; Therapeut, INSERM CIC 1408, INNOVTE, F-42055 St Etienne, France</t>
  </si>
  <si>
    <t>Institut National de la Sante et de la Recherche Medicale (Inserm); CHU de St Etienne; CHU de St Etienne; CHU de St Etienne; Institut National de la Sante et de la Recherche Medicale (Inserm); CHU de St Etienne; Universite Paris Saclay; Institut National de la Sante et de la Recherche Medicale (Inserm); Assistance Publique Hopitaux Paris (APHP); Hopital Universitaire Bicetre - APHP; Assistance Publique Hopitaux Paris (APHP); Hopital Universitaire Bicetre - APHP; CHU de St Etienne; Institut National de la Sante et de la Recherche Medicale (Inserm)</t>
  </si>
  <si>
    <t>Bertoletti, L (corresponding author), Univ Jean Monnet, INSERM, UMR1059, F-42023 Saint Etienne, France.;Bertoletti, L (corresponding author), CHU St Etienne, Serv Med Vasc &amp; Therapeut, INSERM CIC 1408, INNOVTE, F-42055 St Etienne, France.</t>
  </si>
  <si>
    <t>jean.escal@chu-st-etienne.fr; geraldine.poenou@chu-st-etienne.fr; xavier.delavenne@chu-st-etienne.fr; souad.bezzeghoud@chu-st-etienne.fr; valentine.mismetti@chu-st-etienne.fr; mjc.humbert@gmail.com; davidmontani@gmail.com; laurent.bertoletti@chu-st-etienne.fr</t>
  </si>
  <si>
    <t>Humbert, Marc/AAC-8459-2019; BEZZEGHOUD, Souad/AAE-2354-2019</t>
  </si>
  <si>
    <t>CHURCHILL LIVINGSTONE</t>
  </si>
  <si>
    <t>EDINBURGH</t>
  </si>
  <si>
    <t>JOURNAL PRODUCTION DEPT, ROBERT STEVENSON HOUSE, 1-3 BAXTERS PLACE, LEITH WALK, EDINBURGH EH1 3AF, MIDLOTHIAN, SCOTLAND</t>
  </si>
  <si>
    <t>0268-960X</t>
  </si>
  <si>
    <t>1532-1681</t>
  </si>
  <si>
    <t>BLOOD REV</t>
  </si>
  <si>
    <t>Blood Rev.</t>
  </si>
  <si>
    <t>NOV</t>
  </si>
  <si>
    <t>10.1016/j.blre.2024.101240</t>
  </si>
  <si>
    <t>NOV 2024</t>
  </si>
  <si>
    <t>Hematology</t>
  </si>
  <si>
    <t>M6C5P</t>
  </si>
  <si>
    <t>WOS:001358396300001</t>
  </si>
  <si>
    <t>Gerges, C; Beurnier, A; Jaïs, X; Hervé, P; Lau, EMT; Girerd, B; Günther, S; Bouchachi, A; Jevnikar, M; Boucly, A; Bogaard, HJ; Simonneau, G; Sitbon, O; Savale, L; Chemla, D; Humbert, M; Montani, D</t>
  </si>
  <si>
    <t>Gerges, Christian; Beurnier, Antoine; Jais, Xavier; Herve, Philippe; Lau, Edmund M. T.; Girerd, Barbara; Guenther, Sven; Bouchachi, Amir; Jevnikar, Mitja; Boucly, Athenais; Bogaard, Harm Jan; Simonneau, Gerald; Sitbon, Olivier; Savale, Laurent; Chemla, Denis; Humbert, Marc; Montani, David</t>
  </si>
  <si>
    <t>Role of Exercise Hemodynamics in the Prediction of Pulmonary Arterial Hypertension in BMPR2 Mutation Carriers</t>
  </si>
  <si>
    <t>CHEST</t>
  </si>
  <si>
    <t>pulmonary vascular distensibility; pulmonary arterial hypertension; bone morphogenetic protein receptor type 2</t>
  </si>
  <si>
    <t>STRESS ECHOCARDIOGRAPHY; SYSTEMIC-SCLEROSIS; COR-PULMONALE; DIAGNOSIS; DISTENSIBILITY; CIRCULATION</t>
  </si>
  <si>
    <t>BACKGROUND: Exercise hemodynamics are recommended for early detection of pulmonary arterial hypertension (PAH) and have been suggested to be predictive of future development of PAH in high-risk populations such as BMPR2 mutation carriers. However, the optimal exercise hemodynamic screening parameter remains to be determined. Recent data suggest that pulmonary vascular distensibility (a) may serve as a useful parameter for early detection of PAH. RESEARCH QUESTION: What is the value of exercise hemodynamics, including a , for predicting the occurrence of PAH during long-term follow-up in BMPR2 mutation carriers? STUDY DESIGN AND METHODS: Fifty-two asymptomatic BMPR2 mutation carriers who underwent symptom-limited exercise hemodynamic assessment were followed up for a median of 10 years. The impact of hemodynamics at rest and exercise, presence of exercise pulmonary hypertension, and a on occurrence of PAH during long-term follow-up were assessed. RESULTS: During long-term follow-up, fi ve patients developed PAH. Patients who developed PAH showed a significantly lower a (0.8 +/- 0.4%/mm Hg) than patients without PAH (1.8 +/- 0.8%/mm Hg; P = .008). The only hemodynamic parameter that predicted the occurrence of PAH during long-term follow-up at regression analysis was a . Receiver operating characteristic analysis showed that a # 1.5%/mm Hg predicted PAH occurrence with a specificity of 75% and sensitivity of 100%. INTERPRETATION: The results of this study indicate that before development of PAH in BMPR2 mutation carriers, a is reduced markedly and may serve as a useful parameter in the setting of early disease detection. Given the low event rate, caution is warranted in interpreting these results, highlighting the need for validation studies.</t>
  </si>
  <si>
    <t>[Gerges, Christian] Med Univ Vienna, Dept Internal Med 2, Div Cardiol, Vienna, Austria; [Gerges, Christian; Jais, Xavier; Girerd, Barbara; Jevnikar, Mitja; Boucly, Athenais; Simonneau, Gerald; Sitbon, Olivier; Savale, Laurent; Humbert, Marc; Montani, David] Univ Paris Saclay, Sch Med, Gif Sur Yvette, France; [Gerges, Christian; Jais, Xavier; Girerd, Barbara; Jevnikar, Mitja; Boucly, Athenais; Simonneau, Gerald; Sitbon, Olivier; Savale, Laurent; Humbert, Marc; Montani, David] Hop Bicetre, AP HP, Serv Pneumol &amp; Soins Intensifs Resp, Le Kremlin Bicetre, France; [Beurnier, Antoine; Chemla, Denis] Hop Bicetre, AP HP, Serv Physiol, Le Kremlin Bicetre, France; [Beurnier, Antoine] Hop Bicetre, AP HP, Serv Cardiol, Le Kremlin Bicetre, France; [Jais, Xavier; Herve, Philippe; Girerd, Barbara; Jevnikar, Mitja; Boucly, Athenais; Simonneau, Gerald; Sitbon, Olivier; Savale, Laurent; Chemla, Denis; Humbert, Marc; Montani, David] Hop Marie Lannelongue, INSERM, UMRS 999, Le Plessis Robinson, France; [Herve, Philippe] Hop Marie Lannelongue, Serv Chirurg Thorac, Le Plessis Robinson, France; [Guenther, Sven] Georges Pompidou European Hosp, AP HP, Unite Explorat Fonct Resp &amp; Sommeil, Paris, France; [Lau, Edmund M. T.] Royal Prince Alfred Hosp, Dept Resp Med, Camperdown, NSW, Australia; [Bogaard, Harm Jan] Vrije Univ Amsterdam Med Ctr, Inst Cardiovasc Res, Dept Pulm Med, Amsterdam, Netherlands</t>
  </si>
  <si>
    <t>Medical University of Vienna; Universite Paris Saclay; Assistance Publique Hopitaux Paris (APHP); Hopital Universitaire Bicetre - APHP; Universite Paris Saclay; Hopital Universitaire Antoine-Beclere - APHP; Assistance Publique Hopitaux Paris (APHP); Hopital Universitaire Antoine-Beclere - APHP; Universite Paris Saclay; Hopital Universitaire Bicetre - APHP; Universite Paris Saclay; Assistance Publique Hopitaux Paris (APHP); Hopital Universitaire Antoine-Beclere - APHP; Hopital Universitaire Bicetre - APHP; Institut National de la Sante et de la Recherche Medicale (Inserm); Hopital Marie Lannelongue; Hopital Marie Lannelongue; Assistance Publique Hopitaux Paris (APHP); Universite Paris Cite; Hopital Universitaire Europeen Georges-Pompidou - APHP; University of Sydney; NSW Health; Royal Prince Alfred Hospital; Vrije Universiteit Amsterdam; VU UNIVERSITY MEDICAL CENTER</t>
  </si>
  <si>
    <t>Montani, D (corresponding author), Univ Paris Saclay, Sch Med, Gif Sur Yvette, France.;Montani, D (corresponding author), Hop Bicetre, AP HP, Serv Pneumol &amp; Soins Intensifs Resp, Le Kremlin Bicetre, France.;Montani, D (corresponding author), Hop Marie Lannelongue, INSERM, UMRS 999, Le Plessis Robinson, France.</t>
  </si>
  <si>
    <t>david.montani@aphp.fr</t>
  </si>
  <si>
    <t>Günther, Sven/ACV-7191-2022; David, Montani/I-6885-2019; Savale, Laurent/AAJ-9781-2020; Humbert, Marc/AAC-8459-2019; Gerges, Christian/K-7362-2013; GUNTHER, Sven/P-4177-2017</t>
  </si>
  <si>
    <t>Gerges, Christian/0000-0002-6777-0996; GUNTHER, Sven/0000-0001-8388-6131; JAIS, XAVIER/0000-0002-4104-7994</t>
  </si>
  <si>
    <t>Acceleron; Janssen; MSD; Ferrer; Novartis; Dutch Cardiovascular Alliance [01-001-2017-B010]; Bayer; Pfizer; United Therapeutics</t>
  </si>
  <si>
    <t>Acceleron; Janssen(Johnson &amp; JohnsonJohnson &amp; Johnson USAJanssen Biotech Inc); MSD; Ferrer; Novartis(Novartis); Dutch Cardiovascular Alliance; Bayer(Bayer AG); Pfizer(Pfizer); United Therapeutics</t>
  </si>
  <si>
    <t>The DELPHI-2 study (ClinicalTrials.govIdentifier:NCT01600898) was funded by the French Ministry of Social Affairs and Health [Grant PHRC P100175] and supported by the French Pulmonary Hypertension Patient AssociationHTaPFrance,Chancellerie des Universites, Legs Poix, France, Pulmonary Hypertension Grants Program 2013 from Bayer and the European Respiratory Society [Grant LTRF-2013-1592]. In addition, this research was funded by the European Respiratory Society [Grant STRTF202210-00981] and an educational grant from OrphaCare.r Acceleron, Janssen and MSD. H. J. B. has received speaker fees and research grants from Janssen, MSD, and Ferrer and consultancy fees from Novartis and was supported by the Dutch Cardiovascular Alliance [Grant 01-001-2017-B010, DOLPHIN-GENESIS] . G. S. has received speaker and consultancy fees from Janssen, Bayer, GlaxoSmithKline, MSD, and Pfizer and research grants from Janssen and has served as a steering committee member for Janssen. O. S. has received speaker fees from AOPHealth, Janssen, Ferrer, and MSD; consultancy fees from Acceleron, Altavant, AOPHealth, Ferrer, Gossamer Bio, Janssen, and MSD; and research grants from Acceleron, AOPHealth, Janssen, and MSD; and has served as an advisory board member for Altavant, Gossamer Bio, Janssen, and MSD. L. S. has received compensation for scientific symposia from Janssen and MSD and speaker fees from Janssen and has served as an advisory board member for Janssen. M. H. has received speaker fees from Janssen and MSD; consultancy fees from Acceleron, Aerovate, Altavant, AOPHealth, Bayer, Chiesi, Ferrer, Janssen, MSD, MorphogenIX, Shou Ti, Tiakis, and United Therapeutics; and research grants from Acceleron, AOPHealth, Janssen, MSD, and Shou Ti; and has served as an advisory board member for Acceleron, Altavant, Janssen, MSD, and United Therapeutics. D. M. has received speaker fees from Bayer, Janssen, and MSD; consultancy fees from Acceleron, Janssen, and MSD; and research grants from Acceleron, Janssen, and MSD. None declared (P. H., B. G., S. G., A. Bouchachi, D. C.) .</t>
  </si>
  <si>
    <t>0012-3692</t>
  </si>
  <si>
    <t>1931-3543</t>
  </si>
  <si>
    <t>Chest</t>
  </si>
  <si>
    <t>10.1016/j.chest.2024.06.3808</t>
  </si>
  <si>
    <t>Critical Care Medicine; Respiratory System</t>
  </si>
  <si>
    <t>General &amp; Internal Medicine; Respiratory System</t>
  </si>
  <si>
    <t>M2B8W</t>
  </si>
  <si>
    <t>WOS:001355652700001</t>
  </si>
  <si>
    <t>Boucly, A; Bertoletti, L; Fauvel, C; Dewavrin, MG; Gerges, C; Grynblat, J; Guignabert, C; Hascoet, S; Jaïs, X; Jutant, EM; Lamblin, N; Meyrignac, O; Riou, M; Savale, L; Tromeur, C; Turquier, S; Valentin, S; Simonneau, G; Humbert, M; Sitbon, O; Montani, D</t>
  </si>
  <si>
    <t>Boucly, Athenais; Bertoletti, Laurent; Fauvel, Charles; Dewavrin, Melanie Gallant; Gerges, Christian; Grynblat, Julien; Guignabert, Christophe; Hascoet, Sebastien; Jais, Xavier; Jutant, Etienne-Marie; Lamblin, Nicolas; Meyrignac, Olivier; Riou, Marianne; Savale, Laurent; Tromeur, Cecile; Turquier, Segolene; Valentin, Simon; Simonneau, Gerald; Humbert, Marc; Sitbon, Olivier; Montani, David</t>
  </si>
  <si>
    <t>French PH Networka</t>
  </si>
  <si>
    <t>Evidence and unresolved questions in pulmonary hypertension: Insights from the 5th French Pulmonary Hypertension Network Meeting</t>
  </si>
  <si>
    <t>RESPIRATORY MEDICINE AND RESEARCH</t>
  </si>
  <si>
    <t>Guidelines; Pulmonary hypertension; De finition; Classi fication; Hemodynamics</t>
  </si>
  <si>
    <t>ARTERIAL-HYPERTENSION; NONINVASIVE ESTIMATION; CLINICAL-OUTCOMES; INHALED TREPROSTINIL; PREGNANCY OUTCOMES; VASCULAR-DISEASE; MIDTERM OUTCOMES; UNITED-KINGDOM; COR-PULMONALE; RIGHT ATRIAL</t>
  </si>
  <si>
    <t>Pulmonary hypertension (PH) continues to present signi ficant challenges to the medical community, both in terms of diagnosis and treatment. The advent of the updated 2022 European Society of Cardiology (ESC) and European Respiratory Society (ERS) guidelines has introduced pivotal changes that re flect the rapidly advancing understanding of this complex disease. These changes include a revised de finition of PH, updates to the classi fication system, and treatment algorithm. While these guidelines offer a critical framework for the management of PH, they have also sparked new discussions and questions. The 5th French Pulmonary Hypertension Network Meeting (Le Kremlin-Bice &lt;^&gt;tre, France, 2023), addressed these emergent questions and fostering a deeper understanding of the disease 's multifaceted nature. These discussions were not limited to theoretical advancements but extended into the practical realms of patient management, highlighting the challenges and opportunities in applying the latest guidelines to clinical practice. (c) 2024 SPLF and Elsevier Masson SAS. All rights are reserved, including those for text and data mining, AI training, and similar technologies.</t>
  </si>
  <si>
    <t>[Boucly, Athenais; Grynblat, Julien; Guignabert, Christophe; Hascoet, Sebastien; Jais, Xavier; Savale, Laurent; Simonneau, Gerald; Humbert, Marc; Sitbon, Olivier; Montani, David] Univ Paris Saclay, Sch Med, Le Kremlin Bicetre, France; [Boucly, Athenais; Jais, Xavier; Savale, Laurent; Simonneau, Gerald; Humbert, Marc; Sitbon, Olivier; Montani, David] Bicetre Hosp, Assistance Publ Hop Paris AP HP, Pulm Hypertens Natl Referral Ctr, Dept Resp &amp; Intens Care Med, Le Kremlin Bicetre, France; [Boucly, Athenais; Guignabert, Christophe; Jais, Xavier; Savale, Laurent; Simonneau, Gerald; Humbert, Marc; Sitbon, Olivier; Montani, David] Marie Lannelongue Hosp, INSERM UMR S 999 Pulm Hypertens Pathophysiol &amp; Nov, Le Kremlin Bicetre, France; [Boucly, Athenais; Guignabert, Christophe; Jais, Xavier; Savale, Laurent; Simonneau, Gerald; Humbert, Marc; Sitbon, Olivier; Montani, David] Bicetre Hosp, Le Kremlin Bicetre, France; [Bertoletti, Laurent] Univ Jean Monnet St Etienne, CHU St Etienne, Dept Med Vasc &amp; Therapeut, Mines St Etienne,INSERM,SAINBIOSE U1059,CIC 1408, St Etienne, France; [Fauvel, Charles] Normandie Univ, Dept Cardiol, UNIROUEN, U1096, F-76000 Rouen, France; [Dewavrin, Melanie Gallant] Aidants &amp; Transplantes Hypertens Pulmonaire HTaP F, St Maur Des Fosses, France; [Gerges, Christian] Med Univ Vienna, Dept Internal Med 2, Div Cardiol, Vienna, Austria; [Hascoet, Sebastien] Univ Paris Saclay, Hop Marie Lannelongue, Fac Med, Le Plessis Robinson, France; [Jutant, Etienne-Marie] Univ Poitiers, CHU Poitiers, INSERM CIC 1402, Resp Dept,IS ALIVE Res Grp, Poitiers, France; [Lamblin, Nicolas] Univ Lille, CHU Lille, Inserm U1167, Urgences &amp; Soins Intens Cardiol, Lille, France; [Meyrignac, Olivier] Bicetre Hosp, Assistance Publ Hop Paris AP HP, Dept Radiol, Biomaps,Lab Imagerie Multimodale,CEA,INSERM,CNRS,D, Le Kremlin Bicetre, France; [Riou, Marianne] Univ Hosp Strasbourg, Nouvel Hop Civil, Dept Physiol &amp; Funct Explorat, Strasbourg, France; [Tromeur, Cecile] CHU Brest, Dept Internal Med &amp; Pulmonol, INSERM GETBO Grp Etud thrombose &amp; bretagne occiden, Brest, France; [Turquier, Segolene] Univ Lyon, Hop Louis Pradel, Hosp Civils Lyon, Dept Physiol &amp; Funct Explorat, Lyon, France; [Valentin, Simon] Univ Lorraine, CHRU Nancy, Pole Special Med, Dept Pneumol,IADI,INSERM U1254, Nancy, France</t>
  </si>
  <si>
    <t>Universite Paris Saclay; Assistance Publique Hopitaux Paris (APHP); Hopital Universitaire Bicetre - APHP; Institut National de la Sante et de la Recherche Medicale (Inserm); Hopital Marie Lannelongue; Assistance Publique Hopitaux Paris (APHP); Hopital Universitaire Bicetre - APHP; Institut National de la Sante et de la Recherche Medicale (Inserm); CHU de St Etienne; IMT - Institut Mines-Telecom; Mines Saint-Etienne; Universite de Rouen Normandie; Institut National de la Sante et de la Recherche Medicale (Inserm); Medical University of Vienna; Hopital Marie Lannelongue; Universite Paris Saclay; Universite de Poitiers; CHU Poitiers; Institut National de la Sante et de la Recherche Medicale (Inserm); Universite de Lille; CHU Lille; Institut National de la Sante et de la Recherche Medicale (Inserm); Centre National de la Recherche Scientifique (CNRS); CEA; Assistance Publique Hopitaux Paris (APHP); Hopital Universitaire Bicetre - APHP; Institut National de la Sante et de la Recherche Medicale (Inserm); CHU Strasbourg; CHU Brest; CHU Lyon; Universite de Lorraine; CHU de Nancy; Institut National de la Sante et de la Recherche Medicale (Inserm)</t>
  </si>
  <si>
    <t>Montani, D (corresponding author), Dept Resp &amp; Intens Care Med, 78 rue Gen Leclerc, F-94270 Le Kremlin Bicetre, France.</t>
  </si>
  <si>
    <t>Humbert, Marc/AAC-8459-2019; Hascoet, Sebastien/Q-3311-2018; Savale, Laurent/AAJ-9781-2020; David, Montani/I-6885-2019; Gerges, Christian/K-7362-2013; GRYNBLAT, Julien/KXS-1813-2024; GUIGNABERT, Christophe/G-3873-2013</t>
  </si>
  <si>
    <t>GUIGNABERT, Christophe/0000-0002-8545-4452</t>
  </si>
  <si>
    <t>MSD; Aerovate; Ferrer; Gossamer Bio; Janssen</t>
  </si>
  <si>
    <t>MSD; Aerovate; Ferrer; Gossamer Bio; Janssen(Johnson &amp; JohnsonJohnson &amp; Johnson USAJanssen Biotech Inc)</t>
  </si>
  <si>
    <t>With the endorsement of Societe de Pneumologie de Langue Francaise (SPLF) , Groupe de Travail CP2-Circulation Pulmonaire et Interaction Coeur Poumons, Filiere des maladies respiratoires rares RESPIFIL, Societe francaise de Cardiologie (SFC) , Societe nationale francaise de medecine interne (SNFMI) , the French society of pediatric and adult congenital cardiology (Filiale de Cardiologie Pediatrique et Congenitale, FCPC) and the World Symposia on Pulmonary Hyper- tension Association (WSPHA) and with the support of MSD, Aerovate, Ferrer, Gossamer Bio, Janssen. The authors would like to thank Clement Batteux for his contribution to the iconography and Pr Salim Si -Mohamed from University Hospital of Lyon for his authorization to use Figure 3.</t>
  </si>
  <si>
    <t>BRIDGEWATER</t>
  </si>
  <si>
    <t>685 ROUTE 202-206, BRIDGEWATER, NJ 08807 USA</t>
  </si>
  <si>
    <t>2590-0412</t>
  </si>
  <si>
    <t>RESPIR MED RES-FRANC</t>
  </si>
  <si>
    <t>Respir. Med. Res.</t>
  </si>
  <si>
    <t>10.1016/j.resmer.2024.101123</t>
  </si>
  <si>
    <t>YZ7J7</t>
  </si>
  <si>
    <t>WOS:001272372100001</t>
  </si>
  <si>
    <t>Humbert, M; Hassoun, PM; Chin, KM; Bortman, G; Patel, MJ; La Rosa, C; Fu, W; Loureiro, MJ; Hoeper, MM</t>
  </si>
  <si>
    <t>Humbert, Marc; Hassoun, Paul M.; Chin, Kelly M.; Bortman, Guillermo; Patel, Mahesh J.; La Rosa, Carmen; Fu, Wei; Loureiro, Maria Jose; Hoeper, Marius M.</t>
  </si>
  <si>
    <t>MK-5475, an inhaled soluble guanylate cyclase stimulator, for treatment of pulmonary arterial hypertension: the INSIGNIA-PAH study</t>
  </si>
  <si>
    <t>RIOCIGUAT</t>
  </si>
  <si>
    <t>Background: MK-5475 is an investigational inhaled soluble guanylate cyclase stimulator hypothesised to avoid most side-effects of systemic vasodilation. Methods: The phase 2 INSIGNIA-PAH (NCT04732221) trial randomised adults with pulmonary arterial hypertension (PAH) on stable background therapy 1:1:1:1 to once-daily dosing with placebo, MK-5475 32 mu g, 100 mu g or 380 mu g via dry powder inhalation for 12 weeks. Objectives: The objectives were to evaluate pulmonary vascular resistance (PVR; primary), 6-min walk distance (6MWD; secondary), additional selected haemodynamic parameters, and safety and tolerability in participants with PAH. Results: 168 participants were randomised to placebo (n=41), MK-5475 32 mu g (n=42), 100 mu g (n=44), and 380 mu g (n=41). Median age was 51 years. Most participants were female (73.8%), diagnosed with idiopathic PAH (63.7%), receiving concomitant phosphodiesterase type 5 inhibitors (PDE5i; 93.5%), and treated with double or triple combination therapy (85.1%). At week 12, the placebo-corrected changes in PVR by least-squares means were -9.2% (95% CI -21.3%, 2.9%; p=0.068) with 32 mu g, -22.0% (95% CI -33.7%, -10.3%; p&lt;0.001) with 100 g, and -19.9% (95% CI -33.4%, -6.4%; p=0.002) with 380 mu g MK-5475. No treatment differences versus placebo were observed in 6MWD. Treatment-related adverse events and serious adverse events were similar across treatment groups. Three participants died: two on placebo and one on MK-5475 100 mu g. One participant had symptomatic hypotension and one had haemoptysis (both on MK-5475 100 mu g). Conclusions: In participants with PAH on stable background therapy, including PDE5i, inhaled MK-5475 reduced PVR and was well tolerated, without evidence of systemic side-effects such as hypotension, suggesting a pulmonary selective pharmacodynamic effect.</t>
  </si>
  <si>
    <t>[Humbert, Marc] Univ Paris Saclay, Hop Bicetre, Serv Pneumol &amp; Soins Intens Resp, AP HP,Fac Med,Inserm,UMR S 999, Le Kremlin Bicetre, France; [Hassoun, Paul M.] Johns Hopkins Univ, Sch Med, Baltimore, MD USA; [Chin, Kelly M.] Univ Texas Southwestern Med Ctr, Dallas, TX USA; [Bortman, Guillermo] Sanat Trinidad Mitre, Buenos Aires, Argentina; [Patel, Mahesh J.; La Rosa, Carmen; Fu, Wei; Loureiro, Maria Jose] Merck &amp; Co Inc, Rahway, NJ USA; [Hoeper, Marius M.] Hannover Med Sch, Hannover, Germany</t>
  </si>
  <si>
    <t>Universite Paris Saclay; Assistance Publique Hopitaux Paris (APHP); Hopital Universitaire Bicetre - APHP; Institut National de la Sante et de la Recherche Medicale (Inserm); Hopital Universitaire Antoine-Beclere - APHP; Johns Hopkins University; University of Texas System; University of Texas Southwestern Medical Center Dallas; Merck &amp; Company; Merck &amp; Company USA; Hannover Medical School</t>
  </si>
  <si>
    <t>Humbert, M (corresponding author), Univ Paris Saclay, Hop Bicetre, Serv Pneumol &amp; Soins Intens Resp, AP HP,Fac Med,Inserm,UMR S 999, Le Kremlin Bicetre, France.</t>
  </si>
  <si>
    <t>marc.humbert@aphp.fr</t>
  </si>
  <si>
    <t>Hoeper, Marius/Z-1546-2019; Humbert, Marc/AAC-8459-2019</t>
  </si>
  <si>
    <t>Humbert, Marc/0000-0003-0703-2892; Hoeper, Marius/0000-0001-9086-2293; Hassoun, Paul M/0000-0003-0601-4975; Chin, Kelly/0000-0002-1214-6723; Loureiro, Maria Jose/0000-0002-5430-5585</t>
  </si>
  <si>
    <t>Merck Sharp Dohme LLC</t>
  </si>
  <si>
    <t>The study and analyses conducted in this report were funded by Merck Sharp &amp; Dohme LLC, a subsidiary of Merck &amp; Co., Inc., Rahway, NJ, USA. Funding information for this article has been deposited with the Crossref Funder Registry.</t>
  </si>
  <si>
    <t>10.1183/13993003.01110-2024</t>
  </si>
  <si>
    <t>P7O7R</t>
  </si>
  <si>
    <t>WOS:001379762400007</t>
  </si>
  <si>
    <t>Sitbon, O; Skride, A; Feldman, J; Sahay, S; Shlobin, OA; Mclaughlin, V; Ghofrani, HA; Langleben, D; Parsley, E; D'Souza, G; Marmon, T; Kamau-Kelley, W; Jones, R; Grewal, R; Wring, S; Palacios, M; Naik, H; Denning, J; Lazarus, HM; Humbert, M</t>
  </si>
  <si>
    <t>Sitbon, Olivier; Skride, Andris; Feldman, Jeremy; Sahay, Sandeep; Shlobin, Oksana A.; Mclaughlin, Vallerie; Ghofrani, Hossein-Ardeschir; Langleben, David; Parsley, Ed; D'Souza, Gwyn; Marmon, Tonya; Kamau-Kelley, Watiri; Jones, Renee; Grewal, Ravi; Wring, Steve; Palacios, Michelle; Naik, Himanshu; Denning, Jill; Lazarus, Howard M.; Humbert, Marc</t>
  </si>
  <si>
    <t>Safety and efficacy of rodatristat ethyl for the treatment of pulmonary arterial hypertension (ELEVATE-2): a dose-ranging, randomised, multicentre, phase 2b trial</t>
  </si>
  <si>
    <t>LANCET RESPIRATORY MEDICINE</t>
  </si>
  <si>
    <t>SEROTONIN; THERAPY</t>
  </si>
  <si>
    <t>Background The role of serotonin in pulmonary arterial hypertension has been extensively studied in recent decades, with preclinical data strongly indicating involvement in disease pathogenesis; however, clinical studies have yielded mixed results. Methods ELEVATE-2 was a phase 2b dose-ranging, randomised, double-blind, placebo-controlled, multicentre trial investigating rodatristat ethyl as a treatment for patients with pulmonary arterial hypertension. The study was conducted at 64 sites across 16 countries in Europe and North America. Eligible participants were aged 18 years or older, had pulmonary arterial hypertension with WHO functional class II or III symptom severity, and had received a stable dose and regimen of one or more pulmonary arterial hypertension treatments for at least 12 weeks. Participants were randomly assigned 1:1:1 to receive two placebo tablets, one placebo and one rodatristat ethyl 300 mg tablet, or two rodatristat ethyl 300 mg tablets twice daily using an interactive response system. Participants, investigators, site personnel, and sponsors were masked to treatment allocation. Participants who completed the 24 week treatment period were invited to continue in an open-label extension. The primary endpoint was percent change in pulmonary vascular resistance (PVR) from baseline to week 24. Primary efficacy analyses were conducted on the intention-to-treat population and analyses of harms were conducted in the safety population, which included all patients who received any amount of the study drug. This trial is registered with ClinicalTrials.gov, NCT04712669, and is now complete. Findings Between March 18, 2021 and Dec 13, 2022, 108 participants were enrolled and randomly assigned. 36 participants received placebo, 36 received rodatristat ethyl 300 mg, and 36 received rodatristat ethyl 600 mg twice daily. Overall, 85 (79%) of participants were female and 23 (21%) were male. The mean age was 528 years (SD 147) in the full analysis set. In the open-label extension phase, 62 (82%) of participants were female and 14 (18%) were male, and the mean age was 528 years (SD 147); this phase was terminated following sponsor review of unmasked main study results. Least- squares mean percent change in PVR from baseline to week 24 favoured placebo and was 58% (SE 181) for the placebo group, 631% (185) for the rodatristat ethyl 300 mg group, and 642% (180) for the rodatristat ethyl 600 mg group. Treatment-emergent adverse events (TEAE) were reported for 29 (81%) patients in the placebo group, 33 (92%) patients in the rodatristat ethyl 300 mg group, and all 36 (100%) patients in the rodatristat ethyl 600 mg group. TEAE leading to study discontinuation were reported for three (8%) patients in the placebo group, four (11%) patients in the rodatristat ethyl 300 mg group, and four (11%) in the rodatristat ethyl 600 mg group. There was one (3%) TEAE leading to death in the rodatristat ethyl 300 mg group. Interpretation Our results indicate that reducing peripheral serotonin concentrations via rodatristat ethyl has a negative effect on pulmonary haemodynamics and cardiac function in patients with pulmonary arterial hypertension. This finding suggests that manipulating this pathway might not be a suitable option for pulmonary arterial hypertension therapy.</t>
  </si>
  <si>
    <t>[Sitbon, Olivier; Humbert, Marc] Univ Paris Saclay, Fac Med, Le Kremlin Bicetre, France; [Sitbon, Olivier; Humbert, Marc] INSERM, UMR S 999 HPPIT, Le Kremlin Bicetre, France; [Sitbon, Olivier; Humbert, Marc] Hop Bicetre, Assistance Publ Hop Paris, Dept Resp &amp; Intens Care Med, ERN LUNG, F-94270 Le Kremlin Bicetre, France; [Skride, Andris] Riga Stradins Univ, VSIA Pauls Stradins Clin Univ Hosp, Rare Dis Unit, Riga, Latvia; [Feldman, Jeremy] Summit Hlth, Bend, OR USA; [Sahay, Sandeep] Houston Methodist Hosp, Houston Methodist Lung Ctr, Houston, TX 77030 USA; [Shlobin, Oksana A.] Inova Fairfax Hosp, Adv Lung Dis &amp; Transplant Program, Falls Church, VA USA; [Mclaughlin, Vallerie] Univ Michigan Hlth Syst, Dept Internal Med, Div Cardiovasc Med, Ann Arbor, MI USA; [Ghofrani, Hossein-Ardeschir] Univ Giessen &amp; Marburg, Dept Pneumol, Giessen, Germany; [Langleben, David] McGill Univ, Jewish Gen Hosp, Ctr Pulm Vasc Dis, Div Cardiol, Montreal, PQ H3T 1E2, Canada; [Parsley, Ed] Bellerophon Therapeut, Warren, NJ USA; [D'Souza, Gwyn] Megger, Dover CT17 9EN, Kent, England; [Kamau-Kelley, Watiri; Jones, Renee; Grewal, Ravi; Wring, Steve; Palacios, Michelle; Denning, Jill; Lazarus, Howard M.] Sumitomo Pharm Amer, Morrisville, NC USA; [Marmon, Tonya] Marmon Biostat, Seattle, WA USA; [Naik, Himanshu] HCHCSPH, Boston, MA USA</t>
  </si>
  <si>
    <t>Universite Paris Saclay; Institut National de la Sante et de la Recherche Medicale (Inserm); Assistance Publique Hopitaux Paris (APHP); Hopital Universitaire Bicetre - APHP; Hopital Universitaire Antoine-Beclere - APHP; Universite Paris Saclay; Universite Paris Cite; Hopital Universitaire Saint-Louis - APHP; Riga Stradins University; Houston Methodist; Inova Fairfax Hospital; University of Michigan System; University of Michigan; McGill University</t>
  </si>
  <si>
    <t>Humbert, M (corresponding author), Hop Bicetre, Assistance Publ Hop Paris, Dept Resp &amp; Intens Care Med, ERN LUNG, F-94270 Le Kremlin Bicetre, France.</t>
  </si>
  <si>
    <t>Ghofrani, Ardeschir/AAD-5293-2020; Sahay, Sandeep/T-4291-2019; Humbert, Marc/AAC-8459-2019</t>
  </si>
  <si>
    <t>Sumitomo Pharma America</t>
  </si>
  <si>
    <t>Enzyvant Therapeutics (now Sumitomo Pharma America).</t>
  </si>
  <si>
    <t>ELSEVIER SCI LTD</t>
  </si>
  <si>
    <t>London</t>
  </si>
  <si>
    <t>125 London Wall, London, ENGLAND</t>
  </si>
  <si>
    <t>2213-2600</t>
  </si>
  <si>
    <t>LANCET RESP MED</t>
  </si>
  <si>
    <t>Lancet Resp. Med.</t>
  </si>
  <si>
    <t>10.1016/S2213-2600(24)00226-1</t>
  </si>
  <si>
    <t>OCT 2024</t>
  </si>
  <si>
    <t>L1S3R</t>
  </si>
  <si>
    <t>WOS:001348585900001</t>
  </si>
  <si>
    <t>Guignabert, C; Aman, J; Bonnet, S; Dorfmüller, P; Olschewski, AJ; Pullamsetti, S; Rabinovitch, M; Schermuly, RT; Humbert, M; Stenmark, KR</t>
  </si>
  <si>
    <t>Guignabert, Christophe; Aman, Jurjan; Bonnet, Sebastien; Dorfmueller, Peter; Olschewski, Andrea J.; Pullamsetti, Soni; Rabinovitch, Marlene; Schermuly, Ralph T.; Humbert, Marc; Stenmark, Kurt R.</t>
  </si>
  <si>
    <t>Pathology and pathobiology of pulmonary hypertension: current insights and future directions</t>
  </si>
  <si>
    <t>ARTERIAL-HYPERTENSION; LUNG; CELLS; RNA; INFLAMMATION; DYSFUNCTION; SURVIVAL; REVEALS; LESIONS; HEALTH</t>
  </si>
  <si>
    <t>In recent years, major advances have been made in the understanding of the cellular and molecular mechanisms driving pulmonary vascular remodelling in various forms of pulmonary hypertension, including pulmonary arterial hypertension, pulmonary hypertension associated with left heart disease, pulmonary hypertension associated with chronic lung disease and hypoxia, and chronic thromboembolic pulmonary hypertension. However, the survival rates for these different forms of pulmonary hypertension remain unsatisfactory, underscoring the crucial need to more effectively translate innovative scientific knowledge into healthcare interventions. In these proceedings of the 7th World Symposium on Pulmonary Hypertension, we delve into recent developments in the field of pathology and pathophysiology, prioritising them while questioning their relevance to different subsets of pulmonary hypertension. In rapidly understand the myriad basic mechanisms contributing to the initiation and progression of drug development, and providing essential support to advance research in this field.</t>
  </si>
  <si>
    <t>[Guignabert, Christophe; Humbert, Marc] Univ Paris Saclay, Fac Med, Hypertens Plum Physiopathol &amp; Innovat Therapeut HP, Le Kremlin Bicetre, France; [Guignabert, Christophe; Humbert, Marc] INSERM UMR S 999, HPPIT, Le Kremlin Bicetre, France; [Aman, Jurjan] Vrije Univ Amsterdam, Amsterdam UMC, Dept Pulm Med, Amsterdam Cardiovasc Sci,Med Ctr, Amsterdam, Netherlands; [Bonnet, Sebastien] Ctr Rech Inst Cardiol &amp; Pneumol Quebec, Pulm Hypertens Res Grp, Quebec City, PQ, Canada; [Bonnet, Sebastien] Univ Laval, Dept Med, Quebec City, PQ, Canada; [Dorfmueller, Peter] Univ Hosp Giessen Marburg, Dept Pathol, Giessen, Germany; [Olschewski, Andrea J.] Ludwig Boltzmann Inst Lung Vasc Res, Graz, Austria; [Olschewski, Andrea J.] Med Univ Graz, Dept Anaesthesiol &amp; Intens Care Med, Graz, Austria; [Pullamsetti, Soni] Max Planck Inst Heart &amp; Lung Res Bad Nauheim, Bad Nauheim, Germany; [Pullamsetti, Soni; Schermuly, Ralph T.] German Ctr Lung Res DZL, Cardiopulm Inst CPI, Dept Internal Med, Giessen, Germany; [Pullamsetti, Soni] Justus Liebig Univ Giessen, Univ Giessen &amp; Marburg Lung Ctr, Giessen, Germany; [Rabinovitch, Marlene] Stanford Univ, Lucile Packard Childrens Hosp, Betty Irene Moore Childrens Heart Ctr, BASE Initiat,Sch Med,Howard Hughes Med Inst, Stanford, CA USA; [Rabinovitch, Marlene] Stanford Univ, Howard Hughes Med Inst, Vera Moulton Wall Ctr Pulm Vasc Dis, Sch Med, Stanford, CA USA; [Rabinovitch, Marlene] STANFORD UNIV, SCH MED,HOWARD HUGHES MED INST, Sch Med, STANFORD, CA 94305 USA; [Humbert, Marc] Hop Bicetre, Assistance Publ Hop Paris, Dept Resp &amp; Intens Care Med, ERN LUNG, Le Kremlin Bicetre, France; [Stenmark, Kurt R.] Univ Colorado, Dev Lung Biol &amp; Cardiovasc Pulm Res Labs, Denver, CO USA</t>
  </si>
  <si>
    <t>Universite Paris Saclay; Universite Paris Saclay; Institut National de la Sante et de la Recherche Medicale (Inserm); Vrije Universiteit Amsterdam; University of Amsterdam; Laval University; University Hospital of Giessen &amp; Marburg; Ludwig Boltzmann Institute; Ludwig Boltzmann Institute for Lung Vascular Research; Medical University of Graz; Justus Liebig University Giessen; Stanford University; Lucile Packard Children's Hospital (LPCH); Howard Hughes Medical Institute; Howard Hughes Medical Institute; Stanford University; Howard Hughes Medical Institute; Stanford University; Universite Paris Saclay; Assistance Publique Hopitaux Paris (APHP); Hopital Universitaire Bicetre - APHP; Hopital Universitaire Antoine-Beclere - APHP; Universite Paris Cite; Hopital Universitaire Saint-Louis - APHP; University of Colorado System; University of Colorado Denver</t>
  </si>
  <si>
    <t>Humbert, M (corresponding author), Univ Paris Saclay, Fac Med, Hypertens Plum Physiopathol &amp; Innovat Therapeut HP, Le Kremlin Bicetre, France.;Humbert, M (corresponding author), INSERM UMR S 999, HPPIT, Le Kremlin Bicetre, France.;Humbert, M (corresponding author), Hop Bicetre, Assistance Publ Hop Paris, Dept Resp &amp; Intens Care Med, ERN LUNG, Le Kremlin Bicetre, France.</t>
  </si>
  <si>
    <t>Humbert, Marc/AAC-8459-2019; GUIGNABERT, Christophe/G-3873-2013</t>
  </si>
  <si>
    <t>Humbert, Marc/0000-0003-0703-2892; Pullamsetti, Soni Savai/0000-0003-0440-8831; GUIGNABERT, Christophe/0000-0002-8545-4452; Dorfmuller, Peter/0000-0003-2499-6829; Schermuly, Ralph/0000-0002-5167-6970; Olschewski, Andrea/0000-0002-8189-3634</t>
  </si>
  <si>
    <t>National Research Agency [ANR-18-RHUS-0006]; [ANR-18-RHUS-0006 (DESTINATION 2024)]; Agence Nationale de la Recherche (ANR) [ANR-18-RHUS-0006] Funding Source: Agence Nationale de la Recherche (ANR)</t>
  </si>
  <si>
    <t>National Research Agency(Agence Nationale de la Recherche (ANR)); ; Agence Nationale de la Recherche (ANR)(Agence Nationale de la Recherche (ANR))</t>
  </si>
  <si>
    <t>Acknowledgement: C. Guignabert and M. Humbert are supported by a State funding managed by the National Research Agency according to the Investments for the Future program integrated in France 2030, under the reference ANR-18-RHUS-0006 (DESTINATION 2024) .</t>
  </si>
  <si>
    <t>OCT</t>
  </si>
  <si>
    <t>10.1183/13993003.01095-2024</t>
  </si>
  <si>
    <t>W0X5S</t>
  </si>
  <si>
    <t>WOS:001415910700036</t>
  </si>
  <si>
    <t>Humbert, M; Galiè, N; Rubin, LJ; Simonneau, G; McLaughlin, VV</t>
  </si>
  <si>
    <t>Humbert, Marc; Galie, Nazzareno; Rubin, Lewis J.; Simonneau, Gerald; McLaughlin, Vallerie V.</t>
  </si>
  <si>
    <t>The Seventh World Symposium on Pulmonary Hypertension: our journey to Barcelona</t>
  </si>
  <si>
    <t>[Humbert, Marc; Simonneau, Gerald] Univ Paris Saclay, Hop Bicetre, AP HP, Fac Med,Inserm UMR S 999,Serv Pneumol &amp; Soins Inte, Le Kremlin Bicetre, France; [Galie, Nazzareno] IRCCS Azienda Osped Univ Bologna, Cardiol Unit, Bologna, Italy; [Galie, Nazzareno] Univ Bologna, Dipartimento DIMEC, Bologna, Italy; [Rubin, Lewis J.] Univ Calif San Diego, Sch Med, San Diego, CA USA; [McLaughlin, Vallerie V.] Univ Michigan, Ann Arbor, MI USA</t>
  </si>
  <si>
    <t>Assistance Publique Hopitaux Paris (APHP); Hopital Universitaire Bicetre - APHP; Hopital Universitaire Antoine-Beclere - APHP; Institut National de la Sante et de la Recherche Medicale (Inserm); Universite Paris Saclay; IRCCS Azienda Ospedaliero-Universitaria di Bologna; University of Bologna; University of California System; University of California San Diego; University of Michigan System; University of Michigan</t>
  </si>
  <si>
    <t>Humbert, M (corresponding author), Univ Paris Saclay, Hop Bicetre, AP HP, Fac Med,Inserm UMR S 999,Serv Pneumol &amp; Soins Inte, Le Kremlin Bicetre, France.</t>
  </si>
  <si>
    <t>Support statement: M. Humbert is supported by state funding managed by the National Research Agency according to the Investments for the Future programme integrated into France 2030, under the reference ANR-18-RHUS-0006 (DESTINATION 2024) .</t>
  </si>
  <si>
    <t>WOS:001415910700022</t>
  </si>
  <si>
    <t>Ruffenach, G; Le Ribeuz, H; Dutheil, M; El Jekmek, K; Dumont, F; Willer, AS; Humbert, M; Capuano, V; Medzikovic, L; Eghbali, M; Montani, D; Antigny, F</t>
  </si>
  <si>
    <t>Ruffenach, Gregoire; Le Ribeuz, Helene; Dutheil, Mary; El Jekmek, Kristell; Dumont, Florent; Willer, Anais Saint-Martin; Humbert, Marc; Capuano, Veronique; Medzikovic, Lejla; Eghbali, Mansoureh; Montani, David; Antigny, Fabrice</t>
  </si>
  <si>
    <t>Transcriptome analyses reveal common immune system dysregulation in PAH patients and Kcnk3-deficient rats</t>
  </si>
  <si>
    <t>PULMONARY CIRCULATION</t>
  </si>
  <si>
    <t>immune system; PAH; RNAseq</t>
  </si>
  <si>
    <t>PULMONARY ARTERIAL-HYPERTENSION; POTASSIUM CHANNELS; KCNK3 DYSFUNCTION; SMOOTH-MUSCLE; TASK CHANNELS; PROTEINS; OXYGEN; PH</t>
  </si>
  <si>
    <t>Pulmonary arterial hypertension (PAH) is a severe disease caused by progressive distal pulmonary artery obstruction. One cause of PAH are loss-of-function mutations in the potassium channel subfamily K member 3 (KCNK3). KCNK3 encodes a two-pore domain potassium channel, which is crucial for pulmonary circulation homeostasis. However, our understanding of the pathophysiological mechanisms underlying KCNK3 dysfunction in PAH is still incomplete. Taking advantage of unique Kcnk3-deficient rats, we analyzed the transcriptomic changes in the lungs from homozygous Kcnk3-deficient rats and wild-type (WT) littermates and compared them to PAH patient transcriptomic data. Transcriptome analysis of lung tissue obtained from WT and Kcnk3-deficient rats identified 1915 down- or upregulated genes. In addition, despite limited similarities at the gene level, we found a strong common signature at the pathway level in PAH patients and Kcnk3-deficient rat lungs, especially for immune response. Using the dysregulated genes involved in the immune response, we identified Spleen Associated Tyrosine Kinase (SYK), a significantly downregulated gene in human PAH patients and Kcnk3-deficient rats, as a hub gene. Our data suggests that the altered immune system response observed in PAH patients may be partly explained by KCNK3 dysfunction through the alteration of SYK expression.</t>
  </si>
  <si>
    <t>[Ruffenach, Gregoire; Medzikovic, Lejla; Eghbali, Mansoureh] Univ Calif Los Angeles, David Geffen Sch Med, Dept Anesthesiol &amp; Perioperat Med, Div Mol Med, Los Angeles, CA USA; [Le Ribeuz, Helene; Dutheil, Mary; El Jekmek, Kristell; Dumont, Florent; Willer, Anais Saint-Martin; Humbert, Marc; Capuano, Veronique; Montani, David; Antigny, Fabrice] Univ Paris Saclay, Fac Med, Le Kremlin Bicetre, France; [Le Ribeuz, Helene; Dutheil, Mary; El Jekmek, Kristell; Willer, Anais Saint-Martin; Humbert, Marc; Capuano, Veronique; Montani, David; Antigny, Fabrice] Hop Marie Lannelongue, Hypertens Pulm Physiopathol &amp; Innovat Therapeutiqu, INSERM, UMR S 999, Le Plessis Robinson, France; [Dutheil, Mary; Capuano, Veronique; Montani, David] Hop Marie Lannelongue, Grp Hosp Paris St Joseph, Le Plessis Robinson, France; [Dumont, Florent] Univ Paris Saclay, UMS Ingn &amp; Plateformes Serv Innovat Therapeut, Orsay, France; [Humbert, Marc; Montani, David] Hop Bicetre, AP HP, Ctr Reference Hypertens Plum, Serv Pneumol &amp; Soins Intens Resp, Le Kremlin Bicetre, France</t>
  </si>
  <si>
    <t>University of California System; University of California Los Angeles; University of California Los Angeles Medical Center; David Geffen School of Medicine at UCLA; Universite Paris Saclay; Institut National de la Sante et de la Recherche Medicale (Inserm); Universite Paris Saclay; Hopital Marie Lannelongue; Universite Paris Cite; Hopital Paris Saint-Joseph; Hopital Marie Lannelongue; Universite Paris Saclay; Assistance Publique Hopitaux Paris (APHP); Hopital Universitaire Bicetre - APHP; Hopital Universitaire Antoine-Beclere - APHP; Universite Paris Saclay</t>
  </si>
  <si>
    <t>Antigny, F (corresponding author), Hop Marie Lannelongue, INSERM, UMR S 999, 133 Ave Resistance, F-92350 Le Plessis Robinson, France.</t>
  </si>
  <si>
    <t>fabrice.antigny@inserm.fr</t>
  </si>
  <si>
    <t>Eghbali, Mansour/M-3165-2017; Humbert, Marc/AAC-8459-2019; David, Montani/I-6885-2019; Ruffenach, gregoire/IUO-5660-2023; Antigny, Fabrice/Q-3999-2018</t>
  </si>
  <si>
    <t>Antigny, Fabrice/0000-0002-9515-6571; Ruffenach, Gregoire/0000-0001-6419-4332; Saint-Martin Willer, Anais/0000-0002-2078-3271</t>
  </si>
  <si>
    <t>Agence Nationale de la Recherche; French National Program  Investissement d'Avenir [ANR-10-INBS-09]; French National Institute for Health and Medical Research (INSERM); Universite Paris-Saclay; Marie Lannelongue Hospital; Federation Francaise de Cardiologie; French National Agency for Research (ANR); Foundation du Souffle et Fonds de Dotation Recherche en Sante Respiratoire; Foundation Lefoulon- Delalande; American Heart Association; Foundation Legs Poix Chancellerie des Universite de Paris; National Institutes of Health [ED569]; Therapeutic Innovation Doctoral School; [ANR-18-CE14- 0023]; [20CDA35350059]; [23POST1022457]; [R01HL159865]; [R01HL162124]</t>
  </si>
  <si>
    <t>Agence Nationale de la Recherche(Agence Nationale de la Recherche (ANR)); French National Program  Investissement d'Avenir(Agence Nationale de la Recherche (ANR)Agence nationale pour le developpement de la recherche en sante (ANDRS)); French National Institute for Health and Medical Research (INSERM)(Institut National de la Sante et de la Recherche Medicale (Inserm)); Universite Paris-Saclay; Marie Lannelongue Hospital; Federation Francaise de Cardiologie; French National Agency for Research (ANR)(Agence Nationale de la Recherche (ANR)); Foundation du Souffle et Fonds de Dotation Recherche en Sante Respiratoire; Foundation Lefoulon- Delalande; American Heart Association(American Heart Association); Foundation Legs Poix Chancellerie des Universite de Paris; National Institutes of Health(United States Department of Health &amp; Human ServicesNational Institutes of Health (NIH) - USA); Therapeutic Innovation Doctoral School; ; ; ; ;</t>
  </si>
  <si>
    <t>Agence Nationale de la Recherche, Grant/Award Number: ANR-18-CE14- 0023; French National Program  Investissement d'Avenir, Grant/Award Number: ANR-10-INBS-09; French National Institute for Health and Medical Research (INSERM); Universite Paris-Saclay, the Marie Lannelongue Hospital; Federation Francaise de Cardiologie, and the French National Agency for Research (ANR); Foundation du Souffle et Fonds de Dotation Recherche en Sante Respiratoire; Foundation Lefoulon- Delalande and the Foundation Legs Poix Chancellerie des Universite de Paris; Therapeutic Innovation Doctoral School, Grant/Award Number: ED569; American Heart Association, Grant/Award Numbers: 20CDA35350059, 23POST1022457; National Institutes of Health, Grant/Award Numbers: R01HL159865, R01HL162124</t>
  </si>
  <si>
    <t>2045-8932</t>
  </si>
  <si>
    <t>2045-8940</t>
  </si>
  <si>
    <t>PULM CIRC</t>
  </si>
  <si>
    <t>Pulm. Circ.</t>
  </si>
  <si>
    <t>e12434</t>
  </si>
  <si>
    <t>10.1002/pul2.12434</t>
  </si>
  <si>
    <t>O0P9M</t>
  </si>
  <si>
    <t>Green Accepted, gold</t>
  </si>
  <si>
    <t>WOS:001368260800001</t>
  </si>
  <si>
    <t>Savale, L; Tu, L; Normand, C; Boucly, A; Sitbon, O; Montani, D; Olsson, KM; Park, D; Fuge, J; Kamp, JC; Humbert, M; Hoeper, MM; Guignabert, C</t>
  </si>
  <si>
    <t>Savale, Laurent; Tu, Ly; Normand, Corinne; Boucly, Athenais; Sitbon, Olivier; Montani, David; Olsson, Karen M.; Park, Da-Hee; Fuge, Jan; Kamp, Jan C.; Humbert, Marc; Hoeper, Marius M.; Guignabert, Christophe</t>
  </si>
  <si>
    <t>Effect of sotatercept on circulating proteomics in pulmonary arterial hypertension</t>
  </si>
  <si>
    <t>Letter</t>
  </si>
  <si>
    <t>[Savale, Laurent; Tu, Ly; Normand, Corinne; Boucly, Athenais; Sitbon, Olivier; Montani, David; Humbert, Marc; Guignabert, Christophe] Univ Paris Saclay, Fac Med, Hypertens Pulm Physiopathol &amp; Innovat Therapeut, HPPIT, Le Kremlin Bicetre, France; [Savale, Laurent; Tu, Ly; Normand, Corinne; Boucly, Athenais; Sitbon, Olivier; Montani, David; Humbert, Marc; Guignabert, Christophe] INSERM, UMR S 999, HPPIT, Le Kremlin Bicetre, France; [Savale, Laurent; Boucly, Athenais; Sitbon, Olivier; Montani, David; Humbert, Marc] Hop Bicetre, Assistance Publ Hop Paris, Dept Resp &amp; Intens Care Med, ERN LUNG, Le Kremlin Bicetre, France; [Olsson, Karen M.; Park, Da-Hee; Fuge, Jan; Kamp, Jan C.; Hoeper, Marius M.] Hannover Med Sch, Dept Resp Med &amp; Infect Dis, Hannover, Germany; [Olsson, Karen M.; Park, Da-Hee; Fuge, Jan; Kamp, Jan C.; Hoeper, Marius M.] Hannover Med Sch, German Ctr Lung Res DZL, Hannover, Germany</t>
  </si>
  <si>
    <t>Universite Paris Saclay; Institut National de la Sante et de la Recherche Medicale (Inserm); Universite Paris Saclay; Assistance Publique Hopitaux Paris (APHP); Hopital Universitaire Bicetre - APHP; Universite Paris Saclay; Universite Paris Cite; Hopital Universitaire Saint-Louis - APHP; Hopital Universitaire Antoine-Beclere - APHP; Hannover Medical School; Hannover Medical School</t>
  </si>
  <si>
    <t>Guignabert, C (corresponding author), Univ Paris Saclay, Fac Med, Hypertens Pulm Physiopathol &amp; Innovat Therapeut, HPPIT, Le Kremlin Bicetre, France.;Guignabert, C (corresponding author), INSERM, UMR S 999, HPPIT, Le Kremlin Bicetre, France.</t>
  </si>
  <si>
    <t>Savale, Laurent/AAJ-9781-2020; Humbert, Marc/AAC-8459-2019; TU, Ly/G-4035-2013; GUIGNABERT, Christophe/G-3873-2013</t>
  </si>
  <si>
    <t>GUIGNABERT, Christophe/0000-0002-8545-4452; Montani, David/0000-0002-9358-6922; Kamp, Jan-Christopher/0000-0002-5002-409X; Park, Da-Hee/0000-0003-0902-4773</t>
  </si>
  <si>
    <t>Deutsche Forschungsgemeinschaft [ME 3696/3-1]; [KFO311-286251789]</t>
  </si>
  <si>
    <t>Deutsche Forschungsgemeinschaft(German Research Foundation (DFG));</t>
  </si>
  <si>
    <t>This research received funding from various sources, including grants from the French National Institute for Health and Medical Research (INSERM), Universite Paris-Saclay, the French Fondation de la Recherche Medicale (FRM) under grant number EQU202203014670 (Equipe FRM), and the French PAH patient association (HTaP France). L. Savale is supported by a Contrat d'Interface from Assistance Publique-Hppitaux de Paris (AP-HP) - INSERM. J.C. Kamp is supported by the PRACTIS - Clinician Scientist Program of Hannover Medical School, funded by the Deutsche Forschungsgemeinschaft (grants ME 3696/3-1 and KFO311-286251789). Funding information for this article has been deposited with the Crossref Funder Registry.r funded by the Deutsche Forschungsgemeinschaft (grants ME 3696/3-1 and KFO311-286251789) . Funding information for this article has been deposited with the Crossref Funder Registry.</t>
  </si>
  <si>
    <t>10.1183/13993003.01483-2024</t>
  </si>
  <si>
    <t>hybrid, Green Published</t>
  </si>
  <si>
    <t>WOS:001415910700006</t>
  </si>
  <si>
    <t>Valdeolmillos, E; Le Pavec, J; Audié, M; Savale, L; Jais, X; Montani, D; Sitbon, O; Feuillet, S; Mercier, O; Petit, J; Humbert, M; Fadel, E; Belli, E; Hascoët, S</t>
  </si>
  <si>
    <t>Valdeolmillos, Estibaliz; Le Pavec, Jerome; Audie, Marion; Savale, Laurent; Jais, Xavier; Montani, David; Sitbon, Olivier; Feuillet, Severine; Mercier, Olaf; Petit, Jerome; Humbert, Marc; Fadel, Elie; Belli, Emre; Hascoet, Sebastien</t>
  </si>
  <si>
    <t>Thirty years of surgical management of pediatric pulmonary hypertension: Mid-term outcomes following reverse Potts shunt and transplantation</t>
  </si>
  <si>
    <t>JOURNAL OF THORACIC AND CARDIOVASCULAR SURGERY</t>
  </si>
  <si>
    <t>pulmonary arterial hypertension; lung trans- plantation; Potts shunt; Eisenmenger syndrome</t>
  </si>
  <si>
    <t>HEART-LUNG TRANSPLANTATION; CHILDREN</t>
  </si>
  <si>
    <t>Background: Reverse Potts shunt (RPS) and lung or heart-lung transplantation are life-extending surgical interventions for pediatric patients with severe pulmonary arterial hypertension (PAH). Robust criteria for identifying patients who will benefit from these procedures remain elusive. Based on 30 years of experience, we sought to refine the surgical indications. Methods: This single-center retrospective cohort study included 61 consecutive pediatric patients with PAH managed by RPS (2004-2020) or transplantation (1988-2020). Their mid-term outcomes were assessed. Results: Compared with the 20 patients managed by RPS, the 41 transplant waitlist patients, of whom 28 were transplanted, were older (14.9 vs 8.0 years, P = .0001), had worse right ventricular impairment (tricuspid annular plane systolic excursion, 12.5 mm vs 18.0 mm, P = .03), and were managed later in the evolution of the disease (6.0 vs 1.7 years, P = .002). After implementation of a high-priority allocation program in 2007, waitlist mortality decreased from 52.6% to 13.6% % (P= .02) and 5-year survival increased from 57.1% to 74.7% % after RPS and 55.6% to 77.2% % after transplantation. At a median follow-up of 8.6 years after RPS and 5.9 years after transplantation, functional capacity had improved significantly, and PAH-specific fi c drug requirements had diminished markedly in the RPS group. Two patients successfully underwent double-lung transplant 6 and 9 years after RPS. Conclusions: In selected children with suprasystemic PAH, RPS is associated with functional capacity improvements and decreased pharmacotherapy needs over the midterm. RPS deserves consideration earlier in the course of pediatric PAH, with transplantation being performed in the event of refractory RV failure.</t>
  </si>
  <si>
    <t>[Valdeolmillos, Estibaliz; Audie, Marion; Petit, Jerome; Belli, Emre; Hascoet, Sebastien] Univ Paris Saclay, Fac Med, Hop Marie Lannelongue, Dept Congenital Heart Dis,Ctr Reference Malformat, Le Plessis Robinson, France; [Valdeolmillos, Estibaliz; Le Pavec, Jerome; Audie, Marion; Savale, Laurent; Jais, Xavier; Montani, David; Sitbon, Olivier; Feuillet, Severine; Mercier, Olaf; Humbert, Marc; Fadel, Elie; Hascoet, Sebastien] Univ Paris Saclay, Hop Marie Lannelongue, Pulm Hypertens Pathophysiol &amp; Novel Therapies, INSERM UMR S 999, Le Plessis Robinson, France; [Feuillet, Severine; Mercier, Olaf; Humbert, Marc; Fadel, Elie] Univ Paris Saclay, Hop Marie Lannelongue, Fac Med, Dept Thorac &amp; Vasc Surg,Ctr Reference Hypertens Ar, Le Plessis Robinson, France; [Savale, Laurent; Jais, Xavier; Montani, David; Sitbon, Olivier; Humbert, Marc] Univ Paris Saclay, Hop Bicetre, Assistance Publ Hop Paris AP HP, Fac med,Dept Resp &amp; Intens Care Med,Pulm Hypertens, Le Kremlin Bicetre, France</t>
  </si>
  <si>
    <t>Universite Paris Saclay; Hopital Marie Lannelongue; Hopital Marie Lannelongue; Institut National de la Sante et de la Recherche Medicale (Inserm); Universite Paris Saclay; Universite Paris Saclay; Hopital Marie Lannelongue; Assistance Publique Hopitaux Paris (APHP); Hopital Universitaire Bicetre - APHP; Hopital Universitaire Antoine-Beclere - APHP; Universite Paris Saclay</t>
  </si>
  <si>
    <t>Hascoet, S (corresponding author), Marie Lannelongue Hosp, Pediat &amp; Congenital Cardiol Unit, 133 Ave Resistance, F-92350 Le Plessis Robinson, France.</t>
  </si>
  <si>
    <t>Belli, Emre/AAK-7866-2021; Sitbon, Olivier/I-3623-2019; Humbert, Marc/AAC-8459-2019; Hascoet, Sebastien/Q-3311-2018; Savale, Laurent/AAJ-9781-2020; David, Montani/I-6885-2019</t>
  </si>
  <si>
    <t>SITBON, Olivier/0000-0002-1942-1951; Mercier, Olaf/0000-0002-4760-6267; JAIS, XAVIER/0000-0002-4104-7994; valdeolmillos, Estibaliz/0000-0002-9720-9008; Montani, David/0000-0002-9358-6922</t>
  </si>
  <si>
    <t>The authors thank Antoinette Wolfe for her contribution to this work.</t>
  </si>
  <si>
    <t>MOSBY-ELSEVIER</t>
  </si>
  <si>
    <t>NEW YORK</t>
  </si>
  <si>
    <t>360 PARK AVENUE SOUTH, NEW YORK, NY 10010-1710 USA</t>
  </si>
  <si>
    <t>0022-5223</t>
  </si>
  <si>
    <t>1097-685X</t>
  </si>
  <si>
    <t>J THORAC CARDIOV SUR</t>
  </si>
  <si>
    <t>J. Thorac. Cardiovasc. Surg.</t>
  </si>
  <si>
    <t>SEP</t>
  </si>
  <si>
    <t>10.1016/j.jtcvs.2023.11.045</t>
  </si>
  <si>
    <t>SEP 2024</t>
  </si>
  <si>
    <t>Cardiac &amp; Cardiovascular Systems; Respiratory System; Surgery</t>
  </si>
  <si>
    <t>Cardiovascular System &amp; Cardiology; Respiratory System; Surgery</t>
  </si>
  <si>
    <t>G7U4S</t>
  </si>
  <si>
    <t>WOS:001318641200001</t>
  </si>
  <si>
    <t>Boucly, A; Song, SS; Keles, M; Wang, D; Howard, L; Humbert, M; Sitbon, O; Lawrie, A; Rhodes, C; Wilkins, M</t>
  </si>
  <si>
    <t>Boucly, Athenais; Song, Shanshan; Keles, Merve; Wang, Dennis; Howard, Luke; Humbert, Marc; Sitbon, Olivier; Lawrie, Allan; Rhodes, Christopher; Wilkins, Martin</t>
  </si>
  <si>
    <t>Plasma Proteome Clusters in Pulmonary Hypertension and Their Therapeutic Implications</t>
  </si>
  <si>
    <t>European-Respiratory-Society Congress (ERS)</t>
  </si>
  <si>
    <t>SEP 07-11, 2024</t>
  </si>
  <si>
    <t>Vienna, AUSTRIA</t>
  </si>
  <si>
    <t>European Respirat Soc</t>
  </si>
  <si>
    <t>[Boucly, Athenais; Song, Shanshan; Keles, Merve; Wang, Dennis; Howard, Luke; Lawrie, Allan; Rhodes, Christopher; Wilkins, Martin] Imperial Coll, London, England; [Humbert, Marc; Sitbon, Olivier] Hop Bicetre, Le Kremlin Bicetre, France</t>
  </si>
  <si>
    <t>Imperial College London; Universite Paris Saclay; Assistance Publique Hopitaux Paris (APHP); Hopital Universitaire Antoine-Beclere - APHP; Hopital Universitaire Bicetre - APHP</t>
  </si>
  <si>
    <t>athenais.boucly@gmail.com</t>
  </si>
  <si>
    <t>Rhodes, Christopher/0000-0002-4962-3204</t>
  </si>
  <si>
    <t>OA1874</t>
  </si>
  <si>
    <t>10.1183/13993003.congress-2024.OA1874</t>
  </si>
  <si>
    <t>Science Citation Index Expanded (SCI-EXPANDED); Conference Proceedings Citation Index - Science (CPCI-S)</t>
  </si>
  <si>
    <t>M3R2G</t>
  </si>
  <si>
    <t>WOS:001356743500035</t>
  </si>
  <si>
    <t>Boucly, A; Beurnier, A; Turquier, S; Jevnikar, M; de Groote, P; Chaouat, A; Cheron, C; Jais, X; Picard, F; Prevot, G; Roche, A; Solinas, S; Cottin, V; Bauer, F; Montani, D; Humbert, M; Savale, L; Sitbon, O</t>
  </si>
  <si>
    <t>Boucly, Athenais; Beurnier, Antoine; Turquier, Segolene; Jevnikar, Mitja; de Groote, Pascal; Chaouat, Ari; Cheron, Celine; Jais, Xavier; Picard, Francois; Prevot, Gregoire; Roche, Anne; Solinas, Sabina; Cottin, Vincent; Bauer, Fabrice; Montani, David; Humbert, Marc; Savale, Laurent; Sitbon, Olivier</t>
  </si>
  <si>
    <t>PulmoTension Network</t>
  </si>
  <si>
    <t>Risk stratification refinements with inclusion of haemodynamic variables at follow-up in patients with pulmonary arterial hypertension</t>
  </si>
  <si>
    <t>OBSTRUCTIVE SLEEP-APNEA; SERVO-VENTILATION; PRESSURE; CPAP; THERAPY</t>
  </si>
  <si>
    <t>Background Haemodynamic variables are prognostic factors in pulmonary arterial hypertension (PAH). However, right heart catheterisation (RHC) is not systematically recommended to assess the risk status during follow-up. This study aimed to assess the added value of haemodynamic variables in prevalent patients to predict the risk of death or lung transplantation according to their risk status assessed by the non-invasive four-strata model as recommended by the European guidelines. Methods We evaluated incident patients with PAH enrolled in the French pulmonary hypertension registry between 2009 and 2020 who had a first follow-up RHC. Cox regression identified, in each follow-up risk status, haemodynamic variables significantly associated with transplant-free survival. Optimal thresholds were determined by time-dependent receiver operating characteristics. Several multivariable Cox regression models were performed to identify the haemodynamic variables improving the non-invasive risk stratification model. Results We analysed 1240 incident patients reassessed within 1 year by RHC. None of the haemodynamic variables were significantly associated with transplant-free survival among low-risk (n=386) or high-risk (n=71) patients. Among patients at intermediate (intermediate-low, n=483 and intermediate-high, n=300) risk at first follow-up, multivariable models including either stroke volume index (SVI) or mixed venous oxygen saturation (SvO2) were the best. The prognostic performance of a refined six-strata risk stratification model including the non-invasive four-strata model and SVI &gt;37 mLm-2 and/or SvO2 &gt;65% for patients at intermediate risk (area under the curve (AUC) 0.81; c-index 0.74) was better than that of the four-strata model (AUC 0.79, p=0.009; c-index 0.72). Conclusion Cardiopulmonary haemodynamics may improve risk stratification at follow-up in patients at intermediate risk.</t>
  </si>
  <si>
    <t>[Boucly, Athenais; Beurnier, Antoine; Jevnikar, Mitja; Cheron, Celine; Jais, Xavier; Roche, Anne; Solinas, Sabina; Montani, David; Humbert, Marc; Savale, Laurent; Sitbon, Olivier] Univ Paris Saclay, Fac Med, Le Kremlin Bicetre, France; [Boucly, Athenais; Jevnikar, Mitja; Cheron, Celine; Jais, Xavier; Roche, Anne; Solinas, Sabina; Montani, David; Humbert, Marc; Savale, Laurent; Sitbon, Olivier] Hop Bicetre, AP HP, Serv Pneumol &amp; Soins Intens Resp, Le Kremlin Bicetre, France; [Boucly, Athenais; Beurnier, Antoine; Jevnikar, Mitja; Cheron, Celine; Jais, Xavier; Roche, Anne; Solinas, Sabina; Montani, David; Humbert, Marc; Savale, Laurent; Sitbon, Olivier; PulmoTension Network] Hop Marie Lannelongue, INSERM, UMR S999, Pulm Hypertens Pathophysiol &amp; Novel Therapies, Le Plessis Robinson, France; [Boucly, Athenais] Imperial Coll London, Fac Med, Natl Heart &amp; Lung Inst, London, England; [Beurnier, Antoine] Hop Bicetre, AP HP, Serv Physiol &amp; Explorat Fonct Resp, Le Kremlin Bicetre, France; [Turquier, Segolene; Cottin, Vincent] CHU Lyon HCL, Hop Louis Pradel, Ctr Reference Malad Plum Rares, Serv Pneumol,Grp Hosp Est, Bron, France; [de Groote, Pascal] Univ Lille, Inst Pasteur Lille, Serv Cardiol, CHU Lille,Inserm,U1167, Lille, France; [Chaouat, Ari] Univ Lorraine, Fac Med Nancy, Dept Pneumol, CHRU Nancy,INSERM,UMR S1116, Vandoeuvre Les Nancy, France; [Picard, Francois] Univ Bordeaux, Hop Cardiol Haut Leveque, Heart Failure Unit, Bordeaux, France; [Bauer, Fabrice] Pulm Hypertens Expert Ctr, Bordeaux, France; [Prevot, Gregoire] Hop Larrey, Serv Pneumol, CHU Toulouse, Toulouse, France; [Bauer, Fabrice] Normandie Univ, Dept Cardiac Surg, UNIROUEN, CHU Rouen,INSERM,U1096, Caen, France</t>
  </si>
  <si>
    <t>Universite Paris Saclay; Universite Paris Saclay; Assistance Publique Hopitaux Paris (APHP); Hopital Universitaire Bicetre - APHP; Hopital Universitaire Antoine-Beclere - APHP; Institut National de la Sante et de la Recherche Medicale (Inserm); Hopital Marie Lannelongue; Universite Paris Saclay; Imperial College London; Assistance Publique Hopitaux Paris (APHP); Hopital Universitaire Antoine-Beclere - APHP; Hopital Universitaire Bicetre - APHP; Universite Paris Saclay; CHU Lyon; Pasteur Network; Universite de Lille; Institut Pasteur Lille; Institut National de la Sante et de la Recherche Medicale (Inserm); CHU Lille; Institut National de la Sante et de la Recherche Medicale (Inserm); CHU de Nancy; Universite de Lorraine; CHU Bordeaux; Universite de Bordeaux; Universite de Toulouse; Universite Toulouse III - Paul Sabatier; CHU de Toulouse; Universite de Rouen Normandie; CHU de Rouen; Institut National de la Sante et de la Recherche Medicale (Inserm)</t>
  </si>
  <si>
    <t>Sitbon, O (corresponding author), Univ Paris Saclay, Fac Med, Le Kremlin Bicetre, France.;Sitbon, O (corresponding author), Hop Bicetre, AP HP, Serv Pneumol &amp; Soins Intens Resp, Le Kremlin Bicetre, France.;Sitbon, O (corresponding author), Hop Marie Lannelongue, INSERM, UMR S999, Pulm Hypertens Pathophysiol &amp; Novel Therapies, Le Plessis Robinson, France.</t>
  </si>
  <si>
    <t>olivier.sitbon@u-psud.fr</t>
  </si>
  <si>
    <t>Humbert, Marc/AAC-8459-2019; David, Montani/I-6885-2019; DE GROOTE, Pascal/LLL-9444-2024</t>
  </si>
  <si>
    <t>ERS/EU RESPIRE4 Marie Sklstrok;odowska-Curie lstrok; odowska-Curie Postdoctoral Research Fellowship [R4202205-00947]</t>
  </si>
  <si>
    <t>ERS/EU RESPIRE4 Marie Sklstrok;odowska-Curie lstrok; odowska-Curie Postdoctoral Research Fellowship</t>
  </si>
  <si>
    <t>Support statement: A. Boucly is supported by ERS/EU RESPIRE4 Marie Sk &amp; lstrok;odowska-Curie &amp; lstrok; odowska-Curie Postdoctoral Research Fellowship (R4202205-00947) .</t>
  </si>
  <si>
    <t>SEP 1</t>
  </si>
  <si>
    <t>H3M5N</t>
  </si>
  <si>
    <t>WOS:001322513500001</t>
  </si>
  <si>
    <t>Cuomo, A; Normand, C; Tu, L; Jais, X; Jevnikar, M; Sitbon, O; Montani, D; Mercurio, V; Fadel, E; Mercier, O; Humbert, M; Guignabert, C; Savale, L</t>
  </si>
  <si>
    <t>Cuomo, Alessandra; Normand, Corinne; Tu, Ly; Jais, Xavier; Jevnikar, Mitja; Sitbon, Olivier; Montani, David; Mercurio, Valentina; Fadel, Elie; Mercier, Olaf; Humbert, Marc; Guignabert, Christophe; Savale, Laurent</t>
  </si>
  <si>
    <t>Exploring biomarkers in CTEPH: prognostic significance and post-PEA dynamics analysis</t>
  </si>
  <si>
    <t>[Cuomo, Alessandra; Normand, Corinne; Tu, Ly; Jais, Xavier; Jevnikar, Mitja; Sitbon, Olivier; Montani, David; Fadel, Elie; Mercier, Olaf; Humbert, Marc; Guignabert, Christophe; Savale, Laurent] Univ Paris Saclay, Sch Med Pulm Hypertens Pathophysiol &amp; Novel Therap, Le Kremlin Bicetre, France; [Mercurio, Valentina] Univ Naples Federico II, Dept Translat Med Sci, Naples, Italy</t>
  </si>
  <si>
    <t>Universite Paris Saclay; University of Naples Federico II</t>
  </si>
  <si>
    <t>alebcuomo@gmail.com</t>
  </si>
  <si>
    <t>TU, Ly/G-4035-2013; Savale, Laurent/AAJ-9781-2020; David, Montani/I-6885-2019; Cuomo, Alessandra/AFC-1205-2022; Humbert, Marc/AAC-8459-2019; GUIGNABERT, Christophe/G-3873-2013</t>
  </si>
  <si>
    <t>OA1875</t>
  </si>
  <si>
    <t>10.1183/13993003.congress-2024.OA1875</t>
  </si>
  <si>
    <t>WOS:001356743500058</t>
  </si>
  <si>
    <t>Diesler, R; Turquier, S; Reynaud-Gaubert, M; Lestelle, F; Lacoste-Palasset, T; Valentin, V; Quétant, S; Chaouat, A; Boissin, C; Noel-Savina, E; Tromeur, C; Justet, A; Maurac, A; Bauer, F; Nunes, H; Bertoletti, L; Magro, P; Horeau-Langlard, D; Séronde, MF; Favrolt, N; Tresorier, R; Lamia, B; Chabanne, C; Renard, S; Gagnadoux, F; Mauran, P; Traore, I; Rottat, L; Zeghmar, S; Nieves, A; Traclet, J; Sitbon, O; Lamblin, N; Degano, B; Bourdin, A; Humbert, M; Subtil, F; Montani, D; Cottin, V</t>
  </si>
  <si>
    <t>Diesler, Remi; Turquier, Segolene; Reynaud-Gaubert, Martine; Lestelle, Francois; Lacoste-Palasset, Thomas; Valentin, Victor; Quetant, Sebastien; Chaouat, Ari; Boissin, Clement; Noel-Savina, Elise; Tromeur, Cecile; Justet, Aurelien; Maurac, Arnaud; Bauer, Fabrice; Nunes, Hilario; Bertoletti, Laurent; Magro, Pascal; Horeau-Langlard, Delphine; Seronde, Marie-France; Favrolt, Nicolas; Tresorier, Romain; Lamia, Bouchra; Chabanne, Celine; Renard, Sebastien; Gagnadoux, Frederic; Mauran, Pierre; Traore, Ibrahim; Rottat, Laurence; Zeghmar, Sabrina; Nieves, Ana; Traclet, Julie; Sitbon, Olivier; Lamblin, Nicolas; Degano, Bruno; Bourdin, Arnaud; Humbert, Marc; Subtil, Fabien; Montani, David; Cottin, Vincent</t>
  </si>
  <si>
    <t>Survival is associated with underlying ILD diagnosis in ILD-PH.</t>
  </si>
  <si>
    <t>[Diesler, Remi; Turquier, Segolene; Lestelle, Francois; Zeghmar, Sabrina; Traclet, Julie; Cottin, Vincent] Lyon 1 Univ, Reference Constitut Ctr Pulm Hypertens, Reference Coordinating Ctr Rare Pulm Dis, Louis Pradel Hosp, Lyon, France; [Reynaud-Gaubert, Martine; Nieves, Ana] Univ Aix Marseille, Ctr Hosp Univ Nord, Marseille, France; [Lacoste-Palasset, Thomas; Rottat, Laurence; Sitbon, Olivier; Humbert, Marc; Montani, David] Univ Paris Saclay, Hop Bicetre, Le Kremlin Bicetre, France; [Valentin, Victor; Lamblin, Nicolas] Univ Lille, Ctr Hosp Univ Lille, Lille, France; [Quetant, Sebastien] CHU Grenoble Alpes, Serv Hosp Univ Pneumol Physiol, Grenoble, France; [Chaouat, Ari] Ctr Hosp Univ Nancy, Nancy, France; [Boissin, Clement; Bourdin, Arnaud] Univ Montpellier, Ctr Hosp Univ Montpellier, Montpellier, France; [Noel-Savina, Elise] Ctr Hosp Univ Toulouse, Toulouse, France; [Tromeur, Cecile] Univ Bretagne Occidentale, Hop Cavale Blanche, Brest, France; [Justet, Aurelien] Univ Caen Normandie, Ctr Hosp Univ Caen, Caen, France; [Maurac, Arnaud] Ctr Hosp Univ Bordeaux, Bordeaux, France; [Bauer, Fabrice] Univ Rouen Normandie, Ctr Hosp Univ Rouen, Rouen, France; [Nunes, Hilario] Univ Sorbonne Paris Nord, Hop Avicenne, Bobigny, France; [Bertoletti, Laurent] Univ Jean Monnet, Ctr Hosp Univ St Etienne, St Etienne, France; [Magro, Pascal] Hop Bretonneau, Serv Pneumol, Tours, France; [Horeau-Langlard, Delphine] Hop Laennec, Ctr Hosp Univ Nantes, Nantes, France; [Seronde, Marie-France] CHU, Serv Cardiol, Besancon, France; [Favrolt, Nicolas] Ctr Hosp Univ Dijon, Dijon, France; [Tresorier, Romain] Univ Clermont Ferrand, CHU Clermont Ferrand, Clermont Ferrand, France; [Lamia, Bouchra] Univ Rouen Normandie, Grp Hosp Havre, Le Havre, France; [Chabanne, Celine] CHU Pontchaillou, Rennes, France; [Renard, Sebastien] Hop La Timone, Marseille, France; [Gagnadoux, Frederic] Ctr Hosp Univ Angers, Angers, France; [Mauran, Pierre] Ctr Hosp Univ Reims, Reims, France; [Traore, Ibrahim] Ctr Hosp Univ Jean Minjoz, Besancon, France; [Degano, Bruno] CHU Grenoble Alpes, Serv Pneumol, Grenoble, France; [Subtil, Fabien] Univ Claude Bernard, Hop Louis Pradel, Villeurbanne, France</t>
  </si>
  <si>
    <t>CHU Lyon; Universite Claude Bernard Lyon 1; Aix-Marseille Universite; Assistance Publique-Hopitaux de Marseille; Assistance Publique Hopitaux Paris (APHP); Hopital Universitaire Antoine-Beclere - APHP; Universite Paris Saclay; Hopital Universitaire Bicetre - APHP; Universite de Lille; CHU Lille; CHU Grenoble Alpes; CHU de Nancy; Universite de Montpellier; CHU de Montpellier; Universite de Toulouse; Universite Toulouse III - Paul Sabatier; CHU de Toulouse; Universite de Bretagne Occidentale; CHU Brest; CHU de Caen NORMANDIE; Universite de Caen Normandie; Universite de Bordeaux; CHU Bordeaux; Universite de Rouen Normandie; CHU de Rouen; Assistance Publique Hopitaux Paris (APHP); Hopital Universitaire Avicenne - APHP; Universite Paris 13; CHU de St Etienne; CHU Tours; Nantes Universite; CHU de Nantes; Universite de Franche-Comte; CHU Besancon; CHU Dijon Bourgogne; CHU Clermont Ferrand; Universite de Rouen Normandie; Universite de Rennes; CHU Rennes; Aix-Marseille Universite; Assistance Publique-Hopitaux de Marseille; Universite d'Angers; Centre Hospitalier Universitaire d'Angers; CHU de Reims; Universite de Reims Champagne-Ardenne; Universite de Franche-Comte; CHU Besancon; CHU Grenoble Alpes; Universite Claude Bernard Lyon 1</t>
  </si>
  <si>
    <t>remi.diesler@chu-lyon.fr</t>
  </si>
  <si>
    <t>PA5229</t>
  </si>
  <si>
    <t>10.1183/13993003.congress-2024.PA5229</t>
  </si>
  <si>
    <t>P3V1R</t>
  </si>
  <si>
    <t>WOS:001377217600010</t>
  </si>
  <si>
    <t>Grynblat, J; Bogaard, HJ; Eyries, M; Meyrignac, O; Savale, L; Jais, X; Ghigna, MR; Celant, L; Houweling, A; Meijboom, L; Levy, M; Antigny, F; Chaouat, A; Cottin, V; Sitbon, O; Bonnet, D; Humbert, M; Montani, D</t>
  </si>
  <si>
    <t>Grynblat, Julien; Bogaard, Harm Jan; Eyries, Melanie; Meyrignac, Olivier; Savale, Laurent; Jais, Xavier; Ghigna, Maria-Rosa; Celant, Lucas; Houweling, Arjan; Meijboom, Lilian; Levy, Marilyne; Antigny, Fabrice; Chaouat, Ari; Cottin, Vincent; Sitbon, Olivier; Bonnet, Damien; Humbert, Marc; Montani, David</t>
  </si>
  <si>
    <t>Pulmonary vascular phenotype identified in patients with GDF2 (BMP9) or BMP10 variants: An international multicentre study</t>
  </si>
  <si>
    <t>[Grynblat, Julien; Ghigna, Maria-Rosa] Marie Lannelongue Hosp, INSERM, Pulm Hypertens Pathophysiol &amp; Novel Therapies, UMRS999, Le Plessis Robinson, France; [Grynblat, Julien; Savale, Laurent; Jais, Xavier; Ghigna, Maria-Rosa] Bicetre Hosp, Le Kremlin Bicetre, France; [Grynblat, Julien] Bicetre Hosp, Resp &amp; Intens Care Med, AP HP, Pulm Hypertens Natl Referral Ctr, Le Kremlin Bicetre, France; [Grynblat, Julien] Paris Saclay Univ, Fac Med, Paris, France; [Grynblat, Julien] Univ Paris Cite, Necker Enfants Malad Hosp, Hop Necker Enfants Malad, Cardiol Congenitale &amp; Pediat,M3C Necker,AP HP, 149 Rue Sevres, F-75015 Paris, France; [Bogaard, Harm Jan] Amsterdam UMC Locatie VUmc, Amsterdam Cardiovasc Sci Pulm Hypertens &amp; Thrombo, Amsterdam, Netherlands; [Eyries, Melanie] Sorbonne Univ, Dept Genet, AP HP, Hop Pitie Salpetriere, F-75013 Paris, France; [Meyrignac, Olivier] Univ Paris Saclay, Serv Radiol, Fac Med, Le Kremlin Bicetre, France; [Savale, Laurent; Jais, Xavier] Univ Paris Sud, Pulm Hypertension Pathophysiol &amp; Novel Therapies, Marie Lannelongue Hosp, INSERM,UMRS 999,Fac Med, Paris, France; [Savale, Laurent; Jais, Xavier] Bicetre Hosp, AP HP, Dept Resp &amp; Intens Care Med, Pulm Hypertens Natl referral Ctr, Le Kremlin Bicetre, France; [Savale, Laurent; Jais, Xavier] Univ Paris Saclay, Sch Med, Le Kremlin Bicetre, France; [Celant, Lucas] Amsterdam Cardiovasc Sci Pulm Hypertens &amp; Thrombo, Amsterdam, Netherlands; [Houweling, Arjan] Amsterdam Univ Med Ctr, Dept Human Genet, Amsterdam, Netherlands; [Meijboom, Lilian] Locat Vrije Univ, Dept Radiol &amp; Nucl Med, Amsterdam UMC, Amsterdam, Netherlands; [Levy, Marilyne; Bonnet, Damien] Univ Paris Cite, M3C Necker, Hop Necker Enfants malades, Cardiol Congenitale &amp; Pediat,AP HP, 149 Rue Sevres, F-75015 Paris, France; [Antigny, Fabrice; Sitbon, Olivier; Humbert, Marc; Montani, David] INSERM, U999, Paris, France; [Chaouat, Ari] Univ Lorraine, Dept Pneumol, CHU Nancy, Vandoeuvre Les Nancy, France; [Chaouat, Ari] U999, Vandoeuvre Les Nancy, France; [Cottin, Vincent] Claude Bernard Univ Lyon 1, Louis Pradel Hosp, INRAE,Hosp Civils Lyon, ERN LUNG,Natl Reference Ctr Rare Pulm Dis,UMR 754, Paris, France</t>
  </si>
  <si>
    <t>Institut National de la Sante et de la Recherche Medicale (Inserm); Hopital Marie Lannelongue; Assistance Publique Hopitaux Paris (APHP); Hopital Universitaire Bicetre - APHP; Assistance Publique Hopitaux Paris (APHP); Hopital Universitaire Bicetre - APHP; Universite Paris Saclay; Assistance Publique Hopitaux Paris (APHP); Universite Paris Cite; Hopital Universitaire Necker-Enfants Malades - APHP; Assistance Publique Hopitaux Paris (APHP); Hopital Universitaire Pitie-Salpetriere - APHP; Sorbonne Universite; Universite Paris Saclay; Institut National de la Sante et de la Recherche Medicale (Inserm); Universite Paris Saclay; Hopital Marie Lannelongue; Assistance Publique Hopitaux Paris (APHP); Hopital Universitaire Bicetre - APHP; Universite Paris Saclay; Vrije Universiteit Amsterdam; University of Amsterdam; Assistance Publique Hopitaux Paris (APHP); Universite Paris Cite; Hopital Universitaire Necker-Enfants Malades - APHP; Institut National de la Sante et de la Recherche Medicale (Inserm); Universite Paris Saclay; CHU de Nancy; Universite de Lorraine; INRAE; Universite Claude Bernard Lyon 1; CHU Lyon</t>
  </si>
  <si>
    <t>Humbert, Marc/AAC-8459-2019; Antigny, Fabrice/Q-3999-2018; GRYNBLAT, Julien/KXS-1813-2024</t>
  </si>
  <si>
    <t>PA1605</t>
  </si>
  <si>
    <t>10.1183/13993003.congress-2024.PA1605</t>
  </si>
  <si>
    <t>WOS:001377217600003</t>
  </si>
  <si>
    <t>Klein, EF; Abboud, Z; Saliba, W; Humbert, M; Adir, Y</t>
  </si>
  <si>
    <t>Klein, Einat Fireman; Abboud, Zaher; Saliba, Walid; Humbert, Marc; Adir, Yochai</t>
  </si>
  <si>
    <t>Association Between Peripheral Blood Eosinophils Count and Mortality in Respiratory Infections</t>
  </si>
  <si>
    <t>ARCHIVOS DE BRONCONEUMOLOGIA</t>
  </si>
  <si>
    <t>ASTHMA; COVID-19</t>
  </si>
  <si>
    <t>[Klein, Einat Fireman; Adir, Yochai] Technion Israel Inst Technol, Fac Med, Lady Davis Carmel Med Ctr, Pulm Div, Haifa, Israel; [Klein, Einat Fireman; Abboud, Zaher; Saliba, Walid; Adir, Yochai] Technion Israel Inst Technol, Ruth &amp; Bruce Rappaport Fac Med, Haifa, Israel; [Abboud, Zaher] Technion Israel Inst Technol, Dept Internal Med, Fac Med, Lady Davis Carmel Med Ctr, Haifa, Israel; [Saliba, Walid] Lady Davis Carmel Med Ctr, Dept Community Med &amp; Epidemiol, Haifa, Israel; [Humbert, Marc] Univ Paris Saclay, Hop Bicetre, Assistance Publ Hop Paris, Serv Pneumol, Le Kremlin Bicetre, France</t>
  </si>
  <si>
    <t>Clalit Health Services; Carmel Medical Center; Technion Israel Institute of Technology; Rappaport Faculty of Medicine; Technion Israel Institute of Technology; Rappaport Faculty of Medicine; Technion Israel Institute of Technology; Rappaport Faculty of Medicine; Clalit Health Services; Carmel Medical Center; Clalit Health Services; Carmel Medical Center; Assistance Publique Hopitaux Paris (APHP); Hopital Universitaire Antoine-Beclere - APHP; Universite Paris Cite; Hopital Universitaire Saint-Louis - APHP; Universite Paris Saclay; Hopital Universitaire Bicetre - APHP</t>
  </si>
  <si>
    <t>Klein, EF (corresponding author), Technion Israel Inst Technol, Fac Med, Lady Davis Carmel Med Ctr, Pulm Div, Haifa, Israel.;Klein, EF (corresponding author), Technion Israel Inst Technol, Ruth &amp; Bruce Rappaport Fac Med, Haifa, Israel.</t>
  </si>
  <si>
    <t>einatfire@gmail.com</t>
  </si>
  <si>
    <t>ELSEVIER ESPANA SLU</t>
  </si>
  <si>
    <t>BARCELONA</t>
  </si>
  <si>
    <t>AV JOSEP TARRADELLAS, 20-30, 1ERA PLANTA, BARCELONA, CP-08029, SPAIN</t>
  </si>
  <si>
    <t>0300-2896</t>
  </si>
  <si>
    <t>1579-2129</t>
  </si>
  <si>
    <t>ARCH BRONCONEUMOL</t>
  </si>
  <si>
    <t>Arch. Bronconeumol.</t>
  </si>
  <si>
    <t>10.1016/j.arbres.2024.05.006</t>
  </si>
  <si>
    <t>W3Z8K</t>
  </si>
  <si>
    <t>WOS:001418007500001</t>
  </si>
  <si>
    <t>Klein, EF; Saliba, W; Humbert, M; Adir, Y</t>
  </si>
  <si>
    <t>Klein, Einat Fireman; Saliba, Walid; Humbert, Marc; Adir, Yochai</t>
  </si>
  <si>
    <t>Association between peripheral blood eosinophils count and mortality in respiratory infections</t>
  </si>
  <si>
    <t>[Klein, Einat Fireman; Adir, Yochai] Technion Israel Inst Technol, Ruth &amp; Bruce Rappaport Fac Med, Lady Davis Carmel Med Ctr, Pulm Div, Heifa, Israel; [Saliba, Walid] Technion Israel Inst Technol, Ruth &amp; Bruce Rappaport Fac Med, Lady Davis Carmel Med Ctr, Dept Community Med &amp; Epidemiol, Heifa, Israel; [Humbert, Marc] Univ Paris Saclay, Hop Bicetre, Assistance Publ Hop Paris, Serv Pneumol, Le Kremlin Bicetre, France; [Humbert, Marc] Univ Paris Saclay, Hop Bicetre, Assistance Publ Hop Paris, Serv Pneumol, Paris, France</t>
  </si>
  <si>
    <t>Technion Israel Institute of Technology; Rappaport Faculty of Medicine; Clalit Health Services; Carmel Medical Center; Technion Israel Institute of Technology; Rappaport Faculty of Medicine; Clalit Health Services; Carmel Medical Center; Universite Paris Saclay; Assistance Publique Hopitaux Paris (APHP); Hopital Universitaire Bicetre - APHP; Hopital Universitaire Antoine-Beclere - APHP; Universite Paris Cite; Hopital Universitaire Saint-Louis - APHP; Assistance Publique Hopitaux Paris (APHP); Universite Paris Cite; Hopital Universitaire Saint-Louis - APHP; Hopital Universitaire Bicetre - APHP; Universite Paris Saclay</t>
  </si>
  <si>
    <t>PA1271</t>
  </si>
  <si>
    <t>10.1183/13993003.congress-2024.PA1271</t>
  </si>
  <si>
    <t>M2Y7C</t>
  </si>
  <si>
    <t>WOS:001356254200055</t>
  </si>
  <si>
    <t>Korn, S; Jandl, M; Humbert, M; Menzies-Gow, A; Shavit, A; Olinger, L; Jackson, DJ</t>
  </si>
  <si>
    <t>Korn, S.; Jandl, M.; Humbert, M.; Menzies-Gow, A.; Shavit, A.; Olinger, L.; Jackson, D. J.</t>
  </si>
  <si>
    <t>Effect of baseline long- acting muscarinic antagonist use on inhaled corticosteroid/ formoterol dose reduction in patients with severe eosinophilic asthma treated with benralizumab: SHAMAL post-hoc analysis</t>
  </si>
  <si>
    <t>ALLERGOLOGIE</t>
  </si>
  <si>
    <t>[Korn, S.] Thoraxklinik, Heidelberg, Germany; [Korn, S.] IKF Pneumol, Mainz, Germany; [Jandl, M.] Hamburger Inst Therapieforsch GmbH, Hamburg, Germany; [Humbert, M.] Univ Paris Saclay, Hop Bicetre, Serv Pneumol, Le Kremlin Bicetre, France; [Menzies-Gow, A.] AstraZeneca, BioPharmaceut Med Resp &amp; Immunol, Cambride, England; [Shavit, A.] AstraZeneca, BioPharmaceut R&amp;D, Late Stage Dev Resp &amp; Immunol, Cambridge, England; [Olinger, L.] Cytel Inc, Waltham, MA USA; [Jackson, D. J.] Kings Coll London, Guys Severe Asthma Ctr, London, England</t>
  </si>
  <si>
    <t>Ruprecht Karls University Heidelberg; Assistance Publique Hopitaux Paris (APHP); Hopital Universitaire Bicetre - APHP; Universite Paris Saclay; Hopital Universitaire Antoine-Beclere - APHP; AstraZeneca; AstraZeneca; Cytel; University of London; King's College London</t>
  </si>
  <si>
    <t>DUSTRI-VERLAG DR KARL FEISTLE</t>
  </si>
  <si>
    <t>DEISENHOFEN-MUENCHEN</t>
  </si>
  <si>
    <t>BAHNHOFSTRASSE 9 POSTFACH 49, D-82032 DEISENHOFEN-MUENCHEN, GERMANY</t>
  </si>
  <si>
    <t>0344-5062</t>
  </si>
  <si>
    <t>Allergologie</t>
  </si>
  <si>
    <t>P3.4</t>
  </si>
  <si>
    <t>Allergy</t>
  </si>
  <si>
    <t>K8O5C</t>
  </si>
  <si>
    <t>WOS:001346434900035</t>
  </si>
  <si>
    <t>Mouillot, P; Favrolt, N; Khouri, C; Grandvuillemin, A; Chaumais, MC; Schenesse, D; Seferian, A; Jais, X; Savale, L; Beltramo, G; Sitbon, O; Cracowski, JL; Humbert, M; Georges, M; Bonniaud, P; Montani, D</t>
  </si>
  <si>
    <t>Mouillot, Pierre; Favrolt, Nicolas; Khouri, Charles; Grandvuillemin, Aurelie; Chaumais, Marie-Camille; Schenesse, Deborah; Seferian, Andrei; Jais, Xavier; Savale, Laurent; Beltramo, Guillaume; Sitbon, Olivier; Cracowski, Jean-Luc; Humbert, Marc; Georges, Marjolaine; Bonniaud, Philippe; Montani, David</t>
  </si>
  <si>
    <t>Characteristics and outcomes of gemcitabine-associated pulmonary hypertension</t>
  </si>
  <si>
    <t>pierre.mouillot@hotmail.com</t>
  </si>
  <si>
    <t>KHOURI, CHARLES/J-1090-2019; Humbert, Marc/AAC-8459-2019; David, Montani/I-6885-2019</t>
  </si>
  <si>
    <t>PA2497</t>
  </si>
  <si>
    <t>10.1183/13993003.congress-2024.PA2497</t>
  </si>
  <si>
    <t>L7V7E</t>
  </si>
  <si>
    <t>Green Submitted</t>
  </si>
  <si>
    <t>WOS:001352764200022</t>
  </si>
  <si>
    <t>Portel, L; Gaspard, W; Maurer, C; Nocent, C; Oster, JP; Vandevelde, C; Raherison-Semjen, C; Humbert, M; Morel, H</t>
  </si>
  <si>
    <t>Portel, Laurent; Gaspard, Wenda; Maurer, Cyril; Nocent, Cecilia; Oster, Jean-Philippe; Vandevelde, Camille; Raherison-Semjen, Chantal; Humbert, Marc; Morel, Hugues</t>
  </si>
  <si>
    <t>FASE 2-CPHG: Initial findings of an observational study of patients with severe asthma treated in French non-academic hospitals.</t>
  </si>
  <si>
    <t>[Portel, Laurent; Gaspard, Wenda; Maurer, Cyril; Nocent, Cecilia; Oster, Jean-Philippe; Vandevelde, Camille; Raherison-Semjen, Chantal; Humbert, Marc; Morel, Hugues] CH Robert Boulin, Libourne, France; [Gaspard, Wenda] HIA Percy, Clamart, France; [Maurer, Cyril] CHI Montfermeil, Montfermeil, France; [Nocent, Cecilia] CH Cote Basque, Cote Basque, France; [Oster, Jean-Philippe] CH Colmar, Colmar, France; [Vandevelde, Camille] CHI Elbeuf, Elbeuf, France; [Raherison-Semjen, Chantal] CHU Pointe A Pitre, Pointe A Pitre, France; [Humbert, Marc] Hop Bicetre, CHU, Le Kremlin Bicetre, France; [Morel, Hugues] CHRU Orleans, Orleans, France</t>
  </si>
  <si>
    <t>CHU Guadeloupe; Assistance Publique Hopitaux Paris (APHP); Hopital Universitaire Antoine-Beclere - APHP; Universite Paris Saclay; Hopital Universitaire Bicetre - APHP</t>
  </si>
  <si>
    <t>laurent.portel@chlibourne.fr</t>
  </si>
  <si>
    <t>PA4780</t>
  </si>
  <si>
    <t>10.1183/13993003.congress-2024.PA4780</t>
  </si>
  <si>
    <t>M2Z9Y</t>
  </si>
  <si>
    <t>WOS:001356288100009</t>
  </si>
  <si>
    <t>Puel, E; Le Moal, G; Meurice, JC; Croquette, M; Bironneau, V; Larrieu, E; Boucly, A; Humbert, M; Montani, D; Savale, L; Sitbon, O; Jutant, EM</t>
  </si>
  <si>
    <t>Puel, Elise; Le Moal, Gwenael; Meurice, Jean-Claude; Croquette, Magali; Bironneau, Vanessa; Larrieu, Elisa; Boucly, Athenais; Humbert, Marc; Montani, David; Savale, Laurent; Sitbon, Olivier; Jutant, Etienne-Marie</t>
  </si>
  <si>
    <t>Evolution of the incidence of pulmonary arterial hypertension (PAH) in patients with HIV infection over the past 15 years.</t>
  </si>
  <si>
    <t>[Puel, Elise; Le Moal, Gwenael; Meurice, Jean-Claude; Croquette, Magali; Bironneau, Vanessa; Larrieu, Elisa; Jutant, Etienne-Marie] CHU Poitiers, Poitiers, France; [Boucly, Athenais; Humbert, Marc; Montani, David; Savale, Laurent] APHP, Paris, France</t>
  </si>
  <si>
    <t>CHU Poitiers; Universite de Poitiers; Assistance Publique Hopitaux Paris (APHP); Universite Paris Cite; Hopital Universitaire Hotel-Dieu - APHP; Hopital Universitaire Ambroise-Pare - APHP</t>
  </si>
  <si>
    <t>elise.puel@outlook.fr</t>
  </si>
  <si>
    <t>Humbert, Marc/AAC-8459-2019; David, Montani/I-6885-2019</t>
  </si>
  <si>
    <t>PA2500</t>
  </si>
  <si>
    <t>10.1183/13993003.congress-2024.PA2500</t>
  </si>
  <si>
    <t>WOS:001352764200037</t>
  </si>
  <si>
    <t>Robert, F; Certain, MC; Baron, A; Thuillet, R; Duhaut, L; Ottaviani, M; Chelgham, MK; Normand, C; Berrebeh, N; Ricard, N; Furlan, V; Desroches-Castan, A; Gonzales, E; Jacquemin, E; Sitbon, O; Humbert, M; Bailly, S; Coilly, A; Guignabert, C; Tu, L; Savale, L</t>
  </si>
  <si>
    <t>Robert, Fabien; Certain, Marie-Caroline; Baron, Audrey; Thuillet, Raphael; Duhaut, Lea; Ottaviani, Mina; Chelgham, Mustapha Kamel; Normand, Corinne; Berrebeh, Nihel; Ricard, Nicolas; Furlan, Valerie; Desroches-Castan, Agnes; Gonzales, Emmanuel; Jacquemin, Emmanuel; Sitbon, Olivier; Humbert, Marc; Bailly, Sabine; Coilly, Audrey; Guignabert, Christophe; Tu, Ly; Savale, Laurent</t>
  </si>
  <si>
    <t>Disrupted BMP-9 Signaling Impairs Pulmonary Vascular Integrity in Hepatopulmonary Syndrome</t>
  </si>
  <si>
    <t>AMERICAN JOURNAL OF RESPIRATORY AND CRITICAL CARE MEDICINE</t>
  </si>
  <si>
    <t>hepatopulmonary syndrome; portal hypertension; cirrhosis; BMP-9; intrapulmonary vascular dilatations</t>
  </si>
  <si>
    <t>NITRIC-OXIDE SYNTHASE; CONTRAST ECHOCARDIOGRAPHY; ALK1; RAT; MALFORMATIONS; EXPRESSION; SURVIVAL; FISTULAS; DISEASE; RESCUES</t>
  </si>
  <si>
    <t>Rationale: Hepatopulmonary syndrome (HPS) is a severe complication of liver diseases characterized by abnormal dilation of pulmonary vessels, resulting in impaired oxygenation. Recent research highlights the pivotal role of liver-produced BMP-9 (bone morphogenetic protein-9) inmaintaining pulmonary vascular integrity. Objectives: This study aimed to investigate the involvement of BMP-9 in human and experimental HPS. Methods: Circulating BMP-9 levels were measured in 63 healthy control subjects and 203 patients with cirrhosis with or without HPS. Two animal models of portal hypertension were employed: common bile duct ligation with cirrhosis and long-term partial portal vein ligation without cirrhosis. Additionally, the therapeutic effect of lowdose BMP activator FK506 was investigated, and the pulmonary vascular phenotype of BMP-9-knockout rats was analyzed. Measurements and Main Results: Patients with HPS related to compensated cirrhosis exhibited lower levels of circulating BMP-9 compared with patients without HPS. Patients with severe cirrhosis exhibited consistently low levels of BMP-9. HPS characteristics were observed in animal models, including intrapulmonary vascular dilations and an increase in the alveolar-arterial gradient. HPS development in both rat models correlated with reduced intrahepatic BMP-9 expression, decreased circulating BMP-9 level and activity, and impaired pulmonary BMP-9 endothelial pathway. Daily treatment with FK506 for 2 weeks restored the BMP pathway in the lungs, alleviating intrapulmonary vascular dilations and improving gas exchange impairment. Furthermore, BMP-9-knockout rats displayed a pulmonary HPS phenotype, supporting its role in disease progression. Conclusions: The study findings suggest that portal hypertension-induced loss of BMP-9 signaling contributes to HPS development.</t>
  </si>
  <si>
    <t>[Robert, Fabien; Certain, Marie-Caroline; Baron, Audrey; Thuillet, Raphael; Ottaviani, Mina; Chelgham, Mustapha Kamel; Normand, Corinne; Berrebeh, Nihel; Sitbon, Olivier; Humbert, Marc; Guignabert, Christophe; Tu, Ly; Savale, Laurent] Univ Paris Saclay, UMR S 999, HPPIT, Le Kremlin Bicetre, France; [Robert, Fabien; Certain, Marie-Caroline; Baron, Audrey; Thuillet, Raphael; Ottaviani, Mina; Chelgham, Mustapha Kamel; Normand, Corinne; Berrebeh, Nihel; Sitbon, Olivier; Humbert, Marc; Guignabert, Christophe; Tu, Ly; Savale, Laurent] INSERM, HPPIT, UMR S 999, Le Kremlin Bicetre, France; [Certain, Marie-Caroline; Baron, Audrey; Humbert, Marc; Savale, Laurent] Hop Bicetre, AP HP, Ctr R eference Hypertens Pulm PulmoTens, Serv Pneumol &amp; Soins Intensifs Resp, Le Kremlin Bicetre, France; [Duhaut, Lea; Coilly, Audrey] Hop Paul Brousse, AP HP, Ctr Hepato Biliaire, Villejuif, France; [Duhaut, Lea; Gonzales, Emmanuel; Jacquemin, Emmanuel; Coilly, Audrey] Univ Paris Saclay, INSERM, UMR S 1193, Orsay, France; [Ricard, Nicolas; Desroches-Castan, Agnes; Bailly, Sabine] Grenoble Alpes Univ, INSERM, Commissariat Energie Atom &amp; Energies Alte, Biosante Unit,UMR S 1292, Grenoble, France; [Furlan, Valerie] Hop Bicetre, AP HP, Serv Pharmacol Toxicol, Le Kremlin Bicetre, France; [Gonzales, Emmanuel; Jacquemin, Emmanuel] Natl Reference Ctr Biliary Atresia &amp; Genet Choles, Hop Bicetre, AP HP, Pediat Hepatol &amp; Liver Transplantat Unit, Le Kremlin Bicetre, France</t>
  </si>
  <si>
    <t>Universite Paris Saclay; Universite Paris Saclay; Institut National de la Sante et de la Recherche Medicale (Inserm); Universite Paris Saclay; Assistance Publique Hopitaux Paris (APHP); Hopital Universitaire Bicetre - APHP; Hopital Universitaire Antoine-Beclere - APHP; Assistance Publique Hopitaux Paris (APHP); Hopital Universitaire Paul-Brousse - APHP; Institut National de la Sante et de la Recherche Medicale (Inserm); Universite Paris Saclay; Institut National de la Sante et de la Recherche Medicale (Inserm); Communaute Universite Grenoble Alpes; Universite Grenoble Alpes (UGA); Universite Paris Saclay; Assistance Publique Hopitaux Paris (APHP); Hopital Universitaire Antoine-Beclere - APHP; Hopital Universitaire Bicetre - APHP; Assistance Publique Hopitaux Paris (APHP); Hopital Universitaire Antoine-Beclere - APHP; Universite Paris Saclay; Hopital Universitaire Bicetre - APHP</t>
  </si>
  <si>
    <t>Savale, L (corresponding author), Fac Med Paris Saclay, UMR S 999, Batiment Rech 2e Etage,63 Rue Gabriel Peri, F-94276 Le Kremlin Bicetre, France.</t>
  </si>
  <si>
    <t>Humbert, Marc/AAC-8459-2019; Savale, Laurent/AAJ-9781-2020; TU, Ly/G-4035-2013; GUIGNABERT, Christophe/G-3873-2013</t>
  </si>
  <si>
    <t>ROBERT, Fabien/0000-0003-3132-8706; Castan, Agnes/0000-0002-3301-9504; TU, Ly/0000-0003-2336-5099; GUIGNABERT, Christophe/0000-0002-8545-4452</t>
  </si>
  <si>
    <t>French National Institute for Health and Medical Research (INSERM); Universite Paris Saclay; Fondation pour la Recherche Medicale grant [EQU202203014670]; Agence Nationale de la Recherche [ANR-16-CE17-0014, ANR-17-CE14-0006]; Assistance Publique-Hopitaux de Paris; Chancellerie des Universit es (Legs Poix); Fondation du Souffle; Ile-de-France region; Contrat d'Interface INSERM; Agence Nationale de la Recherche (ANR) [ANR-16-CE17-0014, ANR-17-CE14-0006] Funding Source: Agence Nationale de la Recherche (ANR)</t>
  </si>
  <si>
    <t>French National Institute for Health and Medical Research (INSERM)(Institut National de la Sante et de la Recherche Medicale (Inserm)); Universite Paris Saclay; Fondation pour la Recherche Medicale grant(Fondation pour la Recherche Medicale); Agence Nationale de la Recherche(Agence Nationale de la Recherche (ANR)); Assistance Publique-Hopitaux de Paris; Chancellerie des Universit es (Legs Poix); Fondation du Souffle; Ile-de-France region(Region Ile-de-France); Contrat d'Interface INSERM; Agence Nationale de la Recherche (ANR)(Agence Nationale de la Recherche (ANR))</t>
  </si>
  <si>
    <t>Supported by grants from the French National Institute for Health and Medical Research (INSERM); Universite Paris Saclay; Marie Lannelongue Hospital; Fondation pour la Recherche Medicale grant EQU202203014670; Agence Nationale de la Recherche grants ANR-16-CE17-0014 and ANR-17-CE14-0006; Assistance Publique-Hopitaux de Paris, Service de Pneumologie, Centre de Reference de l'Hypertension Pulmonaire Sev ere; Chancellerie des Universit es (Legs Poix); a Ph.D. fellowship from the Fondation du Souffle (F.R.); a Ph.D. fellowship from the Ile-de-France region (ARDoc Health; N.B.); and a Contrat d'Interface INSERM (L.S.).</t>
  </si>
  <si>
    <t>AMER THORACIC SOC</t>
  </si>
  <si>
    <t>25 BROADWAY, 18 FL, NEW YORK, NY 10004 USA</t>
  </si>
  <si>
    <t>1073-449X</t>
  </si>
  <si>
    <t>1535-4970</t>
  </si>
  <si>
    <t>AM J RESP CRIT CARE</t>
  </si>
  <si>
    <t>Am. J. Respir. Crit. Care Med.</t>
  </si>
  <si>
    <t>10.1164/rccm.202307-1289OC</t>
  </si>
  <si>
    <t>U6L7J</t>
  </si>
  <si>
    <t>WOS:001412890800016</t>
  </si>
  <si>
    <t>Stourm, L; Grynblat, J; Savale, L; Lacoste-Palasset, T; Jaïs, X; Coulet, F; Levy, M; Bonnet, D; Meyrignac, O; Sitbon, O; Goupil, F; Humbert, M; Gagnadoux, F; Montani, D</t>
  </si>
  <si>
    <t>Stourm, Laura; Grynblat, Julien; Savale, Laurent; Lacoste-Palasset, Thomas; Jais, Xavier; Coulet, Florence; Levy, Marilyne; Bonnet, Damien; Meyrignac, Olivier; Sitbon, Olivier; Goupil, Francois; Humbert, Marc; Gagnadoux, Frederic; Montani, David</t>
  </si>
  <si>
    <t>Pulmonary hypertension in patients carrying FLNA loss-of-function variants</t>
  </si>
  <si>
    <t>[Stourm, Laura] Angers Univ Hosp, Le Mans Gen Hosp, Dept Resp Dis, Dept Resp &amp; Sleep Med, Le Mans, France; [Grynblat, Julien] Univ Paris Cite, Hop Necker Enfants Malad, AP HP, Cardiol Congenitale &amp; Pediat,M3C Necker, Paris, France; [Grynblat, Julien; Savale, Laurent; Lacoste-Palasset, Thomas; Jais, Xavier; Sitbon, Olivier; Humbert, Marc] Univ Paris Saclay, Sch Med, Le Kremlin Bicetre, France; [Grynblat, Julien; Savale, Laurent; Lacoste-Palasset, Thomas; Jais, Xavier; Sitbon, Olivier; Montani, David] Marie Lannelongue Hosp, UMR S 999, INSERM, Pulm hypertens pathophysiol &amp; novel therapies, Paris, France; [Grynblat, Julien; Savale, Laurent; Lacoste-Palasset, Thomas; Jais, Xavier; Sitbon, Olivier; Montani, David] Bicetre Hosp, Paris, France; [Coulet, Florence; Humbert, Marc; Montani, David] Bicetre Hosp, Assistance Publ Hop Paris AP HP, Pulm hypertens Natl referral Ctr, Dept Resp &amp; intens care Med, Paris, France; [Coulet, Florence] Sorbonne Univ, Hop Pitie Salpetriere, Assistance Publ Hop Paris, Dept genet, F-75013 Paris, France; [Levy, Marilyne; Bonnet, Damien] Univ Paris Cite, Hop Necker Enfants Malad, AP HP, Cardiol Congenitale &amp; Pediat Paris France,M3C Neck, Paris, France; [Meyrignac, Olivier] Hop Univ Paris Sud, AP HP, Serv Radiol Diagnost &amp; Intervent adulte, DMU Smart Imaging 14, 78 Rue Gen Leclerc, F-94270 Paris, France; [Goupil, Francois] Le Mans Gen Hosp, Dept Resp Dis, Le Mans, France; [Gagnadoux, Frederic] Angers Univ Hosp, Dept Resp &amp; Sleep Med, Angers, France</t>
  </si>
  <si>
    <t>Universite d'Angers; Centre Hospitalier Universitaire d'Angers; Centre Hospitalier Le Mans; Assistance Publique Hopitaux Paris (APHP); Universite Paris Cite; Hopital Universitaire Necker-Enfants Malades - APHP; Universite Paris Saclay; Institut National de la Sante et de la Recherche Medicale (Inserm); Hopital Marie Lannelongue; Assistance Publique Hopitaux Paris (APHP); Hopital Universitaire Bicetre - APHP; Assistance Publique Hopitaux Paris (APHP); Hopital Universitaire Bicetre - APHP; Sorbonne Universite; Assistance Publique Hopitaux Paris (APHP); Universite Paris Cite; Hopital Universitaire Saint-Louis - APHP; Hopital Universitaire Pitie-Salpetriere - APHP; Assistance Publique Hopitaux Paris (APHP); Universite Paris Cite; Hopital Universitaire Necker-Enfants Malades - APHP; Assistance Publique Hopitaux Paris (APHP); Hopital Universitaire Bicetre - APHP; Centre Hospitalier Le Mans; Universite d'Angers; Centre Hospitalier Universitaire d'Angers</t>
  </si>
  <si>
    <t>Stourm, L (corresponding author), Angers Univ Hosp, Le Mans Gen Hosp, Dept Resp Dis, Dept Resp &amp; Sleep Med, Le Mans, France.</t>
  </si>
  <si>
    <t>laura.stourm@gmail.com</t>
  </si>
  <si>
    <t>Humbert, Marc/AAC-8459-2019; GRYNBLAT, Julien/KXS-1813-2024; David, Montani/I-6885-2019; Savale, Laurent/AAJ-9781-2020</t>
  </si>
  <si>
    <t>PA1604</t>
  </si>
  <si>
    <t>10.1183/13993003.congress-2024.PA1604</t>
  </si>
  <si>
    <t>M3O6M</t>
  </si>
  <si>
    <t>WOS:001356673700060</t>
  </si>
  <si>
    <t>Todesco, A; Grynblat, J; Akoumia, FK; Bonnet, D; Mendes-Ferreira, P; Morisset, S; Chemla, D; Levy, M; Meot, M; Malekzadeh-Milani, S; Tielemans, B; Decante, B; Vastel-Amzallag, C; Maria-Rosa, G; Humbert, M; Montani, D; Boulate, D; Perros, F</t>
  </si>
  <si>
    <t>Todesco, Alban; Grynblat, Julien; Akoumia, Firmin Kouame; Bonnet, Damien; Mendes-Ferreira, Pedro; Morisset, Stephane; Chemla, Denis; Levy, Marilyne; Meot, Mathilde; Malekzadeh-Milani, Sophie; Tielemans, Birger; Decante, Benoit; Vastel-Amzallag, Carine; Maria-Rosa, Ghigna; Humbert, Marc; Montani, David; Boulate, David; Perros, Frederic</t>
  </si>
  <si>
    <t>Pulmonary hypertension induced by right pulmonary artery occlusion: hemodynamic consequences of Bmpr2 mutation</t>
  </si>
  <si>
    <t>[Todesco, Alban] Aix Marseille Univ, North Hosp, Assistance Publ Hop Marseille, Dept Thorac Surg,Dis Esophagus &amp; Lung Transplantat, Le Plessis Robinson, France; [Grynblat, Julien] INSERM UMR S 999 Pulm Hypertens Pathophysiol &amp; Nov, Le Plessis Robinson, France; [Grynblat, Julien] Univ Paris Cite, Hop Necker Enfants Malad, AP HP, Cardiol Congenitale &amp; Pediat,M3C Necker, M3C-Necker, Paris, France; [Grynblat, Julien] Univ Paris Saclay, Fac Med Kremlin Bicetre, Paris, France; [Akoumia, Firmin Kouame; Chemla, Denis] INSERM U 999, Paris, France; [Bonnet, Damien; Morisset, Stephane; Levy, Marilyne; Meot, Mathilde; Malekzadeh-Milani, Sophie] Univ Paris, M3C-Necker Enfants Malad, Paris, France; [Mendes-Ferreira, Pedro] Univ Porto, Fac Med, Porto, Portugal; [Tielemans, Birger] Univ Leuven KU Leuven, Leuven, Belgium; [Decante, Benoit] Grp Hosp Paris St Joseph, Marie Lannelongue Hosp, Paris, France; [Vastel-Amzallag, Carine] Ctr Specialites Pediat Est Parisien, Paediat Cardiol, F-94000 Paris, France; [Maria-Rosa, Ghigna; Boulate, David; Perros, Frederic] INSERM U999, Paris, France; [Humbert, Marc; Montani, David] Univ Paris Saclay, INSERM U999, Paris, France</t>
  </si>
  <si>
    <t>Aix-Marseille Universite; Assistance Publique-Hopitaux de Marseille; Institut National de la Sante et de la Recherche Medicale (Inserm); Assistance Publique Hopitaux Paris (APHP); Universite Paris Cite; Hopital Universitaire Necker-Enfants Malades - APHP; Universite Paris Saclay; Institut National de la Sante et de la Recherche Medicale (Inserm); Assistance Publique Hopitaux Paris (APHP); Universite Paris Cite; Hopital Universitaire Necker-Enfants Malades - APHP; Universidade do Porto; KU Leuven; Hopital Marie Lannelongue; Universite Paris Cite; Hopital Paris Saint-Joseph; Institut National de la Sante et de la Recherche Medicale (Inserm); Universite Paris Saclay; Institut National de la Sante et de la Recherche Medicale (Inserm); Universite Paris Saclay</t>
  </si>
  <si>
    <t>Todesco, A (corresponding author), Aix Marseille Univ, North Hosp, Assistance Publ Hop Marseille, Dept Thorac Surg,Dis Esophagus &amp; Lung Transplantat, Le Plessis Robinson, France.</t>
  </si>
  <si>
    <t>alban.todesco@ap-hm.fr</t>
  </si>
  <si>
    <t>Boulate, David/ABC-8057-2020; GRYNBLAT, Julien/KXS-1813-2024; David, Montani/I-6885-2019; Perros, Frédéric/N-6921-2017; Humbert, Marc/AAC-8459-2019</t>
  </si>
  <si>
    <t>Tielemans, birger/0000-0002-1775-1797</t>
  </si>
  <si>
    <t>PA3430</t>
  </si>
  <si>
    <t>10.1183/13993003.congress-2024.PA3430</t>
  </si>
  <si>
    <t>M3A9V</t>
  </si>
  <si>
    <t>WOS:001356314100082</t>
  </si>
  <si>
    <t>Turquier, S; Diesler, R; Reynaud-Gaubert, M; Loriau, C; Lacoste-Palasset, T; Valentin, V; Quétant, S; Chaouat, A; Boissin, C; Noël-Savina, E; Tromeur, C; Bergot, E; Picard, F; Artaudmacari, E; Nunes, H; Bertoletti, L; Magro, P; Langlard, DH; Duprez, M; Bonniaud, P; Dauphin, C; Lamia, B; Riou, M; Sanchez, O; Palat, S; Raharison, D; Rottat, L; Zeghmar, S; Nieves-Martinez, A; Ahmad, K; Boucly, A; Montani, D; Lamblin, N; Degano, B; Bourdin, A; Humbert, M; Subtil, F; Sitbon, O; Cottin, V</t>
  </si>
  <si>
    <t>Turquier, Segolene; Diesler, Remi; Reynaud-Gaubert, Martine; Loriau, Charlotte; Lacoste-Palasset, Thomas; Valentin, Victor; Quetant, Sebastien; Chaouat, Ari; Boissin, Clement; Noel-Savina, Elise; Tromeur, Cecile; Bergot, Emmanuel; Picard, Francois; Artaudmacari, Elise; Nunes, Hilario; Bertoletti, Laurent; Magro, Pascal; Langlard, Delphine Horeau; Duprez, Mathilde; Bonniaud, Philippe; Dauphin, Claire; Lamia, Bouchra; Riou, Marianne; Sanchez, Olivier; Palat, Sylvain; Raharison, Dina; Rottat, Laurence; Zeghmar, Sabrina; Nieves-Martinez, Ana; Ahmad, Kais; Boucly, Athenais; Montani, David; Lamblin, Nicolas; Degano, Bruno; Bourdin, Arnaud; Humbert, Marc; Subtil, Fabien; Sitbon, Olivier; Cottin, Vincent</t>
  </si>
  <si>
    <t>Pulmonary vascular resistance to predict one-year survival in ILD-PH</t>
  </si>
  <si>
    <t>[Turquier, Segolene; Diesler, Remi; Loriau, Charlotte; Raharison, Dina; Zeghmar, Sabrina; Ahmad, Kais; Subtil, Fabien; Cottin, Vincent] Univ Claude Bernard, Hop Louis Pradel, Lyon, France; [Reynaud-Gaubert, Martine; Nieves-Martinez, Ana] Univ Aix Marseille, Ctr Hosp Univ Nord, Marseille, France; [Lacoste-Palasset, Thomas; Rottat, Laurence; Boucly, Athenais; Montani, David; Humbert, Marc; Sitbon, Olivier] Univ Paris Saclay, Hop Bicetre, Le Kremlin Bicetre, France; [Valentin, Victor; Lamblin, Nicolas] Univ Lille, CHU Lille, Lille, France; [Quetant, Sebastien; Degano, Bruno] CHU Grenoble Alpes, Grenoble, France; [Chaouat, Ari] CHU Nancy, Nancy, France; [Boissin, Clement; Bourdin, Arnaud] CHU Montpellier, Montpellier, France; [Noel-Savina, Elise] CHU Toulouse, Toulouse, France; [Tromeur, Cecile] Univ Bretagne Occidentale, Hop Cavale Blanche, Brest, France; [Noel-Savina, Elise] Univ Caen Normandie, CHU Caen, Caen, France; [Tromeur, Cecile] CHU Bordeaux, Bordeaux, France; [Bergot, Emmanuel] Univ Rouen Normandie, CHU Rouen, Rouen, France; [Picard, Francois] Univ Sorbonne Paris Nord, Hop Avicenne, Bobigny, France; [Artaudmacari, Elise] Univ Jean Monnet, CHU St Etienne, St Etienne, France; [Nunes, Hilario] CHU Tours, Tours, France; [Bertoletti, Laurent; Langlard, Delphine Horeau] CHU Nantes, Nantes, France; [Magro, Pascal; Duprez, Mathilde] CHU Besancon, Besancon, France; [Bonniaud, Philippe] CHU Dijon, Inserm 1231, Dijon, France; [Dauphin, Claire] CHU Clermont Ferrand, Clermont Ferrand, France; [Lamia, Bouchra] Univ Rouen Normandie, Grp Hosp Havre, Le Havre, France; [Riou, Marianne] Nouvel Hop Civil, Strasbourg, France; [Sanchez, Olivier] Univ Paris Cite, Hop Europeen Georges Pompidou, Paris, France; [Palat, Sylvain] CHU Limoges, Limoges, France</t>
  </si>
  <si>
    <t>CHU Lyon; Universite Claude Bernard Lyon 1; Aix-Marseille Universite; Assistance Publique-Hopitaux de Marseille; Universite Paris Saclay; Assistance Publique Hopitaux Paris (APHP); Hopital Universitaire Bicetre - APHP; Hopital Universitaire Antoine-Beclere - APHP; Universite de Lille; CHU Lille; CHU Grenoble Alpes; CHU de Nancy; Universite de Montpellier; CHU de Montpellier; Universite de Toulouse; Universite Toulouse III - Paul Sabatier; CHU de Toulouse; CHU Brest; Universite de Bretagne Occidentale; CHU de Caen NORMANDIE; Universite de Caen Normandie; CHU Bordeaux; Universite de Bordeaux; Universite de Rouen Normandie; CHU de Rouen; Universite Paris 13; Assistance Publique Hopitaux Paris (APHP); Hopital Universitaire Avicenne - APHP; CHU de St Etienne; CHU Tours; Nantes Universite; CHU de Nantes; Universite de Franche-Comte; CHU Besancon; Institut Agro; AgroSup Dijon; Institut National de la Sante et de la Recherche Medicale (Inserm); Universite de Bourgogne; CHU Dijon Bourgogne; CHU Clermont Ferrand; Universite de Rouen Normandie; CHU Strasbourg; Assistance Publique Hopitaux Paris (APHP); Universite Paris Cite; Hopital Universitaire Europeen Georges-Pompidou - APHP; CHU Limoges</t>
  </si>
  <si>
    <t>segolene.turquier@chu-lyon.fr</t>
  </si>
  <si>
    <t>David, Montani/I-6885-2019; Humbert, Marc/AAC-8459-2019; Diesler, Rémi/GYR-1216-2022</t>
  </si>
  <si>
    <t>PA3417</t>
  </si>
  <si>
    <t>10.1183/13993003.congress-2024.PA3417</t>
  </si>
  <si>
    <t>WOS:001356314100094</t>
  </si>
  <si>
    <t>Weatherald, J; Hemnes, AR; Maron, BA; Mielniczuk, LM; Gerges, C; Price, LC; Hoeper, MM; Humbert, M</t>
  </si>
  <si>
    <t>Weatherald, Jason; Hemnes, Anna R.; Maron, Bradley A.; Mielniczuk, Lisa M.; Gerges, Christian; Price, Laura C.; Hoeper, Marius M.; Humbert, Marc</t>
  </si>
  <si>
    <t>Phenotypes in pulmonary hypertension</t>
  </si>
  <si>
    <t>ARTERIAL-HYPERTENSION; WEDGE PRESSURE; HEART-FAILURE; IMMUNOSUPPRESSIVE THERAPY; INHALED TREPROSTINIL; VASCULAR-RESISTANCE; CLINICAL-OUTCOMES; CLUSTER-ANALYSIS; PRE-CAPILLARY; LUNG-DISEASE</t>
  </si>
  <si>
    <t>The clinical classification of pulmonary hypertension (PH) has guided diagnosis and treatment of patients with PH for several decades. Discoveries relating to underlying mechanisms, pathobiology and responses to treatments for PH have informed the evolution in this clinical classification to describe the heterogeneity in PH phenotypes. In more recent years, advances in imaging, computational science and multi-omic approaches have yielded new insights into potential phenotypes and sub-phenotypes within the existing clinical classification. Identification of novel phenotypes in pulmonary arterial hypertension (PAH) with unique molecular profiles, for example, could lead to new precision therapies. Recent phenotyping studies have also identified groups of patients with PAH that more closely resemble patients with left heart disease (group 2 PH) and lung disease (group 3 PH), which has important prognostic and therapeutic implications. Within group 2 and group 3 PH, novel phenotypes have emerged that reflect a persistent and severe pulmonary vasculopathy that is associated with worse prognosis but still distinct from PAH. In group 4 PH (chronic thromboembolic pulmonary disease) and sarcoidosis (group 5 PH), the current approach to patient phenotyping integrates clinical, haemodynamic and imaging characteristics to guide treatment but applications of multi-omic approaches to sub-phenotyping in these areas are sparse. The next iterations of the PH clinical classification are likely to reflect several emerging PH phenotypes and improve the next generation of prognostication tools and clinical trial design, and improve treatment selection in clinical practice.</t>
  </si>
  <si>
    <t>[Weatherald, Jason] Univ Alberta, Dept Med, Div Pulm Med, Edmonton, AB, Canada; [Hemnes, Anna R.] Vanderbilt Univ, Med Ctr, Div Allergy Pulm &amp; Crit Care Med, Nashville, TN USA; [Maron, Bradley A.] Univ Maryland, Sch Med, Dept Med, Baltimore, MD USA; [Maron, Bradley A.] Univ Maryland, Inst Hlth Comp, Bethesda, MD USA; [Mielniczuk, Lisa M.] Univ Ottawa, Heart Inst, Dept Med, Div Cardiol, Ottawa, ON, Canada; [Gerges, Christian] Med Univ Vienna, Dept Internal Med, Div Cardiol, Vienna, Austria; [Price, Laura C.] Royal Brompton Hosp, Natl Pulm Hypertens Serv, London, England; [Hoeper, Marius M.] Hannover Med Sch, Dept Resp Med &amp; Infect Dis, Hannover, Germany; [Hoeper, Marius M.] German Ctr Lung Res DZL, Biomed Res Endstage &amp; Obstruct Lung Dis Hannover B, Hannover, Germany; [Humbert, Marc] Univ Paris Saclay, Fac Med Pulm Hypertens Pathophysiol &amp; Novel Therap, INSERM, UMR 1178, Le Kremlin Bicetre, France; [Humbert, Marc] Hop Marie Lannelongue, INSERM, UMR S Pulm Hypertens Pathophysiol &amp; Novel Therapie, Le Plessis Robinson, France; [Humbert, Marc] Hop Bicetre, Publ Hop Paris, Dept Resp &amp; Intens Care Med, ERN LUNG, Le Kremlin Bicetre, France</t>
  </si>
  <si>
    <t>University of Alberta; Vanderbilt University; University System of Maryland; University of Maryland Baltimore; University of Ottawa; University of Ottawa Heart Institute; Medical University of Vienna; Royal Brompton Hospital; Hannover Medical School; Institut National de la Sante et de la Recherche Medicale (Inserm); Universite Paris Saclay; Universite Paris Cite; Hopital Marie Lannelongue; Institut National de la Sante et de la Recherche Medicale (Inserm); Assistance Publique Hopitaux Paris (APHP); Hopital Universitaire Bicetre - APHP; Hopital Universitaire Antoine-Beclere - APHP; Universite Paris Saclay</t>
  </si>
  <si>
    <t>Weatherald, J (corresponding author), Univ Alberta, Dept Med, Div Pulm Med, Edmonton, AB, Canada.</t>
  </si>
  <si>
    <t>weathera@ualberta.ca</t>
  </si>
  <si>
    <t>Hemnes, Anna/HDN-4762-2022; Hoeper, Marius/Z-1546-2019; Gerges, Christian/K-7362-2013; Humbert, Marc/AAC-8459-2019</t>
  </si>
  <si>
    <t>Gerges, Christian/0000-0002-6777-0996; Price, Laura/0000-0001-5250-660X; Humbert, Marc/0000-0003-0703-2892; Hoeper, Marius/0000-0001-9086-2293</t>
  </si>
  <si>
    <t>NIH; Gossamer Bio, United Therapeutics; Tenax Therapeutics [9605047]; NIH/NHLBI; Actelion; Merck; Janssen; Ferrer; AstraZeneca; Ferrer Pharmaceuticals; Acceleron; AOP Orphan; Chiesi; United Therapeutics</t>
  </si>
  <si>
    <t>NIH(United States Department of Health &amp; Human ServicesNational Institutes of Health (NIH) - USA); Gossamer Bio, United Therapeutics; Tenax Therapeutics; NIH/NHLBI(United States Department of Health &amp; Human ServicesNational Institutes of Health (NIH) - USANIH National Heart Lung &amp; Blood Institute (NHLBI)); Actelion; Merck(Merck &amp; Company); Janssen(Johnson &amp; JohnsonJohnson &amp; Johnson USAJanssen Biotech Inc); Ferrer; AstraZeneca(AstraZeneca); Ferrer Pharmaceuticals; Acceleron; AOP Orphan; Chiesi(Chiesi Pharmaceuticals Inc); United Therapeutics</t>
  </si>
  <si>
    <t>leadership role on the medical advisory committee for Pulmonary Hypertension Association of Canada, outside the submitted work. A.R. Hemnes reports grants from NIH; consulting fees from Gossamer Bio, United Therapeutics, Bayer, Janssen, Merch and Tenax Therapeutics; advisory board participation with NIH/NHLBI; leadership roles with the Nashville Ballet and Pulmonary Vascular Research Institute; and stock or stock options with Tenax Therapeutics, outside the submitted work. B.A. Maron reports grants from NIH/NHLBI; consulting fees from Actelion and Tenax Therapeutics; and the following patents: PCT/US2019/059890, #9605047 and PCT/US2020/066886, outside the submitted work. L.M. Mielniczuk reports consulting fees from Bayer, Merck and Janssen; lecture honoraria from Janssen and Merck; and leadership roles as Chair of Pulmonary Hypertension Association of Canada and Vice President of Canadian Heart Failure Society, outside the submitted work. C. Gerges reports support for the present manuscript from OrphaCare; outside the submitted work, C. Gerges reports lecture honoraria from AOPHealth, AstraZeneca, Janssen and Ferrer; and travel support from AOPHealth, AstraZeneca, Cordis, Janssen and MSD. L.C. Price reports grants from Ferrer; lecture honoraria from Janssen, Ferrer and MSD; travel support from Janssen, Ferrer Pharmaceuticals and Altavant; and advisory board participation with Janssen, outside the submitted work. M.M. Hoeper reports consulting fees from Acceleron, Actelion, Altavant, AOP Health, Bayer, Ferrer, Gossamer Bio, Janssen, Keros and MSD; lecture honoraria from Acceleron, Actelion, AOP Health, Bayer, Ferrer, Janssen and MSD; and US patent application #63466014 (Methods of improving lung diffusion capacity in a patients with pulmonary arterial hypertension, application filed by MSD) , outside the submitted work. M. Humbert reports grants from Acceleron, AOP Orphan, Janssen, Merck and Shou Ti; consulting fees from Acceleron, Aerovate, Altavant, AOP Orphan, Bayer, Chiesi, Ferrer, Janssen, Merck, MorphogenIX, Shou Ti and United Therapeutics; lecture honoraria from Janssen and Merck; and advisory board participation with Acceleron, Altavant, Janssen, Merck and United Therapeutics, outside the submitted work.</t>
  </si>
  <si>
    <t>10.1183/13993003.01633-2023</t>
  </si>
  <si>
    <t>WOS:001322513500008</t>
  </si>
  <si>
    <t>Pitre, T; Desai, K; Mah, J; Zeraatkar, D; Humbert, M</t>
  </si>
  <si>
    <t>Pitre, Tyler; Desai, Kairavi; Mah, Jasmine; Zeraatkar, Dena; Humbert, Marc</t>
  </si>
  <si>
    <t>Comparative Effectiveness of Sotatercept and Approved Add-On Pulmonary Arterial Hypertension Therapies A Systematic Review and Network Meta-Analysis</t>
  </si>
  <si>
    <t>ANNALS OF THE AMERICAN THORACIC SOCIETY</t>
  </si>
  <si>
    <t>sotatercept; meta-analysis; PAH</t>
  </si>
  <si>
    <t>ENDOTHELIN RECEPTOR ANTAGONIST; 5 INHIBITOR THERAPY; ORAL TREPROSTINIL; INHALED ILOPROST; BOSENTAN; SELEXIPAG; CERTAINTY; TADALAFIL; GUIDANCE</t>
  </si>
  <si>
    <t>Background: There are no direct comparisons of sotatercept to add-on therapies approved for pulmonary arterial hypertension (PAH). Objective: This study aimed to compare the efficacy and safety of add-on sotatercept versus other add-on therapies using a network meta-analysis. Data Sources: We searched MEDLINE, Embase, Cochrane Central Register of Controlled Trials, and clinicaltrials.gov until April 15, 2023, for randomized trials involving patients with PAH who were treated with add-on sotatercept or other add-on PAH therapies. Data Extraction: Data extraction and risk-of-bias assessments were performed independently and in duplicate using the Cochrane RoB 2.0 tool. We performed a frequentist random-effects network meta-analysis using the restricted maximum-likelihood estimator and assessed the certainty of evidence using the GRADE (grading of recommendations assessment development, and evaluation) approach. Synthesis: Our search found 18 trials (5,777 patients) eligible for analysis. Sotatercept reduces clinical worsening as compared with placebo (relative risk [RR], 0.21; 95% confidence interval [CI] = 0.11-0.41; with high certainty). Sotatercept probably reduces clinical worsening more, compared with add-on endothelin receptor antagonists (RR, 0.28; 95% CI = 0.14-0.55), inhaled prostanoid (RR, 40.21; 95% CI = 0.07-0.67), and prostanoid taken orally (RR, 0.32; 95% CI = 0.16-0.67; all with moderate certainty). Sotatercept probably improves 6-minutewalk distance compared with placebo (mean difference [MD], 36.89 m; 95% CI = 25.26-48.51). Although sotatercept probably improves 6-minute-walk distance more than add-on endothelin receptor antagonists (MD, 18.38 m; 95% CI = 5.92-30.84) and prostanoid taken orally (MD, 25.66 m; 95% CI = 13.71-37.61), it did not exceed the minimal clinically important difference of 33m (both with moderate certainty). Conclusions: Sotatercept is an effective add-on therapy for PAH, likely superior to many approved add-on PAH therapies in reducing clinical worsening.</t>
  </si>
  <si>
    <t>[Pitre, Tyler] Univ Toronto, Div Respirol, Dept Med, Toronto, ON L8S 4L8, Canada; [Desai, Kairavi] McMaster Univ, Michael G DeGroote Sch Med, Hamilton, ON, Canada; [Zeraatkar, Dena] McMaster Univ, Dept Hlth Res Methods Evidence &amp; Impact, Hamilton, ON, Canada; [Zeraatkar, Dena] McMaster Univ, Dept Anesthesiol, Hamilton, ON, Canada; [Mah, Jasmine] Dalhousie Univ, Fac Med, Halifax, NS, Canada; [Humbert, Marc] Univ Paris Saclay, Hop Bicetre, Assistance Publ Hop Paris, INSERM UMR S 999,Dept Resp &amp; Intens Care Med, Le Kremlin Bicetre, France</t>
  </si>
  <si>
    <t>University of Toronto; McMaster University; McMaster University; McMaster University; Dalhousie University; Assistance Publique Hopitaux Paris (APHP); Universite Paris Cite; Hopital Universitaire Saint-Louis - APHP; Universite Paris Saclay; Hopital Universitaire Antoine-Beclere - APHP; Institut National de la Sante et de la Recherche Medicale (Inserm); Hopital Universitaire Bicetre - APHP</t>
  </si>
  <si>
    <t>Pitre, T (corresponding author), Univ Toronto, Div Respirol, Dept Med, Toronto, ON L8S 4L8, Canada.</t>
  </si>
  <si>
    <t>tyler.pitre@medportal.ca</t>
  </si>
  <si>
    <t>Zeraatkar, Dena/GNM-9600-2022; Pitre, Tyler/ABF-6387-2021; Humbert, Marc/AAC-8459-2019</t>
  </si>
  <si>
    <t>2329-6933</t>
  </si>
  <si>
    <t>2325-6621</t>
  </si>
  <si>
    <t>ANN AM THORAC SOC</t>
  </si>
  <si>
    <t>Ann. Am. Thoracic Society</t>
  </si>
  <si>
    <t>AUG</t>
  </si>
  <si>
    <t>10.1513/AnnalsATS.202311-942OC</t>
  </si>
  <si>
    <t>D1E8X</t>
  </si>
  <si>
    <t>WOS:001293697100011</t>
  </si>
  <si>
    <t>Zeder, K; Avian, A; Mak, S; Giannakoulas, G; Kawut, SM; Maron, BA; Humbert, M; Olschewski, H; Kovacs, G</t>
  </si>
  <si>
    <t>Zeder, Katarina; Avian, Alexander; Mak, Susanna; Giannakoulas, George; Kawut, Steven M.; Maron, Bradley A.; Humbert, Marc; Olschewski, Horst; Kovacs, Gabor</t>
  </si>
  <si>
    <t>Pulmonary arterial wedge pressure in healthy subjects: a meta-analysis</t>
  </si>
  <si>
    <t>DIAGNOSIS</t>
  </si>
  <si>
    <t>[Zeder, Katarina; Olschewski, Horst; Kovacs, Gabor] Med Univ Graz, Dept Internal Med, Div Pulmonol, Graz, Austria; [Zeder, Katarina; Olschewski, Horst; Kovacs, Gabor] Ludwig Boltzmann Inst Lung Vasc Res Graz, Graz, Austria; [Zeder, Katarina] Univ Maryland, Sch Med, Div Cardiovasc Med, Baltimore, MD 21201 USA; [Zeder, Katarina] Univ Maryland, Inst Hlth Comp, Bethesda, MD USA; [Avian, Alexander] Med Univ Graz, Inst Med Informat Stat &amp; Documentat, Graz, Austria; [Mak, Susanna] Univ Toronto, Dept Med, Div Cardiol, Toronto, ON, Canada; [Giannakoulas, George] Aristotle Univ Thessaloniki, Cardiol Dept, Thessaloniki, Greece; [Giannakoulas, George] AHEPA Univ Hosp, Thessaloniki, Greece; [Kawut, Steven M.] Univ Penn, Perelman Sch Med, Dept Med &amp; Epidemiol, Philadelphia, PA USA; [Humbert, Marc] Univ Paris Saclay, Hop Bicetre, Assistance Publ Hop Paris, Serv Pneumol &amp; Soins Intens Resp,ERN LUNG,Inserm U, Le Kremlin Bicetre, France</t>
  </si>
  <si>
    <t>Medical University of Graz; University System of Maryland; University of Maryland Baltimore; Medical University of Graz; University of Toronto; Aristotle University of Thessaloniki; Aristotle University of Thessaloniki; Ahepa University Hospital; University of Pennsylvania; Universite Paris Saclay; Assistance Publique Hopitaux Paris (APHP); Universite Paris Cite; Hopital Universitaire Saint-Louis - APHP; Hopital Universitaire Bicetre - APHP; Hopital Universitaire Antoine-Beclere - APHP; Institut National de la Sante et de la Recherche Medicale (Inserm)</t>
  </si>
  <si>
    <t>Olschewski, H (corresponding author), Med Univ Graz, Dept Internal Med, Div Pulmonol, Graz, Austria.;Olschewski, H (corresponding author), Ludwig Boltzmann Inst Lung Vasc Res Graz, Graz, Austria.</t>
  </si>
  <si>
    <t>horst.olschewski@medunigraz.at</t>
  </si>
  <si>
    <t>Olschewski, Horst/L-3547-2019; Giannakoulas, George/AAJ-5172-2020; Mak, Susanna/JAN-4314-2023; Zeder, Katarina/IUO-4213-2023; Humbert, Marc/AAC-8459-2019</t>
  </si>
  <si>
    <t>Zeder, Katarina/0000-0002-8415-727X; Kawut`, Steven/0000-0001-7896-0608; Giannakoulas, George/0000-0001-7491-6319; Olschewski, Horst/0000-0002-2834-7466; Humbert, Marc/0000-0003-0703-2892; Kovacs, Gabor/0000-0003-3709-2183</t>
  </si>
  <si>
    <t>Ferrer; AOP Orphan; Winmedica and Elpen Pharmaceuticals; Elpen Pharmaceuticals; NIH; Cardiovascular Medical Research and Education Fund; Janssen; Regeneron; Inari Medical; Liquidia; National Institutes of Health, Deerfield company; Tenax Therapeutics; Merck; United Therapeutics; Unither Pharmaceuticals; Roche; Pfizer Inc.; Gilead Sciences Inc., Encysive Pharmaceuticals Ltd; Nebu-Tec; Chiesi; MSD; Boehringer Ingelheim</t>
  </si>
  <si>
    <t>Ferrer; AOP Orphan; Winmedica and Elpen Pharmaceuticals; Elpen Pharmaceuticals; NIH(United States Department of Health &amp; Human ServicesNational Institutes of Health (NIH) - USA); Cardiovascular Medical Research and Education Fund; Janssen(Johnson &amp; JohnsonJohnson &amp; Johnson USAJanssen Biotech Inc); Regeneron(Regeneron); Inari Medical; Liquidia; National Institutes of Health, Deerfield company(United States Department of Health &amp; Human ServicesNational Institutes of Health (NIH) - USAOffice of the Administrator (NIH)); Tenax Therapeutics; Merck(Merck &amp; Company); United Therapeutics; Unither Pharmaceuticals; Roche(Roche Holding); Pfizer Inc.(Pfizer); Gilead Sciences Inc., Encysive Pharmaceuticals Ltd(Gilead Sciences); Nebu-Tec; Chiesi(Chiesi Pharmaceuticals Inc); MSD; Boehringer Ingelheim(Boehringer Ingelheim)</t>
  </si>
  <si>
    <t>manuscript writing or educational events from MSD and Janssen, and support for attending meetings from MSD, Janssen and Ferrer. G. Giannakoulas reports grants from AOP Orphan, Galenica, Winmedica and Elpen Pharmaceuticals, payment or honoraria for lectures, presentations, manuscript writing or educational events from Janssen, Ferrer, MSD and Elpen Pharmaceuticals, support for attending meetings from Elpen Pharmaceuticals, Janssen, MSD and Galenica, and participation on a data safety monitoring board or advisory board with Janssen, GSK and Gossamer. S.M. Kawut reports support for the present study from the NIH and the Cardiovascular Medical Research and Education Fund, consultancy fees from Janssen, Regeneron, PureTech Health and Morphic, payment or honoraria for lectures, presentations, manuscript writing or educational events from Janssen, Accredo, Actelion, Aerovate, Bayer, Inari Medical, Merck, United Therapeutics, Liquidia and Pfizer, support for attending meetings from Aerovate, participation on a data safety monitoring board or advisory board with United Therapeutics, Keros, Acceleon, Vivys, Aerovate, Proteo Biotech and Tiakis, a leadership role with the European Respiratory Journal, , stock (or stock options) with Verve Therapeutics, and receipt of equipment, materials, drugs, medical writing, gifts or other services from PhysIQ. B.A. Maron reports grants from the National Institutes of Health, Deerfield company and Actelion Pharmaceuticals, patents planned, issued or pending (patent pending for an antibody that inhibits lung thrombosis, and patent on redox switch in a protein that controls blood pressure) , and participation on a data safety monitoring board or advisory board with Tenax Therapeutics. M. Humbert reports grants from Gossamer and Merck, consultancy fees from 35 Pharma, Aerovate, AOP Orphan, Chiesi, Ferrer, Janssen, Keros, Merck and United Therapeutics, payment or honoraria for lectures, presentations, manuscript writing or educational events from Janssen and Merck, and participation on a data safety monitoring board or advisory board with 35 Pharma, Aerovate, Janssen, Keros, Merck and United Therapeutics. H. Olschewski reports grants from Bayer, Unither Pharmaceuticals, Actelion Pharmaceuticals Ltd, Roche, Boehringer Ingelheim and Pfizer Inc., consultancy fees from Gilead Sciences Inc., Encysive Pharmaceuticals Ltd and Nebu-Tec, payment or honoraria for lectures, presentations, manuscript writing or educational events from Bayer, Unither Pharmaceuticals, Actelion Pharmaceuticals Ltd, Pfizer Inc., Eli Lilly, Novartis, AstraZeneca, Boehringer Ingelheim, Chiesi, Menarini, MSD and GSK, and support for attending meetings from Bayer, Unither Pharmaceuticals, Actelion Pharmaceuticals Ltd, Pfizer Inc., Eli Lilly, Novartis, AstraZeneca, Boehringer Ingelheim, Chiesi, Menarini, MSD and GSK. G. Kovacs reports grants from Janssen and Boehringer Ingelheim, personal fees from Janssen, Boehringer Ingelheim, Bayer, MSD, Ferrer, GSK, AstraZeneca, AOP and Chiesi, and non-financial support from Janssen, Boehringer Ingelheim, MSD and AOP. The remaining authors have no potential conflicts of interest to disclose.</t>
  </si>
  <si>
    <t>AUG 1</t>
  </si>
  <si>
    <t>10.1183/13993003.00967-2024</t>
  </si>
  <si>
    <t>Q0K1R</t>
  </si>
  <si>
    <t>WOS:001381674700006</t>
  </si>
  <si>
    <t>Todesco, A; Grynblat, J; Akoumia, KKF; Bonnet, D; Mendes-Ferreira, P; Morisset, S; Chemla, D; Levy, M; Méot, M; Malekzadeh-Milani, SG; Tielemans, B; Decante, B; Vastel-Amzallag, C; Habert, P; Ghigna, MR; Humbert, M; Montani, D; Boulate, D; Perros, F</t>
  </si>
  <si>
    <t>Todesco, Alban; Grynblat, Julien; Akoumia, Kouame Kan Firmin; Bonnet, Damien; Mendes-Ferreira, Pedro; Morisset, Stephane; Chemla, Denis; Levy, Marilyne; Meot, Mathilde; Malekzadeh-Milani, Sophie-Guiti; Tielemans, Birger; Decante, Benoit; Vastel-Amzallag, Carine; Habert, Paul; Ghigna, Maria-Rosa; Humbert, Marc; Montani, David; Boulate, David; Perros, Frederic</t>
  </si>
  <si>
    <t>Pulmonary Hypertension Induced by Right Pulmonary Artery Occlusion: Hemodynamic Consequences of Bmpr2 Mutation</t>
  </si>
  <si>
    <t>JOURNAL OF THE AMERICAN HEART ASSOCIATION</t>
  </si>
  <si>
    <t>bone morphogenetic protein receptor type 2; pulmonary arterial hypertension; pulmonary artery occlusion; pulmonary hypertension</t>
  </si>
  <si>
    <t>RECEPTOR TYPE-II; VENTRICULAR FUNCTION; SEX-DIFFERENCES; SURVIVAL; EXERCISE; PROTEIN; PRESSURE; EXPRESSION; FIBULIN-2; ADULT</t>
  </si>
  <si>
    <t>Background The primary genetic risk factor for heritable pulmonary arterial hypertension is the presence of monoallelic mutations in the BMPR2 gene. The incomplete penetrance of BMPR2 mutations implies that additional triggers are necessary for pulmonary arterial hypertension occurrence. Pulmonary artery stenosis directly raises pulmonary artery pressure, and the redirection of blood flow to unobstructed arteries leads to endothelial dysfunction and vascular remodeling. We hypothesized that right pulmonary artery occlusion (RPAO) triggers pulmonary hypertension (PH) in rats with Bmpr2 mutations. Methods and Results Male and female rats with a 71 bp monoallelic deletion in exon 1 of Bmpr2 and their wild-type siblings underwent acute and chronic RPAO. They were subjected to full high-fidelity hemodynamic characterization. We also examined how chronic RPAO can mimic the pulmonary gene expression pattern associated with installed PH in unobstructed territories. RPAO induced precapillary PH in male and female rats, both acutely and chronically. Bmpr2 mutant and male rats manifested more severe PH compared with their counterparts. Although wild-type rats adapted to RPAO, Bmpr2 mutant rats experienced heightened mortality. RPAO induced a decline in cardiac contractility index, particularly pronounced in male Bmpr2 rats. Chronic RPAO resulted in elevated pulmonary IL-6 (interleukin-6) expression and decreased Gdf2 expression (corrected P value&lt;0.05 and log2 fold change&gt;1). In this context, male rats expressed higher pulmonary levels of endothelin-1 and IL-6 than females. Conclusions Our novel 2-hit rat model presents a promising avenue to explore the adaptation of the right ventricle and pulmonary vasculature to PH, shedding light on pertinent sex- and gene-related effects.</t>
  </si>
  <si>
    <t>[Todesco, Alban; Boulate, David] Aix Marseille Univ, North Hosp, AP HM, Dept Thorac Surg Dis Esophagus &amp; Lung Transplantat, Marseille, France; [Todesco, Alban; Grynblat, Julien; Akoumia, Kouame Kan Firmin; Chemla, Denis; Ghigna, Maria-Rosa; Humbert, Marc; Montani, David; Boulate, David; Perros, Frederic] INSERM, Pulm Hypertens Pathophysiol &amp; Novel Therapies, UMR S 999, Le Plessis Robinson, France; [Grynblat, Julien; Bonnet, Damien; Levy, Marilyne; Meot, Mathilde; Malekzadeh-Milani, Sophie-Guiti] Univ Paris Cite, Hop Necker Enfants Malad, AP HP, Cardiol Congenitale &amp; Pediat,M3C Necker, Paris, France; [Grynblat, Julien; Humbert, Marc; Montani, David] Univ Paris Saclay, Fac Med Kremlin Bicetre, Bures Sur Yvette, France; [Mendes-Ferreira, Pedro] Univ Porto, Cardiovasc R&amp;D Ctr, Dept Surg &amp; Physiol, UnIC RISE,Fac Med, Porto, Portugal; [Mendes-Ferreira, Pedro; Morisset, Stephane; Perros, Frederic] Univ Paris Saclay, Paris Porto Pulm Hypertens Collaborat Lab 3PH, INSERM, UMR S 999, Paris, France; [Tielemans, Birger] Katholieke Univ Leuven, Dept Imaging &amp; Pathol, Biomed MRI Unit Mosa, Leuven, Belgium; [Decante, Benoit] Paris Saclay Univ, Hop Marie Lannelongue, Grp Hosp Paris St Joseph, Preclin Res Lab,Pulm Hypertens Natl Referral Ctr, Le Plessis Robinson, France; [Vastel-Amzallag, Carine] CSPEP, Ctr Special Pediat Est Parisien, Paediat Cardiol, Creteil, France; [Habert, Paul] Gynepole North Hosp, AP HM, Marseille, France; [Habert, Paul] Aix Marseille Univ, LIIE, Marseille, France; [Ghigna, Maria-Rosa] Inst Gustave Roussy, Villejuif, France; [Humbert, Marc; Montani, David] Hop Marie Lannelongue, AP HP, Dept Resp &amp; Intens Care Med, Pulm Hypertens Natl Referral Ctr,DMU 5 Thorinno, Le Plessis Robinson, France; [Boulate, David] Aix Marseille Univ, COMPutat Pharmacol &amp; Clin Oncol COMPO, INRIA, INSERM, Marseille, France; [Perros, Frederic] Univ Claude Bernard Lyon 1, CarMeN Lab, INSERM, INRAE,U1397,U1060, Pierre Benite, France</t>
  </si>
  <si>
    <t>Aix-Marseille Universite; Assistance Publique-Hopitaux de Marseille; Universite Paris Saclay; Institut National de la Sante et de la Recherche Medicale (Inserm); Assistance Publique Hopitaux Paris (APHP); Universite Paris Cite; Hopital Universitaire Necker-Enfants Malades - APHP; Universite Paris Saclay; Universidade do Porto; Universite Paris Saclay; Institut National de la Sante et de la Recherche Medicale (Inserm); KU Leuven; Universite Paris Saclay; Universite Paris Cite; Hopital Paris Saint-Joseph; Hopital Marie Lannelongue; Aix-Marseille Universite; Assistance Publique-Hopitaux de Marseille; Aix-Marseille Universite; UNICANCER; Gustave Roussy; Hopital Marie Lannelongue; Assistance Publique Hopitaux Paris (APHP); Inria; Aix-Marseille Universite; Institut National de la Sante et de la Recherche Medicale (Inserm); INRAE; Universite Claude Bernard Lyon 1; Institut National de la Sante et de la Recherche Medicale (Inserm)</t>
  </si>
  <si>
    <t>Perros, F (corresponding author), INSERM, U1060, Lab CarMeN, Batiment CENS ELI 2D,Hop Lyon Sud Sect 2,165 Chemi, F-69310 Pierre Ben, France.</t>
  </si>
  <si>
    <t>frederic.perros@inserm.fr</t>
  </si>
  <si>
    <t>Ferreira, Pedro/AAT-7296-2020; Perros, Frédéric/N-6921-2017; Boulate, David/ABC-8057-2020; GRYNBLAT, Julien/KXS-1813-2024; Morisset, Stephane/B-9629-2019; Humbert, Marc/AAC-8459-2019</t>
  </si>
  <si>
    <t>Tielemans, birger/0000-0002-1775-1797; Ferreira, Pedro/0000-0003-3616-6785; Morisset, Stephane/0000-0002-7747-113X; Humbert, Marc/0000-0003-0703-2892; Ghigna, Maria Rosa/0000-0001-5996-665X; AKOUMIA, KOUAME KAN FIRMIN/0009-0000-8248-9628; GRYNBLAT, Julien/0000-0001-5593-3383; LEVY, Marilyne/0000-0003-2202-273X; Malekzadeh-Milani, sophie/0000-0002-9527-3671; Bonnet, Damien/0000-0002-8722-5805; CHEMLA, Denis/0000-0001-7479-9896</t>
  </si>
  <si>
    <t>French National Research Agency (Agence Nationale de la Recherche) [ANR-20-CE14-0006]; INSERM (International Research Project (IRP): Paris-Porto Pulmonary Hypertension Collaborative Laboratory (3PH)); Institut National de la Sante et de la Recherche Medicale (Poste d'accueil INSERM); French Pediatric Society; ADETEC (association chirurgicale pour le developpement et l'amelioration des techniques de depistage et de traitements des maladies cardio- vasculaires); Agence Nationale de la Recherche (ANR) [ANR-20-CE14-0006] Funding Source: Agence Nationale de la Recherche (ANR)</t>
  </si>
  <si>
    <t>French National Research Agency (Agence Nationale de la Recherche)(Agence Nationale de la Recherche (ANR)); INSERM (International Research Project (IRP): Paris-Porto Pulmonary Hypertension Collaborative Laboratory (3PH)); Institut National de la Sante et de la Recherche Medicale (Poste d'accueil INSERM); French Pediatric Society; ADETEC (association chirurgicale pour le developpement et l'amelioration des techniques de depistage et de traitements des maladies cardio- vasculaires); Agence Nationale de la Recherche (ANR)(Agence Nationale de la Recherche (ANR))</t>
  </si>
  <si>
    <t>Dr Perros received funding from the French National Research Agency (Agence Nationale de la Recherche, Grant ANR-20-CE14-0006) and from INSERM (International Research Project (IRP): Paris-Porto Pulmonary Hypertension Collaborative Laboratory (3PH)). Dr Grynblat is supported by Institut National de la Sante et de la Recherche Medicale (Poste d'accueil INSERM), and a scholarship from the French Pediatric Society. Dr Todesco is supported by ADETEC (association chirurgicale pour le developpement et l'amelioration des techniques de depistage et de traitements des maladies cardio- vasculaires).</t>
  </si>
  <si>
    <t>2047-9980</t>
  </si>
  <si>
    <t>J AM HEART ASSOC</t>
  </si>
  <si>
    <t>J. Am. Heart Assoc.</t>
  </si>
  <si>
    <t>JUL 16</t>
  </si>
  <si>
    <t>e034621</t>
  </si>
  <si>
    <t>10.1161/JAHA.124.034621</t>
  </si>
  <si>
    <t>ZA0S0</t>
  </si>
  <si>
    <t>WOS:001272458600019</t>
  </si>
  <si>
    <t>Issard, J; Fadel, E; Dolidon, S; Gerardin, B; Fabre, D; Mitilian, D; Mercier, O; Jevnikar, M; Jais, X; Humbert, M; Brenot, P</t>
  </si>
  <si>
    <t>Issard, Justin; Fadel, Elie; Dolidon, Samuel; Gerardin, Benoit; Fabre, Dominique; Mitilian, Delphine; Mercier, Olaf; Jevnikar, Mitja; Jais, Xavier; Humbert, Marc; Brenot, Philippe</t>
  </si>
  <si>
    <t>Balloon pulmonary angioplasty for proximal chronic thromboembolic pulmonary hypertension in patients ineligible for pulmonary endarterectomy</t>
  </si>
  <si>
    <t>morbidity; pulmonary endarterectomy</t>
  </si>
  <si>
    <t>THROMBOENDARTERECTOMY; PATHOPHYSIOLOGY; DIAGNOSIS; OUTCOMES; RISK</t>
  </si>
  <si>
    <t>Balloon pulmonary angioplasty (BPA) to treat chronic thromboembolic pulmonary hypertension (CTEPH) is generally reserved for distal obstruction precluding pulmonary endarterectomy (PEA) but can be used in patients with proximal disease who are at high surgical risk or refuse surgery. This single-center retrospective study compared BPA efficacy in patients with proximal versus distal CTEPH. Of the 478 patients, 36 had proximal disease, follow-up was 11.6 months and mean number of BPA 6. After BPA, PVR, and mean pulmonary artery pressure decreased significantly in the proximal and distal groups (from 6.5 to 4.0 WU and 39 to 31 mmHg and from 7.6 to 3.8 WU and 44 to 31 mmHg, respectively, p &lt; 0.001 for all comparisons). NYHA class also improved significantly in both groups, from 3 to 2, whereas the 6-min walk distance, cardiac output, and serum NT pro-BNP showed significant improvements only in the distal group. Thus, when PEA for CTEPH is technically feasible but not performed due to severe comorbidities or patient refusal, BPA can produce significant hemodynamic improvements, albeit less marked than in patients with distal disease. Better patient selection to BPA might improve outcomes in patients with proximal disease who are ineligible for PEA.</t>
  </si>
  <si>
    <t>[Issard, Justin; Fadel, Elie; Dolidon, Samuel; Gerardin, Benoit; Fabre, Dominique; Mitilian, Delphine; Mercier, Olaf; Brenot, Philippe] Marie Lannelongue Hosp, Thorac Surg Dept, GHPSJ, Le Plessis Robinson, France; [Jevnikar, Mitja; Jais, Xavier; Humbert, Marc] Bicetre Univ Hosp, AP HP, Pulmonol Dept, Le Kremlin Bicetre, France</t>
  </si>
  <si>
    <t>Hopital Marie Lannelongue; Assistance Publique Hopitaux Paris (APHP); Hopital Universitaire Bicetre - APHP</t>
  </si>
  <si>
    <t>Fadel, E (corresponding author), Hop Marie Lannelongue, Thorac Surg Dept, 133 Ave Resistance, Le Plessis Robinson, France.</t>
  </si>
  <si>
    <t>e.fadel@ghpsj.fr</t>
  </si>
  <si>
    <t>; Humbert, Marc/AAC-8459-2019</t>
  </si>
  <si>
    <t>JAIS, XAVIER/0000-0002-4104-7994; Humbert, Marc/0000-0003-0703-2892; Jevnikar, Mitja/0000-0003-0727-6790; Mercier, Olaf/0000-0002-4760-6267; ISSARD, Justin/0000-0001-9051-4088; Fadel, Elie/0000-0002-9290-4589</t>
  </si>
  <si>
    <t>National Research Agency grant as part of the France 2030 Investments for the Future program [ANR-18-RHUS-0006]</t>
  </si>
  <si>
    <t>National Research Agency grant as part of the France 2030 Investments for the Future program</t>
  </si>
  <si>
    <t>National Research Agency grant as part of the France 2030 Investments for the Future program, Grant/Award Number:#ANR-18-RHUS-0006</t>
  </si>
  <si>
    <t>JUL</t>
  </si>
  <si>
    <t>e12432</t>
  </si>
  <si>
    <t>10.1002/pul2.12432</t>
  </si>
  <si>
    <t>E7E2L</t>
  </si>
  <si>
    <t>WOS:001304594200001</t>
  </si>
  <si>
    <t>Jambon-Barbara, C; Hlavaty, A; Bernardeau, C; Bouvaist, H; Chaumais, MC; Humbert, M; Montani, D; Cracowski, JL; Khouri, C</t>
  </si>
  <si>
    <t>Jambon-Barbara, Clement; Hlavaty, Alex; Bernardeau, Claire; Bouvaist, Helene; Chaumais, Marie-Camille; Humbert, Marc; Montani, David; Cracowski, Jean-Luc; Khouri, Charles</t>
  </si>
  <si>
    <t>Development and validation of a code-based algorithm using in-hospital medical records to identify patients with pulmonary arterial hypertension in a French healthcare database</t>
  </si>
  <si>
    <t>ERJ OPEN RESEARCH</t>
  </si>
  <si>
    <t>SNIIRAM; FRANCE</t>
  </si>
  <si>
    <t>Introduction Pulmonary arterial hypertension (PAH) is a rare and severe disease for which most of the evidence about prognostic factors, evolution and treatment efficacy comes from cohorts, registries and clinical trials. We therefore aimed to develop and validate a new PAH identification algorithm that can be used in the French healthcare database  Syst &amp; egrave;me National des Donn &amp; eacute;es de Sant &amp; eacute; (SNDS).  . Methods We developed and validated the algorithm using the Grenoble Alpes University Hospital medical charts. We first identified PAH patients following a previously validated algorithm, using in-hospital ICD-10 (10th revision of the International Statistical Classification of Diseases) codes, right heart catheterisation procedure and PAH-specific treatment dispensing. Then, we refined the latter with the exclusion of chronic thromboembolic pulmonary hypertension procedures and treatment, the main misclassification factor. Second, we validated this algorithm using a gold standard review of in-hospital medical charts and calculated sensitivity, specificity, positive and negative predictive value (PPV and NPV) and accuracy. Finally, we applied this algorithm in the French healthcare database and described the characteristics of the identified patients. Results In the Grenoble University Hospital, we identified 252 unique patients meeting all the algorithm's ' s criteria between 1 January 2010 and 30 June 2022, and reviewed all medical records. The sensitivity, specificity, PPV, NPV and accuracy were 91.0%, 74.3%, 67.9%, 93.3% and 80.6%, respectively. Application of this algorithm to the SNDS yielded the identification of 9931 patients with consistent characteristics compared to PAH registries. Conclusion Overall, we propose a new PAH identification algorithm developed and adapted to the French specificities that can be used in future studies using the French healthcare database.</t>
  </si>
  <si>
    <t>[Jambon-Barbara, Clement; Hlavaty, Alex; Bernardeau, Claire; Cracowski, Jean-Luc; Khouri, Charles] Grenoble Alpes Univ Hosp, Pharmacovigilance Unit, Grenoble, France; [Jambon-Barbara, Clement; Hlavaty, Alex; Cracowski, Jean-Luc; Khouri, Charles] Univ Grenoble Alpes, HP2 Lab, Inserm U1300, Grenoble, France; [Bouvaist, Helene] Grenoble Alpes Univ Hosp, Cardiol Unit, Grenoble, France; [Chaumais, Marie-Camille; Humbert, Marc; Montani, David] Hop Marie Lannelongue, INSERM UMR S 999, Le Plessis Robinson, France; [Chaumais, Marie-Camille] Hop Bicetre, AP HP, Dept Pharm, Le Kremlin Bicetre, France; [Chaumais, Marie-Camille] Univ Paris Saclay, Fac Pharm, Saclay, France; [Montani, David] Univ Paris Saclay, Fac Med, Le Kremlin Bicetre, France; [Montani, David] Hop Bicetre, AP HP, Dept Resp &amp; Intens Care Med, Pulm Hypertens Natl Referral Ctr,DMU Thorinno 5, Le Kremlin Bicetre, France; [Khouri, Charles] Grenoble Alpes Univ Hosp, Clin Pharmacol Dept, INSERM CIC1406, Grenoble, France</t>
  </si>
  <si>
    <t>Communaute Universite Grenoble Alpes; Universite Grenoble Alpes (UGA); CHU Grenoble Alpes; Communaute Universite Grenoble Alpes; Universite Grenoble Alpes (UGA); Institut National de la Sante et de la Recherche Medicale (Inserm); Communaute Universite Grenoble Alpes; Universite Grenoble Alpes (UGA); CHU Grenoble Alpes; Hopital Marie Lannelongue; Institut National de la Sante et de la Recherche Medicale (Inserm); Universite Paris Saclay; Assistance Publique Hopitaux Paris (APHP); Hopital Universitaire Bicetre - APHP; Hopital Universitaire Antoine-Beclere - APHP; Universite Paris Saclay; Universite Paris Saclay; Universite Paris Saclay; Assistance Publique Hopitaux Paris (APHP); Hopital Universitaire Antoine-Beclere - APHP; Universite Paris Saclay; Hopital Universitaire Bicetre - APHP; Communaute Universite Grenoble Alpes; Universite Grenoble Alpes (UGA); CHU Grenoble Alpes; Institut National de la Sante et de la Recherche Medicale (Inserm)</t>
  </si>
  <si>
    <t>Khouri, C (corresponding author), Grenoble Alpes Univ Hosp, Pharmacovigilance Unit, Grenoble, France.;Khouri, C (corresponding author), Univ Grenoble Alpes, HP2 Lab, Inserm U1300, Grenoble, France.;Khouri, C (corresponding author), Grenoble Alpes Univ Hosp, Clin Pharmacol Dept, INSERM CIC1406, Grenoble, France.</t>
  </si>
  <si>
    <t>ckhouri@chu-grenoble.fr</t>
  </si>
  <si>
    <t>Hlavaty, Alex/KIB-2233-2024; KHOURI, CHARLES/J-1090-2019; David, Montani/I-6885-2019; Humbert, Marc/AAC-8459-2019</t>
  </si>
  <si>
    <t>Chaumais, Marie-Camille/0000-0002-1217-8442; Jambon-Barbara, Clement/0000-0002-6619-4130; Humbert, Marc/0000-0003-0703-2892; Montani, David/0000-0002-9358-6922</t>
  </si>
  <si>
    <t>Conflict of interest: H. Bouvaist reports payment for lectures, presentations, speakers ' bureaus, manuscript writing or educational events from Merck, outside the submitted work. M. Humbert reports grants or contracts from Acceleron, AOP Orphan, Janssen, Merck and Shou Ti, outside the submitted work; consulting fees from 35 Pharma, Aerovate, AOP Orphan, Bayer, Chiesi, Ferrer, Janssen, Keros, Merck, MorphogenIX, Shou Ti and United Therapeutics, outside the submitted work; payment for lectures, presentations, speakers ' bureaus, manuscript writing or educational events from Janssen and Merck, outside the submitted work; and participation on a data safety monitoring or advisory board for Acceleron, Altavant, Janssen, Merck and United Therapeutics, outside the submitted work. D. Montani reports grants or contracts from Acceleron, Janssen and Merck MSD, outside the submitted work; consulting fees from Acceleron, Merck MSD, Janssen and Ferrer, outside the submitted work; payment or honoraria for speakers ' bureaus from Bayer, Janssen, Boerhinger, Chiesi, GSK, Ferrer and Merck MSD, outside the submitted work. The remaining authors have nothing to disclose.</t>
  </si>
  <si>
    <t>2312-0541</t>
  </si>
  <si>
    <t>ERJ OPEN RES</t>
  </si>
  <si>
    <t>ERJ Open Res.</t>
  </si>
  <si>
    <t>JUL 1</t>
  </si>
  <si>
    <t>10.1183/23120541.00109-2024</t>
  </si>
  <si>
    <t>E9X0Z</t>
  </si>
  <si>
    <t>Green Published, gold</t>
  </si>
  <si>
    <t>WOS:001306447200002</t>
  </si>
  <si>
    <t>Le Bozec, A; Korb-Savoldelli, V; Boiteau, C; Dechartres, A; Al Kahf, S; Sitbon, O; Montani, D; Jaïs, X; Guignabert, C; Humbert, M; Savale, L; Chaumais, MC</t>
  </si>
  <si>
    <t>Le Bozec, Antoine; Korb-Savoldelli, Virginie; Boiteau, Claire; Dechartres, Agnes; Al Kahf, Salma; Sitbon, Olivier; Montani, David; Jais, Xavier; Guignabert, Christophe; Humbert, Marc; Savale, Laurent; Chaumais, Marie-Camille</t>
  </si>
  <si>
    <t>Medication adherence, related factors and outcomes among patients with pulmonary arterial hypertension or chronic thromboembolic pulmonary hypertension: a systematic review</t>
  </si>
  <si>
    <t>EUROPEAN RESPIRATORY REVIEW</t>
  </si>
  <si>
    <t>ASSOCIATION; THERAPY</t>
  </si>
  <si>
    <t>Introduction Pulmonary arterial hypertension (PAH) and chronic thromboembolic pulmonary hypertension (CTEPH) are life-threatening conditions that can progress to death without treatment. Although strong medication adherence (MA) is known to enhance outcomes in chronic illnesses, its association with PAH and CTEPH was sporadically explored. This study aims to examine the MA of patients with PAH or CTEPH, identify factors associated with low adherence and explore the resulting outcomes. Methods A systematic review was conducted by searching multiple databases (Medline, Embase, Cochrane Central, ClinicalTrials.gov, Scopus, Web of Science and Google Scholar) from 6 March 1998 to 6 July 2023. We included studies reporting MA as primary or secondary end-points. Study selection, data extraction and methodological quality assessment were performed in duplicate. Results 20 studies involving 22 675 patients met the inclusion criteria. Heterogeneity was observed, particularly in the methods employed. MA means ranged from 0.62 to 0.96, with the proportion of patients exhibiting high MA varying from 40% (95% CI 35 - 45%) to 94% (95% CI 88 - 97%). Factors associated with low adherence included increased treatment frequency, time since diagnosis and co-payment. High MA seems to be associated with reduced hospitalisation rates, inpatient stays, outpatient visits and healthcare costs Conclusions This systematic review underscores the heterogeneity of MA across studies. Nevertheless, the findings suggest that high MA could improve patients ' clinical outcomes and alleviate the economic burden. Identifying factors consistently associated with poor MA could strengthen educational efforts for these patients, ultimately contributing to improved outcomes.</t>
  </si>
  <si>
    <t>[Le Bozec, Antoine; Boiteau, Claire; Chaumais, Marie-Camille] Univ Paris Saclay, Hop Bicetre, Assistance Publ Hop Paris AP HP, Serv Pharm, Le Kremlin Bicetre, France; [Le Bozec, Antoine; Sitbon, Olivier; Montani, David; Jais, Xavier; Guignabert, Christophe; Humbert, Marc; Savale, Laurent; Chaumais, Marie-Camille] Univ Paris Saclay, Inserm, Hypertens Pulm Physiopathol &amp; Innovat Therapeut H, Le Kremlin Bicetre, France; [Le Bozec, Antoine; Korb-Savoldelli, Virginie; Chaumais, Marie-Camille] Univ Paris Saclay, Fac Pharm, Dept Pharm Clin, Orsay, France; [Korb-Savoldelli, Virginie] Univ Paris Cite, Hop Europeen Georges Pompidou, AP HP, Serv Pharm, Paris, France; [Dechartres, Agnes] Sorbonne Univ, Hop Pitie Salpetriere, AP HP,Inst Pierre Louis Epidemiol &amp; Sante Publ,CI, Ctr Pharmacoepidemiol Cephepi,Dept Sante Publ,INS, Paris, France; [Al Kahf, Salma; Sitbon, Olivier; Montani, David; Jais, Xavier; Humbert, Marc; Savale, Laurent] Hop Bicetre, AP HP, Ctr Reference Hypertens Plum, Serv pneumol &amp; Soins Intens Resp, F-94276 Le Kremlin Bicetre, France; [Sitbon, Olivier; Montani, David; Jais, Xavier; Humbert, Marc; Savale, Laurent] Univ Paris Saclay, Fac Med, Le Kremlin Bicetre, France</t>
  </si>
  <si>
    <t>Assistance Publique Hopitaux Paris (APHP); Hopital Universitaire Antoine-Beclere - APHP; Universite Paris Saclay; Hopital Universitaire Bicetre - APHP; Universite Paris Saclay; Institut National de la Sante et de la Recherche Medicale (Inserm); Universite Paris Saclay; Assistance Publique Hopitaux Paris (APHP); Universite Paris Cite; Hopital Universitaire Europeen Georges-Pompidou - APHP; Sorbonne Universite; Assistance Publique Hopitaux Paris (APHP); Hopital Universitaire Pitie-Salpetriere - APHP; Assistance Publique Hopitaux Paris (APHP); Hopital Universitaire Antoine-Beclere - APHP; Hopital Universitaire Bicetre - APHP; Universite Paris Saclay; Universite Paris Saclay</t>
  </si>
  <si>
    <t>Chaumais, MC (corresponding author), Univ Paris Saclay, Hop Bicetre, Assistance Publ Hop Paris AP HP, Serv Pharm, Le Kremlin Bicetre, France.;Chaumais, MC (corresponding author), Univ Paris Saclay, Inserm, Hypertens Pulm Physiopathol &amp; Innovat Therapeut H, Le Kremlin Bicetre, France.;Chaumais, MC (corresponding author), Univ Paris Saclay, Fac Pharm, Dept Pharm Clin, Orsay, France.</t>
  </si>
  <si>
    <t>mcamillechaumais@gmail.com</t>
  </si>
  <si>
    <t>Savale, Laurent/AAJ-9781-2020; Sitbon, Olivier/I-3623-2019; David, Montani/I-6885-2019; Korb-Savoldelli, Virginie/AAW-7011-2021; GUIGNABERT, Christophe/G-3873-2013; Humbert, Marc/AAC-8459-2019</t>
  </si>
  <si>
    <t>GUIGNABERT, Christophe/0000-0002-8545-4452; Montani, David/0000-0002-9358-6922; SITBON, Olivier/0000-0002-1942-1951; Humbert, Marc/0000-0003-0703-2892; LE BOZEC, Antoine/0000-0002-0789-5180</t>
  </si>
  <si>
    <t>0905-9180</t>
  </si>
  <si>
    <t>1600-0617</t>
  </si>
  <si>
    <t>EUR RESPIR REV</t>
  </si>
  <si>
    <t>Eur. Respir. Rev.</t>
  </si>
  <si>
    <t>10.1183/16000617.0006-2024</t>
  </si>
  <si>
    <t>YA8C9</t>
  </si>
  <si>
    <t>WOS:001265845800001</t>
  </si>
  <si>
    <t>Le Ribeuz, H; Willer, ASM; Chevalier, B; Sancho, M; Masson, B; Eyries, M; Jung, V; Guerrera, IC; Dutheil, M; El Jekmek, K; Laubry, L; Carpentier, G; Perez-Vizcaino, F; Tu, L; Guignabert, C; Chaumais, MC; Péchoux, C; Humbert, M; Hinzpeter, A; Mercier, O; Capuano, V; Montani, D; Antigny, F</t>
  </si>
  <si>
    <t>Le Ribeuz, Helene; Willer, Anais Saint-Martin; Chevalier, Benoit; Sancho, Maria; Masson, Bastien; Eyries, Melanie; Jung, Vincent; Guerrera, Ida Chiara; Dutheil, Mary; El Jekmek, Kristelle; Laubry, Loann; Carpentier, Gilles; Perez-Vizcaino, Francisco; Tu, Ly; Guignabert, Christophe; Chaumais, Marie-Camille; Pechoux, Christine; Humbert, Marc; Hinzpeter, Alexandre; Mercier, Olaf; Capuano, Veronique; Montani, David; Antigny, Fabrice</t>
  </si>
  <si>
    <t>Role of KCNK3 Dysfunction in Dasatinib-associated Pulmonary Arterial Hypertension and Endothelial Cell Dysfunction</t>
  </si>
  <si>
    <t>AMERICAN JOURNAL OF RESPIRATORY CELL AND MOLECULAR BIOLOGY</t>
  </si>
  <si>
    <t>K2P3.1; TASK-1; TKI; angiogenesis; interactome; mitochondria; caveolae</t>
  </si>
  <si>
    <t>TO-MESENCHYMAL TRANSITION; RHOA/RHO-KINASE; MUSCLE; CONTRIBUTES; CAVEOLAE; TARGET; TASK-1</t>
  </si>
  <si>
    <t>Pulmonary arterial (PA) hypertension (PAH) is a severe cardiopulmonary disease that may be triggered by exposure to drugs such as dasatinib or facilitated by genetic predispositions. The incidence of dasatinib-associated PAH is estimated at 0.45%, suggesting individual predispositions. The mechanisms of dasatinib-associated PAH are still incomplete. We discovered a KCNK3 gene (Potassium channel subfamily K member 3; coding for outward K1 channel) variant in a patient with dasatinib-associated PAH and investigated the impact of this variant on KCNK3 function. Additionally, we assessed the effects of dasatinib exposure on KCNK3 expression. In control human PA smooth muscle cells (hPASMCs) and human pulmonary endothelial cells (hPECs), we evaluated the consequences of KCNK3 knockdown on cell migration, mitochondrial membrane potential, ATP production, and in vitro tube formation. Using mass spectrometry, we determined the KCNK3 interactome. Patch-clamp experiments revealed that the KCNK3 variant represents a loss-of-function variant. Dasatinib contributed to PA constriction by decreasing KCNK3 function and expression. In control hPASMCs, KCNK3 knockdown promotes mitochondrial membrane depolarization and glycolytic shift. Dasatinib exposure or KCNK3 knockdown reduced the number of caveolae in hPECs. Moreover, KCNK3 knockdown in control hPECs reduced migration, proliferation, and in vitro tubulogenesis. Using proximity labeling and mass spectrometry, we identified the KCNK3 interactome, revealing that KCNK3 interacts with various proteins across different cellular compartments. We identified a novel pathogenic variant in KCNK3 and showed that dasatinib downregulates KCNK3, emphasizing the relationship between dasatinib-associated PAH and KCNK3 dysfunction. We demonstrated that a loss of KCNK3-dependent signaling contributes to endothelial dysfunction in PAH and glycolytic switch of hPASMCs.</t>
  </si>
  <si>
    <t>[Le Ribeuz, Helene; Willer, Anais Saint-Martin; Masson, Bastien; Dutheil, Mary; El Jekmek, Kristelle; Laubry, Loann; Tu, Ly; Guignabert, Christophe; Humbert, Marc; Mercier, Olaf; Capuano, Veronique; Montani, David; Antigny, Fabrice] Paris Saclay Univ, Fac Med, Le Kremlin Bicetre, France; [Le Ribeuz, Helene; Willer, Anais Saint-Martin; Masson, Bastien; Dutheil, Mary; El Jekmek, Kristelle; Laubry, Loann; Tu, Ly; Guignabert, Christophe; Chaumais, Marie-Camille; Humbert, Marc; Mercier, Olaf; Capuano, Veronique; Montani, David; Antigny, Fabrice] Marie Lannelongue Hosp, INSERM, UMR S 999 Pulm Hypertens Pathophysiol &amp; Novel The, Le Plessis Robinson, France; [Chevalier, Benoit; Hinzpeter, Alexandre] Paris Cite Univ, CNRS, INSERM, INEM, Paris, France; [Sancho, Maria] Univ Complutense Madrid, Fac Med, Dept Physiol, Madrid, Spain; [Perez-Vizcaino, Francisco] Univ Complutense Madrid, Fac Med, Dept Pharmacol &amp; Toxicol, Madrid, Spain; [Sancho, Maria] Univ Vermont, Dept Pharmacol, Burlington, VT 05405 USA; [Sancho, Maria; Perez-Vizcaino, Francisco] IiSGM, Madrid, Spain; [Eyries, Melanie] Hop La Pitie Salpetriere, AP HP, Dept Genet, Paris, France; [Jung, Vincent; Guerrera, Ida Chiara] Univ Paris Cite Federat Res Struct Necker, Prote Platform Necker, INSERM US24, CNRS UAR3633, Paris, France; [Carpentier, Gilles] Paris Est Creteil Univ, Gly CRRET Res Unit 4397, Creteil, France; [Perez-Vizcaino, Francisco] Ciber Enfermedades Resp CIBERES, Madrid, Spain; [Chaumais, Marie-Camille] Paris Saclay Univ, Fac Pharm, Orsay, France; [Chaumais, Marie-Camille; Humbert, Marc; Montani, David] Bicetre Hosp, Pulm Hypertens Natl Referral Ctr, Dept Resp &amp; Intens Care Med, Le Kremlin Bicetre, France; [Pechoux, Christine] Paris Saclay Univ, INRAE, AgroParisTech, GABI, Jouy En Josas, France; [Mercier, Olaf] Grp Hosp Paris St Joseph Marie Lannelongue Hosp, Dept Thorac &amp; Vasc Surg &amp; Heart Lung Transplantat, Le Plessis Robinson, France</t>
  </si>
  <si>
    <t>Universite Paris Saclay; Hopital Marie Lannelongue; Institut National de la Sante et de la Recherche Medicale (Inserm); Institut National de la Sante et de la Recherche Medicale (Inserm); Universite Paris Cite; Centre National de la Recherche Scientifique (CNRS); Complutense University of Madrid; Complutense University of Madrid; University of Vermont; Assistance Publique Hopitaux Paris (APHP); Hopital Universitaire Pitie-Salpetriere - APHP; Sorbonne Universite; Institut National de la Sante et de la Recherche Medicale (Inserm); Universite Paris Cite; Universite Paris-Est-Creteil-Val-de-Marne (UPEC); CIBER - Centro de Investigacion Biomedica en Red; CIBERES; Universite Paris Saclay; Assistance Publique Hopitaux Paris (APHP); Hopital Universitaire Bicetre - APHP; Universite Paris Saclay; INRAE; AgroParisTech; Universite Paris Cite</t>
  </si>
  <si>
    <t>Carpentier, Gilles/MGB-3009-2025; GUERRERA, Ida Chiara/GOJ-9151-2022; David, Montani/I-6885-2019; Humbert, Marc/AAC-8459-2019; GUIGNABERT, Christophe/G-3873-2013; Antigny, Fabrice/Q-3999-2018; TU, Ly/G-4035-2013</t>
  </si>
  <si>
    <t>GUIGNABERT, Christophe/0000-0002-8545-4452; EYRIES, MELANIE/0000-0003-1911-6698; Antigny, Fabrice/0000-0002-9515-6571; TU, Ly/0000-0003-2336-5099; Masson, Bastien/0000-0003-2364-5269; Le Ribeuz, Helene/0000-0002-6579-6076; Jung, Vincent/0000-0003-0530-1737; Saint-Martin Willer, Anais/0000-0002-2078-3271; Mercier, Olaf/0000-0002-4760-6267</t>
  </si>
  <si>
    <t>French National Institute for Health and Medical Research, Universite Paris-Saclay; Marie Lannelongue Hospital; Agence Nationale de la Recherche grant [ANR-18-CE14-0023]; French association Federation Francaise de Cardiologie [ANR-18-CE14-0004]; Federation Francaise de Cardiologie [ANR-18-CE14-0023]; Therapeutic Innovation Doctoral School [ED569]; Agence Nationale de la Recherche (ANR) [ANR-18-CE14-0004] Funding Source: Agence Nationale de la Recherche (ANR)</t>
  </si>
  <si>
    <t>French National Institute for Health and Medical Research, Universite Paris-Saclay; Marie Lannelongue Hospital; Agence Nationale de la Recherche grant(Agence Nationale de la Recherche (ANR)); French association Federation Francaise de Cardiologie; Federation Francaise de Cardiologie; Therapeutic Innovation Doctoral School; Agence Nationale de la Recherche (ANR)(Agence Nationale de la Recherche (ANR))</t>
  </si>
  <si>
    <t>Supported by grants from the French National Institute for Health and Medical Research, Universite Paris-Saclay, the Marie Lannelongue Hospital, Agence Nationale de la Recherche grant ANR-18-CE14-0023 (KAPAH), grants from the French association Federation Francaise de Cardiologie, ANR-18-CE14-0004 (CFTRgateway; B.C. and A.H.), Federation Francaise de Cardiologie (K.E.J.), ANR-18-CE14-0023 (H.L.R.), and Therapeutic Innovation Doctoral School ED569 (B.M. and A.S.-M.W.).</t>
  </si>
  <si>
    <t>1044-1549</t>
  </si>
  <si>
    <t>1535-4989</t>
  </si>
  <si>
    <t>AM J RESP CELL MOL</t>
  </si>
  <si>
    <t>Am. J. Respir. Cell Mol. Biol.</t>
  </si>
  <si>
    <t>10.1165/rcmb.2023-0185OC</t>
  </si>
  <si>
    <t>Biochemistry &amp; Molecular Biology; Cell Biology; Respiratory System</t>
  </si>
  <si>
    <t>YH0R3</t>
  </si>
  <si>
    <t>WOS:001267484600013</t>
  </si>
  <si>
    <t>Taillé, C; Humbert, M; Bourdin, A; Thonnelier, C; Lajoinie, A; Chassetuillier, J; Molimard, M; Deschildre, A</t>
  </si>
  <si>
    <t>Taille, Camille; Humbert, Marc; Bourdin, Arnaud; Thonnelier, Celine; Lajoinie, Audrey; Chassetuillier, Jules; Molimard, Mathieu; Deschildre, Antoine</t>
  </si>
  <si>
    <t>Transition of care from adolescence to early adulthood in severe asthmatic patients treated with omalizumab in real life</t>
  </si>
  <si>
    <t>[Taille, Camille] Univ Paris Cite, Serv Pneumol, Ctr Reference Malad Pulm Rares,UMR 1152, Hop Bichat Grp Hosp Univ,AP HP Nord, Paris, France; [Taille, Camille] Univ Paris Cite, Hop Bichat Grp Hosp Univ, AP HP Nord, Ctr Reference Malad Pulm Rares,UMR 1152, Paris, France; [Humbert, Marc] Univ Paris Saclay, Hop Bicetre, Assistance Publ Hop Paris APHP, INSERM,Serv Pneumol &amp; Soins Intensifs Resp, Le Kremlin Bicetre, France; [Bourdin, Arnaud] Univ Montpellier, CHU Montpellier, Hop Arnaud de Villeneuve, INSERM U1046,CNRS UMR 9214, Montpellier, France; [Thonnelier, Celine] Novartis, Rueil Malmaison, France; [Lajoinie, Audrey; Chassetuillier, Jules] RCTs, Lyon, France; [Molimard, Mathieu] Univ Bordeaux, CHU Bordeaux, Serv Pharmacol Med, INSERM,CR1219, Bordeaux, France; [Deschildre, Antoine] Univ Lille, CHU Lille, Hop Jeanne de Flandre, Pediat Pulmonol &amp; Allergy Dept, Lille, France</t>
  </si>
  <si>
    <t>Assistance Publique Hopitaux Paris (APHP); Universite Paris Cite; Universite Paris Cite; Assistance Publique Hopitaux Paris (APHP); Institut National de la Sante et de la Recherche Medicale (Inserm); Assistance Publique Hopitaux Paris (APHP); Hopital Universitaire Antoine-Beclere - APHP; Hopital Universitaire Bicetre - APHP; Universite Paris Saclay; Universite de Montpellier; Institut National de la Sante et de la Recherche Medicale (Inserm); Centre National de la Recherche Scientifique (CNRS); CNRS - National Institute for Biology (INSB); CHU de Montpellier; Novartis; Universite de Bordeaux; Institut National de la Sante et de la Recherche Medicale (Inserm); CHU Bordeaux; Universite de Lille; CHU Lille</t>
  </si>
  <si>
    <t>Deschildre, A (corresponding author), Univ Lille, CHU Lille, Hop Jeanne de Flandre, Pediat Pulmonol &amp; Allergy Dept, Lille, France.</t>
  </si>
  <si>
    <t>antoine.deschildre@chu-lille.fr</t>
  </si>
  <si>
    <t>Novartis</t>
  </si>
  <si>
    <t>Novartis(Novartis)</t>
  </si>
  <si>
    <t>This study was supported by Novartis. Funding information for this article has been deposited with the Crossref Funder Registry.</t>
  </si>
  <si>
    <t>00976-2023</t>
  </si>
  <si>
    <t>10.1183/23120541.00976-2023</t>
  </si>
  <si>
    <t>XT1U3</t>
  </si>
  <si>
    <t>gold, Green Published, Green Submitted</t>
  </si>
  <si>
    <t>WOS:001263845400017</t>
  </si>
  <si>
    <t>Valdeolmillos, E; Sakhi, H; Tortigue, M; Audié, M; Isorni, MA; Lecerf, F; Sitbon, O; Montani, D; Jais, X; Savale, L; Humbert, M; Azarine, A; Hascoët, S</t>
  </si>
  <si>
    <t>Valdeolmillos, Estibaliz; Sakhi, Hichem; Tortigue, Marine; Audie, Marion; Isorni, Marc-Antoine; Lecerf, Florence; Sitbon, Olivier; Montani, David; Jais, Xavier; Savale, Laurent; Humbert, Marc; Azarine, Arshid; Hascoet, Sebastien</t>
  </si>
  <si>
    <t>4D flow cardiac MRI to assess pulmonary blood flow in patients with pulmonary arterial hypertension associated with congenital heart disease</t>
  </si>
  <si>
    <t>DIAGNOSTIC AND INTERVENTIONAL IMAGING</t>
  </si>
  <si>
    <t>4D flow MRI; Atrial septal defect; Cardiac magnetic resonance imaging; Congenital heart disease; Pulmonary arterial hypertension</t>
  </si>
  <si>
    <t>MAGNETIC-RESONANCE; VASCULAR-RESISTANCE; OXYGEN-CONSUMPTION; QUANTIFICATION; HEMODYNAMICS; AGREEMENT; DIAGNOSIS; CHILDREN; VOLUME</t>
  </si>
  <si>
    <t>Purpose: The purpose of this study was to evaluate the accuracy of four-dimensional flow cardiac magnetic resonance imaging (4D flow MRI) compared to right heart catheterization in measuring pulmonary flow (Qp), systemic flow (Qs) and pulmonary-to-systemic flow ratio (Qp/Qs) in patients with pulmonary arterial hypertension associated with congenital heart disease (PAH-CHD). Materials and methods: The study was registered on Clinical-trial.gov (NCT03928002). Sixty-four patients with PAH-CHD who underwent 4D flow MRI were included. There were 16 men and 48 women with a mean age of 45.3 +/- 13.7 (standard deviation [SD]) years (age range: 21-77 years). Fifty patients (50/64; 78%) presented with pre-tricuspid shunt. Qp (L/min), Qs (L/min) and Qp/Qs were measured invasively using direct Fick method during right heart catheterization and compared with measurements assessed by 4D flow MRI within a 24-48-hour window. Results: The average mean pulmonary artery pressure was 51 +/- 17 (SD) mm Hg with median pulmonary vascular resistance of 8.8 Wood units (Q1, Q3: 5.3, 11.7). A strong linear correlation was found between Qp measurements obtained with 4D flow MRI and those obtained with the Fick method (r = 0.96; P &lt; 0.001). Bland Altman analysis indicated a mean difference of 0.15 +/- 0.48 (SD) L/min between Qp estimated by 4D flow MRI and by right heart catheterization. A strong correlation was found between Qs and Qp/Qs measured by 4D flow MRI and those obtained with the direct Fick method (r = 0.85 and r = 0.92; P &lt; 0.001 for both). Conclusion: Qp as measured by 4D flow MRI shows a strong correlation with measurements derived from the direct Fick method. Further investigation is needed to develop less complex and standardized methods for measuring essential PAH parameters, such as pulmonary arterial pressures and pulmonary vascular resistance.</t>
  </si>
  <si>
    <t>[Valdeolmillos, Estibaliz; Sakhi, Hichem; Tortigue, Marine; Hascoet, Sebastien] Univ Paris Saclay, Hop Marie Lannelongue, Fac Med,Grp Hosp Paris St Joseph,Dept Congenital H, Ctr Reference Malformat Cardiaques Congenitales Co, F-92350 Le Plessis Robinson, France; [Valdeolmillos, Estibaliz; Sitbon, Olivier; Montani, David; Jais, Xavier; Savale, Laurent; Humbert, Marc; Azarine, Arshid; Hascoet, Sebastien] Univ Paris Saclay, Fac Med, F-94270 Le Kremin Bicetre, France; [Valdeolmillos, Estibaliz; Sitbon, Olivier; Montani, David; Jais, Xavier; Savale, Laurent; Humbert, Marc; Azarine, Arshid; Hascoet, Sebastien] Hop Marie Lannelongue, Inserm UMR S 999, F-92350 Le Plessis Robinson, France; [Sakhi, Hichem; Audie, Marion] Univ Paris Saclay, Hop Marie Lannelongue, Fac Med, Dept Cardiol,Grp Hosp Paris St Joseph, F-92350 Le Plessis Robinson, France; [Sakhi, Hichem; Isorni, Marc-Antoine; Azarine, Arshid] Univ Paris Saclay, Hop Marie Lannelongue, Dept Radiol, Grp Hosp Paris St Joseph, F-92350 Le Plessis Robinson, France; [Lecerf, Florence] Paris Saclay Univ, Marie Lannelongue Hosp, Res &amp; Innovat Dept, F-92350 Le Plessis Robinson, France; [Sitbon, Olivier; Montani, David; Jais, Xavier; Savale, Laurent; Humbert, Marc] Hop Bictr, Reference Ctr Pulm Hypertens, Dept Resp &amp; Intens Care Med, F-94270 Le Kremlin Bicetre, France</t>
  </si>
  <si>
    <t>Hopital Marie Lannelongue; Universite Paris Saclay; Universite Paris Cite; Hopital Paris Saint-Joseph; Universite Paris Saclay; Institut National de la Sante et de la Recherche Medicale (Inserm); Hopital Marie Lannelongue; Universite Paris Saclay; Hopital Marie Lannelongue; Universite Paris Cite; Hopital Paris Saint-Joseph; Universite Paris Saclay; Hopital Marie Lannelongue; Universite Paris Saclay; Universite Paris Cite; Hopital Paris Saint-Joseph; Universite Paris Saclay; Hopital Marie Lannelongue; Assistance Publique Hopitaux Paris (APHP); Hopital Universitaire Bicetre - APHP</t>
  </si>
  <si>
    <t>Valdeolmillos, E (corresponding author), Univ Paris Saclay, Hop Marie Lannelongue, Fac Med,Grp Hosp Paris St Joseph,Dept Congenital H, Ctr Reference Malformat Cardiaques Congenitales Co, F-92350 Le Plessis Robinson, France.;Valdeolmillos, E (corresponding author), Univ Paris Saclay, Fac Med, F-94270 Le Kremin Bicetre, France.;Valdeolmillos, E (corresponding author), Hop Marie Lannelongue, Inserm UMR S 999, F-92350 Le Plessis Robinson, France.</t>
  </si>
  <si>
    <t>evaldeolmillos@ghpsj.fr</t>
  </si>
  <si>
    <t>Hascoet, Sebastien/Q-3311-2018; Azarine, Arshid/LXW-2511-2024; Sakhi, Hichem/JDW-9900-2023; David, Montani/I-6885-2019; Savale, Laurent/AAJ-9781-2020; Humbert, Marc/AAC-8459-2019</t>
  </si>
  <si>
    <t>Humbert, Marc/0000-0003-0703-2892; Sakhi, Hichem/0009-0003-2225-9267; valdeolmillos, Estibaliz/0000-0002-9720-9008; Montani, David/0000-0002-9358-6922</t>
  </si>
  <si>
    <t>Federation Francaise de Cardiologie</t>
  </si>
  <si>
    <t>This work was supported by the Federation Francaise de Cardiologie (Grant 2019 and 2021)</t>
  </si>
  <si>
    <t>ELSEVIER MASSON, CORP OFF</t>
  </si>
  <si>
    <t>PARIS</t>
  </si>
  <si>
    <t>65 CAMILLE DESMOULINS CS50083 ISSY-LES-MOULINEAUX, 92442 PARIS, FRANCE</t>
  </si>
  <si>
    <t>2211-5684</t>
  </si>
  <si>
    <t>DIAGN INTERV IMAG</t>
  </si>
  <si>
    <t>Diagn. Interv. Imaging</t>
  </si>
  <si>
    <t>JUL-AUG</t>
  </si>
  <si>
    <t>7-8</t>
  </si>
  <si>
    <t>10.1016/j.diii.2024.01.009</t>
  </si>
  <si>
    <t>JUN 2024</t>
  </si>
  <si>
    <t>Radiology, Nuclear Medicine &amp; Medical Imaging</t>
  </si>
  <si>
    <t>XP2S6</t>
  </si>
  <si>
    <t>WOS:001262826600001</t>
  </si>
  <si>
    <t>Rachedi, NS; Tang, Y; Tai, YY; Zhao, JS; Chauvet, C; Grynblat, J; Akoumia, KKF; Estephan, L; Torrino, S; Sbai, C; Ait-Mouffok, A; Latoche, JD; Al Aaraj, Y; Brau, F; Abélanet, S; Clavel, S; Zhang, YZ; Guillermier, C; Kumar, NVG; Tavakoli, S; Mercier, O; Risbano, MG; Yao, ZK; Yang, GL; Ouerfelli, O; Lewis, JS; Montani, D; Humbert, M; Steinhauser, ML; Anderson, CJ; Oldham, WM; Perros, F; Bertero, T; Chan, SY</t>
  </si>
  <si>
    <t>Rachedi, Nesrine S.; Tang, Ying; Tai, Yi-Yin; Zhao, Jingsi; Chauvet, Caroline; Grynblat, Julien; Akoumia, Kouame Kan Firmin; Estephan, Leonard; Torrino, Stephanie; Sbai, Chaima; Ait-Mouffok, Amel; Latoche, Joseph D.; Al Aaraj, Yassmin; Brau, Frederic; Abelanet, Sophie; Clavel, Stephan; Zhang, Yingze; Guillermier, Christelle; Kumar, Naveen V. G.; Tavakoli, Sina; Mercier, Olaf; Risbano, Michael G.; Yao, Zhong-Ke; Yang, Guangli; Ouerfelli, Ouathek; Lewis, Jason S.; Montani, David; Humbert, Marc; Steinhauser, Matthew L.; Anderson, Carolyn J.; Oldham, William M.; Perros, Frederic; Bertero, Thomas; Chan, Stephen Y.</t>
  </si>
  <si>
    <t>Dietary intake and glutamine-serine metabolism control pathologic vascular stiffness</t>
  </si>
  <si>
    <t>CELL METABOLISM</t>
  </si>
  <si>
    <t>EXTRACELLULAR-MATRIX; GLYCINE METABOLISM; CANCER; YAP; PROTEINS; HEALTH</t>
  </si>
  <si>
    <t>Perivascular collagen deposition by activated fibroblasts promotes vascular stiffening and drives cardiovascular diseases such as pulmonary hypertension (PH). Whether and how vascular fibroblasts rewire their metabolism to sustain collagen biosynthesis remains unknown. Here, we found that inflammation, hypoxia, and mechanical stress converge on activating the transcriptional coactivators YAP and TAZ (WWTR1) in pulmonary arterial adventitial fibroblasts (PAAFs). Consequently, YAP and TAZ drive glutamine and serine catabolism to sustain proline and glycine anabolism and promote collagen biosynthesis. Pharmacologic or dietary intervention on proline and glycine anabolic demand decreases vascular stiffening and improves cardiovascular function in PH rodent models. By identifying the limiting metabolic pathways for vascular collagen biosynthesis, our findings provide guidance for incorporating metabolic and dietary interventions for treating cardiopulmonary vascular disease.</t>
  </si>
  <si>
    <t>[Rachedi, Nesrine S.; Chauvet, Caroline; Torrino, Stephanie; Sbai, Chaima; Ait-Mouffok, Amel; Brau, Frederic; Abelanet, Sophie; Clavel, Stephan; Bertero, Thomas] Univ Cote Azur, CNRS UMR 7275, INSERM, IPMC,IHU RespirERA, Valbonne, France; [Tang, Ying; Tai, Yi-Yin; Zhao, Jingsi; Estephan, Leonard; Al Aaraj, Yassmin; Zhang, Yingze; Risbano, Michael G.; Chan, Stephen Y.] Pittsburgh Heart Lung &amp; Blood Vasc Med Inst, Ctr Pulm Vasc Biol &amp; Med, Pittsburgh, PA 15261 USA; [Tang, Ying; Tai, Yi-Yin; Zhao, Jingsi; Estephan, Leonard; Al Aaraj, Yassmin; Tavakoli, Sina; Chan, Stephen Y.] Univ Pittsburgh, Sch Med, Dept Med, Div Cardiol, Pittsburgh, PA 15260 USA; [Tang, Ying; Tai, Yi-Yin; Zhao, Jingsi; Estephan, Leonard; Latoche, Joseph D.; Al Aaraj, Yassmin; Kumar, Naveen V. G.; Tavakoli, Sina; Steinhauser, Matthew L.; Chan, Stephen Y.] UPMC, Pittsburgh, PA 15261 USA; [Grynblat, Julien; Akoumia, Kouame Kan Firmin; Mercier, Olaf; Humbert, Marc; Perros, Frederic] Univ Paris Saclay, Hop Bicetre, AP HP, Serv Pneumol &amp; Soins Intens Resp,INSERM UMR S 999, Le Kremlin Bicetre, France; [Grynblat, Julien; Montani, David] Hop Marie Lannelongue, Pole Thorac Vasc &amp; Transplantat, Le Plessis Robinson, France; [Latoche, Joseph D.] Univ Pittsburgh, Hillman Canc Ctr, Sch Med, Pittsburgh, PA USA; [Zhang, Yingze] Univ Pittsburgh, Sch Med, Dept Med &amp; Crit Care Med, Pittsburgh, PA USA; [Guillermier, Christelle; Steinhauser, Matthew L.] Brigham &amp; Womens Hosp, Ctr NanoImaging, Div Genet, Boston, MA USA; [Guillermier, Christelle; Steinhauser, Matthew L.] Harvard Med Sch, Boston, MA USA; [Kumar, Naveen V. G.; Steinhauser, Matthew L.] Univ Pittsburgh, Aging Inst, Dept Med, Div Cardiol,Sch Med, Pittsburgh, PA USA; [Tavakoli, Sina] Univ Pittsburgh, Sch Med, Dept Radiol, Pittsburgh, PA USA; [Mercier, Olaf; Montani, David; Humbert, Marc] Hop Bicetre, Assistance Publ Hop Paris AP HP, Ctr Reference Hypertens Plum, Serv Pneumol &amp; Soins Intens Resp, F-94270 Le Kremlin Bicetre, France; [Yao, Zhong-Ke; Yang, Guangli; Ouerfelli, Ouathek; Lewis, Jason S.] Mem Sloan Kettering Canc Ctr, Mol Pharmacol &amp; Chem Program, New York, NY USA; [Yao, Zhong-Ke; Yang, Guangli; Ouerfelli, Ouathek; Lewis, Jason S.] Mem Sloan Kettering Canc Ctr, Organ Synth Core Facil, New York, NY USA; [Anderson, Carolyn J.] Univ Missouri, Dept Chem, Columbia, MO USA; [Oldham, William M.] Harvard Med Sch, Brigham &amp; Womens Hosp, Dept Med, Div Pulm &amp; Crit Care Med, Boston, MA USA; [Perros, Frederic] Univ Claude Bernard Lyon1, Lab CarMeN, UMR INSERM U1060, INRA U1397, F-69310 Pierre Benite, France</t>
  </si>
  <si>
    <t>Centre National de la Recherche Scientifique (CNRS); CNRS - National Institute for Biology (INSB); Universite Cote d'Azur; Institut National de la Sante et de la Recherche Medicale (Inserm); Pennsylvania Commonwealth System of Higher Education (PCSHE); University of Pittsburgh; Pennsylvania Commonwealth System of Higher Education (PCSHE); University of Pittsburgh; Assistance Publique Hopitaux Paris (APHP); Hopital Universitaire Bicetre - APHP; Institut National de la Sante et de la Recherche Medicale (Inserm); Hopital Universitaire Antoine-Beclere - APHP; Universite Paris Saclay; Hopital Marie Lannelongue; Pennsylvania Commonwealth System of Higher Education (PCSHE); University of Pittsburgh; Pennsylvania Commonwealth System of Higher Education (PCSHE); University of Pittsburgh; Harvard University; Harvard University Medical Affiliates; Brigham &amp; Women's Hospital; Harvard University; Harvard Medical School; Pennsylvania Commonwealth System of Higher Education (PCSHE); University of Pittsburgh; Pennsylvania Commonwealth System of Higher Education (PCSHE); University of Pittsburgh; Assistance Publique Hopitaux Paris (APHP); Hopital Universitaire Antoine-Beclere - APHP; Universite Paris Saclay; Hopital Universitaire Bicetre - APHP; Memorial Sloan Kettering Cancer Center; Memorial Sloan Kettering Cancer Center; University of Missouri System; University of Missouri Columbia; Harvard University; Harvard University Medical Affiliates; Brigham &amp; Women's Hospital; Harvard Medical School; Institut National de la Sante et de la Recherche Medicale (Inserm); Universite Claude Bernard Lyon 1; INRAE</t>
  </si>
  <si>
    <t>Bertero, T (corresponding author), Univ Cote Azur, CNRS UMR 7275, INSERM, IPMC,IHU RespirERA, Valbonne, France.;Chan, SY (corresponding author), Pittsburgh Heart Lung &amp; Blood Vasc Med Inst, Ctr Pulm Vasc Biol &amp; Med, Pittsburgh, PA 15261 USA.;Chan, SY (corresponding author), Univ Pittsburgh, Sch Med, Dept Med, Div Cardiol, Pittsburgh, PA 15260 USA.;Chan, SY (corresponding author), UPMC, Pittsburgh, PA 15261 USA.</t>
  </si>
  <si>
    <t>thomas.bertero@univ-cotedazur.fr; chansy@pitt.edu</t>
  </si>
  <si>
    <t>David, Montani/I-6885-2019; Torrino, StÃ©phanie/JXX-1225-2024; GRYNBLAT, Julien/KXS-1813-2024; , Sina/ACP-9331-2022; Risbano, Michael/ABF-3799-2020; Oldham, William/AAD-5089-2022; Liu, Bo/K-6843-2019; Perros, Frédéric/N-6921-2017; Humbert, Marc/AAC-8459-2019; Steinhauser, Matthew/GVT-6393-2022</t>
  </si>
  <si>
    <t>Humbert, Marc/0000-0003-0703-2892; Steinhauser, Matthew/0000-0001-5287-9246; Estephan, Leonard/0000-0001-9599-1510; Torrino, Stephanie/0000-0002-8280-5907</t>
  </si>
  <si>
    <t>CELL PRESS</t>
  </si>
  <si>
    <t>CAMBRIDGE</t>
  </si>
  <si>
    <t>50 HAMPSHIRE ST, FLOOR 5, CAMBRIDGE, MA 02139 USA</t>
  </si>
  <si>
    <t>1550-4131</t>
  </si>
  <si>
    <t>1932-7420</t>
  </si>
  <si>
    <t>CELL METAB</t>
  </si>
  <si>
    <t>Cell Metab.</t>
  </si>
  <si>
    <t>JUN 4</t>
  </si>
  <si>
    <t>10.1016/j.cmet.2024.04.010</t>
  </si>
  <si>
    <t>Cell Biology; Endocrinology &amp; Metabolism</t>
  </si>
  <si>
    <t>WU6W4</t>
  </si>
  <si>
    <t>WOS:001257436500001</t>
  </si>
  <si>
    <t>Grynblat, J; Khouri, C; Hlavaty, A; Jaïs, X; Savale, L; Chaumais, MC; Kularatne, M; Jevnikar, M; Boucly, A; Antigny, F; Perros, F; Simonneau, G; Sitbon, O; Humbert, M; Montani, D</t>
  </si>
  <si>
    <t>Grynblat, Julien; Khouri, Charles; Hlavaty, Alex; Jais, Xavier; Savale, Laurent; Chaumais, Marie Camille; Kularatne, Mithum; Jevnikar, Mitja; Boucly, Athenais; Antigny, Fabrice; Perros, Frederic; Simonneau, Gerald; Sitbon, Olivier; Humbert, Marc; Montani, David</t>
  </si>
  <si>
    <t>French PH Network PULMOTENSION Investigators</t>
  </si>
  <si>
    <t>Characteristics and outcomes of patients developing pulmonary hypertension associated with proteasome inhibitors</t>
  </si>
  <si>
    <t>DIAGNOSED MULTIPLE-MYELOMA; STEM-CELL TRANSPLANTATION; ARTERIAL-HYPERTENSION; RANDOMIZED PHASE-3; OPEN-LABEL; BORTEZOMIB; DEXAMETHASONE; CARFILZOMIB; LENALIDOMIDE; THALIDOMIDE</t>
  </si>
  <si>
    <t>Background Pulmonary arterial hypertension (PAH) has been described in patients treated with proteasome inhibitors (PIs). Our objective was to evaluate the association between PIs and PAH. Methods Characteristics of incident PAH cases previously treated with carfilzomib or bortezomib were analysed from the French pulmonary hypertension registry and the VIGIAPATH programme from 2004 to 2023, concurrently with a pharmacovigilance disproportionality analysis using the World Health Organization (WHO) global database (VigiBase) and a meta-analysis of randomised controlled trials. Results 11 incident cases of PI-associated PAH were identified (six with carfilzomib and five with bortezomib) with a female:male ratio of 2.7:1, a median age of 61 years, and a median delay between PI first exposure and PAH of 6 months. Four patients died (two from right heart failure, one from respiratory distress and one from an unknown cause). At diagnosis, six were in New York Heart Association Functional Class III/ IV with severe haemodynamic impairment (median mean pulmonary arterial pressure 39 mmHg, cardiac index 2.45 Lmin - 1 m - 2 and pulmonary vascular resistance 7.2 WU). In the WHO pharmacovigilance database, 169 cases of PH associated with PI were reported since 2013 with significant signals of disproportionate reporting (SDR) for carfilzomib, regardless of the definition of cases or control group. However, SDR for bortezomib were inconsistent. The systematic review identified 17 clinical trials, and carfilzomib was associated with a significantly higher risk of dyspnoea, severe dyspnoea and PH compared with bortezomib. Conclusion PIs may induce PAH in patients undergoing treatment, with carfilzomib emitting a stronger signal than bortezomib, and these patients should be monitored closely.</t>
  </si>
  <si>
    <t>[Grynblat, Julien; Jais, Xavier; Savale, Laurent; Chaumais, Marie Camille; Kularatne, Mithum; Jevnikar, Mitja; Boucly, Athenais; Antigny, Fabrice; Perros, Frederic; Simonneau, Gerald; Sitbon, Olivier; Humbert, Marc; Montani, David] Hop Marie Lannelongue, INSERM, UMR S 999, Pulm Hypertens Pathophysiol &amp; Novel Therapies, Le Plessis Robinson, France; [Grynblat, Julien; Jais, Xavier; Savale, Laurent; Kularatne, Mithum; Jevnikar, Mitja; Boucly, Athenais; Antigny, Fabrice; Perros, Frederic; Simonneau, Gerald; Sitbon, Olivier; Humbert, Marc; Montani, David] Bicetre Hosp, AP HP, Pulm Hypertens Natl Referral Ctr, Dept Resp &amp; Intens Care Med, Le Kremlin Bicetre, France; [Grynblat, Julien; Jais, Xavier; Savale, Laurent; Kularatne, Mithum; Jevnikar, Mitja; Boucly, Athenais; Antigny, Fabrice; Perros, Frederic; Simonneau, Gerald; Sitbon, Olivier; Humbert, Marc; Montani, David] Univ Paris Saclay, Sch Med, Le Kremlin Bicetre, France; [Khouri, Charles; Hlavaty, Alex] Univ Grenoble Alpes, HP2 Lab, INSERM, U 1300, Grenoble, France; [Khouri, Charles; Hlavaty, Alex] Grenoble Alpes Univ Hosp, Pharmacovigilance Unit, Grenoble, France; [Khouri, Charles; Hlavaty, Alex] Grenoble Alpes Univ Hosp, Clin Pharmacol Dept, Grenoble, France; [Chaumais, Marie Camille] Univ Paris Saclay, Sch Pharm, Saclay, France; [Chaumais, Marie Camille] Bicetre Hosp, AP HP, Dept Pharm, Le Kremlin Bicetre, France; [Kularatne, Mithum] Univ Calgary, Dept Med, Div Resp Med, Calgary, AB, Canada; [Perros, Frederic] Univ Claude Bernard Lyon 1, CarMeN Lab, INSERM, INRAE,U1060,U1397, Pierre Benite, France</t>
  </si>
  <si>
    <t>Hopital Marie Lannelongue; Institut National de la Sante et de la Recherche Medicale (Inserm); Universite Paris Saclay; Assistance Publique Hopitaux Paris (APHP); Hopital Universitaire Bicetre - APHP; Universite Paris Saclay; Institut National de la Sante et de la Recherche Medicale (Inserm); Communaute Universite Grenoble Alpes; Universite Grenoble Alpes (UGA); CHU Grenoble Alpes; Communaute Universite Grenoble Alpes; Universite Grenoble Alpes (UGA); CHU Grenoble Alpes; Communaute Universite Grenoble Alpes; Universite Grenoble Alpes (UGA); Universite Paris Saclay; Assistance Publique Hopitaux Paris (APHP); Hopital Universitaire Bicetre - APHP; University of Calgary; Institut National de la Sante et de la Recherche Medicale (Inserm); Universite Claude Bernard Lyon 1; INRAE</t>
  </si>
  <si>
    <t>Montani, D (corresponding author), Hop Marie Lannelongue, INSERM, UMR S 999, Pulm Hypertens Pathophysiol &amp; Novel Therapies, Le Plessis Robinson, France.;Montani, D (corresponding author), Bicetre Hosp, AP HP, Pulm Hypertens Natl Referral Ctr, Dept Resp &amp; Intens Care Med, Le Kremlin Bicetre, France.;Montani, D (corresponding author), Univ Paris Saclay, Sch Med, Le Kremlin Bicetre, France.</t>
  </si>
  <si>
    <t>David, Montani/I-6885-2019; KHOURI, CHARLES/J-1090-2019; Hlavaty, Alex/KIB-2233-2024; GRYNBLAT, Julien/KXS-1813-2024; Savale, Laurent/AAJ-9781-2020; Perros, Frédéric/N-6921-2017; Antigny, Fabrice/Q-3999-2018; Humbert, Marc/AAC-8459-2019</t>
  </si>
  <si>
    <t>Antigny, Fabrice/0000-0002-9515-6571; Kularatne, Mithum/0000-0001-8310-0813; Chaumais, Marie-Camille/0000-0002-1217-8442; Jevnikar, Mitja/0000-0003-0727-6790; GRYNBLAT, Julien/0000-0001-5593-3383; JAIS, XAVIER/0000-0002-4104-7994; Savale, Laurent/0000-0002-6862-8975; Humbert, Marc/0000-0003-0703-2892</t>
  </si>
  <si>
    <t>Institut National de la Sante et de la Recherche Medicale; Crossref Funder Registry</t>
  </si>
  <si>
    <t>Institut National de la Sante et de la Recherche Medicale(Institut National de la Sante et de la Recherche Medicale (Inserm)); Crossref Funder Registry</t>
  </si>
  <si>
    <t>J. Grynblat is supported by Institut National de la Sante et de la Recherche Medicale (Poste d ' Accueil INSERM, 2021) . Funding information for this article has been deposited with the Crossref Funder Registry.</t>
  </si>
  <si>
    <t>JUN 1</t>
  </si>
  <si>
    <t>10.1183/13993003.02158-2023</t>
  </si>
  <si>
    <t>YH3Y7</t>
  </si>
  <si>
    <t>WOS:001267570500004</t>
  </si>
  <si>
    <t>Kovacs, G; Humbert, M</t>
  </si>
  <si>
    <t>Kovacs, Gabor; Humbert, Marc</t>
  </si>
  <si>
    <t>Primum non nocere, secundum cavere, tertium sanare: lessons on the management of pulmonary hypertension associated with COPD</t>
  </si>
  <si>
    <t>DISEASE; PARALLEL</t>
  </si>
  <si>
    <t>[Kovacs, Gabor] Med Univ Graz, Dept Internal Med, Div Pulmonol, Graz, Austria; [Kovacs, Gabor] Ludwig Boltzmann Inst Lung Vasc Res, Graz, Austria; [Humbert, Marc] Univ Paris Saclay, Hop Bicetre, Assistance Publ Hop Paris, Inserm UMR_S 99,ERN LUNG,Serv Pneumol &amp; Soins Inte, Le Kremlin-bicetre, France</t>
  </si>
  <si>
    <t>Medical University of Graz; Ludwig Boltzmann Institute; Ludwig Boltzmann Institute for Lung Vascular Research; Universite Paris Saclay; Assistance Publique Hopitaux Paris (APHP); Universite Paris Cite; Hopital Universitaire Saint-Louis - APHP; Hopital Universitaire Antoine-Beclere - APHP; Institut National de la Sante et de la Recherche Medicale (Inserm); Hopital Universitaire Bicetre - APHP</t>
  </si>
  <si>
    <t>Kovacs, G (corresponding author), Med Univ Graz, Dept Internal Med, Div Pulmonol, Graz, Austria.;Kovacs, G (corresponding author), Ludwig Boltzmann Inst Lung Vasc Res, Graz, Austria.</t>
  </si>
  <si>
    <t>Kovacs, Gabor/0000-0003-3709-2183; Humbert, Marc/0000-0003-0703-2892</t>
  </si>
  <si>
    <t>10.1183/13993003.00765-2024</t>
  </si>
  <si>
    <t>UW7K2</t>
  </si>
  <si>
    <t>WOS:001251165100006</t>
  </si>
  <si>
    <t>French PH Network PULMOTENSION</t>
  </si>
  <si>
    <t>ARTERIAL-HYPERTENSION; VENOOCCLUSIVE DISEASE; VASCULAR TOXICITY; CANCER</t>
  </si>
  <si>
    <t>Background Despite its known cardiac and lung toxicities, the chemotherapy drug gemcitabine has only rarely been associated with pulmonary hypertension (PH), and the underlying mechanism remains unclear. The objective of the present study was to assess the association between gemcitabine and PH. Methods We identified incident cases of precapillary PH confirmed by right heart catheterisation in patients treated with gemcitabine from the French PH Registry between January 2007 and December 2022. The aetiology, clinical, functional, radiological and haemodynamic characteristics of PH were reviewed at baseline and during follow-up. A pharmacovigilance disproportionality analysis was conducted using the World Health Organization (WHO) pharmacovigilance database. Results We identified nine cases of pulmonary arterial hypertension, either induced (in eight patients) or exacerbated (in one patient) by gemcitabine. Patients exhibited severe precapillary PH, with a median mean pulmonary arterial pressure of 40 (range 26-47) mmHg, a cardiac index of 2.4 (1.6-3.9) L center dot min(-1)center dot m(-2) and a pulmonary vascular resistance of 6.3 (3.1-12.6) Wood units. The median time from the initiation of gemcitabine to the onset of PH was 7 (4-50) months, with patients receiving a median of 16 (6-24) gemcitabine injections. Six patients showed clinical improvement upon discontinuation of gemcitabine. In the WHO pharmacovigilance database, we identified a significant signal with 109 cases reporting at least one adverse event related to PH with gemcitabine. Conclusion Both clinical cases and pharmacovigilance data substantiate a significant association between gemcitabine use and the onset or worsening of precapillary PH. The observed improvement following the discontinuation of treatment underscores the importance of PH screening in gemcitabine-exposed patients experiencing unexplained dyspnoea.</t>
  </si>
  <si>
    <t>[Mouillot, Pierre; Favrolt, Nicolas; Schenesse, Deborah; Beltramo, Guillaume; Georges, Marjolaine; Bonniaud, Philippe] Francois Mitterrand Hosp, Dept Pneumol &amp; Intens Care, Reference Ctr Rare Lung Dis, Dijon, France; [Mouillot, Pierre; Favrolt, Nicolas; Schenesse, Deborah; Beltramo, Guillaume; Georges, Marjolaine; Bonniaud, Philippe] Univ Burgundy, Fac Med, INSERM 1231, Dijon, France; [Khouri, Charles; Cracowski, Jean-Luc] Grenoble Alpes Univ Hosp, Pharmacovigilance Unit, Grenoble, France; [Khouri, Charles] Grenoble Alpes Univ Hosp, Clin Pharmacol Dept, INSERM CIC1406, Grenoble, France; [Khouri, Charles; Cracowski, Jean-Luc] Univ Grenoble Alpes, HP2 Lab, INSERM, Grenoble, France; [Grandvuillemin, Aurelie] Francois Mitterrand Hosp, Reg Pharmacovigilance Ctr, Dijon, France; [Chaumais, Marie-Camille] Univ Paris Saclay, Fac Pharm, Orsay, France; [Chaumais, Marie-Camille] Hop Bicetre, Pharm Dept, Assistance Publ Hop Paris AP HP, Le Kremlin Bicetre, France; [Chaumais, Marie-Camille; Seferian, Andrei; Jais, Xavier; Savale, Laurent; Beltramo, Guillaume; Sitbon, Olivier; Humbert, Marc; Montani, David] Hosp Marie Lannelongue, INSERM UMR S 999 Pulm Hypertens Pathophysiol &amp; N, Le Plessis Robinson, France; [Seferian, Andrei; Jais, Xavier; Savale, Laurent; Sitbon, Olivier; Humbert, Marc; Montani, David] Univ Paris Saclay, Fac Med, Le Kremlin Bicetre, France; [Seferian, Andrei; Jais, Xavier; Savale, Laurent; Sitbon, Olivier; Humbert, Marc; Montani, David] Hop Bicetre, AP HP, Pulm Hypertens Reference Ctr, Dept Pneumol &amp; Intens Care, Le Kremlin Bicetre, France</t>
  </si>
  <si>
    <t>CHU Dijon Bourgogne; Universite de Bourgogne; Institut Agro; AgroSup Dijon; Institut National de la Sante et de la Recherche Medicale (Inserm); CHU Grenoble Alpes; Communaute Universite Grenoble Alpes; Universite Grenoble Alpes (UGA); Communaute Universite Grenoble Alpes; Universite Grenoble Alpes (UGA); Institut National de la Sante et de la Recherche Medicale (Inserm); CHU Grenoble Alpes; Communaute Universite Grenoble Alpes; Universite Grenoble Alpes (UGA); Institut National de la Sante et de la Recherche Medicale (Inserm); CHU Dijon Bourgogne; Universite Paris Saclay; Assistance Publique Hopitaux Paris (APHP); Hopital Universitaire Bicetre - APHP; Hopital Universitaire Antoine-Beclere - APHP; Universite Paris Saclay; Hopital Marie Lannelongue; Institut National de la Sante et de la Recherche Medicale (Inserm); Universite Paris Saclay; Assistance Publique Hopitaux Paris (APHP); Hopital Universitaire Bicetre - APHP; Universite Paris Saclay; Hopital Universitaire Antoine-Beclere - APHP</t>
  </si>
  <si>
    <t>Bonniaud, P (corresponding author), Francois Mitterrand Hosp, Dept Pneumol &amp; Intens Care, Reference Ctr Rare Lung Dis, Dijon, France.;Bonniaud, P (corresponding author), Univ Burgundy, Fac Med, INSERM 1231, Dijon, France.</t>
  </si>
  <si>
    <t>philippe.bonniaud@chu-dijon.fr</t>
  </si>
  <si>
    <t>Savale, Laurent/AAJ-9781-2020; Bonniaud, Philippe/ITT-4660-2023; David, Montani/I-6885-2019; KHOURI, CHARLES/J-1090-2019; Humbert, Marc/AAC-8459-2019</t>
  </si>
  <si>
    <t>Chaumais, Marie-Camille/0000-0002-1217-8442; Humbert, Marc/0000-0003-0703-2892; Savale, Laurent/0000-0002-6862-8975</t>
  </si>
  <si>
    <t>Agence Nationale de Securite du Medicament et des Produits de Sante</t>
  </si>
  <si>
    <t>Agence Nationale de Securite du Medicament et des Produits de Sante(Agence Nationale de la Recherche (ANR))</t>
  </si>
  <si>
    <t>We thank all the physicians of the French Pulmonary Hypertension Network and the French network of regional pharmacovigilance centres, which is supported by the Agence Nationale de Securite du Medicament et des Produits de Sante. We would also like to thank Suzanne Rankin for reviewing the English.</t>
  </si>
  <si>
    <t>MAY 1</t>
  </si>
  <si>
    <t>10.1183/23120541.00654-2023</t>
  </si>
  <si>
    <t>XA6W1</t>
  </si>
  <si>
    <t>WOS:001259009400010</t>
  </si>
  <si>
    <t>Valdeolmillos, E; Foray, C; Albenque, G; Batteux, C; Petit, J; Lecerf, F; Jais, X; Sitbon, O; Montani, D; Savale, L; Humbert, M; Hascoet, S</t>
  </si>
  <si>
    <t>Valdeolmillos, Estibaliz; Foray, Claire; Albenque, Gregoire; Batteux, Clement; Petit, Jerome; Lecerf, Florence; Jais, Xavier; Sitbon, Olivier; Montani, David; Savale, Laurent; Humbert, Marc; Hascoet, Sebastien</t>
  </si>
  <si>
    <t>Percutaneous atrial septal defect closure in patients with pulmonary arterial hypertension</t>
  </si>
  <si>
    <t>THERAPY</t>
  </si>
  <si>
    <t>[Valdeolmillos, Estibaliz; Foray, Claire; Albenque, Gregoire; Batteux, Clement; Petit, Jerome; Hascoet, Sebastien] Grp Hosp Paris St Joseph, Dept Congenital Heart Dis, Hop Marie Lannelongue, Ctr Reference Malformat,Cardiaques Congenitales Co, Paris, France; [Valdeolmillos, Estibaliz; Albenque, Gregoire; Batteux, Clement; Jais, Xavier; Sitbon, Olivier; Montani, David; Savale, Laurent; Humbert, Marc; Hascoet, Sebastien] Univ Paris Saclay, Fac Med, Le Kremin Bicetre, France; [Valdeolmillos, Estibaliz; Albenque, Gregoire; Batteux, Clement; Jais, Xavier; Sitbon, Olivier; Montani, David; Savale, Laurent; Humbert, Marc; Hascoet, Sebastien] Hop Marie Lannelongue, INSERM UMR S 999, Le Plessis Robinson, France; [Lecerf, Florence] Paris Saclay Univ, Marie Lannelongue Hosp, Res &amp; Innovat Dept, Le Plessis Robinson, France; [Jais, Xavier; Sitbon, Olivier; Montani, David; Savale, Laurent; Humbert, Marc] Hop Bicetre, Reference Ctr Pulm Hypertens, Dept Resp &amp; Intens Care Med, Le Kremlin Bicetre, France</t>
  </si>
  <si>
    <t>Universite Paris Cite; Hopital Paris Saint-Joseph; Hopital Marie Lannelongue; Universite Paris Saclay; Institut National de la Sante et de la Recherche Medicale (Inserm); Universite Paris Saclay; Hopital Marie Lannelongue; Hopital Marie Lannelongue; Universite Paris Saclay; Assistance Publique Hopitaux Paris (APHP); Hopital Universitaire Antoine-Beclere - APHP; Hopital Universitaire Bicetre - APHP; Universite Paris Saclay</t>
  </si>
  <si>
    <t>Hascoët, S (corresponding author), Grp Hosp Paris St Joseph, Dept Congenital Heart Dis, Hop Marie Lannelongue, Ctr Reference Malformat,Cardiaques Congenitales Co, Paris, France.;Hascoët, S (corresponding author), Univ Paris Saclay, Fac Med, Le Kremin Bicetre, France.;Hascoët, S (corresponding author), Hop Marie Lannelongue, INSERM UMR S 999, Le Plessis Robinson, France.</t>
  </si>
  <si>
    <t>s.hascoet@ghpsj.fr</t>
  </si>
  <si>
    <t>Batteux, Clément/AAN-5878-2020; David, Montani/I-6885-2019; Sitbon, Olivier/I-3623-2019; Hascoet, Sebastien/Q-3311-2018; Humbert, Marc/AAC-8459-2019; Savale, Laurent/AAJ-9781-2020</t>
  </si>
  <si>
    <t>valdeolmillos, Estibaliz/0000-0002-9720-9008; SITBON, Olivier/0000-0002-1942-1951; Montani, David/0000-0002-9358-6922; Savale, Laurent/0000-0002-6862-8975</t>
  </si>
  <si>
    <t>Abbott Vascular</t>
  </si>
  <si>
    <t>Abbott Vascular(Abbott Laboratories)</t>
  </si>
  <si>
    <t>Support statement: This work was supported by Abbott Vascular. Funding information for this article has been deposited with the Crossref Funder Registry.</t>
  </si>
  <si>
    <t>10.1183/13993003.01649-2023</t>
  </si>
  <si>
    <t>TK9O2</t>
  </si>
  <si>
    <t>WOS:001241275700005</t>
  </si>
  <si>
    <t>Gomberg-Maitland, M; Badesch, DB; Gibbs, JR; Grunig, E; Hoeper, MM; Humbert, M; Kopec, G; McLaughlin, VV; Meyer, G; Olsson, KM; Preston, I; Rosenkranz, S; Souza, R; Waxman, A; Perchenet, L; Strait, J; Xing, A; Johnson-Levonas, AO; Cornell, AG; Pena, JD; Ghofrani, H</t>
  </si>
  <si>
    <t>Gomberg-Maitland, M.; Badesch, D. B.; Gibbs, J. R.; Grunig, E.; Hoeper, M. M.; Humbert, M.; Kopec, G.; McLaughlin, V. V.; Meyer, G.; Olsson, K. M.; Preston, I.; Rosenkranz, S.; Souza, R.; Waxman, A.; Perchenet, L.; Strait, J.; Xing, A.; Johnson-Levonas, A. O.; Cornell, A. G.; Pena, J. De Oliveira; Ghofrani, H.</t>
  </si>
  <si>
    <t>Consistency of the Efficacy and Safety Profile of Sotatercept across Baseline Cardiac Index Subgroups: A Pooled Analysis of STELLAR and PULSAR Trials</t>
  </si>
  <si>
    <t>JOURNAL OF HEART AND LUNG TRANSPLANTATION</t>
  </si>
  <si>
    <t>44th Annual Meeting and Scientific Sessions Conference of the International-Society-for-Heart-and-Lung-Transplantation (ISHLT)</t>
  </si>
  <si>
    <t>APR 10-13, 2024</t>
  </si>
  <si>
    <t>Prague, CZECH REPUBLIC</t>
  </si>
  <si>
    <t>Int Soc Heart &amp; Lung Transplantat</t>
  </si>
  <si>
    <t>[Gomberg-Maitland, M.] George Washington Univ, Washington, DC USA; [Badesch, D. B.] Univ Colorado, Anschutz Med Campus, Aurora, CO USA; [Gibbs, J. R.] Imperial Coll London, Natl Heart &amp; Lung Inst, London, England; [Grunig, E.] Thoraxklin Heidelberg, Heidelberg, Germany; [Grunig, E.; Hoeper, M. M.] German Ctr Lung Res, Heidelberg, Germany; [Hoeper, M. M.; Olsson, K. M.] Hannover Med Sch, Hannover, Germany; [Humbert, M.] Univ Paris Saclay, Hop Bicetre, Assistance Publ Hop Paris, INSERM Unite Mixte Rech Sante 999, Le Kremlin Bicetre, France; [Kopec, G.] Jagiellonian Univ, John Paul Hosp Krakow 2, Dept Cardiac &amp; Vasc Dis, Pulm Circulat Ctr,Med Coll, Krakow, Poland; [McLaughlin, V. V.] Univ Michigan, Ann Arbor, MI USA; [Meyer, G.] Santa Med Ctr, Irmandade, Boston, MA USA; [Preston, I.] Tufts Med Ctr, Boston, MA USA; [Rosenkranz, S.] Univ Hosp Cologne, Dept Cardiol, Ctr Heart, Cologne, Germany; [Rosenkranz, S.] Univ Hosp Cologne, Cologne Cardiovasc Res Ctr CCRC, Ctr Heart, Cologne, Germany; [Souza, R.] Univ Sao Paulo, Hosp Clin, Inst Coracao, Fac Med, Sao Paulo, Brazil; [Waxman, A.] Brigham &amp; Womans Hosp, Boston, MA USA; [Perchenet, L.; Strait, J.; Xing, A.; Johnson-Levonas, A. O.; Cornell, A. G.; Pena, J. De Oliveira] Merck &amp; Co Inc, Rahway, NJ USA; [Ghofrani, H.] Univ Giessen, Justus Liebig Univ Giessen, Dept Internal Med, Giessen, Germany; [Ghofrani, H.] Marburg Lung Ctr UGMLC, Giessen, Germany; [Ghofrani, H.] German Ctr Lung Res DZL, Giessen, Germany</t>
  </si>
  <si>
    <t>George Washington University; University of Colorado System; University of Colorado Anschutz Medical Campus; Imperial College London; Ruprecht Karls University Heidelberg; Hannover Medical School; Assistance Publique Hopitaux Paris (APHP); Universite Paris Cite; Hopital Universitaire Saint-Louis - APHP; Institut National de la Sante et de la Recherche Medicale (Inserm); Universite Paris Saclay; Hopital Universitaire Antoine-Beclere - APHP; Hopital Universitaire Bicetre - APHP; Jagiellonian University; Collegium Medicum Jagiellonian University; University of Michigan System; University of Michigan; Tufts Medical Center; University of Cologne; University of Cologne; Universidade de Sao Paulo; Harvard University; Harvard University Medical Affiliates; Brigham &amp; Women's Hospital; Merck &amp; Company; Merck &amp; Company USA; Justus Liebig University Giessen</t>
  </si>
  <si>
    <t>Souza, Rudieri/GOE-5827-2022; Hoeper, Marius/Z-1546-2019; Ghofrani, Ardeschir/AAD-5293-2020; Gibbs, J. Raphael/A-3984-2010; Humbert, Marc/AAC-8459-2019</t>
  </si>
  <si>
    <t>ELSEVIER SCIENCE INC</t>
  </si>
  <si>
    <t>STE 800, 230 PARK AVE, NEW YORK, NY 10169 USA</t>
  </si>
  <si>
    <t>1053-2498</t>
  </si>
  <si>
    <t>1557-3117</t>
  </si>
  <si>
    <t>J HEART LUNG TRANSPL</t>
  </si>
  <si>
    <t>J. Heart Lung Transplant.</t>
  </si>
  <si>
    <t>APR</t>
  </si>
  <si>
    <t>S</t>
  </si>
  <si>
    <t>S87</t>
  </si>
  <si>
    <t>Cardiac &amp; Cardiovascular Systems; Respiratory System; Surgery; Transplantation</t>
  </si>
  <si>
    <t>Cardiovascular System &amp; Cardiology; Respiratory System; Surgery; Transplantation</t>
  </si>
  <si>
    <t>A3C9M</t>
  </si>
  <si>
    <t>WOS:001281353100159</t>
  </si>
  <si>
    <t>Grynblat, J; Bogaard, HJ; Eyries, M; Meyrignac, O; Savale, L; Jaïs, X; Ghigna, MR; Celant, L; Meijboom, L; Houweling, AC; Levy, M; Antigny, F; Chaouat, A; Cottin, V; Guignabert, C; Coulet, F; Sitbon, O; Bonnet, D; Humbert, M; Montani, D</t>
  </si>
  <si>
    <t>Grynblat, Julien; Bogaard, Harm Jan; Eyries, Melanie; Meyrignac, Olivier; Savale, Laurent; Jais, Xavier; Ghigna, Maria-Rosa; Celant, Lucas; Meijboom, Lilian; Houweling, Arjan C.; Levy, Marilyne; Antigny, Fabrice; Chaouat, Ari; Cottin, Vincent; Guignabert, Christophe; Coulet, Florence; Sitbon, Olivier; Bonnet, Damien; Humbert, Marc; Montani, David</t>
  </si>
  <si>
    <t>Pulmonary vascular phenotype identified in patients with GDF2 (BMP9) or BMP10 variants: an international multicentre study</t>
  </si>
  <si>
    <t>BONE MORPHOGENETIC PROTEIN-9; ARTERIAL-HYPERTENSION; MUTATION; ENDOGLIN</t>
  </si>
  <si>
    <t>Background Bone morphogenetic proteins 9 and 10 (BMP9 and BMP10), encoded by GDF2 and BMP10, respectively, play a pivotal role in pulmonary vascular regulation. GDF2 variants have been reported in pulmonary arterial hypertension (PAH) and hereditary haemorrhagic telangiectasia (HHT). However, the phenotype of GDF2 and BMP10 carriers remains largely unexplored. Methods We report the characteristics and outcomes of PAH patients in GDF2 and BMP10 carriers from the French and Dutch pulmonary hypertension registries. A literature review explored the phenotypic spectrum of these patients. Results 26 PAH patients were identified: 20 harbouring heterozygous GDF2 variants, one homozygous GDF2 variant, four heterozygous BMP10 variants, and one with both GDF2 and BMP10 variants. The prevalence of GDF2 and BMP10 variants was 1.3% and 0.4%, respectively. Median age at PAH diagnosis was 30 years, with a female/male ratio of 1.9. Congenital heart disease (CHD) was present in 15.4% of the patients. At diagnosis, most of the patients (61.5%) were in New York Heart Association Functional Class III or IV with severe haemodynamic compromise (median (range) pulmonary vascular resistance 9.0 (3.3- 40.6) WU). Haemoptysis was reported in four patients; none met the HHT criteria. Two patients carrying BMP10 variants underwent lung transplantation, revealing typical PAH histopathology. The literature analysis showed that 7.6% of GDF2 carriers developed isolated HHT, and identified cardiomyopathy and developmental disorders in BMP10 carriers. Conclusions GDF2 and BMP10 pathogenic variants are rare among PAH patients, and occasionally associated with CHD. HHT cases among GDF2 carriers are limited according to the literature. BMP10 full phenotypic ramifications warrant further investigation.</t>
  </si>
  <si>
    <t>[Grynblat, Julien; Savale, Laurent; Jais, Xavier; Ghigna, Maria-Rosa; Antigny, Fabrice; Guignabert, Christophe; Sitbon, Olivier; Humbert, Marc; Montani, David] Marie Lannelongue Hosp, INSERM, UMR S Pulm Hypertens Pathophysiol &amp; Novel Therapi, Le Plessis Robinson, France; [Grynblat, Julien; Savale, Laurent; Jais, Xavier; Ghigna, Maria-Rosa; Antigny, Fabrice; Guignabert, Christophe; Sitbon, Olivier; Humbert, Marc; Montani, David] Bicetre Hosp, Le Plessis Robinson, France; [Grynblat, Julien; Savale, Laurent; Jais, Xavier; Ghigna, Maria-Rosa; Antigny, Fabrice; Sitbon, Olivier; Humbert, Marc; Montani, David] Bicetre Hosp, AP HP, Pulm Hypertens Natl Referral Ctr, Dept Resp &amp; Intens Care Med, Le Kremlin Bicetre, France; [Grynblat, Julien; Savale, Laurent; Jais, Xavier; Antigny, Fabrice; Sitbon, Olivier; Humbert, Marc; Montani, David] Univ Paris Saclay, Sch Med, Le Kremlin Bicetre, France; [Grynblat, Julien; Levy, Marilyne; Bonnet, Damien] Univ Paris Cite, Hop Necker Enfants Malad, AP HP, Necker M3C,Cardiol Congenitale &amp; Pediat, Paris, France; [Bogaard, Harm Jan; Celant, Lucas] Amsterdam UMC, Locat Vrije Univ, Dept Pulm Med, Amsterdam Cardiovasc Sci Pulm Hypertens &amp; Thrombo, Amsterdam, Netherlands; [Eyries, Melanie; Coulet, Florence] Sorbonne Univ, Dept Genet, Hop Pitie Salpetriere, AP HP, Paris, France; [Meyrignac, Olivier] Hop Bicetre, Serv Radiol Diagnost &amp; Intervent Adulte, Biomaps Lab Imagerie Multimodale, CEA,INSERM,CNRS,DMU Smart Imaging 14,AP HP, Le Kremlin Bicetre, France; [Ghigna, Maria-Rosa] Gustave Roussy, Dept Pathol, Int Ctr Thorac Canc CICT, Villejuif, France; [Meijboom, Lilian] Amsterdam UMC, Locat Vrije Univ, Dept Radiol &amp; Nucl Med, Amsterdam, Netherlands; [Houweling, Arjan C.] Amsterdam UMC, Locat Vrije Univ, Dept Human Genet, Amsterdam, Netherlands; [Chaouat, Ari] Univ Lorraine, Dept Pneumol, CHU Nancy, Vandoeuvre Les Nancy, France; [Cottin, Vincent] Claude Bernard Univ Lyon 1, Natl Reference Ctr Rare Pulm Dis, Louis Pradel Hosp, Hosp Civils Lyon,ERN LUNG,UMR 754,INRAE, Lyon, France; [Cottin, Vincent] Claude Bernard Univ Lyon 1, Louis Pradel Hosp, Hosp Civils Lyon, Ctr Pulm Hypertens,ERN LUNG,INRAE,UMR 754, Lyon, France</t>
  </si>
  <si>
    <t>Institut National de la Sante et de la Recherche Medicale (Inserm); Hopital Marie Lannelongue; Assistance Publique Hopitaux Paris (APHP); Hopital Universitaire Bicetre - APHP; Assistance Publique Hopitaux Paris (APHP); Hopital Universitaire Bicetre - APHP; Universite Paris Saclay; Assistance Publique Hopitaux Paris (APHP); Universite Paris Cite; Hopital Universitaire Necker-Enfants Malades - APHP; Vrije Universiteit Amsterdam; University of Amsterdam; Sorbonne Universite; Assistance Publique Hopitaux Paris (APHP); Hopital Universitaire Pitie-Salpetriere - APHP; Assistance Publique Hopitaux Paris (APHP); Hopital Universitaire Bicetre - APHP; CEA; Institut National de la Sante et de la Recherche Medicale (Inserm); Universite Paris Saclay; Centre National de la Recherche Scientifique (CNRS); Hopital Universitaire Antoine-Beclere - APHP; UNICANCER; Gustave Roussy; University of Amsterdam; Vrije Universiteit Amsterdam; University of Amsterdam; Vrije Universiteit Amsterdam; CHU de Nancy; Universite de Lorraine; CHU Lyon; Universite Claude Bernard Lyon 1; INRAE; CHU Lyon; Universite Claude Bernard Lyon 1; INRAE</t>
  </si>
  <si>
    <t>Montani, D (corresponding author), Marie Lannelongue Hosp, INSERM, UMR S Pulm Hypertens Pathophysiol &amp; Novel Therapi, Le Plessis Robinson, France.;Montani, D (corresponding author), Bicetre Hosp, Le Plessis Robinson, France.;Montani, D (corresponding author), Bicetre Hosp, AP HP, Pulm Hypertens Natl Referral Ctr, Dept Resp &amp; Intens Care Med, Le Kremlin Bicetre, France.;Montani, D (corresponding author), Univ Paris Saclay, Sch Med, Le Kremlin Bicetre, France.</t>
  </si>
  <si>
    <t>Savale, Laurent/AAJ-9781-2020; GRYNBLAT, Julien/KXS-1813-2024; David, Montani/I-6885-2019; Humbert, Marc/AAC-8459-2019; Antigny, Fabrice/Q-3999-2018; GUIGNABERT, Christophe/G-3873-2013</t>
  </si>
  <si>
    <t>Houweling, Arjan C./0000-0002-7728-7535; Bogaard, Harm Jan/0000-0001-5371-0346; Humbert, Marc/0000-0003-0703-2892; Antigny, Fabrice/0000-0002-9515-6571; Celant, Lucas/0000-0001-6727-7539; Ghigna, Maria Rosa/0000-0001-5996-665X; Savale, Laurent/0000-0002-6862-8975; Bonnet, Damien/0000-0002-8722-5805; GRYNBLAT, Julien/0000-0001-5593-3383; GUIGNABERT, Christophe/0000-0002-8545-4452</t>
  </si>
  <si>
    <t>INSERM; Dutch Cardiovascular Alliance; DOLPHIN-GENESIS grant</t>
  </si>
  <si>
    <t>INSERM(Institut National de la Sante et de la Recherche Medicale (Inserm)); Dutch Cardiovascular Alliance; DOLPHIN-GENESIS grant</t>
  </si>
  <si>
    <t>J. Grynblat is supported by INSERM (Poste d ' Accueil) . H.J. Bogaard, A.C. Houweling and L. Celant are supported by the Dutch Cardiovascular Alliance, DOLPHIN-GENESIS grant. Funding information for this article has been deposited with the Crossref Funder Registry.</t>
  </si>
  <si>
    <t>APR 1</t>
  </si>
  <si>
    <t>10.1183/13993003.01634-2023</t>
  </si>
  <si>
    <t>OR1C5</t>
  </si>
  <si>
    <t>WOS:001208899300008</t>
  </si>
  <si>
    <t>Salihu, A; Meier, D; Noirclerc, N; Skalidis, I; Mauler-Wittwer, S; Recordon, F; Kirsch, M; Roguelov, C; Berger, A; Sun, XW; Abbe, E; Marcucci, C; Rancati, V; Rosner, L; Scala, E; Rotzinger, DC; Humbert, M; Muller, O; Lu, HR; Fournier, S</t>
  </si>
  <si>
    <t>Salihu, Adil; Meier, David; Noirclerc, Nathalie; Skalidis, Ioannis; Mauler-Wittwer, Sarah; Recordon, Frederique; Kirsch, Matthias; Roguelov, Christan; Berger, Alexandre; Sun, Xiaowu; Abbe, Emmanuel; Marcucci, Carlo; Rancati, Valentina; Rosner, Lorenzo; Scala, Emanuelle; Rotzinger, David C.; Humbert, Marc; Muller, Olivier; Lu, Henri; Fournier, Stephane</t>
  </si>
  <si>
    <t>A study of ChatGPT in facilitating Heart Team decisions on severe aortic stenosis</t>
  </si>
  <si>
    <t>EUROINTERVENTION</t>
  </si>
  <si>
    <t>ARTIFICIAL-INTELLIGENCE; CARDIOLOGY; MANAGEMENT</t>
  </si>
  <si>
    <t>BACKGROUND: Multidisciplinary Heart Teams (HTs) play a central role in the management of valvular heart diseases. However, the comprehensive evaluation of patients' data can be hindered by logistical challenges, which in turn may affect the care they receive. AIMS: This study aimed to explore the ability of artificial intelligence (AI), particularly large language models (LLMs), to improve clinical decision-making and enhance the efficiency of HTs. METHODS: Data from patients with severe aortic stenosis presented at HT meetings were retrospectively analysed. A standardised multiple-choice questionnaire, with 14 key variables, was processed by the OpenAI Chat Generative Pre-trained Transformer (GPT)-4. AI-generated decisions were then compared to those made by the HT. RESULTS: This study included 150 patients, with ChatGPT agreeing with the HT's decisions 77% of the time. The agreement rate varied depending on treatment modality: 90% for transcatheter valve implantation, 65% for surgical valve replacement, and 65% for medical treatment. CONCLUSIONS: The use of LLMs offers promising opportunities to improve the HT decision-making process. This study showed that ChatGPT's decisions were consistent with those of the HT in a large proportion of cases. This technology could serve as a failsafe, highlighting potential areas of discrepancy when its decisions diverge from those of the HT. Further research is necessary to solidify our understanding of how AI can be integrated to enhance the decision-making processes of HTs.</t>
  </si>
  <si>
    <t>[Salihu, Adil; Meier, David; Noirclerc, Nathalie; Skalidis, Ioannis; Mauler-Wittwer, Sarah; Recordon, Frederique; Roguelov, Christan; Berger, Alexandre; Muller, Olivier; Lu, Henri; Fournier, Stephane] Univ Lausanne, Lausanne Univ Hosp, Dept Cardiol, Lausanne, Switzerland; [Kirsch, Matthias] Univ Lausanne, Lausanne Univ Hosp, Dept Cardiovasc Surg, Lausanne, Switzerland; [Sun, Xiaowu; Abbe, Emmanuel] Ecole Polytech Fed Lausanne, Inst Math, Lausanne, Switzerland; [Sun, Xiaowu; Abbe, Emmanuel] Ecole Polytech Fed Lausanne, Sch Comp &amp; Commun Sci, Lausanne, Switzerland; [Marcucci, Carlo; Rancati, Valentina; Rosner, Lorenzo; Scala, Emanuelle] Univ Lausanne, Lausanne Univ Hosp, Dept Anesthesiol, Lausanne, Switzerland; [Rotzinger, David C.] Univ Lausanne, Lausanne Univ Hosp, Dept Radiol, Lausanne, Switzerland; [Humbert, Marc] Univ Lausanne, Lausanne Univ Hosp, Dept Geriatr, Lausanne, Switzerland; [Lu, Henri] Harvard Med Sch, Brigham &amp; Womens Hosp, Div Cardiovasc Med, Boston, MA 02115 USA</t>
  </si>
  <si>
    <t>University of Lausanne; Centre Hospitalier Universitaire Vaudois (CHUV); University of Lausanne; Centre Hospitalier Universitaire Vaudois (CHUV); Swiss Federal Institutes of Technology Domain; Ecole Polytechnique Federale de Lausanne; Swiss Federal Institutes of Technology Domain; Ecole Polytechnique Federale de Lausanne; University of Lausanne; Centre Hospitalier Universitaire Vaudois (CHUV); University of Lausanne; Centre Hospitalier Universitaire Vaudois (CHUV); University of Lausanne; Centre Hospitalier Universitaire Vaudois (CHUV); Harvard University; Harvard Medical School; Harvard University Medical Affiliates; Brigham &amp; Women's Hospital</t>
  </si>
  <si>
    <t>Fournier, S (corresponding author), Lausanne Univ Hosp, Dept Cardiol, Rue Bugnon 46, CH-1011 Lausanne, Switzerland.</t>
  </si>
  <si>
    <t>stephane.fournier@chw.ch</t>
  </si>
  <si>
    <t>Rotzinger, David/AAF-5100-2020; Meier, David/HKV-2288-2023; Lu, Henri/HNP-4785-2023; Skalidis, Ioannis/HHY-8342-2022; Humbert, Marc/AAC-8459-2019; sun, xiaowu/AAK-9600-2021</t>
  </si>
  <si>
    <t>Salihu, Adil/0000-0002-9659-0396; Rancati, Valentina/0000-0002-6313-1185; sun, xiaowu/0000-0003-0274-8955</t>
  </si>
  <si>
    <t>EUROPA EDITION</t>
  </si>
  <si>
    <t>TOULOUSE CEDEX 6</t>
  </si>
  <si>
    <t>19 ALLEES JEAN JAURES B P 61508, TOULOUSE CEDEX 6, 31015, FRANCE</t>
  </si>
  <si>
    <t>1774-024X</t>
  </si>
  <si>
    <t>1969-6213</t>
  </si>
  <si>
    <t>EuroIntervention</t>
  </si>
  <si>
    <t>E496</t>
  </si>
  <si>
    <t>E503</t>
  </si>
  <si>
    <t>10.4244/EIJ-D-23-00643</t>
  </si>
  <si>
    <t>K8G6L</t>
  </si>
  <si>
    <t>WOS:001346226500006</t>
  </si>
  <si>
    <t>Budhram, B; Weatherald, J; Humbert, M</t>
  </si>
  <si>
    <t>Budhram, Brandon; Weatherald, Jason; Humbert, Marc</t>
  </si>
  <si>
    <t>Pulmonary Hypertension in Connective Tissue Diseases Other than Systemic Sclerosis</t>
  </si>
  <si>
    <t>SEMINARS IN RESPIRATORY AND CRITICAL CARE MEDICINE</t>
  </si>
  <si>
    <t>pulmonary hypertension; pulmonary arterial hypertension; chronic thromboembolic PH; connective tissue disease; systemic lupus erythematosus; mixed CTD; primary Sjogren's syndrome; idiopathic inflammatory myopathies</t>
  </si>
  <si>
    <t>INTERSTITIAL LUNG-DISEASE; ISHLT CONSENSUS DOCUMENT; CONTINUOUS INTRAVENOUS EPOPROSTENOL; BASE-LINE CHARACTERISTICS; CALCIUM-CHANNEL BLOCKERS; LONG-TERM RESPONSE; ARTERIAL-HYPERTENSION; LUPUS-ERYTHEMATOSUS; RHEUMATOID-ARTHRITIS; DOUBLE-BLIND</t>
  </si>
  <si>
    <t>Pulmonary hypertension (PH) is a known complication of certain connective tissue diseases (CTDs), with systemic sclerosis (SSc) being the most common in the Western world. However, PH in association with non-SSc CTD such as systemic lupus erythematous, mixed connective tissue disease, and primary Sj &amp; ouml;gren's syndrome constitutes a distinct subset of patients with inherently different epidemiologic profiles, pathophysiologic mechanisms, clinical features, therapeutic options, and prognostic implications. The purpose of this review is to inform a practical approach for clinicians evaluating patients with non-SSc CTD-associated PH. The development of PH in these patients involves a complex interplay between genetic factors, immune-mediated mechanisms, and endothelial cell dysfunction. Furthermore, the broad spectrum of CTD manifestations can contribute to the development of PH through various pathophysiologic mechanisms, including intrinsic pulmonary arteriolar vasculopathy (pulmonary arterial hypertension, Group 1 PH), left-heart disease (Group 2), chronic lung disease (Group 3), chronic pulmonary artery obstruction (Group 4), and unclear and/or multifactorial mechanisms (Group 5). The importance of diagnosing PH early in symptomatic patients with non-SSc CTD is highlighted, with a review of the relevant biomarkers, imaging, and diagnostic procedures required to establish a diagnosis. Therapeutic strategies for non-SSc PH associated with CTD are explored with an in-depth review of the medical, interventional, and surgical options available to these patients, emphasizing the CTD-specific considerations that guide treatment and aid in prognosis. By identifying gaps in the current literature, we offer insights into future research priorities that may prove valuable for patients with PH associated with non-SSc CTD.</t>
  </si>
  <si>
    <t>[Budhram, Brandon] Univ Calgary, Dept Med, Div Respirol, Calgary, AB, Canada; [Weatherald, Jason] Univ Alberta, Dept Med, Div Pulm Med, Edmonton, AB, Canada; [Humbert, Marc] Univ Paris Saclay, Hop Bicetre, AP HP, European Reference Network Rare Resp Dis ERN LUNG,, Le Kremlin Bicetre, France; [Humbert, Marc] Hop Bicetre, Dept Resp &amp; Intens Care Med, 78 Rue Gen Leclerc, F-94270 Le Kremlin Bicetre, France</t>
  </si>
  <si>
    <t>University of Calgary; University of Alberta; Assistance Publique Hopitaux Paris (APHP); Hopital Universitaire Bicetre - APHP; Hopital Universitaire Antoine-Beclere - APHP; Universite Paris Saclay; Institut National de la Sante et de la Recherche Medicale (Inserm); Assistance Publique Hopitaux Paris (APHP); Hopital Universitaire Antoine-Beclere - APHP; Hopital Universitaire Bicetre - APHP; Universite Paris Saclay</t>
  </si>
  <si>
    <t>Humbert, M (corresponding author), Hop Bicetre, Dept Resp &amp; Intens Care Med, 78 Rue Gen Leclerc, F-94270 Le Kremlin Bicetre, France.</t>
  </si>
  <si>
    <t>THIEME MEDICAL PUBL INC</t>
  </si>
  <si>
    <t>333 SEVENTH AVE, NEW YORK, NY 10001 USA</t>
  </si>
  <si>
    <t>1069-3424</t>
  </si>
  <si>
    <t>1098-9048</t>
  </si>
  <si>
    <t>SEMIN RESP CRIT CARE</t>
  </si>
  <si>
    <t>Semin. Respir. Crit. Care Med.</t>
  </si>
  <si>
    <t>JUN</t>
  </si>
  <si>
    <t>10.1055/s-0044-1782217</t>
  </si>
  <si>
    <t>MAR 2024</t>
  </si>
  <si>
    <t>RP2J0</t>
  </si>
  <si>
    <t>WOS:001186741200001</t>
  </si>
  <si>
    <t>Pitre, T; Weatherald, J; Humbert, M</t>
  </si>
  <si>
    <t>Pitre, Tyler; Weatherald, Jason; Humbert, Marc</t>
  </si>
  <si>
    <t>Treatments for pulmonary arterial hypertension: navigating through a network of choices</t>
  </si>
  <si>
    <t>EUROPEAN HEART JOURNAL</t>
  </si>
  <si>
    <t>[Pitre, Tyler] Univ Toronto, Dept Med, Div Respirol, Toronto, ON, Canada; [Weatherald, Jason] Univ Alberta, Dept Med, Div Pulm Med, Edmonton, AB, Canada; [Humbert, Marc] Univ Paris Saclay, Hop Bicetre, Assistance Publ Hop Paris,INSERM UMR S 999, Dept Resp &amp; Intens Care Med,European Reference Net, 78 rue Gen Leclerc, F-94270 Le Kremlin Bicetre, France</t>
  </si>
  <si>
    <t>University of Toronto; University of Alberta; Assistance Publique Hopitaux Paris (APHP); Universite Paris Cite; Hopital Universitaire Saint-Louis - APHP; Institut National de la Sante et de la Recherche Medicale (Inserm); Hopital Universitaire Bicetre - APHP; Universite Paris Saclay; Hopital Universitaire Antoine-Beclere - APHP</t>
  </si>
  <si>
    <t>Humbert, M (corresponding author), Univ Paris Saclay, Hop Bicetre, Assistance Publ Hop Paris,INSERM UMR S 999, Dept Resp &amp; Intens Care Med,European Reference Net, 78 rue Gen Leclerc, F-94270 Le Kremlin Bicetre, France.</t>
  </si>
  <si>
    <t>Humbert, Marc/AAC-8459-2019; Pitre, Tyler/ABF-6387-2021</t>
  </si>
  <si>
    <t>OXFORD UNIV PRESS</t>
  </si>
  <si>
    <t>OXFORD</t>
  </si>
  <si>
    <t>GREAT CLARENDON ST, OXFORD OX2 6DP, ENGLAND</t>
  </si>
  <si>
    <t>0195-668X</t>
  </si>
  <si>
    <t>1522-9645</t>
  </si>
  <si>
    <t>EUR HEART J</t>
  </si>
  <si>
    <t>Eur. Heart J.</t>
  </si>
  <si>
    <t>SI</t>
  </si>
  <si>
    <t>10.1093/eurheartj/ehae106</t>
  </si>
  <si>
    <t>SS9E0</t>
  </si>
  <si>
    <t>WOS:001179987900001</t>
  </si>
  <si>
    <t>Gerges, C; Montani, D; Humbert, M; Lang, IM</t>
  </si>
  <si>
    <t>Gerges, Christian; Montani, David; Humbert, Marc; Lang, Irene M.</t>
  </si>
  <si>
    <t>Haemodynamic phenotypes of pulmonary hypertension associated with left heart disease: a moving target</t>
  </si>
  <si>
    <t>REDUCED EJECTION FRACTION; PRESSURE-GRADIENT; PREDICT SURVIVAL; FAILURE; DIAGNOSIS</t>
  </si>
  <si>
    <t>[Gerges, Christian; Lang, Irene M.] Med Univ Vienna, Dept Internal Med 2, Div Cardiol, Vienna, Austria; [Montani, David; Humbert, Marc] Univ Paris Saclay, Le Kremlin Bicetre, France; [Montani, David; Humbert, Marc] Hop Bicetre, AP HP, Serv Pneumol &amp; Soins Intens Respiratoires, Le Kremlin Bicetre, France; [Montani, David; Humbert, Marc] INSERM, UMR S 999, Le Kremlin Bicetre, France</t>
  </si>
  <si>
    <t>Medical University of Vienna; Universite Paris Saclay; Assistance Publique Hopitaux Paris (APHP); Hopital Universitaire Antoine-Beclere - APHP; Hopital Universitaire Bicetre - APHP; Universite Paris Saclay; Universite Paris Saclay; Institut National de la Sante et de la Recherche Medicale (Inserm)</t>
  </si>
  <si>
    <t>Gerges, C (corresponding author), Med Univ Vienna, Dept Internal Med 2, Div Cardiol, Vienna, Austria.</t>
  </si>
  <si>
    <t>christian.gerges@meduniwien.ac.at</t>
  </si>
  <si>
    <t>David, Montani/I-6885-2019; Gerges, Christian/K-7362-2013; Humbert, Marc/AAC-8459-2019</t>
  </si>
  <si>
    <t>Gerges, Christian/0000-0002-6777-0996; Humbert, Marc/0000-0003-0703-2892; Montani, David/0000-0002-9358-6922</t>
  </si>
  <si>
    <t>European Respiratory Society (ERS); AOP-Health; [STRTF202210-00981]</t>
  </si>
  <si>
    <t>European Respiratory Society (ERS); AOP-Health;</t>
  </si>
  <si>
    <t>This research was funded by the European Respiratory Society (ERS short-term research fellowship grant STRTF202210-00981) and an educational grant from AOP-Health. Funding information for this article has been deposited with the Crossref Funder Registry.</t>
  </si>
  <si>
    <t>MAR 1</t>
  </si>
  <si>
    <t>10.1183/13993003.02280-2023</t>
  </si>
  <si>
    <t>QM0V3</t>
  </si>
  <si>
    <t>WOS:001221182000010</t>
  </si>
  <si>
    <t>Kularatne, M; Gerges, C; Jevnikar, M; Humbert, M; Montani, D</t>
  </si>
  <si>
    <t>Kularatne, Mithum; Gerges, Christian; Jevnikar, Mitja; Humbert, Marc; Montani, David</t>
  </si>
  <si>
    <t>Updated Clinical Classification and Hemodynamic Definitions of Pulmonary Hypertension and Its Clinical Implications</t>
  </si>
  <si>
    <t>JOURNAL OF CARDIOVASCULAR DEVELOPMENT AND DISEASE</t>
  </si>
  <si>
    <t>pulmonary hypertension; right heart catheterization; pulmonary vascular disease</t>
  </si>
  <si>
    <t>CALCIUM-CHANNEL BLOCKERS; ARTERIAL-HYPERTENSION; SYSTEMIC-SCLEROSIS; PROGNOSTIC VALUE; WORLD SYMPOSIUM; EXERCISE; PRESSURE; DIAGNOSIS; SURVIVAL; OUTCOMES</t>
  </si>
  <si>
    <t>Pulmonary hypertension (PH) refers to a pathologic elevation of the mean pulmonary artery pressure (mPAP) and is associated with increased morbidity and mortality in a wide range of medical conditions. These conditions are classified according to similarities in pathophysiology and management in addition to their invasive hemodynamic profiles. The 2022 ESC/ERS guidelines for the diagnosis and treatment of pulmonary hypertension present the newest clinical classification system and includes significant updates to the hemodynamic definitions. Pulmonary hypertension is now hemodynamically defined as an mPAP &gt; 20 mmHg, reduced from the previous threshold of &gt;= 25 mmHg, due to important insights from both normative and prognostic data. Pulmonary vascular resistance has been extended into the definition of pre-capillary pulmonary hypertension, with an updated threshold of &gt;2 Wood Units (WU), to help differentiate pulmonary vascular disease from other causes of increased mPAP. Exercise pulmonary hypertension has been reintroduced into the hemodynamic definitions and is defined by an mPAP/cardiac output slope of &gt;3 mmHg/L/min between rest and exercise. While these new hemodynamic thresholds will have a significant impact on the diagnosis of pulmonary hypertension, no evidence-based treatments are available for patients with mPAP between 21-24 mmHg and/or PVR between 2-3 WU or with exercise PH. This review highlights the evidence underlying these major changes and their implications on the diagnosis and management of patients with pulmonary hypertension.</t>
  </si>
  <si>
    <t>[Kularatne, Mithum] Univ Calgary, Dept Med, Div Resp Med, Calgary, AB T2N 1N4, Canada; [Gerges, Christian] Med Univ Vienna, Dept Internal Med 2, Div Cardiol, A-1090 Vienna, Austria; [Jevnikar, Mitja; Humbert, Marc; Montani, David] Hop Bicetre, Assistance Publ Hop Paris AP HP, Pulm Hypertens Natl Referral Ctr, Dept Resp &amp; Intens Care Med,DMU 5 Thorinno, F-94270 Le Kremlin Bicetre, France; [Jevnikar, Mitja; Humbert, Marc; Montani, David] Univ Paris Saclay, Sch Med, F-94270 Le Kremlin Bicetre, France; [Jevnikar, Mitja; Humbert, Marc; Montani, David] Hop Marie Lannelongue, Pulm Hypertens Pathophysiol &amp; Novel Therapies, INSERM UMR S 999, F-92350 Le Plessis Robinson, France</t>
  </si>
  <si>
    <t>University of Calgary; Medical University of Vienna; Universite Paris Saclay; Assistance Publique Hopitaux Paris (APHP); Hopital Universitaire Antoine-Beclere - APHP; Hopital Universitaire Bicetre - APHP; Universite Paris Saclay; Hopital Marie Lannelongue; Universite Paris Saclay; Institut National de la Sante et de la Recherche Medicale (Inserm)</t>
  </si>
  <si>
    <t>Montani, D (corresponding author), Hop Bicetre, Assistance Publ Hop Paris AP HP, Pulm Hypertens Natl Referral Ctr, Dept Resp &amp; Intens Care Med,DMU 5 Thorinno, F-94270 Le Kremlin Bicetre, France.;Montani, D (corresponding author), Univ Paris Saclay, Sch Med, F-94270 Le Kremlin Bicetre, France.;Montani, D (corresponding author), Hop Marie Lannelongue, Pulm Hypertens Pathophysiol &amp; Novel Therapies, INSERM UMR S 999, F-92350 Le Plessis Robinson, France.</t>
  </si>
  <si>
    <t>David, Montani/I-6885-2019; Gerges, Christian/IST-7163-2023; Humbert, Marc/AAC-8459-2019</t>
  </si>
  <si>
    <t>Humbert, Marc/0000-0003-0703-2892; Kularatne, Mithum/0000-0001-8310-0813; Montani, David/0000-0002-9358-6922</t>
  </si>
  <si>
    <t>MDPI</t>
  </si>
  <si>
    <t>BASEL</t>
  </si>
  <si>
    <t>ST ALBAN-ANLAGE 66, CH-4052 BASEL, SWITZERLAND</t>
  </si>
  <si>
    <t>2308-3425</t>
  </si>
  <si>
    <t>J CARDIOVASC DEV DIS</t>
  </si>
  <si>
    <t>J. Cardiovasc. Dev. Dis.</t>
  </si>
  <si>
    <t>10.3390/jcdd11030078</t>
  </si>
  <si>
    <t>MJ9L5</t>
  </si>
  <si>
    <t>WOS:001193370500001</t>
  </si>
  <si>
    <t>Vetel, K; Eyries, M; Savale, L; Kanengiesser, C; Borie, R; Humbert, M; Montani, D</t>
  </si>
  <si>
    <t>Vetel, Kelly; Eyries, Melanie; Savale, Laurent; Kanengiesser, Caroline; Borie, Raphael; Humbert, Marc; Montani, David</t>
  </si>
  <si>
    <t>Pulmonary Veno-Occlusive Disease and Pulmonary Fibrosis in a Family with EIF2AK4 Pathogenic Variants</t>
  </si>
  <si>
    <t>[Vetel, Kelly; Savale, Laurent; Kanengiesser, Caroline; Borie, Raphael; Humbert, Marc; Montani, David] Univ Paris Saclay, AP HP, INSERM UMR S 999, Le Kremlin Bicetre, France; [Eyries, Melanie] Sorbonne Univ, AP HP, Paris, France</t>
  </si>
  <si>
    <t>Assistance Publique Hopitaux Paris (APHP); Hopital Universitaire Bicetre - APHP; Institut National de la Sante et de la Recherche Medicale (Inserm); Universite Paris Saclay; Sorbonne Universite; Assistance Publique Hopitaux Paris (APHP)</t>
  </si>
  <si>
    <t>Montani, D (corresponding author), Univ Paris Saclay, AP HP, INSERM UMR S 999, Le Kremlin Bicetre, France.</t>
  </si>
  <si>
    <t>Savale, Laurent/AAJ-9781-2020; Borie, Raphael/J-3583-2017; David, Montani/I-6885-2019; Humbert, Marc/AAC-8459-2019</t>
  </si>
  <si>
    <t>Humbert, Marc/0000-0003-0703-2892; Savale, Laurent/0000-0002-6862-8975; Borie, Raphael/0000-0002-9906-0024; Montani, David/0000-0002-9358-6922</t>
  </si>
  <si>
    <t>KZ0S6</t>
  </si>
  <si>
    <t>WOS:001183679400010</t>
  </si>
  <si>
    <t>Jackson, DJ; Heaney, LG; Humbert, M; Kent, BD; Shavit, A; Hiljemark, L; Olinger, L; Cohen, D; Menzies-Gow, A; Korn, S</t>
  </si>
  <si>
    <t>Jackson, David J.; Heaney, Liam G.; Humbert, Marc; Kent, Brian D.; Shavit, Anat; Hiljemark, Lina; Olinger, Lynda; Cohen, David; Menzies-Gow, Andrew; Korn, Stephanie</t>
  </si>
  <si>
    <t>Reduction of daily maintenance inhaled corticosteroids in patients with severe eosinophilic asthma treated with benralizumab (SHAMAL): a randomised, multicentre, open-label, phase 4 study</t>
  </si>
  <si>
    <t>LANCET</t>
  </si>
  <si>
    <t>EXACERBATIONS; MEPOLIZUMAB; FORMOTEROL</t>
  </si>
  <si>
    <t>Background Stepwise intensification of inhaled corticosteroids (ICS) is routine for severe eosinophilic asthma, despite some poor responses to high -dose ICS. Dose reductions are recommended in patients responding to biologics, but little supporting safety evidence exists. Methods SHAMAL was a phase 4, randomised, open -label, active -controlled study done at 22 study sites in four countries. Eligible participants were adults (aged &gt;= 18 years) with severe eosinophilic asthma and a five -item Asthma Control Questionnaire score below 1 center dot 5 and who received at least three consecutive doses of benralizumab before screening. We randomly assigned patients (3:1) to taper their high -dose ICS to a medium -dose, low -dose, and as -needed dose (reduction group) or continue (reference group) their ICS-formoterol therapy for 32 weeks, followed by a 16 -week maintenance period. The primary endpoint was the proportion of patients reducing their ICS-formoterol dose by week 32. The primary outcome was assessed in the reduction group, and safety analyses included all randomly assigned patients receiving study treatment. This study is registered at ClinicalTrials.gov, NCT04159519. Findings Between Nov 12, 2019, and Feb 16, 2023, we screened and enrolled in the run-in period 208 patients. We randomly assigned 168 (81%) to the reduction (n=125 [74%]) and reference arms (n=43 [26%]). Overall, 110 (92%) patients reduced their ICS-formoterol dose: 18 (15%) to medium -dose, 20 (17%) to low -dose, and 72 (61%) to as -needed only. In 113 (96%) patients, reductions were maintained to week 48; 114 (91%) of patients in the reduction group had zero exacerbations during tapering. Rates of adverse events were similar between groups. 91 (73%) patients had adverse events in the reduction group and 35 (83%) in the reference group. 17 patients had serious adverse events in the study: 12 (10%) in the reduction group and five (12%) in the reference group. No deaths occurred during the study. Interpretation These findings show that patients controlled on benralizumab can have meaningful reductions in ICS therapy while maintaining asthma control. Copyright (c) 2023 The Author(s). Published by Elsevier Ltd. This is an Open Access article under the CC BY 4.0 license.</t>
  </si>
  <si>
    <t>[Jackson, David J.] Kings Coll London, Guys Hosp, Sch Immunol &amp; Microbial Sci, London SE1 9RT, England; [Heaney, Liam G.] Queens Univ Belfast, Wellcome Wolfson Inst Expt Med, Belfast, North Ireland; [Humbert, Marc] Univ Paris Saclay, Hop Bicetre, Serv Pneumol, Le Kremlin Bicetre, France; [Kent, Brian D.] Trinity Coll Dublin, St Jamess Hosp, Sch Med, Dublin, Ireland; [Shavit, Anat; Menzies-Gow, Andrew] AstraZeneca, BioPharmaceut Med, Resp &amp; Immunol, Cambridge, England; [Olinger, Lynda] AstraZeneca, LateStage Dev Resp &amp; Immunol, Resp &amp; Immunol, Cambridge, England; [Hiljemark, Lina] AstraZeneca, Evidence Delivery, Gothenburg, Sweden; [Olinger, Lynda] Cytel, Waltham, MA USA; [Cohen, David] AstraZeneca, BioPharmaceut Med Resp &amp; Immunol, Gaithersburg, MD USA; [Korn, Stephanie] Thoraxklin Heidelberg, IKF Pneumol, Mainz, Germany</t>
  </si>
  <si>
    <t>Guy's &amp; St Thomas' NHS Foundation Trust; University of London; King's College London; Queens University Belfast; Assistance Publique Hopitaux Paris (APHP); Hopital Universitaire Bicetre - APHP; Hopital Universitaire Antoine-Beclere - APHP; Universite Paris Saclay; Trinity College Dublin; AstraZeneca; AstraZeneca; AstraZeneca; Cytel; AstraZeneca</t>
  </si>
  <si>
    <t>Jackson, DJ (corresponding author), Kings Coll London, Guys Hosp, Sch Immunol &amp; Microbial Sci, London SE1 9RT, England.</t>
  </si>
  <si>
    <t>david.jackson@gstt.nhs.uk</t>
  </si>
  <si>
    <t>Milger, Katrin/0000-0003-2914-8773; Baglivo, Ilaria/0000-0003-4041-5182</t>
  </si>
  <si>
    <t>Boehringer Ingelheim; Chiesi; GSK; Napp Pharmaceuticals; AstraZeneca; Hoffmann-La Roche; Janssen; Sanofi; Itamar Medical; Novartis; Teva</t>
  </si>
  <si>
    <t>Boehringer Ingelheim(Boehringer Ingelheim); Chiesi(Chiesi Pharmaceuticals Inc); GSK(GlaxoSmithKline); Napp Pharmaceuticals; AstraZeneca(AstraZeneca); Hoffmann-La Roche(Hoffmann-La Roche); Janssen(Johnson &amp; JohnsonJohnson &amp; Johnson USAJanssen Biotech Inc); Sanofi; Itamar Medical; Novartis(Novartis); Teva(Teva Pharmaceutical Industries)</t>
  </si>
  <si>
    <t>AstraZenecar sponsorship for attending international scientific meetings from AstraZeneca, Boehringer Ingelheim, Chiesi, GSK, and Napp Pharmaceuticals; he has also taken part in asthma clinical trials sponsored by AstraZeneca, Boehringer Ingelheim, GSK, and Hoffmann-La Roche, for which his institution received remuneration; he is the academic lead for the Medical Research Council Stratified Medicine UK Consortium in Severe Asthma, which involves industrial partnerships with a number of pharmaceutical companies, including Amgen, AstraZeneca, Boehringer Ingelheim, GSK, Hoffmann-La Roche, and Janssen. MH has received consulting fees from AstraZeneca, Chiesi, GSK, Novartis, and Sanofi. BDK has participated in advisory boards or received speaker fees from AstraZeneca, Chiesi, GSK, Novartis, and Teva; has received educational travel bursaries from Boehringer Ingelheim, Chiesi, and Napp Pharmaceuticals; and has received research funding from Itamar Medical. AS was an employee of AstraZeneca at the time of this study and may own stock. LH was an employee of AstraZeneca at the time of this study and may own stock. LO is an employee of Cytel and was on contract to AstraZeneca at the time of this study. DC was an employee of AstraZeneca at the time of this study and may own stock. AM-G was an employee of AstraZeneca at the time of this study and may own stock; has attended advisory boards for AstraZeneca, GSK, Novartis, Regeneron, Sanofi, and Teva; has received speaker fees from AstraZeneca, Novartis, Sanofi, and Teva; has participated in research with AstraZeneca, for which his institution was remunerated; and has had consultancy agreements with AstraZeneca and Sanofi. SK has received grants and personal fees for lectures and advisory boards from AstraZeneca, GSK, Novartis, Sanofi-Genzyme, and Teva.</t>
  </si>
  <si>
    <t>0140-6736</t>
  </si>
  <si>
    <t>1474-547X</t>
  </si>
  <si>
    <t>Lancet</t>
  </si>
  <si>
    <t>JAN 20</t>
  </si>
  <si>
    <t>10.1016/S0140-6736(23)02284-5</t>
  </si>
  <si>
    <t>JAN 2024</t>
  </si>
  <si>
    <t>Medicine, General &amp; Internal</t>
  </si>
  <si>
    <t>General &amp; Internal Medicine</t>
  </si>
  <si>
    <t>IQ7T7</t>
  </si>
  <si>
    <t>Y</t>
  </si>
  <si>
    <t>N</t>
  </si>
  <si>
    <t>WOS:001167867400001</t>
  </si>
  <si>
    <t>Savale, L; Dorfmüller, P; Boucly, A; Jaïs, X; Lacoste-Palasset, T; Jevnikar, M; Seferian, A; Humbert, M; Sitbon, O; Montani, D</t>
  </si>
  <si>
    <t>Savale, Laurent; Dorfmueller, Peter; Boucly, Athenais; Jais, Xavier; Lacoste-Palasset, Thomas; Jevnikar, Mitja; Seferian, Andrei; Humbert, Marc; Sitbon, Olivier; Montani, David</t>
  </si>
  <si>
    <t>Sa rco i d os i s-Assoc i ated Pulmonary Hypertension</t>
  </si>
  <si>
    <t>CLINICS IN CHEST MEDICINE</t>
  </si>
  <si>
    <t>Pulmonary hypertension; Sarcoidosis; Screening</t>
  </si>
  <si>
    <t>CLINICAL-FEATURES; SARCOIDOSIS; TRANSPLANTATION; PREDICTORS; OUTCOMES</t>
  </si>
  <si>
    <t>[Savale, Laurent; Boucly, Athenais; Jais, Xavier; Lacoste-Palasset, Thomas; Jevnikar, Mitja; Seferian, Andrei; Humbert, Marc; Sitbon, Olivier; Montani, David] Univ Paris Saclay, Sch Med, Le Kremlin Bicetre, France; [Savale, Laurent; Boucly, Athenais; Jais, Xavier; Lacoste-Palasset, Thomas; Jevnikar, Mitja; Seferian, Andrei; Humbert, Marc; Sitbon, Olivier; Montani, David] Hop Marie Lannelongue, INSERM, UMR S 999, Le Plessis Robinson, France; [Savale, Laurent; Boucly, Athenais; Jais, Xavier; Lacoste-Palasset, Thomas; Jevnikar, Mitja; Seferian, Andrei; Humbert, Marc; Sitbon, Olivier; Montani, David] Hop Bicetre, AP HP, Dept Resp &amp; Intens CareMed, Le Kremlin Bicetre, France; [Dorfmueller, Peter] Univ Hosp Giessen &amp; Marburg, Pathol Dept, Rudolf Buchheim Str 8, D-35392 Giessen, Germany; [Dorfmueller, Peter] German Ctr Lung Res DZL, Giessen, Germany</t>
  </si>
  <si>
    <t>Universite Paris Saclay; Hopital Marie Lannelongue; Universite Paris Saclay; Institut National de la Sante et de la Recherche Medicale (Inserm); Assistance Publique Hopitaux Paris (APHP); Hopital Universitaire Antoine-Beclere - APHP; Universite Paris Saclay; Hopital Universitaire Bicetre - APHP; University Hospital of Giessen &amp; Marburg</t>
  </si>
  <si>
    <t>Savale, L (corresponding author), Univ Paris Saclay, Sch Med, Le Kremlin Bicetre, France.;Savale, L (corresponding author), Hop Marie Lannelongue, INSERM, UMR S 999, Le Plessis Robinson, France.;Savale, L (corresponding author), Hop Bicetre, AP HP, Dept Resp &amp; Intens CareMed, Le Kremlin Bicetre, France.</t>
  </si>
  <si>
    <t>David, Montani/I-6885-2019; Humbert, Marc/AAC-8459-2019; Savale, Laurent/AAJ-9781-2020</t>
  </si>
  <si>
    <t>Lacoste-Palasset, Thomas/0000-0003-3543-6675</t>
  </si>
  <si>
    <t>W B SAUNDERS CO-ELSEVIER INC</t>
  </si>
  <si>
    <t>1600 JOHN F KENNEDY BOULEVARD, STE 1800, PHILADELPHIA, PA 19103-2899 USA</t>
  </si>
  <si>
    <t>0272-5231</t>
  </si>
  <si>
    <t>1557-8216</t>
  </si>
  <si>
    <t>CLIN CHEST MED</t>
  </si>
  <si>
    <t>Clin. Chest Med.</t>
  </si>
  <si>
    <t>10.1016/j.ccm.2023.08.007</t>
  </si>
  <si>
    <t>JC0P6</t>
  </si>
  <si>
    <t>WOS:001170842100001</t>
  </si>
  <si>
    <t>Mocumbi, A; Humbert, M; Saxena, A; Jing, ZC; Sliwa, K; Thienemann, F; Archer, SL; Stewart, S</t>
  </si>
  <si>
    <t>Mocumbi, Ana; Humbert, Marc; Saxena, Anita; Jing, Zhi-Cheng; Sliwa, Karen; Thienemann, Friedrich; Archer, Stephen L.; Stewart, Simon</t>
  </si>
  <si>
    <t>Pulmonary hypertension (vol 10, 1, 2024)</t>
  </si>
  <si>
    <t>NATURE REVIEWS DISEASE PRIMERS</t>
  </si>
  <si>
    <t>[Mocumbi, Ana] Univ Eduardo Mondlane, Fac Med, Maputo, Mozambique; [Mocumbi, Ana] Inst Nacl Saude, EN 1, Marracuene, Mozambique; [Humbert, Marc] Univ Paris Saclay, Hop Bicetre, AP HP, Serv Pneumol &amp; Soins Intens Respiratoires,INSERM U, Paris, France; [Humbert, Marc] ERN LUNG, Paris, France; [Saxena, Anita] Sharma Univ Hlth Sci, New Delhi, Haryana, India; [Jing, Zhi-Cheng] Southern Med Univ, Guangdong Acad Med Sci, Guangdong Prov Peoples Hosp, Guangdong Cardiovasc Inst,Dept Cardiol, Guangzhou, Peoples R China; [Sliwa, Karen] Univ Cape Town, Cape Heart Inst, Fac Hlth Sci, Cape Town, South Africa; [Thienemann, Friedrich] Univ Cape Town, Groote Schuur Hosp, Fac Hlth Sci, Dept Med, Cape Town, South Africa; [Thienemann, Friedrich] Univ Zurich, Univ Hosp Zurich, Dept Internal Med, Zurich, Switzerland; [Archer, Stephen L.] Queens Univ, Dept Med, Kingston, ON, Canada; [Stewart, Simon] Univ Notre Dame, Inst Hlth Res, Fremantle, WA, Australia</t>
  </si>
  <si>
    <t>Eduardo Mondlane University; Institut National de la Sante et de la Recherche Medicale (Inserm); Universite Paris Saclay; Assistance Publique Hopitaux Paris (APHP); Hopital Universitaire Bicetre - APHP; Southern Medical University - China; Guangdong Academy of Medical Sciences &amp; Guangdong General Hospital; University of Cape Town; University of Cape Town; University of Zurich; University Zurich Hospital; Queens University - Canada; The University of Notre Dame Australia</t>
  </si>
  <si>
    <t>Mocumbi, A (corresponding author), Univ Eduardo Mondlane, Fac Med, Maputo, Mozambique.;Mocumbi, A (corresponding author), Inst Nacl Saude, EN 1, Marracuene, Mozambique.</t>
  </si>
  <si>
    <t>ana.mocumbi@uem.ac.mz</t>
  </si>
  <si>
    <t>Jing, Zhicheng/HLG-8049-2023; Stewart, Simon/JPX-8611-2023; Thienemann, Friedrich/AAX-1197-2020; Humbert, Marc/AAC-8459-2019; Stewart, Simon/M-3316-2016; Jing, Zhi-Cheng/AAT-9081-2021</t>
  </si>
  <si>
    <t>Humbert, Marc/0000-0003-0703-2892; Sliwa, Karen/0000-0002-8272-0911; Stewart, Simon/0000-0001-9032-8998; Jing, Zhi-Cheng/0000-0003-0493-0929</t>
  </si>
  <si>
    <t>2056-676X</t>
  </si>
  <si>
    <t>NAT REV DIS PRIMERS</t>
  </si>
  <si>
    <t>Nat. Rev. Dis. Primers</t>
  </si>
  <si>
    <t>JAN 17</t>
  </si>
  <si>
    <t>10.1038/s41572-024-00493-2</t>
  </si>
  <si>
    <t>FM6L3</t>
  </si>
  <si>
    <t>Bronze</t>
  </si>
  <si>
    <t>WOS:001146264300001</t>
  </si>
  <si>
    <t>Tai, YY; Yu, QJ; Tang, Y; Sun, W; Kelly, NJ; Okawa, S; Zhao, JS; Schwantes-An, TH; Lacoux, C; Torrino, S; Al Aaraj, Y; El Khoury, W; Negi, V; Liu, MJ; Corey, CG; Belmonte, F; Vargas, SO; Schwartz, B; Bhat, B; Chau, BN; Karnes, JH; Satoh, T; Barndt, RJ; Wu, HD; Parikh, VN; Wang, JR; Zhang, YZ; Mcnamara, D; Li, G; Speyer, G; Wang, B; Shiva, S; Kaufman, B; Kim, S; Gomez, D; Mari, B; Cho, MH; Boueiz, A; Pauciulo, MW; Southgate, L; Trembath, RC; Sitbon, O; Humbert, M; Graf, S; Morrell, NW; Rhodes, CJ; Wilkins, MR; Nouraie, M; Nichols, WC; Desai, AA; Bertero, T; Chan, SY</t>
  </si>
  <si>
    <t>Tai, Yi-Yin; Yu, Qiujun; Tang, Ying; Sun, Wei; Kelly, Neil J.; Okawa, Satoshi; Zhao, Jingsi; Schwantes-An, Tae-Hwi; Lacoux, Caroline; Torrino, Stephanie; Al Aaraj, Yassmin; El Khoury, Wadih; Negi, Vinny; Liu, Mingjun; Corey, Catherine G.; Belmonte, Frances; Vargas, Sara O.; Schwartz, Brian; Bhat, Bal; Chau, B. Nelson; Karnes, Jason H.; Satoh, Taijyu; Barndt, Robert J.; Wu, Haodi; Parikh, Victoria N.; Wang, Jianrong; Zhang, Yingze; Mcnamara, Dennis; Li, Gang; Speyer, Gil; Wang, Bing; Shiva, Sruti; Kaufman, Brett; Kim, Seungchan; Gomez, Delphine; Mari, Bernard; Cho, Michael H.; Boueiz, Adel; Pauciulo, Michael W.; Southgate, Laura; Trembath, Richard C.; Sitbon, Olivier; Humbert, Marc; Graf, Stefan; Morrell, Nicholas W.; Rhodes, Christopher J.; Wilkins, Martin R.; Nouraie, Mehdi; Nichols, William C.; Desai, Ankit A.; Bertero, Thomas; Chan, Stephen Y.</t>
  </si>
  <si>
    <t>Allele-specific control of rodent and human lncRNA KMT2E-AS1 promotes hypoxic endothelial pathology in pulmonary hypertension</t>
  </si>
  <si>
    <t>SCIENCE TRANSLATIONAL MEDICINE</t>
  </si>
  <si>
    <t>SET ENRICHMENT ANALYSIS; HIF-BINDING SITES; ARTERIAL-HYPERTENSION; METHYLATION; EXPRESSION; MLL5; IDENTIFICATION</t>
  </si>
  <si>
    <t>Hypoxic reprogramming of vasculature relies on genetic, epigenetic, and metabolic circuitry, but the control points are unknown. In pulmonary arterial hypertension (PAH), a disease driven by hypoxia inducible factor (HIF)-dependent vascular dysfunction, HIF-2 alpha promoted expression of neighboring genes, long noncoding RNA (lncRNA) histone lysine N-methyltransferase 2E-antisense 1 (KMT2E-AS1) and histone lysine N-methyltransferase 2E (KMT2E). KMT2E-AS1 stabilized KMT2E protein to increase epigenetic histone 3 lysine 4 trimethylation (H3K4me3), driving HIF-2 alpha-dependent metabolic and pathogenic endothelial activity. This lncRNA axis also increased HIF-2 alpha expression across epigenetic, transcriptional, and posttranscriptional contexts, thus promoting a positive feedback loop to further augment HIF-2 alpha activity. We identified a genetic association between rs73184087, a single-nucleotide variant (SNV) within a KMT2E intron, and disease risk in PAH discovery and replication patient cohorts and in a global meta-analysis. This SNV displayed allele (G)-specific association with HIF-2 alpha, engaged in long-range chromatin interactions, and induced the lncRNA-KMT2E tandem in hypoxic (G/G) cells. In vivo, KMT2E-AS1 deficiency protected against PAH in mice, as did pharmacologic inhibition of histone methylation in rats. Conversely, forced lncRNA expression promoted more severe PH. Thus, the KMT2E-AS1/KMT2E pair orchestrates across convergent multi-ome landscapes to mediate HIF-2 alpha pathobiology and represents a key clinical target in pulmonary hypertension.</t>
  </si>
  <si>
    <t>[Tai, Yi-Yin; Tang, Ying; Sun, Wei; Kelly, Neil J.; Zhao, Jingsi; Al Aaraj, Yassmin; El Khoury, Wadih; Negi, Vinny; Satoh, Taijyu; Barndt, Robert J.; Wu, Haodi; Nouraie, Mehdi; Chan, Stephen Y.] Univ Pittsburgh, Sch Med, Ctr Pulm Vasc Biol &amp; Med, Pittsburgh, PA 15213 USA; [Tai, Yi-Yin; Tang, Ying; Sun, Wei; Kelly, Neil J.; Okawa, Satoshi; Zhao, Jingsi; Al Aaraj, Yassmin; El Khoury, Wadih; Negi, Vinny; Liu, Mingjun; Corey, Catherine G.; Belmonte, Frances; Satoh, Taijyu; Barndt, Robert J.; Wu, Haodi; Zhang, Yingze; Li, Gang; Shiva, Sruti; Kaufman, Brett; Gomez, Delphine; Nouraie, Mehdi; Chan, Stephen Y.] Univ Pittsburgh, Sch Med, Pittsburgh Heart Lung &amp; Blood Vasc Med Inst, Pittsburgh, PA 15213 USA; [Tai, Yi-Yin; Tang, Ying; Sun, Wei; Kelly, Neil J.; Okawa, Satoshi; Zhao, Jingsi; Al Aaraj, Yassmin; El Khoury, Wadih; Liu, Mingjun; Belmonte, Frances; Satoh, Taijyu; Barndt, Robert J.; Wu, Haodi; Mcnamara, Dennis; Li, Gang; Kaufman, Brett; Gomez, Delphine; Chan, Stephen Y.] Univ Pittsburgh, Dept Med, Div Cardiol, Med Ctr, Pittsburgh, PA 15213 USA; [Tai, Yi-Yin; Tang, Ying; Sun, Wei; Kelly, Neil J.; Okawa, Satoshi; Zhao, Jingsi; Al Aaraj, Yassmin; El Khoury, Wadih; Negi, Vinny; Liu, Mingjun; Corey, Catherine G.; Belmonte, Frances; Satoh, Taijyu; Barndt, Robert J.; Wu, Haodi; Zhang, Yingze; Mcnamara, Dennis; Li, Gang; Wang, Bing; Shiva, Sruti; Kaufman, Brett; Gomez, Delphine; Nouraie, Mehdi; Chan, Stephen Y.] Univ Pittsburgh Sch Med &amp; Med Ctr, Dept Psychol, Pittsburgh, PA 15213 USA; [Yu, Qiujun] Washington Univ, Sch Med, Dept Internal Med, Cardiovasc Div, St Louis, MO 63110 USA; [Kelly, Neil J.] Univ Pittsburgh, Dept Pathol, Pittsburgh VA Med Ctr, Pittsburgh, PA 15240 USA; [Okawa, Satoshi] Univ Pittsburgh, Sch Med, Dept Computat &amp; Syst Biol, Pittsburgh, PA 15213 USA; [Okawa, Satoshi] Univ Pittsburgh, McGowan Inst Regenerat Med, Sch Med, Pittsburgh, PA 15219 USA; [Schwantes-An, Tae-Hwi; Desai, Ankit A.] Indiana Univ Sch Med, Dept Med, Div Cardiol, Indianapolis, IN 46202 USA; [Schwantes-An, Tae-Hwi; Mari, Bernard] Indiana Univ Sch Med, Dept Med &amp; Mol Genet, Indianapolis, IN 46202 USA; [Lacoux, Caroline; Torrino, Stephanie; Bertero, Thomas] Univ Cote Azur, CNRS, FHU OncoAge, IPMC, Sophia Antipolis, France; [Corey, Catherine G.; Shiva, Sruti] Univ Pittsburgh, Sch Med, Ctr Metab &amp; Mitochondrial Med, Pittsburgh, PA 15213 USA; [Corey, Catherine G.] Univ Pittsburgh, Med Ctr, Childrens Hosp Pittsburgh, Dept Pediat, Pittsburgh, PA 15224 USA; [Vargas, Sara O.] Boston Childrens Hosp, Dept Pathol, Boston, MA 02115 USA; [Schwartz, Brian] CAMP4 Therapeut, Cambridge, MA 02139 USA; [Bhat, Bal] Translate Bio, Lexington, MA USA; [Chau, B. Nelson] Orna Therapeut, Cambridge, MA 02139 USA; [Karnes, Jason H.] Univ Arizona, Coll Pharm, Tucson, AZ 85721 USA; [Satoh, Taijyu] Tohoku Univ, Grad Sch Med, Dept Cardiovasc Med, Sendai, Miyagi 9808575, Japan; [Parikh, Victoria N.] Stanford Univ, Sch Med, Stanford Ctr Inherited Cardiovasc Dis, Stanford, CA 94305 USA; [Wang, Jianrong] Michigan State Univ, Dept Computat Math Sci &amp; Engn, E Lansing, MI 48824 USA; [Zhang, Yingze; Nouraie, Mehdi] Univ Pittsburgh, Sch Med, Med Ctr, Div Pulm Allergy &amp; Crit Care Med, Pittsburgh, PA 15213 USA; [Li, Gang] Univ Pittsburgh, Aging Inst, Pittsburgh, PA 15219 USA; [Speyer, Gil] Arizona State Univ, ASU Res Comp, Tempe, AZ 85281 USA; [Shiva, Sruti] Univ Pittsburgh, Dept Pharmacol &amp; Chem Biol, Pittsburgh, PA 15213 USA; [Kim, Seungchan] Prairie View A&amp;M Univ, Roy G Perry Coll Engn, Ctr Computat Syst Biol, Personalized Genom Lab, Prairie View, TX 77446 USA; [Cho, Michael H.; Boueiz, Adel] Harvard Med Sch, Brigham &amp; Womens Hosp, Pulm &amp; Crit Care Med Div, Dept Med, Boston, MA USA; [Nichols, William C.] Univ Cincinnati, Coll Med, Cincinnati Childrens Hosp Med Ctr, Div Neurol, Cincinnati, OH 45229 USA; [Southgate, Laura; Trembath, Richard C.] Kings Coll London, Fac Life Sci &amp; Med, Dept Immunol, London WC2R 2LS, England; [Southgate, Laura] St Georges Univ London, Mol &amp; Clin Sci Res Inst, London SW17 0RE, England; [Sitbon, Olivier; Humbert, Marc] Hop Univ Paris Saclay, Hop Bicetre, Assistance Publ Hop Paris, Serv Med Intens Reanimat, Le Kremlin Bicetre, France; [Graf, Stefan; Morrell, Nicholas W.] Univ Cambridge, Addenbrookes Hosp, Dept Med, Cambridge CB2 1TN, England; [Graf, Stefan] Univ Cambridge, NIHR BioResource Translat Res, Cambridge Biomed Campus, Cambridge CB2 0QQ, England; [Graf, Stefan] Univ Cambridge, Dept Haematol, NHS Blood &amp; Transplant, Diagnost Dev Unit, Long Rd, Cambridge CB2 2PT, England; [Morrell, Nicholas W.] Cheshire Joint Sanat, Loggerheads, Cheshire, England; [Rhodes, Christopher J.; Wilkins, Martin R.] Natl Heart &amp; Lung Inst, Imperial Coll London, London SW3 6LY, England</t>
  </si>
  <si>
    <t>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 Washington University (WUSTL); Pennsylvania Commonwealth System of Higher Education (PCSHE); University of Pittsburgh; Pennsylvania Commonwealth System of Higher Education (PCSHE); University of Pittsburgh; Pennsylvania Commonwealth System of Higher Education (PCSHE); University of Pittsburgh; Indiana University System; Indiana University Bloomington; Indiana University System; Indiana University Bloomington; Universite Cote d'Azur; Centre National de la Recherche Scientifique (CNRS); Pennsylvania Commonwealth System of Higher Education (PCSHE); University of Pittsburgh; Pennsylvania Commonwealth System of Higher Education (PCSHE); University of Pittsburgh; Harvard University; Harvard University Medical Affiliates; Boston Children's Hospital; University of Arizona; Tohoku University; Stanford University; Michigan State University; Pennsylvania Commonwealth System of Higher Education (PCSHE); University of Pittsburgh; Pennsylvania Commonwealth System of Higher Education (PCSHE); University of Pittsburgh; Arizona State University; Arizona State University-Tempe; Pennsylvania Commonwealth System of Higher Education (PCSHE); University of Pittsburgh; Texas A&amp;M University System; Prairie View A&amp;M University; Harvard University; Harvard Medical School; Harvard University Medical Affiliates; Brigham &amp; Women's Hospital; University System of Ohio; University of Cincinnati; Cincinnati Children's Hospital Medical Center; University of London; King's College London; City St Georges, University of London; St Georges University London; Assistance Publique Hopitaux Paris (APHP); Hopital Universitaire Antoine-Beclere - APHP; Universite Paris Saclay; Universite Paris Cite; Hopital Universitaire Saint-Louis - APHP; Hopital Universitaire Bicetre - APHP; University of Cambridge; Cambridge University Hospitals NHS Foundation Trust; Addenbrooke's Hospital; University of Cambridge; University of Cambridge; Imperial College London</t>
  </si>
  <si>
    <t>Chan, SY (corresponding author), Univ Pittsburgh, Sch Med, Ctr Pulm Vasc Biol &amp; Med, Pittsburgh, PA 15213 USA.;Chan, SY (corresponding author), Univ Pittsburgh, Sch Med, Pittsburgh Heart Lung &amp; Blood Vasc Med Inst, Pittsburgh, PA 15213 USA.;Chan, SY (corresponding author), Univ Pittsburgh, Dept Med, Div Cardiol, Med Ctr, Pittsburgh, PA 15213 USA.;Chan, SY (corresponding author), Univ Pittsburgh Sch Med &amp; Med Ctr, Dept Psychol, Pittsburgh, PA 15213 USA.</t>
  </si>
  <si>
    <t>chansy@pitt.edu</t>
  </si>
  <si>
    <t>Kaufman, Brett/IUP-1225-2023; Torrino, StÃ©phanie/JXX-1225-2024; Gomez, Delphine/J-6349-2019; Wilkins, Martin/ABH-1140-2021; Nouraie, Seyed Mehdi/GPW-8812-2022; Boueiz, Adel/AAV-5966-2021; wei, wei/HHR-8613-2022; Liu, Mingjun/ABE-4412-2021; Humbert, Marc/AAC-8459-2019; Yu, Qiujun/B-6794-2015; Mari, Bernard/D-7445-2015; Southgate, Laura/H-7924-2019</t>
  </si>
  <si>
    <t>Torrino, Stephanie/0000-0002-8280-5907; Rhodes, Christopher/0000-0002-4962-3204; Kelly, Neil/0000-0003-0455-5348; BERTERO, Thomas/0000-0002-4801-9902; Humbert, Marc/0000-0003-0703-2892; Yu, Qiujun/0000-0003-0690-138X; Okawa, Satoshi/0000-0003-3916-3109; Mari, Bernard/0000-0002-0422-9182; An, Tae-Hwi/0000-0001-6387-0095; Tai, Yi Yin/0000-0003-3674-0783; Southgate, Laura/0000-0002-2090-1450; El Boueiz, Adel`/0000-0003-1638-8575</t>
  </si>
  <si>
    <t>NIH [R01 Hl124021, Hl 122596, R00 Hl133473, Hl105333, Hl137927, Hl147148, Hl089856, 18eEIA33900027, 18CN045, Mr/K020919/1]; French National Research Agency [S10od023684, ANR- 18- CE14- 0025, ANR- 21- CE44- 0036]; French national cancer institute [ANR- 20-CE14- 0006]; BHF intermediate Basic Science research fellowship [INCA- PlBio 21- 094]; Academy of Medical Sciences Springboard fellowship [FS/15/59/31839]; NSF [SBF004\1095]; NIHR Bioresource; BHF [DBI- 1942143]; UK Medical research council [SP/12/12/29836]; MRC [MR/K020919/1] Funding Source: UKRI; Agence Nationale de la Recherche (ANR) [ANR-18-CE14-0025, ANR-21-CE44-0036, ANR-20-CE14-0006] Funding Source: Agence Nationale de la Recherche (ANR)</t>
  </si>
  <si>
    <t>NIH(United States Department of Health &amp; Human ServicesNational Institutes of Health (NIH) - USA); French National Research Agency(Agence Nationale de la Recherche (ANR)); French national cancer institute(Institut National du Cancer (INCA) France); BHF intermediate Basic Science research fellowship; Academy of Medical Sciences Springboard fellowship; NSF(National Science Foundation (NSF)); NIHR Bioresource; BHF(British Heart Foundation); UK Medical research council(UK Research &amp; Innovation (UKRI)Medical Research Council UK (MRC)); MRC(UK Research &amp; Innovation (UKRI)Medical Research Council UK (MRC)); Agence Nationale de la Recherche (ANR)(Agence Nationale de la Recherche (ANR))</t>
  </si>
  <si>
    <t>This work was supported by NIH grants R01 Hl124021 to S.Y.c., Hl 122596 to S.Y.c., R00 Hl133473 to h.W., Hl105333 to W.c.n. and M.W.P.; Hl137927, Hl147148, and Hl089856 to M.h.c.; Hl141601 to a.B.; and Hl143185 to V.n.P.; Hl129964 to n.J.K.; aha grant 18eEIA33900027 to S.Y.c.; Plan cancer 2018 grant 18CN045 to c.l. and B.M.; the French National Research Agency ANR- 18- CE14- 0025, ANR- 21- CE44- 0036, and ANR- 20-CE14- 0006 to T.B.; the French national cancer institute INCA- PlBio 21- 094 to T.B.; the BHF intermediate Basic Science research fellowship FS/15/59/31839 to c.J.r.; Academy of Medical Sciences Springboard fellowship SBF004\1095 to c.J.r.; and the NSF DBI- 1942143 to J.W. The UK national cohort of idiopathic and heritable Pah was supported by the NIHR Bioresource, the BHF(SP/12/12/29836), and the UK Medical research council (Mr/K020919/1). The advanced high resolution rodent Ultrasound imaging System provided by the University of Pittsburgh Small animal Ultrasonography core was supported by NIH S10od023684.</t>
  </si>
  <si>
    <t>AMER ASSOC ADVANCEMENT SCIENCE</t>
  </si>
  <si>
    <t>WASHINGTON</t>
  </si>
  <si>
    <t>1200 NEW YORK AVE, NW, WASHINGTON, DC 20005 USA</t>
  </si>
  <si>
    <t>1946-6234</t>
  </si>
  <si>
    <t>1946-6242</t>
  </si>
  <si>
    <t>SCI TRANSL MED</t>
  </si>
  <si>
    <t>Sci. Transl. Med.</t>
  </si>
  <si>
    <t>JAN 10</t>
  </si>
  <si>
    <t>eadd2029</t>
  </si>
  <si>
    <t>10.1126/scitranslmed.add2029</t>
  </si>
  <si>
    <t>Cell Biology; Medicine, Research &amp; Experimental</t>
  </si>
  <si>
    <t>Cell Biology; Research &amp; Experimental Medicine</t>
  </si>
  <si>
    <t>EO6U6</t>
  </si>
  <si>
    <t>Green Submitted, Green Accepted</t>
  </si>
  <si>
    <t>WOS:001139915000004</t>
  </si>
  <si>
    <t>Pulmonary hypertension</t>
  </si>
  <si>
    <t>QUALITY-OF-LIFE; RIGHT-VENTRICULAR FUNCTION; POSITRON-EMISSION-TOMOGRAPHY; CALCIUM-CHANNEL BLOCKERS; SMOOTH-MUSCLE-CELLS; RIGHT HEART-FAILURE; LONG-TERM RESPONSE; 6-MINUTE WALK TEST; GATED K+ CHANNELS; INDIA PRO-KERALA</t>
  </si>
  <si>
    <t>Pulmonary hypertension encompasses a range of conditions directly or indirectly leading to elevated pressures within the pulmonary arteries. Five main groups of pulmonary hypertension are recognized, all defined by a mean pulmonary artery pressure of &gt;20 mmHg: pulmonary arterial hypertension (rare), pulmonary hypertension associated with left-sided heart disease (very common), pulmonary hypertension associated with lung disease (common), pulmonary hypertension associated with pulmonary artery obstructions, usually related to thromboembolic disease (rare), and pulmonary hypertension with unclear and/or multifactorial mechanisms (rare). At least 1% of the world's population is affected, with a greater burden more likely in low-income and middle-income countries. Across all its forms, pulmonary hypertension is associated with adverse vascular remodelling with obstruction, stiffening and vasoconstriction of the pulmonary vasculature. Without proactive management this leads to hypertrophy and ultimately failure of the right ventricle, the main cause of death. In older individuals, dyspnoea is the most common symptom. Stepwise investigation precedes definitive diagnosis with right heart catheterization. Medical and surgical treatments are approved for pulmonary arterial hypertension and chronic thromboembolic pulmonary hypertension. There are emerging treatments for other forms of pulmonary hypertension; but current therapy primarily targets the underlying cause. There are still major gaps in basic, clinical and translational knowledge; thus, further research, with a focus on vulnerable populations, is needed to better characterize, detect and effectively treat all forms of pulmonary hypertension.</t>
  </si>
  <si>
    <t>[Mocumbi, Ana] Univ Eduardo Mondlane, Fac Med, Maputo, Mozambique; [Mocumbi, Ana] Inst Nacl Saude, EN 1, Marracuene, Mozambique; [Humbert, Marc] Univ Paris Saclay, Hop Bicetre, AP HP, Serv Pneumol &amp; Soins Intens Respiratoires,INSERM,U, Paris, France; [Humbert, Marc] Kremlin Bicetre, ERN LUNG, Paris, France; [Saxena, Anita] Sharma Univ Hlth Sci, New Delhi, Haryana, India; [Jing, Zhi-Cheng] Southern Med Univ, Guangdong Prov Peoples Hosp, Guangdong Acad Med Sci, Dept Cardiol,Guangdong Cardiovasc Inst, Guangzhou, Peoples R China; [Sliwa, Karen] Univ Cape Town, Cape Heart Inst, Fac Hlth Sci, Cape Town, South Africa; [Thienemann, Friedrich] Univ Cape Town, Groote Schuur Hosp, Fac Hlth Sci, Dept Med, Cape Town, South Africa; [Thienemann, Friedrich] Univ Zurich, Univ Hosp Zurich, Dept Internal Med, Zurich, Switzerland; [Archer, Stephen L.] Queens Univ, Dept Med, Kingston, ON, Canada; [Stewart, Simon] Univ Notre Dame, Inst Hlth Res, Fremantle, WA, Australia</t>
  </si>
  <si>
    <t>Eduardo Mondlane University; Assistance Publique Hopitaux Paris (APHP); Hopital Universitaire Bicetre - APHP; Universite Paris Saclay; Institut National de la Sante et de la Recherche Medicale (Inserm); Assistance Publique Hopitaux Paris (APHP); Hopital Universitaire Bicetre - APHP; Southern Medical University - China; Guangdong Academy of Medical Sciences &amp; Guangdong General Hospital; University of Cape Town; University of Cape Town; University of Zurich; University Zurich Hospital; Queens University - Canada; The University of Notre Dame Australia</t>
  </si>
  <si>
    <t>Thienemann, Friedrich/AAX-1197-2020; Stewart, Simon/JPX-8611-2023; Stewart, Simon/M-3316-2016; Jing, Zhi-Cheng/AAT-9081-2021; Humbert, Marc/AAC-8459-2019</t>
  </si>
  <si>
    <t>Sliwa, Karen/0000-0002-8272-0911; Stewart, Simon/0000-0001-9032-8998; Jing, Zhi-Cheng/0000-0003-0493-0929; Humbert, Marc/0000-0003-0703-2892</t>
  </si>
  <si>
    <t>JAN 4</t>
  </si>
  <si>
    <t>10.1038/s41572-023-00486-7</t>
  </si>
  <si>
    <t>IX0C2</t>
  </si>
  <si>
    <t>WOS:001169509700001</t>
  </si>
  <si>
    <t>Boucly, A; Solinas, S; Beurnier, A; Jaïs, X; Keddache, S; Eyries, M; Seferian, A; Jevnikar, M; Roche, A; Bulifon, S; Bourdin, A; Chaouat, A; Cottin, V; Bertoletti, L; Savale, L; Humbert, M; Sitbon, O; Montani, D</t>
  </si>
  <si>
    <t>Boucly, Athenais; Solinas, Sabina; Beurnier, Antoine; Jais, Xavier; Keddache, Sophia; Eyries, Melanie; Seferian, Andrei; Jevnikar, Mitja; Roche, Anne; Bulifon, Sophie; Bourdin, Arnaud; Chaouat, Ari; Cottin, Vincent; Bertoletti, Laurent; Savale, Laurent; Humbert, Marc; Sitbon, Olivier; Montani, David</t>
  </si>
  <si>
    <t>Outcomes and risk assessment in pulmonary veno-occlusive disease</t>
  </si>
  <si>
    <t>ARTERIAL-HYPERTENSION; PHENOTYPES</t>
  </si>
  <si>
    <t>Introduction Pulmonary veno-occlusive disease (PVOD) is a rare and severe subtype of pulmonary arterial hypertension (PAH). Although European Society of Cardiology/European Respiratory Society (ESC/ERS) guidelines advise assessing PAH severity at baseline and during follow-up, no existing risk assessment methods have been validated for PVOD. This study aimed to identify prognostic factors, examine the impact of treatment strategies and evaluate risk assessment methods for PVOD patients. Methods The study analysed all incident PVOD patients included in the French Pulmonary Hypertension Registry between 2006 and 2021. Survival was assessed based on initial treatment strategy and risk status and compared to a matched (age, sex, pulmonary vascular resistance) PAH group. Six risk assessment methods (number of four low-risk and three noninvasive low-risk variables, ESC/ERS guidelines threestrata and four-strata models, REVEAL 2.0 and Lite 2) were applied at baseline and early follow-up, and their accuracy was compared using Harrell's c-statistic. Results Among the 327 included PVOD patients, survival rates at 1, 3 and 5 years were 86%, 50% and 27%, respectively. Multivariate analysis showed that only 6-min walk distance was associated with survival, with no significant difference based on initial treatment strategy. All six risk assessment methods could discriminate mortality risk, and the ESC/ERS four-strata model was the most accurate at both baseline and follow-up (C-index 0.64 and 0.74). PVOD survival rates were consistently lower than PAH when comparing baseline risk status using the ESC/ERS four-strata model. Conclusion PVOD is associated with poor outcomes, and initial treatment strategies do not significantly affect survival. Risk assessment methods can be useful in predicting survival for PVOD patients.</t>
  </si>
  <si>
    <t>[Boucly, Athenais; Solinas, Sabina; Beurnier, Antoine; Jais, Xavier; Keddache, Sophia; Seferian, Andrei; Jevnikar, Mitja; Roche, Anne; Bulifon, Sophie; Savale, Laurent; Humbert, Marc; Sitbon, Olivier; Montani, David] Univ Paris Saclay, Fac Med, Le Kremlin Bicetre, France; [Boucly, Athenais; Solinas, Sabina; Beurnier, Antoine; Jais, Xavier; Keddache, Sophia; Seferian, Andrei; Jevnikar, Mitja; Roche, Anne; Bulifon, Sophie; Savale, Laurent; Humbert, Marc; Sitbon, Olivier; Montani, David] Fac Med Bicetre, INSERM, Unite Mixte Rech S Pulm Hypertens Pathophysiol &amp;, Le Plessis Robinson, France; [Boucly, Athenais; Solinas, Sabina; Beurnier, Antoine; Jais, Xavier; Keddache, Sophia; Seferian, Andrei; Jevnikar, Mitja; Roche, Anne; Bulifon, Sophie; Savale, Laurent; Humbert, Marc; Sitbon, Olivier; Montani, David] Hop Marie Lannelongue, Le Plessis Robinson, France; [Boucly, Athenais; Solinas, Sabina; Jais, Xavier; Keddache, Sophia; Seferian, Andrei; Jevnikar, Mitja; Roche, Anne; Bulifon, Sophie; Savale, Laurent; Humbert, Marc; Sitbon, Olivier; Montani, David] Grp Hosp Univ Paris Saclay, Hop Bicetre, AP HP,Dept Med,Univ THORINNO, Serv Pneumol &amp; Soins Intensifs,Ctr Reference Hype, Le Kremlin Bicetre, France; [Beurnier, Antoine] Grp Hosp Univ Paris Saclay, Hop Bicetre, AP HP, Serv Physiol &amp; Explorat Fonct Resp,Dept Med Univ, Le Kremlin Bicetre, France; [Eyries, Melanie] Sorbonne Univ, Dept Genet, Hop Pitie Salpetriere, AP HP, Paris, France; [Eyries, Melanie] Sorbonne Univ, ICAN Inst CardioMetab &amp; Nutr, INSERM, UMRS1166, Paris, France; [Bourdin, Arnaud] Univ Montpellier, Dept Resp Dis, CHU Montpellier, Montpellier, France; [Bourdin, Arnaud] Univ Montpellier, CHU Montpellier, INSERM, PhyMedExp,CNRS, Montpellier, France; [Chaouat, Ari] Univ Lorraine, Fac Med Nancy, INSERM, Unite Mixte Rech S1116,Dept Pneumol,CHRU Nancy, Vandoeuvre Les Nancy, France; [Cottin, Vincent] Univ Claude Bernard Lyon 1, Ctr Hosp Univ Lyon HCL, Grp Hosp Est,Hop Louis Pradel, Ctr Reference Malad Pulmonaires Rares,Serv Pneumo, Lyon, France; [Bertoletti, Laurent] Univ Jean Monnet St Etienne, Dept Med Vasc &amp; Therapeut, CHU St Etienne, St Etienne, France</t>
  </si>
  <si>
    <t>Universite Paris Saclay; Institut National de la Sante et de la Recherche Medicale (Inserm); Hopital Marie Lannelongue; Assistance Publique Hopitaux Paris (APHP); Hopital Universitaire Antoine-Beclere - APHP; Universite Paris Saclay; Hopital Universitaire Bicetre - APHP; Assistance Publique Hopitaux Paris (APHP); Hopital Universitaire Bicetre - APHP; Universite Paris Saclay; Hopital Universitaire Antoine-Beclere - APHP; Sorbonne Universite; Assistance Publique Hopitaux Paris (APHP); Hopital Universitaire Pitie-Salpetriere - APHP; Institut National de la Sante et de la Recherche Medicale (Inserm); Sorbonne Universite; Universite de Montpellier; CHU de Montpellier; Universite de Montpellier; Institut National de la Sante et de la Recherche Medicale (Inserm); Centre National de la Recherche Scientifique (CNRS); CHU de Montpellier; Institut National de la Sante et de la Recherche Medicale (Inserm); Universite de Lorraine; CHU de Nancy; Universite Claude Bernard Lyon 1; CHU Lyon; CHU de St Etienne</t>
  </si>
  <si>
    <t>Montani, D (corresponding author), Univ Paris Saclay, Fac Med, Le Kremlin Bicetre, France.;Montani, D (corresponding author), Fac Med Bicetre, INSERM, Unite Mixte Rech S Pulm Hypertens Pathophysiol &amp;, Le Plessis Robinson, France.;Montani, D (corresponding author), Hop Marie Lannelongue, Le Plessis Robinson, France.;Montani, D (corresponding author), Grp Hosp Univ Paris Saclay, Hop Bicetre, AP HP,Dept Med,Univ THORINNO, Serv Pneumol &amp; Soins Intensifs,Ctr Reference Hype, Le Kremlin Bicetre, France.</t>
  </si>
  <si>
    <t>David, Montani/I-6885-2019; Bourdin, Philippe/D-8149-2015; Savale, Laurent/AAJ-9781-2020; Humbert, Marc/AAC-8459-2019</t>
  </si>
  <si>
    <t>Jevnikar, Mitja/0000-0003-0727-6790; EYRIES, MELANIE/0000-0003-1911-6698; JAIS, XAVIER/0000-0002-4104-7994; Bourdin, Arnaud/0000-0002-4645-5209; Humbert, Marc/0000-0003-0703-2892</t>
  </si>
  <si>
    <t>JAN 1</t>
  </si>
  <si>
    <t>00612-2023</t>
  </si>
  <si>
    <t>10.1183/23120541.00612-2023</t>
  </si>
  <si>
    <t>ET1R0</t>
  </si>
  <si>
    <t>WOS:001141090300014</t>
  </si>
  <si>
    <t>Gillies, H; Chakinala, MM; Dake, BT; Feldman, JP; Hoeper, MM; Humbert, M; Jing, ZC; Langley, J; McLaughlin, VV; Niven, RW; Rosenkranz, S; Zhang, XS; Hill, NS</t>
  </si>
  <si>
    <t>Gillies, Hunter; Chakinala, Murali M.; Dake, Benjamin T.; Feldman, Jeremy P.; Hoeper, Marius M.; Humbert, Marc; Jing, Zhi-Cheng; Langley, Jonathan; McLaughlin, Vallerie V.; Niven, Ralph W.; Rosenkranz, Stephan; Zhang, Xiaosha; Hill, Nicholas S.</t>
  </si>
  <si>
    <t>IMPAHCT: A randomized phase 2b/3 study of inhaled imatinib for pulmonary arterial hypertension</t>
  </si>
  <si>
    <t>dry powder inhaler; effectiveness; study design; tolerability; tyrosine kinase inhibitor</t>
  </si>
  <si>
    <t>GROWTH-FACTOR EXPRESSION</t>
  </si>
  <si>
    <t>AV-101 (imatinib) powder for inhalation, an investigational dry powder inhaled formulation of imatinib designed to target the underlying pathobiology of pulmonary arterial hypertension, was generally well tolerated in healthy adults in a phase 1 single and multiple ascending dose study. Inhaled Imatinib Pulmonary Arterial Hypertension Clinical Trial (IMPAHCT; NCT05036135) is a phase 2b/3, randomized, double-blind, placebo-controlled, dose-ranging, and confirmatory study. IMPAHCT is designed to identify an optimal AV-101 dose (phase 2b primary endpoint: pulmonary vascular resistance) and assess the efficacy (phase 3 primary endpoint: 6-min walk distance), safety, and tolerability of AV-101 dose levels in subjects with pulmonary arterial hypertension using background therapies. The study has an operationally seamless, adaptive design allowing for continuous recruitment. It includes three parts; subjects enrolled in Part 1 (phase 2b dose-response portion) or Part 2 (phase 3 intermediate portion) will be randomized 1:1:1:1 to 10, 35, 70 mg AV-101, or placebo (twice daily), respectively. Subjects enrolled in Part 3 (phase 3 optimal dose portion) will be randomized 1:1 to the optimal dose of AV-101 and placebo (twice daily), respectively. All study parts include a screening period, a 24-week treatment period, and a 30-day safety follow-up period; the total duration is similar to 32 weeks. Participation is possible in only one study part. IMPAHCT has the potential to advance therapies for patients with pulmonary arterial hypertension by assessing the efficacy and safety of a novel investigational drug-device combination (AV-101) using an improved study design that has the potential to save 6-12 months of development time. Identifier: NCT05036135.</t>
  </si>
  <si>
    <t>[Gillies, Hunter; Dake, Benjamin T.; Langley, Jonathan; Niven, Ralph W.; Zhang, Xiaosha] Aerovate Therapeut, 930 Winter St,Suite M-500, Waltham, MA 02451 USA; [Chakinala, Murali M.] Washington Univ St Louis, Div Pulm &amp; Crit Care Med, St Louis, MO USA; [Feldman, Jeremy P.] Summit Hlth BMC, Bend, OR USA; [Hoeper, Marius M.] Hannover Med Sch, Dept Resp Med &amp; Infect Dis, Hannover, Germany; [Hoeper, Marius M.] German Ctr Lung Res DZL, Biomed Res Endstage &amp; Obstruct Lung Dis Hannover B, Hannover, Germany; [Humbert, Marc] Univ Paris Saclay, Hop Bicetre, AP HP, Serv Pneumologieet Soins Intens Resp,INSERMUMR S 9, Le Kremlin Bicetre, France; [Jing, Zhi-Cheng] Southern Med Univ, Guangdong Prov Peoples Hosp, Guangdong Cardiovasc Inst, Guangdong Acad Med Sci,Dept Cardiol, Guangzhou, Peoples R China; [McLaughlin, Vallerie V.] Univ Michigan, Frankel Cardiovasc Ctr, Cardiol Clin, Ann Arbor, MI USA; [Rosenkranz, Stephan] Univ Cologne, Cologne Cardiovasc Res Ctr, Heart Ctr, Dept Internal Med 3, Cologne, Germany; [Hill, Nicholas S.] Tufts Med Ctr, Pulm Crit Care &amp; Sleep Div, Boston, MA USA</t>
  </si>
  <si>
    <t>Washington University (WUSTL); Hannover Medical School; Institut National de la Sante et de la Recherche Medicale (Inserm); Assistance Publique Hopitaux Paris (APHP); Hopital Universitaire Bicetre - APHP; Hopital Universitaire Antoine-Beclere - APHP; Universite Paris Saclay; Southern Medical University - China; Guangdong Academy of Medical Sciences &amp; Guangdong General Hospital; University of Michigan System; University of Michigan; University of Cologne; Tufts Medical Center</t>
  </si>
  <si>
    <t>Gillies, H (corresponding author), Aerovate Therapeut, 930 Winter St,Suite M-500, Waltham, MA 02451 USA.</t>
  </si>
  <si>
    <t>hgillies@aerovatetx.com</t>
  </si>
  <si>
    <t>Humbert, Marc/AAC-8459-2019; Hoeper, Marius/Z-1546-2019; Jing, Zhi-Cheng/AAT-9081-2021</t>
  </si>
  <si>
    <t>Jing, Zhi-Cheng/0000-0003-0493-0929</t>
  </si>
  <si>
    <t>Aerovate Therapeutics; Aerovate Therapeutics, Inc.</t>
  </si>
  <si>
    <t>This analysis and the studies included were sponsored by Aerovate Therapeutics, Inc. Medical writing and editorial assistance were provided by Kimberly Brooks, PhD, CMPP (TM), of Lumanity Communications Inc. under the direction of the authors, and were financially supported by Aerovate Therapeutics. The authors approved the final manuscript, including all statements and declarations, and authorized the manuscript for submission. This study is funded by Aerovate Therapeutics.</t>
  </si>
  <si>
    <t>e12352</t>
  </si>
  <si>
    <t>10.1002/pul2.12352</t>
  </si>
  <si>
    <t>LY2J9</t>
  </si>
  <si>
    <t>WOS:001190304000001</t>
  </si>
  <si>
    <t>Pradère, P; Le Pavec, J; Bos, S; Pozza, A; Nair, A; Meachery, G; Lordan, J; Humbert, M; Mercier, O; Fadel, E; Savale, L; Fisher, AJ</t>
  </si>
  <si>
    <t>Pradere, Pauline; Le Pavec, Jerome; Bos, Saskia; Pozza, Andre; Nair, Arun; Meachery, Gerard; Lordan, James; Humbert, Marc; Mercier, Olaf; Fadel, Elie; Savale, Laurent; Fisher, Andrew J.</t>
  </si>
  <si>
    <t>Outcomes of listing for lung and heart-lung transplantation in pulmonary hypertension: comparative experience in France and the UK</t>
  </si>
  <si>
    <t>COMPETING RISKS; ALLOCATION; MORTALITY</t>
  </si>
  <si>
    <t>Background Lung or heart-lung transplantation (LT/HLT) for severe pulmonary hypertension (PH) as the primary disease indication carries a high risk of waiting list mortality and post-transplant complications. France and the UK both have coordinated PH patient services but with different referral pathways for accessing LT services. Methods We conducted a comparative analysis of adult PH patients listed for LT/HLT in the UK and France. Results We included 211 PH patients in France (2006-2018) and 170 in the UK (2010-2019). Cumulative incidence of transplant, delisting and waiting list death within 3 years were 81%, 4% and 11% in France versus 58%, 10% and 15% in the UK ( p&lt;0.001 for transplant and delisting; p=0.1 for death). Median nonpriority waiting time was 45 days in France versus 165 days in the UK ( p&lt;0.001). High-priority listing occurred in 54% and 51% of transplanted patients respectively in France and the UK ( p=0.8). Factors associated with achieving transplantation related to recipients' height, male sex, clinical severity and priority listing status. 1-year post-transplant survival was 78% in France and 72% in the UK ( p= 0.04). Conclusion Access to transplantation for PH patients is better in France than in the UK where more patients were delisted due to clinical deterioration because of longer waiting time. High rates of priority listing occurred in both countries. Survival for those achieving transplantation was slightly better in France. Ensuring optimal outcomes after transplant listing for PH patients is challenging and may involve early listing of higher risk patients, increasing donor lung utilisation and improving allocation rules for these specific patients.</t>
  </si>
  <si>
    <t>[Pradere, Pauline; Le Pavec, Jerome] Paris St Joseph Hosp, Marie Lannelongue Hosp, Pneumol Dept, Le Plessis Robinson, France; [Pradere, Pauline; Bos, Saskia; Fisher, Andrew J.] Newcastle Upon Univ Translat &amp; Clin Res Inst, Newcastle Upon Tyne, Tyne &amp; Wear, England; [Le Pavec, Jerome; Humbert, Marc; Mercier, Olaf; Fadel, Elie; Savale, Laurent] Paris Saclay Univ, Fac Med Sci, Le Kremlin Bicetre, France; [Le Pavec, Jerome; Humbert, Marc; Mercier, Olaf; Fadel, Elie; Savale, Laurent] Hop Marie Lannelongue, INSERM, UMR S 999, Pulm Hypertens Pathophysiol &amp; Novel Therapies, Le Plessis Robinson, France; [Bos, Saskia; Pozza, Andre; Nair, Arun; Meachery, Gerard; Lordan, James; Fisher, Andrew J.] Newcastle Upon Tyne Hosp NHS Fdn Trust, Inst Transplantat, Newcastle Upon Tyne, Tyne &amp; Wear, England; [Humbert, Marc; Savale, Laurent] Hop Bicetre, AP HP, Dept Resp &amp; Intens Care Med, Pulm Hypertens Natl Referral Ctr, Le Kremlin Bicetre, France; [Mercier, Olaf; Fadel, Elie] Paris St Joseph Hosp, Marie Lannelongue Hosp, Thorac Surg, Le Plessis Robinson, France</t>
  </si>
  <si>
    <t>Hopital Marie Lannelongue; Universite Paris Saclay; Institut National de la Sante et de la Recherche Medicale (Inserm); Hopital Marie Lannelongue; Universite Paris Saclay; Newcastle Upon Tyne Hospitals NHS Foundation Trust; Assistance Publique Hopitaux Paris (APHP); Hopital Universitaire Antoine-Beclere - APHP; Universite Paris Saclay; Hopital Universitaire Bicetre - APHP; Hopital Marie Lannelongue</t>
  </si>
  <si>
    <t>Pradère, P (corresponding author), Paris St Joseph Hosp, Marie Lannelongue Hosp, Pneumol Dept, Le Plessis Robinson, France.;Pradère, P (corresponding author), Newcastle Upon Univ Translat &amp; Clin Res Inst, Newcastle Upon Tyne, Tyne &amp; Wear, England.</t>
  </si>
  <si>
    <t>p.pradere@ghpsj.fr</t>
  </si>
  <si>
    <t>Savale, Laurent/AAJ-9781-2020; Bos, Saskia/AAC-4899-2021; Humbert, Marc/AAC-8459-2019</t>
  </si>
  <si>
    <t>Pradere, Pauline/0000-0003-4043-4666; Bos, Saskia/0000-0002-5336-5914; Humbert, Marc/0000-0003-0703-2892; Mercier, Olaf/0000-0002-4760-6267</t>
  </si>
  <si>
    <t>Groupe Hospitalier Paris Saint Joseph; Paul Corris International Clinical Research Training Scholarship; Johnson and Johnson; National Institute for Health and Care Research (NIHR) Blood and Transplant Research Unit in Organ Donation and Transplantation [NIHR203332]; NHS Blood and Transplant; University of Cambridge; Newcastle University</t>
  </si>
  <si>
    <t>Groupe Hospitalier Paris Saint Joseph; Paul Corris International Clinical Research Training Scholarship; Johnson and Johnson(Johnson &amp; JohnsonJohnson &amp; Johnson USA); National Institute for Health and Care Research (NIHR) Blood and Transplant Research Unit in Organ Donation and Transplantation; NHS Blood and Transplant; University of Cambridge(University of Cambridge); Newcastle University</t>
  </si>
  <si>
    <t>P. Pradere is supported by the Groupe Hospitalier Paris Saint Joseph as a visiting research fellow to Newcastle University. S. Bos is funded by the Paul Corris International Clinical Research Training Scholarship. A. Pozza is funded by Johnson and Johnson. A.J. Fisher is supported by the National Institute for Health and Care Research (NIHR) Blood and Transplant Research Unit in Organ Donation and Transplantation (NIHR203332), a partnership between NHS Blood and Transplant, University of Cambridge and Newcastle University. The views expressed are those of the author(s) and not necessarily those of the NIHR, NHS Blood and Transplant or the Department of Health and Social Care.</t>
  </si>
  <si>
    <t>10.1183/23120541.00521-2023</t>
  </si>
  <si>
    <t>GA9P1</t>
  </si>
  <si>
    <t>WOS:001150057300004</t>
  </si>
  <si>
    <t>Jutant, EM; Chelgham, MK; Ottaviani, M; Thuillet, R; Le Vely, B; Humbert, M; Guignabert, C; Tu, L; Huertas, A</t>
  </si>
  <si>
    <t>Jutant, Etienne-Marie; Chelgham, Mustapha K.; Ottaviani, Mina; Thuillet, Raphael; Le Vely, Benjamin; Humbert, Marc; Guignabert, Christophe; Tu, Ly; Huertas, Alice</t>
  </si>
  <si>
    <t>Central role of ubiquitin-specific protease 8 in leptin signaling pathway in pulmonary arterial hypertension</t>
  </si>
  <si>
    <t>pulmonary vascular remodeling; USP8; leptin receptor; cell proliferation; inflammation</t>
  </si>
  <si>
    <t>DYSFUNCTION</t>
  </si>
  <si>
    <t>BACKGROUND: Leptin receptor (ObR-b) is overexpressed in pulmonary artery smooth muscle cells (PA-SMCs) from patients with pulmonary arterial hypertension (PAH) and is implicated in both mechanisms that contribute to pulmonary vascular remodeling: hyperproliferation and inflammation. Our aim was to investigate the role of ubiquitin-specific peptidase 8 (USP8) in ObR-b overexpression in PAH.METHODS: We performed in situ and in vitro experiments in human lung specimens and isolated PASMCs combined with 2 different in vivo models in rodents and we generated a mouse with an inducible USP8 deletion specifically in smooth muscles. RESULTS: Our results showed an upregulation of USP8 in the smooth muscle layer of distal pulmonary arteries from patients with PAH, and upregulation of USP8 expression in PAH PA-SMCs, compared to controls. USP8 inhibition in PAH PA-SMCs significantly blocked both ObR-b protein expression level at the cell surface as well as ObR-b-dependant intracellular signaling pathway as shown by a significant decrease in pSTAT3 expression. USP8 was required for ObR-b activation in PA-SMCs and its inhibition prevented Ob-mediated cell proliferation through STAT3 pathway. USP8 inhibition by the chemical inhibitor DUBs-IN-2 protected against the development of experimental PH in the 2 established experimental models of PH. Targeting USP8 specifically in smooth muscle cells in a transgenic mouse model also protected against the development of experimental PH. CONCLUSIONS: Our findings highlight the role of USP8 in ObR-b overexpression and pulmonary vascular remodeling in PAH.</t>
  </si>
  <si>
    <t>[Jutant, Etienne-Marie; Chelgham, Mustapha K.; Ottaviani, Mina; Thuillet, Raphael; Le Vely, Benjamin; Humbert, Marc; Guignabert, Christophe; Tu, Ly; Huertas, Alice] Hop Marie Lannelongue, INSERM, UMR S 999, 133 Ave Resistance, F-92350 Le Plessis Robinson, France; [Jutant, Etienne-Marie; Chelgham, Mustapha K.; Ottaviani, Mina; Thuillet, Raphael; Le Vely, Benjamin; Humbert, Marc; Guignabert, Christophe; Tu, Ly; Huertas, Alice] Univ Paris Saclay, Sch Med, 78 Rue Gen Leclerc, F-94270 Le Kremlin Bicetre, France; [Jutant, Etienne-Marie; Humbert, Marc; Huertas, Alice] Hop Bicetre, AP HP, Pulm Hypertens Natl Referral Ctr, Dept Resp &amp; Intens Care Med, F-94270 Le Kremlin Bicetre, France; [Huertas, Alice] Hop Bicetre, 78 Rue Gen Leclerc, F-94270 Le Kremlin Bicetre, France</t>
  </si>
  <si>
    <t>Universite Paris Saclay; Hopital Marie Lannelongue; Institut National de la Sante et de la Recherche Medicale (Inserm); Universite Paris Saclay; Universite Paris Saclay; Assistance Publique Hopitaux Paris (APHP); Hopital Universitaire Bicetre - APHP; Hopital Universitaire Antoine-Beclere - APHP; Assistance Publique Hopitaux Paris (APHP); Hopital Universitaire Antoine-Beclere - APHP; Universite Paris Saclay; Hopital Universitaire Bicetre - APHP</t>
  </si>
  <si>
    <t>Huertas, A (corresponding author), Hop Bicetre, 78 Rue Gen Leclerc, F-94270 Le Kremlin Bicetre, France.</t>
  </si>
  <si>
    <t>alice.huertas@inserm.fr</t>
  </si>
  <si>
    <t>GUIGNABERT, Christophe/G-3873-2013; Huertas, Alice/E-8244-2017; Humbert, Marc/AAC-8459-2019; TU, Ly/G-4035-2013</t>
  </si>
  <si>
    <t>GUIGNABERT, Christophe/0000-0002-8545-4452; Huertas, Alice/0000-0001-8545-747X; Thuillet, Raphael/0000-0002-1379-3797; Humbert, Marc/0000-0003-0703-2892; Jutant, Etienne-Marie/0000-0002-1374-1890; TU, Ly/0000-0003-2336-5099</t>
  </si>
  <si>
    <t>Merck; Acceleron; Janssen; Department of Pathology at Marie Lannelongue Hospital; French National Agency for Research ANR [ANR-17-CE14-0011]; European Respiratory Society Main Award in Novel Research in PAH; INSERM; Agence Nationale de la Recherche (ANR) [ANR-17-CE14-0011] Funding Source: Agence Nationale de la Recherche (ANR)</t>
  </si>
  <si>
    <t>Merck(Merck &amp; Company); Acceleron; Janssen(Johnson &amp; JohnsonJohnson &amp; Johnson USAJanssen Biotech Inc); Department of Pathology at Marie Lannelongue Hospital; French National Agency for Research ANR(Agence Nationale de la Recherche (ANR)); European Respiratory Society Main Award in Novel Research in PAH; INSERM(Institut National de la Sante et de la Recherche Medicale (Inserm)); Agence Nationale de la Recherche (ANR)(Agence Nationale de la Recherche (ANR))</t>
  </si>
  <si>
    <t>This work was supported by a grant from French National Agency for Research ANR (ANR-17-CE14-0011, CoVeR) and by European Respiratory Society Main Award in Novel Research in PAH 2020 awarded to AH. EMJ is supported by INSERM (Poste d ' Accueil 2019)r Merck, AOP and CG grants to his institution and/or per-sonal fees from Acceleron, Janssen, ShouTi, MSD. The authors thank Professor Klaus-Peter KNOBELOCH for providing the Usp8fl/fl mouse, Dr Marie-Odile FAUVARQUE, Dr Julie DAM, the Department of Pathology at Marie Lannelongue Hospital and UMS IPSIT animal facility for their help in this study. This work was supported by a grant from French National Agency for Research ANR (ANR-17-CE14-0011, CoVeR) and by European Respiratory Society Main Award in Novel Research in PAH 2020 awarded to AH. EMJ is supported by INSERM (Poste d ' Accueil 2019) .</t>
  </si>
  <si>
    <t>10.1016/j.healun.2023.09.003</t>
  </si>
  <si>
    <t>DEC 2023</t>
  </si>
  <si>
    <t>EH2F0</t>
  </si>
  <si>
    <t>WOS:001137958000001</t>
  </si>
  <si>
    <t>Barberà, JA; Humbert, M</t>
  </si>
  <si>
    <t>Barbera, Joan Albert; Humbert, Marc</t>
  </si>
  <si>
    <t>Monographic Issue on Pulmonary Hypertension</t>
  </si>
  <si>
    <t>[Barbera, Joan Albert] Univ Barcelona, Hosp Clin IDIBAPS, Dept Pulm Med, Barcelona, Spain; [Barbera, Joan Albert] Biomed Res Networking Ctr Resp Dis CIBERES, Barcelona, Spain; [Barbera, Joan Albert; Humbert, Marc] European Reference Network Rare Resp Dis ERN LUNG, Barcelona, Spain; [Barbera, Joan Albert; Humbert, Marc] European Reference Network Rare Resp Dis ERN LUNG, Le Kremlin Bicetre, France; [Humbert, Marc] Univ Paris Saclay, Hop Bicetre, Fac Med, Serv Pneumol &amp; Soins Intens Resp, Paris, France; [Humbert, Marc] Hop Marie Lannelongue, INSERM, UMR S Pulm Hypertens Pathophysiol &amp; Novel Therapie, F-92350 Paris, France; [Barbera, Joan Albert] Univ Barcelona, Hosp Clin IDIBAPS, Dept Pulm Med, Barcelona 08036, Spain</t>
  </si>
  <si>
    <t>University of Barcelona; Hospital Clinic de Barcelona; IDIBAPS; CIBER - Centro de Investigacion Biomedica en Red; CIBERES; Universite Paris Saclay; Assistance Publique Hopitaux Paris (APHP); Hopital Universitaire Bicetre - APHP; Institut National de la Sante et de la Recherche Medicale (Inserm); Hopital Marie Lannelongue; University of Barcelona; Hospital Clinic de Barcelona; IDIBAPS</t>
  </si>
  <si>
    <t>Barberà, JA (corresponding author), Univ Barcelona, Hosp Clin IDIBAPS, Dept Pulm Med, Barcelona 08036, Spain.</t>
  </si>
  <si>
    <t>JBARBERA@clinic.cat</t>
  </si>
  <si>
    <t>10.1055/s-0043-1772751</t>
  </si>
  <si>
    <t>X8JX7</t>
  </si>
  <si>
    <t>WOS:001100856900001</t>
  </si>
  <si>
    <t>Bacon, AM; Charlesford, J; Hyland, M; Puskas, T; Hughes, P</t>
  </si>
  <si>
    <t>Bacon, Alison M.; Charlesford, Jaysan; Hyland, Michael; Puskas, Tilla; Hughes, Poppy</t>
  </si>
  <si>
    <t>Finding Silver Linings in the Covid-19 Pandemic: A 2-Wave Study in the UK</t>
  </si>
  <si>
    <t>PSYCHOLOGICAL REPORTS</t>
  </si>
  <si>
    <t>Article; Early Access</t>
  </si>
  <si>
    <t>Well being; positive psychology; Covid-19; silver lining; adversarial growth; big five</t>
  </si>
  <si>
    <t>POSTTRAUMATIC GROWTH; DEPRESSIVE SYMPTOMS; SOCIAL CURE; STRESS; HEALTH; TRAJECTORIES; ASSOCIATIONS; ADVERSITY; ANXIETY; TRAUMA</t>
  </si>
  <si>
    <t>The Covid-19 pandemic has resulted in widespread anxiety, fear and depression, yet focussing only on these negative issues may obscure the opportunity to promote positivity and resilience. Traumatic events can often result in positive life changes (adversarial growth) though there is little evidence in the context of pandemics, and no previous studies in Covid-19 with the general public. The present research investigated whether adversarial growth was perceived in Covid-19 and whether this could account for variance in wellbeing, over and above effects of personality traits. Participants recruited from the UK public (N = 183) completed the Big Five Personality Inventory, the WHO-5 Wellbeing Scale and the Silver Lining Questionnaire (SLQ) measure of adversarial growth. Questionnaires were completed online, at two timepoints, nine months apart. At Time 1, wellbeing was negatively associated with trait Neuroticism and positively associated with Openness to experience. Both associations were positively mediated by SLQ score. At Time 2, SLQ score again mediated the effects of Openness on wellbeing, and also the influence of wellbeing at Time 1 on that at Time 2. Reported Silver Linings included strengthened personal relationships at Time 1, and improved ability to handle life events at Time 2. This suggests a shift from an appreciation of relationships to an awareness of personal development once life returned to some semblance of normality. Overall, results suggest that perceived adversarial growth supported wellbeing during the pandemic and highlight a focus for therapeutic intervention.</t>
  </si>
  <si>
    <t>[Bacon, Alison M.; Charlesford, Jaysan; Hyland, Michael; Puskas, Tilla; Hughes, Poppy] Univ Plymouth, Sch Psychol, Plymouth PL4 8AA, Devon, England</t>
  </si>
  <si>
    <t>University of Plymouth</t>
  </si>
  <si>
    <t>Bacon, AM (corresponding author), Univ Plymouth, Sch Psychol, Plymouth PL4 8AA, Devon, England.</t>
  </si>
  <si>
    <t>ambacon@plymouth.ac.uk</t>
  </si>
  <si>
    <t>Bacon, Alison/AAE-4217-2022; Humbert, Marc/AAC-8459-2019</t>
  </si>
  <si>
    <t>Hyland, Michael/0000-0003-3879-0469; Bacon, Alison/0000-0003-4279-3814</t>
  </si>
  <si>
    <t>SAGE PUBLICATIONS INC</t>
  </si>
  <si>
    <t>THOUSAND OAKS</t>
  </si>
  <si>
    <t>2455 TELLER RD, THOUSAND OAKS, CA 91320 USA</t>
  </si>
  <si>
    <t>0033-2941</t>
  </si>
  <si>
    <t>1558-691X</t>
  </si>
  <si>
    <t>PSYCHOL REP</t>
  </si>
  <si>
    <t>Psychol. Rep.</t>
  </si>
  <si>
    <t>2023 NOV 30</t>
  </si>
  <si>
    <t>10.1177/00332941231219788</t>
  </si>
  <si>
    <t>NOV 2023</t>
  </si>
  <si>
    <t>Psychology, Multidisciplinary</t>
  </si>
  <si>
    <t>Social Science Citation Index (SSCI)</t>
  </si>
  <si>
    <t>Psychology</t>
  </si>
  <si>
    <t>Z3KF4</t>
  </si>
  <si>
    <t>WOS:001111088300001</t>
  </si>
  <si>
    <t>Montani, D; Eichstaedt, CA; Belge, C; Chung, W; Graef, S; Gruenig, E; Humbert, M; Quarck, R; Tenorio-Castano, JA; Soubrier, F; Trembath, RC; Morrell, NW</t>
  </si>
  <si>
    <t>Montani, D.; Eichstaedt, C. A.; Belge, C.; Chung, W. K.; Graef, S.; Gruenig, E.; Humbert, M.; Quarck, R.; Tenorio-Castano, J. A.; Soubrier, F.; Trembath, R. C.; Morrell, N. W.</t>
  </si>
  <si>
    <t>Genetic counselling and testing in pulmonary arterial hypertension - A consensus statement on behalf of the International Consortium for Genetic Studies in PAH - French version</t>
  </si>
  <si>
    <t>REVUE DES MALADIES RESPIRATOIRES</t>
  </si>
  <si>
    <t>French</t>
  </si>
  <si>
    <t>Pulmonary arterial hypertension; Pulmonary veno-occlusive disease; Genetic counselling; Genetic testing</t>
  </si>
  <si>
    <t>VENOOCCLUSIVE DISEASE; GERMLINE MUTATIONS; EIF2AK4 MUTATIONS; PRESSURE RESPONSE; LARGE COHORT; BMPR2; EXPOSURE; OUTCOMES; PATIENT; IDENTIFICATION</t>
  </si>
  <si>
    <t>Pulmonary arterial hypertension (PAH) is a rare disease that can be caused by (likely) pathogenic germline genomic variants. In addition to the most prevalent disease gene, BMPR2 (bone morphogenetic protein receptor 2), several genes, some belonging to distinct functional classes, are also now known to predispose to the development of PAH. As a consequence, specialist and non-specialist clinicians and healthcare professionals are increasingly faced with a range of questions regarding the need for, approaches to and benefits/risks of genetic testing for PAH patients and/or related family members. We provide a consensus-based approach to recommendations for genetic counselling and assessment of current best practice for disease gene testing. We provide a framework and the type of information to be provided to patients and relatives through the process of genetic counselling, and describe the presently known disease causal genes to be analysed. Benefits of including molecular genetic testing within the management protocol of patients with PAH include the identification of individuals misclassified by other diagnostic approaches, the optimisation of phenotypic characterisation for aggregation of outcome data, including in clinical trials, and importantly through cascade screening, the detection of healthy causal variant carriers, to whom regular assessment should be offered.(c) 2023 SPLF. Published by Elsevier Masson SAS. All rights reserved.</t>
  </si>
  <si>
    <t>[Montani, D.; Humbert, M.] Univ Paris Saclay, Hop Bicetre, AP HP, French Referral Ctr Pulm Hypertens ,Pulm Dept, Le Kremlin Bicetre, France; [Montani, D.] Hop Marie Lannelongue, INSERM, UMR S999, Le Plessis Robinson, France; [Eichstaedt, C. A.; Gruenig, E.] Heidelberg Univ Hosp, Ctr Pulm Hypertens, Thoraxklin Heidelberg gGmbH, Heidelberg, Germany; [Eichstaedt, C. A.; Gruenig, E.] German Ctr Lung Res DZL, Translat Lung Res Ctr Heidelberg TLRC, Heidelberg, Germany; [Eichstaedt, C. A.] Heidelberg Univ, Inst Human Genet, Lab Mol Diagnost, Heidelberg, Germany; [Belge, C.] Univ Leuven, Clin Dept Resp Dis, Dept Chron Dis &amp; Metab CHROMETA, Lab Resp Dis &amp; Thorac Surg BREATHE,Univ Hosp, B-3000 Leuven, Belgium; [Chung, W. K.] Columbia Univ, Irving Med Ctr, Dept Pediat, Dept Med, New York, NY 10032 USA; [Graef, S.] Univ Cambridge, Heart &amp; Lung Res Inst, Dept Med, Cambridge Biomed Campus, Cambridge CB2 0BB, England; [Graef, S.] Univ Cambridge, Dept Haematol, Cambridge Biomed Campus, Cambridge CB2 0PT, England; [Graef, S.] Univ Cambridge, NIHR BioResource Translat Res, Cambridge Biomed Campus, Cambridge CB2 0QQ, England; [Tenorio-Castano, J. A.] Hosp Univ La Paz, INGEMM, Inst Genet Med &amp; Mol, IdiPAZ, Madrid, Spain; [Tenorio-Castano, J. A.] Ctr Invest Biomed Red Enfermedades Raras, CIBERER, Madrid, Spain; [Tenorio-Castano, J. A.] European Reference Network, ITHACA, Brussels, Belgium; [Soubrier, F.] Sorbonne Univ, Hop Pitie Salpetriere, AP HP, Dept Genet,Inserm UMR S1166,Inst Cardiometab &amp; Nut, Paris, France; [Trembath, R. C.] Kings Coll London, Fac Life Sci &amp; Med, Dept Med &amp; Mol Genet, London SE1 9RT, England; [Montani, D.] Hop Bicetre, Serv Pneumol &amp; Soins Intens Resp, 78 Rue Gen Leclerc, F-94270 Le Kremlin Bicetre, France</t>
  </si>
  <si>
    <t>Assistance Publique Hopitaux Paris (APHP); Hopital Universitaire Bicetre - APHP; Universite Paris Saclay; Hopital Universitaire Antoine-Beclere - APHP; Institut National de la Sante et de la Recherche Medicale (Inserm); Hopital Marie Lannelongue; Universite Paris Saclay; Institut National de la Sante et de la Recherche Medicale (Inserm); Ruprecht Karls University Heidelberg; Ruprecht Karls University Heidelberg; KU Leuven; Columbia University; NewYork-Presbyterian Hospital; University of Cambridge; University of Cambridge; University of Cambridge; Hospital Universitario La Paz; CIBER - Centro de Investigacion Biomedica en Red; CIBERER; Assistance Publique Hopitaux Paris (APHP); Hopital Universitaire Pitie-Salpetriere - APHP; Institut National de la Sante et de la Recherche Medicale (Inserm); Sorbonne Universite; University of London; King's College London; Universite Paris Saclay; Assistance Publique Hopitaux Paris (APHP); Hopital Universitaire Antoine-Beclere - APHP; Hopital Universitaire Bicetre - APHP</t>
  </si>
  <si>
    <t>Montani, D (corresponding author), Hop Bicetre, Serv Pneumol &amp; Soins Intens Resp, 78 Rue Gen Leclerc, F-94270 Le Kremlin Bicetre, France.</t>
  </si>
  <si>
    <t>Tenorio, Jair/AGD-3406-2022; Humbert, Marc/AAC-8459-2019; Quarck, Rozenn/J-8067-2018</t>
  </si>
  <si>
    <t>Humbert, Marc/0000-0003-0703-2892; Tenorio, Jair Antonio/0000-0002-5308-2316; Quarck, Rozenn/0000-0002-8293-6261</t>
  </si>
  <si>
    <t>MASSON EDITEUR</t>
  </si>
  <si>
    <t>MOULINEAUX CEDEX 9</t>
  </si>
  <si>
    <t>21 STREET CAMILLE DESMOULINS, ISSY, 92789 MOULINEAUX CEDEX 9, FRANCE</t>
  </si>
  <si>
    <t>0761-8425</t>
  </si>
  <si>
    <t>1776-2588</t>
  </si>
  <si>
    <t>REV MAL RESPIR</t>
  </si>
  <si>
    <t>Rev. Mal. Respir.</t>
  </si>
  <si>
    <t>NOV-DEC</t>
  </si>
  <si>
    <t>9-10</t>
  </si>
  <si>
    <t>10.1016/j.rmr.2023.10.004</t>
  </si>
  <si>
    <t>DH2B0</t>
  </si>
  <si>
    <t>WOS:001131061300001</t>
  </si>
  <si>
    <t>McLaughlin, VV; Hoeper, MM; Badesch, DB; Ghofrani, AH; Gibbs, SR; Gomberg-Maitland, M; Preston, IR; Souza, R; Waxman, AB; Lin, JX; Levonas, AO; Pena, JD; Humbert, M</t>
  </si>
  <si>
    <t>McLaughlin, Vallerie V.; Hoeper, Marius M.; Badesch, David B.; Ghofrani, Ardeschir H.; Gibbs, Simon R.; Gomberg-Maitland, Mardi; Preston, Ioana R.; Souza, Rogerio; Waxman, Aaron B.; Lin, Jianxin; Levonas, Amy O.; Pena, Janethe de Oliveira; Humbert, Marc</t>
  </si>
  <si>
    <t>Predictive Value of Cardiac Function Parameters and NT-proBNP in Patients With Pulmonary Arterial Hypertension (PAH) Treated With Sotatercept in the STELLAR Trial</t>
  </si>
  <si>
    <t>American-Heart-Association's Epidemiology and Prevention/Lifestyle and Cardiometabolic Health Scientific Sessions</t>
  </si>
  <si>
    <t>NOV 11-13, 2023</t>
  </si>
  <si>
    <t>Philadelphia, PA</t>
  </si>
  <si>
    <t>Amer Heart Assoc</t>
  </si>
  <si>
    <t>Humbert, Marc/AAC-8459-2019; Hoeper, Marius/Z-1546-2019; Souza, Rogerio/I-3584-2013; Ghofrani, Ardeschir/AAD-5293-2020</t>
  </si>
  <si>
    <t>NOV 7</t>
  </si>
  <si>
    <t>A13038</t>
  </si>
  <si>
    <t>10.1161/circ.148.suppl_1.13038</t>
  </si>
  <si>
    <t>HE7V1</t>
  </si>
  <si>
    <t>WOS:001157891302045</t>
  </si>
  <si>
    <t>Rosenkranz, S; Hoeper, M; Badesch, D; Humbert, M; Langleben, D; McConnell, JW; Rahner, C; Ghofrani, AH</t>
  </si>
  <si>
    <t>Rosenkranz, Stephan; Hoeper, Marius; Badesch, David; Humbert, Marc; Langleben, David; McConnell, John W.; Rahner, Claudia; Ghofrani, Ardeschir H.</t>
  </si>
  <si>
    <t>Riociguat in Pulmonary Arterial Hypertension: Application of the 4-strata COMPERA 2.0 Risk Assessment Tool in the PATENT Studies</t>
  </si>
  <si>
    <t>Pulmonary hypertension; Outcomes</t>
  </si>
  <si>
    <t>Humbert, Marc/AAC-8459-2019; Hoeper, Marius/Z-1546-2019; Ghofrani, Ardeschir/AAD-5293-2020</t>
  </si>
  <si>
    <t>A14319</t>
  </si>
  <si>
    <t>10.1161/circ.148.suppl_1.14319</t>
  </si>
  <si>
    <t>WOS:001157891303332</t>
  </si>
  <si>
    <t>Rothman, AM; Florentin, A; Quigley, C; Zink, F; Bonneau, O; Hemming, R; Hachey, A; Rejtar, T; Thaker, M; Jain, R; Zhang, JH; Cotesta, S; Ottl, J; Kordinsky, A; Avishid, R; Troxler, T; Binmahfooz, SK; Morrell, NW; Humbert, M; Cobb, J; Osterman, N; Tallerico, J</t>
  </si>
  <si>
    <t>Rothman, Alex M.; Florentin, Amir; Quigley, Catherine; Zink, Florence; Bonneau, Olivier; Hemming, Rene; Hachey, Amanda; Rejtar, Tomas; Thaker, Maulik; Jain, Rishi; Zhang, Ji-Hu; Cotesta, Simona; Ottl, Johannes; Kordinsky, Alina; Avishid, Reut; Troxler, Thomas; Binmahfooz, Sarah K.; Morrell, Nicholas W.; Humbert, Marc; Cobb, Jennifer; Osterman, Nils; Tallerico, John</t>
  </si>
  <si>
    <t>Allosteric Inhibition Restricts Motion of the SMURF1 Glycine Hinge and Reverses Experimental Pulmonary Arterial Hypertension</t>
  </si>
  <si>
    <t>Pulmonary hypertension; Drugs</t>
  </si>
  <si>
    <t>wei, wei/HHR-8613-2022; Humbert, Marc/AAC-8459-2019; Rothman, Alexander/AFL-6068-2022</t>
  </si>
  <si>
    <t>Rothman, Alexander/0000-0002-7847-4500</t>
  </si>
  <si>
    <t>A14275</t>
  </si>
  <si>
    <t>10.1161/circ.148.suppl_1.14275</t>
  </si>
  <si>
    <t>WOS:001157891303300</t>
  </si>
  <si>
    <t>Bossios, A; Bacon, AM; Eger, K; Paróczai, D; Schleich, F; Hanon, S; Sergejeva, S; Zervas, E; Katsoulis, K; Aggelopoulou, C; Kostikas, K; Gaki, E; Rovina, N; Csoma, Z; Grisle, I; Bieksiene, K; Palacionyte, J; ten Brinke, A; Hashimoto, S; Mihaltan, F; Nenasheva, N; Zvezdin, B; Cekerevac, I; Hromis, S; Cupurdija, V; Lazic, Z; Chaudhuri, R; Smith, SJ; Rupani, H; Haitchi, HM; Kurukulaaratchy, R; Fulton, O; Frankemölle, B; Howarth, P; Porsbjerg, C; Bel, EH; Djukanovic, R; Hyland, ME</t>
  </si>
  <si>
    <t>Bossios, Apostolos; Bacon, Alison M.; Eger, Katrien; Paroczai, Dora; Schleich, Florence; Hanon, Shane; Sergejeva, Svetlana; Zervas, Eleftherios; Katsoulis, Konstantinos; Aggelopoulou, Christina; Kostikas, Konstantinos; Gaki, Eleni; Rovina, Nikoletta; Csoma, Zsuzsanna; Grisle, Ineta; Bieksiene, Kristina; Palacionyte, Jolita; ten Brinke, Anneke; Hashimoto, Simone; Mihaltan, Florin; Nenasheva, Natalia; Zvezdin, Biljana; Cekerevac, Ivan; Hromis, Sanja; Cupurdija, Vojislav; Lazic, Zorica; Chaudhuri, Rekha; Smith, Steven James; Rupani, Hitasha; Haitchi, Hans Michael; Kurukulaaratchy, Ramesh; Fulton, Olivia; Frankemolle, Betty; Howarth, Peter; Porsbjerg, Celeste; Bel, Elisabeth H.; Djukanovic, Ratko; Hyland, Michael E.</t>
  </si>
  <si>
    <t>COVID-19 vaccination acceptance, safety and side-effects in European patients with severe asthma</t>
  </si>
  <si>
    <t>HESITANCY; WILLINGNESS; VACCINES</t>
  </si>
  <si>
    <t>Background Vaccination is vital for achieving population immunity to severe acute respiratory syndrome coronavirus 2, but vaccination hesitancy presents a threat to achieving widespread immunity. Vaccine acceptance in chronic potentially immunosuppressed patients is largely unclear, especially in patients with asthma. The aim of this study was to investigate the vaccination experience in people with severe asthma. Methods Questionnaires about vaccination beliefs (including the Vaccination Attitudes Examination (VAX) scale, a measure of vaccination hesitancy-related beliefs), vaccination side-effects, asthma control and overall safety perceptions following coronavirus disease 2019 (COVID-19) vaccination were sent to patients with severe asthma in 12 European countries between May and June 2021. Results 660 participants returned completed questionnaires (87.4% response rate). Of these, 88% stated that they had been, or intended to be, vaccinated, 9.5% were undecided/hesitant and 3% had refused vaccination. Patients who hesitated or refused vaccination had more negative beliefs towards vaccination. Most patients reported mild (48.2%) or no side-effects (43.8%). Patients reporting severe side-effects (5.7%) had more negative beliefs. Most patients (88.8%) reported no change in asthma symptoms after vaccination, while 2.4% reported an improvement, 5.3% a slight deterioration and 1.2% a considerable deterioration. Almost all vaccinated (98%) patients would recommend vaccination to other severe asthma patients. Conclusions Uptake of vaccination in patients with severe asthma in Europe was high, with a small minority refusing vaccination. Beliefs predicted vaccination behaviour and side-effects. Vaccination had little impact on asthma control. Our findings in people with severe asthma support the broad message that COVID-19 vaccination is safe and well tolerated.</t>
  </si>
  <si>
    <t>[Bossios, Apostolos] Karolinska Univ Hosp, Karolinska Severe Asthma Ctr, Dept Resp Med &amp; Allergy, Huddinge, Sweden; [Bossios, Apostolos] Karolinska Inst, Dept Med, Stockholm, Sweden; [Bossios, Apostolos] Karolinska Inst, Inst Environm Med, Div Lung &amp; Airway Res, Stockholm, Sweden; [Bacon, Alison M.] Univ Plymouth, Sch Psychol, Plymouth, Devon, England; [Eger, Katrien; Hashimoto, Simone; Bel, Elisabeth H.] Univ Amsterdam, Acad Med Ctr, Amsterdam, Netherlands; [Paroczai, Dora] Univ Szeged, Csongrad Cty Hosp, Szeged, Hungary; [Paroczai, Dora] Univ Szeged, Dept Pulmonol, Szeged, Hungary; [Schleich, Florence] CHU Liege, Liege, Belgium; [Hanon, Shane] Vrije Univ Brussel VUB, Univ Ziekenhuis Brussel UZ Brussel, Div Resp, Brussels, Belgium; [Sergejeva, Svetlana] North Estonian Med Ctr, Tallinn, Estonia; [Zervas, Eleftherios] Athens Chest Hosp, Resp Dept 7, Athens, Greece; [Katsoulis, Konstantinos] 424 Army Gen Hosp, Dept Pulm, Thessaloniki, Greece; [Aggelopoulou, Christina; Kostikas, Konstantinos; Gaki, Eleni] Univ Hosp Ioannina, Resp Med Dept, Ioannina, Greece; [Rovina, Nikoletta] Natl &amp; Kapodistrian Univ Athens, Athens Med Sch, Sotiria Hosp, Dept Pulm Med 1, Athens, Greece; [Csoma, Zsuzsanna] Natl Koranyi Inst Pulmonol, Budapest, Hungary; [Grisle, Ineta] Riga East Univ Hosp, Riga, Latvia; [Bieksiene, Kristina; Palacionyte, Jolita] Univ Hlth Sci, Kaunas, Lithuania; [ten Brinke, Anneke] Med Ctr Leeuwarden, Leeuwarden, Netherlands; [Mihaltan, Florin] Natl Inst Pneumol, Bucharest, Romania; [Nenasheva, Natalia] Russian Med Acad Continuous Profess Educ, Minist Healthcare, Moscow, Russia; [Zvezdin, Biljana; Hromis, Sanja] Inst Pulm Dis Vojvodina, Sremska Kamenica, Serbia; [Cekerevac, Ivan; Cupurdija, Vojislav; Lazic, Zorica] Univ Clin Ctr Kragujevac, Clin Pulmonol, Kragujevac, Serbia; [Cekerevac, Ivan; Cupurdija, Vojislav; Lazic, Zorica] Univ Kragujevac, Dept Internal Med, Fac Med Sci, Kragujevac, Serbia; [Hromis, Sanja] Univ Novi Sad, Fac Med, Novi Sad, Serbia; [Chaudhuri, Rekha; Smith, Steven James] Gartnavel Royal Hosp, Glasgow, Lanark, Scotland; [Rupani, Hitasha; Haitchi, Hans Michael; Kurukulaaratchy, Ramesh; Djukanovic, Ratko] Southampton Univ Hosp, Southampton, Hants, England; [Fulton, Olivia] European Lung Fdn, Patient Advisory Grp, Edinburgh, Midlothian, Scotland; [Frankemolle, Betty] European Lung Fdn, Patient Advisory Grp, Heemskerk, Netherlands; [Howarth, Peter] GSK, Brentford, England; [Porsbjerg, Celeste] Bispebjerg Hosp, Copenhagen, Denmark; [Hyland, Michael E.] Plymouth Marjon Univ, Plymouth, Devon, England</t>
  </si>
  <si>
    <t>Karolinska Institutet; Karolinska University Hospital; Karolinska Institutet; Karolinska Institutet; University of Plymouth; University of Amsterdam; Academic Medical Center Amsterdam; Szeged University; Szeged University; University of Liege; University Hospital Brussels; Vrije Universiteit Brussel; University Hospital Ioannina; National &amp; Kapodistrian University of Athens; Riga East University Hospital; Lithuanian University of Health Sciences; Medical Center Leeuwarden; Marius Nasta Pneumophtisiology Institute; University of Kragujevac; University of Novi Sad; Gartnavel Royal Hospital; University of Southampton; GlaxoSmithKline; Glaxosmithkline United Kingdom; University of Copenhagen; Copenhagen University Hospital; Bispebjerg Hospital; University of St Mark &amp; St John</t>
  </si>
  <si>
    <t>Bossios, A (corresponding author), Karolinska Univ Hosp, Karolinska Severe Asthma Ctr, Dept Resp Med &amp; Allergy, Huddinge, Sweden.;Bossios, A (corresponding author), Karolinska Inst, Dept Med, Stockholm, Sweden.;Bossios, A (corresponding author), Karolinska Inst, Inst Environm Med, Div Lung &amp; Airway Res, Stockholm, Sweden.</t>
  </si>
  <si>
    <t>apostolos.bossios@ki.se</t>
  </si>
  <si>
    <t>Lotrean, Lucia/C-2859-2011; Bacon, Alison/AAE-4217-2022; Hromis, Sanja/HJA-1113-2022; Cekerevac, Ivan/HGE-2790-2022; Hashimoto, Simone/AAO-8863-2020; Bossios, Apostolos/ABH-8262-2020; Rovina, Nikoletta/I-2527-2019; Kurukulaaratchy, Ramesh/IRZ-6246-2023; Gotua, Maia/ABA-1648-2021; Humbert, Marc/AAC-8459-2019</t>
  </si>
  <si>
    <t>Schleich, Florence/0000-0002-2678-1373; Eger, Katrien/0000-0002-9628-2174; Rupani, Hitasha/0000-0002-0150-138X; Bacon, Alison/0000-0003-4279-3814; Bossios, Apostolos/0000-0002-0494-2690; Zervas, Eleftherios/0000-0001-7436-4550</t>
  </si>
  <si>
    <t>European Respiratory Society; GlaxoSmithKline Research and Development Limited; Chiesi Farmaceutici SpA; Novartis Pharma AG; Sanofi-Genzyme Corporation; Teva Branded Pharmaceutical Products RD</t>
  </si>
  <si>
    <t>European Respiratory Society; GlaxoSmithKline Research and Development Limited; Chiesi Farmaceutici SpA(Chiesi Pharmaceuticals Inc); Novartis Pharma AG; Sanofi-Genzyme Corporation; Teva Branded Pharmaceutical Products RD(Teva Pharmaceutical Industries)</t>
  </si>
  <si>
    <t>The SHARP CRC has been supported by financial and other contributions from the following consortium partners: European Respiratory Society, GlaxoSmithKline Research and Development Limited, Chiesi Farmaceutici SpA, Novartis Pharma AG, Sanofi-Genzyme Corporation and Teva Branded Pharmaceutical Products R&amp;D. Funding information for this article has been deposited with the Crossref Funder Registry.</t>
  </si>
  <si>
    <t>NOV 1</t>
  </si>
  <si>
    <t>00590-2023</t>
  </si>
  <si>
    <t>10.1183/23120541.00590-2023</t>
  </si>
  <si>
    <t>Z0YN3</t>
  </si>
  <si>
    <t>Green Published, Green Accepted, gold</t>
  </si>
  <si>
    <t>WOS:001109425200010</t>
  </si>
  <si>
    <t>Humbert, M</t>
  </si>
  <si>
    <t>Humbert, Marc</t>
  </si>
  <si>
    <t>Viewpoint: activin signalling inhibitors for the treatment of pulmonary arterial hypertension</t>
  </si>
  <si>
    <t>[Humbert, Marc] Univ Paris Saclay, Fac Med, Le Kremlin Bicetre, France; [Humbert, Marc] INSERM, UMR S 999, Le Kremlin Bicetre, France; [Humbert, Marc] Hop Bicetre, Dept Resp &amp; Intens Care Med, Assistance Publ Hop Paris, ERN LUNG, Le Kremlin Bicetre, France</t>
  </si>
  <si>
    <t>Universite Paris Saclay; Universite Paris Saclay; Institut National de la Sante et de la Recherche Medicale (Inserm); Assistance Publique Hopitaux Paris (APHP); Hopital Universitaire Antoine-Beclere - APHP; Universite Paris Saclay; Hopital Universitaire Bicetre - APHP; Universite Paris Cite; Hopital Universitaire Saint-Louis - APHP</t>
  </si>
  <si>
    <t>Humbert, M (corresponding author), Univ Paris Saclay, Fac Med, Le Kremlin Bicetre, France.;Humbert, M (corresponding author), INSERM, UMR S 999, Le Kremlin Bicetre, France.;Humbert, M (corresponding author), Hop Bicetre, Dept Resp &amp; Intens Care Med, Assistance Publ Hop Paris, ERN LUNG, Le Kremlin Bicetre, France.</t>
  </si>
  <si>
    <t>10.1183/13993003.01726-2023</t>
  </si>
  <si>
    <t>IG2Y3</t>
  </si>
  <si>
    <t>WOS:001165123000009</t>
  </si>
  <si>
    <t>Jevnikar, M; Solinas, S; Brenot, P; Lechartier, B; Kularatne, M; Montani, D; Savale, L; Garcia-Alonso, C; Sitbon, O; Beurnier, A; Boucly, A; Bulifon, S; Seferian, A; Roche, A; Mercier, O; Simonneau, G; Fadel, E; Humbert, M; Jaïs, X</t>
  </si>
  <si>
    <t>Jevnikar, Mitja; Solinas, Sabina; Brenot, Philippe; Lechartier, Benoit; Kularatne, Mithum; Montani, David; Savale, Laurent; Garcia-Alonso, Carlos; Sitbon, Olivier; Beurnier, Antoine; Boucly, Athenais; Bulifon, Sophie; Seferian, Andrei; Roche, Anne; Mercier, Olaf; Simonneau, Gerald; Fadel, Elie; Humbert, Marc; Jais, Xavier</t>
  </si>
  <si>
    <t>Sequential multimodal therapy in chronic thromboembolic pulmonary hypertension with mixed anatomical lesions: a proof of concept</t>
  </si>
  <si>
    <t>ENDARTERECTOMY</t>
  </si>
  <si>
    <t>[Jevnikar, Mitja; Solinas, Sabina; Brenot, Philippe; Lechartier, Benoit; Montani, David; Savale, Laurent; Garcia-Alonso, Carlos; Sitbon, Olivier; Beurnier, Antoine; Boucly, Athenais; Bulifon, Sophie; Seferian, Andrei; Roche, Anne; Mercier, Olaf; Simonneau, Gerald; Fadel, Elie; Humbert, Marc; Jais, Xavier] Univ Paris Saclay, Fac Med, Le Kremlin Bicetre, France; [Jevnikar, Mitja; Solinas, Sabina; Brenot, Philippe; Lechartier, Benoit; Montani, David; Savale, Laurent; Garcia-Alonso, Carlos; Sitbon, Olivier; Beurnier, Antoine; Boucly, Athenais; Bulifon, Sophie; Seferian, Andrei; Roche, Anne; Mercier, Olaf; Simonneau, Gerald; Fadel, Elie; Humbert, Marc; Jais, Xavier] Hop Bicetre, AP HP, Dept Resp &amp; Intens Care Med, Pulm Hypertens Natl Referral Ctr, Le Kremlin Bicetre, France; [Jevnikar, Mitja; Solinas, Sabina; Lechartier, Benoit; Montani, David; Savale, Laurent; Sitbon, Olivier; Boucly, Athenais; Bulifon, Sophie; Seferian, Andrei; Roche, Anne; Simonneau, Gerald; Humbert, Marc; Jais, Xavier] Hop Marie Lannelongue, Grp Hosp St Joseph, INSERM UMR 999, Pulm Hypertension Pathophysiol &amp; Novel Therapies, Le Plessis Robinson, France; [Brenot, Philippe; Garcia-Alonso, Carlos] Hop Marie Lannelongue, Dept Radiol, Le Plessis Robinson, France; [Lechartier, Benoit] Lausanne Univ Hosp, Div Resp, Lausanne, Switzerland; [Kularatne, Mithum] Univ Calgary, Dept Med, Calgary, AB, Canada; [Kularatne, Mithum] Hop Marie Lannelongue, Dept Thorac &amp; Vasc Surg &amp; Heart Lung Transplantat, Le Plessis Robinson, France</t>
  </si>
  <si>
    <t>Universite Paris Saclay; Assistance Publique Hopitaux Paris (APHP); Hopital Universitaire Bicetre - APHP; Universite Paris Saclay; Hopital Universitaire Antoine-Beclere - APHP; Hopital Marie Lannelongue; Institut National de la Sante et de la Recherche Medicale (Inserm); Hopital Marie Lannelongue; University of Lausanne; Centre Hospitalier Universitaire Vaudois (CHUV); University of Calgary; Hopital Marie Lannelongue</t>
  </si>
  <si>
    <t>Jaïs, X (corresponding author), Univ Paris Saclay, Fac Med, Le Kremlin Bicetre, France.;Jaïs, X (corresponding author), Hop Bicetre, AP HP, Dept Resp &amp; Intens Care Med, Pulm Hypertens Natl Referral Ctr, Le Kremlin Bicetre, France.;Jaïs, X (corresponding author), Hop Marie Lannelongue, Grp Hosp St Joseph, INSERM UMR 999, Pulm Hypertension Pathophysiol &amp; Novel Therapies, Le Plessis Robinson, France.</t>
  </si>
  <si>
    <t>Humbert, Marc/AAC-8459-2019; Savale, Laurent/AAJ-9781-2020; David, Montani/I-6885-2019; Sitbon, Olivier/I-3623-2019</t>
  </si>
  <si>
    <t>SITBON, Olivier/0000-0002-1942-1951; Savale, Laurent/0000-0002-6862-8975; Montani, David/0000-0002-9358-6922; Mercier, Olaf/0000-0002-4760-6267</t>
  </si>
  <si>
    <t>10.1183/13993003.00517-2023</t>
  </si>
  <si>
    <t>WOS:001165123000002</t>
  </si>
  <si>
    <t>Montani, D; Antigny, F; Jutant, EM; Chaumais, MC; Le Ribeuz, H; Grynblat, J; Khouri, C; Humbert, M</t>
  </si>
  <si>
    <t>Montani, David; Antigny, Fabrice; Jutant, Etienne-Marie; Chaumais, Marie-Camille; Le Ribeuz, Helene; Grynblat, Julien; Khouri, Charles; Humbert, Marc</t>
  </si>
  <si>
    <t>Pulmonary hypertension associated with diazoxide: the SUR1 paradox</t>
  </si>
  <si>
    <t>K-ATP CHANNELS; SULFONYLUREA RECEPTOR; ARTERIAL-HYPERTENSION; POTASSIUM CHANNELS; CANTU SYNDROME; ACTIVATION; THERAPY; MODULATION; MUTATIONS; INFANT</t>
  </si>
  <si>
    <t>The ATP-sensitive potassium channels and their regulatory subunits, sulfonylurea receptor 1 (SUR1/Kir6.2) and SUR2/Kir6.1, contribute to the pathophysiology of pulmonary hypertension (PH). Loss-of-function pathogenic variants in the ABCC8 gene, which encodes for SUR1, have been associated with heritable pulmonary arterial hypertension. Conversely, activation of SUR1 and SUR2 leads to the relaxation of pulmonary arteries and reduces cell proliferation and migration. Diazoxide, a SUR1 activator, has been shown to alleviate experimental PH, suggesting its potential as a therapeutic option. However, there are paradoxical reports of diazoxide-induced PH in infants. This review explores the role of SUR1/2 in the pathophysiology of PH and the contradictory effects of diazoxide on the pulmonary vascular bed. Additionally, we conducted a comprehensive literature review of cases of diazoxide-associated PH and analysed data from the World Health Organization pharmacovigilance database (VigiBase). Significant disproportionality signals link diazoxide to PH, while no other SUR activators have been connected with pulmonary vascular disease. Diazoxide-associated PH seems to be dose-dependent and potentially related to acute effects on the pulmonary vascular bed. Further research is required to decipher the differing pulmonary vascular consequences of diazoxide in different age populations and experimental models.</t>
  </si>
  <si>
    <t>[Montani, David; Antigny, Fabrice; Le Ribeuz, Helene; Grynblat, Julien; Humbert, Marc] Univ Paris Saclay, Fac Med, Le Kremlin Bicetre, France; [Montani, David; Antigny, Fabrice; Chaumais, Marie-Camille; Le Ribeuz, Helene; Grynblat, Julien; Humbert, Marc] Hop Marie Lannelongue, INSERM, UMR S 999, Le Kremlin Bicetre, France; [Montani, David; Humbert, Marc] Hop Bicetre, AP HP, Dept Resp &amp; Intens Care Med, Pulm Hypertens Natl Referral Ctr,DMU Thorinno 5, Le Kremlin Bicetre, France; [Jutant, Etienne-Marie] Univ Poitiers, CHU Poitiers, IS ALIVE Res Grp, Resp Dept,INSERM,CIC 1402, Poitiers, France; [Chaumais, Marie-Camille] Hop Bicetre, AP HP, Dept Pharm, Le Kremlin Bicetre, France; [Chaumais, Marie-Camille] Univ Paris Saclay, Fac Pharm, Saclay, France; [Khouri, Charles] Univ Grenoble Alpes, HP2 Lab, Grenoble, France; [Khouri, Charles] Grenoble Alpes Univ Hosp, Pharmacovigilance Unit, Grenoble, France</t>
  </si>
  <si>
    <t>Universite Paris Saclay; Hopital Marie Lannelongue; Institut National de la Sante et de la Recherche Medicale (Inserm); Universite Paris Saclay; Assistance Publique Hopitaux Paris (APHP); Hopital Universitaire Bicetre - APHP; Universite Paris Saclay; Hopital Universitaire Antoine-Beclere - APHP; Universite de Poitiers; CHU Poitiers; Institut National de la Sante et de la Recherche Medicale (Inserm); Universite Paris Saclay; Assistance Publique Hopitaux Paris (APHP); Hopital Universitaire Bicetre - APHP; Hopital Universitaire Antoine-Beclere - APHP; Universite Paris Saclay; Communaute Universite Grenoble Alpes; Universite Grenoble Alpes (UGA); Institut National de la Sante et de la Recherche Medicale (Inserm); Communaute Universite Grenoble Alpes; Universite Grenoble Alpes (UGA); CHU Grenoble Alpes</t>
  </si>
  <si>
    <t>Montani, D (corresponding author), Univ Paris Saclay, Fac Med, Le Kremlin Bicetre, France.;Montani, D (corresponding author), Hop Marie Lannelongue, INSERM, UMR S 999, Le Kremlin Bicetre, France.;Montani, D (corresponding author), Hop Bicetre, AP HP, Dept Resp &amp; Intens Care Med, Pulm Hypertens Natl Referral Ctr,DMU Thorinno 5, Le Kremlin Bicetre, France.</t>
  </si>
  <si>
    <t>davidmontani@gmail.com</t>
  </si>
  <si>
    <t>David, Montani/I-6885-2019; KHOURI, CHARLES/J-1090-2019; GRYNBLAT, Julien/KXS-1813-2024; Humbert, Marc/AAC-8459-2019; Antigny, Fabrice/Q-3999-2018</t>
  </si>
  <si>
    <t>Humbert, Marc/0000-0003-0703-2892; Montani, David/0000-0002-9358-6922; GRYNBLAT, Julien/0000-0001-5593-3383; Le Ribeuz, Helene/0000-0002-6579-6076; Jutant, Etienne-Marie/0000-0002-1374-1890; Antigny, Fabrice/0000-0002-9515-6571; Chaumais, Marie-Camille/0000-0002-1217-8442</t>
  </si>
  <si>
    <t>French association Federation Francaise de Cardiologie; French National Institute for Health and Medical Research (INSERM); Universite Paris-Saclay; Marie Lannelongue Hospital; French National Agency for Research (ANR) [ANR-18-CE14-0023]; Institut National de la Sante et de la Recherche Medicale (poste d'accueil INSERM)</t>
  </si>
  <si>
    <t>French association Federation Francaise de Cardiologie; French National Institute for Health and Medical Research (INSERM)(Institut National de la Sante et de la Recherche Medicale (Inserm)); Universite Paris-Saclay; Marie Lannelongue Hospital; French National Agency for Research (ANR)(Agence Nationale de la Recherche (ANR)); Institut National de la Sante et de la Recherche Medicale (poste d'accueil INSERM)</t>
  </si>
  <si>
    <t>The study was supported by grants from the French association Federation Francaise de Cardiologie. This study was supported by grants from the French National Institute for Health and Medical Research (INSERM), the Universite Paris-Saclay, the Marie Lannelongue Hospital, and the French National Agency for Research (ANR) (grant number ANR-18-CE14-0023 (KAPAH)). H. Le Ribeuz receives support from ANR-18-CE14-0023. J. Grynblat is supported by Institut National de la Sante et de la Recherche Medicale (poste d'accueil INSERM). Funding information for this article has been deposited with the Crossref Funder Registry.</t>
  </si>
  <si>
    <t>00350-2023</t>
  </si>
  <si>
    <t>10.1183/23120541.00350-2023</t>
  </si>
  <si>
    <t>X4HA1</t>
  </si>
  <si>
    <t>WOS:001098066600006</t>
  </si>
  <si>
    <t>Kularatne, M; Boucly, A; Savale, L; Solinas, S; Cheron, C; Roche, A; Jevnikar, M; Jaïis, X; Montani, D; Humbert, M; Sitbon, O</t>
  </si>
  <si>
    <t>Kularatne, Mithum; Boucly, Athenais; Savale, Laurent; Solinas, Sabina; Cheron, Celine; Roche, Anne; Jevnikar, Mitja; Jais, Xavier; Montani, David; Humbert, Marc; Sitbon, Olivier</t>
  </si>
  <si>
    <t>Pharmacological management of connective tissue disease-associated pulmonary arterial hypertension</t>
  </si>
  <si>
    <t>EXPERT OPINION ON PHARMACOTHERAPY</t>
  </si>
  <si>
    <t>Pulmonary hypertension; pulmonary arterial hypertension; connective tissue disease; systemic sclerosis; therapy</t>
  </si>
  <si>
    <t>CALCIUM-CHANNEL BLOCKERS; CONTINUOUS INTRAVENOUS EPOPROSTENOL; LUPUS-ERYTHEMATOSUS PREVALENCE; LONG-TERM RESPONSE; SYSTEMIC-SCLEROSIS; COMBINATION THERAPY; PROSTACYCLIN ANALOG; SUBGROUP ANALYSIS; OPEN-LABEL; IMMUNOSUPPRESSIVE THERAPY</t>
  </si>
  <si>
    <t>IntroductionPulmonary arterial hypertension (PAH) is a severe, progressive pulmonary vasculopathy (Group 1 Pulmonary Hypertension (PH)) that complicates the course of many connective tissue diseases (CTD). Detailed testing is required to differentiate PAH from other types of PH caused by CTD such as left heart disease (Group 2 PH), pulmonary parenchymal disease (Group 3 PH), and chronic thromboembolic pulmonary hypertension (Group 4 PH). PAH is most frequently seen in systemic sclerosis but can also be seen with systemic lupus erythematosus, mixed CTD, and primary Sjogren's syndrome.Areas coveredThis review discusses the epidemiology of CTD-associated PAH, outlines the complex diagnosis approach, and finishes with an in-depth discussion on the current treatment paradigm. Focus is placed on challenges faced in the treatment of CTD-associated PAH, (decreased efficacy and poorer tolerance of pharmacological therapies) and includes a discussion on the future investigational treatments.Expert opinionDespite significant advances over the past decades with more aggressive treatment algorithms, CTD-associated PAH patients continue to have poorer survival compared to those with idiopathic PAH. This review highlights factors leading to disparate outcomes compared to other forms of PAH, and discusses on further improvements that may increase quality of life and survival for CTD-associated PAH patients.</t>
  </si>
  <si>
    <t>[Kularatne, Mithum] Univ Calgary, Dept Med, Div Resp Med, Calgary, AB, Canada; [Boucly, Athenais; Savale, Laurent; Solinas, Sabina; Cheron, Celine; Roche, Anne; Jevnikar, Mitja; Jais, Xavier; Montani, David; Humbert, Marc; Sitbon, Olivier] Univ Paris Saclay, Fac Med, Le Kremlin Bicetre, France; [Boucly, Athenais; Savale, Laurent; Solinas, Sabina; Cheron, Celine; Roche, Anne; Jevnikar, Mitja; Jais, Xavier; Montani, David; Humbert, Marc; Sitbon, Olivier] INSERM UMR S 999 Pulm Hypertens Pathophysiol &amp; Nov, Le Kremlin Bicetre, France; [Boucly, Athenais; Savale, Laurent; Solinas, Sabina; Cheron, Celine; Roche, Anne; Jevnikar, Mitja; Jais, Xavier; Montani, David; Humbert, Marc; Sitbon, Olivier] Hop Bicetre, AP HP, Pulm Hypertens Natl Referral Ctr, Dept Resp &amp; Intens Care Med,DMU Thorinno 5, Le Kremlin Bicetre, France; [Sitbon, Olivier] Hop Bicetre, Serv Pneumol, 78 Rue Gen Leclerc, F-94275 Le Kremlin Bicetre, France</t>
  </si>
  <si>
    <t>University of Calgary; Universite Paris Saclay; Institut National de la Sante et de la Recherche Medicale (Inserm); Assistance Publique Hopitaux Paris (APHP); Hopital Universitaire Antoine-Beclere - APHP; Universite Paris Saclay; Hopital Universitaire Bicetre - APHP; Assistance Publique Hopitaux Paris (APHP); Hopital Universitaire Bicetre - APHP; Universite Paris Saclay; Hopital Universitaire Antoine-Beclere - APHP</t>
  </si>
  <si>
    <t>Sitbon, O (corresponding author), Hop Bicetre, Serv Pneumol, 78 Rue Gen Leclerc, F-94275 Le Kremlin Bicetre, France.</t>
  </si>
  <si>
    <t>Savale, Laurent/AAJ-9781-2020; David, Montani/I-6885-2019; Humbert, Marc/AAC-8459-2019</t>
  </si>
  <si>
    <t>Jevnikar, Mitja/0000-0003-0727-6790; Montani, David/0000-0002-9358-6922; JAIS, XAVIER/0000-0002-4104-7994; Savale, Laurent/0000-0002-6862-8975; Kularatne, Mithum/0000-0001-8310-0813; Humbert, Marc/0000-0003-0703-2892</t>
  </si>
  <si>
    <t>1465-6566</t>
  </si>
  <si>
    <t>1744-7666</t>
  </si>
  <si>
    <t>EXPERT OPIN PHARMACO</t>
  </si>
  <si>
    <t>Expert Opin. Pharmacother.</t>
  </si>
  <si>
    <t>DEC 12</t>
  </si>
  <si>
    <t>10.1080/14656566.2023.2273395</t>
  </si>
  <si>
    <t>OCT 2023</t>
  </si>
  <si>
    <t>Pharmacology &amp; Pharmacy</t>
  </si>
  <si>
    <t>GC6N2</t>
  </si>
  <si>
    <t>WOS:001095747900001</t>
  </si>
  <si>
    <t>Gomberg-Maitland, M; Mclaughlin, VV; Badesch, DB; Ghofrani, HA; Hoeper, MM; Humbert, M; Preston, IR; Souza, R; Waxman, AB; Pena, JD; Lu, JT; Manimaran, S; Gibbs, JSR</t>
  </si>
  <si>
    <t>Gomberg-Maitland, Mardi; Mclaughlin, Vallerie V.; Badesch, David B.; Ghofrani, Hossein-Ardeschir; Hoeper, Marius M.; Humbert, Marc; Preston, Ioana R.; Souza, Rogerio; Waxman, Aaron B.; Pena, Janethe de Oliveira; Lu, Jonathan T.; Manimaran, Solaiappan; Gibbs, J. Simon R.</t>
  </si>
  <si>
    <t>Long-Term Effects of Sotatercept on Right Ventricular Function</t>
  </si>
  <si>
    <t>JACC-HEART FAILURE</t>
  </si>
  <si>
    <t>[Gomberg-Maitland, Mardi; Mclaughlin, Vallerie V.; Badesch, David B.; Ghofrani, Hossein-Ardeschir; Hoeper, Marius M.; Humbert, Marc; Preston, Ioana R.; Souza, Rogerio; Waxman, Aaron B.; Pena, Janethe de Oliveira; Lu, Jonathan T.; Manimaran, Solaiappan; Gibbs, J. Simon R.] George Washington Univ, Sch Med &amp; Hlth Sci, Dept Med, 2150 Penn Ave NW, Floor 4, Washington, DC 20037 USA</t>
  </si>
  <si>
    <t>George Washington University</t>
  </si>
  <si>
    <t>Gomberg-Maitland, M (corresponding author), George Washington Univ, Sch Med &amp; Hlth Sci, Dept Med, 2150 Penn Ave NW, Floor 4, Washington, DC 20037 USA.</t>
  </si>
  <si>
    <t>mgomberg@mfa.gwu.edu</t>
  </si>
  <si>
    <t>Ghofrani, Ardeschir/AAD-5293-2020; Hoeper, Marius/Z-1546-2019; Humbert, Marc/AAC-8459-2019; Souza, Rogerio/I-3584-2013; Waxman, Aaron/I-8659-2019</t>
  </si>
  <si>
    <t>Hoeper, Marius/0000-0001-9086-2293</t>
  </si>
  <si>
    <t>German Research Foundation; German Center for Lung Research; Pfizer; United Therapeutics; Actelion; BIAL, Complexa; BIAL; Merck; AOP Orphan Pharmaceuticals; Ferrer; United Therapeutics - Acceleron Pharma Inc. [NCT03496207]</t>
  </si>
  <si>
    <t>German Research Foundation(German Research Foundation (DFG)); German Center for Lung Research; Pfizer(Pfizer); United Therapeutics; Actelion; BIAL, Complexa(Bial Group); BIAL(Bial Group); Merck(Merck &amp; Company); AOP Orphan Pharmaceuticals; Ferrer; United Therapeutics - Acceleron Pharma Inc.</t>
  </si>
  <si>
    <t>This study was funded by Acceleron Pharma, Inc, a wholly owned subsidiary of Merck &amp; Co, Inc, Rahway, New Jersey. The funder of the study contributed to the study design, data analysis, and writing of the report. Dr Waxman is a Steering Committee member and investigator for Acceleron Pharma, Inc; has received grants from Aria CV, AI Therapeutics, Johnson &amp; Johnson, and United Therapeutics; and has chaired a data safety monitoring board for Insmed. Dr Badesch is a consultant for Acceleron Pharma, Polarean, and Syneos; has received research grant support from Acceleron Pharma, Inc, Altavant Sciences, and Arena/United Therapeutics; has an unpaid leadership role in the Pulmonary Hypertension Association; and is a long-term holder of common stock in Johnson &amp; Johnson. Dr Ghofrani is a consultant for Acceleron Pharma, Inc, Aerovate Therapeutics, Altavant Sciences, Bayer, Gossamer Bio, Janssen, MSD, and Pfizer; has received lecture fees and travel support from Acceleron Pharma, Inc, Bayer, Gossamer Bio, Janssen, and MSD; has received grants from the German Research Foundation and German Center for Lung Research; and has participated as part of a data safety monitoring board for Insmed and has sat on advisory boards for Acceleron Pharma, Inc, Aerovate, Altavant Sciences, Bayer, Gossamer Bio, Janssen, MSD, and Pfizer. Dr Preston is a consultant for Altavant Sciences and Gossamer Bio; a Steering Committee Member for Merck, Altavant Sciences, Gossamer Bio, Janssen, and United Therapeutics; a speaker for Jans-sen, Medscape, and MedOntheGo; has received grants from Bellerophon Therapeutics, Janssen, and United Therapeutics; has sat on advisory boards for Pfizer; and has provided expert testimony for Bayer. Janethe de Oliveira Pena is an employee of Acceleron Pharma, Inc; and owns stock in Merck. Dr Gibbs is a consultant and speaker for Acceleron Pharma, Inc, Actelion, Aerovate, BIAL, Complexa, Gossamer Bio, Janssen, Merck, MSD, and United Therapeutics; has sat on advisory boards for Actelion, BIAL, Gossamer Bio, Janssen, and Merck; and is a chairperson on the ERN-LUNG Functional Committee. Jonathan T. Lu is an employee of SalioGen Therapeutics, and a former employee of Acceleron Pharma, Inc. Dr Gomberg-Maitland is a consultant for Acceleron Pharma, Inc, Aerami Therapeutics, Bayer, Janssen, and United Therapeutics; has received grants with funds from Altavant Sciences, Aerovate, Acceleron Pharma, Inc, and United Therapeutics; and has unpaid leadership roles on the Board of Directors for International Society of Heart and Lung Transplant and the Pulmonary Hypertension Association Scientific Leadership Council. Dr Humbert is a consultant and speaker for Acceleron Pharma, Inc, Aerovate, Altavant Sciences, AOP Orphan Pharmaceuticals, Bayer, Chiesi Farmaceutici, Ferrer, Janssen, Merck, Morphogen-IX, Shou Ti, and United Therapeutics; has received research grants from Acceleron Pharma, Inc, AOP Orphan Pharmaceuticals, Janssen, Merck, and ShouTi; has sat on advisory boards for Acceleron Pharma, Inc, Altavant Sciences, Janssen, Merck, and United Therapeutics. Dr Hoeper is a consultant and speaker for Acceleron Pharma, Inc, Actelion, AOP Orphan Pharmaceuticals, Bayer, Ferrer, GlaxoSmithKline, Janssen, and MSD. Dr Souza is a consultant for Acceleron Pharma, Inc, and an advisory committee member and speaker for Bayer and Janssen. Solaiappan Manimaran is an employee of Acceleron Pharma, Inc. Dr McLaughlin is a consultant for Aerovate, Altavant Sciences, Bayer, CVS Caremark, CorVista Health, Gossamer Bio, Janssen, Merck, and United Therapeutics; and has received grants from Aerovate, Altavant Sciences, Merck, Gossamer Bio, Janssen, and SoniVie. Medical writing assistance was provided by Sarah Bar-Yaacov, PhD, OPEN Health Communications and funded by Acceleron Pharma Inc. (A Study of Sotatercept for the Treatment of Pulmonary Arterial Hypertension [PAH] [PULSAR]; NCT03496207) The authors attest they are in compliance with human studies committees and animal welfare regulations of the authors' institutions and Food and Drug Administration guidelines, including patient consent where appropriate. For more information, visit the Author Center.r German Research Foundation and German Center for Lung Research; and has participated as part of a data safety monitoring board for Insmed and has sat on advisory boards for Acceleron Pharma, Inc, Aerovate, Altavant Sciences, Bayer, Gossamer Bio, Janssen, MSD, and Pfizer. Dr Preston is a consultant for Altavant Sciences and Gossamer Bio; a Steering Committee Member for Merck, Altavant Sciences, Gossamer Bio, Janssen, and United Therapeutics; a speaker for Jans-sen, Medscape, and MedOntheGo; has received grants from Bellerophon Ther-apeutics, Janssen, and United Therapeutics; has sat on advisory boards for Pfizer; and has provided expert testimony for Bayer. Janethe de Oliveira Pena is an employee of Acceleron Pharma, Inc; and owns stock in Merck. Dr Gibbs is a consultant and speaker for Acceleron Pharma, Inc, Actelion, Aerovate, BIAL, Complexa, Gossamer Bio, Janssen, Merck, MSD, and United Therapeutics; has sat on advisory boards for Actelion, BIAL, Gossamer Bio, Janssen, and Merck; and is a chairperson on the ERN-LUNG Functional Committee. Jonathan T. Lu is an employee of SalioGen Therapeutics, and a former employee of Acceleron Pharma, Inc. Dr Gomberg-Maitland is a consultant for Acceleron Pharma, Inc, Aerami Therapeutics, Bayer, Janssen, and United Therapeutics; has received grants with funds from Altavant Sciences, Aerovate, Acceleron Pharma, Inc, and United Therapeutics; and has unpaid leadership roles on the Board of Directors for International Society of Heart and Lung Transplant and the Pulmonary Hypertension Association Scientific Leadership Council. Dr Humbert is a consultant and speaker for Acceleron Pharma, Inc, Aerovate, Altavant Sciences, AOP Orphan Pharmaceuticals, Bayer, Chiesi Farmaceutici, Ferrer, Janssen, Merck, Morphogen-IX, Shou Ti, and United Therapeutics; has received research grants from Acceleron Pharma, Inc, AOP Orphan Pharmaceuticals, Janssen, Merck, and ShouTi; has sat on advisory boards for Acceleron Pharma, Inc, Altavant Sciences, Janssen, Merck, and United Therapeutics. Dr Hoeper is a consultant and speaker for Acceleron Pharma, Inc, Actelion, AOP Orphan Pharmaceuticals, Bayer, Ferrer, GlaxoSmithKline, Janssen, and MSD. Dr Souza is a consultant for Acceleron Pharma, Inc, and an advisory committee member and speaker for Bayer and Janssen. Solaiappan Manimaran is an employee of Acceleron Pharma, Inc. Dr McLaughlin is a consultant for Aerovate, Altavant Sciences, Bayer, CVS Caremark, CorVista Health, Gossamer Bio, Janssen, Merck, and United Therapeutics; and has received grants from Aerovate, Altavant Sciences, Merck, Gossamer Bio, Janssen, and SoniVie. Medical writing assis-tance was provided by Sarah Bar-Yaacov, PhD, OPEN Health Communications and funded by Acceleron Pharma Inc. (A Study of Sotatercept for the Treatment of Pulmonary Arterial Hypertension [PAH] [PULSAR] ; NCT03496207) The authors attest they are in compliance with human studies committees and animal welfare regulations of the authors' institutions and Food and Drug Administration guidelines, including patient consent where appropriate. For more information, visit the Author Center.</t>
  </si>
  <si>
    <t>2213-1779</t>
  </si>
  <si>
    <t>2213-1787</t>
  </si>
  <si>
    <t>JACC-HEART FAIL</t>
  </si>
  <si>
    <t>JACC-Heart Fail.</t>
  </si>
  <si>
    <t>10.1016/j.jchf.2023.05.030</t>
  </si>
  <si>
    <t>X1XZ2</t>
  </si>
  <si>
    <t>WOS:001096464400001</t>
  </si>
  <si>
    <t>Yegen, CH; Lambert, M; Beurnier, A; Montani, D; Humbert, M; Planès, C; Boncoeur, E; Voituron, N; Antigny, F</t>
  </si>
  <si>
    <t>Yegen, Celine-Hivda; Lambert, Melanie; Beurnier, Antoine; Montani, David; Humbert, Marc; Planes, Carole; Boncoeur, Emilie; Voituron, Nicolas; Antigny, Fabrice</t>
  </si>
  <si>
    <t>KCNK3 channel is important for the ventilatory response to hypoxia in rats</t>
  </si>
  <si>
    <t>RESPIRATORY PHYSIOLOGY &amp; NEUROBIOLOGY</t>
  </si>
  <si>
    <t>Hypoxia; Hypercapnia; c-Fos; K2P3.1; Raphe obscurus</t>
  </si>
  <si>
    <t>PULMONARY ARTERIAL-HYPERTENSION; INTERMEDIOLATERAL CELL COLUMN; POTASSIUM CHANNEL; TASK CHANNELS; BRAIN-STEM; OXYGEN; NEURONS; SEROTONIN; PROJECTIONS; MEDULLA</t>
  </si>
  <si>
    <t>To clarify the contribution of KCNK3/TASK-1 channel chemoreflex in response to hypoxia and hypercapnia, we used a unique Kcnk3-deficient rat. We assessed ventilatory variables using plethysmography in Kcnk3-deficient and wild-type rats at rest in response to hypoxia (10% O-2) and hypercapnia (4% CO2). Immunostaining for C-Fos, a marker of neuronal activity, was performed to identify the regions of the respiratory neuronal network involved in the observed response.Under basal conditions, we observed increased minute ventilation in Kcnk3-deficient rats, which was associated with increased c-Fos positive cells in the ventrolateral region of the medulla oblongata. Kcnk3-deficient rats show an increase in ventilatory response to hypoxia without changes in response to hypercapnia. In Kcnk3-deficient rats, linked to an increased hypoxia response, we observed a greater increase in cFos-positive cells in the first central relay of peripheral chemoreceptors and Raphe Obscurus. This study reports that KCNK3/TASK-1 deficiency in rats induces an inadequate peripheral chemoreflex, alternating respiratory rhythmogenesis, and hypoxic chemoreflex.</t>
  </si>
  <si>
    <t>[Yegen, Celine-Hivda; Planes, Carole; Boncoeur, Emilie; Voituron, Nicolas] Univ Sorbonne Paris Nord, Lab Hypoxie &amp; Poumon, UMR INSERM U1272, Bobigny, France; [Lambert, Melanie; Beurnier, Antoine; Montani, David; Humbert, Marc; Antigny, Fabrice] Univ Paris Saclay, Fac Med, Le Kremlin Bicetre, France; [Beurnier, Antoine; Montani, David; Humbert, Marc] Hop Marie Lannelongue, INSERM, UMR S Hypertens Pulmonaire Physiopathol &amp; Innovat, Le Plessis Robinson, France; [Beurnier, Antoine] Hop Paris, Hop Avicenne, AP HP, Serv Physiol &amp; explorat fonct, Paris, France; [Montani, David; Humbert, Marc] Hop Bicetre, Assistance Publ Hop Paris AP HP, Ctr Reference Hypertens Plum, Serv Pneumol &amp; Soins Intens Respiratoires, Le Kremlin Bicetre, France; [Planes, Carole] Bisite Hop Bicetre, AP HP, Dept Physiol Funct Explorat, DMU Thorinno, Le Kremlin Bicetre, France; [Planes, Carole] Ambroise Pare, Boulogne Billancourt, France; [Voituron, Nicolas] Univ Sorbonne Paris Nord, Dept STAPS, Bobigny, France</t>
  </si>
  <si>
    <t>Institut National de la Sante et de la Recherche Medicale (Inserm); Universite Paris Saclay; Institut National de la Sante et de la Recherche Medicale (Inserm); Hopital Marie Lannelongue; Assistance Publique Hopitaux Paris (APHP); Hopital Universitaire Avicenne - APHP; Assistance Publique Hopitaux Paris (APHP); Hopital Universitaire Antoine-Beclere - APHP; Hopital Universitaire Bicetre - APHP; Universite Paris Saclay; Assistance Publique Hopitaux Paris (APHP); Hopital Universitaire Bicetre - APHP</t>
  </si>
  <si>
    <t>Voituron, N (corresponding author), Univ Sorbonne Paris Nord, Lab Hypoxie &amp; Poumon, UMR INSERM U1272, Bobigny, France.;Antigny, F (corresponding author), Univ Paris Saclay, Fac Med, Le Kremlin Bicetre, France.</t>
  </si>
  <si>
    <t>nicolas.voituron@sorbonne-paris-nord.fr; fabrice.antigny@inserm.fr</t>
  </si>
  <si>
    <t>David, Montani/I-6885-2019; boncoeur, emilie/KEJ-4277-2024; Humbert, Marc/AAC-8459-2019; voituron, nicolas/MIN-6651-2025; Antigny, Fabrice/Q-3999-2018</t>
  </si>
  <si>
    <t>Antigny, Fabrice/0000-0002-9515-6571</t>
  </si>
  <si>
    <t>Fondation du Souffle et Fonds de Dotation Recherche en Sante Respiratoire from the Fondation Lefoulon-Delalande; Fondation Legs Poix; French National Agency for Research (ANR) [ANR-18-CE14-0023]; French Foundation legs Poix; IFRB programs of the university Sorbonne Paris Nord; Fondation Maladies Rares; Therapeutic Innovation Doctoral School [ED569]; BQR</t>
  </si>
  <si>
    <t>Fondation du Souffle et Fonds de Dotation Recherche en Sante Respiratoire from the Fondation Lefoulon-Delalande; Fondation Legs Poix; French National Agency for Research (ANR)(Agence Nationale de la Recherche (ANR)); French Foundation legs Poix; IFRB programs of the university Sorbonne Paris Nord; Fondation Maladies Rares; Therapeutic Innovation Doctoral School; BQR</t>
  </si>
  <si>
    <t>F. Antigny receives funding from the Fondation du Souffle et Fonds de Dotation Recherche en Sante Respiratoire from the Fondation Lefoulon-Delalande and the Fondation Legs Poix. The authors received funding from the French National Agency for Research (ANR) (grant no. ANR-18-CE14-0023) . NV received funding from the French Foundation legs Poix, BQR, and IFRB programs of the university Sorbonne Paris Nord. Kcnk3 -deficient rats were generated with financial support from Fondation Maladies Rares in the framework of small-animal models, and the rare disease program generated Kcnk3 -deficient rats. M. Lambert was supported by the Therapeutic Innovation Doctoral School (ED569) .</t>
  </si>
  <si>
    <t>1569-9048</t>
  </si>
  <si>
    <t>1878-1519</t>
  </si>
  <si>
    <t>RESP PHYSIOL NEUROBI</t>
  </si>
  <si>
    <t>Respir. Physiol. Neuro.</t>
  </si>
  <si>
    <t>10.1016/j.resp.2023.104164</t>
  </si>
  <si>
    <t>SEP 2023</t>
  </si>
  <si>
    <t>Physiology; Respiratory System</t>
  </si>
  <si>
    <t>W0RY7</t>
  </si>
  <si>
    <t>Green Submitted, hybrid</t>
  </si>
  <si>
    <t>WOS:001088801600001</t>
  </si>
  <si>
    <t>Humbert, M; Wagner, T</t>
  </si>
  <si>
    <t>Humbert, Marc; Wagner, Thomas</t>
  </si>
  <si>
    <t>The European reference network on rare lung diseases (ERN-LUNG) ambition to offer better lung health for all</t>
  </si>
  <si>
    <t>PRESSE MEDICALE</t>
  </si>
  <si>
    <t>[Humbert, Marc] Hop Univ Paris Saclay, Hop Bicetre, AP HP, Serv Pneumol,ERN LUNG, F-94275 Le Kremlin Bicetre, France; [Wagner, Thomas] Univ Klinikum Frankfurt Main, Frankfurt Reference Ctr Rare Dis FRZSE, ERN LUNG, Frankfurt, Germany; [Humbert, Marc] Hop Bicetre ERN LUNG, Serv Pneumol &amp; Soins Intens Resp, Le Kremlin Bicetre, France</t>
  </si>
  <si>
    <t>Assistance Publique Hopitaux Paris (APHP); Hopital Universitaire Bicetre - APHP; Universite Paris Saclay; Hopital Universitaire Antoine-Beclere - APHP; Goethe University Frankfurt; Goethe University Frankfurt Hospital</t>
  </si>
  <si>
    <t>Humbert, M (corresponding author), Hop Bicetre ERN LUNG, Serv Pneumol &amp; Soins Intens Resp, Le Kremlin Bicetre, France.</t>
  </si>
  <si>
    <t>0755-4982</t>
  </si>
  <si>
    <t>2213-0276</t>
  </si>
  <si>
    <t>PRESSE MED</t>
  </si>
  <si>
    <t>Presse Med.</t>
  </si>
  <si>
    <t>10.1016/j.lpm.2023.104172</t>
  </si>
  <si>
    <t>W5PJ9</t>
  </si>
  <si>
    <t>WOS:001092142400001</t>
  </si>
  <si>
    <t>Beauvais, A; Boucly, A; Humbert, M; Montani, D; Sitbon, O</t>
  </si>
  <si>
    <t>Beauvais, Antoine; Boucly, Athenais; Humbert, Marc; Montani, David; Sitbon, Olivier</t>
  </si>
  <si>
    <t>Follow-up of Calcium-Channel Blockers Responders and Risk Factors of Treatment Failure</t>
  </si>
  <si>
    <t>Annual Congress of the European-Respiratory-Society (ERS)</t>
  </si>
  <si>
    <t>SEP 09-13, 2023</t>
  </si>
  <si>
    <t>Milan, IA</t>
  </si>
  <si>
    <t>[Beauvais, Antoine; Boucly, Athenais; Humbert, Marc; Montani, David; Sitbon, Olivier] Hop Bicetre, AP HP, Dept Resp &amp; Intens Care Med, Pulm Hypertens Natl Referral Ctr, Le Kremlin Bicetre, France; [Beauvais, Antoine; Boucly, Athenais; Humbert, Marc; Montani, David; Sitbon, Olivier] Paris 18e Arrondissement, Paris, France</t>
  </si>
  <si>
    <t>Assistance Publique Hopitaux Paris (APHP); Hopital Universitaire Antoine-Beclere - APHP; Hopital Universitaire Bicetre - APHP; Universite Paris Saclay</t>
  </si>
  <si>
    <t>antoine.beauvais@aphp.fr</t>
  </si>
  <si>
    <t>David, Montani/I-6885-2019; Humbert, Marc/AAC-8459-2019</t>
  </si>
  <si>
    <t>SEP 9</t>
  </si>
  <si>
    <t>10.1183/13993003.congress-2023.PA3957</t>
  </si>
  <si>
    <t>Z0MW0</t>
  </si>
  <si>
    <t>WOS:001109120507084</t>
  </si>
  <si>
    <t>Boucly, A; Savale, L; Montani, D; Jaïs, X; Humbert, M; Sitbon, O</t>
  </si>
  <si>
    <t>Boucly, Athenais; Savale, Laurent; Montani, David; Jais, Xavier; Humbert, Marc; Sitbon, Olivier</t>
  </si>
  <si>
    <t>Initial dual oral combination therapy in patient with pulmonary arterial hypertension and cardiovascular comorbidities</t>
  </si>
  <si>
    <t>[Boucly, Athenais; Savale, Laurent; Montani, David; Jais, Xavier; Humbert, Marc; Sitbon, Olivier] Univ Paris Saclay, Hop Bicetre, INSERM UMR S 999, Le Kremlin Bicetre, France</t>
  </si>
  <si>
    <t>Universite Paris Saclay; Assistance Publique Hopitaux Paris (APHP); Hopital Universitaire Bicetre - APHP; Hopital Universitaire Antoine-Beclere - APHP; Institut National de la Sante et de la Recherche Medicale (Inserm)</t>
  </si>
  <si>
    <t>PA1202</t>
  </si>
  <si>
    <t>10.1183/13993003.congress-2023.PA1202</t>
  </si>
  <si>
    <t>WOS:001109120502358</t>
  </si>
  <si>
    <t>Gille, T; Patout, M; Ubags, N; Ramjug, S; De Brandt, J; Alfaro, T; Hellemons, M; Vanfleteren, LEGW; Cruz, J; Moor, CC; Gotera, C; Dumas, O; Humbert, M; Simonds, A</t>
  </si>
  <si>
    <t>Gille, Thomas; Patout, Maxime; Ubags, Niki; Ramjug, Sheila; De Brandt, Jana; Alfaro, Tiago; Hellemons, Merel; Vanfleteren, Lowie E. G. W.; Cruz, Joana; Moor, Catharina C.; Gotera, Carolina; Dumas, Orianne; Humbert, Marc; Simonds, Anita</t>
  </si>
  <si>
    <t>The impact of COVID-19 on early career members (ECMs): an ERS ECM survey</t>
  </si>
  <si>
    <t>[Gille, Thomas] Univ Sorbonne Paris Nord, Hop Univ Paris Seine St Denis, Physiol &amp; Explorat Fonct, AP HP, Bobigny, France; [Gille, Thomas] Univ Sorbonne Paris Nord, INSERM, U1272 Hypoxie &amp; Poumon, UFR SMBH Leonard da Vinci, Bobigny, France; [Patout, Maxime] Sorbonne Univ, GHU AP HP, AP HP, Pathol Sommeil Dept R3S,Site Pitie Salpetriere, Paris, France; [Patout, Maxime] Sorbonne Univ, INSERM, UMRS1158, Neurophysiol Resp Expt &amp; Clin, Paris, France; [Ubags, Niki] Univ Lausanne, Fac Biol &amp; Med, Ctr Hosp Univ Vaudois CHUV, Serv Pneumol, Lausanne, Switzerland; [Ramjug, Sheila] Manchester Univ NHS Fdn Trust, Dept Resp Med, Wythenshawe, England; [De Brandt, Jana] Umea Univ, Fac Med, Dept Community Med &amp; Rehabil, Sect Physiotherapy, Umea, Sweden; [De Brandt, Jana] Hasselt Univ, Fac Rehabil Sci, REVAL Rehabil Res Ctr, Diepenbeek, Belgium; [De Brandt, Jana] Hasselt Univ, Fac Med &amp; Life Sci, BIOMED Biomed Res Inst, Diepenbeek, Belgium; [Alfaro, Tiago] CHU Coimbra, Dept Pulmonol, Coimbra, Portugal; [Hellemons, Merel; Moor, Catharina C.] Erasmus Univ, Erasmus MC Transplant Inst, Dept Resp Med, Med Ctr, Rotterdam, Netherlands; [Vanfleteren, Lowie E. G. W.] Univ Gothenburg, Sahlgrenska Univ Hosp, Dept Resp Med &amp; Allergol, COPD Ctr, Gothenburg, Sweden; [Vanfleteren, Lowie E. G. W.] Univ Gothenburg, Dept Internal Med &amp; Clin Nutr, Inst Med, Sahlgrenska Acad, Gothenburg, Sweden; [Cruz, Joana] Polytech Leiria, Sch Hlth Sci ESSLei, Ctr Innovat Care &amp; Hlth Technol ciTechCare, Leiria, Portugal; [Gotera, Carolina] ISCIII CIBERES, IIS Fdn Jimenez Diaz, Dept Pneumol, Madrid, Spain; [Dumas, Orianne] Univ Paris Sud, Univ Paris Saclay, UVSQ, INSERM,Equipe Epidemiol Resp Integrat,CESP, Villejuif, France; [Humbert, Marc] Hop Bicetre, AP HP, Pneumol &amp; Soins Intensifs Resp, Le Kremlin Bicetre, France; [Humbert, Marc] Univ Paris Saclay, INSERM, UMR S 999, Le Kremlin Bicetre, France; [Simonds, Anita] Guys &amp; St Thomas NHS Fdn Trust, Royal Brompton &amp; Harefield Hosp, Sleep &amp; Ventilat Unit, Gothenburg, Sweden</t>
  </si>
  <si>
    <t>Assistance Publique Hopitaux Paris (APHP); Hopital Universitaire Avicenne - APHP; Institut National de la Sante et de la Recherche Medicale (Inserm); Assistance Publique Hopitaux Paris (APHP); Hopital Universitaire Pitie-Salpetriere - APHP; Sorbonne Universite; Hopital Universitaire Armand-Trousseau - APHP; Institut National de la Sante et de la Recherche Medicale (Inserm); Sorbonne Universite; University of Lausanne; Centre Hospitalier Universitaire Vaudois (CHUV); Umea University; Hasselt University; Hasselt University; Universidade de Coimbra; Erasmus University Rotterdam; Erasmus MC; Erasmus MC Transplant Institute; Sahlgrenska University Hospital; University of Gothenburg; University of Gothenburg; Fundacion Jimenez Diaz; Universite Paris Saclay; Institut National de la Sante et de la Recherche Medicale (Inserm); Assistance Publique Hopitaux Paris (APHP); Hopital Universitaire Bicetre - APHP; Universite Paris Saclay; Hopital Universitaire Antoine-Beclere - APHP; Institut National de la Sante et de la Recherche Medicale (Inserm); Universite Paris Saclay</t>
  </si>
  <si>
    <t>thomas.gille@aphp.fr</t>
  </si>
  <si>
    <t>Alfaro, Tiago/M-8364-2016; Patout, Maxime/HSI-4257-2023; Hellemons, Merel/AAO-1842-2020; Moor, Catharina C./ABD-6535-2021; Vanfleteren, Lowie/AFP-7937-2022; De Brandt, Jana/AAR-2166-2020; Cruz, Joana/K-7030-2013; Humbert, Marc/AAC-8459-2019</t>
  </si>
  <si>
    <t>Cruz, Joana/0000-0002-4911-4469; Humbert, Marc/0000-0003-0703-2892</t>
  </si>
  <si>
    <t>10.1183/13993003.congress-2023.PA495</t>
  </si>
  <si>
    <t>WOS:001109120501353</t>
  </si>
  <si>
    <t>Grynblat, J; Khouri, C; Chaumais, MC; Savale, L; Hlavaty, A; Jais, X; Kularatne, M; Simonneau, G; Sitbon, O; Perros, F; Humbert, M; Montani, D</t>
  </si>
  <si>
    <t>Grynblat, Julien; Khouri, Charles; Chaumais, Marie-Camille; Savale, Laurent; Hlavaty, Alex; Jais, Xavier; Kularatne, Mithum; Simonneau, Gerald; Sitbon, Olivier; Perros, Frederic; Humbert, Marc; Montani, David</t>
  </si>
  <si>
    <t>[Grynblat, Julien; Jais, Xavier; Kularatne, Mithum; Simonneau, Gerald; Sitbon, Olivier; Perros, Frederic; Humbert, Marc; Montani, David] INSERM UMR S 999, Le Plessis Robinson, France; [Khouri, Charles] Pharmacol Dept, Grenoble, France; [Chaumais, Marie-Camille; Savale, Laurent] INSER UMR S 999, Le Plessis Robinson, France; [Hlavaty, Alex] Pharmacol Dept, GrenobleLe Plessis Robin, France</t>
  </si>
  <si>
    <t>Universite Paris Saclay; Institut National de la Sante et de la Recherche Medicale (Inserm)</t>
  </si>
  <si>
    <t>gry.julien@gmail.com</t>
  </si>
  <si>
    <t>Hlavaty, Alex/KIB-2233-2024; KHOURI, CHARLES/J-1090-2019; Perros, Frédéric/N-6921-2017; GRYNBLAT, Julien/KXS-1813-2024; Savale, Laurent/AAJ-9781-2020; David, Montani/I-6885-2019; Humbert, Marc/AAC-8459-2019</t>
  </si>
  <si>
    <t>Humbert, Marc/0000-0003-0703-2892; GRYNBLAT, Julien/0000-0001-5593-3383</t>
  </si>
  <si>
    <t>OA3160</t>
  </si>
  <si>
    <t>10.1183/13993003.congress-2023.OA3160</t>
  </si>
  <si>
    <t>WOS:001109120500299</t>
  </si>
  <si>
    <t>Jackson, DJ; Heaney, LG; Humbert, M; Kent, BD; Hiljemark, L; Olinger, L; Cohen, D; Menzies-Gow, A; Korn, S</t>
  </si>
  <si>
    <t>Jackson, David J.; Heaney, Liam G.; Humbert, Marc; Kent, Brian D.; Hiljemark, Lina; Olinger, Lynda; Cohen, David; Menzies-Gow, Andrew; Korn, Stephanie</t>
  </si>
  <si>
    <t>Late Breaking Abstract - SHAMAL: reduction of maintenance inhaled corticosteroids in patients with severe eosinophilic asthma treated with benralizumab: a randomised phase 4 study</t>
  </si>
  <si>
    <t>Asthma - management; Severe asthma</t>
  </si>
  <si>
    <t>[Jackson, David J.] Kings Coll London, Sch Immunol &amp; Microbial Sci, London, England; [Heaney, Liam G.] Queens Univ Belfast, Wellcome Wolfoson Inst Expt Med, Belfast, Antrim, North Ireland; [Humbert, Marc] Univ Paris Saclay, Serv Pneumol, Hop Bicetre, Le Kremlin Bicetre, France; [Kent, Brian D.] St James Hosp, Dublin, Ireland; [Hiljemark, Lina] AstraZeneca, Evidence Delivery, Gothenburg, Sweden; [Olinger, Lynda] AstraZeneca, LateStage Dev Resp &amp; Immunol, Cambridge, England; [Olinger, Lynda] Cytel Inc, Waltham, MA USA; [Cohen, David] AstraZeneca, BioPharmaceut Med, Resp &amp; Immunol, Gaithersburg, MD USA; [Menzies-Gow, Andrew] AstraZeneca, BioPharmaceut Med, Resp &amp; Immunol, Cambridge, England; [Korn, Stephanie] Thoraxklin Heidelberg &amp; IKF Pneumol, Heidelberg, Germany; [Korn, Stephanie] Thoraxklin Heidelberg &amp; IKF Pneumol, Mainz, Germany</t>
  </si>
  <si>
    <t>University of London; King's College London; Queens University Belfast; Assistance Publique Hopitaux Paris (APHP); Hopital Universitaire Bicetre - APHP; Hopital Universitaire Antoine-Beclere - APHP; Universite Paris Saclay; Trinity College Dublin; AstraZeneca; AstraZeneca; Cytel; AstraZeneca; AstraZeneca</t>
  </si>
  <si>
    <t>RCT798</t>
  </si>
  <si>
    <t>10.1183/13993003.congress-2023.RCT798</t>
  </si>
  <si>
    <t>WOS:001109120509193</t>
  </si>
  <si>
    <t>Jevnikar, M; Kularatne, M; Brenot, P; Montani, D; Savale, L; Beurnier, A; Lacoste-Palasset, T; Solinas, S; Boucly, A; Bitton, K; Roche, A; Sitbon, O; Fadel, E; Humbert, M; Jais, X</t>
  </si>
  <si>
    <t>Jevnikar, Mitja; Kularatne, Mithum; Brenot, Philippe; Montani, David; Savale, Laurent; Beurnier, Antoine; Lacoste-Palasset, Thomas; Solinas, Sabina; Boucly, Athenais; Bitton, Karen; Roche, Anne; Sitbon, Olivier; Fadel, Elie; Humbert, Marc; Jais, Xavier</t>
  </si>
  <si>
    <t>Characteristics in patients with inoperable CTEPH and a good hemodynamic outcome post-BPA</t>
  </si>
  <si>
    <t>[Jevnikar, Mitja; Brenot, Philippe; Montani, David; Savale, Laurent; Beurnier, Antoine; Lacoste-Palasset, Thomas; Solinas, Sabina; Boucly, Athenais; Roche, Anne; Sitbon, Olivier; Humbert, Marc; Jais, Xavier] Univ Paris Saclay, Fac Med, Le Kremlin Bicetre, France; [Jevnikar, Mitja; Montani, David; Savale, Laurent; Beurnier, Antoine; Lacoste-Palasset, Thomas; Solinas, Sabina; Boucly, Athenais; Roche, Anne; Sitbon, Olivier; Humbert, Marc; Jais, Xavier] Hop Bicetre, AP HP, Serv Pneumol &amp; Soins Intensifs Resp, Le Kremlin Bicetre, France; [Jevnikar, Mitja; Brenot, Philippe; Montani, David; Savale, Laurent; Beurnier, Antoine; Lacoste-Palasset, Thomas; Solinas, Sabina; Boucly, Athenais; Roche, Anne; Sitbon, Olivier; Fadel, Elie; Humbert, Marc; Jais, Xavier] Hop Marie Lannelongue, INSERM UMR S999, Pulm Hypertens Pathophysiol &amp; Novel Therap, Le Plessis Robinson, France; [Kularatne, Mithum] Univ Calgary, Dept Med, Calgary, AB, Canada; [Brenot, Philippe] Hop Marie Lannelongue, Dept Radiol, Paris, France; [Bitton, Karen] Univ Paris Est Creteil, Paris, France; [Fadel, Elie] Hop Marie Lannelongue, Dept Thorac &amp; Vasc Surg &amp; HeartLung Transplantat, Paris, France</t>
  </si>
  <si>
    <t>Universite Paris Saclay; Assistance Publique Hopitaux Paris (APHP); Hopital Universitaire Bicetre - APHP; Universite Paris Saclay; Hopital Universitaire Antoine-Beclere - APHP; Institut National de la Sante et de la Recherche Medicale (Inserm); Hopital Marie Lannelongue; University of Calgary; Hopital Marie Lannelongue; Universite Paris-Est-Creteil-Val-de-Marne (UPEC); Hopital Marie Lannelongue</t>
  </si>
  <si>
    <t>mitja.jevnikar@gmail.com</t>
  </si>
  <si>
    <t>PA5180</t>
  </si>
  <si>
    <t>10.1183/13993003.congress-2023.PA5180</t>
  </si>
  <si>
    <t>WOS:001109120509001</t>
  </si>
  <si>
    <t>Lacoste-Palasset, T; Beurnier, A; Baron, A; Certain, MC; Jaïs, X; Roche, A; Montani, D; Humbert, M; Sitbon, O; Savale, L</t>
  </si>
  <si>
    <t>Lacoste-Palasset, Thomas; Beurnier, Antoine; Baron, Audrey; Certain, Marie-Caroline; Jais, Xavier; Roche, Anne; Montani, David; Humbert, Marc; Sitbon, Olivier; Savale, Laurent</t>
  </si>
  <si>
    <t>Impact of pulmonary arterial hypertension therapies on gas exchange in portopulmonary hypertension</t>
  </si>
  <si>
    <t>[Lacoste-Palasset, Thomas; Beurnier, Antoine; Baron, Audrey; Certain, Marie-Caroline; Jais, Xavier; Roche, Anne; Montani, David; Humbert, Marc; Sitbon, Olivier; Savale, Laurent] Univ Paris Saclay, Fac Med, Le Kremlin Bicetre, France; [Lacoste-Palasset, Thomas; Beurnier, Antoine; Baron, Audrey; Certain, Marie-Caroline; Jais, Xavier; Roche, Anne; Montani, David; Humbert, Marc; Sitbon, Olivier; Savale, Laurent] Hop Bicetre, Assistance Publ Hop Paris APHP, Serv Pneumol &amp; Soins Intensifs Resp, Le Kremlin Bicetre, France; [Lacoste-Palasset, Thomas; Beurnier, Antoine; Baron, Audrey; Certain, Marie-Caroline; Jais, Xavier; Roche, Anne; Montani, David; Humbert, Marc; Sitbon, Olivier; Savale, Laurent] Hop Marie Lannelongue, INSERM UMR S999 Pulm Hypertens Pathophysiol &amp; Nov, Le Plessis Robinson, France</t>
  </si>
  <si>
    <t>Universite Paris Saclay; Universite Paris Saclay; Assistance Publique Hopitaux Paris (APHP); Hopital Universitaire Bicetre - APHP; Hopital Universitaire Antoine-Beclere - APHP; Hopital Marie Lannelongue; Institut National de la Sante et de la Recherche Medicale (Inserm)</t>
  </si>
  <si>
    <t>thomas-lacoste@live.fr</t>
  </si>
  <si>
    <t>PA1766</t>
  </si>
  <si>
    <t>10.1183/13993003.congress-2023.PA1766</t>
  </si>
  <si>
    <t>WOS:001109120503252</t>
  </si>
  <si>
    <t>Mumby, S; Wort, S; Perros, F; Humbert, M; Caramori, G; Adcock, I</t>
  </si>
  <si>
    <t>Mumby, Sharon; Wort, Stephen; Perros, Fred; Humbert, Marc; Caramori, Gaetano; Adcock, Ian</t>
  </si>
  <si>
    <t>Differential responses of pulmonary vascular cells from PAH patients and controls to TNF α and the effect of the BET inhibitor JQ1.</t>
  </si>
  <si>
    <t>[Mumby, Sharon; Adcock, Ian] Imperial Coll, London, England; [Wort, Stephen] Royal Brompton Hosp, London, England; [Perros, Fred; Humbert, Marc] Univ Paris Sud, Paris, France; [Caramori, Gaetano] Univ Messina, Messina, Italy</t>
  </si>
  <si>
    <t>Imperial College London; Royal Brompton Hospital; Universite Paris Saclay; University of Messina</t>
  </si>
  <si>
    <t>s.mumby@imperial.ac.uk</t>
  </si>
  <si>
    <t>Caramori, Gaetano/AAS-8611-2020; Humbert, Marc/AAC-8459-2019</t>
  </si>
  <si>
    <t>Humbert, Marc/0000-0003-0703-2892; Adcock, Ian/0000-0003-2101-8843</t>
  </si>
  <si>
    <t>PA452</t>
  </si>
  <si>
    <t>10.1183/13993003.congress-2023.PA452</t>
  </si>
  <si>
    <t>WOS:001109120501311</t>
  </si>
  <si>
    <t>Preston, IR; Badesch, D; Ghofrani, HA; Gibbs, JSR; Gomberg-Maitland, M; Hoeper, MM; Humbert, M; Mclaughlin, VV; Waxman, AB; Manimaran, S; Mikhailova, E; Pena, JD; De Souza, R</t>
  </si>
  <si>
    <t>Preston, Ioana R.; Badesch, David; Ghofrani, Hossein-Ardeschir; Gibbs, J. Simon R.; Gomberg-Maitland, Mardi; Hoeper, Marius M.; Humbert, Marc; Mclaughlin, Vallerie V.; Waxman, Aaron B.; Manimaran, Solaiappan; Mikhailova, Elina; Pena, Janethe De Oliveira; De Souza, Rogerio</t>
  </si>
  <si>
    <t>Late Breaking Abstract - A long-term follow-up (LTFU) study of sotatercept for pulmonary arterial hypertension (PAH)</t>
  </si>
  <si>
    <t>[Preston, Ioana R.] Tufts Med Ctr, Boston, MA 02111 USA; [Badesch, David] Univ Colorado Hosp, Aurora, CO USA; [Ghofrani, Hossein-Ardeschir] Univ Giessen &amp; Marburg, Giessen, Germany; [Gibbs, J. Simon R.] Imperial Coll London, Natl Heart &amp; Lung Inst, London, England; [Gomberg-Maitland, Mardi] George Washington Univ, Washington, DC USA; [Hoeper, Marius M.] Hannover Med Sch, Hannover, Germany; [Humbert, Marc] Univ Paris Sud, AP HP, INSERM, U999, Le Kremlin Bicetre, France; [Mclaughlin, Vallerie V.] Univ Michigan, Ann Arbor, MI 48109 USA; [Waxman, Aaron B.] Brigham &amp; Womens Hosp, 75 Francis St, Boston, MA 02115 USA; [Manimaran, Solaiappan; Pena, Janethe De Oliveira] Merck &amp; Co Inc, Rahway, NJ 07065 USA; [Mikhailova, Elina] MSD UK Ltd, London, England; [De Souza, Rogerio] Univ Sao Paulo, Sao Paulo, Brazil</t>
  </si>
  <si>
    <t>Tufts Medical Center; University of Colorado System; University of Colorado Hospital; Imperial College London; George Washington University; Hannover Medical School; Universite Paris Saclay; Institut National de la Sante et de la Recherche Medicale (Inserm); Assistance Publique Hopitaux Paris (APHP); Hopital Universitaire Bicetre - APHP; University of Michigan System; University of Michigan; Harvard University; Harvard University Medical Affiliates; Brigham &amp; Women's Hospital; Merck &amp; Company; Merck &amp; Company USA; Universidade de Sao Paulo</t>
  </si>
  <si>
    <t>ioana.preston@tuftsmedicine.org</t>
  </si>
  <si>
    <t>Waxman, Aaron/I-8659-2019; Ghofrani, Ardeschir/AAD-5293-2020; Hoeper, Marius/Z-1546-2019; Humbert, Marc/AAC-8459-2019</t>
  </si>
  <si>
    <t>10.1183/13993003.congress2023.OA739</t>
  </si>
  <si>
    <t>WOS:001109120500002</t>
  </si>
  <si>
    <t>Pringuez, H; Baron, A; Roche, A; Jaïs, X; Boucly, A; Montani, D; Humbert, M; Sitbon, O; Savale, L</t>
  </si>
  <si>
    <t>Pringuez, Helene; Baron, Audrey; Roche, Anne; Jais, Xavier; Boucly, Athenais; Montani, David; Humbert, Marc; Sitbon, Olivier; Savale, Laurent</t>
  </si>
  <si>
    <t>Impact of the new definition of precapillary pulmonary hypertension on the prevalence of portopulmonary hypertension in patients referred for liver transplantation</t>
  </si>
  <si>
    <t>[Pringuez, Helene; Baron, Audrey; Roche, Anne; Jais, Xavier; Boucly, Athenais; Montani, David; Humbert, Marc; Sitbon, Olivier; Savale, Laurent] CHU Bicetre, Serv Pneumol, Le Kremlin Bicetre, France</t>
  </si>
  <si>
    <t>Assistance Publique Hopitaux Paris (APHP); Hopital Universitaire Bicetre - APHP</t>
  </si>
  <si>
    <t>helene.pringuez@aphp.fr</t>
  </si>
  <si>
    <t>David, Montani/I-6885-2019; Savale, Laurent/AAJ-9781-2020; Humbert, Marc/AAC-8459-2019</t>
  </si>
  <si>
    <t>PA1193</t>
  </si>
  <si>
    <t>10.1183/13993003.congress-2023.PA1193</t>
  </si>
  <si>
    <t>WOS:001109120502349</t>
  </si>
  <si>
    <t>Robert, F; Tu, L; Certain, MC; Thuillet, R; Ottaviani, M; Baron, A; Castan, A; Bailly, S; Humbert, M; Sitbon, O; Guignabert, C; Savale, L</t>
  </si>
  <si>
    <t>Robert, Fabien; Tu, Ly; Certain, Marie Caroline; Thuillet, Raphael; Ottaviani, Mina; Baron, Audrey; Castan, Agnes; Bailly, Sabine; Humbert, Marc; Sitbon, Olivier; Guignabert, Christophe; Savale, Laurent</t>
  </si>
  <si>
    <t>Role of Bone Morphogenetic Protein-9 in the development of Hepatopulmonary Syndrome</t>
  </si>
  <si>
    <t>[Robert, Fabien; Tu, Ly; Thuillet, Raphael; Ottaviani, Mina; Guignabert, Christophe] INSERM UMR S 999, Le Kremlin Bicetre, France; [Certain, Marie Caroline; Baron, Audrey; Humbert, Marc; Sitbon, Olivier; Savale, Laurent] CHU Bicetre, Serv Pneumol, INSERM UMR S999, Le Kremlin Bicetre, France; [Castan, Agnes; Bailly, Sabine] Univ Grenoble Alpes, INSERM, CEA, Lab BioSante, Grenoble, France</t>
  </si>
  <si>
    <t>Institut National de la Sante et de la Recherche Medicale (Inserm); Universite Paris Saclay; Universite Paris Saclay; Assistance Publique Hopitaux Paris (APHP); Hopital Universitaire Bicetre - APHP; Institut National de la Sante et de la Recherche Medicale (Inserm); CEA; Communaute Universite Grenoble Alpes; Universite Grenoble Alpes (UGA); Institut National de la Sante et de la Recherche Medicale (Inserm)</t>
  </si>
  <si>
    <t>fabien.robert.pharm@gmail.com</t>
  </si>
  <si>
    <t>TU, Ly/G-4035-2013; Savale, Laurent/AAJ-9781-2020; GUIGNABERT, Christophe/G-3873-2013; Humbert, Marc/AAC-8459-2019</t>
  </si>
  <si>
    <t>ROBERT, Fabien/0000-0003-3132-8706; Humbert, Marc/0000-0003-0703-2892</t>
  </si>
  <si>
    <t>PA443</t>
  </si>
  <si>
    <t>10.1183/13993003.congress-2023.PA443</t>
  </si>
  <si>
    <t>WOS:001109120501302</t>
  </si>
  <si>
    <t>Corren, J; Katelaris, CH; Castro, M; Maspero, JF; Humbert, M; Halpin, DMG; Altincatal, A; Pandit-Abid, N; Soler, X; Radwan, A; Jacob-Nara, JA; Deniz, Y; Rowe, PJ</t>
  </si>
  <si>
    <t>Corren, Jonathan; Katelaris, Constance H.; Castro, Mario; Maspero, Jorge F.; Humbert, Marc; Halpin, David M. G.; Altincatal, Arman; Pandit-Abid, Nami; Soler, Xavier; Radwan, Amr; Jacob-Nara, Juby A.; Deniz, Yamo; Rowe, Paul J.</t>
  </si>
  <si>
    <t>Impact of exacerbation history on long-term efficacy of dupilumab in patients with asthma</t>
  </si>
  <si>
    <t>HUMANIZATION; MODERATE</t>
  </si>
  <si>
    <t>Background The phase 3 QUEST (NCT02414854) and TRAVERSE (NCT02134028) studies demonstrated the efficacy of dupilumab 200/300 mg versus placebo every 2 weeks for 52 weeks (QUEST) and dupilumab 300 mg up to an additional 96 weeks (TRAVERSE) in patients &gt;= 12 years of age with uncontrolled, moderate-to-severe asthma. Overall, safety was consistent with the known dupilumab safety profile. This post hoc analysis assessed long-term dupilumab efficacy for up to 3 years by exacerbation history. Patients and methods Unadjusted annualised severe exacerbation rates (AER) and change from parent study baseline (PSBL) in pre-bronchodilator forced expiratory volume in 1 s (FEV1) and 5-item Asthma Control Questionnaire (ACQ-5) score were assessed in patients with PSBL eosinophils &gt;= 150 cells.mu L-1 or fractional exhaled nitric oxide &gt;= 20 ppb and 1 (n=624), 2 (n=344), or &gt;= 3 (n=311) exacerbations in the year before enrolment in QUEST. Results In all three groups, dupilumab treatment progressively reduced AER range to 0.17-0.30 during TRAVERSE (Weeks 48-96), increased pre-bronchodilator FEV1 range by 0.28-0.49 L by Week 96 and improved asthma control (reduced ACQ-5 score range by 1.51-2.03 by Week 48). For patients who first received dupilumab upon TRAVERSE enrolment, AER decreased, and lung function and asthma control improved rapidly, as was observed upon initiation of dupilumab in QUEST. Dupilumab was efficacious regardless of exacerbation history. Conclusion For patients with uncontrolled, moderate-to-severe asthma with elevation of at least one type 2 biomarker, dupilumab treatment provides sustained, long-term reduction of exacerbation rates and improvements in lung function and asthma control irrespective of exacerbation history.</t>
  </si>
  <si>
    <t>[Corren, Jonathan] Univ Calif Los Angeles, David Geffen Sch Med, Los Angeles, CA 90095 USA; [Katelaris, Constance H.] Campbelltown Hosp, Campbelltown, NSW, Australia; [Katelaris, Constance H.] Univ Western Sydney, Sydney, NSW, Australia; [Castro, Mario] Univ Kansas, Sch Med, Kansas City, KS USA; [Maspero, Jorge F.] Fdn CIDEA, Buenos Aires, DF, Argentina; [Humbert, Marc] Univ Paris Saclay, INSERM, Hop Bicetre, AP HP,Serv Pneumol &amp; Soins Intensifs Resp, Le Kremlin Bicetre, France; [Halpin, David M. G.] Univ Exeter, Coll Med &amp; Hlth, Sch Med, Exeter, Devon, England; [Altincatal, Arman] Sanofi, Cambridge, MA USA; [Pandit-Abid, Nami; Jacob-Nara, Juby A.; Rowe, Paul J.] Sanofi, Bridgewater, NJ USA; [Soler, Xavier; Radwan, Amr; Deniz, Yamo] Regeneron Pharmaceut Inc, Tarrytown, NY USA</t>
  </si>
  <si>
    <t>University of California System; University of California Los Angeles; University of California Los Angeles Medical Center; David Geffen School of Medicine at UCLA; NSW Health; Campbelltown Hospital; Western Sydney University; University of Kansas; University of Kansas Medical Center; Assistance Publique Hopitaux Paris (APHP); Hopital Universitaire Bicetre - APHP; Universite Paris Saclay; Institut National de la Sante et de la Recherche Medicale (Inserm); Hopital Universitaire Antoine-Beclere - APHP; University of Exeter; Sanofi-Aventis; Sanofi USA; Sanofi-Aventis; Sanofi USA; Regeneron</t>
  </si>
  <si>
    <t>Corren, J (corresponding author), Univ Calif Los Angeles, David Geffen Sch Med, Los Angeles, CA 90095 USA.</t>
  </si>
  <si>
    <t>jcorren@ucla.edu</t>
  </si>
  <si>
    <t>Castro, Mario/ABD-7776-2021; Radwan, Amr/MGV-8846-2025; Humbert, Marc/AAC-8459-2019</t>
  </si>
  <si>
    <t>Sanofi; Regeneron Pharmaceuticals Inc.</t>
  </si>
  <si>
    <t>Sanofi; Regeneron Pharmaceuticals Inc.(Regeneron)</t>
  </si>
  <si>
    <t>This research was sponsored by Sanofi and Regeneron Pharmaceuticals Inc. Medical writing and editorial assistance were provided by Jo Mooij of Excerpta Medica, and funded by Sanofi and Regeneron Pharmaceuticals Inc., according to the Good Publication Practice guideline. Funding information for this article has been deposited with the Crossref Funder Registry.</t>
  </si>
  <si>
    <t>10.1183/23120541.00037-2023</t>
  </si>
  <si>
    <t>U1YI3</t>
  </si>
  <si>
    <t>gold, Green Published</t>
  </si>
  <si>
    <t>WOS:001082824400001</t>
  </si>
  <si>
    <t>Montani, D; Thoré, P; Mignard, X; Jaïs, X; Boucly, A; Jevnikar, M; Seferian, A; Jutant, EM; Cottin, V; Fadel, E; Simonneau, G; Savale, L; Sitbon, O; Humbert, M</t>
  </si>
  <si>
    <t>Montani, David; Thore, Pierre; Mignard, Xavier; Jais, Xavier; Boucly, Athenais; Jevnikar, Mitja; Seferian, Andrei; Jutant, Etienne-Marie; Cottin, Vincent; Fadel, Elie; Simonneau, Gerald; Savale, Laurent; Sitbon, Olivier; Humbert, Marc</t>
  </si>
  <si>
    <t>Clinical Phenotype and Outcomes of Pulmonary Hypertension Associated with Myeloproliferative Neoplasms A Population-based Study</t>
  </si>
  <si>
    <t>myeloproliferative neoplasms; polycythemia vera; essential thrombocythemia; pulmonary hypertension; chronic thromboembolic pulmonary hypertension</t>
  </si>
  <si>
    <t>ARTERIAL-HYPERTENSION; EXTRAMEDULLARY HEMATOPOIESIS; ESSENTIAL THROMBOCYTHEMIA; VENOOCCLUSIVE DISEASE; RISK-FACTORS; DISORDERS; JAK2; INVOLVEMENT; THROMBOSIS; SECONDARY</t>
  </si>
  <si>
    <t>Rationale: Precapillary pulmonary hypertension (PH) is a rare and largely unrecognized complication of myeloproliferative neoplasms (MPNs), including polycythemia vera (PV), essential thrombocythemia (ET), and primary myelofibrosis (MF). Objectives: To describe characteristics and outcomes of MPN-associated PH. Methods: We report clinical, functional, and hemodynamic characteristics, classification, and outcomes of patients with PV, ET, or primary MF in the French PH registry. Measurements and Main Results: Ninety patients with MPN (42 PV, 35 ET, 13 primary MF) presented with precapillary PH with severe hemodynamic impairment, with a median mean pulmonary arterial pressure and pulmonary vascular resistance of 42 mm Hg and 6.7 Wood units, respectively, and impaired clinical conditions, with 71% in New York Heart Association functional classes III/IV and having a median 6-minute-walk distance of 310 m. Half of the patients were diagnosed with chronic thromboembolic PH (CTEPH); the other half were considered to have group 5 PH. MF was preferentially associated with group 5 PH, whereas PV and ET were generally related to CTEPH. Proximal lesions were diagnosed in half of the patients with CTEPH. Thromboendarterectomy was performed in 18 selected patients with high risk of complications (5 early deaths). Overall survival at 1, 3, and 5 years was 67%, 50%, and 34% in group 5 PH and 81%, 66%, and 42% in CTEPH, respectively. Conclusions: PH is a life-threatening condition potentially occurring in MPN. There are multiple mechanisms, with equal diagnoses of CTEPH and group 5 PH. Physicians should be aware that PH strongly affects the burden of patients with MPN, especially in group 5 PH, with unknown pathophysiological mechanisms.</t>
  </si>
  <si>
    <t>[Montani, David; Mignard, Xavier; Jais, Xavier; Boucly, Athenais; Jevnikar, Mitja; Seferian, Andrei; Simonneau, Gerald; Savale, Laurent; Sitbon, Olivier; Humbert, Marc] Univ Paris Saclay, Sch Med, Le Kremlin Bicetre, France; [Montani, David; Mignard, Xavier; Jais, Xavier; Boucly, Athenais; Jevnikar, Mitja; Seferian, Andrei; Simonneau, Gerald; Savale, Laurent; Sitbon, Olivier; Humbert, Marc] Hop Bicetre, Assistance Publ Hop Paris, Pulm Hypertens Natl Referral Ctr, Dept Resp &amp; Intens Care Med, Le Kremlin Bicetre, France; [Montani, David; Mignard, Xavier; Jais, Xavier; Boucly, Athenais; Jevnikar, Mitja; Seferian, Andrei; Fadel, Elie; Simonneau, Gerald; Savale, Laurent; Sitbon, Olivier; Humbert, Marc] Hop Marie Lannelongue, Unite Mixte Rech 999 Pulm Hypertens Pathophysiol, Inst Natl Sant &amp; Rech Med, Le Plessis Robinson, France; [Fadel, Elie] Hop Marie Lannelongue, Dept Thorac Surg, Le Plessis Robinson, France; [Thore, Pierre] Hop St Louis, Assistance Publ Hop Paris, Dept Resp Med, Histiocytosis Natl Referral Ctr, Paris, France; [Thore, Pierre] Univ Paris Cite, Sch Med, Paris, France; [Jutant, Etienne-Marie] Univ Hosp Poitiers, Univ Poitiers, Inst Natl Sant &amp; Rech Med, Dept Pneumol,Ctr Investigat Clin 1402, Poitiers, France; [Cottin, Vincent] Ctr Hosp Univ Lyon, Hop Louis Pradel, Ctr Reference Malad Pulm Rares, Serv Pneumol,Groupement Hosp Est,Hosp Civils Lyon, Bron, France</t>
  </si>
  <si>
    <t>Universite Paris Saclay; Assistance Publique Hopitaux Paris (APHP); Universite Paris Cite; Hopital Universitaire Saint-Louis - APHP; Universite Paris Saclay; Hopital Universitaire Bicetre - APHP; Hopital Universitaire Antoine-Beclere - APHP; Hopital Marie Lannelongue; Institut National de la Sante et de la Recherche Medicale (Inserm); Hopital Marie Lannelongue; Universite Paris Cite; Assistance Publique Hopitaux Paris (APHP); Hopital Universitaire Saint-Louis - APHP; Universite Paris Cite; Universite de Poitiers; Institut National de la Sante et de la Recherche Medicale (Inserm); CHU Poitiers; CHU Lyon; Universite Claude Bernard Lyon 1</t>
  </si>
  <si>
    <t>Montani, D (corresponding author), Hop Bicetre, Serv Pneumol &amp; Soins Intensifs Resp, 78,Rue g eral Leclerc, F-94270 Le Kremlin Bicetre, France.</t>
  </si>
  <si>
    <t>Savale, Laurent/AAJ-9781-2020; Thoré, Pierre/HKE-8857-2023; David, Montani/I-6885-2019; Humbert, Marc/AAC-8459-2019</t>
  </si>
  <si>
    <t>JAIS, XAVIER/0000-0002-4104-7994; Fadel, Elie/0000-0002-9290-4589; Thore, Pierre/0000-0001-7378-2419; Jutant, Etienne-Marie/0000-0002-1374-1890; Cottin, Vincent/0000-0002-5591-0955; Jevnikar, Mitja/0000-0003-0727-6790; Montani, David/0000-0002-9358-6922</t>
  </si>
  <si>
    <t>10.1164/rccm.202210-1941OC</t>
  </si>
  <si>
    <t>R4OP7</t>
  </si>
  <si>
    <t>WOS:001064158700016</t>
  </si>
  <si>
    <t>Souza, R; Badesch, DB; Ghofrani, HA; Gibbs, JSR; Gomberg-Maitland, M; Mclaughlin, VV; Preston, IR; Waxman, AB; Gruenig, E; Kope, G; Meyer, G; Olsson, KM; Rosenkranz, S; Lin, JX; Johnson-Levonas, AO; Pena, JD; Humbert, M; Hoeper, MM</t>
  </si>
  <si>
    <t>Souza, Rogerio; Badesch, David B.; Ghofrani, H. Ardeschir; Gibbs, J. Simon R.; Gomberg-Maitland, Mardi; Mclaughlin, Vallerie V.; Preston, Ioana R.; Waxman, Aaron B.; Gruenig, Ekkehard; Kope, Grzegorz; Meyer, Gisela; Olsson, Karen M.; Rosenkranz, Stephan; Lin, Jianxin; Johnson-Levonas, Amy O.; Pena, Janethe de Oliveira; Humbert, Marc; Hoeper, Marius M.</t>
  </si>
  <si>
    <t>Effects of sotatercept on haemodynamics and right heart function: analysis of the STELLAR trial</t>
  </si>
  <si>
    <t>PULMONARY; SILDENAFIL</t>
  </si>
  <si>
    <t>Background In the phase 3 STELLAR trial, sotatercept, an investigational first-in-class activin signalling inhibitor, demonstrated beneficial effects on 6-min walk distance and additional efficacy endpoints in pretreated participants with pulmonary arterial hypertension (PAH).Methods This post hoc analysis evaluated data from right heart catheterisation (RHC) and echocardiography (ECHO) obtained from the STELLAR trial. Changes from baseline in RHC and ECHO parameters were assessed at 24 weeks. An analysis of covariance (ANCOVA) model was used to estimate differences in least squares means with treatment and randomisation stratification (mono/double versus triple therapy; World Health Organization functional class II versus III) as fixed factors, and baseline value as covariate.Results Relative to placebo, treatment with sotatercept led to significant (all p&lt;0.0001 except where noted) improvements from baseline in mean pulmonary artery (PA) pressure (-13.9 mmHg), pulmonary vascular resistance (-254.8 dynscm(-5)), mean right atrial pressure (-2.7 mmHg), mixed venous oxygen saturation (3.84%), PA elastance (-0.42 mmHgmL(-1)beat(-1)), PA compliance (0.58 mLmmHg(-1)), cardiac efficiency (0.48 mLbeat(-1)mmHg(-1)), right ventricular (RV) work (-0.85 gm) and RV power (-32.70 mmHgLmin(-1)). ECHO showed improvements in tricuspid annular plane systolic excursion (TAPSE) to systolic pulmonary artery pressure ratio (0.12 mmmmHg(-1)), end-systolic and end-diastolic RV areas (-4.39 cm(2) and -5.31 cm(2), respectively), tricuspid regurgitation and RV fractional area change (2.04% p&lt;0.050). No significant between-group changes from baseline were seen for TAPSE, heart rate, cardiac output, stroke volume or their indices.Conclusion In pre-treated patients with PAH, sotatercept demonstrated substantial improvements in PA pressures, PA compliance, PA-RV coupling and right heart function.</t>
  </si>
  <si>
    <t>[Souza, Rogerio] Univ Sao Paulo, Inst Coracao, Hosp Clin, Fac Med, Sao Paulo, Brazil; [Badesch, David B.] Univ Colorado, Anschutz Med Campus, Aurora, CO USA; [Ghofrani, H. Ardeschir] Univ Giessen, Justus Liebig Univ Giessen, Dept Internal Med, Giessen, Germany; [Ghofrani, H. Ardeschir] Marburg Lung Ctr UGMLC, Member German Ctr Lung Res DZL, Giessen, Germany; [Gibbs, J. Simon R.] Imperial Coll London, Natl Heart &amp; Lung Inst, London, England; [Gomberg-Maitland, Mardi] George Washington Univ, Washington, DC USA; [Mclaughlin, Vallerie V.] Univ Michigan, Ann Arbor, MI USA; [Preston, Ioana R.] Tufts Med Ctr, Boston, MA USA; [Waxman, Aaron B.] Brigham &amp; Womans Hosp, Boston, MA USA; [Gruenig, Ekkehard] Thoraxklin Heidelberg &amp; German Ctr Lung Res, Heidelberg, Germany; [Kope, Grzegorz] Jagiellonian Univ, John Paul Hosp 2, Pulm Circulat Ctr, Med Coll,Dept Cardiac &amp; Vasc Dis, Krakow, Poland; [Meyer, Gisela] Irmandade St Casa Misericordia Porto Alegre, Porto Alegre, Brazil; [Olsson, Karen M.; Hoeper, Marius M.] Hannover Med Sch, Hannover, Germany; [Olsson, Karen M.; Hoeper, Marius M.] German Ctr Lung Res, Hannover, Germany; [Rosenkranz, Stephan] Univ Hosp Cologne, Dept Cardiol, Cologne, Germany; [Rosenkranz, Stephan] Univ Hosp Cologne, Cologne Cardiovasc Res Ctr CCRC, Heart Ctr, Cologne, Germany; [Lin, Jianxin; Johnson-Levonas, Amy O.; Pena, Janethe de Oliveira] Merck Co Inc, Rahway, NJ USA; [Humbert, Marc] Hop Univ Paris Saclay, Hop Bicetre, Assistance Publ Hop Paris, Ctr Rech Clin,INSERM,Unite Mixte Recherche Sante, Le Kremlin Bicetre, France</t>
  </si>
  <si>
    <t>Universidade de Sao Paulo; University of Colorado System; University of Colorado Anschutz Medical Campus; Justus Liebig University Giessen; Imperial College London; George Washington University; University of Michigan System; University of Michigan; Tufts Medical Center; Harvard University; Harvard University Medical Affiliates; Brigham &amp; Women's Hospital; Jagiellonian University; Collegium Medicum Jagiellonian University; Hannover Medical School; University of Cologne; University of Cologne; Merck &amp; Company; Merck &amp; Company USA; Assistance Publique Hopitaux Paris (APHP); Universite Paris Cite; Hopital Universitaire Saint-Louis - APHP; Institut National de la Sante et de la Recherche Medicale (Inserm); Hopital Universitaire Antoine-Beclere - APHP; Universite Paris Saclay; Hopital Universitaire Bicetre - APHP</t>
  </si>
  <si>
    <t>Hoeper, MM (corresponding author), Hannover Med Sch, Hannover, Germany.;Hoeper, MM (corresponding author), German Ctr Lung Res, Hannover, Germany.</t>
  </si>
  <si>
    <t>hoeper.marius@mh-hannover.de</t>
  </si>
  <si>
    <t>Waxman, Aaron/I-8659-2019; Ghofrani, Hossein/LPQ-1427-2024; Humbert, Marc/AAC-8459-2019; Hoeper, Marius/Z-1546-2019; Souza, Rogerio/I-3584-2013</t>
  </si>
  <si>
    <t>Ghofrani, Ardeschir/0000-0002-2029-4419; Waxman, Aaron/0000-0001-7797-0361; Souza, Rogerio/0000-0003-2789-9143</t>
  </si>
  <si>
    <t>Acceleron Pharma Inc.; Merck &amp; Co., Inc., Rahway, NJ, USA</t>
  </si>
  <si>
    <t>Acceleron Pharma Inc.; Merck &amp; Co., Inc., Rahway, NJ, USA(Merck &amp; Company)</t>
  </si>
  <si>
    <t>This study was funded by Acceleron Pharma Inc., a wholly owned subsidiary of Merck &amp; Co., Inc., Rahway, NJ, USA. Funding information for this article has been deposited with the Crossref Funder Registry.</t>
  </si>
  <si>
    <t>10.1183/13993003.01107-2023</t>
  </si>
  <si>
    <t>U2FK0</t>
  </si>
  <si>
    <t>WOS:001083011900010</t>
  </si>
  <si>
    <t>Boucly, A; Gerges, C; Savale, L; Jais, X; Jevnikar, M; Montani, D; Sitbon, O; Humbert, M</t>
  </si>
  <si>
    <t>Boucly, Athenais; Gerges, Christian; Savale, Laurent; Jais, Xavier; Jevnikar, Mitja; Montani, David; Sitbon, Olivier; Humbert, Marc</t>
  </si>
  <si>
    <t>Pulmonary arterial hypertension</t>
  </si>
  <si>
    <t>Hypertension pulmonary; Pulmonary arterial hypertension; Pulmonary circulation; Therapy; Diagnosis; Pathophysiology</t>
  </si>
  <si>
    <t>ENDOTHELIN-RECEPTOR ANTAGONIST; CALCIUM-CHANNEL BLOCKERS; QUALITY-OF-LIFE; CONTINUOUS INTRAVENOUS EPOPROSTENOL; CARDIAC CHAMBER QUANTIFICATION; GROWTH-FACTOR EXPRESSION; 5 INHIBITOR THERAPY; LONG-TERM RESPONSE; EUROPEAN ASSOCIATION; DOUBLE-BLIND</t>
  </si>
  <si>
    <t>Pulmonary arterial hypertension (PAH) is a rare and progressive disease characterised by remodelling of the pulmonary arteries and progressive narrowing of the pulmonary vasculature. This leads to a progressive increase in pulmonary vascular resistance and pulmonary arterial pressure and, if left untreated, to right ventricular failure and death. A correct diagnosis requires a complete work-up including right heart catheterisation performed in a specialised centre. Although our knowledge of the epidemiology, pathology and pathophysiology of the disease, as well as the development of innovative therapies, has progressed in recent decades, PAH remains a serious clinical condition. Current treatments for the disease target the three specific pathways of endothelial dysfunction that characterise PAH: the endothelin, nitric oxide and prostacyclin pathways. The current treatment algorithm is based on the assessment of severity using a multiparametric risk stratifi-cation approach at the time of diagnosis (baseline) and at regular follow-up visits. It recommends the initiation of combination therapy in PAH patients without cardiopulmonary comorbidities. The choice of therapy (dual or triple) depends on the initial severity of the condition. The main treatment goal is to achieve low risk status. Further escalation of treatment is required if low-risk status is not achieved at subsequent followup assessments. In the most severe patients, who are already on maximal medical therapy, lung transplantation may be indicated. Recent advances in understanding the pathophysiology of the disease have led to the development of promising emerging therapies targeting dysfunctional pathways beyond endothelial dysfunction, including the TGF-b and PDGF pathways. &amp; COPY; 2023 Elsevier Masson SAS. All rights reserved.</t>
  </si>
  <si>
    <t>[Boucly, Athenais; Savale, Laurent; Jais, Xavier; Jevnikar, Mitja; Montani, David; Sitbon, Olivier; Humbert, Marc] Univ Paris Saclay, Fac Med, Le Kremlin Bicetre, France; [Boucly, Athenais; Savale, Laurent; Jais, Xavier; Jevnikar, Mitja; Montani, David; Sitbon, Olivier; Humbert, Marc] Hop Bicetre, AP HP, Serv Pneumol &amp; Soins Intens Resp, Le Kremlin Bicetre, France; [Boucly, Athenais; Savale, Laurent; Jais, Xavier; Jevnikar, Mitja; Montani, David; Sitbon, Olivier; Humbert, Marc] INSERM, UMRS 999, Le Kremlin Bicetre, France; [Boucly, Athenais] Imperial Coll London, Natl Heart &amp; Lung Inst, London, England; [Gerges, Christian] Med Univ Vienna, Dept Internal Med 2, Div Cardiol, Vienna, Austria; [Boucly, Athenais] Hop Bicetre, Serv Pneumol, 78 Rue Gen Leclerc, F-94275 Le Kremlin Bicetre, France</t>
  </si>
  <si>
    <t>Universite Paris Saclay; Assistance Publique Hopitaux Paris (APHP); Hopital Universitaire Antoine-Beclere - APHP; Hopital Universitaire Bicetre - APHP; Universite Paris Saclay; Institut National de la Sante et de la Recherche Medicale (Inserm); Imperial College London; Medical University of Vienna; Universite Paris Saclay; Assistance Publique Hopitaux Paris (APHP); Hopital Universitaire Antoine-Beclere - APHP; Hopital Universitaire Bicetre - APHP</t>
  </si>
  <si>
    <t>Boucly, A (corresponding author), Hop Bicetre, Serv Pneumol, 78 Rue Gen Leclerc, F-94275 Le Kremlin Bicetre, France.</t>
  </si>
  <si>
    <t>Sitbon, Olivier/I-3623-2019; Gerges, Christian/K-7362-2013; Savale, Laurent/AAJ-9781-2020; David, Montani/I-6885-2019; Humbert, Marc/AAC-8459-2019</t>
  </si>
  <si>
    <t>Jevnikar, Mitja/0000-0003-0727-6790; SITBON, Olivier/0000-0002-1942-1951</t>
  </si>
  <si>
    <t>10.1016/j.lpm.2023.104168</t>
  </si>
  <si>
    <t>AUG 2023</t>
  </si>
  <si>
    <t>S8MJ2</t>
  </si>
  <si>
    <t>WOS:001073651500001</t>
  </si>
  <si>
    <t>Humbert, M; Sitbon, O; Guignabert, C; Savale, L; Boucly, A; Gallant-Dewavrin, M; Mclaughlin, V; Hoeper, MM; Weatherald, J</t>
  </si>
  <si>
    <t>Humbert, Marc; Sitbon, Olivier; Guignabert, Christophe; Savale, Laurent; Boucly, Athenais; Gallant-Dewavrin, Melanie; Mclaughlin, Vallerie; Hoeper, Marius M.; Weatherald, Jason</t>
  </si>
  <si>
    <t>Treatment of pulmonary arterial hypertension: recent progress and a look to the future</t>
  </si>
  <si>
    <t>BALLOON ATRIAL SEPTOSTOMY; CALCIUM-CHANNEL BLOCKERS; LONG-TERM SURVIVAL; DOUBLE-BLIND; PROGNOSTIC VALUE; IMMUNOSUPPRESSIVE THERAPY; PROSTACYCLIN ANALOG; FLUID CHALLENGE; HEART-FAILURE; POTTS SHUNT</t>
  </si>
  <si>
    <t>Pulmonary arterial hypertension (PAH) is a severe but treatable form of pre-capillary pulmonary hypertension caused by pulmonary vascular remodelling. As a result of basic science discoveries, randomised controlled trials, studies of real-world data, and the development of clinical practice guidelines, considerable progress has been made in the treatment options and outcomes for patients with PAH, underscoring the importance of seamless translation of information from bench to bedside and, ultimately, to patients. However, PAH still carries a high mortality rate, which emphasises the urgent need for transformative innovations in the field. In this Series paper, written by a group of clinicians, researchers, and a patient with PAH, we review therapeutic approaches and treatment options for PAH. We summarise current knowledge of the cellular and molecular mechanisms of PAH, with an emphasis on emerging treatable pathways and optimisation of current management strategies. In considering future directions for the field, our ambition is to identify therapies with the potential to stall or reverse pulmonary vascular remodelling. We highlight novel therapeutic approaches, the important role of patients as partners in research, and innovative approaches to PAH clinical trials.</t>
  </si>
  <si>
    <t>[Humbert, Marc; Sitbon, Olivier; Guignabert, Christophe; Savale, Laurent] Univ Paris Saclay, Fac Med, Pulm Hypertens Pathophysiol &amp; Novel Therapies, INSERM UMRS 999, F-94270 Le Kremlin Bicetre, France; [Humbert, Marc; Sitbon, Olivier; Guignabert, Christophe; Savale, Laurent; Boucly, Athenais] Hop Marie Lannelongue, Pulm Hypertens Pathophysiol &amp; Novel Therapies, INSERM UMRS 999, Le Plessis Robinson, France; [Humbert, Marc; Sitbon, Olivier; Guignabert, Christophe; Savale, Laurent; Boucly, Athenais] Hop Bicetre, AP HP, ERN LUNG, Dept Resp &amp; Intens Care Med, Le Kremlin Bicetre, France; [Gallant-Dewavrin, Melanie] HTaPFrance patient Assoc, Meursault, France; [Mclaughlin, Vallerie] Univ Michigan, Frankel Cardiovasc Ctr, Div Cardiovasc Med, Med Sch,Dept Internal Med, Ann Arbor, MI 48109 USA; [Hoeper, Marius M.] Hannover Med Sch, Dept Resp Med &amp; Infect Dis, Hannover, Germany; [Hoeper, Marius M.] German Ctr Lung Res DZL, Biomed Res Endstage &amp; Obstruct Lung Dis Hanover B, Hannover, Germany; [Weatherald, Jason] Univ Alberta, Div Pulm Med, Dept Med, Edmonton, AB, Canada; [Humbert, Marc] Hop Bicetre, AP HP, Dept Resp &amp; Intens Care Med, ERN LUNG, F-94270 Le Kremlin Bicetre, France</t>
  </si>
  <si>
    <t>Institut National de la Sante et de la Recherche Medicale (Inserm); Universite Paris Saclay; Hopital Marie Lannelongue; Institut National de la Sante et de la Recherche Medicale (Inserm); Universite Paris Saclay; Assistance Publique Hopitaux Paris (APHP); Hopital Universitaire Bicetre - APHP; Hopital Universitaire Antoine-Beclere - APHP; University of Michigan System; University of Michigan; Hannover Medical School; University of Alberta; Assistance Publique Hopitaux Paris (APHP); Hopital Universitaire Bicetre - APHP; Hopital Universitaire Antoine-Beclere - APHP; Universite Paris Saclay</t>
  </si>
  <si>
    <t>Humbert, M (corresponding author), Hop Bicetre, AP HP, Dept Resp &amp; Intens Care Med, ERN LUNG, F-94270 Le Kremlin Bicetre, France.</t>
  </si>
  <si>
    <t>Hoeper, Marius/Z-1546-2019; Humbert, Marc/AAC-8459-2019; Savale, Laurent/AAJ-9781-2020; GUIGNABERT, Christophe/G-3873-2013</t>
  </si>
  <si>
    <t>10.1016/S2213-2600(23)00264-3</t>
  </si>
  <si>
    <t>S2CV3</t>
  </si>
  <si>
    <t>WOS:001069309100001</t>
  </si>
  <si>
    <t>Solinas, S; Boucly, A; Beurnier, A; Kularatne, M; Grynblat, J; Eyries, M; Dorfmüller, P; Sitbon, O; Humbert, M; Montani, D</t>
  </si>
  <si>
    <t>Solinas, Sabina; Boucly, Athenais; Beurnier, Antoine; Kularatne, Mithum; Grynblat, Julien; Eyries, Melanie; Dorfmueller, Peter; Sitbon, Olivier; Humbert, Marc; Montani, David</t>
  </si>
  <si>
    <t>Diagnosis and management of pulmonary veno-occlusive disease</t>
  </si>
  <si>
    <t>EXPERT REVIEW OF RESPIRATORY MEDICINE</t>
  </si>
  <si>
    <t>Review; Early Access</t>
  </si>
  <si>
    <t>Pulmonary veno-occlusive disease; pulmonary hypertension; EIF2AK4; chemotherapy; solvents; pulmonary edema; transplantation</t>
  </si>
  <si>
    <t>STEM-CELL TRANSPLANTATION; BONE-MARROW-TRANSPLANTATION; CALCIUM-CHANNEL BLOCKERS; LONG-TERM RESPONSE; ARTERIAL-HYPERTENSION; CAPILLARY HEMANGIOMATOSIS; IMMUNOSUPPRESSIVE THERAPY; ENDOTHELIAL DYSFUNCTION; SYSTEMIC-SCLEROSIS; RISK-FACTOR</t>
  </si>
  <si>
    <t>IntroductionPulmonary veno-occlusive disease (PVOD) is an orphan disease and uncommon etiology of pulmonary arterial hypertension (PAH) characterized by substantial small pulmonary vein and capillary involvement.Areas coveredPVOD, also known as 'PAH with features of venous/capillary involvement' in the current ESC/ERS classification.Expert opinionIn recent years, particular risk factors for PVOD have been recognized, including genetic susceptibilities and environmental factors (such as exposure to occupational organic solvents, chemotherapy, and potentially tobacco). The discovery of biallelic mutations in the EIF2AK4 gene as the cause of heritable PVOD has been a breakthrough in understanding the molecular basis of PVOD. Venous and capillary involvement (PVOD-like) has also been reported to be relatively common in connective tissue disease-associated PAH (especially systemic sclerosis), and in rare pulmonary diseases like sarcoidosis and pulmonary Langerhans cell granulomatosis. Although PVOD and pulmonary arterial hypertension (PAH) exhibit similarities, including severe precapillary PH, it is essential to differentiate between them since PVOD has a worse prognosis and requires specific management. Indeed, PVOD patients are characterized by poor response to PAH-approved drugs, which can lead to pulmonary edema and clinical deterioration. Due to the lack of effective treatments, early referral to a lung transplantation center is crucial.</t>
  </si>
  <si>
    <t>[Solinas, Sabina; Boucly, Athenais; Beurnier, Antoine; Grynblat, Julien; Sitbon, Olivier; Humbert, Marc; Montani, David] Univ Paris Saclay, Sch Med, Paris, France; [Solinas, Sabina; Boucly, Athenais; Sitbon, Olivier; Humbert, Marc; Montani, David] Hop Bicetre, AP HP, Serv Pneumol &amp; Soins Intens Respiratoires, Paris, France; [Solinas, Sabina; Boucly, Athenais; Beurnier, Antoine; Grynblat, Julien; Sitbon, Olivier; Humbert, Marc; Montani, David] Hop Marie Lannelongue, INSERM UMRS 999, Le Plessis Robinson, France; [Beurnier, Antoine] Hop Bicetre, Assistance Publ Hop Paris AP HP, Pulm Hypertens Natl Referral Ctr, Dept Resp &amp; Intens Care Med,ERN LUNG, Le Kremlin Bicetre, France; [Kularatne, Mithum] Univ Calgary, Dept Med, Div Resp Med, Calgary, AB, Canada; [Eyries, Melanie] Sorbonne Univ, Hop Pitie Salpetriere, Assistance Publ Hop Paris, Dept Genet, Paris, France; [Eyries, Melanie] Sorbonne Univ, INSERM UMRS 1166, ICAN Inst Cardiometab &amp; Nutr, Paris, France; [Dorfmueller, Peter] Univ Giessen, Dept Pathol, Giessen, Germany; [Dorfmueller, Peter] Justus Liebig Univ Giessen, Marburg Lung Ctr, Giessen, Germany; [Montani, David] Hop Bicetre, Serv Pneumol &amp; Soins Intens Respiratoires, 78 Rue Gen Leclerc, F-94270 Le Kremlin Bicetre, France</t>
  </si>
  <si>
    <t>Universite Paris Saclay; Universite Paris Saclay; Assistance Publique Hopitaux Paris (APHP); Hopital Universitaire Bicetre - APHP; Institut National de la Sante et de la Recherche Medicale (Inserm); Hopital Marie Lannelongue; Assistance Publique Hopitaux Paris (APHP); Hopital Universitaire Bicetre - APHP; Hopital Universitaire Antoine-Beclere - APHP; Universite Paris Saclay; University of Calgary; Sorbonne Universite; Assistance Publique Hopitaux Paris (APHP); Universite Paris Cite; Hopital Universitaire Saint-Louis - APHP; Hopital Universitaire Pitie-Salpetriere - APHP; Sorbonne Universite; Institut National de la Sante et de la Recherche Medicale (Inserm); Justus Liebig University Giessen; Justus Liebig University Giessen; Universite Paris Saclay; Assistance Publique Hopitaux Paris (APHP); Hopital Universitaire Antoine-Beclere - APHP; Hopital Universitaire Bicetre - APHP</t>
  </si>
  <si>
    <t>Montani, D (corresponding author), Hop Bicetre, Serv Pneumol &amp; Soins Intens Respiratoires, 78 Rue Gen Leclerc, F-94270 Le Kremlin Bicetre, France.</t>
  </si>
  <si>
    <t>David, Montani/I-6885-2019; GRYNBLAT, Julien/KXS-1813-2024; Sitbon, Olivier/I-3623-2019; Humbert, Marc/AAC-8459-2019</t>
  </si>
  <si>
    <t>Humbert, Marc/0000-0003-0703-2892; Kularatne, Mithum/0000-0001-8310-0813; SITBON, Olivier/0000-0002-1942-1951; GRYNBLAT, Julien/0000-0001-5593-3383; Montani, David/0000-0002-9358-6922</t>
  </si>
  <si>
    <t>1747-6348</t>
  </si>
  <si>
    <t>1747-6356</t>
  </si>
  <si>
    <t>EXPERT REV RESP MED</t>
  </si>
  <si>
    <t>Expert Rev. Respir. Med.</t>
  </si>
  <si>
    <t>2023 AUG 20</t>
  </si>
  <si>
    <t>10.1080/17476348.2023.2247989</t>
  </si>
  <si>
    <t>IT4A2</t>
  </si>
  <si>
    <t>WOS:001168559200001</t>
  </si>
  <si>
    <t>Lechartier, B; Kularatne, M; Jaïs, X; Humbert, M; Montani, D</t>
  </si>
  <si>
    <t>Lechartier, Benoit; Kularatne, Mithum; Jais, Xavier; Humbert, Marc; Montani, David</t>
  </si>
  <si>
    <t>Updated Hemodynamic Definition and Classification of Pulmonary Hypertension</t>
  </si>
  <si>
    <t>pulmonary hypertension; definition; classification</t>
  </si>
  <si>
    <t>CLINICAL-OUTCOMES; ARTERIAL-PRESSURE; EXERCISE; SURVIVAL; RESISTANCES; PHENOTYPES; DIAGNOSIS; IMPACT; RISK</t>
  </si>
  <si>
    <t>Pulmonary hypertension (PH) is a pathophysiological manifestation of a heterogeneous group of diseases characterized by abnormally elevated pulmonary arterial pressures diagnosed on right heart catheterization. The 2022 European Society of Cardiology (ESC) and European Respiratory Society (ERS) Guidelines for the diagnosis and treatment of PH provides a new hemodynamic definition to define PH by lowering the threshold of the mean pulmonary artery pressure (mPAP) to 20 mm Hg. Precapillary PH is thus now defined as a mPAP &gt;20 mm Hg together with a normal pulmonary artery wedge pressure (&lt;15 mm Hg) and an increased pulmonary vascular resistance (&gt;2 Wood Units). The ESC/ERS 2022 Guidelines also introduce a revised clinical classification of PH while retaining its previous distinction between the five groups according to the underlying pathophysiology.</t>
  </si>
  <si>
    <t>[Lechartier, Benoit; Kularatne, Mithum; Jais, Xavier; Humbert, Marc; Montani, David] Hop Bicetre, Assistance Publ Hop Paris AP HP, Pulm Hypertens Natl Referral Ctr, Dept Resp &amp; Intens Care Med, Le Kremlin Bicetre, France; [Lechartier, Benoit; Kularatne, Mithum; Jais, Xavier; Humbert, Marc; Montani, David] Univ Paris Saclay, Sch Med, Le Kremlin Bicetre, France; [Lechartier, Benoit; Kularatne, Mithum; Jais, Xavier; Humbert, Marc; Montani, David] Hop Marie Lannelongue, Pulm Hypertens Pathophysiol &amp; Novel Therapies, UMR S 999, INSERM, Le Plessis Robinson, France; [Lechartier, Benoit] Lausanne Univ Hosp CHUV, Resp Div, Lausanne, Switzerland; [Kularatne, Mithum] Univ Calgary, Dept Med, Div Resp Med, Calgary, AB, Canada; [Jais, Xavier; Humbert, Marc; Montani, David] European Reference Network Rare Pulm Dis ERN LUNG, Frankfurt, Germany</t>
  </si>
  <si>
    <t>Assistance Publique Hopitaux Paris (APHP); Hopital Universitaire Bicetre - APHP; Hopital Universitaire Antoine-Beclere - APHP; Universite Paris Saclay; Universite Paris Saclay; Hopital Marie Lannelongue; Universite Paris Saclay; Institut National de la Sante et de la Recherche Medicale (Inserm); University of Lausanne; Centre Hospitalier Universitaire Vaudois (CHUV); University of Calgary</t>
  </si>
  <si>
    <t>Montani, D (corresponding author), Hop Bicetre, Serv Pneumol, 78 Rue Gen Leclerc, F-94270 Le Kremlin Bicetre, France.</t>
  </si>
  <si>
    <t>2023 AUG 18</t>
  </si>
  <si>
    <t>10.1055/s-0043-1770115</t>
  </si>
  <si>
    <t>P5DP6</t>
  </si>
  <si>
    <t>WOS:001050878100001</t>
  </si>
  <si>
    <t>Kularatne, M; Eyries, M; Savale, L; Humbert, M; Montani, D</t>
  </si>
  <si>
    <t>Kularatne, Mithum; Eyries, Melanie; Savale, Laurent; Humbert, Marc; Montani, David</t>
  </si>
  <si>
    <t>Isolated Pulmonary Arteriovenous Malformations Associated With BMPR2 Pathogenic Variants</t>
  </si>
  <si>
    <t>arteriovenous malformations; BMPR2; hereditary hemorrhagic telangiectasia</t>
  </si>
  <si>
    <t>ARTERIAL-HYPERTENSION; BMPR2 MUTATION; ALK1; GENE</t>
  </si>
  <si>
    <t>Heritable pulmonary arterial hypertension (PAH) is an uncommon cause of PAH and is associ-ated most frequently with pathogenic variants of BMPR2. Prior studies have described abnor-malities in pulmonary arterial, venous, and bronchial artery vessels associated with these pathogenic variants. In this series, we describe two patients who demonstrated pulmonary arteriovenous malformations (AVMs) and incidentally were identified by a next generation sequencing gene panel to carry variants of BMPR2 in the absence of PAH. Although pulmonary AVMs commonly are associated with hereditary hemorrhagic telangiectasia and rarely are seen in heritable PAH, evidence is increasing that abnormalities in the BMP9 pathway are found in both of these conditions. Through these cases and the current understanding of the BMP9 pathway, we propose that BMPR2 variants place patients at increased risk of pulmonary AVMs and may warrant screening.</t>
  </si>
  <si>
    <t>[Kularatne, Mithum; Savale, Laurent; Humbert, Marc; Montani, David] Univ Paris Saclay, Fac Med, Paris, France; [Kularatne, Mithum; Savale, Laurent; Humbert, Marc; Montani, David] Hop Bicetre, AP HP, Pulm Hypertens Natl Referral Ctr, Dept Resp &amp; Intens Care Med, DMU 5 Thorinno, Le Kremlin Bicetre, France; [Kularatne, Mithum; Savale, Laurent; Humbert, Marc; Montani, David] INSERM, Hop Marie Lannelongue, UMR S 999, Pulm Hypertens Pathophysiol &amp; Novel Therapies Hop, Le Plessis Robinson, France; [Eyries, Melanie] Sorbonne Univ, Dept Genet, Hop Pitie Salpetriere, AP HP,UMR S 1166, Paris, France; [Kularatne, Mithum] Univ Calgary, Calgary, AB, Canada</t>
  </si>
  <si>
    <t>Universite Paris Saclay; Assistance Publique Hopitaux Paris (APHP); Hopital Universitaire Antoine-Beclere - APHP; Universite Paris Saclay; Hopital Universitaire Bicetre - APHP; Hopital Marie Lannelongue; Institut National de la Sante et de la Recherche Medicale (Inserm); Universite Paris Saclay; Sorbonne Universite; Assistance Publique Hopitaux Paris (APHP); Hopital Universitaire Pitie-Salpetriere - APHP; Institut National de la Sante et de la Recherche Medicale (Inserm); University of Calgary</t>
  </si>
  <si>
    <t>Montani, D (corresponding author), Univ Paris Saclay, Fac Med, Paris, France.;Montani, D (corresponding author), Hop Bicetre, AP HP, Pulm Hypertens Natl Referral Ctr, Dept Resp &amp; Intens Care Med, DMU 5 Thorinno, Le Kremlin Bicetre, France.;Montani, D (corresponding author), INSERM, Hop Marie Lannelongue, UMR S 999, Pulm Hypertens Pathophysiol &amp; Novel Therapies Hop, Le Plessis Robinson, France.</t>
  </si>
  <si>
    <t>Montani, David/0000-0002-9358-6922; Kularatne, Mithum/0000-0001-8310-0813; Humbert, Marc/0000-0003-0703-2892</t>
  </si>
  <si>
    <t>E23</t>
  </si>
  <si>
    <t>E26</t>
  </si>
  <si>
    <t>10.1016/j.chest.2023.04.031</t>
  </si>
  <si>
    <t>Z0KX1</t>
  </si>
  <si>
    <t>WOS:001109069600001</t>
  </si>
  <si>
    <t>Bouvard, C; Tu, L; Rossi, M; Desroches-Castan, A; Ricard, N; Berrebeh, N; Roelants, C; Ouarne, M; Chaumontel, N; Bikfalvi, A; Humbert, M; Savale, L; Daubon, T; Perret, P; Tillet, E; Guignabert, C; Bailly, S</t>
  </si>
  <si>
    <t>Bouvard, C.; Tu, L.; Rossi, M.; Desroches-Castan, A.; Ricard, N.; Berrebeh, N.; Roelants, C.; Ouarne, M.; Chaumontel, N.; Bikfalvi, A.; Humbert, M.; Savale, L.; Daubon, T.; Perret, P.; Tillet, E.; Guignabert, C.; Bailly, S.</t>
  </si>
  <si>
    <t>Different cardiovascular and pulmonary phenotypes for singleand double-knock-out mice deficient in BMP9 and BMP10</t>
  </si>
  <si>
    <t>ANGIOGENESIS</t>
  </si>
  <si>
    <t>[Bouvard, C.; Rossi, M.; Desroches-Castan, A.; Ricard, N.; Roelants, C.; Ouarne, M.; Chaumontel, N.; Tillet, E.; Bailly, S.] Univ Grenoble Alpes, Lab Biosante U1292, INSERM, CEA, Grenoble, France; [Tu, L.; Berrebeh, N.; Humbert, M.; Savale, L.; Guignabert, C.] Univ Paris Saclay, Sch Med, Le Kremlin Bicetre, France; [Tu, L.; Berrebeh, N.; Humbert, M.; Savale, L.; Guignabert, C.] Hop Marie Lannelongue, INSERM UMR S 999, Le Plessis Robinson, France; [Roelants, C.] Inovarion, F-75005 Paris, France; [Bikfalvi, A.; Daubon, T.] INSERM, U1029, F-615 Pessac, France; [Humbert, M.] Hop Bicetre, AP HP, Dept Resp &amp; Intens Care Med, Le Kremlin Bicetre, France; [Daubon, T.] Univ Bordeaux, CNRS, IBGC, UMR5095, F-33000 Bordeaux, France; [Perret, P.] Univ Grenoble Alpes, Lab Bioclin Radiopharmaceut, CHU Grenoble Alpes, Grenoble, France</t>
  </si>
  <si>
    <t>CEA; Communaute Universite Grenoble Alpes; Universite Grenoble Alpes (UGA); Institut National de la Sante et de la Recherche Medicale (Inserm); Universite Paris Saclay; Universite Paris Saclay; Hopital Marie Lannelongue; Institut National de la Sante et de la Recherche Medicale (Inserm); Institut National de la Sante et de la Recherche Medicale (Inserm); Assistance Publique Hopitaux Paris (APHP); Hopital Universitaire Antoine-Beclere - APHP; Universite Paris Saclay; Hopital Universitaire Bicetre - APHP; Centre National de la Recherche Scientifique (CNRS); Universite de Bordeaux; CNRS - National Institute for Biology (INSB); Communaute Universite Grenoble Alpes; Universite Grenoble Alpes (UGA); CHU Grenoble Alpes</t>
  </si>
  <si>
    <t>GUIGNABERT, Christophe/G-3873-2013; Humbert, Marc/AAC-8459-2019; TU, Ly/G-4035-2013</t>
  </si>
  <si>
    <t>SPRINGER</t>
  </si>
  <si>
    <t>DORDRECHT</t>
  </si>
  <si>
    <t>VAN GODEWIJCKSTRAAT 30, 3311 GZ DORDRECHT, NETHERLANDS</t>
  </si>
  <si>
    <t>0969-6970</t>
  </si>
  <si>
    <t>1573-7209</t>
  </si>
  <si>
    <t>Angiogenesis</t>
  </si>
  <si>
    <t>O25</t>
  </si>
  <si>
    <t>S10</t>
  </si>
  <si>
    <t>Peripheral Vascular Disease</t>
  </si>
  <si>
    <t>IN6O0</t>
  </si>
  <si>
    <t>WOS:001167047600026</t>
  </si>
  <si>
    <t>Corren, J; Katelaris, CH; Castro, M; Maspero, JF; Humbert, M; Halpin, DM; Altincatal, A; Pandit-Abid, N; Soler, X; Radwan, A; Jacob-Nara, JA; Deniz, Y; Rowe, PJ</t>
  </si>
  <si>
    <t>Corren, J.; Katelaris, C. H.; Castro, M.; Maspero, J. F.; Humbert, M.; Halpin, D. M.; Altincatal, A.; Pandit-Abid, N.; Soler, X.; Radwan, A.; Jacob-Nara, J. A.; Deniz, Y.; Rowe, P. J.</t>
  </si>
  <si>
    <t>Dupilumab reduced rates of severe exacerbations and improved pre-bronchodilator FEV1 in patients with moderate to severe asthma regardless of exacerbation history: LIBERTY ASTHMA TRAVERSE</t>
  </si>
  <si>
    <t>German</t>
  </si>
  <si>
    <t>[Corren, J.] UCLA, David Geffen Sch Med, Los Angeles, CA USA; [Katelaris, C. H.] Campbelltown Hosp, Campbelltown, NSW, Australia; [Katelaris, C. H.] Western Sydney Univ, Sydney, NSW, Australia; [Castro, M.] Univ Kansas, Sch Med, Kansas City, KS USA; [Maspero, J. F.] Fdn CIDEA, Buenos Aires, DF, Argentina; [Humbert, M.] Univ Paris Saclay, INSERM, Assistance Publ Hop Paris, Hop Bicetre, Le Kremlin Bicetre, France; [Halpin, D. M.] Univ Exeter, Univ Exeter Med Sch, Coll Med &amp; Hlth, Exeter, Devon, England; [Altincatal, A.] Sanofi, Cambridge, MA USA; [Pandit-Abid, N.; Jacob-Nara, J. A.; Rowe, P. J.] Sanofi, Bridgewater, NJ USA; [Soler, X.; Radwan, A.; Deniz, Y.] Regeneron Pharmaceut Inc, Tarrytown, NY USA</t>
  </si>
  <si>
    <t>University of California System; University of California Los Angeles; University of California Los Angeles Medical Center; David Geffen School of Medicine at UCLA; NSW Health; Campbelltown Hospital; Western Sydney University; University of Kansas; University of Kansas Medical Center; Universite Paris Saclay; Institut National de la Sante et de la Recherche Medicale (Inserm); Assistance Publique Hopitaux Paris (APHP); Hopital Universitaire Bicetre - APHP; Hopital Universitaire Antoine-Beclere - APHP; Universite Paris Cite; Hopital Universitaire Saint-Louis - APHP; University of Exeter; Sanofi-Aventis; Sanofi USA; Sanofi-Aventis; Sanofi USA; Regeneron</t>
  </si>
  <si>
    <t>Humbert, Marc/AAC-8459-2019; deniz, yeşim/P-9037-2014</t>
  </si>
  <si>
    <t>P6.02</t>
  </si>
  <si>
    <t>HY2R4</t>
  </si>
  <si>
    <t>WOS:001163010900069</t>
  </si>
  <si>
    <t>Masson, B; Willer, ASM; Dutheil, M; Penalva, L; Le Ribeuz, H; El Jekmek, K; Ruchon, Y; Cohen-Kaminsky, S; Sabourin, J; Humbert, M; Mercier, O; Montani, D; Capuano, V; Antigny, F</t>
  </si>
  <si>
    <t>Masson, Bastien; Saint-Martin Willer, Anais; Dutheil, Mary; Penalva, Lucille; Le Ribeuz, Helene; El Jekmek, Kristelle; Ruchon, Yann; Cohen-Kaminsky, Sylvia; Sabourin, Jessica; Humbert, Marc; Mercier, Olaf; Montani, David; Capuano, Veronique; Antigny, Fabrice</t>
  </si>
  <si>
    <t>Contribution of transient receptor potential canonical channels in human and experimental pulmonary arterial hypertension</t>
  </si>
  <si>
    <t>AMERICAN JOURNAL OF PHYSIOLOGY-LUNG CELLULAR AND MOLECULAR PHYSIOLOGY</t>
  </si>
  <si>
    <t>calcineurin; PAH; Pyr3; SOCE; TRPC</t>
  </si>
  <si>
    <t>CAPACITATIVE CA2+ ENTRY; SMOOTH-MUSCLE-CELLS; HEART-FAILURE; UP-REGULATION; TRPC1; STIM1; OVEREXPRESSION; ALDOSTERONE; DYSFUNCTION; EXPRESSION</t>
  </si>
  <si>
    <t>Pulmonary arterial hypertension (PAH) is due to progressive distal pulmonary artery (PA) obstruction, leading to right ventricular hypertrophy and failure. Exacerbated store-operated Ca2+ entry (SOCE) contributes to PAH pathogenesis, mediating human PA smooth muscle cell (hPASMC) abnormalities. The transient receptor potential canonical channels (TRPC family) are Ca2+-permeable channels contributing to SOCE in different cell types, including PASMCs. However, the properties, signaling pathways, and contribution to Ca2+ signaling of each TRPC isoform are unclear in human PAH. We studied in vitro the impact of TRPC knockdown on control and PAH-hPASMCs function. In vivo, we analyzed the consequences of pharmacological TRPC inhibition using the experimental model of pulmonary hypertension (PH) induced by monocrotaline (MCT) exposure. Compared with control-hPASMCs cells, in PAH-hPASMCs, we found a decreased TRPC4 expression, overexpression of TRPC3 and TRPC6, and unchanged TRPC1 expression. Using the siRNA strategy, we found that the knockdown of TRPC1-C3-C4-C6 reduced the SOCE and the proliferation rate of PAH-hPASMCs. Only TRPC1 knockdown decreased the migration capacity of PAH-hPASMCs. After PAH-hPASMCs exposure to the apoptosis inducer staurosporine, TRPC1-C3-C4-C6 knockdown increased the percentage of apoptotic cells, suggesting that these channels promote apoptosis resistance. Only TRPC3 function contributed to exacerbated calcineurin activity. In the MCT-PH rat model, only TRPC3 protein expression was increased in lungs compared with control rats, and in vivo curative administration of a TRPC3 inhibitor attenuated PH development in rats. These results suggest that TRPC channels contribute to PAH-hPASMCs dysfunctions, including SOCE, proliferation, migration, and apoptosis resistance, and could be considered as therapeutic targets in PAH. NEW &amp; NOTEWORTHY TRPC3 is increased in human and experimental pulmonary arterial hypertension (PAH). In PAH pulmonary arterial smooth muscle cells, TRPC3 participates in the aberrant store-operated Ca2+ entry contributing to their pathological cell phenotypes (exacerbated proliferation, enhanced migration, apoptosis resistance, and vasoconstriction). Pharmacological in vivo inhibition of TRPC3 reduces the development of experimental PAH. Even if other TRPC acts on PAH development, our results prove that TRPC3 inhibition could be considered as an innovative treatment for PAH.</t>
  </si>
  <si>
    <t>[Masson, Bastien; Saint-Martin Willer, Anais; Dutheil, Mary; Penalva, Lucille; Le Ribeuz, Helene; El Jekmek, Kristelle; Ruchon, Yann; Cohen-Kaminsky, Sylvia; Humbert, Marc; Mercier, Olaf; Montani, David; Capuano, Veronique; Antigny, Fabrice] Univ Paris Saclay, Fac Med, Le Kremlin Bicetre, France; [Masson, Bastien; Saint-Martin Willer, Anais; Dutheil, Mary; Penalva, Lucille; Le Ribeuz, Helene; El Jekmek, Kristelle; Ruchon, Yann; Cohen-Kaminsky, Sylvia; Humbert, Marc; Mercier, Olaf; Montani, David; Capuano, Veronique; Antigny, Fabrice] Hop Marie Lannelongue, INSERM, Hypertens Pulm Physiopathol &amp; Innovat Therapeut, UMR S 999, Le Plessis Robinson, France; [Dutheil, Mary; Ruchon, Yann; Capuano, Veronique] Hop Marie Lannelongue, Grp Hosp Paris St Joseph, Le Plessis Robinson, France; [Sabourin, Jessica] Univ Paris Saclay, INSERM, Signalisat &amp; Physiopathol Cardiovasc, UMR S 1180, Chatenay Malabry, France; [Humbert, Marc; Montani, David] Hop Bicetre, AP HP, Ctr Reference Hypertens Plum, Serv Pneumol &amp; Soins Intens Resp, Le Kremlin Bicetre, France; [Mercier, Olaf] Hop Marie Lannelongue, Serv Chirurg Thorac Vasc &amp; Transplantat Cardioplum, Grp Hosp Paris St Joseph, Le Plessis Robinson, France</t>
  </si>
  <si>
    <t>Universite Paris Saclay; Hopital Marie Lannelongue; Institut National de la Sante et de la Recherche Medicale (Inserm); Universite Paris Saclay; Universite Paris Cite; Hopital Paris Saint-Joseph; Hopital Marie Lannelongue; Institut National de la Sante et de la Recherche Medicale (Inserm); Universite Paris Saclay; Assistance Publique Hopitaux Paris (APHP); Hopital Universitaire Antoine-Beclere - APHP; Universite Paris Saclay; Hopital Universitaire Bicetre - APHP; Universite Paris Cite; Hopital Paris Saint-Joseph; Hopital Marie Lannelongue</t>
  </si>
  <si>
    <t>Antigny, F (corresponding author), Univ Paris Saclay, Fac Med, Le Kremlin Bicetre, France.;Antigny, F (corresponding author), Hop Marie Lannelongue, INSERM, Hypertens Pulm Physiopathol &amp; Innovat Therapeut, UMR S 999, Le Plessis Robinson, France.</t>
  </si>
  <si>
    <t>Humbert, Marc/AAC-8459-2019; David, Montani/I-6885-2019; Cohen-Kaminsky, Sylvia/E-4837-2014; Antigny, Fabrice/Q-3999-2018</t>
  </si>
  <si>
    <t>Mercier, Olaf/0000-0002-4760-6267; Sabourin, Jessica/0000-0002-2980-8455; Masson, Bastien/0000-0003-2364-5269; Cohen-Kaminsky, Sylvia/0000-0002-6341-7482; Saint-Martin Willer, Anais/0000-0002-2078-3271; Antigny, Fabrice/0000-0002-9515-6571</t>
  </si>
  <si>
    <t>French National Institute for Health and Medical Research (INSERM); Universite~Paris-Saclay; Marie Lannelongue Hospital; French National Agency for Research (ANR) [ANR-18-CE14-0023]; Therapeutic Innovation Doctoral School [ED569]</t>
  </si>
  <si>
    <t>French National Institute for Health and Medical Research (INSERM)(Institut National de la Sante et de la Recherche Medicale (Inserm)); Universite~Paris-Saclay; Marie Lannelongue Hospital; French National Agency for Research (ANR)(Agence Nationale de la Recherche (ANR)); Therapeutic Innovation Doctoral School</t>
  </si>
  <si>
    <t>This study was supported by grants from the French National Institute for Health and Medical Research (INSERM), the Universite &amp; nbsp;Paris-Saclay, the Marie Lannelongue Hospital, and the French National Agency for Research (ANR) [Grant No. ANR-18-CE14-0023 (KAPAH). B.M. and A.S-M.W. are supported by the Therapeutic Innovation Doctoral School (ED569).</t>
  </si>
  <si>
    <t>AMER PHYSIOLOGICAL SOC</t>
  </si>
  <si>
    <t>Rockville</t>
  </si>
  <si>
    <t>6120 Executive Blvd, Suite 600, Rockville, MD, UNITED STATES</t>
  </si>
  <si>
    <t>1040-0605</t>
  </si>
  <si>
    <t>1522-1504</t>
  </si>
  <si>
    <t>AM J PHYSIOL-LUNG C</t>
  </si>
  <si>
    <t>Am. J. Physiol.-Lung Cell. Mol. Physiol.</t>
  </si>
  <si>
    <t>L246</t>
  </si>
  <si>
    <t>L261</t>
  </si>
  <si>
    <t>10.1152/ajplung.00011.2023</t>
  </si>
  <si>
    <t>Q7MR7</t>
  </si>
  <si>
    <t>WOS:001059334000008</t>
  </si>
  <si>
    <t>Weatherald, J; Zanini, U; Humbert, M</t>
  </si>
  <si>
    <t>Weatherald, Jason; Zanini, Umberto; Humbert, Marc</t>
  </si>
  <si>
    <t>Illuminating the Importance of Pulmonary Arterial Compliance in Pulmonary Hypertension</t>
  </si>
  <si>
    <t>VASCULAR-RESISTANCE; PRESSURE</t>
  </si>
  <si>
    <t>[Weatherald, Jason; Zanini, Umberto] Univ Alberta, Dept Med, Edmonton, AB, Canada; [Zanini, Umberto] Univ Milano Bicocca, Dept Med &amp; Surg, Fdn Ist Ricovero &amp; Cura Carattere Sci San Gerardo, Monza, Italy; [Humbert, Marc] Paris Saclay Univ, Fac Med, Le Kremlin Bicetre, France; [Humbert, Marc] INSERM, Unite Mixte Rech 999, Le Kremlin Bicetre, France; [Humbert, Marc] Hop Bicetre, Dept Resp &amp; Intens Care Med, Le Kremlin Bicetre, France</t>
  </si>
  <si>
    <t>University of Alberta; University of Milano-Bicocca; Universite Paris Saclay; Institut National de la Sante et de la Recherche Medicale (Inserm); Assistance Publique Hopitaux Paris (APHP); Hopital Universitaire Bicetre - APHP; Hopital Universitaire Antoine-Beclere - APHP; Universite Paris Saclay</t>
  </si>
  <si>
    <t>Weatherald, J (corresponding author), Univ Alberta, Dept Med, Edmonton, AB, Canada.</t>
  </si>
  <si>
    <t>Zanini, Umberto/0009-0000-0481-3971; Humbert, Marc/0000-0003-0703-2892</t>
  </si>
  <si>
    <t>10.1164/rccm.202306-0990ED</t>
  </si>
  <si>
    <t>O7BR6</t>
  </si>
  <si>
    <t>WOS:001045323700010</t>
  </si>
  <si>
    <t>Mumby, S; Perros, F; Grynblat, J; Manaud, G; Papi, A; Casolari, P; Caramori, G; Humbert, M; Wort, SJ; Adcock, IM</t>
  </si>
  <si>
    <t>Mumby, Sharon; Perros, Frederic; Grynblat, Julien; Manaud, Gregoire; Papi, Alberto; Casolari, Paolo; Caramori, Gaetano; Humbert, Marc; John Wort, S.; Adcock, Ian M.</t>
  </si>
  <si>
    <t>Differential responses of pulmonary vascular cells from PAH patients and controls to TNFα and the effect of the BET inhibitor JQ1</t>
  </si>
  <si>
    <t>RESPIRATORY RESEARCH</t>
  </si>
  <si>
    <t>Bromodomain and extra-terminal proteins; Human pulmonary microvascular endothelial cells; Human pulmonary artery smooth muscle cells; Inflammation; Pulmonary arterial hypertension</t>
  </si>
  <si>
    <t>NF-KAPPA-B; BROMODOMAIN; INFLAMMATION; HYPERTENSION; CHROMATIN; HYPOXIA; BINDING; READERS</t>
  </si>
  <si>
    <t>BackgroundPulmonary arterial hypertension (PAH) encompasses a group of diseases characterized by raised pulmonary vascular resistance, resulting from vascular remodelling and inflammation. Bromodomain and extra-terminal (BET) proteins are required for the expression of a subset of NF-&amp; kappa;B-induced inflammatory genes which can be inhibited by the BET mimic JQ1+. We hypothesised that JQ+ would supress TNF &amp; alpha;-driven inflammatory responses in human pulmonary vascular cells from PAH patients.MethodsImmunohistochemical staining of human peripheral lung tissue (N = 14 PAH and N = 12 non-PAH) was performed for the BET proteins BRD2 and 4. Human pulmonary microvascular endothelial cells (HPMEC) and pulmonary artery smooth muscle cells (HPASMC) from PAH patients (N = 4) and non-PAH controls (N = 4) were stimulated with TNF &amp; alpha; in presence or absence of JQ1+ or its inactive isomer JQ1-. IL-6 and -8 mRNA was measured by RT-qPCR and protein levels by ELISA. Chromatin immunoprecipitation analysis was performed using EZ-ChIP &amp; TRADE; and NF-&amp; kappa;B p65 activation determined using a TransAm kit. MTT assay was used to measure cell viability.ResultsNuclear staining of BRD2 and BRD4 was significantly (p &lt; 0.0001) increased in the lung vascular endothelial and smooth muscle cells from PAH patients compared to controls with normal lung function. TNF &amp; alpha;-driven IL-6 release from both HPMECs and HPASMCs was greater in PAH cells than control cells. Levels of CXCL8/IL-8 protein release was higher in PAH HPASMCs than in control cells with similar release observed in HPMECs. TNF &amp; alpha;-induced recruitment of activated NF-&amp; kappa;B p65 to the IL-6 and CXCL8/IL-8 promoters were similar in both cell types and between subject groups. JQ1+ suppressed TNF &amp; alpha;-induced IL-6 and CXCL8/IL-8 release and mRNA expression to a comparable extent in control and PAH HPMECs and HPASMCs. JQ1 had a greater efficacy on IL-6 release in HPMEC and on CXCL8/IL-8 release in HPASMC.ConclusionBET inhibition decreases TNF &amp; alpha; driven inflammation in primary pulmonary vascular cells. The anti-inflammatory actions of JQ1 suggests distinct cell-specific regulatory control of these genes. BET proteins could be a target for future therapies for PAH.</t>
  </si>
  <si>
    <t>[Mumby, Sharon; John Wort, S.; Adcock, Ian M.] Imperial Coll London, Resp Sci, NHLI, London, England; [Perros, Frederic; Grynblat, Julien; Manaud, Gregoire; Humbert, Marc] Univ Paris Saclay, Hop Marie Lannelongue, Grp Hospitalier Paris St Joseph, Inserm UMR S 999, Le Plessis Robinson, France; [Perros, Frederic] Univ Claude Bernard Lyon1, CarMeN Lab, INSERM U1060, INRAE U1397, Pierre Benite, France; [Papi, Alberto; Casolari, Paolo] Univ Ferrara, Interdept Study Ctr Inflammatory &amp; Smoke Related A, Cardioresp &amp; Internal Med Sect, Ferrara, Italy; [Caramori, Gaetano] Univ Messina, Dipartimento Sci Biomed Odontoiatr &amp; Immagini Morf, Pneumol, Messina, Italy; [Humbert, Marc] Univ Paris Saclay, Hop Bicetre, AP HP, Pulm Hypertens Natl Referral Ctr,Dept Resp &amp; Inten, Le Kremlin Bicetre, France; [John Wort, S.] Royal Brompton Hosp, Natl Pulm Hypertens Serv, London, England</t>
  </si>
  <si>
    <t>Imperial College London; Hopital Marie Lannelongue; Institut National de la Sante et de la Recherche Medicale (Inserm); Universite Paris Saclay; INRAE; Institut National de la Sante et de la Recherche Medicale (Inserm); Universite Claude Bernard Lyon 1; University of Ferrara; University of Messina; Assistance Publique Hopitaux Paris (APHP); Hopital Universitaire Bicetre - APHP; Universite Paris Saclay; Institut National de la Sante et de la Recherche Medicale (Inserm); Hopital Universitaire Antoine-Beclere - APHP; Royal Brompton Hospital</t>
  </si>
  <si>
    <t>Mumby, S (corresponding author), Imperial Coll London, Resp Sci, NHLI, London, England.</t>
  </si>
  <si>
    <t>Adcock, Ian/L-3217-2019; Perros, Frédéric/N-6921-2017; Caramori, Gaetano/AAS-8611-2020; Papi, alberto/AAC-1888-2019; GRYNBLAT, Julien/KXS-1813-2024; Humbert, Marc/AAC-8459-2019; Caramori, Gaetano/K-1323-2017</t>
  </si>
  <si>
    <t>GRYNBLAT, Julien/0000-0001-5593-3383; Humbert, Marc/0000-0003-0703-2892; Caramori, Gaetano/0000-0002-9807-327X; Adcock, Ian/0000-0003-2101-8843</t>
  </si>
  <si>
    <t>[10/H0504/9]</t>
  </si>
  <si>
    <t>AcknowledgementsThe authors thank: The BRU Biobank at the Royal Brompton Hospital for supplying the non-PAH lung tissue (#10/H0504/9) and Dr Barbara Girerd, (AP-HP, Centre de Reference de l'Hypertension Pulmonaire Severe, Departement Hospitalo-Universitaire Thorax Innovation, Service de Pneumologie et Reanimation Respiratoire, Hopital de Bicetre, Le Kremlin-Bicetre, France) who provided clinical information on the PAH patients.</t>
  </si>
  <si>
    <t>BMC</t>
  </si>
  <si>
    <t>CAMPUS, 4 CRINAN ST, LONDON N1 9XW, ENGLAND</t>
  </si>
  <si>
    <t>1465-993X</t>
  </si>
  <si>
    <t>RESP RES</t>
  </si>
  <si>
    <t>Respir. Res.</t>
  </si>
  <si>
    <t>JUL 29</t>
  </si>
  <si>
    <t>10.1186/s12931-023-02499-y</t>
  </si>
  <si>
    <t>N4RQ3</t>
  </si>
  <si>
    <t>Green Published, gold, Green Submitted</t>
  </si>
  <si>
    <t>WOS:001036906800002</t>
  </si>
  <si>
    <t>Savale, L; Kularatne, M; Roche, A; Pichon, J; Baron, A; Boucly, A; Sitbon, O; Humbert, M</t>
  </si>
  <si>
    <t>Savale, Laurent; Kularatne, Mithum; Roche, Anne; Pichon, Jeremie; Baron, Audrey; Boucly, Athenais; Sitbon, Olivier; Humbert, Marc</t>
  </si>
  <si>
    <t>Management of Acutely Decompensated Pulmonary Hypertension</t>
  </si>
  <si>
    <t>pulmonary hypertension; right heart failure; intensive care unit; lung transplantation; vasopressor</t>
  </si>
  <si>
    <t>RIGHT-VENTRICULAR FUNCTION; ARTERIAL-HYPERTENSION; HEART-FAILURE; SUPRAVENTRICULAR TACHYARRHYTHMIAS; THERAPY; NOREPINEPHRINE; LEVOSIMENDAN; STATEMENT; MILRINONE; SOCIETY</t>
  </si>
  <si>
    <t>Pulmonary arterial hypertension is a severe life-threatening condition associated with increased pulmonary vascular resistance and resulting right heart dysfunction. Admission to intensive care unit with acutely decompensated right heart failure is a significant negative prognostic event with a high risk of multisystem organ dysfunction and death. Presentations are heterogenous and may combine signs of both diastolic and systolic dysfunction complicating management. Renal dysfunction is often present, but other organ systems can be involved resulting in findings such as acute hepatic dysfunction or bowel wall congestion and ischemia. The goals of therapy are to rapidly reverse ventriculo-arterial decoupling and reduce right ventricular afterload to prevent progression to refractory or irreversible right heart failure. Triggering events must be investigated for and addressed urgently if identified. Volume status management is critical and both noninvasive and invasive testing can aid in prognostication and guide management, including the use of inotropes and vasopressors. In cases of refractory right heart dysfunction, consideration of urgent lung transplantation and mechanical circulatory support is necessary. These patients should be managed at expert centers in an intensive care setting with a multidisciplinary team of practitioners experienced in the management of right heart dysfunction given the high short- and long-term mortality resulting from acute decompensated right heart failure.</t>
  </si>
  <si>
    <t>[Savale, Laurent; Roche, Anne; Pichon, Jeremie; Baron, Audrey; Boucly, Athenais; Sitbon, Olivier; Humbert, Marc] Hop Marie Lannelongue, Pulm Hypertens Pathophysiol &amp; Novel Therapies, INSERM UMR S 999, Le Plessis Robinson, France; [Savale, Laurent; Roche, Anne; Pichon, Jeremie; Baron, Audrey; Boucly, Athenais; Sitbon, Olivier; Humbert, Marc] Univ Paris Saclay, Fac Medecine, Le Kremlin Bicetre, France; [Savale, Laurent; Roche, Anne; Pichon, Jeremie; Baron, Audrey; Boucly, Athenais; Sitbon, Olivier; Humbert, Marc] Hop Bicetre, AP HP, Serv Pneumol &amp; Soins Intens Resp, Le Kremlin Bicetre, France; [Savale, Laurent; Roche, Anne; Pichon, Jeremie; Baron, Audrey; Boucly, Athenais; Sitbon, Olivier; Humbert, Marc] European Reference Network Rare Pulm Dis ERN LUNG, Overijse, Belgium; [Kularatne, Mithum] Univ Calgary, Dept Med, Div Resp Med, Calgary, AB, Canada; [Savale, Laurent] Univ ParisSaclay, Fac Medecine, Serv Pneumol &amp; Soins Intens, INSERM UMR S 999, 63 Rue Gabriel Peri, F-94270 Le Kremlin Bicetre, France</t>
  </si>
  <si>
    <t>Institut National de la Sante et de la Recherche Medicale (Inserm); Universite Paris Saclay; Hopital Marie Lannelongue; Universite Paris Saclay; Assistance Publique Hopitaux Paris (APHP); Hopital Universitaire Bicetre - APHP; Universite Paris Saclay; Hopital Universitaire Antoine-Beclere - APHP; University of Calgary; Universite Paris Saclay; Institut National de la Sante et de la Recherche Medicale (Inserm)</t>
  </si>
  <si>
    <t>Savale, L (corresponding author), Univ ParisSaclay, Fac Medecine, Serv Pneumol &amp; Soins Intens, INSERM UMR S 999, 63 Rue Gabriel Peri, F-94270 Le Kremlin Bicetre, France.</t>
  </si>
  <si>
    <t>Savale, Laurent/AAJ-9781-2020; Humbert, Marc/AAC-8459-2019</t>
  </si>
  <si>
    <t>10.1055/s-0043-1770119</t>
  </si>
  <si>
    <t>JUN 2023</t>
  </si>
  <si>
    <t>WOS:001020744000003</t>
  </si>
  <si>
    <t>Weatherald, J; Varughese, RA; Liu, J; Humbert, M</t>
  </si>
  <si>
    <t>Weatherald, Jason; Varughese, Rhea A.; Liu, Jonathan; Humbert, Marc</t>
  </si>
  <si>
    <t>Management of Pulmonary Arterial Hypertension</t>
  </si>
  <si>
    <t>pulmonary arterial hypertension; management; treatment; risk assessment</t>
  </si>
  <si>
    <t>CALCIUM-CHANNEL BLOCKERS; ENDOTHELIN RECEPTOR ANTAGONIST; COMMUNITY-ACQUIRED PNEUMONIA; PRIMARY GRAFT DYSFUNCTION; CLINICAL RISK-FACTORS; 5 INHIBITOR THERAPY; LONG-TERM RESPONSE; COMBINATION THERAPY; PREGNANCY OUTCOMES; ORAL TREPROSTINIL</t>
  </si>
  <si>
    <t>Pulmonary arterial hypertension (PAH) is a rare pulmonary vascular disease characterized by progressive pulmonary arterial remodeling, increased pulmonary vascular resistance, right ventricular dysfunction, and reduced survival. Effective therapies have been developed that target three pathobiologic pathways in PAH: nitric oxide, endothelin-1, and prostacyclin. Approved therapies for PAH include phosphodiesterase type-5 inhibitors, soluble guanylate cyclase stimulators, endothelin receptor antagonists, prostacyclin analogs, and prostacyclin receptor agonists. Management of PAH in the modern era incorporates multidimensional risk assessment to guide the use of these medications. For patients with PAH and without significant comorbidities, current guidelines recommend two oral medications (phosphodiesterase type-5 inhibitor and endothelin receptor antagonist) for low- and intermediate-risk patients, with triple therapy including a parenteral prostacyclin to be considered in those at high or intermediate-high risk. Combination therapy may be poorly tolerated and less effective in patients with PAH and cardiopulmonary comorbidities. Thus, a single-agent approach with individualized decisions to add-on other PAH therapies is recommended in older patients and those with significant comorbid conditions. Management of PAH is best performed in multidisciplinary teams located in experienced centers. Other core pillars of PAH management include supportive and adjunctive treatments including oxygen, diuretics, rehabilitation, and anticoagulation in certain patients. Patients with PAH who progress despite optimal treatment or who are refractory to best medical care should be referred for lung transplantation, if eligible. Despite considerable progress, PAH is often fatal and new therapies that reverse the disease and improve outcomes are desperately needed.</t>
  </si>
  <si>
    <t>[Weatherald, Jason; Varughese, Rhea A.] Univ Alberta, Dept Med, Div Pulm Med, Edmonton, AB, Canada; [Liu, Jonathan] Univ Calgary, Dept Med, Div Respirol, Calgary, AB, Canada; [Humbert, Marc] Univ Paris Saclay, Fac Med, Le Kremlin Bicetre, France; [Humbert, Marc] Hop Bicetre, Assistance Publ Hop Paris, Serv Pneumol &amp; Soins Intens Resp, Le Kremlin Bicetre, France; [Humbert, Marc] Hop Marie Lannelongue, INSERM UMR S 999, Le Plessis Robinson, France; [Humbert, Marc] Hop Bicetre, Dept Resp &amp; Intens Care Med, 78 Rue Gen Leclerc, F-94270 Le Kremlin Bicetre, France</t>
  </si>
  <si>
    <t>University of Alberta; University of Calgary; Universite Paris Saclay; Assistance Publique Hopitaux Paris (APHP); Hopital Universitaire Antoine-Beclere - APHP; Hopital Universitaire Bicetre - APHP; Universite Paris Saclay; Universite Paris Cite; Hopital Universitaire Saint-Louis - APHP; Institut National de la Sante et de la Recherche Medicale (Inserm); Universite Paris Saclay; Hopital Marie Lannelongue; Assistance Publique Hopitaux Paris (APHP); Hopital Universitaire Antoine-Beclere - APHP; Universite Paris Saclay; Hopital Universitaire Bicetre - APHP</t>
  </si>
  <si>
    <t>Canadian Institutes of Health Research; Heart and Stroke Foundation of Canada</t>
  </si>
  <si>
    <t>Canadian Institutes of Health Research(Canadian Institutes of Health Research (CIHR)); Heart and Stroke Foundation of Canada(Heart &amp; Stroke Foundation of Canada)</t>
  </si>
  <si>
    <t>J.W. is funded by the Canadian Institutes of Health Research and the Heart and Stroke Foundation of Canada.</t>
  </si>
  <si>
    <t>10.1055/s-0043-1770118</t>
  </si>
  <si>
    <t>WOS:001020744000002</t>
  </si>
  <si>
    <t>Guignabert, C; Savale, L; Boucly, A; Thuillet, R; Tu, L; Ottaviani, M; Rhodes, CJ; De Groote, P; Prévot, G; Bergot, E; Bourdin, A; Howard, LS; Fadel, E; Beurnier, A; Roche, A; Jevnikar, M; Jaïs, X; Montani, D; Wilkins, MR; Sitbon, O; Humbert, M</t>
  </si>
  <si>
    <t>Guignabert, Christophe; Savale, Laurent; Boucly, Athenais; Thuillet, Raphael; Tu, Ly; Ottaviani, Mina; Rhodes, Christopher J.; De Groote, Pascal; Prevot, Gregoire; Bergot, Emmanuel; Bourdin, Arnaud; Howard, Luke S.; Fadel, Elie; Beurnier, Antoine; Roche, Anne; Jevnikar, Mitja; Jais, Xavier; Montani, David; Wilkins, Martin R.; Sitbon, Olivier; Humbert, Marc</t>
  </si>
  <si>
    <t>Serum and Pulmonary Expression Profiles of the Activin Signaling System in Pulmonary Arterial Hypertension</t>
  </si>
  <si>
    <t>activins; biomarkers; pulmonary arterial hypertension; Smad proteins; TGF beta superfamily proteins</t>
  </si>
  <si>
    <t>BINDING PROTEIN; RISK; SOTATERCEPT; FOLLISTATIN; SURVIVAL; FORMS</t>
  </si>
  <si>
    <t>Background:Activins are novel therapeutic targets in pulmonary arterial hypertension (PAH). We therefore studied whether key members of the activin pathway could be used as PAH biomarkers. Methods:Serum levels of activin A, activin B, alpha-subunit of inhibin A and B proteins, and the antagonists follistatin and follistatin-like 3 (FSTL3) were measured in controls and in patients with newly diagnosed idiopathic, heritable, or anorexigen-associated PAH (n=80) at baseline and 3 to 4 months after treatment initiation. The primary outcome was death or lung transplantation. Expression patterns of the inhibin subunits, follistatin, FSTL3, Bambi, Cripto, and the activin receptors type I (ALK), type II (ACTRII), and betaglycan were analyzed in PAH and control lung tissues. Results:Death or lung transplantation occurred in 26 of 80 patients (32.5%) over a median follow-up of 69 (interquartile range, 50-81) months. Both baseline (hazard ratio, 1.001 [95% CI, 1.000-1.001]; P=0.037 and 1.263 [95% CI, 1.049-1.520]; P=0.014, respectively) and follow-up (hazard ratio, 1.003 [95% CI, 1.001-1.005]; P=0.001 and 1.365 [95% CI, 1.185-1.573]; P&lt;0.001, respectively) serum levels of activin A and FSTL3 were associated with transplant-free survival in a model adjusted for age and sex. Thresholds determined by receiver operating characteristic analyses were 393 pg/mL for activin A and 16.6 ng/mL for FSTL3. When adjusted with New York Heart Association functional class, 6-minute walk distance, and N-terminal pro-B-type natriuretic peptide, the hazard ratios for transplant-free survival for baseline activin A &lt;393 pg/mL and FSTL3 &lt;16.6 ng/mL were, respectively, 0.14 (95% CI, 0.03-0.61; P=0.009) and 0.17 (95% CI, 0.06-0.45; P&lt;0.001), and for follow-up measures, 0.23 (95% CI, 0.07-0.78; P=0.019) and 0.27 (95% CI, 0.09-0.78, P=0.015), respectively. Prognostic values of activin A and FSTL3 were confirmed in an independent external validation cohort. Histological analyses showed a nuclear accumulation of the phosphorylated form of Smad2/3, higher immunoreactivities for ACTRIIB, ALK2, ALK4, ALK5, ALK7, Cripto, and FSTL3 in vascular endothelial and smooth muscle layers, and lower immunostaining for inhibin-alpha and follistatin. Conclusions:These findings offer new insights into the activin signaling system in PAH and show that activin A and FSTL3 are prognostic biomarkers for PAH.</t>
  </si>
  <si>
    <t>[Guignabert, Christophe; Savale, Laurent; Boucly, Athenais; Thuillet, Raphael; Tu, Ly; Ottaviani, Mina; Fadel, Elie; Beurnier, Antoine; Roche, Anne; Jevnikar, Mitja; Jais, Xavier; Montani, David; Sitbon, Olivier; Humbert, Marc] Hop Marie Lannelongue, INSERM UMR S 999, Pulm Hypertens Pathophysiol &amp; Novel Therapies, Le Plessis Robinson, France; [Guignabert, Christophe; Savale, Laurent; Boucly, Athenais; Thuillet, Raphael; Tu, Ly; Ottaviani, Mina; Fadel, Elie; Beurnier, Antoine; Roche, Anne; Jevnikar, Mitja; Jais, Xavier; Montani, David; Sitbon, Olivier; Humbert, Marc] Univ Paris Saclay, Fac Med, Pulm Hypertens Pathophysiol &amp; Novel Therapies, Le Kremlin Bicetre, France; [Savale, Laurent; Boucly, Athenais; Beurnier, Antoine; Roche, Anne; Jevnikar, Mitja; Jais, Xavier; Montani, David; Sitbon, Olivier; Humbert, Marc] Hop Bicetre, Assistance Publ Hop Paris AP HP, Serv Pneumol &amp; Soins Intens Resp, Le Kremlin Bicetre, France; [Rhodes, Christopher J.; Wilkins, Martin R.] Imperial Coll London, Natl Heart &amp; Lung Inst, London, England; [De Groote, Pascal] Univ Lille, Inst Pasteur Lille, Serv Cardiol, CHU Lille,Inserm U1167, Lille, France; [Prevot, Gregoire] Hop Larrey, CHU Toulouse, Serv Pneumol, Toulouse, France; [Bergot, Emmanuel] CHU Caen, Serv Pneumol &amp; Oncol Thorac, Unicaen, UFR Sante, Caen, France; [Bourdin, Arnaud] Univ Montpellier, Dept Resp Dis, CHU Montpellier, Montpellier, France; [Howard, Luke S.] Imperial Coll Healthcare NHS Trust, Hammersmith Hosp, London, England; [Fadel, Elie] Paris Saclay Univ, Marie Lannelongue Hosp, Dept Thorac &amp; Vasc Surg &amp; Heart Lung Transplantat, Grp Hosp Paris St Joseph, Paris, France</t>
  </si>
  <si>
    <t>Institut National de la Sante et de la Recherche Medicale (Inserm); Universite Paris Saclay; Hopital Marie Lannelongue; Universite Paris Saclay; Assistance Publique Hopitaux Paris (APHP); Hopital Universitaire Bicetre - APHP; Hopital Universitaire Antoine-Beclere - APHP; Universite Paris Saclay; Imperial College London; Universite de Lille; Institut National de la Sante et de la Recherche Medicale (Inserm); CHU Lille; Pasteur Network; Institut Pasteur Lille; Universite de Toulouse; Universite Toulouse III - Paul Sabatier; CHU de Toulouse; CHU de Caen NORMANDIE; Universite de Caen Normandie; Universite de Montpellier; CHU de Montpellier; Imperial College London; Hopital Marie Lannelongue; Universite Paris Saclay; Universite Paris Cite; Hopital Paris Saint-Joseph</t>
  </si>
  <si>
    <t>Guignabert, C (corresponding author), Univ Paris Saclay, INSERM UMR S 999 Pulm Hypertens Pathophysiol &amp; No, Fac Med Paris Saclay, Batiment Rech 2e etage,63 Rue Gabriel Peri, F-94276 Le Kremlin Bicetre, France.</t>
  </si>
  <si>
    <t>christophe.guignabert@inserm.fr; laurent.savale@aphp.fr; athenais.boucly@gmail.com; raphael.thuillet@inserm.fr; ly.tu@inserm.fr; ottaviani.mina98@gmail.com; c.rhodes07@imperial.ac.uk; pascal.degroote@chru-lille.fr; prevot.g@chu-toulouse.fr; bergot-e@chu-caen.fr; arnaud01009157@gmail.com; l.howard@imperial.ac.uk; e.fadel@ghpsj.fr; antoine.beurnier@aphp.fr; anne.roche@aphp.fr; mitja.jevnikar@gmail.com; xavier.jais@aphp.fr; davidmontani@gmail.com; m.wilkins@imperial.ac.uk; olivier.sitbon@aphp.fr; mjc.humbert@gmail.com</t>
  </si>
  <si>
    <t>DE GROOTE, Pascal/LLL-9444-2024; Bourdin, Philippe/D-8149-2015; Savale, Laurent/AAJ-9781-2020; Bergot, Emmanuel/KHZ-1685-2024; GUIGNABERT, Christophe/G-3873-2013; TU, Ly/G-4035-2013; Humbert, Marc/AAC-8459-2019</t>
  </si>
  <si>
    <t>GUIGNABERT, Christophe/0000-0002-8545-4452; Bourdin, Arnaud/0000-0002-4645-5209; TU, Ly/0000-0003-2336-5099; de Groote, Pascal/0000-0002-6211-0147; Rhodes, Christopher/0000-0002-4962-3204; Thuillet, Raphael/0000-0002-1379-3797; Humbert, Marc/0000-0003-0703-2892</t>
  </si>
  <si>
    <t>Acceleron Pharma (Cambridge, MA); Assistance Publique-Hppitaux de Paris (AP-HP; Projet Hospitalier de Recherche Clinique) [PHRC P081247]; INSERM (Contrat d'Interface); Universite Paris-Saclay; French National Agency for Research (ANR) [ANR-18-RHUS-0006]; French Fondation de la Recherche Medicale (FRM) from (FRM; Equipe FRM) [EQU202203014670]; BHF Imperial Research Centre of Excellence [RE/18/4/342215]; Agence Nationale de la Recherche (ANR) [ANR-18-RHUS-0006] Funding Source: Agence Nationale de la Recherche (ANR)</t>
  </si>
  <si>
    <t>Acceleron Pharma (Cambridge, MA); Assistance Publique-Hppitaux de Paris (AP-HP; Projet Hospitalier de Recherche Clinique); INSERM (Contrat d'Interface)(Institut National de la Sante et de la Recherche Medicale (Inserm)); Universite Paris-Saclay; French National Agency for Research (ANR)(Agence Nationale de la Recherche (ANR)); French Fondation de la Recherche Medicale (FRM) from (FRM; Equipe FRM); BHF Imperial Research Centre of Excellence; Agence Nationale de la Recherche (ANR)</t>
  </si>
  <si>
    <t>The authors from the French National Institute for Health and Medical Research (INSERM) and Universite Paris-Saclay Pulmonary Hypertension: Pathophysiology and Novel Therapies received financial support from Acceleron Pharma (Cambridge, MA), a wholly owned subsidiary of Merck &amp; Co., Inc. (Rahway, NJ), to conduct the in situ analyses on explanted human lung specimens. The research on human blood samples was supported by grants from Assistance Publique-Hppitaux de Paris (AP-HP; Projet Hospitalier de Recherche Clinique (PHRC P081247) titled EFORT: Evaluation des Facteurs pronostiques et des Objectifs therapeutiques dans l'hypeRTension arterielle pulmonaire), grants from INSERM (Contrat d'Interface), the Universite Paris-Saclay, and in part by the French National Agency for Research (ANR) grant ANR-18-RHUS-0006 (RHU DESTINATION 2024), the French Fondation de la Recherche Medicale (FRM) grant EQU202203014670 from (FRM; Equipe FRM). The UK study recognizes the support of the Imperial NIHR Clinical research Facility. Dr Wilkins was supported by the BHF Imperial Research Centre of Excellence (RE/18/4/342215).</t>
  </si>
  <si>
    <t>JUN 13</t>
  </si>
  <si>
    <t>10.1161/CIRCULATIONAHA.122.061501</t>
  </si>
  <si>
    <t>I6MN3</t>
  </si>
  <si>
    <t>Bronze, Green Submitted</t>
  </si>
  <si>
    <t>WOS:001003906500005</t>
  </si>
  <si>
    <t>Cottin, V; Valenzuela, C; Humbert, M</t>
  </si>
  <si>
    <t>Cottin, Vincent; Valenzuela, Claudia; Humbert, Marc</t>
  </si>
  <si>
    <t>Inhaled treprostinil for interstitial lung disease-associated pulmonary hypertension: a silver lining on a very dark cloud</t>
  </si>
  <si>
    <t>CONTROLLED-TRIAL; FIBROSIS; SILDENAFIL; EFFICACY; CAPACITY; BOSENTAN; OUTCOMES</t>
  </si>
  <si>
    <t>[Cottin, Vincent] Claude Bernard Univ Lyon 1, Louis Pradel Hosp, Natl Reference Ctr Rare Pulm Dis, Hosp Civils Lyon,ERN LUNG,UMR 754, Lyon, France; [Valenzuela, Claudia] Univ Autonoma Madrid, Hosp Univ Princesa, Madrid, Spain; [Humbert, Marc] Univ Paris Saclay, Bicetre Hosp, Natl Reference Ctr Pulm Hypertens,AP HP, ERN LUNG,Inserm 999, Paris, Le Kremlin Bice, France</t>
  </si>
  <si>
    <t>Universite Claude Bernard Lyon 1; CHU Lyon; Hospital de La Princesa; Autonomous University of Madrid; Assistance Publique Hopitaux Paris (APHP); Hopital Universitaire Bicetre - APHP; Institut National de la Sante et de la Recherche Medicale (Inserm); Universite Paris Saclay</t>
  </si>
  <si>
    <t>Cottin, V (corresponding author), Claude Bernard Univ Lyon 1, Louis Pradel Hosp, Natl Reference Ctr Rare Pulm Dis, Hosp Civils Lyon,ERN LUNG,UMR 754, Lyon, France.</t>
  </si>
  <si>
    <t>vincent.cottin@chu-lyon.fr</t>
  </si>
  <si>
    <t>valenzuela, claudia/0000-0002-0856-6290; Cottin, Vincent/0000-0002-5591-0955; Humbert, Marc/0000-0003-0703-2892</t>
  </si>
  <si>
    <t>10.1183/13993003.00944-2023</t>
  </si>
  <si>
    <t>M1EG9</t>
  </si>
  <si>
    <t>WOS:001027645900001</t>
  </si>
  <si>
    <t>Grynblat, J; Khouri, C; Chaumais, MC; Savale, L; Hlavaty, A; Jais, X; Kularatne, M; Perros, F; Simonneau, G; Sitbon, O; Humbert, M; Montani, D</t>
  </si>
  <si>
    <t>Grynblat, J.; Khouri, C.; Chaumais, M. C.; Savale, L.; Hlavaty, A.; Jais, X.; Kularatne, M.; Perros, F.; Simonneau, G.; Sitbon, O.; Humbert, M.; Montani, D.</t>
  </si>
  <si>
    <t>FUNDAMENTAL &amp; CLINICAL PHARMACOLOGY</t>
  </si>
  <si>
    <t>PAH; meta-analysis; proteasome inhibitor</t>
  </si>
  <si>
    <t>[Grynblat, J.; Chaumais, M. C.; Savale, L.; Jais, X.; Kularatne, M.; Perros, F.; Simonneau, G.; Sitbon, O.; Humbert, M.; Montani, D.] Hop Marie Lannelongue, INSERM UMR S 999 Pulm Hypertens Pathophysiol &amp; N, Le Plessis Robinson, France; [Khouri, C.; Hlavaty, A.] Grenoble Alpes Univ Hosp, Pharmacovigilance Unit, Grenoble, France; [Khouri, C.; Hlavaty, A.] Grenoble Alpes Univ Hosp, Dept Clin Pharmacol, Grenoble, France</t>
  </si>
  <si>
    <t>Hopital Marie Lannelongue; Institut National de la Sante et de la Recherche Medicale (Inserm); CHU Grenoble Alpes; Communaute Universite Grenoble Alpes; Universite Grenoble Alpes (UGA); Communaute Universite Grenoble Alpes; Universite Grenoble Alpes (UGA); CHU Grenoble Alpes</t>
  </si>
  <si>
    <t>Humbert, Marc/AAC-8459-2019; Hlavaty, Alex/KIB-2233-2024; GRYNBLAT, Julien/KXS-1813-2024</t>
  </si>
  <si>
    <t>0767-3981</t>
  </si>
  <si>
    <t>1472-8206</t>
  </si>
  <si>
    <t>FUND CLIN PHARMACOL</t>
  </si>
  <si>
    <t>Fundam. Clin. Pharmacol.</t>
  </si>
  <si>
    <t>PM1-039</t>
  </si>
  <si>
    <t>O3RK7</t>
  </si>
  <si>
    <t>WOS:001043020800111</t>
  </si>
  <si>
    <t>Pichon, J; Roche, A; Fauvel, C; Boucly, A; Mercier, O; Ebstein, N; Beurnier, A; Cortese, J; Jevnikar, M; Jaïs, X; Fartoukh, M; Fadel, E; Sitbon, O; Montani, D; Voiriot, G; Humbert, M; Savale, L</t>
  </si>
  <si>
    <t>Pichon, Jeremie; Roche, Anne; Fauvel, Charles; Boucly, Athenais; Mercier, Olaf; Ebstein, Nathan; Beurnier, Antoine; Cortese, Jonathan; Jevnikar, Mitja; Jais, Xavier; Fartoukh, Muriel; Fadel, Elie; Sitbon, Olivier; Montani, David; Voiriot, Guillaume; Humbert, Marc; Savale, Laurent</t>
  </si>
  <si>
    <t>Clinical relevance and prognostic value of renal Doppler in acute decompensated precapillary pulmonary hypertension</t>
  </si>
  <si>
    <t>EUROPEAN HEART JOURNAL-CARDIOVASCULAR IMAGING</t>
  </si>
  <si>
    <t>right heart failure; pulmonary hypertension; renal Doppler; intensive care; renal resistive index; renal venous stasis index</t>
  </si>
  <si>
    <t>RESISTIVE INDEX; HEART-FAILURE; RESISTANCE INDEX; ULTRASONOGRAPHY</t>
  </si>
  <si>
    <t>Aims We aim to evaluate the clinical relevance and the prognostic value of arterial and venous renal Doppler in acute decompensated precapillary pulmonary hypertension (PH). Methods and results The renal resistance index (RRI) and the Doppler-derived renal venous stasis index (RVSI) were monitored at admission and on Day 3 in a prospective cohort of precapillary PH patients managed in intensive care unit for acute right heart failure (RHF). The primary composite endpoint included death, circulatory assistance, urgent transplantation, or rehospitalization for acute RHF within 90 days following inclusion. Ninety-one patients were enrolled (58% female, age 58 +/- 16 years). The primary endpoint event occurred in 32 patients (33%). In univariate logistic regression analysis, variables associated with RRI higher than the median value were non-variable parameters (age and history of hypertension), congestion (right atrial pressure and renal pulse pressure), cardiac function [tricuspid annular plane systolic excursion (TAPSE) and left ventricular outflow tract- velocity time integral], systemic pressures and NT-proBNP. Variables associated with RVSI higher than the median value were congestion (high central venous pressure, right atrial pressure, and renal pulse pressure), right cardiac function (TAPSE), severe tricuspid regurgitation, and systemic pressures. Inotropic support was more frequently required in patients with high RRI (P = 0.01) or high RVSI (P = 0.003) at the time of admission. At Day 3, a RRI value Conclusion Renal Doppler provides additional information to assess the severity of patients admitted to the intensive care unit for acute decompensated precapillary PH.</t>
  </si>
  <si>
    <t>[Pichon, Jeremie; Roche, Anne; Boucly, Athenais; Ebstein, Nathan; Beurnier, Antoine; Jevnikar, Mitja; Jais, Xavier; Sitbon, Olivier; Montani, David; Humbert, Marc; Savale, Laurent] Hop Bicetre, AP HP, Serv Pneumol &amp; Soins Intens Resp, 78 Rue Gen Leclerc, F-94270 Le Kremlin Bicetre, France; [Pichon, Jeremie; Roche, Anne; Boucly, Athenais; Mercier, Olaf; Ebstein, Nathan; Beurnier, Antoine; Jevnikar, Mitja; Jais, Xavier; Fadel, Elie; Sitbon, Olivier; Montani, David; Humbert, Marc; Savale, Laurent] Hop Marie Lannelongue, INSERM, UMR S Pulm Hypertens Pathophysiol &amp; Novel Therapie, F-92350 Le Plessis Robinson, France; [Pichon, Jeremie; Roche, Anne; Boucly, Athenais; Mercier, Olaf; Ebstein, Nathan; Beurnier, Antoine; Cortese, Jonathan; Jevnikar, Mitja; Jais, Xavier; Fadel, Elie; Sitbon, Olivier; Montani, David; Humbert, Marc; Savale, Laurent] Univ Paris Saclay, Fac Med, F-94276 Le Kremlin Bicetre, France; [Fauvel, Charles] CHU Rouen, Dept Cardiol, F-76000 Rouen, France; [Fauvel, Charles] Univ Rouen Normandie, Inserm, U1096, F-76000 Rouen, France; [Mercier, Olaf; Fadel, Elie] Hop Marie Lannelongue, Serv Chirurg Thorac Vasc &amp; Transplantat Cardioplum, F-92350 Le Plessis Robinson, France; [Cortese, Jonathan] Bicetre Hosp, AP HP, NEURI Brain Vasc Ctr, Dept Intervent Neuroradiol, F-94276 Le Kremlin Bicetre, France; [Fartoukh, Muriel; Voiriot, Guillaume] Sorbonne Univ, Hop Tenon, AP HP, Serv Med Intens Reanimat, F-75020 Paris, France; [Fartoukh, Muriel; Voiriot, Guillaume] Ctr Rech St Antoine, INSERM, UMRS 938, F-75012 Paris, France</t>
  </si>
  <si>
    <t>Assistance Publique Hopitaux Paris (APHP); Hopital Universitaire Bicetre - APHP; Universite Paris Saclay; Hopital Universitaire Antoine-Beclere - APHP; Institut National de la Sante et de la Recherche Medicale (Inserm); Hopital Marie Lannelongue; Universite Paris Saclay; Universite de Rouen Normandie; CHU de Rouen; Universite de Rouen Normandie; Institut National de la Sante et de la Recherche Medicale (Inserm); Hopital Marie Lannelongue; Assistance Publique Hopitaux Paris (APHP); Hopital Universitaire Bicetre - APHP; Assistance Publique Hopitaux Paris (APHP); Sorbonne Universite; Hopital Universitaire Tenon - APHP; Sorbonne Universite; Institut National de la Sante et de la Recherche Medicale (Inserm)</t>
  </si>
  <si>
    <t>Savale, L (corresponding author), Hop Bicetre, AP HP, Serv Pneumol &amp; Soins Intens Resp, 78 Rue Gen Leclerc, F-94270 Le Kremlin Bicetre, France.;Savale, L (corresponding author), Hop Marie Lannelongue, INSERM, UMR S Pulm Hypertens Pathophysiol &amp; Novel Therapie, F-92350 Le Plessis Robinson, France.;Savale, L (corresponding author), Univ Paris Saclay, Fac Med, F-94276 Le Kremlin Bicetre, France.</t>
  </si>
  <si>
    <t>CORTESE, Jonathan/KHD-0366-2024; Savale, Laurent/AAJ-9781-2020; David, Montani/I-6885-2019; Humbert, Marc/AAC-8459-2019</t>
  </si>
  <si>
    <t>Mercier, Olaf/0000-0002-4760-6267; Humbert, Marc/0000-0003-0703-2892</t>
  </si>
  <si>
    <t>2047-2404</t>
  </si>
  <si>
    <t>2047-2412</t>
  </si>
  <si>
    <t>EUR HEART J-CARD IMG</t>
  </si>
  <si>
    <t>Eur. Heart J.-Cardiovasc. Imaging</t>
  </si>
  <si>
    <t>OCT 27</t>
  </si>
  <si>
    <t>10.1093/ehjci/jead104</t>
  </si>
  <si>
    <t>MAY 2023</t>
  </si>
  <si>
    <t>Cardiac &amp; Cardiovascular Systems; Radiology, Nuclear Medicine &amp; Medical Imaging</t>
  </si>
  <si>
    <t>Cardiovascular System &amp; Cardiology; Radiology, Nuclear Medicine &amp; Medical Imaging</t>
  </si>
  <si>
    <t>CG3U9</t>
  </si>
  <si>
    <t>WOS:000987731100001</t>
  </si>
  <si>
    <t>Prapa, M; Lago-Docampo, M; Swietlik, E; Montani, D; Eyries, M; Humbert, M; Welch, C; Chung, W; Megy, K; Mapeta, R; Treacy, C; Martin, J; Li, W; Swift, A; Upton, P; Morrell, N; Graf, S; Pérez, DV</t>
  </si>
  <si>
    <t>Prapa, Matina; Lago-Docampo, Mauro; Swietlik, Emilia; Montani, David; Eyries, Melanie; Humbert, Marc; Welch, Carrie; Chung, Wendy; Megy, Karyn; Mapeta, Rutendo; Treacy, Carmen; Martin, Jennifer; Li, Wei; Swift, Andy; Upton, Paul; Morrell, Nicholas; Graf, Stefan; Valverde Perez, Diana</t>
  </si>
  <si>
    <t>Heritable pulmonary hypertension: first genotypephenotype study in TBX4 syndrome</t>
  </si>
  <si>
    <t>EUROPEAN JOURNAL OF HUMAN GENETICS</t>
  </si>
  <si>
    <t>55th European-Society-of-Human-Genetics (ESHG) Conference</t>
  </si>
  <si>
    <t>JUN 11-14, 2022</t>
  </si>
  <si>
    <t>European Soc Human Genet</t>
  </si>
  <si>
    <t>[Prapa, Matina; Swietlik, Emilia; Megy, Karyn; Mapeta, Rutendo; Treacy, Carmen; Martin, Jennifer; Li, Wei; Upton, Paul; Morrell, Nicholas; Graf, Stefan] Univ Cambridge, Dept Med, Cambridge, England; [Lago-Docampo, Mauro; Valverde Perez, Diana] Univ Vigo, CINBIO, Vigo, Spain; [Montani, David; Humbert, Marc] Univ Paris Saclay, Fac Med, Le Kremlin Bicetre, France; [Eyries, Melanie] Hop La Pitie Salpetriere, Dept Genet, Paris, France; [Welch, Carrie; Chung, Wendy] Columbia Univ, Dept Pediat, New York, NY USA; [Swift, Andy] Univ Sheffield, Dept Infect Immun &amp; Cardiovasc Dis, Sheffield, S Yorkshire, England</t>
  </si>
  <si>
    <t>University of Cambridge; Universidade de Vigo; CINBIO; Universite Paris Saclay; Assistance Publique Hopitaux Paris (APHP); Hopital Universitaire Pitie-Salpetriere - APHP; Sorbonne Universite; Columbia University; University of Sheffield</t>
  </si>
  <si>
    <t>Humbert, Marc/AAC-8459-2019; David, Montani/I-6885-2019; wei, wei/HHR-8613-2022; Lago Docampo, Mauro/N-1841-2017</t>
  </si>
  <si>
    <t>[MLD ED481A-2018/304]</t>
  </si>
  <si>
    <t>Grants: MLD ED481A-2018/304.</t>
  </si>
  <si>
    <t>SPRINGERNATURE</t>
  </si>
  <si>
    <t>CAMPUS, 4 CRINAN ST, LONDON, N1 9XW, ENGLAND</t>
  </si>
  <si>
    <t>1018-4813</t>
  </si>
  <si>
    <t>1476-5438</t>
  </si>
  <si>
    <t>EUR J HUM GENET</t>
  </si>
  <si>
    <t>Eur. J. Hum. Genet.</t>
  </si>
  <si>
    <t>MAY 11</t>
  </si>
  <si>
    <t>C09.3</t>
  </si>
  <si>
    <t>Biochemistry &amp; Molecular Biology; Genetics &amp; Heredity</t>
  </si>
  <si>
    <t>P4QK6</t>
  </si>
  <si>
    <t>WOS:001050507000061</t>
  </si>
  <si>
    <t>Ainsworth, B; Chatburn, E; Bansal, AT; Fulton, O; Hamerlijnck, D; Coleman, C; Eger, K; Hyland, M; Holmes, J; Heaney, L; Sedlák, V; Skrgat, S; Edelbaher, N; ten Brinke, A; Porsbjerg, C; Gaga, M; Loureiro, C; Djukanovic, R; Berret, E; Kwon, N</t>
  </si>
  <si>
    <t>Ainsworth, Ben; Chatburn, Eleanor; Bansal, Aruna T.; Fulton, Olivia; Hamerlijnck, Dominique; Coleman, Courtney; Eger, Katrien; Hyland, Michael; Holmes, Joshua; Heaney, Liam; Sedlak, Vratislav; Skrgat, Sabina; Edelbaher, Natalija; ten Brinke, Anneke; Porsbjerg, Celeste; Gaga, Mina; Loureiro, Claudia; Djukanovic, Ratko; Berret, Emmanuelle; Kwon, Namhee</t>
  </si>
  <si>
    <t>What bothers severe asthma patients most? A paired patient-clinician study across seven European countries</t>
  </si>
  <si>
    <t>BURDEN; ADULTS; LIFE; CONCORDANCE; MANAGEMENT; QUALITY; IMPACT</t>
  </si>
  <si>
    <t>Introduction Severe asthma is a complex, multidimensional disease. Optimal treatment, adherence and outcomes require shared decision-making, rooted in mutual understanding between patient and clinician. This study used a novel, patient-centred approach to examine the most bothersome aspects of severe asthma to patients, as seen from both perspectives in asthma registries. Methods Across seven countries, 126 patients with severe asthma completed an open-ended survey regarding most the bothersome aspect(s) of their asthma. Patients' responses were linked with their treating clinician who also completed a free-text survey about each patient's most bothersome aspect(s). Responses were coded using content analysis, and patient and clinician responses were compared. Finally, asthma registries that are part of the SHARP (Severe Heterogeneous Asthma Research collaboration, Patient-centred) Clinical Research Collaboration were examined to see the extent to which they reflected the most bothersome aspects reported by patients. Results 88 codes and 10 themes were identified. Clinicians were more focused on direct physical symptoms and were less focused on holistic aspects such as the effort required to self-manage the disease. Clinicians accurately identified a most bothersome symptom for 29% of patients. Agreement was particularly low with younger patients and those using oral corticosteroids infrequently. In asthma registries, patient aspects were predominantly represented in questionnaires. Conclusions Results demonstrated different perspectives and priorities between patients and clinicians, with clinicians more focused on physical aspects. These differences must be considered when treating individual patients, and within multidisciplinary treatment teams. The use of questionnaires that include multifaceted aspects of disease may result in improved asthma research. Lessons for clinicians This patient-led study found that clinicians were not very accurate at identifying what bothered their patients most. Patients cared much more about the effort of self-management, and much less about the direct physical symptoms, than their clinicians thought. Aligning patient and clinician perspectives during consultations, and understanding the aspects of asthma that patients are bothered by, may improve severe asthma outcomes.</t>
  </si>
  <si>
    <t>[Ainsworth, Ben] Univ Southampton, Sch Psychol, Fac Environm &amp; Life Sci, Southampton, Hants, England; [Ainsworth, Ben; Chatburn, Eleanor] Univ Bath, Dept Psychol, Bath, Avon, England; [Ainsworth, Ben] Univ Southampton, NIHR Southampton Resp Biomed Res Ctr, Fac Med, Southampton, Hants, England; [Chatburn, Eleanor] Univ East Anglia, Dept Clin Psychol, Norwich, Norfolk, England; [Bansal, Aruna T.] Acclarogen Ltd, Cambridge, England; [Fulton, Olivia; Hamerlijnck, Dominique; Coleman, Courtney] European Lung Fdn, Sheffield, S Yorkshire, England; [Eger, Katrien] Univ Amsterdam, Amsterdam Univ Med Ctr, Dept Resp Med, Amsterdam, Netherlands; [Hyland, Michael] Univ Plymouth, Sch Psychol, Plymouth, Devon, England; [Hyland, Michael] Plymouth Marjon Univ, Sch Sport Hlth &amp; Wellbeing, Plymouth, Devon, England; [Holmes, Joshua; Heaney, Liam] Queens Univ Belfast, Wellcome Wolfson Inst Expt Med, Belfast, Antrim, North Ireland; [Sedlak, Vratislav] Charles Univ Prague, Univ Hosp Hradec Kralove, Dept Resp Med, Prague, Czech Republic; [Skrgat, Sabina] Univ Med Ctr Ljubljana, Dept Pulm Dis &amp; Allergy, Ljubljana, Slovenia; [Skrgat, Sabina] Univ Ljubljana, Med Fac, Ljubljana, Slovenia; [Edelbaher, Natalija] Univ Med Ctr Maribor, Dept Pulm Dis, Maribor, Slovenia; [ten Brinke, Anneke] Med Ctr Leeuwarden, Leeuwarden, Netherlands; [Porsbjerg, Celeste] Bispebjerg Hosp, Dept Resp Med, Copenhagen, Denmark; [Gaga, Mina] Athens Chest Hosp Sotiria, Athens, Greece; [Loureiro, Claudia] Ctr Hosp Univ Coimbra, Hosp Univ Coimbra, Pulmonol Unit, Coimbra, Portugal; [Loureiro, Claudia; Djukanovic, Ratko] Univ Coimbra, Ctr Pulmonol, Fac Med, Coimbra, Portugal; [Berret, Emmanuelle] European Resp Soc ERS, Lausanne, Switzerland; [Kwon, Namhee] GSK, Resp Clin Sci, Brentford, England</t>
  </si>
  <si>
    <t>University of Southampton; University of Bath; University of Southampton; University of East Anglia; University of Amsterdam; University of Plymouth; University of St Mark &amp; St John; Queens University Belfast; Charles University Prague; University Hospital Hradec Kralove; University Medical Centre Ljubljana; University of Ljubljana; University of Maribor; Medical Center Leeuwarden; University of Copenhagen; Copenhagen University Hospital; Bispebjerg Hospital; Universidade de Coimbra; Centro Hospitalar e Universitario de Coimbra (CHUC); Universidade de Coimbra; GlaxoSmithKline; Glaxosmithkline United Kingdom</t>
  </si>
  <si>
    <t>Ainsworth, B (corresponding author), Univ Southampton, Sch Psychol, Fac Environm &amp; Life Sci, Southampton, Hants, England.;Ainsworth, B (corresponding author), Univ Bath, Dept Psychol, Bath, Avon, England.;Ainsworth, B (corresponding author), Univ Southampton, NIHR Southampton Resp Biomed Res Ctr, Fac Med, Southampton, Hants, England.</t>
  </si>
  <si>
    <t>ba105@soton.ac.uk</t>
  </si>
  <si>
    <t>Loureiro, Claudia/AAW-3420-2021; Chatburn, Eleanor/Q-9038-2019; Humbert, Marc/AAC-8459-2019; Gaga, Mina/AAP-8348-2020</t>
  </si>
  <si>
    <t>Eger, Katrien/0000-0002-9628-2174; Ainsworth, Ben/0000-0002-5098-1092; Chaves Loureiro, Claudia/0000-0003-0438-6126; Hyland, Michael/0000-0003-3879-0469; Heaney, Liam/0000-0002-9176-5564; Djukanovic, Ratko/0000-0001-6039-5612; Porsbjerg, Celeste/0000-0003-4825-9436; Fulton, Olivia/0000-0001-7358-0219</t>
  </si>
  <si>
    <t>Severe Heterogeneous Asthma Research collaboration, Patient-centred (SHARP) Clinical Research Collaboration (CRC); European Respiratory Society; GlaxoSmithKline Research and Development Limited; Chiesi Farmaceutici SPA; Novartis Pharma AG; Sanofi-Genzyme Corporation; Teva Branded Pharmaceutical Products RD, Inc.</t>
  </si>
  <si>
    <t>Severe Heterogeneous Asthma Research collaboration, Patient-centred (SHARP) Clinical Research Collaboration (CRC); European Respiratory Society; GlaxoSmithKline Research and Development Limited; Chiesi Farmaceutici SPA(Chiesi Pharmaceuticals Inc); Novartis Pharma AG; Sanofi-Genzyme Corporation; Teva Branded Pharmaceutical Products RD, Inc.(Teva Pharmaceutical Industries)</t>
  </si>
  <si>
    <t>This study was supported by an award from the Severe Heterogeneous Asthma Research collaboration, Patient-centred (SHARP) Clinical Research Collaboration (CRC). The SHARP CRC has been supported by unrestricted financial and in-kind contributions from the following consortium partners: European Respiratory Society, GlaxoSmithKline Research and Development Limited, Chiesi Farmaceutici SPA, Novartis Pharma AG, Sanofi-Genzyme Corporation and Teva Branded Pharmaceutical Products R&amp;D, Inc. Funding information for this article has been deposited with the Crossref Funder Registry.</t>
  </si>
  <si>
    <t>00717-2022</t>
  </si>
  <si>
    <t>10.1183/23120541.00717-2022</t>
  </si>
  <si>
    <t>H2MH4</t>
  </si>
  <si>
    <t>WOS:000994352900009</t>
  </si>
  <si>
    <t>Berrebeh, N; Tu, L; Mbouamboua, Y; Thuillet, R; Ottaviani, M; Chelgham, MK; Anegon, I; Schermuly, RT; Kojonazarov, B; Humbert, MJ; Barbry, P; Bailly, S; Guignabert, C</t>
  </si>
  <si>
    <t>Berrebeh, N.; Tu, L.; Mbouamboua, Y.; Thuillet, R.; Ottaviani, M.; Chelgham, M. K.; Anegon, I.; Schermuly, R. T.; Kojonazarov, B.; Humbert, M. J.; Barbry, P.; Bailly, S.; Guignabert, C.</t>
  </si>
  <si>
    <t>Enhanced Pulmonary Vascular Density in Bone Morphogenetic Protein-9 Deficient Rats Is Associated With an Increased Vascular Endothelial Growth Factor Signaling</t>
  </si>
  <si>
    <t>International Conference of the American-Thoracic-Society (ATS)</t>
  </si>
  <si>
    <t>MAY 19-24, 2023</t>
  </si>
  <si>
    <t>Washington, DC</t>
  </si>
  <si>
    <t>Amer Thorac Soc</t>
  </si>
  <si>
    <t>[Berrebeh, N.; Tu, L.; Thuillet, R.; Ottaviani, M.; Chelgham, M. K.; Anegon, I.; Humbert, M. J.; Guignabert, C.] INSERM UMR S 999, Pulm Hypertens Pathophysiol &amp; Novel Therapies, Le Kremlin Bicetre, France; [Mbouamboua, Y.; Barbry, P.] Inst Pharmacol Mol &amp; Cellulaire Equi, CNRS, Valbonne, France; [Anegon, I.] INSERM, Plateforme Transgenese Rat &amp; Immuno Phenom, Nantes, France; [Schermuly, R. T.; Kojonazarov, B.] Justus Liebig Univ Giessen, Pulm Pharmacotherapy, Giessen, Germany; [Bailly, S.] Univ Grenoble Alpes, Lab Biol Canc &amp; Infect, INSERM, CEA, Grenoble, France</t>
  </si>
  <si>
    <t>Institut National de la Sante et de la Recherche Medicale (Inserm); Universite Paris Saclay; Centre National de la Recherche Scientifique (CNRS); Institut National de la Sante et de la Recherche Medicale (Inserm); Justus Liebig University Giessen; CEA; Communaute Universite Grenoble Alpes; Universite Grenoble Alpes (UGA); Institut National de la Sante et de la Recherche Medicale (Inserm)</t>
  </si>
  <si>
    <t>nihel.berrebeh@inserm.fr</t>
  </si>
  <si>
    <t>French National Research Agency; Region Ile de France; Fondation de la Recherche Medicale</t>
  </si>
  <si>
    <t>French National Research Agency(Agence Nationale de la Recherche (ANR)); Region Ile de France(Region Ile-de-France); Fondation de la Recherche Medicale(Fondation pour la Recherche Medicale)</t>
  </si>
  <si>
    <t>This abstract is funded by: French National Research Agency, Region Ile de France, Fondation de la Recherche Medicale</t>
  </si>
  <si>
    <t>A6732</t>
  </si>
  <si>
    <t>H4QB1</t>
  </si>
  <si>
    <t>WOS:000995814708478</t>
  </si>
  <si>
    <t>Beurnier, A; Savale, L; Jaïs, X; Colle, R; Pham, T; Morin, L; Bulifon, S; Noël, N; Boucly, A; Delbarre, B; Ebstein, N; Figueiredo, S; Gasnier, M; Harrois, A; Jutant, EM; Jevnikar, M; Keddache, S; Lecoq, AL; Meyrignac, O; Parent, F; Pichon, J; Preda, M; Roche, A; Seferian, A; Bellin, MF; Gille, T; Corruble, E; Sitbon, O; Becquemont, L; Monnet, X; Humbert, M; Montani, D</t>
  </si>
  <si>
    <t>Beurnier, Antoine; Savale, Laurent; Jais, Xavier; Colle, Romain; Tai Pham; Morin, Luc; Bulifon, Sophie; Noel, Nicolas; Boucly, Athenais; Delbarre, Benoit; Ebstein, Nathan; Figueiredo, Samy; Gasnier, Matthieu; Harrois, Anatole; Jutant, Etienne-Marie; Jevnikar, Mitja; Keddache, Sophia; Lecoq, Anne-Lise; Meyrignac, Olivier; Parent, Florence; Pichon, Jeremie; Preda, Mariana; Roche, Anne; Seferian, Andrei; Bellin, Marie-France; Gille, Thomas; Corruble, Emmanuelle; Sitbon, Olivier; Becquemont, Laurent; Monnet, Xavier; Humbert, Marc; Montani, David</t>
  </si>
  <si>
    <t>Comebac Investigators</t>
  </si>
  <si>
    <t>Functional respiratory complaints among COVID-19 survivors: a prospective cohort study</t>
  </si>
  <si>
    <t>CONSEQUENCES; ASTHMA; TESTS</t>
  </si>
  <si>
    <t>Background Dyspnoea is a common persistent symptom after COVID-19. Whether it is associated with functional respiratory disorders remains unclear. Methods We assessed the proportion and characteristics of patients with functional respiratory complaints (FRCs) (as defined by Nijmegen Questionnaire &gt;22) among 177 post-COVID-19 individuals who benefited from outclinic evaluation in the COMEBAC study (i.e., symptomatic and/or intensive care unit (ICU) survivors at 4 months). In a distinct explanatory cohort of 21 consecutive individuals with unexplained post-COVID-19 dyspnoea after routine tests, we also analysed the physiological responses to incremental cardiopulmonary exercise testing (CPET). Findings In the COMEBAC cohort, 37 patients had significant FRCs (20.9%, IC95: 14.9-26.9). The prevalence of FRCs ranged from 7.2% (ICU patients) to 37.5% (non-ICU patients). The presence of FRCs was significantly associated with more severe dyspnoea, lower 6-min walk distance, more frequent psychological and neurological symptoms (cognitive complaint, anxiety, depression, insomnia and posttraumatic stress disorders) and poorer quality of life (all p&lt;0.01). In the explanatory cohort, seven out of 21 patients had significant FRCs. Based on CPET, dysfunctional breathing was identified in 12 out of 21 patients, five out of 21 had normal CPET, three out of 21 had deconditioning and one out of 21 had evidence of uncontrolled cardiovascular disease. Interpretation FRCs are common during post-COVID-19 follow-up, especially among patients with unexplained dyspnoea. Diagnosis of dysfunctional breathing should be considered in those cases.</t>
  </si>
  <si>
    <t>[Beurnier, Antoine; Savale, Laurent; Jais, Xavier; Colle, Romain; Tai Pham; Morin, Luc; Bulifon, Sophie; Noel, Nicolas; Boucly, Athenais; Ebstein, Nathan; Figueiredo, Samy; Gasnier, Matthieu; Harrois, Anatole; Jutant, Etienne-Marie; Jevnikar, Mitja; Keddache, Sophia; Lecoq, Anne-Lise; Meyrignac, Olivier; Parent, Florence; Pichon, Jeremie; Preda, Mariana; Roche, Anne; Seferian, Andrei; Bellin, Marie-France; Corruble, Emmanuelle; Sitbon, Olivier; Becquemont, Laurent; Monnet, Xavier; Humbert, Marc; Montani, David] Univ Paris Saclay, Fac Med, Le Kremlin Bicetre, France; [Beurnier, Antoine; Savale, Laurent; Jais, Xavier; Bulifon, Sophie; Boucly, Athenais; Ebstein, Nathan; Jutant, Etienne-Marie; Jevnikar, Mitja; Keddache, Sophia; Parent, Florence; Pichon, Jeremie; Preda, Mariana; Roche, Anne; Seferian, Andrei; Sitbon, Olivier; Monnet, Xavier; Humbert, Marc; Montani, David] Hop Marie Lannelongue, Pulm Hypertens Pathophysiol &amp; Novel Therapies, INSERM, UMR S 999, Le Plessis Robinson, France; [Beurnier, Antoine] Hop Bicetre, AP HP, Dept Physiol Pulm Funct Testing, DMU Thorinno 5, Le Kremlin Bicetre, France; [Savale, Laurent; Jais, Xavier; Bulifon, Sophie; Boucly, Athenais; Delbarre, Benoit; Ebstein, Nathan; Jutant, Etienne-Marie; Jevnikar, Mitja; Keddache, Sophia; Parent, Florence; Pichon, Jeremie; Preda, Mariana; Roche, Anne; Seferian, Andrei; Sitbon, Olivier; Humbert, Marc; Montani, David] Hop Bicetre, AP HP, Dept Resp &amp; Intens Care Med, Pulm Hypertens Natl Referral Ctr,DMU Thorinno 5, Le Kremlin Bicetre, France; [Colle, Romain; Gasnier, Matthieu] Hop Bicetre, AP HP, CESP Ctr Rech Epidemiol &amp; Sante Populat, DMU 11,Equipe MOODS,INSERM,U1018,Psychiat Serv, Le Kremlin Bicetre, France; [Tai Pham; Monnet, Xavier] Hop Bicetre, AP HP, Serv Med Intens Reanimat, DMU CORREVE Malad Coeur &amp; Vaisseaux 4, FHU Sepsis, Le Kremlin Bicetre, France; [Tai Pham] INSERM, UMR S1018, CESP, Equipe Epidemiol Resp Integrat, Villejuif, France; [Morin, Luc] Hop Bicetre, AP HP, Serv Reanimat Pediat &amp; Med Neonatale, Sante Enfant &amp; Adolescent, Le Kremlin Bicetre, France; [Noel, Nicolas] Hop Bicetre, AP HP, Serv Med Interne &amp; Immunol Clin, DMU Endocrinol Immun Inflammat Canc Urgences 7, Le Kremlin Bicetre, France; [Figueiredo, Samy; Harrois, Anatole] Hop Bicetre, HP, Serv Reanimat Chirurg, DMU Anesthesie 12,Reanimat, Le Kremlin Bicetre, France; [Lecoq, Anne-Lise; Becquemont, Laurent] AP HP, Ctr Rech Clin Paris Saclay, DMU Sante Publ 13, Informat Med,Appui Rech Clin,INSERM,U1018,CESP, Le Kremlin Bicetre, France; [Meyrignac, Olivier; Bellin, Marie-France] Hop Bicetre, AP HP, Serv Radiol Diagnost &amp; Intervent, DMU Smart Imaging 14,BioMaps, Le Kremlin Bicetre, France; [Gille, Thomas] Univ Sorbonne Paris Nord, INSERM, U1272, Hypoxia &amp; Lung,UFR SMBH Leonard de Vinci, Bobigny, France; [Gille, Thomas] Hop Univ Paris Seine St Denis, AP HP, Dept Physiol &amp; Funct Explorat, DMU NARVAL, Sites Avicenne Bobigny &amp; Jean Verdier Bondy, Bobigny, France</t>
  </si>
  <si>
    <t>Universite Paris Saclay; Hopital Marie Lannelongue; Universite Paris Saclay; Institut National de la Sante et de la Recherche Medicale (Inserm); Universite Paris Saclay; Assistance Publique Hopitaux Paris (APHP); Hopital Universitaire Antoine-Beclere - APHP; Hopital Universitaire Bicetre - APHP; Assistance Publique Hopitaux Paris (APHP); Hopital Universitaire Bicetre - APHP; Universite Paris Saclay; Hopital Universitaire Antoine-Beclere - APHP; Assistance Publique Hopitaux Paris (APHP); Hopital Universitaire Antoine-Beclere - APHP; Institut National de la Sante et de la Recherche Medicale (Inserm); Universite Paris Saclay; Hopital Universitaire Bicetre - APHP; Assistance Publique Hopitaux Paris (APHP); Hopital Universitaire Antoine-Beclere - APHP; Universite Paris Saclay; Hopital Universitaire Bicetre - APHP; Universite Paris Saclay; Institut National de la Sante et de la Recherche Medicale (Inserm); Assistance Publique Hopitaux Paris (APHP); Hopital Universitaire Bicetre - APHP; Universite Paris Saclay; Hopital Universitaire Antoine-Beclere - APHP; Assistance Publique Hopitaux Paris (APHP); Hopital Universitaire Bicetre - APHP; Hopital Universitaire Antoine-Beclere - APHP; Universite Paris Saclay; Universite Paris Saclay; Assistance Publique Hopitaux Paris (APHP); Hopital Universitaire Bicetre - APHP; Hopital Universitaire Antoine-Beclere - APHP; Assistance Publique Hopitaux Paris (APHP); Hopital Universitaire Bicetre - APHP; Universite Paris Saclay; Institut National de la Sante et de la Recherche Medicale (Inserm); Assistance Publique Hopitaux Paris (APHP); Hopital Universitaire Antoine-Beclere - APHP; Universite Paris Saclay; Hopital Universitaire Bicetre - APHP; Institut National de la Sante et de la Recherche Medicale (Inserm); Institut National de la Sante et de la Recherche Medicale (Inserm); Assistance Publique Hopitaux Paris (APHP); Hopital Universitaire Avicenne - APHP</t>
  </si>
  <si>
    <t>Montani, D (corresponding author), Univ Paris Saclay, Fac Med, Le Kremlin Bicetre, France.;Montani, D (corresponding author), Hop Marie Lannelongue, Pulm Hypertens Pathophysiol &amp; Novel Therapies, INSERM, UMR S 999, Le Plessis Robinson, France.;Montani, D (corresponding author), Hop Bicetre, AP HP, Dept Resp &amp; Intens Care Med, Pulm Hypertens Natl Referral Ctr,DMU Thorinno 5, Le Kremlin Bicetre, France.</t>
  </si>
  <si>
    <t>Gasnier, Matthieu/KFS-1044-2024; Noel, Nicolas/AAK-3911-2021; Pham, Tai/KHY-9966-2024; becquemont, laurent/KLD-8162-2024; David, Montani/I-6885-2019; Savale, Laurent/AAJ-9781-2020; Morin, Luc/AAU-1979-2021; Colle, romain/D-9144-2017; Humbert, Marc/AAC-8459-2019</t>
  </si>
  <si>
    <t>PHAM, Tai/0000-0002-4373-0711; Humbert, Marc/0000-0003-0703-2892; Savale, Laurent/0000-0002-6862-8975; Gasnier, Matthieu/0000-0003-4887-4025; Morin, Luc/0000-0001-6721-4677; Noel, Nicolas/0000-0003-4055-617X</t>
  </si>
  <si>
    <t>Assistance Publique-Hopitaux de Paris</t>
  </si>
  <si>
    <t>This study was supported by Assistance Publique-Hopitaux de Paris. Funding information for this article has been deposited with the Crossref Funder Registry.</t>
  </si>
  <si>
    <t>00063-2023</t>
  </si>
  <si>
    <t>10.1183/23120541.00063-2023</t>
  </si>
  <si>
    <t>E4VG8</t>
  </si>
  <si>
    <t>WOS:000975529100002</t>
  </si>
  <si>
    <t>Boucly, A; Tu, L; Guignabert, C; Rhodes, C; De Groote, P; Prevot, G; Bergot, E; Bourdin, A; Beurnier, A; Roche, A; Jevnikar, M; Jais, X; Montani, D; Wilkins, M; Humbert, MJ; Sitbon, O; Savale, L</t>
  </si>
  <si>
    <t>Boucly, A.; Tu, L.; Guignabert, C.; Rhodes, C.; De Groote, P.; Prevot, G.; Bergot, E.; Bourdin, A.; Beurnier, A.; Roche, A.; Jevnikar, M.; Jais, X.; Montani, D.; Wilkins, M.; Humbert, M. J.; Sitbon, O.; Savale, L.</t>
  </si>
  <si>
    <t>Cytokines as Prognostic Biomarkers in Pulmonary Arterial Hypertension</t>
  </si>
  <si>
    <t>[Boucly, A.; Rhodes, C.; Wilkins, M.] Imperial Coll London, INHLI, London, England; [Tu, L.; Guignabert, C.] INSERM, UMR S999, Le Kremlin Bicetre, France; [De Groote, P.] Univ Lille, Serv Cardiol, Lille, France; [Prevot, G.] CHU Toulouse, Serv Pneumol, Toulouse, France; [Bergot, E.] Unicaen, Serv Pneumol, UFR Sante, Caen, France; [Bourdin, A.] Univ Montpellier, Resp Dis, Montpellier, France; [Beurnier, A.; Roche, A.; Jevnikar, M.; Jais, X.; Montani, D.; Humbert, M. J.; Sitbon, O.; Savale, L.] Hop Bicetre, Le Kremlin Bicetre, France</t>
  </si>
  <si>
    <t>Imperial College London; Universite Paris Saclay; Institut National de la Sante et de la Recherche Medicale (Inserm); Universite de Lille; CHU de Toulouse; Universite de Toulouse; Universite Toulouse III - Paul Sabatier; Universite de Caen Normandie; Universite de Montpellier; Assistance Publique Hopitaux Paris (APHP); Hopital Universitaire Bicetre - APHP; Hopital Universitaire Antoine-Beclere - APHP; Universite Paris Saclay</t>
  </si>
  <si>
    <t>Savale, Laurent/AAJ-9781-2020; David, Montani/I-6885-2019; Humbert, Marc/AAC-8459-2019; Bergot, Emmanuel/KHZ-1685-2024; Bourdin, Philippe/D-8149-2015; DE GROOTE, Pascal/LLL-9444-2024; GUIGNABERT, Christophe/G-3873-2013</t>
  </si>
  <si>
    <t>de Groote, Pascal/0000-0002-6211-0147; Rhodes, Christopher/0000-0002-4962-3204</t>
  </si>
  <si>
    <t>A2513</t>
  </si>
  <si>
    <t>WOS:000995814702167</t>
  </si>
  <si>
    <t>Celli, BR; Fabbri, LM; Aaron, SD; Agusti, A; Brook, RD; Criner, GJ; Franssen, FME; Humbert, M; Hurst, JR; de Oca, MM; Pantoni, L; Papi, A; Rodriguez-Roisin, R; Sethi, S; Stolz, D; Torres, A; Vogelmeier, CF; Wedzicha, JA</t>
  </si>
  <si>
    <t>Celli, Bartolome R.; Fabbri, Leonardo M.; Aaron, Shawn D.; Agusti, Alvar; Brook, Robert D.; Criner, Gerard J.; Franssen, Frits M. E.; Humbert, Marc; Hurst, John R.; de Oca, Maria Montes; Pantoni, Leonardo; Papi, Alberto; Rodriguez-Roisin, Roberto; Sethi, Sanjay; Stolz, Daiana; Torres, Antoni; Vogelmeier, Claus F.; Wedzicha, Jadwiga A.</t>
  </si>
  <si>
    <t>Differential Diagnosis of Suspected Chronic Obstructive Pulmonary Disease Exacerbations in the Acute Care Setting Best Practice</t>
  </si>
  <si>
    <t>COPD; differential diagnosis; symptom flare-up; algorithms</t>
  </si>
  <si>
    <t>RESPIRATORY-TRACT INFECTIONS; COMMUNITY-ACQUIRED PNEUMONIA; MYOCARDIAL-INFARCTION; CARDIOVASCULAR RISK; ADULT PATIENTS; ANTIBIOTIC USE; HEART-FAILURE; ACUTE DYSPNEA; COPD; MANAGEMENT</t>
  </si>
  <si>
    <t>Patients with chronic obstructive pulmonary disease (COPD) may suffer from acute episodes of worsening dyspnea, often associated with increased cough, sputum, and/or sputum purulence. These exacerbations of COPD (ECOPDs) impact health status, accelerate lung function decline, and increase the risk of hospitalization. Importantly, close to 20% of patients are readmitted within 30 days after hospital discharge, with great cost to the person and society. Approximately 25% and 65% of patients hospitalized for an ECOPD die within 1 and 5 years, respectively. Patients with COPD are usually older and frequently have concomitant chronic diseases, including heart failure, coronary artery disease, arrhythmias, interstitial lung diseases, bronchiectasis, asthma, anxiety, and depression, and are also at increased risk of developing pneumonia, pulmonary embolism, and pneumothorax. All of these morbidities not only increase the risk of subsequent ECOPDs but can also mimic or aggravate them. Importantly, close to 70% of readmissions after an ECOPD hospitalization result from decompensation of other morbidities. These observations suggest that in patients with COPD with worsening dyspnea but without the other classic characteristics of ECOPD, a careful search for these morbidities can help detect them and allow appropriate treatment. For most morbidities, a thorough clinical evaluation supplemented by appropriate clinical investigations can guide the healthcare provider to make a precise diagnosis. This perspective integrates the currently dispersed information available and provides a practical approach to patients with COPD complaining of worsening respiratory symptoms, particularly dyspnea. A systematic approach should help improve outcomes and the personal and societal cost of ECOPDs.</t>
  </si>
  <si>
    <t>[Celli, Bartolome R.] Brigham &amp; Womens Hosp, Div Pulm &amp; Crit Care Med, Boston, MA USA; [Celli, Bartolome R.] Harvard Med Sch, Boston, MA USA; [Fabbri, Leonardo M.] Univ Ferrara, Sect Resp Med, Dept Translat Med, Ferrara, Italy; [Aaron, Shawn D.] Univ Ottawa, Ottawa Hosp Res Inst, Ottawa, ON, Canada; [Agusti, Alvar; Rodriguez-Roisin, Roberto; Torres, Antoni] Univ Barcelona, Barcelona, Spain; [Agusti, Alvar; Rodriguez-Roisin, Roberto; Torres, Antoni] Hosp Clin Barcelona, Inst Clin Resp, Barcelona, Spain; [Agusti, Alvar; Torres, Antoni] Inst Invest Biomed August Pi &amp; Sunyer, Barcelona, Spain; [Agusti, Alvar] Ctr Invest Biomed Red Enfermedades Resp, Madrid, Spain; [Brook, Robert D.] Wayne State Univ, Div Cardiovasc Med, Dept Internal Med, Detroit, MI USA; [Criner, Gerard J.] Temple Univ, Lewis Katz Sch Med, Dept Thorac Med &amp; Surg, Philadelphia, PA USA; [Franssen, Frits M. E.] CIRO, Dept Res &amp; Educ, Horn, Netherlands; [Franssen, Frits M. E.] Maastricht Univ, Dept Resp Med, Med Ctr, Maastricht, Netherlands; [Humbert, Marc] Hopl Bicetre, Assistance Publ Hop Paris, Dept Resp &amp; Intens Care Med, Le Kremlin Bicetre, France; [Humbert, Marc] Univ Paris Saclay, Unit Mixte Rech 999, Le Kremlin Bicetre, France; [Humbert, Marc] Inst Natl Sant &amp; Rech Med, Unit Mixte Rech 999, Le Kremlin Bicetre, France; [Hurst, John R.] UCL, UCL Resp, London, England; [de Oca, Maria Montes] Cent Univ Venezuela, Sch Med, Ctr Med Caracas, Caracas, Venezuela; [Pantoni, Leonardo] Univ Milan, Dept Biomed &amp; Clin Sci, Milan, Italy; [Papi, Alberto] Univ Ferrara, Sect Resp Med, Ferrara, Italy; [Papi, Alberto] St Anna Univ Hosp, Emergency Dept, Ferrara, Italy; [Sethi, Sanjay] SUNY Buffalo, Jacobs Sch Med &amp; Biomed Sci, Buffalo, NY USA; [Stolz, Daiana] Univ Hosp Basel, Clin Resp Med &amp; Pulm Cell Res, Basel, Switzerland; [Stolz, Daiana] Univ Basel Hosp, Dept Clin Res, Basel, Switzerland; [Stolz, Daiana] Univ Freiburg, Clin Resp Med, Freiburg, Germany; [Stolz, Daiana] Univ Freiburg, Fac Med, Freiburg, Germany; [Torres, Antoni] Inst Catalana Recerca Estudis &amp; Avancats Acad, Ctr Invest Biomed Xarxa Malalties Respi, Barcelona, Spain; [Vogelmeier, Claus F.] Philipps Univ Marburg, Univ Med Ctr Giessen &amp; Marburg, Dept Med, German Ctr Lung Res DZL, Marburg, Germany; [Wedzicha, Jadwiga A.] Natl Heart &amp; Lung Inst, Div Resp, Imperial Coll, London, England</t>
  </si>
  <si>
    <t>Harvard University; Harvard University Medical Affiliates; Brigham &amp; Women's Hospital; Harvard University; Harvard Medical School; University of Ferrara; University of Ottawa; Ottawa Hospital Research Institute; University of Barcelona; University of Barcelona; Hospital Clinic de Barcelona; University of Barcelona; Hospital Clinic de Barcelona; IDIBAPS; CIBER - Centro de Investigacion Biomedica en Red; CIBERES; Wayne State University; Pennsylvania Commonwealth System of Higher Education (PCSHE); Temple University; Maastricht University; Assistance Publique Hopitaux Paris (APHP); Universite Paris Cite; Hopital Universitaire Saint-Louis - APHP; Hopital Universitaire Bicetre - APHP; Universite Paris Saclay; Institut National de la Sante et de la Recherche Medicale (Inserm); University of London; University College London; University of Central Venezuela; University of Milan; University of Ferrara; University of Ferrara; Arcispedale Sant'Anna; State University of New York (SUNY) System; University at Buffalo, SUNY; University of Basel; University of Basel; University of Freiburg; University of Freiburg; ICREA; Philipps University Marburg; University Hospital of Giessen &amp; Marburg; Imperial College London</t>
  </si>
  <si>
    <t>Celli, BR (corresponding author), 31 River Glen Rd, Wellesley, MA 02481 USA.</t>
  </si>
  <si>
    <t>bcelli@copdnet.org</t>
  </si>
  <si>
    <t>Garcia-Navarro, Alvar/F-4474-2015; Papi, alberto/AAC-1888-2019; Franssen, Frits/L-3334-2019; Torres, Antoni/H-6128-2017; de, Maria/AAP-7687-2021; Humbert, Marc/AAC-8459-2019; Fabbri, Leonardo/I-4055-2012</t>
  </si>
  <si>
    <t>Montes de Oca, Maria/0000-0002-5274-7574; Hurst, John/0000-0002-7246-6040; Humbert, Marc/0000-0003-0703-2892; Fabbri, Leonardo/0000-0001-8894-1689</t>
  </si>
  <si>
    <t>Chiesi Farmaceutici SpA</t>
  </si>
  <si>
    <t>Chiesi Farmaceutici SpA(Chiesi Pharmaceuticals Inc)</t>
  </si>
  <si>
    <t>Writing support (in the form of editing content for grammar and journal style) was provided by David Young of Young Medical Communications and Consulting Ltd. This support was funded by Chiesi Farmaceutici SpA.</t>
  </si>
  <si>
    <t>10.1164/rccm.202209-1795CI</t>
  </si>
  <si>
    <t>E4YA5</t>
  </si>
  <si>
    <t>WOS:000975601200011</t>
  </si>
  <si>
    <t>Guignabert, C; Savale, L; Boucly, A; Thuillet, R; Tu, L; Ottaviani, M; Rhodes, CJ; De Groote, P; Prévot, G; Bergot, E; Bourdin, A; Howard, L; Fadel, E; Beurnier, A; Roche, A; Jevnikar, M; Jaïs, X; Montani, D; Wilkins, M; Sitbon, O; Humbert, MJ</t>
  </si>
  <si>
    <t>Guignabert, C.; Savale, L.; Boucly, A.; Thuillet, R.; Tu, L.; Ottaviani, M.; Rhodes, C. J.; De Groote, P.; Prevot, G.; Bergot, E.; Bourdin, A.; Howard, L.; Fadel, E.; Beurnier, A.; Roche, A.; Jevnikar, M.; Jais, X.; Montani, D.; Wilkins, M.; Sitbon, O.; Humbert, M. J.</t>
  </si>
  <si>
    <t>Associations Between Serum Activin A and Follistatine-Like 3 Levels and Outcomes in Pulmonary Arterial Hypertension</t>
  </si>
  <si>
    <t>[Guignabert, C.; Thuillet, R.; Tu, L.; Ottaviani, M.; Fadel, E.] Univ Paris Saclay, INSERM, UMR S 999, Le Kremlin Bicetre, France; [Savale, L.; Boucly, A.; Beurnier, A.; Roche, A.; Jevnikar, M.; Jais, X.; Montani, D.; Sitbon, O.; Humbert, M. J.] Univ Paris Saclay, INSERM, AP HP, UMR S 999, Le Kremlin Bicetre, France; [Rhodes, C. J.] Imperial Coll London, NHLI, London, England; [De Groote, P.] Univ Lille, INSERM, UMR S 1167, Lille, France; [Prevot, G.] CHU Toulouse, Serv Pneumol, Toulouse, France; [Bergot, E.] Univ Caen Normandie, Serv Pneumol &amp; Oncol Thorac, CHU Caaen, Caen, France; [Bourdin, A.] Univ Montpellier, Resp Dis, F-34295 Montpellier, France; [Howard, L.; Wilkins, M.] Imperial Coll Healthcare NHS Trust, Hammersmith Hosp, London, England</t>
  </si>
  <si>
    <t>Universite Paris Saclay; Institut National de la Sante et de la Recherche Medicale (Inserm); Assistance Publique Hopitaux Paris (APHP); Hopital Universitaire Bicetre - APHP; Universite Paris Saclay; Institut National de la Sante et de la Recherche Medicale (Inserm); Imperial College London; Universite de Lille; Institut National de la Sante et de la Recherche Medicale (Inserm); CHU de Toulouse; Universite de Toulouse; Universite Toulouse III - Paul Sabatier; Universite de Caen Normandie; Universite de Montpellier; Imperial College London</t>
  </si>
  <si>
    <t>Bergot, Emmanuel/KHZ-1685-2024; David, Montani/I-6885-2019; Humbert, Marc/AAC-8459-2019; Bourdin, Philippe/D-8149-2015; GUIGNABERT, Christophe/G-3873-2013; DE GROOTE, Pascal/LLL-9444-2024</t>
  </si>
  <si>
    <t>INSERM; UniversitA Paris-Saclay; AP-HP; Acceleron Pharma; National Agency for Research; BHF Imperial Research Centre of Excellence; Fondation de la Recherche MAdicale</t>
  </si>
  <si>
    <t>INSERM(Institut National de la Sante et de la Recherche Medicale (Inserm)); UniversitA Paris-Saclay; AP-HP; Acceleron Pharma; National Agency for Research(Agence Nationale de la Recherche (ANR)); BHF Imperial Research Centre of Excellence; Fondation de la Recherche MAdicale</t>
  </si>
  <si>
    <t>This abstract is funded by: INSERM, UniversitA (c) Paris-Saclay, AP-HP, Acceleron Pharma, a wholly-owned subsidiary of Merck &amp; Co., Inc, National Agency for Research, BHF Imperial Research Centre of Excellence, Fondation de la Recherche MA (c) dicale</t>
  </si>
  <si>
    <t>A3797</t>
  </si>
  <si>
    <t>WOS:000995814704162</t>
  </si>
  <si>
    <t>Maspero, JF; Corren, J; Katelaris, C; Castro, M; Humbert, MJ; Halpin, DM; Altincatal, A; Pandit-Abid, N; Soler, X; Radwan, A; Jacob-Nara, JA; Deniz, YM; Rowe, PJ</t>
  </si>
  <si>
    <t>Maspero, J. F.; Corren, J.; Katelaris, C.; Castro, M.; Humbert, M. J.; Halpin, D. M.; Altincatal, A.; Pandit-Abid, N.; Soler, X.; Radwan, A.; Jacob-Nara, J. A.; Deniz, Y. M.; Rowe, P. J.</t>
  </si>
  <si>
    <t>Dupilumab Reduced Severe Exacerbation Rates and Improved Pre-bronchodilator Fev1 in Patients With Moderate-to-Severe Asthma Regardless of Exacerbation History of ≥1, ≥2, or ≥3 Prior Exacerbations: Liberty Asthma Traverse</t>
  </si>
  <si>
    <t>[Maspero, J. F.] Fdn CIDEA, Buenos Aires, Argentina; [Corren, J.] UCLA, David Geffen Sch Med, Los Angeles, CA USA; [Katelaris, C.] Campbelltown Hosp, Campbelltown, Australia; [Castro, M.] Univ Kansas, Kansas City, KS USA; [Humbert, M. J.] Hop Bicetre, Bicetre, Le Kremlin Bicetre, France; [Halpin, D. M.] Univ Exeter, Sch Med, Exeter, England; [Altincatal, A.] Sanofi, Cambridge, MA USA; [Pandit-Abid, N.; Jacob-Nara, J. A.; Rowe, P. J.] Sanofi, Bridgewater, NJ USA; [Soler, X.; Radwan, A.; Deniz, Y. M.] Regeneron Pharmaceut Inc, Tarrytown, NY USA</t>
  </si>
  <si>
    <t>University of California System; University of California Los Angeles; University of California Los Angeles Medical Center; David Geffen School of Medicine at UCLA; NSW Health; Campbelltown Hospital; University of Kansas; Assistance Publique Hopitaux Paris (APHP); Hopital Universitaire Bicetre - APHP; University of Exeter; Sanofi-Aventis; Sanofi USA; Sanofi-Aventis; Sanofi USA; Regeneron</t>
  </si>
  <si>
    <t>Sanofi; Regeneron Pharmaceuticals, Inc.</t>
  </si>
  <si>
    <t>Sanofi; Regeneron Pharmaceuticals, Inc.(Regeneron)</t>
  </si>
  <si>
    <t>This abstract is funded by: Acknowledgments: Research sponsored by Sanofi and Regeneron Pharmaceuticals, Inc. ClinicalTrials.gov Identifiers: NCT02414854 and NCT02134028. Medical writing/editorial assistance was provided by Maya Chergova, PhD, of Excerpta Medica, and was funded by Sanofi and Regeneron Pharmaceuticals, Inc., according to the Good Publication Practice guideline.</t>
  </si>
  <si>
    <t>A4742</t>
  </si>
  <si>
    <t>WOS:000995814705446</t>
  </si>
  <si>
    <t>Fournier, E; Selegny, M; Amsallem, M; Haddad, F; Cohen, S; Valdeolmillos, E; Le Pavec, J; Humbert, M; Isorni, MA; Azarine, A; Sitbon, O; Jais, X; Savale, L; Montani, D; Fadel, E; Zoghbi, J; Belli, E; Hascoet, S</t>
  </si>
  <si>
    <t>Fournier, Emmanuelle; Selegny, Maelle; Amsallem, Myriam; Haddad, Francois; Cohen, Sarah; Valdeolmillos, Estibaliz; Le Pavec, Jerome; Humbert, Marc; Isorni, Marc -Antoine; Azarine, Arshid; Sitbon, Olivier; Jais, Xavier; Savale, Laurent; Montani, David; Fadel, Elie; Zoghbi, Joy; Belli, Emre; Hascoet, Sebastien</t>
  </si>
  <si>
    <t>Multiparametric evaluation of right ventricular function in pulmonary arterial hypertension associated with congenital heart disease</t>
  </si>
  <si>
    <t>REVISTA ESPANOLA DE CARDIOLOGIA</t>
  </si>
  <si>
    <t>Pulmonary arterial hypertension; Congenital heart disease; Echocardiography; Right ventricle; Right ventricle end-systolic remodeling; index</t>
  </si>
  <si>
    <t>EUROPEAN ASSOCIATION; AMERICAN SOCIETY; ECHOCARDIOGRAPHY; ADULTS; PREDICTORS; GUIDELINES; MORTALITY; SURVIVAL; SCORE</t>
  </si>
  <si>
    <t>Introduction and objectives: Outcome in patients with congenital heart diseases and pulmonary arterial hypertension (PAH) is closely related to right ventricular (RV) function. Two-dimensional echocardio-graphic parameters, such as strain imaging or RV end-systolic remodeling index (RVESRI) have emerged to quantify RV function.Methods: We prospectively studied 30 patients aged 48 &amp; PLUSMN; 12 years with pretricuspid shunt and PAH and investigated the accuracy of multiple echocardiographic parameters of RV function (tricuspid annular plane systolic excursion, tricuspid annular peak systolic velocity, RV systolic-to-diastolic duration ratio, right atrial area, RV fractional area change, RV global longitudinal strain and RVESRI) to RV ejection fraction measured by cardiac magnetic resonance.Results: RV ejection fraction &lt; 45% was observed in 13 patients (43.3%). RV global longitudinal strain (p [Spearman's correlation coefficient] =-0.75; P = .001; R2 = 0.58; P = .001), right atrium area (p =-0.74; P &lt; .0001; R2 = 0.56; P &lt; .0001), RVESRI (p =-0.64; P &lt; .0001; R2 = 0.47; P &lt; .0001), systolic-to-diastolic duration ratio (p =-0.62; P = .0004; R2 = 0.47; P &lt; .0001) and RV fractional area change (p = 0.48; P = .01; R2 = 0.37; P &lt; .0001) were correlated with RV ejection fraction. RV global longitudinal strain, RVESRI and right atrium area predicted RV ejection fraction &lt; 45% with the greatest area under curve (0.88; 95%CI, 0.71-1.00; 0.88; 95%CI, 0.76-1.00, and 0.89; 95%CI, 0.77-1.00, respectively). RV global longitudinal strain &gt;-16%, RVESRI &amp; GE; 1.7 and right atrial area &amp; GE; 22 cm2 predicted RV ejection fraction &lt; 45% with a sensitivity and specificity of 87.5% and 85.7%; 76.9% and 88.3%; 92.3% and 82.4%, respectively.Conclusions: RVESRI, right atrial area and RV global longitudinal strain are strong markers of RV dysfunction in patients with pretricuspid shunt and PAH. ⠅(C) 2022 Sociedad Espanola de Cardiologia. Published by Elsevier Espana, S.L.U. All rights reserved.</t>
  </si>
  <si>
    <t>[Fournier, Emmanuelle; Selegny, Maelle; Cohen, Sarah; Valdeolmillos, Estibaliz; Zoghbi, Joy; Belli, Emre; Hascoet, Sebastien] Paris Saclay Univ, Marie Lannelongue Hosp, Expert Ctr Complex Congenital Heart Dis M3CNetwork, Div Congenital Heart Dis,Grp Hosp Paris St Joseph, Paris, France; [Selegny, Maelle] Univ Hosp Amiens, Pediat &amp; Congenital Cardiol Unit, Amiens, France; [Amsallem, Myriam; Haddad, Francois] Stanford Univ, Sch Med, Div Cardiovasc Med, Stanford, CA USA; [Valdeolmillos, Estibaliz; Humbert, Marc; Sitbon, Olivier; Jais, Xavier; Savale, Laurent; Montani, David; Fadel, Elie; Hascoet, Sebastien] Hop Marie Lannelongue, Inst Natl Santeet Rech Med INSERM Unite Mixte Rech, Le Plessis Robinson, France; [Le Pavec, Jerome; Fadel, Elie] Marie Lannelongue Hosp, Div Thorac Surg &amp; Pneumol, Le Plessis Robinson, France; [Humbert, Marc; Sitbon, Olivier; Jais, Xavier; Savale, Laurent; Montani, David] Univ Paris Saclay, Hop Bicetre, AP HP, Pulm Hypertens Natl Referral Ctr,Dept Resp &amp; Inten, Le Kremlin Bicetre, France; [Isorni, Marc -Antoine; Azarine, Arshid] Paris Saclay Univ, Marie Lannelongue Hosp, Dept Radiol, Grp Hosp Paris St Joseph, Le Plessis Robinson, France</t>
  </si>
  <si>
    <t>Universite Paris Saclay; Universite Paris Cite; Hopital Paris Saint-Joseph; Hopital Marie Lannelongue; Universite de Picardie Jules Verne (UPJV); CHU Amiens; Stanford University; Hopital Marie Lannelongue; Hopital Marie Lannelongue; Assistance Publique Hopitaux Paris (APHP); Hopital Universitaire Bicetre - APHP; Hopital Universitaire Antoine-Beclere - APHP; Institut National de la Sante et de la Recherche Medicale (Inserm); Universite Paris Saclay; Hopital Marie Lannelongue; Universite Paris Cite; Hopital Paris Saint-Joseph; Universite Paris Saclay</t>
  </si>
  <si>
    <t>Hascoet, S (corresponding author), Paris Saclay Univ, Marie Lannelongue Hosp, Expert Ctr Complex Congenital Heart Dis M3CNetwork, Div Congenital Heart Dis,Grp Hosp Paris St Joseph, Paris, France.;Hascoet, S (corresponding author), Hop Marie Lannelongue, Inst Natl Santeet Rech Med INSERM Unite Mixte Rech, Le Plessis Robinson, France.</t>
  </si>
  <si>
    <t>Azarine, Arshid/LXW-2511-2024; Savale, Laurent/AAJ-9781-2020; David, Montani/I-6885-2019; Fournier, Emmanuelle/AAK-2245-2021; Hascoet, Sebastien/Q-3311-2018; Humbert, Marc/AAC-8459-2019</t>
  </si>
  <si>
    <t>EDICIONES DOYMA S A</t>
  </si>
  <si>
    <t>TRAV DE GRACIA 17-21, 08021 BARCELONA, SPAIN</t>
  </si>
  <si>
    <t>1885-5857</t>
  </si>
  <si>
    <t>REV ESP CARDIOL</t>
  </si>
  <si>
    <t>Rev. Esp. Cardiol.</t>
  </si>
  <si>
    <t>MAY</t>
  </si>
  <si>
    <t>10.1016/j.recesp.2022.07.012</t>
  </si>
  <si>
    <t>APR 2023</t>
  </si>
  <si>
    <t>O2VD9</t>
  </si>
  <si>
    <t>WOS:001042439400001</t>
  </si>
  <si>
    <t>Perros, F; Jutant, EM; Savale, L; Dorfmüller, P; Humbert, M; Montani, D</t>
  </si>
  <si>
    <t>Perros, Frederic; Jutant, Etienne-Marie; Savale, Laurent; Dorfmueller, Peter; Humbert, Marc; Montani, David</t>
  </si>
  <si>
    <t>Physiopathology and treatment of pulmonary arterial hypertension</t>
  </si>
  <si>
    <t>M S-MEDECINE SCIENCES</t>
  </si>
  <si>
    <t>CALCIUM-CHANNEL BLOCKERS; LONG-TERM RESPONSE; THERAPY; RISK</t>
  </si>
  <si>
    <t>Pulmonary arterial hypertension (PAH) is a rare disease affecting mainly the pre-capillary pulmonary vascular bed. However, some forms of the disease have venous/capillary involvement. It is an obstructive remodelling of the pulmonary arterioles coupled with vascular pruning, increasing right ventricular afterload and leading to right heart failure. PAH has a complex pathogeny that is detailed in this review. Current specific treatments target endothelial dysfunction, and primarily aim at vasodilatation. Promising innovative treatments targeting the pulmonary artery remodelling are under development.</t>
  </si>
  <si>
    <t>[Perros, Frederic; Savale, Laurent; Humbert, Marc; Montani, David] Univ Paris Saclay, Fac med, F-94270 Le Kremlin Bicetre, France; [Perros, Frederic; Savale, Laurent; Humbert, Marc; Montani, David] Hop Marie Lannelongue, Grp hosp St Joseph, Inserm UMR S 999, F-92350 Le Plessis Robinson, France; [Perros, Frederic; Savale, Laurent; Humbert, Marc; Montani, David] Hop Bicetre, AP HP, Ctr Reference lhypertens Plum, Serv Pneumol &amp; Soins Intens Resp, 78 Rue Gen Leclerc, F-94270 Le Kremlin Bicetre, France; [Jutant, Etienne-Marie] Univ Poitiers, Serv pneumol, CHU Poitiers, Inserm CIC, 1402 Axe IS-AL, Poitiers, France; [Dorfmueller, Peter] Marburg &amp; Deutsch Zent Lungenforsch DZL, Inst Pathol, Univ Klinikum Giessen, Allemagne, Germany</t>
  </si>
  <si>
    <t>Universite Paris Saclay; Hopital Marie Lannelongue; Institut National de la Sante et de la Recherche Medicale (Inserm); Universite Paris Saclay; Universite Paris Saclay; Assistance Publique Hopitaux Paris (APHP); Hopital Universitaire Bicetre - APHP; Hopital Universitaire Antoine-Beclere - APHP; Universite de Poitiers; CHU Poitiers; Institut National de la Sante et de la Recherche Medicale (Inserm)</t>
  </si>
  <si>
    <t>Perros, F; Montani, D (corresponding author), Univ Paris Saclay, Fac med, F-94270 Le Kremlin Bicetre, France.;Perros, F; Montani, D (corresponding author), Hop Marie Lannelongue, Grp hosp St Joseph, Inserm UMR S 999, F-92350 Le Plessis Robinson, France.;Perros, F; Montani, D (corresponding author), Hop Bicetre, AP HP, Ctr Reference lhypertens Plum, Serv Pneumol &amp; Soins Intens Resp, 78 Rue Gen Leclerc, F-94270 Le Kremlin Bicetre, France.</t>
  </si>
  <si>
    <t>frederic.perros@inserm.fr; david.montani@aphp.fr</t>
  </si>
  <si>
    <t>Perros, Frédéric/N-6921-2017; David, Montani/I-6885-2019; Savale, Laurent/AAJ-9781-2020; Humbert, Marc/AAC-8459-2019</t>
  </si>
  <si>
    <t>EDP SCIENCES S A</t>
  </si>
  <si>
    <t>LES ULIS CEDEX A</t>
  </si>
  <si>
    <t>17, AVE DU HOGGAR, PA COURTABOEUF, BP 112, F-91944 LES ULIS CEDEX A, FRANCE</t>
  </si>
  <si>
    <t>0767-0974</t>
  </si>
  <si>
    <t>1958-5381</t>
  </si>
  <si>
    <t>M S-MED SCI</t>
  </si>
  <si>
    <t>M S-Med. Sci.</t>
  </si>
  <si>
    <t>APR 24</t>
  </si>
  <si>
    <t>10.1051/medsci/2023053</t>
  </si>
  <si>
    <t>Medicine, Research &amp; Experimental</t>
  </si>
  <si>
    <t>Research &amp; Experimental Medicine</t>
  </si>
  <si>
    <t>F5RT8</t>
  </si>
  <si>
    <t>hybrid, Green Submitted</t>
  </si>
  <si>
    <t>WOS:000982924400012</t>
  </si>
  <si>
    <t>Aktaa, S; Gale, CP; Brida, M; Giannakoulas, G; Kovacs, G; Adir, Y; Benza, RL; Böhm, M; Coats, A; D'Alto, M; Escribano-Subias, P; Ferrari, P; Galiè, N; Gibbs, JSR; Gin-Sing, W; Hoeper, MM; Humbert, M; Lang, LM; Maron, BA; Meszaros, G; Noordegraaf, AV; Price, LC; Pepke-Zaba, J; Radegran, G; Reis, A; Sitbon, O; Torbicki, A; Ulrich, S; Rosenkranz, S; Delcroix, M</t>
  </si>
  <si>
    <t>Aktaa, Suleman; Gale, Chris P.; Brida, Margarita; Giannakoulas, George; Kovacs, Gabor; Adir, Yochai; Benza, Raymond L.; Boehm, Michael; Coats, Andrew; D'Alto, Michele; Escribano-Subias, Pilar; Ferrari, Pisana; Galie, Nazzareno; Gibbs, J. Simon R.; Gin-Sing, Wendy; Hoeper, Marius M.; Humbert, Marc; Lang, Irene M.; Maron, Bradley A.; Meszaros, Gergely; Noordegraaf, Anton V.; Price, Laura C.; Pepke-Zaba, Joanna; Radegran, Goeran; Reis, Abilio; Sitbon, Olivier; Torbicki, Adam; Ulrich, Silvia; Rosenkranz, Stephan; Delcroix, Marion</t>
  </si>
  <si>
    <t>European Society of Cardiology quality indicators for the care and outcomes of adults with pulmonary arterial hypertension. Developed in collaboration with the Heart Failure Association of the European Society of Cardiology</t>
  </si>
  <si>
    <t>EUROPEAN JOURNAL OF HEART FAILURE</t>
  </si>
  <si>
    <t>Pulmonary arterial hypertension; Quality indicators; Treatment; Accountability; Clinical practice guidelines; Outcomes</t>
  </si>
  <si>
    <t>Aims To develop a suite of quality indicators (QIs) for the evaluation of the care and outcomes for adults with pulmonary arterial hypertension (PAH).Methods and results We followed the European Society of Cardiology (ESC) methodology for the development of QIs. This included (i) the identification of key domains of care for the management of PAH, (ii) the proposal of candidate QIs following systematic review of the literature, and (iii) the selection of a set of QIs using a modified Delphi method. The process was undertaken in parallel with the writing of the 2022 ESC/European Respiratory Society (ERS) guidelines for the diagnosis and treatment of pulmonary hypertension and involved the Task Force chairs, experts in PAH, Heart Failure Association (HFA) members and patient representatives. We identified five domains of care for patients with PAH: structural framework, diagnosis and risk stratification, initial treatment, follow-up, and outcomes. In total, 23 main and one secondary QIs for PAH were selected.Conclusion This document presents the ESC QIs for PAH, describes their development process and offers scientific rationale for their selection. The indicators may be used to quantify and improve adherence to guideline-recommended clinical practice and improve patient outcomes.</t>
  </si>
  <si>
    <t>[Aktaa, Suleman; Gale, Chris P.] Univ Leeds, Leeds Inst Cardiovasc &amp; Metab Med, Leeds, England; [Aktaa, Suleman; Gale, Chris P.] Univ Leeds, Leeds Inst Data Analyt, Leeds Inst Cardiovasc &amp; Metab Med, Leeds, England; [Aktaa, Suleman; Gale, Chris P.] Leeds Teaching Hosp NHS Trust, Dept Cardiol, Leeds, England; [Brida, Margarita] Univ Rijeka, Dept Med Rehabil, Med Fac, Rijeka, Croatia; [Brida, Margarita] Royal Brompton &amp; Harefield Hosp, Adult Congenital Heart Ctr, Guys &amp; St ThomasNHS Trust, London, England; [Brida, Margarita] Royal Brompton &amp; Harefield Hosp, Natl Ctr Pulm Hypertens, Guys &amp; St ThomasNHS Trust, London, England; [Giannakoulas, George] Aristotle Univ Thessaloniki, AHEPA Univ Hosp, Cardiol Dept, Thessaloniki, Greece; [Kovacs, Gabor] Med Univ Graz, Univ Clin Internal Med, Dept Pulmonol, Graz, Austria; [Kovacs, Gabor] Ludwig Boltzmann Inst Lung Vasc Res, Graz, Austria; [Adir, Yochai] Technion Israel Inst Technol, Lady Davis Carmel Med Ctr, Pulm Div, Fac Med, Haifa, Israel; [Benza, Raymond L.] Ohio State Univ, Div Cardiovasc Med, Columbus, OH USA; [Boehm, Michael] Saarland Univ, Klin Innere Med 3, Kardiol Angiol &amp; Internist Intensivmed, Univ Klinikum Saarlandes, Homburg, Germany; [Coats, Andrew] Univ Warwick, Coventry, England; [D'Alto, Michele] Univ L Vanvitelli, Monaldi Hosp, Dept Cardiol, Naples, Italy; [Escribano-Subias, Pilar] Univ Complutense, Pulm Hypertens Unit, Dept Cardiol, CIBERCV,Hosp Univ 12 Octubre, Madrid, Spain; [Ferrari, Pisana] Italian Pulm Hypertens Assoc, AIPI, Assoc Ipertens Polmonare Italiana, Padua, Italy; [Galie, Nazzareno] Univ Bologna, IRCCS Azienda Osped, Cardiol Unit, Bologna, Italy; [Galie, Nazzareno] Univ Bologna, Dipartimento DIMES, Bologna, Italy; [Gibbs, J. Simon R.] Imperial Coll London, Natl Heart &amp; Lung Inst, London, England; [Gin-Sing, Wendy] Imperial Coll Healthcare NHS Trust, Hammersmith Hosp, Pulm Hypertens Serv, London, England; [Hoeper, Marius M.] Hannover Med Sch, Dept Resp Med, Hannover, Germany; [Hoeper, Marius M.] German Ctr Lung Res, DZL, Hannover, Germany; [Humbert, Marc; Sitbon, Olivier] Univ Paris Saclay, Hop Bicetre, Assistance Publ Hop Paris AP HP, INSERM UMR S 999,Serv Pneumol &amp; Soins Intensifs R, Le Kremlin Bicetre, France; [Lang, Irene M.] Med Univ Vienna, Div Cardiol, Vienna, Austria; [Maron, Bradley A.] Brigham &amp; Womens Hosp, Div Cardiovasc Med, Boston, MA USA; [Maron, Bradley A.] Harvard Med Sch, Boston, MA USA; [Meszaros, Gergely] European Pulm Hypertens Assoc PHA Europe, Vienna, Austria; [Noordegraaf, Anton V.] Univ Amsterdam, Dept Pulm Med, Amsterdam UMC, Amsterdam, Netherlands; [Noordegraaf, Anton V.] Amsterdam Cardiovasc Sci Pulm Hypertens &amp; Thrombo, Amsterdam, Netherlands; [Price, Laura C.] Royal Brompton Hosp, Natl Pulm Hypertens Serv, London, England; [Price, Laura C.] Imperial Coll London, Honorary Senior Clin Lecturer, London, England; [Pepke-Zaba, Joanna] Cambridge Univ Hosp, Royal Papworth Hosp, Cambridge, England; [Radegran, Goeran] Lund Univ, Dept Clin Sci Lund, Cardiol, Lund, Sweden; [Radegran, Goeran] Skane Univ Hosp, Sect Heart Failure &amp; Valvular Dis, Hemodynam Lab, VO Heart &amp; Lung Med, Lund, Sweden; [Reis, Abilio] Ctr Hosp Univ Porto CHUPorto, Dept Med, PVDU, Porto, Portugal; [Reis, Abilio] Univ Porto, Dept Cardiovasc Res, UMIB Unit Multidisciplinary Res Biomed, ICBAS Sch Med &amp; Biomed Sci, Porto, Portugal; [Torbicki, Adam] ECZ Otwock, Ctr Postgrad Med Educ, Dept Pulm Circulat, Thromboembol Dis &amp; Cardiol, Otwock, Poland; [Ulrich, Silvia] Univ Zurich, Dept Pulmonol, Zurich, Switzerland; [Ulrich, Silvia] Univ Hosp Zurich, Zurich, Switzerland; [Rosenkranz, Stephan] Heart Ctr Univ Cologne, Cologne Cardiovasc Res Ctr CCRC, Dept Cardiol, Cologne, Germany; [Delcroix, Marion] Univ Hosp Leuven, Clin Dept Resp Dis, Leuven, Belgium; [Delcroix, Marion] Univ Leuven, Dept Chron Dis &amp; Metab CHROMETA, Lab Resp Dis &amp; Thorac Surg BREATHE, KU Leuven, Leuven, Belgium</t>
  </si>
  <si>
    <t>University of Leeds; University of Leeds; University of Leeds; University of Rijeka; Royal Brompton Hospital; Royal Brompton &amp; Harefield NHS Foundation Trust; Harefield Hospital; Royal Brompton Hospital; Royal Brompton &amp; Harefield NHS Foundation Trust; Harefield Hospital; Aristotle University of Thessaloniki; Ahepa University Hospital; Medical University of Graz; Ludwig Boltzmann Institute; Ludwig Boltzmann Institute for Lung Vascular Research; Clalit Health Services; Carmel Medical Center; Technion Israel Institute of Technology; Rappaport Faculty of Medicine; University System of Ohio; Ohio State University; Universitatsklinikum des Saarlandes; University of Warwick; Universita della Campania Vanvitelli; Complutense University of Madrid; Hospital Universitario 12 de Octubre; CIBER - Centro de Investigacion Biomedica en Red; CIBERCV; University of Bologna; University of Bologna; Imperial College London; Imperial College London; Hannover Medical School; Assistance Publique Hopitaux Paris (APHP); Hopital Universitaire Bicetre - APHP; Hopital Universitaire Antoine-Beclere - APHP; Institut National de la Sante et de la Recherche Medicale (Inserm); Universite Paris Saclay; Medical University of Vienna; Harvard University; Harvard University Medical Affiliates; Brigham &amp; Women's Hospital; Harvard University; Harvard Medical School; University of Amsterdam; Royal Brompton Hospital; Imperial College London; Papworth Hospital; University of Cambridge; Lund University; Lund University; Skane University Hospital; Universidade do Porto; University of Zurich; University of Zurich; University Zurich Hospital; University of Cologne; KU Leuven; University Hospital Leuven; KU Leuven</t>
  </si>
  <si>
    <t>Aktaa, S (corresponding author), Univ Leeds, Leeds Inst Cardiovasc &amp; Metab Med, Leeds, England.;Aktaa, S (corresponding author), Univ Leeds, Leeds Inst Data Analyt, Leeds Inst Cardiovasc &amp; Metab Med, Leeds, England.;Aktaa, S (corresponding author), Leeds Teaching Hosp NHS Trust, Dept Cardiol, Leeds, England.</t>
  </si>
  <si>
    <t>s.aktaa@leeds.ac.uk</t>
  </si>
  <si>
    <t>delcroix, marion/AAE-2712-2022; aktaa, suleman/HMW-0086-2023; Juni, Peter/Q-8700-2016; Reis, Ana Claudia/N-3124-2016; Humbert, Marc/AAC-8459-2019; Benza, Raymond/AAD-4885-2019; Escribano, Pilar/R-5273-2017; Gale, Chris/F-1833-2010; Pepke-Zaba, Joanna/AGW-3073-2022; Giannakoulas, George/AAJ-5172-2020; Brida, Margarita/HDM-7572-2022; Hoeper, Marius/Z-1546-2019; Böhm, Michael/C-3638-2011</t>
  </si>
  <si>
    <t>Gale, Chris/0000-0003-4732-382X; Kovacs, Gabor/0000-0003-3709-2183; delcroix, marion/0000-0001-8394-9809; GIN-SING, WENDY/0000-0002-6993-0965; Cruz Utrilla, Alejandro/0000-0002-3851-4037; Reis, Abilio/0000-0002-9932-3736; Aktaa, Suleman/0000-0002-9854-481X</t>
  </si>
  <si>
    <t>1388-9842</t>
  </si>
  <si>
    <t>1879-0844</t>
  </si>
  <si>
    <t>EUR J HEART FAIL</t>
  </si>
  <si>
    <t>Eur. J. Heart Fail.</t>
  </si>
  <si>
    <t>10.1002/ejhf.2830</t>
  </si>
  <si>
    <t>F1IJ0</t>
  </si>
  <si>
    <t>WOS:000989556800001</t>
  </si>
  <si>
    <t>Grynblat, J; Malekzadeh-Milani, SG; Meot, M; Perros, F; Szezepanski, I; Morisset, S; Ovaert, C; Bonnet, C; Maragnes, P; Ranchoup, J; Humbert, M; Montani, ID; Levy, M; Bonnet, D</t>
  </si>
  <si>
    <t>Grynblat, Julien; Malekzadeh-Milani, Sophie-Guiti; Meot, Mathilde; Perros, Frederic; Szezepanski, Isabelle; Morisset, Stephane; Ovaert, Caroline; Bonnet, Caroline; Maragnes, Pascale; Ranchoup, Julien; Humbert, Marc; Montani, I. David; Levy, Marilyne; Bonnet, Damien</t>
  </si>
  <si>
    <t>Monitoring of Hemodynamics With Right Heart Catheterization in Children With Pulmonary Arterial Hypertension</t>
  </si>
  <si>
    <t>outcome; pediatric; pulmonary arterial hypertension; pulmonary hypertension; right heart catheterization</t>
  </si>
  <si>
    <t>CARDIAC-CATHETERIZATION; VASCULAR-DISEASE; OUTCOMES; COHORT; SHUNT</t>
  </si>
  <si>
    <t>BACKGROUND: Right heart catheterization (RHC) is a high-risk procedure in children with pulmonary arterial hypertension without clear guidelines for the indications and targets of invasive reassessment. Our objectives are to define the aims of repeated RHC and evaluate the correlation between noninvasive criteria and hemodynamic parameters. METHODS AND RESULTS: Clinical and hemodynamic characteristics from 71 incident treatment-naive children (median age 6.2 years) with pulmonary arterial hypertension who had a baseline and reevaluation RHC were analyzed. Correlations between noninvasive predictors and hemodynamic parameters were tested. Adverse outcomes were defined as death, lung transplantation, or Potts shunt. At baseline, pulmonary vascular resistance index (hazard ratio [HR] 1.07 per 1 WU center dot m(2) increase [95% CI, 1.02-1.12], P=0.002), stroke volume index (HR 0.95 per 1 L center dot min(-1)center dot m(-2) increase [95% CI, 0.91-0.99], P= 0.012), pulmonary artery compliance index (HR 0.16 per 1 mL center dot mm Hg-1 center dot m(-2) increase [95% CI, 0.051- -0.52], P=0.002), and right atrial pressure (HR, 1.31 per 1 mm Hg increase [95% CI, 1.01-1.71], P=0.043) were associated with adverse outcomes. Pulmonary vascular resistance index, pulmonary artery compliance index, and right atrial pressure were still associated with a worse outcome at second RHC. Noninvasive criteria accurately predicted hemodynamic evolution; however, 70% of the patients who had improved based on noninvasive criteria still presented at least 1 at risk hemodynamics at second RHC. CONCLUSIONS: Pulmonary vascular resistance index, pulmonary artery compliance index, and right atrial pressure are solid predictors of adverse outcomes in pediatric pulmonary arterial hypertension and potential therapeutic targets. Noninvasive criteria accurately predict the evolution of hemodynamic parameters, but insufficiently. Repeated RHC are helpful to identify children with persistent higher risk after treatment introduction.</t>
  </si>
  <si>
    <t>[Grynblat, Julien] Necker Enfants Malad Hosp, Assistance Publ Hop Paris, Congenital &amp; Pediat Cardiol Dept, 149 Rue Sevres, F-75015 Paris, France; [Grynblat, Julien; Malekzadeh-Milani, Sophie-Guiti; Meot, Mathilde; Szezepanski, Isabelle; Levy, Marilyne; Bonnet, Damien] Univ Paris Cite, Cardiol Congenitale &amp; Pediat, Paris, France; [Grynblat, Julien; Perros, Frederic; Humbert, Marc; Montani, I. David] Univ Paris Saclay, Fac Med, Le Kremlin Bicetre, France; [Grynblat, Julien; Perros, Frederic; Humbert, Marc; Montani, I. David] Hop Marie Lannelongue, INSERM UMR S 999, Le Plessis Robinson, France; [Perros, Frederic; Humbert, Marc; Montani, I. David] Hop Bicetre, AP HP, Dept Resp &amp; Intens Care Med, Le Kremlin Bicetre, France; [Ovaert, Caroline] CHU Marseille, Timone Hosp, Dept Pediat Cardiol, Marseille, France; [Bonnet, Caroline] CHU Lyon, Dept Pediat Cardiol, Lyon, France; [Maragnes, Pascale] Caen Univ, CHU CAEN, Dept Cardiol, Caen, France; [Ranchoup, Julien] CHU Lyon, Dept Pediat Pulmonol, Lyon, France</t>
  </si>
  <si>
    <t>Assistance Publique Hopitaux Paris (APHP); Universite Paris Cite; Hopital Universitaire Saint-Louis - APHP; Hopital Universitaire Necker-Enfants Malades - APHP; Universite Paris Cite; Universite Paris Saclay; Hopital Marie Lannelongue; Institut National de la Sante et de la Recherche Medicale (Inserm); Universite Paris Saclay; Assistance Publique Hopitaux Paris (APHP); Hopital Universitaire Antoine-Beclere - APHP; Universite Paris Saclay; Hopital Universitaire Bicetre - APHP; Aix-Marseille Universite; Assistance Publique-Hopitaux de Marseille; CHU Lyon; Universite de Caen Normandie; CHU de Caen NORMANDIE; CHU Lyon</t>
  </si>
  <si>
    <t>Grynblat, J (corresponding author), Necker Enfants Malad Hosp, Assistance Publ Hop Paris, Congenital &amp; Pediat Cardiol Dept, 149 Rue Sevres, F-75015 Paris, France.</t>
  </si>
  <si>
    <t>julien.grynblat@inserm.fr</t>
  </si>
  <si>
    <t>Morisset, Stéphane/B-9629-2019; GRYNBLAT, Julien/KXS-1813-2024; Humbert, Marc/AAC-8459-2019; Perros, Frederic/N-6921-2017</t>
  </si>
  <si>
    <t>Bonnet, Damien/0000-0002-8722-5805; Malekzadeh-Milani, sophie/0000-0002-9527-3671; Humbert, Marc/0000-0003-0703-2892; GRYNBLAT, Julien/0000-0001-5593-3383; Perros, Frederic/0000-0001-7730-2427; Lab, Carmen/0000-0002-5935-3236</t>
  </si>
  <si>
    <t>poste d'accueil INSERM</t>
  </si>
  <si>
    <t>poste d'accueil INSERM(Institut National de la Sante et de la Recherche Medicale (Inserm))</t>
  </si>
  <si>
    <t>JG is supported by a poste d'accueil INSERM.</t>
  </si>
  <si>
    <t>APR 4</t>
  </si>
  <si>
    <t>e029085</t>
  </si>
  <si>
    <t>10.1161/JAHA.122.029085</t>
  </si>
  <si>
    <t>H1VS9</t>
  </si>
  <si>
    <t>WOS:000993917800016</t>
  </si>
  <si>
    <t>Ghofrani, HA; Grünig, E; Jansa, P; Langleben, D; Rosenkranz, S; Preston, IR; Rahaghi, F; Sood, N; Busse, D; Meier, C; Humbert, M</t>
  </si>
  <si>
    <t>Ghofrani, Hossein-Ardeschir; Grunig, Ekkehard; Jansa, Pavel; Langleben, David; Rosenkranz, Stephan; Preston, Ioana R.; Rahaghi, Franck; Sood, Namita; Busse, Dennis; Meier, Christian; Humbert, Marc</t>
  </si>
  <si>
    <t>efficacy and safety of riociguat in combination therapy for patients with pulmonary arterial hypertension (PATENT studies) (vol 10, 2045894020942121, 2020)</t>
  </si>
  <si>
    <t>Ghofrani, Hossein/LPQ-1427-2024; Sood, Namita/E-4124-2011; Jansa, Pavel/O-2302-2017; Rahaghi, Franck/AAK-1584-2021; Humbert, Marc/AAC-8459-2019</t>
  </si>
  <si>
    <t>e12250</t>
  </si>
  <si>
    <t>10.1002/pul2.12250</t>
  </si>
  <si>
    <t>K6QR2</t>
  </si>
  <si>
    <t>WOS:001017671400001</t>
  </si>
  <si>
    <t>Humbert, M; Kovacs, G; Hoeper, MM; Badagliacca, R; Berger, RMF; Brida, M; Carlsen, J; Coats, AJS; Escribano-Subias, P; Ferrari, P; Ferreira, DS; Ghofrani, HA; Giannakoulas, G; Kiely, DG; Mayer, E; Meszaros, G; Nagavci, B; Olsson, KM; Pepke-Zaba, J; Quint, JK; Rådegran, G; Simonneau, G; Sitbon, O; Tonia, T; Toshner, M; Vachiery, JL; Noordegraaf, AV; Delcroix, M; Rosenkranz, S; Schwerzmann, M; Dinh-Xuan, AT; Bush, A; Abdelhamid, M; Aboyans, V; Arbustini, E; Asteggiano, R; Barberà, JA; Beghetti, M; Celutkiene, J; Cikes, M; Condliffe, R; de Man, F; Falk, V; Fauchier, L; Gaine, S; Galiè, N; Gin-Sing, W; Granton, J; Grünig, E; Hassoun, PM; Hellemons, M; Jaarsma, T; Kjellström, B; Klok, FA; Konradi, A; Koskinas, KC; Kotecha, D; Lang, I; Lewis, BS; Linhart, A; Lip, GYH; Lochen, ML; Mathioudakis, AG; Mindham, R; Moledina, S; Naeije, R; Prescott, E; Rakisheva, A; Reis, A; Ristic, AD; Nielsen, JC; Olschewski, H; Opitz, I; Petersen, SE</t>
  </si>
  <si>
    <t>Humbert, Marc; Kovacs, Gabor; Hoeper, Marius M.; Badagliacca, Roberto; Berger, Rolf M. F.; Brida, Margarita; Carlsen, Jorn; Coats, Andrew J. S.; Escribano-Subias, Pilar; Ferrari, Pisana; Ferreira, Diogenes S.; Ghofrani, Hossein Ardeschir; Giannakoulas, George; Kiely, David G.; Mayer, Eckhard; Meszaros, Gergely; Nagavci, Blin; Olsson, Karen M.; Pepke-Zaba, Joanna; Quint, Jennifer K.; Radegran, Goran; Simonneau, Gerald; Sitbon, Olivier; Tonia, Thomy; Toshner, Mark; Vachiery, Jean-Luc; Noordegraaf, Anton Vonk; Delcroix, Marion; Rosenkranz, Stephan; Schwerzmann, Markus; Anh-Tuan Dinh-Xuan; Bush, Andy; Abdelhamid, Magdy; Aboyans, Victor; Arbustini, Eloisa; Asteggiano, Riccardo; Barbera, Joan-Albert; Beghetti, Maurice; Celutkiene, Jelena; Cikes, Maja; Condliffe, Robin; de Man, Frances; Falk, Volkmar; Fauchier, Laurent; Gaine, Sean; Galie, Nazzareno; Gin-Sing, Wendy; Granton, John; Gruenig, Ekkehard; Hassoun, Paul M.; Hellemons, Merel; Jaarsma, Tiny; Kjellstrom, Barbro; Klok, Frederikus A.; Konradi, Aleksandra; Koskinas, Konstantinos C.; Kotecha, Dipak; Lang, Irene; Lewis, Basil S.; Linhart, Ales; Lip, Gregory Y. H.; Lochen, Maja-Lisa; Mathioudakis, Alexander G.; Mindham, Richard; Moledina, Shahin; Naeije, Robert; Prescott, Eva; Rakisheva, Amina; Reis, Abilio; Ristic, Arsen D.; Nielsen, Jens Cosedis; Olschewski, Horst; Opitz, Isabelle; Petersen, Steffen E.</t>
  </si>
  <si>
    <t>ESC ERS Sci Document Grp</t>
  </si>
  <si>
    <t>2022 ESC/ERS guidelines for the diagnosis and treatment of pulmonary hypertension</t>
  </si>
  <si>
    <t>GIORNALE ITALIANO DI CARDIOLOGIA</t>
  </si>
  <si>
    <t>Italian</t>
  </si>
  <si>
    <t>QUALITY-OF-LIFE; PRESERVED EJECTION FRACTION; CONGENITAL HEART-DISEASE; ENDOTHELIN-RECEPTOR ANTAGONIST; CONTINUOUS INTRAVENOUS EPOPROSTENOL; CALCIUM-CHANNEL BLOCKERS; LONG-TERM OUTCOMES; RIGHT-VENTRICULAR DYSFUNCTION; EOSINOPHILIA-MYALGIA-SYNDROME; AFFAIRS CLINICAL-ASSESSMENT</t>
  </si>
  <si>
    <t>Coats, Andrew/E-4451-2012; Ghofrani, Hossein/LPQ-1427-2024; DINH-XUAN, Anh Tuan/A-9691-2008; Aboyans, Victor/AAN-8308-2020; Lip, Gregory/AEO-0575-2022; Brida, Margarita/HDM-7572-2022; Giannakoulas, George/AAJ-5172-2020; Escribano, Pilar/R-5273-2017; Hoeper, Marius/Z-1546-2019; delcroix, marion/AAE-2712-2022; Konradi, Aleksandra/P-1547-2014; Asteggiano, Riccardo/ABF-4418-2020; Koskinas, Konstantinos/IUQ-1965-2023; Abdelhamid, Magdy/I-4816-2019; Rakisheva, Amina/ABR-1263-2022; moledina, shahin/A-6466-2009; quint, jennifer/ABE-3384-2020; Klok, Erik/U-4870-2019; Arbustini, Eloisa/K-8174-2016; Kotecha, Dipak/Q-2827-2016; Mathioudakis, Alexander/I-2733-2019; Hellemons, Merel/ABD-1657-2021; Humbert, Marc/AAC-8459-2019; Nagavci, Blin/AAW-7370-2020; Schwerzmann, Markus/AAD-9368-2022; Reis, Ana Claudia/N-3124-2016; Pepke-Zaba, Joanna/AGW-3073-2022; Petersen, Steffen/A-8389-2011</t>
  </si>
  <si>
    <t>Cruz Utrilla, Alejandro/0000-0002-3851-4037; delcroix, marion/0000-0001-8394-9809</t>
  </si>
  <si>
    <t>PENSIERO SCIENTIFICO EDITORE</t>
  </si>
  <si>
    <t>ROME</t>
  </si>
  <si>
    <t>VIA SAN GIOVANNI VALDARNO 8, ROME, ITALY</t>
  </si>
  <si>
    <t>1827-6806</t>
  </si>
  <si>
    <t>1972-6481</t>
  </si>
  <si>
    <t>G ITAL CARDIOL</t>
  </si>
  <si>
    <t>G. Ital. Cardiol.</t>
  </si>
  <si>
    <t>E1</t>
  </si>
  <si>
    <t>E116</t>
  </si>
  <si>
    <t>Emerging Sources Citation Index (ESCI)</t>
  </si>
  <si>
    <t>Q5KC8</t>
  </si>
  <si>
    <t>WOS:001057899300001</t>
  </si>
  <si>
    <t>Valdeolmillos, E; Le Pavec, J; Audie, M; Savale, L; Jais, X; Feuillet, S; Sitbon, O; Mercier, O; Petit, J; Humbert, M; Fadel, E; Belli, E; Hascoet, S</t>
  </si>
  <si>
    <t>Valdeolmillos, E.; Le Pavec, J.; Audie, M.; Savale, L.; Jais, X.; Feuillet, S.; Sitbon, O.; Mercier, O.; Petit, J.; Humbert, M.; Fadel, E.; Belli, E.; Hascoet, S.</t>
  </si>
  <si>
    <t>Severe Pediatric Pulmonary Arterial Hypertension. Long-Term Outcomes of Reverse Potts Shunt and Transplantation</t>
  </si>
  <si>
    <t>43rd Annual Meeting of International Society for Heart and Lung Transplantation (ISHLT)</t>
  </si>
  <si>
    <t>APR 19-22, 2023</t>
  </si>
  <si>
    <t>Denver, CO</t>
  </si>
  <si>
    <t>[Valdeolmillos, E.] Marie Lannelongue Hosp, Dept Congenital Heart Dis, Grp Hosp Paris St Joseph, Le Plessis Robinson, France; [Le Pavec, J.] Hop Marie Lannelongue, Grp Hosp Paris St Joseph, Dept Pulmol, Le Plessis Robinson, France; [Audie, M.; Petit, J.; Hascoet, S.] Marie Lannelongue Hosp, Grp Hosp Paris St Joseph, Le Plessis Robinson, France; [Savale, L.] Hosp Bicetre, Le Kremlin Bicetre, France; [Feuillet, S.] Ctr Chirurg Marie Lannelongue, Le Plessis Robinson, France; [Sitbon, O.] Hop Antoine Beclere, Clamart, France; [Mercier, O.] Marie Lannelongue Hosp, Dept Thorac &amp; Vasc Surg, Grp Hosp Paris St Joseph, Le Plessis Robinson, France; [Humbert, M.] Hosp Bicetre, Le Kremlin Bicetre, France; [Fadel, E.] Hosp Marie Lannelongue, Le Plessis Robinson, France; [Belli, E.] Marie Lannelongue Hopsital, Groupe Hosp Paris St Joseph, Le Plessis Robinson, France</t>
  </si>
  <si>
    <t>Hopital Marie Lannelongue; Universite Paris Cite; Hopital Paris Saint-Joseph; Hopital Marie Lannelongue; Universite Paris Cite; Hopital Paris Saint-Joseph; Universite Paris Cite; Hopital Paris Saint-Joseph; Hopital Marie Lannelongue; Assistance Publique Hopitaux Paris (APHP); Hopital Universitaire Bicetre - APHP; Hopital Marie Lannelongue; Assistance Publique Hopitaux Paris (APHP); Hopital Universitaire Antoine-Beclere - APHP; Hopital Marie Lannelongue; Universite Paris Cite; Hopital Paris Saint-Joseph; Assistance Publique Hopitaux Paris (APHP); Hopital Universitaire Bicetre - APHP; Hopital Marie Lannelongue</t>
  </si>
  <si>
    <t>Hascoet, Sebastien/Q-3311-2018; Humbert, Marc/AAC-8459-2019</t>
  </si>
  <si>
    <t>S11</t>
  </si>
  <si>
    <t>G9SY9</t>
  </si>
  <si>
    <t>WOS:000992480600002</t>
  </si>
  <si>
    <t>Wijsenbeek, M; Humbert, M; Wagner, T; Kreuter, M</t>
  </si>
  <si>
    <t>Wijsenbeek, Marlies; Humbert, Marc; Wagner, Thomas; Kreuter, Michael</t>
  </si>
  <si>
    <t>The flare of care for rare: per aspera ad astra for rare lung diseases!</t>
  </si>
  <si>
    <t>[Wijsenbeek, Marlies] Univ Med Ctr Rotterdam, Ctr Excellence Interstitial Lung Dis &amp; Sarcoidosis, Erasmus Med Ctr, Dept Resp Med, Rotterdam, Netherlands; [Wijsenbeek, Marlies; Humbert, Marc; Wagner, Thomas; Kreuter, Michael] European Reference Network Lung, Le Kremlin Bicetre, France; [Humbert, Marc] Hop Bicetre, AP HP, Serv Pneumol, Le Kremlin Bicetre, France; [Humbert, Marc] Univ Paris Saclay, Le Kremlin Bicetre, France; [Humbert, Marc] Univ Paris Saclay, INSERM, Grp hosp Marie Lannelongue St Joseph, UMR S 999, Le Plessis Robinson, France; [Wagner, Thomas] Univklinikum Frankfurt Main, Frankfurt Reference Ctr Rare Dis FRZSE, Dept Pneumol &amp; Allergol, Frankfurt Am Main, Germany; [Kreuter, Michael] Heidelberg Univ, Thoraxklin, Ctr interstitial &amp; rare lung Dis, German Ctr Lung Res, Heidelberg, Germany</t>
  </si>
  <si>
    <t>Erasmus University Rotterdam; Erasmus MC; Assistance Publique Hopitaux Paris (APHP); Hopital Universitaire Antoine-Beclere - APHP; Hopital Universitaire Bicetre - APHP; Universite Paris Saclay; Universite Paris Saclay; Institut National de la Sante et de la Recherche Medicale (Inserm); Universite Paris Saclay; Ruprecht Karls University Heidelberg</t>
  </si>
  <si>
    <t>Wijsenbeek, M (corresponding author), Univ Med Ctr Rotterdam, Ctr Excellence Interstitial Lung Dis &amp; Sarcoidosis, Erasmus Med Ctr, Dept Resp Med, Rotterdam, Netherlands.;Wijsenbeek, M (corresponding author), European Reference Network Lung, Le Kremlin Bicetre, France.</t>
  </si>
  <si>
    <t>m.wijsenbeek-lourens@erasmusmc.nl</t>
  </si>
  <si>
    <t>MAR 31</t>
  </si>
  <si>
    <t>10.1183/16000617.0006-2023</t>
  </si>
  <si>
    <t>9P7AZ</t>
  </si>
  <si>
    <t>WOS:000944434900002</t>
  </si>
  <si>
    <t>Weatherald, J; Humbert, M</t>
  </si>
  <si>
    <t>Weatherald, Jason; Humbert, Marc</t>
  </si>
  <si>
    <t>Ordinal outcomes add value to clinical trials Reply</t>
  </si>
  <si>
    <t>[Weatherald, Jason] Univ Alberta, Dept Med, Div Pulm Med, Edmonton, AB, Canada; [Humbert, Marc] Univ Paris Saclay, Fac Med, Paris, France; [Humbert, Marc] Hop Marie Lannelongue, INSERM UMR S999, Le Plessis Robinson, France; [Humbert, Marc] Hop Bicetre, Assistance Publ Hop Paris, Dept Resp &amp; Intens Care Med, ERN LUNG, F-94270 Le Kremlin Bicetre, France</t>
  </si>
  <si>
    <t>University of Alberta; Universite Paris Saclay; Institut National de la Sante et de la Recherche Medicale (Inserm); Hopital Marie Lannelongue; Assistance Publique Hopitaux Paris (APHP); Hopital Universitaire Antoine-Beclere - APHP; Universite Paris Saclay; Hopital Universitaire Bicetre - APHP; Universite Paris Cite; Hopital Universitaire Saint-Louis - APHP</t>
  </si>
  <si>
    <t>Humbert, M (corresponding author), Univ Paris Saclay, Fac Med, Paris, France.;Humbert, M (corresponding author), Hop Marie Lannelongue, INSERM UMR S999, Le Plessis Robinson, France.;Humbert, M (corresponding author), Hop Bicetre, Assistance Publ Hop Paris, Dept Resp &amp; Intens Care Med, ERN LUNG, F-94270 Le Kremlin Bicetre, France.</t>
  </si>
  <si>
    <t>MAR 25</t>
  </si>
  <si>
    <t>10.1016/S0140-6736(23)00212-X</t>
  </si>
  <si>
    <t>MAR 2023</t>
  </si>
  <si>
    <t>M1VR6</t>
  </si>
  <si>
    <t>WOS:001028130200002</t>
  </si>
  <si>
    <t>Le Pavec, J; Savale, L; Prevot, G; Montani, D; Sitbon, O; Fadel, E; Humbert, M; Mercier, O</t>
  </si>
  <si>
    <t>Le Pavec, J.; Savale, L.; Prevot, G.; Montani, D.; Sitbon, O.; Fadel, E.; Humbert, M.; Mercier, O.</t>
  </si>
  <si>
    <t>Lung transplantation for severe pulmonary hypertension</t>
  </si>
  <si>
    <t>EXTRACORPOREAL MEMBRANE-OXYGENATION; ARTERIAL-HYPERTENSION; CARDIOPULMONARY BYPASS; INTERNATIONAL SOCIETY; COMBINATION THERAPY; CONSENSUS DOCUMENT; SURVIVAL; MANAGEMENT; SUPPORT; DYSFUNCTION</t>
  </si>
  <si>
    <t>[Le Pavec, J.; Fadel, E.; Mercier, O.] Grp Hosp Marie Lannelongue Paris St Joseph, Serv Pneumol &amp; Transplantat Pulmonaire, Le Plessis Robinson, France; [Le Pavec, J.; Savale, L.; Montani, D.; Sitbon, O.; Fadel, E.; Humbert, M.; Mercier, O.] Univ Paris Saclay, Le Kremlin Bicetre, France; [Le Pavec, J.; Savale, L.; Montani, D.; Sitbon, O.; Humbert, M.] Univ Paris Sud, Grp Hosp Marie Lannelongue St Joseph, UMR S 999, Inserm, Le Plessis Robinson, France; [Savale, L.; Montani, D.; Sitbon, O.; Humbert, M.] Hop Kremlin Bicetre, AP HP, Serv Pneumol, Le Kremlin Bicetre, France; [Prevot, G.] Ctr Hop Univ, Pole Voies Resp Hop Larrey, Toulouse, France; [Fadel, E.; Mercier, O.] Grp Hosp Marie Lannelongue Paris St Joseph, Serv Chirurg Thorac &amp; Transplantat Cardio Pulm, Le Plessis Robinson, France</t>
  </si>
  <si>
    <t>Universite Paris Saclay; Institut National de la Sante et de la Recherche Medicale (Inserm); Universite Paris Saclay; Universite Paris Saclay; Assistance Publique Hopitaux Paris (APHP); Hopital Universitaire Bicetre - APHP; CHU de Toulouse</t>
  </si>
  <si>
    <t>Le Pavec, J (corresponding author), Hop Marie Lannelongue, Serv Pneumol &amp; Transplantat Pulm, 133 Ave La Resistance, F-92350 Le Plessis Robinson, France.</t>
  </si>
  <si>
    <t>lepavec@gmail.com</t>
  </si>
  <si>
    <t>E52</t>
  </si>
  <si>
    <t>E57</t>
  </si>
  <si>
    <t>10.1016/j.rmr.2022.12.010</t>
  </si>
  <si>
    <t>O0HP5</t>
  </si>
  <si>
    <t>WOS:001040721100007</t>
  </si>
  <si>
    <t>Robert, F; Berrebeh, N; Guignabert, C; Humbert, M; Bailly, S; Tu, L; Savale, L</t>
  </si>
  <si>
    <t>Robert, F.; Berrebeh, N.; Guignabert, C.; Humbert, M.; Bailly, S.; Tu, L.; Savale, L.</t>
  </si>
  <si>
    <t>Dysfonction de la signalisation endoth?liale du BMP-9 dans les maladies vasculaires pulmonaires</t>
  </si>
  <si>
    <t>Pulmonary vascular remodeling; Endothelial dysfunction; Vascular tone; BMP signaling</t>
  </si>
  <si>
    <t>The signaling pathway of the bone morphogenetic protein (BMP)-9 binding to the endothelial receptor BMP receptor type II (BMPR-II), activin receptor-like kinase-1 (ALK1) and the coreceptor endoglin is essential to maintain the pulmonary vascular integrity. Dysregula-tion of this pathway is implicated in numerous vascular diseases, such as pulmonary arterial hypertension (PAH), hereditary hemorrhagic telangiectasia (HHT) and hepatopulmonary syn-drome (HPS). This article aims to provide a comprehensive review of the implication of the BMP-9/BMPR-II/ALK1/endoglin pathway in the pathophysiology of these diseases. (c) 2023 SPLF. Published by Elsevier Masson SAS. All rights reserved.</t>
  </si>
  <si>
    <t>[Robert, F.; Berrebeh, N.; Guignabert, C.; Humbert, M.; Tu, L.; Savale, L.] Univ Paris Saclay, Fac med, Inserm UMR S 999, Batiment Rech 2 etage, 63 rue Gabriel Peri, F-94276 Le Kremlin Bicetre, France; [Robert, F.; Berrebeh, N.; Guignabert, C.; Humbert, M.; Tu, L.; Savale, L.] Hop Marie Lannelongue, Inserm Unite mixte Rech 999, F-92350 Le Plessis Robinson, France; [Humbert, M.; Savale, L.] Hop Bicetre, Assistance publ Hop Paris AP HP, Ctr reference lhypertens Plum, Serv pneumol &amp; soins intens respiratoires, F-94276 Le Kremlin Bicetre, France; [Bailly, S.] Univ Grenoble Alpes, Lab BioSante, INSERM, CEA, Grenoble, France</t>
  </si>
  <si>
    <t>Universite Paris Saclay; Institut National de la Sante et de la Recherche Medicale (Inserm); Hopital Marie Lannelongue; Institut National de la Sante et de la Recherche Medicale (Inserm); Universite Paris Saclay; Assistance Publique Hopitaux Paris (APHP); Hopital Universitaire Antoine-Beclere - APHP; Hopital Universitaire Bicetre - APHP; CEA; Institut National de la Sante et de la Recherche Medicale (Inserm); Communaute Universite Grenoble Alpes; Universite Grenoble Alpes (UGA)</t>
  </si>
  <si>
    <t>Savale, L (corresponding author), Univ Paris Saclay, Fac med, Inserm UMR S 999, Batiment Rech 2 etage, 63 rue Gabriel Peri, F-94276 Le Kremlin Bicetre, France.</t>
  </si>
  <si>
    <t>Savale, Laurent/AAJ-9781-2020; Humbert, Marc/AAC-8459-2019; GUIGNABERT, Christophe/G-3873-2013</t>
  </si>
  <si>
    <t>ROBERT, Fabien/0000-0003-3132-8706; GUIGNABERT, Christophe/0000-0002-8545-4452</t>
  </si>
  <si>
    <t>10.1016/j.rmr.2023.01.017</t>
  </si>
  <si>
    <t>C8WQ1</t>
  </si>
  <si>
    <t>WOS:000964662100001</t>
  </si>
  <si>
    <t>Humbert, M.</t>
  </si>
  <si>
    <t>Pathophysiology and treatment of pulmonary hypertension</t>
  </si>
  <si>
    <t>BULLETIN DE L ACADEMIE NATIONALE DE MEDECINE</t>
  </si>
  <si>
    <t>[Humbert, M.] Univ Paris Saclay, Fac Med, F-94270 Le Kremlin Bicetre, France; [Humbert, M.] Inserm UMR S 999, F-94270 Le Kremlin Bicetre, France; [Humbert, M.] Hop Bicetre, AP HP, Serv Pneumol, F-94270 Le Kremlin Bicetre, France</t>
  </si>
  <si>
    <t>Universite Paris Saclay; Institut National de la Sante et de la Recherche Medicale (Inserm); Universite Paris Saclay; Assistance Publique Hopitaux Paris (APHP); Hopital Universitaire Bicetre - APHP; Hopital Universitaire Antoine-Beclere - APHP; Universite Paris Saclay</t>
  </si>
  <si>
    <t>Humbert, M (corresponding author), Univ Paris Saclay, Fac Med, F-94270 Le Kremlin Bicetre, France.;Humbert, M (corresponding author), Inserm UMR S 999, F-94270 Le Kremlin Bicetre, France.;Humbert, M (corresponding author), Hop Bicetre, AP HP, Serv Pneumol, F-94270 Le Kremlin Bicetre, France.</t>
  </si>
  <si>
    <t>marc.humbert@universite-paris-saclay.fr</t>
  </si>
  <si>
    <t>ELSEVIER MASSON SAS EDITEUR</t>
  </si>
  <si>
    <t>ISSY LES MOULINEAUX CEDEX</t>
  </si>
  <si>
    <t>62, RUE CAMILLE DESMOULINS, ISSY LES MOULINEAUX CEDEX, 92442, FRANCE</t>
  </si>
  <si>
    <t>0001-4079</t>
  </si>
  <si>
    <t>2271-4820</t>
  </si>
  <si>
    <t>B ACAD NAT MED PARIS</t>
  </si>
  <si>
    <t>Bull. Acad. Natl. Med.</t>
  </si>
  <si>
    <t>10.1016/j.banm.2023.01.005</t>
  </si>
  <si>
    <t>H1PI8</t>
  </si>
  <si>
    <t>WOS:000993747700001</t>
  </si>
  <si>
    <t>Hoeper, MM; Badesch, DB; Ghofrani, HA; Gibbs, JSR; Gomberg-Maitland, M; McLaughlin, VV; Preston, IR; Souza, R; Waxman, AB; Grünig, E; Kopec, G; Meyer, G; Olsson, KM; Rosenkranz, S; Xu, YY; Miller, B; Fowler, M; Butler, J; Koglin, J; Pena, JD; Humbert, M</t>
  </si>
  <si>
    <t>Hoeper, Marius M.; Badesch, David B.; Ghofrani, H. Ardeschir; Gibbs, J. Simon R.; Gomberg-Maitland, Mardi; McLaughlin, Vallerie V.; Preston, Ioana R.; Souza, Rogerio; Waxman, Aaron B.; Gruenig, Ekkehard; Kopec, Grzegorz; Meyer, Gisela; Olsson, Karen M.; Rosenkranz, Stephan; Xu, Yayun; Miller, Barry; Fowler, Marcie; Butler, John; Koglin, Joerg; Pena, Janethe de Oliveira; Humbert, Marc</t>
  </si>
  <si>
    <t>STELLAR Trial Investigators</t>
  </si>
  <si>
    <t>Phase 3 Trial of Sotatercept for Treatment of Pulmonary Arterial Hypertension</t>
  </si>
  <si>
    <t>NEW ENGLAND JOURNAL OF MEDICINE</t>
  </si>
  <si>
    <t>GUIDELINES</t>
  </si>
  <si>
    <t>BACKGROUNDPulmonary arterial hypertension is a progressive disease involving proliferative remodeling of the pulmonary vessels. Despite therapeutic advances, the disease-associated morbidity and mortality remain high. Sotatercept is a fusion protein that traps activins and growth differentiation factors involved in pulmonary arterial hypertension.METHODSWe conducted a multicenter, double-blind, phase 3 trial in which adults with pulmonary arterial hypertension (World Health Organization [WHO] functional class II or III) who were receiving stable background therapy were randomly assigned in a 1:1 ratio to receive subcutaneous sotatercept (starting dose, 0.3 mg per kilogram of body weight; target dose, 0.7 mg per kilogram) or placebo every 3 weeks. The primary end point was the change from baseline at week 24 in the 6-minute walk distance. Nine secondary end points, tested hierarchically in the following order, were multicomponent improvement, change in pulmonary vascular resistance, change in N-terminal pro-B-type natriuretic peptide level, improvement in WHO functional class, time to death or clinical worsening, French risk score, and changes in the Pulmonary Arterial Hypertension-Symptoms and Impact (PAH-SYMPACT) Physical Impacts, Cardiopulmonary Symptoms, and Cognitive-Emotional Impacts domain scores; all were assessed at week 24 except time to death or clinical worsening, which was assessed when the last patient completed the week 24 visit.RESULTSA total of 163 patients were assigned to receive sotatercept and 160 to receive placebo. The median change from baseline at week 24 in the 6-minute walk distance was 34.4 m (95% confidence interval [CI], 33.0 to 35.5) in the sotatercept group and 1.0 m (95% CI, -0.3 to 3.5) in the placebo group. The Hodges-Lehmann estimate of the difference between the sotatercept and placebo groups in the change from baseline at week 24 in the 6-minute walk distance was 40.8 m (95% CI, 27.5 to 54.1; P &lt; 0.001). The first eight secondary end points were significantly improved with sotatercept as compared with placebo, whereas the PAH-SYMPACT Cognitive-Emotional Impacts domain score was not. Adverse events that occurred more frequently with sotatercept than with placebo included epistaxis, dizziness, telangiectasia, increased hemoglobin levels, thrombocytopenia, and increased blood pressure.CONCLUSIONSIn patients with pulmonary arterial hypertension who were receiving stable background therapy, sotatercept resulted in a greater improvement in exercise capacity (as assessed by the 6-minute walk test) than placebo. (Funded by Acceleron Pharma, a subsidiary of MSD; STELLAR ClinicalTrials.gov number, .)</t>
  </si>
  <si>
    <t>[Hoeper, Marius M.; Olsson, Karen M.] Hannover Med Sch, German Ctr Lung Res, Dept Resp Med &amp; Infect Dis, Biomed Res End Stage &amp; Obstruct Lung Dis Hannover, Hannover, Germany; [Ghofrani, H. Ardeschir] Univ Giessen &amp; Marburg Lung Ctr, German Ctr Lung Res, Inst Lung Hlth, Cardiopulm Inst,Dept Internal Med, Giessen, Germany; [Gruenig, Ekkehard] Thoraxklin Heidelberg, Heidelberg, Germany; [Gruenig, Ekkehard] German Ctr Lung Res, Heidelberg, Germany; [Rosenkranz, Stephan] Univ Hosp Cologne, Heart Ctr, Dept Cardiol, Cologne, Germany; [Badesch, David B.] Univ Colorado, Anschutz Med Campus, Aurora, CO USA; [Gibbs, J. Simon R.] Imperial Coll London, Natl Heart &amp; Lung Inst, London, England; [Gomberg-Maitland, Mardi] George Washington Univ, Washington, DC USA; [McLaughlin, Vallerie V.] Univ Michigan, Ann Arbor, MI USA; [Preston, Ioana R.] Tufts Med Ctr, Boston, MA USA; [Waxman, Aaron B.] Brigham &amp; Womens Hosp, Boston, MA USA; [Souza, Rogerio] Univ Sao Paulo, Hosp Clin, Fac Med, Inst Coracao, Sao Paulo, Brazil; [Meyer, Gisela] Irmandade Santa Casa Misericordia Porto Alegre, Porto Alegre, Brazil; [Kopec, Grzegorz] Jagiellonian Univ Med Coll, John Paul II Hosp Krakow, Pulm Circulat Ctr, Dept Cardiac &amp; Vasc Dis, Krakow, Poland; [Xu, Yayun; Koglin, Joerg] Merck, Rahway, NJ USA; [Miller, Barry; Fowler, Marcie; Butler, John; Pena, Janethe de Oliveira] Acceleron Pharm, Rahway, NJ USA; [Humbert, Marc] Univ Paris Saclay, Hop Bicetre, AP HP, INSERM,Unite Mixte Rech Sante 999, Le Kremlin Bicetre, France</t>
  </si>
  <si>
    <t>Hannover Medical School; Ruprecht Karls University Heidelberg; University of Cologne; University of Colorado System; University of Colorado Anschutz Medical Campus; Imperial College London; George Washington University; University of Michigan System; University of Michigan; Tufts Medical Center; Harvard University; Harvard University Medical Affiliates; Brigham &amp; Women's Hospital; Universidade de Sao Paulo; Jagiellonian University; Collegium Medicum Jagiellonian University; Merck &amp; Company; Assistance Publique Hopitaux Paris (APHP); Hopital Universitaire Antoine-Beclere - APHP; Institut National de la Sante et de la Recherche Medicale (Inserm); Universite Paris Saclay; Hopital Universitaire Bicetre - APHP</t>
  </si>
  <si>
    <t>Hoeper, MM (corresponding author), Hannover Med Sch, Dept Resp Med &amp; Infect Dis, Carl Neuberg Str 1, D-30625 Hannover, Germany.</t>
  </si>
  <si>
    <t>Waxman, Aaron/I-8659-2019; Hoeper, Marius/Z-1546-2019; Ghofrani, Hossein/LPQ-1427-2024; Kopeć, Grzegorz/AAI-5201-2020; Humbert, Marc/AAC-8459-2019; Souza, Rogerio/I-3584-2013</t>
  </si>
  <si>
    <t>Hjalmarsson, Clara/0000-0002-2395-8989; Preston, Ioana/0000-0002-1378-7362; Humbert, Marc/0000-0003-0703-2892; Hoeper, Marius/0000-0001-9086-2293; Nikolic, Aleksandra/0000-0003-2724-2854; Garcia-Aguilar, Humberto/0000-0002-2519-0096; Bourdin, Arnaud/0000-0002-4645-5209; Souza, Rogerio/0000-0003-2789-9143</t>
  </si>
  <si>
    <t>MASSACHUSETTS MEDICAL SOC</t>
  </si>
  <si>
    <t>WALTHAM</t>
  </si>
  <si>
    <t>WALTHAM WOODS CENTER, 860 WINTER ST,, WALTHAM, MA 02451-1413 USA</t>
  </si>
  <si>
    <t>0028-4793</t>
  </si>
  <si>
    <t>1533-4406</t>
  </si>
  <si>
    <t>NEW ENGL J MED</t>
  </si>
  <si>
    <t>N. Engl. J. Med.</t>
  </si>
  <si>
    <t>APR 20</t>
  </si>
  <si>
    <t>10.1056/NEJMoa2213558</t>
  </si>
  <si>
    <t>M6TQ5</t>
  </si>
  <si>
    <t>WOS:000944043100001</t>
  </si>
  <si>
    <t>Boucly, A; Tu, L; Guignabert, C; Rhodes, C; De Groote, P; Prévot, G; Bergot, E; Bourdin, A; Beurnier, A; Roche, A; Jevnikar, M; Jaïs, X; Montani, D; Wilkins, MR; Humbert, M; Sitbon, O; Savale, L</t>
  </si>
  <si>
    <t>Boucly, Athenais; Tu, Ly; Guignabert, Christophe; Rhodes, Christopher; De Groote, Pascal; Prevot, Gregoire; Bergot, Emmanuel; Bourdin, Arnaud; Beurnier, Antoine; Roche, Anne; Jevnikar, Mitja; Jais, Xavier; Montani, David; Wilkins, Martin R.; Humbert, Marc; Sitbon, Olivier; Savale, Laurent</t>
  </si>
  <si>
    <t>Cytokines as prognostic biomarkers in pulmonary arterial hypertension</t>
  </si>
  <si>
    <t>RISK SCORE CALCULATOR; PLASMA PROTEOME; SURVIVAL; INTERLEUKIN-6; INFLAMMATION; ASSOCIATION; OUTCOMES</t>
  </si>
  <si>
    <t>Background Risk stratification and assessment of disease progression in patients with pulmonary arterial hypertension (PAH) are challenged by the lack of accurate disease-specific and prognostic biomarkers. To date, brain natriuretic peptide (BNP) and/or its N-terminal fragment (NT-proBNP) are the only markers for right ventricular dysfunction used in clinical practice, in association with echocardiographic and invasive haemodynamic variables to predict outcome in patients with PAH.Methods This study was designed to identify an easily measurable biomarker panel in the serum of 80 well-phenotyped PAH patients with idiopathic, heritable or drug-induced PAH at baseline and at first follow-up. The prognostic value of identified cytokines of interest was secondly analysed in an external validation cohort of 125 PAH patients.Results Among the 20 biomarkers studied with the multiplex Ella platform, we identified a three-biomarker panel composed of beta-NGF, CXCL9 and TRAIL that were independently associated with prognosis both at the time of PAH diagnosis and at the first follow-up after initiation of PAH therapy. beta-NGF and CXCL9 were predictors of death or transplantation, whereas high levels of TRAIL were associated with a better prognosis. Furthermore, the prognostic value of the three cytokines was more powerful for predicting survival than usual non-invasive variables (New York Heart Association Functional Class, 6-min walk distance and BNP/NT-proBNP). The results were validated in a fully independent external validation cohort.Conclusion The monitoring of beta-NGF, CXCL9 and TRAIL levels in serum should be considered in the management and treatment of patients with PAH to objectively guide therapeutic options.</t>
  </si>
  <si>
    <t>[Boucly, Athenais; Tu, Ly; Guignabert, Christophe; Beurnier, Antoine; Roche, Anne; Jevnikar, Mitja; Jais, Xavier; Montani, David; Humbert, Marc; Sitbon, Olivier; Savale, Laurent] Hop Marie Lannelongue, INSERM, UMR S999, Pulm Hypertens Pathophysiol &amp; Novel Therapies, Le Plessis Robinson, France; [Boucly, Athenais; Tu, Ly; Guignabert, Christophe; Beurnier, Antoine; Roche, Anne; Jevnikar, Mitja; Jais, Xavier; Montani, David; Humbert, Marc; Sitbon, Olivier; Savale, Laurent] Univ Paris Saclay, Fac Med, Le Kremlin Bicetre, France; [Boucly, Athenais; Beurnier, Antoine; Roche, Anne; Jevnikar, Mitja; Jais, Xavier; Montani, David; Humbert, Marc; Sitbon, Olivier; Savale, Laurent] Hop Bicetre, AP HP, Serv Pneumol &amp; Soins Intens Resp, Le Kremlin Bicetre, France; [Rhodes, Christopher; Wilkins, Martin R.] Imperial Coll London, Natl Heart &amp; Lung Inst, London, England; [De Groote, Pascal] Univ Lille, Inst Pasteur Lille, Serv Cardiol, CHU Lille,Inserm,U1167, Lille, France; [Prevot, Gregoire] CHU Toulouse, Hop Larrey, Serv Pneumol, Toulouse, France; [Bergot, Emmanuel] Ctr Hosp Univ Caen, Serv Pneumol &amp; Oncol Thorac, Unicaen, UFR Sante, Caen, France; [Bourdin, Arnaud] Univ Montpellier, PhyMedExp, CNRS, INSERM,U1046,UMR 9214, Montpellier, France</t>
  </si>
  <si>
    <t>Hopital Marie Lannelongue; Institut National de la Sante et de la Recherche Medicale (Inserm); Universite Paris Saclay; Universite Paris Saclay; Assistance Publique Hopitaux Paris (APHP); Hopital Universitaire Bicetre - APHP; Universite Paris Saclay; Hopital Universitaire Antoine-Beclere - APHP; Imperial College London; Universite de Lille; Pasteur Network; Institut Pasteur Lille; CHU Lille; Institut National de la Sante et de la Recherche Medicale (Inserm); Universite de Toulouse; Universite Toulouse III - Paul Sabatier; CHU de Toulouse; CHU de Caen NORMANDIE; Universite de Caen Normandie; Institut National de la Sante et de la Recherche Medicale (Inserm); Centre National de la Recherche Scientifique (CNRS); CNRS - National Institute for Biology (INSB); Universite de Montpellier</t>
  </si>
  <si>
    <t>Savale, L (corresponding author), Hop Marie Lannelongue, INSERM, UMR S999, Pulm Hypertens Pathophysiol &amp; Novel Therapies, Le Plessis Robinson, France.;Savale, L (corresponding author), Univ Paris Saclay, Fac Med, Le Kremlin Bicetre, France.;Savale, L (corresponding author), Hop Bicetre, AP HP, Serv Pneumol &amp; Soins Intens Resp, Le Kremlin Bicetre, France.</t>
  </si>
  <si>
    <t>Savale, Laurent/AAJ-9781-2020; DE GROOTE, Pascal/LLL-9444-2024; Bergot, Emmanuel/KHZ-1685-2024; Bourdin, Philippe/D-8149-2015; Humbert, Marc/AAC-8459-2019; TU, Ly/G-4035-2013; GUIGNABERT, Christophe/G-3873-2013</t>
  </si>
  <si>
    <t>de Groote, Pascal/0000-0002-6211-0147; Humbert, Marc/0000-0003-0703-2892; TU, Ly/0000-0003-2336-5099; GUIGNABERT, Christophe/0000-0002-8545-4452; Rhodes, Christopher/0000-0002-4962-3204</t>
  </si>
  <si>
    <t>Projet Hospitalier de Recherche Clinique [PHRC P081247]; French National Institute for Health and Medical Research (INSERM); French National Agency for Research (ANR) [ANR-15-RHUS-0002 (RHU BIOART-LUNG 2020), ANR-18-RHUS-0006 (RHU DESTINATION 2024)]; Imperial NIHR Clinical Research Facility; BHF Imperial Research Centre of Excellence [RE/18/4/342215]</t>
  </si>
  <si>
    <t>Projet Hospitalier de Recherche Clinique; French National Institute for Health and Medical Research (INSERM)(Institut National de la Sante et de la Recherche Medicale (Inserm)); French National Agency for Research (ANR)(Agence Nationale de la Recherche (ANR)); Imperial NIHR Clinical Research Facility; BHF Imperial Research Centre of Excellence</t>
  </si>
  <si>
    <t>This research was supported by grants from the Projet Hospitalier de Recherche Clinique (PHRC P081247) EFORT (AP-HP) , grants from the French National Institute for Health and Medical Research (INSERM; ?Contrat d?Interface?) , the Universit? Paris-Saclay and in part by the French National Agency for Research (ANR) grant number ANR-15-RHUS-0002 (RHU BIOART-LUNG 2020) and grant number ANR-18-RHUS-0006 (RHU DESTINATION 2024) . The UK study recognises the support of the Imperial NIHR Clinical Research Facility. M.R. Wilkins was supported by the BHF Imperial Research Centre of Excellence (RE/18/4/342215) . Funding information for this article has been deposited with the Crossref Funder Registry.</t>
  </si>
  <si>
    <t>10.1183/13993003.01232-2022</t>
  </si>
  <si>
    <t>C3RB1</t>
  </si>
  <si>
    <t>WOS:000961116000005</t>
  </si>
  <si>
    <t>Gillies, H; Niven, R; Dake, BT; Chakinala, MM; Feldman, JP; Hill, NS; Hoeper, MM; Humbert, M; McLaughlin, VV; Kankam, M</t>
  </si>
  <si>
    <t>Gillies, Hunter; Niven, Ralph; Dake, Benjamin T.; Chakinala, Murali M.; Feldman, Jeremy P.; Hill, Nicholas S.; Hoeper, Marius M.; Humbert, Marc; McLaughlin, Vallerie V.; Kankam, Martin</t>
  </si>
  <si>
    <t>AV-101, a novel inhaled dry-powder formulation of imatinib, in healthy adult participants: a phase 1 single and multiple ascending dose study</t>
  </si>
  <si>
    <t>PULMONARY ARTERIAL-HYPERTENSION; TYROSINE KINASE; INHIBITOR; EFFICACY; PHARMACOKINETICS; PREVENTS; FEATURES; MESYLATE; SAFETY</t>
  </si>
  <si>
    <t>Background Oral imatinib has been shown to be effective, but poorly tolerated, in patients with advanced pulmonary arterial hypertension (PAH). To maintain efficacy while improving tolerability, AV-101, a dry powder inhaled formulation of imatinib, was developed to deliver imatinib directly to the lungs. Methods This phase 1, placebo-controlled, randomised single ascending dose (SAD) and multiple ascending dose (MAD) study evaluated the safety/tolerability and pharmacokinetics of AV-101 in healthy adults. The SAD study included five AV-101 cohorts (1 mg, 3 mg, 10 mg, 30 mg, 90 mg) and placebo, and a single-dose oral imatinib 400-mg cohort. The MAD study included three AV-101 cohorts (10 mg, 30 mg, 90 mg) and placebo; dosing occurred twice daily for 7 days. Results 82 participants (SAD n=48, MAD n=34) were enrolled. For the SAD study, peak plasma concentrations of imatinib occurred within 3 h of dosing with lower systemic exposure compared to oral imatinib ( p&lt;0.001). For the MAD study, systemic exposure of imatinib was higher after multiple doses of AV-101 compared to a single dose, but steady-state plasma concentrations were lower for the highest AV-101 cohort (90 mg) compared to simulated steady-state oral imatinib at day 7 (p=0.0002). Across AV-101 MAD dose cohorts, the most common treatment-emergent adverse events were cough (n=7, 27%) and headache (n=4, 15%). Conclusions AV-101 was well tolerated in healthy adults, and targeted doses of AV-101 significantly reduced the systemic exposure of imatinib compared with oral imatinib. An ongoing phase 2b/phase 3 study (IMPAHCT; clinicaltrials.gov identifier NCT05036135) will evaluate the safety/tolerability and clinical benefit of AV-101 for PAH.</t>
  </si>
  <si>
    <t>[Gillies, Hunter; Niven, Ralph; Dake, Benjamin T.] Aerovate Therapeut, Waltham, MA 02451 USA; [Chakinala, Murali M.] Washington Univ, Sch Med, St Louis, MO USA; [Feldman, Jeremy P.] Arizona Pulm Specialists, Phoenix, AZ USA; [Hill, Nicholas S.] Tufts Med Ctr, Pulm Crit Care &amp; Sleep Div, Boston, MA USA; [Hoeper, Marius M.] Hannover Med Sch, Resp Med, Hannover, Germany; [Hoeper, Marius M.] German Ctr Lung Res, Hannover, Germany; [Humbert, Marc] Univ Paris Saclay, Serv Pneumol &amp; Soins Intensifs Resp, Hop Bicetre, Assistance Publ Hop Paris,INSERM, Le Kremlin Bicetre, France; [McLaughlin, Vallerie V.] Univ Michigan, Ann Arbor, MI USA; [Kankam, Martin] Altasci Clin Kansas Inc, Overland Pk, KS USA</t>
  </si>
  <si>
    <t>Washington University (WUSTL); Tufts Medical Center; Hannover Medical School; Universite Paris Saclay; Assistance Publique Hopitaux Paris (APHP); Hopital Universitaire Antoine-Beclere - APHP; Universite Paris Cite; Hopital Universitaire Saint-Louis - APHP; Institut National de la Sante et de la Recherche Medicale (Inserm); Hopital Universitaire Bicetre - APHP; University of Michigan System; University of Michigan</t>
  </si>
  <si>
    <t>Gillies, H (corresponding author), Aerovate Therapeut, Waltham, MA 02451 USA.</t>
  </si>
  <si>
    <t>Hoeper, Marius/0000-0001-9086-2293; Humbert, Marc/0000-0003-0703-2892</t>
  </si>
  <si>
    <t>Aerovate Therapeutics, Inc.</t>
  </si>
  <si>
    <t>This analysis and the studies included were sponsored by Aerovate Therapeutics, Inc. Medical writing and editorial assistance were provided by Tamara K. Stevenson (Lumanity Scientific Inc., Yardley, PA, USA), and were financially supported by Aerovate Therapeutics, Inc. Funding information for this article has been deposited with the Crossref Funder Registry.</t>
  </si>
  <si>
    <t>00433-2022</t>
  </si>
  <si>
    <t>10.1183/23120541.00433-2022</t>
  </si>
  <si>
    <t>9U6UI</t>
  </si>
  <si>
    <t>WOS:000947843200013</t>
  </si>
  <si>
    <t>Montani, D; Weatherald, J; Humbert, M; Sitbon, O</t>
  </si>
  <si>
    <t>Montani, David; Weatherald, Jason; Humbert, Marc; Sitbon, Olivier</t>
  </si>
  <si>
    <t>Effect of COVID-19 in Pulmonary Hypertension Reply</t>
  </si>
  <si>
    <t>ARTERIAL-HYPERTENSION</t>
  </si>
  <si>
    <t>[Montani, David; Humbert, Marc; Sitbon, Olivier] Univ Paris Saclay, Le Kremlin Bicetre, France; [Montani, David; Humbert, Marc; Sitbon, Olivier] Hop Marie Lannelongue, Le Plessis Robinson, France; [Montani, David; Humbert, Marc; Sitbon, Olivier] Hop Bicetre, Le Kremlin Bicetre, France; [Weatherald, Jason] Univ Calgary, Calgary, AB, Canada</t>
  </si>
  <si>
    <t>Universite Paris Saclay; Hopital Marie Lannelongue; Universite Paris Saclay; Assistance Publique Hopitaux Paris (APHP); Hopital Universitaire Antoine-Beclere - APHP; Hopital Universitaire Bicetre - APHP; University of Calgary</t>
  </si>
  <si>
    <t>Montani, D (corresponding author), Univ Paris Saclay, Le Kremlin Bicetre, France.;Montani, D (corresponding author), Hop Marie Lannelongue, Le Plessis Robinson, France.;Montani, D (corresponding author), Hop Bicetre, Le Kremlin Bicetre, France.</t>
  </si>
  <si>
    <t>Humbert, Marc/0000-0003-0703-2892; Montani, David/0000-0002-9358-6922; SITBON, Olivier/0000-0002-1942-1951</t>
  </si>
  <si>
    <t>FEB 15</t>
  </si>
  <si>
    <t>9I0SK</t>
  </si>
  <si>
    <t>WOS:000939230600022</t>
  </si>
  <si>
    <t>Howard, LS; Rosenkranz, S; Frantz, RP; Hemnes, AR; Fister, TP; Schmitz, SFH; Skara, H; Humbert, M; Preston, IR</t>
  </si>
  <si>
    <t>Howard, Luke S.; Rosenkranz, Stephan; Frantz, Robert P.; Hemnes, Anna R.; Fister, Thomas P.; Schmitz, Shu-Fang Hsu; Skara, Hall; Humbert, Marc; Preston, Ioana R.</t>
  </si>
  <si>
    <t>Assessing Daily Life Physical Activity by Actigraphy in Pulmonary Arterial Hypertension Insights From the Randomized Controlled Study With Selexipag (TRACE)</t>
  </si>
  <si>
    <t>actigraphy; daily life physical activity; pulmonary arterial hypertension; quality of life; selexipag</t>
  </si>
  <si>
    <t>UNITED-STATES; SYMPTOMS; IMPACT</t>
  </si>
  <si>
    <t>BACKGROUND: Reduced daily life physical activity (DLPA) in pulmonary arterial hypertension (PAH) contributes to a poor quality of life. RESEARCH QUESTION: Can actigraphy be used to assess changes in DLPA in patients with PAH receiving selexipag or placebo? STUDY DESIGN AND METHODS: Effect of Selexipag on Daily Life Physical Activity of Patients With Pulmonary Arterial Hypertension (TRACE) was a prospective, multicenter, randomized, placebo-controlled, double-blind, exploratory phase 4 study enrolling patients with PAH in World Health Organization functional class II/III, receiving stable endothelin receptor antagonist with/without phosphodiesterase type 5 inhibitor background therapy. Primary end points were change from baseline to Week 24 in actigraphy-assessed DLPA (recorded by using an accelerometer), including daily time spent in nonsedentary physical activity (NSPA), daily time spent in moderate to vigorous physical activity (MVPA), daily volume of activity, and daily number of steps. RESULTS: At baseline, patients (N = 108) were prevalent, on stable background PAH therapy, and at low risk of disease progression. Patients showed high compliance with wear of the accelerometer throughout the study. From baseline to Week 24, mean daily time spent in NSPA increased by 1.1 min and decreased by 16.7 min in the selexipag and placebo groups (treatment difference [95% CI], 17.8 [-6.0, 41.6] min); mean time spent in MVPA increased by 0.3 min and was reduced by 2.0 min in the selexipag and placebo groups (treatment difference [95% CI], 2.3 [-10.8, 15.4] min); and mean number of daily steps decreased by 0.3 and 201.9 in the selexipag and placebo groups (treatment difference [95% CI], 201.6 [-243.0, 646.2]). INTERPRETATION: TRACE enrolled a prevalent population on background therapy and at low risk of disease progression. Changes in DLPA were small and highly variable, with no statistically significant differences between treatment groups. This patient-centric study was the first randomized trial in PAH to capture high-quality actigraphy data and to describe DLPA in terms of mean/median and variability, which may inform the design of future studies.</t>
  </si>
  <si>
    <t>[Howard, Luke S.] Hammersmith Hosp, London, England; [Rosenkranz, Stephan] Imperial Coll Healthcare NHS Trust, London, England; [Rosenkranz, Stephan] Heart Ctr, Cologne, Germany; [Frantz, Robert P.] Univ Hosp Cologne, Cologne, Germany; [Frantz, Robert P.] Cologne Cardiovasc Res Ctr, Cologne, Germany; [Frantz, Robert P.] Mayo Clin, Rochester, MN USA; [Hemnes, Anna R.] Vanderbilt Univ, Med Ctr, Nashville, TN USA; [Fister, Thomas P.; Schmitz, Shu-Fang Hsu] Janssen Pharmaceut Co Johnson &amp; Johnson, Actelion Pharmaceut Ltd, Allschwil, Switzerland; [Skara, Hall] European Pulm Hypertens Assoc PHA Europe, Vienna, Austria; [Humbert, Marc] Hop Bicetre, Assistance Publ Hop Paris, Dept Resp &amp; Intens Care Med, Le Kremlin Bicetre, France; [Humbert, Marc] Hop Marie Lannelongue, UMR S 999, INSERM, Le Plessis Robinson, France; [Preston, Ioana R.] Tufts Med Ctr, Boston, MA USA</t>
  </si>
  <si>
    <t>Imperial College London; Imperial College London; University of Cologne; Mayo Clinic; Vanderbilt University; Johnson &amp; Johnson; Actelion Pharmaceuticals Ltd; Assistance Publique Hopitaux Paris (APHP); Hopital Universitaire Bicetre - APHP; Universite Paris Saclay; Universite Paris Cite; Hopital Universitaire Saint-Louis - APHP; Hopital Universitaire Antoine-Beclere - APHP; Institut National de la Sante et de la Recherche Medicale (Inserm); Hopital Marie Lannelongue; Universite Paris Saclay; Tufts Medical Center</t>
  </si>
  <si>
    <t>Howard, LS (corresponding author), Hammersmith Hosp, London, England.</t>
  </si>
  <si>
    <t>l.howard@imperial.ac.uk</t>
  </si>
  <si>
    <t>Hemnes, Anna/HDN-4762-2022; Humbert, Marc/AAC-8459-2019</t>
  </si>
  <si>
    <t>10.1016/j.chest.2022.08.2231</t>
  </si>
  <si>
    <t>FEB 2023</t>
  </si>
  <si>
    <t>8X2TS</t>
  </si>
  <si>
    <t>WOS:000931870500001</t>
  </si>
  <si>
    <t>Chaigne, B; Chevalier, K; Boucly, A; Agard, C; Baudet, A; Bourdin, A; Chabanne, C; Cottin, V; Fesler, P; Goupil, F; Jego, P; Launay, D; Lévesque, H; Maurac, A; Mohamed, S; Tromeur, C; Rottat, L; Sitbon, O; Humbert, M; Mouthon, L</t>
  </si>
  <si>
    <t>Chaigne, Benjamin; Chevalier, Kevin; Boucly, Athenais; Agard, Christian; Baudet, Antoine; Bourdin, Arnaud; Chabanne, Celine; Cottin, Vincent; Fesler, Pierre; Goupil, Francois; Jego, Patrick; Launay, David; Levesque, Herve; Maurac, Arnaud; Mohamed, Shirine; Tromeur, Cecile; Rottat, Laurence; Sitbon, Olivier; Humbert, Marc; Mouthon, Luc</t>
  </si>
  <si>
    <t>In-depth characterization of pulmonary arterial hypertension in mixed connective tissue disease: a French national multicentre study</t>
  </si>
  <si>
    <t>RHEUMATOLOGY</t>
  </si>
  <si>
    <t>pulmonary arterial hypertension; MCTD; SLE; SSc; survival</t>
  </si>
  <si>
    <t>ASSOCIATION; SURVIVAL</t>
  </si>
  <si>
    <t>Objective Pulmonary arterial hypertension (PAH) is a leading cause of death in MCTD. We aimed to describe PAH in well-characterized MCTD patients. Methods MCTD patients enrolled in the French Pulmonary Hypertension Registry with a PAH diagnosis confirmed by right heart catheterization were included in the study and compared with matched controls: MCTD patients without PAH, SLE patients with PAH and SSc patients with PAH. Survival rates were estimated by the Kaplan-Meier method and risk factors for PAH in MCTD patients and risk factors for mortality in MCTD-PAH were sought using multivariate analyses. Results Thirty-six patients with MCTD-PAH were included in the study. Comparison with MCTD patients without PAH and multivariate analysis revealed that pericarditis, polyarthritis, thrombocytopenia, interstitial lung disease (ILD) and anti-Sm antibodies were independent predictive factors of PAH/PH in MCTD. Estimated survival rates at 1, 5 and 10 years following PAH diagnosis were 83%, 67% and 56%, respectively. MCTD-PAH presentation and survival did not differ from SLE-PAH and SSc-PAH. Multivariate analysis revealed that tobacco exposure was an independent factor predictive of mortality in MCTD-PAH. Conclusion PAH is a rare and severe complication of MCTD associated with a 56% 10-year survival. We identified ILD, pericarditis, thrombocytopenia and anti-Sm antibodies as risk factors for PAH in MCTD and tobacco exposure as a predictor of mortality in MCTD-PAH.</t>
  </si>
  <si>
    <t>[Chaigne, Benjamin; Chevalier, Kevin; Mouthon, Luc] Hop Cochin, AP HP, Ctr Reference Malad Autoimmunes Syst Rares Ile Fr, Serv Med Interne, Paris, France; [Chaigne, Benjamin; Chevalier, Kevin; Mouthon, Luc] Univ Paris Cite, Hop Cochin, APHP CUP, Paris, France; [Boucly, Athenais; Rottat, Laurence; Sitbon, Olivier; Humbert, Marc] Univ Paris Saclay, Hop Bicetre, AP HP, Fac Med,Serv Pneumol &amp; Soins Intensifs, Le Kremlin Bicetre, France; [Agard, Christian] Nantes Univ, Serv Med Interne, CHU Nantes, Nantes, France; [Baudet, Antoine] CHR Annecy Genevois, Ctr Competence Malad Autoimmunes Syst Rares Annec, Dept Internal Med, Annecy, France; [Bourdin, Arnaud] Univ Montpellier, Physiol &amp; Med Expt Coeur &amp; Muscles, Ctr Hosp Univ Montpellier, Ctr Natl Rech Sci,INSERM, Montpellier, France; [Chabanne, Celine] Univ Rennes, INSERM, Ctr Hosp Univ Rennes, Serv Cardiol &amp; Malad Vasc, Rennes, France; [Cottin, Vincent] Univ Lyon 1, Hosp Civils Lyon, Ctr Natl Reference Malad Plum Rares,Inst Natl Rec, Unite Mixte Rech Infect Virales &amp; Pathol Comparee, Lyon, France; [Fesler, Pierre] Hop Lapeyronie, Serv Med Interne, Montpellier, France; [Goupil, Francois] CH Mans, Serv Pneumol, Le Mans, France; [Jego, Patrick] CHU Rennes, Internal Med &amp; Clin Immunol Unit, Rennes, France; [Launay, David] Univ Lille, Ctr Reference Malad Autoimmunes Syst Rares Nord &amp;, Serv Med Interne &amp; Immunol Clin, Inst Translat Res Inflammat,Inserm,CHU Lille,U128, Lille, France; [Levesque, Herve] Rouen Univ Hosp, Dept Internal Med, Rouen, France; [Levesque, Herve] Univ Rouen IFRMP, Rouen Univ Hosp, Inst Biochem Res, INSERM,U905, Rouen, France; [Maurac, Arnaud] CHU Bordeaux, Hop Haut Leveque, Dept Pneumol, Pessac, France; [Mohamed, Shirine] Ctr Hosp Univ Nancy, Vasc Med Div, Nancy, France; [Mohamed, Shirine] Ctr Hosp Univ Nancy, Reg Competence Ctr Rare Vasc &amp; System Autoimmune, Nancy, France; [Tromeur, Cecile] CHU Brest, Internal &amp; Vasc Med &amp; Pulmonol Dept, Brest, France; [Tromeur, Cecile] Univ Brest, Grp Etud Thrombose Bretagne Occidentale, INSERM, U1304, Brest, France; [Tromeur, Cecile] F CRIN INNOVTE, St Etienne, France</t>
  </si>
  <si>
    <t>Assistance Publique Hopitaux Paris (APHP); Universite Paris Cite; Hopital Universitaire Cochin - APHP; Assistance Publique Hopitaux Paris (APHP); Universite Paris Cite; Hopital Universitaire Cochin - APHP; Institut National de la Sante et de la Recherche Medicale (Inserm); Universite Paris Saclay; Assistance Publique Hopitaux Paris (APHP); Hopital Universitaire Antoine-Beclere - APHP; Hopital Universitaire Bicetre - APHP; Nantes Universite; CHU de Nantes; Centre Hospitalier Annecy Genevois; Universite de Montpellier; CHU de Montpellier; Institut National de la Sante et de la Recherche Medicale (Inserm); Centre National de la Recherche Scientifique (CNRS); Institut National de la Sante et de la Recherche Medicale (Inserm); Universite de Rennes; CHU Rennes; Universite Claude Bernard Lyon 1; CHU Lyon; Universite de Montpellier; CHU de Montpellier; Centre Hospitalier Le Mans; Universite de Rennes; CHU Rennes; Universite de Lille; Institut National de la Sante et de la Recherche Medicale (Inserm); CHU Lille; Universite de Rouen Normandie; CHU de Rouen; Universite de Rouen Normandie; CHU de Rouen; Institut National de la Sante et de la Recherche Medicale (Inserm); CHU Bordeaux; CHU de Nancy; CHU de Nancy; CHU Brest; Institut National de la Sante et de la Recherche Medicale (Inserm); Universite de Bretagne Occidentale</t>
  </si>
  <si>
    <t>Chaigne, B (corresponding author), Hop Cochin, AP HP, Ctr Reference Malad Autoimmunes Syst Rares Ile Fr, Serv Med Interne, Paris, France.</t>
  </si>
  <si>
    <t>benjamin.chaigne@aphp.fr</t>
  </si>
  <si>
    <t>meroni, pier/K-8473-2016; Fesler, Pierre/O-7620-2018; Bourdin, Philippe/D-8149-2015; Launay, David/JDM-2536-2023; Chaigne, Benjamin/AAH-8709-2020; Humbert, Marc/AAC-8459-2019; Launay, David/H-1674-2016</t>
  </si>
  <si>
    <t>Humbert, Marc/0000-0003-0703-2892; Chaigne, Benjamin/0000-0001-5448-7860; Launay, David/0000-0003-1840-1817; , Christian/0000-0002-1156-0607; Cottin, Vincent/0000-0002-5591-0955</t>
  </si>
  <si>
    <t>1462-0324</t>
  </si>
  <si>
    <t>1462-0332</t>
  </si>
  <si>
    <t>OCT 3</t>
  </si>
  <si>
    <t>10.1093/rheumatology/kead055</t>
  </si>
  <si>
    <t>Rheumatology</t>
  </si>
  <si>
    <t>U4FY5</t>
  </si>
  <si>
    <t>WOS:000937759700001</t>
  </si>
  <si>
    <t>Leuillier, M; Platel, V; Tu, LY; Feugray, G; Thuillet, R; Groussard, D; Messaoudi, H; Ottaviani, M; Chelgham, M; Nicol, L; Mulder, P; Humbert, M; Richard, V; Morisseau, C; Brunel, V; Duflot, T; Guignabert, C; Bellien, J</t>
  </si>
  <si>
    <t>Leuillier, Matthieu; Platel, Valentin; Tu, Ly; Feugray, Guillaume; Thuillet, Raphael; Groussard, Deborah; Messaoudi, Hind; Ottaviani, Mina; Chelgham, Mustapha; Nicol, Lionel; Mulder, Paul; Humbert, Marc; Richard, Vincent; Morisseau, Christophe; Brunel, Valery; Duflot, Thomas; Guignabert, Christophe; Bellien, Jeremy</t>
  </si>
  <si>
    <t>Inhibition of Soluble Epoxide Hydrolase Does Not Promote or Aggravate Pulmonary Hypertension in Rats</t>
  </si>
  <si>
    <t>CELLS</t>
  </si>
  <si>
    <t>soluble epoxide hydrolase; epoxyeicosatrienoic acids; pulmonary arterial hypertension; right ventricular dysfunction</t>
  </si>
  <si>
    <t>EPOXYEICOSATRIENOIC ACIDS; PHARMACODYNAMICS; EPOXYEICOSANOIDS; PHARMACOKINETICS; MODULATION; PRESSURE</t>
  </si>
  <si>
    <t>Inhibitors of soluble epoxide hydrolase (sEH), which catalyzes the hydrolysis of various natural epoxides to their corresponding diols, present an opportunity for developing oral drugs for a range of human cardiovascular and inflammatory diseases, including, among others, diabetes and neuropathic pain. However, some evidence suggests that their administration may precipitate the development of pulmonary hypertension (PH). We thus evaluated the impact of chronic oral administration of the sEH inhibitor TPPU (N-[1-(1-Oxopropyl)-4-piperidinyl]-N '-[4-(trifluoromethoxy)phenyl]-urea) on hemodynamics, pulmonary vascular reactivity, and remodeling, as well as on right ventricular (RV) dimension and function at baseline and in the Sugen (SU5416) + hypoxia (SuHx) rat model of severe PH. Treatment with TPPU started 5 weeks after SU5416 injection for 3 weeks. No differences regarding the increase in pulmonary vascular resistance, remodeling, and inflammation, nor the abolishment of phenylephrine-induced pulmonary artery constriction, were noted in SuHx rats. In addition, TPPU did not modify the development of RV dysfunction, hypertrophy, and fibrosis in SuHx rats. Similarly, none of these parameters were affected by TPPU in normoxic rats. Complementary in vitro data demonstrated that TPPU reduced the proliferation of cultured human pulmonary artery-smooth muscle cells (PA-SMCs). This study demonstrates that inhibition of sEH does not induce nor aggravate the development of PH and RV dysfunction in SuHx rats. In contrast, a potential beneficial effect against pulmonary artery remodeling in humans is suggested.</t>
  </si>
  <si>
    <t>[Leuillier, Matthieu; Platel, Valentin; Feugray, Guillaume; Groussard, Deborah; Messaoudi, Hind; Nicol, Lionel; Mulder, Paul; Richard, Vincent; Duflot, Thomas; Bellien, Jeremy] Univ Rouen Normandie, INSERM, UMR 1096, EnVI, Hlth Campus, F-76000 Rouen, France; [Tu, Ly; Thuillet, Raphael; Ottaviani, Mina; Chelgham, Mustapha; Humbert, Marc; Guignabert, Christophe] Hop Marie Lannelongue, INSERM, UMR S 999, F-92350 Le Plessis Robinson, France; [Tu, Ly; Thuillet, Raphael; Ottaviani, Mina; Chelgham, Mustapha; Humbert, Marc; Guignabert, Christophe] Univ Paris Saclay, Fac Med, F-94276 Le Kremlin Bicetre, France; [Feugray, Guillaume; Brunel, Valery] CHU Rouen, Dept Gen Biochem, F-76000 Rouen, France; [Richard, Vincent; Duflot, Thomas; Bellien, Jeremy] CHU Rouen, Dept Pharmacol, F-76000 Rouen, France; [Morisseau, Christophe] Univ Calif Davis, UCD Comprehens Canc Ctr, Dept Entomol &amp; Nematol, Davis, CA 95616 USA</t>
  </si>
  <si>
    <t>Institut National de la Sante et de la Recherche Medicale (Inserm); Universite de Rouen Normandie; Hopital Marie Lannelongue; Universite Paris Saclay; Institut National de la Sante et de la Recherche Medicale (Inserm); Universite Paris Saclay; Universite de Rouen Normandie; CHU de Rouen; Universite de Rouen Normandie; CHU de Rouen; University of California System; University of California Davis</t>
  </si>
  <si>
    <t>Bellien, J (corresponding author), Univ Rouen Normandie, INSERM, UMR 1096, EnVI, Hlth Campus, F-76000 Rouen, France.;Guignabert, C (corresponding author), Hop Marie Lannelongue, INSERM, UMR S 999, F-92350 Le Plessis Robinson, France.;Guignabert, C (corresponding author), Univ Paris Saclay, Fac Med, F-94276 Le Kremlin Bicetre, France.;Bellien, J (corresponding author), CHU Rouen, Dept Pharmacol, F-76000 Rouen, France.</t>
  </si>
  <si>
    <t>christophe.guignabert@inserm.fr; jeremy.bellien@chu-rouen.fr</t>
  </si>
  <si>
    <t>Richard, Vincent/B-1059-2014; Humbert, Marc/AAC-8459-2019; Duflot, Thomas/ABH-5340-2020; TU, Ly/G-4035-2013; GUIGNABERT, Christophe/G-3873-2013</t>
  </si>
  <si>
    <t>Groussard, Deborah/0000-0003-0664-1274; Humbert, Marc/0000-0003-0703-2892; Duflot, Thomas/0000-0002-8730-284X; TU, Ly/0000-0003-2336-5099; Jeremy, Bellien/0000-0002-0383-2342; GUIGNABERT, Christophe/0000-0002-8545-4452; Morisseau, Christophe/0000-0002-5672-6631; Brunel, Valery/0000-0003-3069-6208; Nicol, Lionel/0000-0002-7820-4148; Thuillet, Raphael/0000-0002-1379-3797</t>
  </si>
  <si>
    <t>French National Research Agency [ANR-16-CE17-0012]; National Institute of Environmental Health Sciences [R35 ES030443, P42 ES004699]; European Union; Normandie Regional Council; Normandy Regional Council fellowship; French Government [ANR-16-RHUS-0003]; GCS G4 (FHU CARNAVAL); Agence Nationale de la Recherche (ANR) [ANR-16-CE17-0012] Funding Source: Agence Nationale de la Recherche (ANR)</t>
  </si>
  <si>
    <t>French National Research Agency(Agence Nationale de la Recherche (ANR)); National Institute of Environmental Health Sciences(United States Department of Health &amp; Human ServicesNational Institutes of Health (NIH) - USANIH National Institute of Environmental Health Sciences (NIEHS)); European Union(European Union (EU)); Normandie Regional Council(Region Normandie); Normandy Regional Council fellowship; French Government; GCS G4 (FHU CARNAVAL); Agence Nationale de la Recherche (ANR)(Agence Nationale de la Recherche (ANR))</t>
  </si>
  <si>
    <t>This study was supported by grants from the French National Research Agency (ANR-16-CE17-0012), the National Institute of Environmental Health Sciences (R35 ES030443 and P42 ES004699), and European Union and Normandie Regional Council. Europe is involved in Normandie with European Regional Development Fund (ERDF). M.L. was a recipient of the Normandy Regional Council fellowship. V.R. and J.B. have received two grants from the French Government, managed by the National Research Agency (ANR) under the program 'Investissements d'avenir' with the reference ANR-16-RHUS-0003, and from the GCS G4 (FHU CARNAVAL).</t>
  </si>
  <si>
    <t>2073-4409</t>
  </si>
  <si>
    <t>CELLS-BASEL</t>
  </si>
  <si>
    <t>Cells</t>
  </si>
  <si>
    <t>10.3390/cells12040665</t>
  </si>
  <si>
    <t>Cell Biology</t>
  </si>
  <si>
    <t>9Q7VS</t>
  </si>
  <si>
    <t>WOS:000945167700001</t>
  </si>
  <si>
    <t>Rhee, CK; Corren, J; Castro, M; Maspero, JF; Humbert, M; Halpin, DMG; Altincatal, A; Pandit-Abid, N; Soler, X; Siddiqui, S; Jacob-Nara, JA; Deniz, Y; Rowe, PJ</t>
  </si>
  <si>
    <t>Rhee, Chin Kook; Corren, Jonathan; Castro, Mario; Maspero, Jorge F.; Humbert, Marc; Halpin, David M. G.; Altincatal, Arman; Pandit-Abid, Nami; Soler, Xavier; Siddiqui, Shahid; Jacob-Nara, Juby A.; Deniz, Yamo; Rowe, Paul J.</t>
  </si>
  <si>
    <t>Dupilumab improved lung function and reduced exacerbation rates in patients with moderate-tosevere asthma and prior exacerbations: LIBERTY ASTHMA TRAVERSE study</t>
  </si>
  <si>
    <t>RESPIROLOGY</t>
  </si>
  <si>
    <t>[Rhee, Chin Kook] Catholic Univ Korea, Seoul St Marys Hosp, Seoul, South Korea; [Corren, Jonathan] UCLA, David Geffen Sch Med, Los Angeles, CA USA; [Castro, Mario] Univ Kansas, Sch Med, Kansas City, KS USA; [Maspero, Jorge F.] Fdn CIDEA, Allergy &amp; Resp Med, Buenos Aires, DF, Argentina; [Humbert, Marc] Univ Paris Saclay, Serv Pneumol &amp; Soins Intensifs Resp, Le Kremlin Bicetre, France; [Halpin, David M. G.] Univ Exeter, Med Sch, Coll Med &amp; Hlth, Exeter, Devon, England; [Altincatal, Arman] Sanofi, Global Med Affairs, Cambridge, MA USA; [Pandit-Abid, Nami; Jacob-Nara, Juby A.; Rowe, Paul J.] Sanofi, Global Med Affairs, Bridgewater, NJ USA; [Soler, Xavier; Siddiqui, Shahid; Deniz, Yamo] Regeneron Pharmaceut Inc, Global Med Affairs, Tarrytown, NY USA</t>
  </si>
  <si>
    <t>Seoul St. Mary's Hospital; Catholic University of Korea; University of California System; University of California Los Angeles; University of California Los Angeles Medical Center; David Geffen School of Medicine at UCLA; University of Kansas; University of Kansas Medical Center; Universite Paris Saclay; University of Exeter; Sanofi-Aventis; Sanofi USA; Sanofi-Aventis; Sanofi USA; Regeneron</t>
  </si>
  <si>
    <t>Rhee, Chin Kook/P-8885-2018; Castro, Mario/ABD-7776-2021; Humbert, Marc/AAC-8459-2019</t>
  </si>
  <si>
    <t>Presenting on behalf of the authors. Research sponsored by Sanofi and Regeneron Pharmaceuticals, Inc. ClinicalTrials.gov Identifier: NCT02414854 and NCT02134028. Medical writing/editorial assistance was provided by Jo Mooij, PhD, of Excerpta Medica, and was funded by Sanofi and Regeneron Pharmaceuticals, Inc., according to the Good Publication Practice guideline.</t>
  </si>
  <si>
    <t>1323-7799</t>
  </si>
  <si>
    <t>1440-1843</t>
  </si>
  <si>
    <t>Respirology</t>
  </si>
  <si>
    <t>AO12-8</t>
  </si>
  <si>
    <t>I4JE6</t>
  </si>
  <si>
    <t>WOS:001002451700113</t>
  </si>
  <si>
    <t>Rosenkranz, S; Delcroix, M; Giannakoulas, G; Hoeper, MM; Kovacs, G; Humbert, M</t>
  </si>
  <si>
    <t>Rosenkranz, Stephan; Delcroix, Marion; Giannakoulas, George; Hoeper, Marius M.; Kovacs, Gabor; Humbert, Marc</t>
  </si>
  <si>
    <t>The 'Ten Commandments' of the 2022 ESC/ERS Guidelines for the diagnosis and treatment of pulmonary hypertension</t>
  </si>
  <si>
    <t>[Rosenkranz, Stephan] Univ Hosp Cologne, Dept Cardiol Pulmonol &amp; Intens Care Med, Clinicfor Internal Med 3, Heart Ctr, Kerpener Str 62, D-50937 Cologne, Germany; [Rosenkranz, Stephan] Univ Cologne, Med Fac, Cologne Cardiovasc Res Ctr CCRC, Cologne, Germany; [Delcroix, Marion] Univ Hosp Leuven, Ctr Pulm Vasc Dis, Clin Dept Resp Dis, Leuven, Belgium; [Giannakoulas, George] Aristotle Univ Thessaloniki, AHEPA Univ Hosp, Dept Cardiol, Thessaloniki, Greece; [Hoeper, Marius M.] Hannover Med Sch, Resp Med, Hannover, Germany; [Hoeper, Marius M.] Biomed Res End stage &amp; Obstructive Lung Dis, Hannover, Germany; [Hoeper, Marius M.] German Ctr Lung Res DZL, Hannover, Germany; [Kovacs, Gabor] Med Univ Graz, Univ Clin Internal Med, Div Pulmonol, Graz, Austria; [Kovacs, Gabor] Ludwig Boltzmann Inst Lung Vasc Res, Graz, Austria; [Humbert, Marc] Hop Marie Lannelongue, INSERM UMR S 999, Le Plessis Robinson, France; [Humbert, Marc] Hop Bicetre, Assistance Publ Hop Paris, Ctr Reference lHypertens Plum, Serv Pneumol &amp; Soins Intens Resp, Le Kremlin Bicetre, France</t>
  </si>
  <si>
    <t>University of Cologne; University of Cologne; KU Leuven; University Hospital Leuven; Aristotle University of Thessaloniki; Ahepa University Hospital; Hannover Medical School; Medical University of Graz; Ludwig Boltzmann Institute; Ludwig Boltzmann Institute for Lung Vascular Research; Universite Paris Saclay; Institut National de la Sante et de la Recherche Medicale (Inserm); Hopital Marie Lannelongue; Assistance Publique Hopitaux Paris (APHP); Hopital Universitaire Antoine-Beclere - APHP; Hopital Universitaire Bicetre - APHP; Universite Paris Saclay; Universite Paris Cite; Hopital Universitaire Saint-Louis - APHP</t>
  </si>
  <si>
    <t>Rosenkranz, S (corresponding author), Univ Hosp Cologne, Dept Cardiol Pulmonol &amp; Intens Care Med, Clinicfor Internal Med 3, Heart Ctr, Kerpener Str 62, D-50937 Cologne, Germany.;Rosenkranz, S (corresponding author), Univ Cologne, Med Fac, Cologne Cardiovasc Res Ctr CCRC, Cologne, Germany.</t>
  </si>
  <si>
    <t>stephan.rosenkranz@ukkoeln.de</t>
  </si>
  <si>
    <t>Hoeper, Marius/Z-1546-2019; Giannakoulas, George/AAJ-5172-2020; delcroix, marion/AAE-2712-2022; Humbert, Marc/AAC-8459-2019</t>
  </si>
  <si>
    <t>Giannakoulas, George/0000-0001-7491-6319; Rosenkranz, Stephan/0000-0001-6237-1470; Hoeper, Marius/0000-0001-9086-2293; delcroix, marion/0000-0001-8394-9809; Humbert, Marc/0000-0003-0703-2892; Kovacs, Gabor/0000-0003-3709-2183</t>
  </si>
  <si>
    <t>MAR 7</t>
  </si>
  <si>
    <t>10.1093/eurheartj/ehad018</t>
  </si>
  <si>
    <t>9S2BJ</t>
  </si>
  <si>
    <t>WOS:000924450900001</t>
  </si>
  <si>
    <t>Le Ribeuz, H; Masson, B; Dutheil, M; Boët, A; Beauvais, A; Sabourin, J; De Montpreville, VT; Capuano, V; Mercier, O; Humbert, M; Montani, D; Antigny, F</t>
  </si>
  <si>
    <t>Le Ribeuz, Helene; Masson, Bastien; Dutheil, Mary; Boet, Angele; Beauvais, Antoine; Sabourin, Jessica; De Montpreville, Vincent Thomas; Capuano, Veronique; Mercier, Olaf; Humbert, Marc; Montani, David; Antigny, Fabrice</t>
  </si>
  <si>
    <t>Involvement of SUR2/Kir6.1 channel in the physiopathology of pulmonary arterial hypertension</t>
  </si>
  <si>
    <t>FRONTIERS IN CARDIOVASCULAR MEDICINE</t>
  </si>
  <si>
    <t>ATP; ABCC9; pulmonary arterial tone; migration; proliferation; metabolism</t>
  </si>
  <si>
    <t>SMOOTH-MUSCLE-CELLS; K-ATP CHANNELS; FUNCTIONAL-CHARACTERIZATION; SKELETAL-MUSCLE; PINACIDIL; LOCALIZATION; SUR2B; RATS; RELAXATION; ACTIVATION</t>
  </si>
  <si>
    <t>AimsWe hypothesized that the ATP-sensitive K+ channels (KATP) regulatory subunit (ABCC9) contributes to PAH pathogenesis. ABCC9 gene encodes for two regulatory subunits of KATP channels: the SUR2A and SUR2B proteins. In the KATP channel, the SUR2 subunits are associated with the K+ channel Kir6.1. We investigated how the SUR2/Kir6.1 channel contributes to PAH pathogenesis and its potential as a therapeutic target in PAH. Methods and resultsUsing in vitro, ex vivo, and in vivo approaches, we analyzed the localization and expression of SUR2A, SUR2B, and Kir6.1 in the pulmonary vasculature of controls and patients with PAH as in experimental pulmonary hypertension (PH) rat models and its contribution to PAH physiopathology. Finally, we deciphered the consequences of in vivo activation of SUR2/Kir6.1 in the monocrotaline (MCT)-induced PH model. We found that SUR2A, SUR2B, and Kir6.1 were expressed in the lungs of controls and patients with PAH and MCT-induced PH rat models. Organ bath studies showed that SUR2 activation by pinacidil induced relaxation of pulmonary arterial in rats and humans. In vitro experiments on human pulmonary arterial smooth muscle cells and endothelial cells (hPASMCs and hPAECs) in controls and PAH patients showed decreased cell proliferation and migration after SUR2 activation. We demonstrated that SUR2 activation in rat right ventricular (RV) cardiomyocytes reduced RV action potential duration by patch-clamp. Chronic pinacidil administration in control rats increased heart rate without changes in hemodynamic parameters. Finally, in vivo pharmacological activation of SUR2 on MCT and Chronic-hypoxia (CH)-induced-PH rats showed improved PH. ConclusionWe showed that SUR2A, SUR2B, and Kir6.1 are presented in hPASMCs and hPAECs of controls and PAH patients. In vivo SUR2 activation reduced the MCT-induced and CH-induced PH phenotype, suggesting that SUR2 activation should be considered for treating PAH.</t>
  </si>
  <si>
    <t>[Le Ribeuz, Helene; Masson, Bastien; Dutheil, Mary; Boet, Angele; Beauvais, Antoine; Capuano, Veronique; Humbert, Marc; Montani, David; Antigny, Fabrice] Univ Paris Saclay, Fac Medecine, Le Kremlin Bicetre, France; [Le Ribeuz, Helene; Masson, Bastien; Dutheil, Mary; Boet, Angele; Beauvais, Antoine; Capuano, Veronique; Humbert, Marc; Montani, David; Antigny, Fabrice] Hop Marie Lannelongue, INSERM, UMR S 999 Hypertens Pulme Physiopathol &amp; Innovat, Le Plessis Robinson, France; [Dutheil, Mary; Capuano, Veronique] Grp Hosp Paris St Joseph, Hop Marie Lannelongue, Le Plessis Robinson, France; [Sabourin, Jessica] Univ Paris Saclay, Inserm, UMR S 1180 Signalisat &amp; Physiopathol Cardiovasc, Orsay, France; [De Montpreville, Vincent Thomas] Grp Hosp Paris St Joseph, Hop Marie Lannelongue, Dept Pathol, Le Plessis Robinson, France; [Mercier, Olaf] Grp Hosp Paris St Joseph, Hop Marie Lannelongue, Serv Chirurg Thorac Vasc &amp; Transplantat Cardioplu, Le Plessis Robinson, France; [Humbert, Marc; Montani, David] Hop Bicetre, Assistance Publ Hop Paris AP HP, Ctr Reference Hypertens Plum, Serv Pneumol &amp; Soins Intens Resp, Le Kremlin Bicetre, France</t>
  </si>
  <si>
    <t>Universite Paris Saclay; Institut National de la Sante et de la Recherche Medicale (Inserm); Hopital Marie Lannelongue; Hopital Marie Lannelongue; Universite Paris Cite; Hopital Paris Saint-Joseph; Institut National de la Sante et de la Recherche Medicale (Inserm); Universite Paris Saclay; Universite Paris Cite; Hopital Paris Saint-Joseph; Hopital Marie Lannelongue; Hopital Marie Lannelongue; Universite Paris Cite; Hopital Paris Saint-Joseph; Universite Paris Saclay; Assistance Publique Hopitaux Paris (APHP); Hopital Universitaire Bicetre - APHP; Hopital Universitaire Antoine-Beclere - APHP</t>
  </si>
  <si>
    <t>Antigny, F (corresponding author), Univ Paris Saclay, Fac Medecine, Le Kremlin Bicetre, France.;Antigny, F (corresponding author), Hop Marie Lannelongue, INSERM, UMR S 999 Hypertens Pulme Physiopathol &amp; Innovat, Le Plessis Robinson, France.</t>
  </si>
  <si>
    <t>David, Montani/I-6885-2019; Humbert, Marc/AAC-8459-2019; Antigny, Fabrice/Q-3999-2018</t>
  </si>
  <si>
    <t>Mercier, Olaf/0000-0002-4760-6267; Le Ribeuz, Helene/0000-0002-6579-6076; Humbert, Marc/0000-0003-0703-2892; Antigny, Fabrice/0000-0002-9515-6571; Masson, Bastien/0000-0003-2364-5269</t>
  </si>
  <si>
    <t>French association; French National Institute for Health and Medical Research (INSERM); University Paris-Saclay; Marie Lannelongue Hospital; French National Agency for Research (ANR) [ANR-18-CE14-0023]; Therapeutic Innovation Doctoral School [ED569]; French foundation Fondation du souffle; Agence Nationale de la Recherche (ANR) [ANR-18-CE14-0023] Funding Source: Agence Nationale de la Recherche (ANR)</t>
  </si>
  <si>
    <t>French association; French National Institute for Health and Medical Research (INSERM)(Institut National de la Sante et de la Recherche Medicale (Inserm)); University Paris-Saclay; Marie Lannelongue Hospital; French National Agency for Research (ANR)(Agence Nationale de la Recherche (ANR)); Therapeutic Innovation Doctoral School; French foundation Fondation du souffle; Agence Nationale de la Recherche (ANR)(Agence Nationale de la Recherche (ANR))</t>
  </si>
  <si>
    <t>This study was supported by grants from the French association Federation Francaise de Cardiologie. This study was also supported by grants from the French National Institute for Health and Medical Research (INSERM), the University Paris-Saclay, the Marie Lannelongue Hospital, and the French National Agency for Research (ANR) (grant no. ANR-18-CE14-0023 (KAPAH). HL receives support from ANR-18-CE14-0023. BM was supported by the Therapeutic Innovation Doctoral School (ED569). The French foundation Fondation du souffle supports ABe.</t>
  </si>
  <si>
    <t>FRONTIERS MEDIA SA</t>
  </si>
  <si>
    <t>LAUSANNE</t>
  </si>
  <si>
    <t>AVENUE DU TRIBUNAL FEDERAL 34, LAUSANNE, CH-1015, SWITZERLAND</t>
  </si>
  <si>
    <t>2297-055X</t>
  </si>
  <si>
    <t>FRONT CARDIOVASC MED</t>
  </si>
  <si>
    <t>Front. Cardiovasc. Med.</t>
  </si>
  <si>
    <t>10.3389/fcvm.2022.1066047</t>
  </si>
  <si>
    <t>8F7BS</t>
  </si>
  <si>
    <t>WOS:000919814900001</t>
  </si>
  <si>
    <t>Montani, D; Jutant, EM; Simonneau, G; Humbert, M</t>
  </si>
  <si>
    <t>Montani, D.; Jutant, E-M; Simonneau, G.; Humbert, M.</t>
  </si>
  <si>
    <t>Definitions and classification of pulmonary hypertension: An update</t>
  </si>
  <si>
    <t>Hypertension; Pulmonary; classification</t>
  </si>
  <si>
    <t>SYSTEMIC-SCLEROSIS; CLINICAL-OUTCOMES; ARTERIAL-PRESSURE; EXERCISE; SURVIVAL; RISK; RESISTANCES; PHENOTYPES; REST</t>
  </si>
  <si>
    <t>The European Society of Cardiology (ESC) and the European Respiratory Society (ERS) 2022 guidelines propose a new hemodynamic definition of pulmonary hypertensions (PH) lowering the threshold of mean pulmonary arterial pressure (mPAP) to 20 mmHg measured by right cardiac catheterization to define PH. Precapillary PH is now defined as mPAP &gt; 20 mmHg, normal pulmonary artery wedge pressure (&lt; 15 mmHg) and increased pulmonary vascular resis-tance &gt; 2 Wood Units. The ESC/ERS guidelines propose a new clinical classification of PH by integrating new data from the literature in its former structure divided into five groups of distinct mechanisms.&amp; COPY; 2022 l'Academie nationale de medecine. Published by Elsevier Masson SAS. All rights reserved.</t>
  </si>
  <si>
    <t>[Montani, D.; Simonneau, G.; Humbert, M.] Univ Paris Saclay, Fac med, Le Kremlin Bicetre, France; [Jutant, E-M; Simonneau, G.; Humbert, M.] Hop Bicetre, Assistance publ Hop Paris, Ctr reference lhypertens Plum, Serv pneumol, Le Kremlin Bicetre, France; [Montani, D.; Simonneau, G.; Humbert, M.] Hop Marie Lannelongue, Inserm, UMR S 999, Le Plessis Robinson, France; [Jutant, E-M] Univ Poitiers, Fac med &amp; Pharm, Poitiers, France; [Jutant, E-M] CHU Poitiers, Serv pneumol, Poitiers, France; [Jutant, E-M] Inserm, CIC 1402, Axe Is ALIVE, Poitiers, France; [Montani, D.] Hop Bicetre, Serv pneumol, 78 rue Gen Leclerc, F-94270 Le Kremlin bicetre, France</t>
  </si>
  <si>
    <t>Universite Paris Saclay; Assistance Publique Hopitaux Paris (APHP); Universite Paris Cite; Hopital Universitaire Saint-Louis - APHP; Universite Paris Saclay; Hopital Universitaire Antoine-Beclere - APHP; Hopital Universitaire Bicetre - APHP; Institut National de la Sante et de la Recherche Medicale (Inserm); Universite Paris Saclay; Hopital Marie Lannelongue; Universite de Poitiers; CHU Poitiers; Universite de Poitiers; Institut National de la Sante et de la Recherche Medicale (Inserm); Universite de Poitiers; Universite Paris Saclay; Assistance Publique Hopitaux Paris (APHP); Hopital Universitaire Antoine-Beclere - APHP; Hopital Universitaire Bicetre - APHP</t>
  </si>
  <si>
    <t>Montani, D (corresponding author), Hop Bicetre, Serv pneumol, 78 rue Gen Leclerc, F-94270 Le Kremlin bicetre, France.</t>
  </si>
  <si>
    <t>10.1016/j.banm.2022.09.001</t>
  </si>
  <si>
    <t>JAN 2023</t>
  </si>
  <si>
    <t>M5DM7</t>
  </si>
  <si>
    <t>WOS:001030418500001</t>
  </si>
  <si>
    <t>Simonneau, G; Jaïs, X; Brenot, P; Alonso, CG; Jevnikar, M; Fadel, E; Mercier, O; Montani, D; Humbert, M</t>
  </si>
  <si>
    <t>Simonneau, G.; Jais, X.; Brenot, P.; Alonso, C. G.; Jevnikar, M.; Fadel, E.; Mercier, O.; Montani, D.; Humbert, M.</t>
  </si>
  <si>
    <t>Pathophysiology of chronic thromboembolic pulmonary hypertension and treatment of non-surgical (inoperable) forms</t>
  </si>
  <si>
    <t>Hypertension; Pulmonary; Thromboembolism; Endarterectomy; Angioplasty; Balloon</t>
  </si>
  <si>
    <t>RISK-FACTORS; ANGIOPLASTY; RIOCIGUAT</t>
  </si>
  <si>
    <t>Chronic thromboembolic pulmonary hypertension (CTEPH) is a rare complication of a frequent disease. The occlusion of pulmonary arteries by organized fibrotic material in com-bination with a secondary microvasculopathy of vessels &lt; 500 &amp; mu;, like that observed in idiopathic PAH, leads to increased pulmonary vascular resistance and progressive right heart failure. Today the prognostic of this disease has markedly improved with the availability, in addition to lifelong anticoagulation, of different treatment modalities including surgery, angioplasty and medical therapy with PAH drugs according to the localization and characteristics of observed lesions. &amp; COPY; 2022 l'Academie nationale de medecine. Published by Elsevier Masson SAS. All rights reserved.</t>
  </si>
  <si>
    <t>[Simonneau, G.; Jais, X.; Brenot, P.; Alonso, C. G.; Jevnikar, M.; Fadel, E.; Mercier, O.; Montani, D.; Humbert, M.] Univ Paris Saclay, Fac Med, F-94270 Le Kremlin Bicetre, France; [Simonneau, G.; Jais, X.; Jevnikar, M.; Montani, D.; Humbert, M.] Hop Bicetre, Ctr Reference Hypertens Plum, F-94270 Le Kremlin Bicetre, France; [Simonneau, G.; Brenot, P.; Alonso, C. G.; Fadel, E.; Mercier, O.] Hop Marie Lannelongue, Grp Hosp Paris St Joseph, F-92350 Le Plessis Robinson, France; [Jais, X.; Brenot, P.; Alonso, C. G.; Jevnikar, M.; Fadel, E.; Mercier, O.; Montani, D.; Humbert, M.] Inserm UMR S 999, F-94270 Le Kremlin Bicetre, France</t>
  </si>
  <si>
    <t>Universite Paris Saclay; Assistance Publique Hopitaux Paris (APHP); Hopital Universitaire Bicetre - APHP; Universite Paris Saclay; Hopital Universitaire Antoine-Beclere - APHP; Hopital Marie Lannelongue; Universite Paris Cite; Hopital Paris Saint-Joseph; Universite Paris Saclay; Institut National de la Sante et de la Recherche Medicale (Inserm)</t>
  </si>
  <si>
    <t>Simonneau, G (corresponding author), Univ Paris Saclay, Fac Med, F-94270 Le Kremlin Bicetre, France.;Simonneau, G (corresponding author), Hop Bicetre, Ctr Reference Hypertens Plum, F-94270 Le Kremlin Bicetre, France.;Simonneau, G (corresponding author), Hop Marie Lannelongue, Grp Hosp Paris St Joseph, F-92350 Le Plessis Robinson, France.</t>
  </si>
  <si>
    <t>gerald.simonneau@gmail.com</t>
  </si>
  <si>
    <t>10.1016/j.banm.2022.10.010</t>
  </si>
  <si>
    <t>M5DE8</t>
  </si>
  <si>
    <t>WOS:001030410600001</t>
  </si>
  <si>
    <t>Renet, S; Chaumais, MC; Gallant-Dewavrin, M; Jouet, E; Bezie, Y; Humbert, M; Rieutord, A; Vergnas, OL</t>
  </si>
  <si>
    <t>Renet, S.; Chaumais, M. -C.; Gallant-Dewavrin, M.; Jouet, E.; Bezie, Y.; Humbert, M.; Rieutord, A.; Vergnas, O. Las</t>
  </si>
  <si>
    <t>Knowledge exchange between patient and pharmacist: A mixed methods study to explore the role of pharmacists in patient education and counseling in asthma and pulmonary arterial hypertension</t>
  </si>
  <si>
    <t>ANNALES PHARMACEUTIQUES FRANCAISES</t>
  </si>
  <si>
    <t>HEALTH-CARE; INTERVENTION; MODELS</t>
  </si>
  <si>
    <t>Objectives. - To better understand the role of pharmacists in patient education and counselling: describe the perception of knowledge exchange (KE) between asthma/pulmonary arterial hypertension patients and pharmacists (hospital/community) according to four dimensions (4C-typology): cure (C1), care (C2); coordination/supply chain (C3), characteristics of the pathophysiology/disease mechanisms (C4); factors correlated with KE. Methods. - A mixed methods approach was used. Part A: data from semi-structured patient interviews were processed (thematic analysis), and a questionnaire developed. Part B: completed patient questionnaires were processed by correspondence factor analysis. Results. - KE (4C-typology) was correlated with pathology, disease severity, disease duration, age, hospital/community pharmacist. Patients expected pharmacists to provide C2/C3 services. KE with pharmacists covered C1/C2/C3, and with physicians, C1/C2/C4. While patients perceived KE as a means of self-learning to improve self-care skills, the two-way nature meant it provided specific experiential information feedback to pharmacists. Conclusions. - This 4C-typology provides a holistic framework for optimising the pharmacists' role in education and counselling of patients with chronic diseases. &amp; COPY; 2022 Academie Nationale de Pharmacie. Published by Elsevier Masson SAS. All rights reserved.</t>
  </si>
  <si>
    <t>[Renet, S.; Bezie, Y.] Paris St Joseph Hosp Grp, Pharm Dept, Paris, France; [Renet, S.; Vergnas, O. Las] Univ Paris Nanterre, Educ &amp; Training Res Ctr ED 139 EA 1589, Nanterre, France; [Chaumais, M. -C.] Paris Sud Univ, Fac Pharm, Chatenay Malabry, France; [Chaumais, M. -C.] Biceetre Hosp, Pharm Dept, Le Kremlin Biceetre, France; [Chaumais, M. -C.; Humbert, M.] Marie Lannelongue Hosp, Inserm UMR S 999, Le Plessis Robinson, France; [Gallant-Dewavrin, M.] Assoc Patients Caregivers &amp; Lung Transplants, HTaPFrance, Paris, France; [Jouet, E.] GHU Paris Psychiat &amp; Neurosci, Res Human Social &amp; Mental Hlth Lab, Paris, France; [Jouet, E.] Tours Univ, Educ Eth Hlth EA7505, Tours, France; [Humbert, M.] Paris Saclay Univ, Paris, France; [Humbert, M.] Kremlin Biceetre Hosp, Dept Resp &amp; Intens Care Med, Le Kremlin Biceetre, France; [Rieutord, A.] Gustave Roussy Canc Campus, Pharm Dept, Villejuif, France; [Renet, S.] Grp Hosp Paris St Joseph, 185 Rue Raymond Losserand, F-75014 Paris, France</t>
  </si>
  <si>
    <t>Universite Paris Cite; Hopital Paris Saint-Joseph; Universite Paris Saclay; Institut National de la Sante et de la Recherche Medicale (Inserm); Universite Paris Saclay; Hopital Marie Lannelongue; Universite Paris Cite; GHU PARIS Psychiatrie Neurosciences; Universite Paris Saclay; UNICANCER; Gustave Roussy; Universite Paris Cite; Hopital Paris Saint-Joseph</t>
  </si>
  <si>
    <t>Renet, S (corresponding author), Grp Hosp Paris St Joseph, 185 Rue Raymond Losserand, F-75014 Paris, France.</t>
  </si>
  <si>
    <t>srenet@ghpsj.fr</t>
  </si>
  <si>
    <t>LAS-VERGNAS, Olivier/AAV-2805-2020; Humbert, Marc/AAC-8459-2019; Las-Vergnas, Olivier/H-4064-2013</t>
  </si>
  <si>
    <t>Chaumais, Marie-Camille/0000-0002-1217-8442; Renet, Sophie/0000-0002-4623-8079; RIEUTORD, Andre/0000-0001-5935-7635; Humbert, Marc/0000-0003-0703-2892; Las-Vergnas, Olivier/0000-0002-6612-4845</t>
  </si>
  <si>
    <t>0003-4509</t>
  </si>
  <si>
    <t>ANN PHARM FR</t>
  </si>
  <si>
    <t>Ann. Pharm. Fr.</t>
  </si>
  <si>
    <t>10.1016/j.pharma.2022.06.005</t>
  </si>
  <si>
    <t>M8GL2</t>
  </si>
  <si>
    <t>WOS:001032543700001</t>
  </si>
  <si>
    <t>Humbert, M; McLaughlin, V; Gibbs, JSR; Gomberg-Maitland, M; Hoeper, MM; Preston, IR; Souza, R; Waxman, AB; Ghofrani, HA; Subias, PE; Feldman, J; Meyer, G; Montani, D; Olsson, KM; Manimaran, S; Pena, JD; Badesch, DB</t>
  </si>
  <si>
    <t>Humbert, Marc; McLaughlin, Vallerie; Gibbs, J. Simon R.; Gomberg-Maitland, Mardi; Hoeper, Marius M.; Preston, Ioana R.; Souza, Rogerio; Waxman, Aaron B.; Ghofrani, Hossein-Ardeschir; Subias, Pilar Escribano; Feldman, Jeremy; Meyer, Gisela; Montani, David; Olsson, Karen M.; Manimaran, Solaiappan; Pena, Janethe de Oliveira; Badesch, David B.</t>
  </si>
  <si>
    <t>Sotatercept for the treatment of pulmonary arterial hypertension: PULSAR open-label extension</t>
  </si>
  <si>
    <t>LONG-TERM EXTENSION; RIOCIGUAT; SURVIVAL; ANEMIA</t>
  </si>
  <si>
    <t>Background In participants with pulmonary arterial hypertension, 24 weeks of sotatercept resulted in a significantly greater reduction from baseline in pulmonary vascular resistance than placebo. This report characterises the longer-term safety and efficacy of sotatercept in the PULSAR open-label extension. We report cumulative safety, and efficacy at months 18-24, for all participants treated with sotatercept. Methods PULSAR was a phase 2, randomised, double-blind, placebo-controlled study followed by an open-label extension, which evaluated sotatercept on top of background pulmonary arterial hypertension therapy in adults. Participants originally randomised to placebo were re-randomised 1:1 to sotatercept 0.3 or 0.7 mg center dot kg(-1) ( placebo-crossed group); those initially randomised to sotatercept continued the same sotatercept dose (continued-sotatercept group). Safety was evaluated in all participants who received &gt;= 1 dose of sotatercept. The primary efficacy endpoint was change from baseline to months 18-24 in pulmonary vascular resistance. Secondary endpoints included 6-min walk distance and functional class. Two prespecified analyses, placebo-crossed and delayed-start, evaluated efficacy irrespective of dose. Results Of 106 participants enrolled in the PULSAR study, 97 continued into the extension period. Serious treatment-emergent adverse events were reported in 32 (30.8%) participants; 10 (9.6%) reported treatment-emergent adverse events leading to study discontinuation. Three (2.9%) participants died, none considered related to study drug. The placebo-crossed group demonstrated significant improvement across primary and secondary endpoints and clinical efficacy was maintained in the continued-sotatercept group. Conclusion These results support the longer-term safety and durability of clinical benefit of sotatercept for pulmonary arterial hypertension.</t>
  </si>
  <si>
    <t>[Humbert, Marc; Montani, David] Univ Paris Saclay, Dept Resp &amp; Intens Care Med, INSERM, Hop Bicetre,Assistance Publ Hop Paris,Unite Mixte, Le Kremlin Bicetre, France; [McLaughlin, Vallerie] Univ Michigan Hlth Syst, Dept Internal Med, Div Cardiovasc Med, Ann Arbor, MI USA; [Gibbs, J. Simon R.] Imperial Coll London, Natl Heart &amp; Lung Inst, London, England; [Gibbs, J. Simon R.] Imperial Coll Healthcare NHS Trust, Hammersmith Hosp, Natl Pulm Hypertens Serv, London, England; [Gomberg-Maitland, Mardi] George Washington Univ, Dept Med, Sch Med &amp; Hlth Sci, Washington, DC USA; [Hoeper, Marius M.; Olsson, Karen M.] Hannover Med Sch, Dept Resp Med, Hannover, Germany; [Hoeper, Marius M.; Olsson, Karen M.] German Ctr Lung Res DZL, Hannover, Germany; [Preston, Ioana R.] Tufts Med Ctr, Div Pulm Crit Care &amp; Sleep Med, Boston, MA USA; [Souza, Rogerio] Univ Sao Paulo, Pulm Div, Heart Inst, Med Sch, Sao Paulo, Brazil; [Waxman, Aaron B.] Harvard Med Sch, Brigham &amp; Womens Hosp, Dept Med, Div Pulm &amp; Crit Care Med, Boston, MA USA; [Ghofrani, Hossein-Ardeschir] Univ Giessen &amp; Marburg, Dept Pneumol, Giessen, Germany; [Subias, Pilar Escribano] Univ Complutense, Hosp Univ 12 Octubre, Ctr Invest Biomed Red Enfermedades Cardiovasc, Dept Cardiol, Madrid, Spain; [Feldman, Jeremy] Arizona Pulm Specialists, Phoenix, AZ USA; [Meyer, Gisela] Complexo Hosp Santa Casa Porto Alegre, Pulm Vasc Res Inst, Porto Alegre, RS, Brazil; [Manimaran, Solaiappan; Pena, Janethe de Oliveira] Acceleron Pharma Inc, Rahway, NJ USA; [Badesch, David B.] Univ Colorado, Div Pulm Sci &amp; Crit Care Med, Anschutz Med Campus, Aurora, CO 80045 USA; [Badesch, David B.] Univ Colorado, Cardiol, Anschutz Med Campus, Aurora, CO 80045 USA</t>
  </si>
  <si>
    <t>Universite Paris Saclay; Assistance Publique Hopitaux Paris (APHP); Hopital Universitaire Antoine-Beclere - APHP; Universite Paris Cite; Hopital Universitaire Saint-Louis - APHP; Institut National de la Sante et de la Recherche Medicale (Inserm); Hopital Universitaire Bicetre - APHP; University of Michigan System; University of Michigan; Imperial College London; Imperial College London; George Washington University; Hannover Medical School; Tufts Medical Center; Universidade de Sao Paulo; Harvard University; Harvard University Medical Affiliates; Brigham &amp; Women's Hospital; Harvard Medical School; Hospital Universitario 12 de Octubre; Complutense University of Madrid; CIBER - Centro de Investigacion Biomedica en Red; CIBERCV; University of Colorado System; University of Colorado Anschutz Medical Campus; University of Colorado System; University of Colorado Anschutz Medical Campus</t>
  </si>
  <si>
    <t>Badesch, DB (corresponding author), Univ Colorado, Div Pulm Sci &amp; Crit Care Med, Anschutz Med Campus, Aurora, CO 80045 USA.;Badesch, DB (corresponding author), Univ Colorado, Cardiol, Anschutz Med Campus, Aurora, CO 80045 USA.</t>
  </si>
  <si>
    <t>David.badesch@cuanschutz.edu</t>
  </si>
  <si>
    <t>Waxman, Aaron/I-8659-2019; Ghofrani, Hossein/LPQ-1427-2024; Hoeper, Marius/Z-1546-2019; Humbert, Marc/AAC-8459-2019; Escribano, Pilar/R-5273-2017; Souza, Rogerio/I-3584-2013</t>
  </si>
  <si>
    <t>Humbert, Marc/0000-0003-0703-2892; Escribano, Pilar/0000-0002-6640-4839; Souza, Rogerio/0000-0003-2789-9143; Cruz Utrilla, Alejandro/0000-0002-3851-4037; Hoeper, Marius/0000-0001-9086-2293; Waxman, Aaron/0000-0001-7797-0361; Ghofrani, Ardeschir/0000-0002-2029-4419</t>
  </si>
  <si>
    <t>Acceleron Pharma Inc.; Merck Co., Inc.; Rahway, NJ, USA</t>
  </si>
  <si>
    <t>Acceleron Pharma Inc.; Merck Co., Inc.(Merck &amp; Company); Rahway, NJ, USA</t>
  </si>
  <si>
    <t>We thank the patients and families who participated in the PULSAR trial; the investigators and their research teams who collaborated on the trial; current and former personnel at Acceleron Pharma Inc., a wholly owned subsidiary of Merck &amp; Co., Inc., Rahway, NJ, USA, including Marcie Fowler, Musa Mutyaba and Robert Gerber; and Ana Maria Rodriguez de Ledesma of InterComm International, for medical writing assistance (funded by Acceleron Pharma Inc., a wholly owned subsidiary of Merck &amp; Co., Inc., Rahway, NJ, USA). This study was funded by Acceleron Pharma Inc., a wholly owned subsidiary of Merck &amp; Co., Inc., Rahway, NJ, USA. Funding information for this article has been deposited with the Crossref Funder Registry.</t>
  </si>
  <si>
    <t>10.1183/13993003.01347-2022</t>
  </si>
  <si>
    <t>7W3HR</t>
  </si>
  <si>
    <t>WOS:000913404900011</t>
  </si>
  <si>
    <t>Humbert, M; Kovacs, G; Hoeper, MM; Badagliacca, R; Berger, RMF; Brida, M; Carlsen, J; Coats, AJS; Escribano-Subias, P; Ferrari, P; Ferreira, DS; Ghofrani, HA; Giannakoulas, G; Kiely, DG; Mayer, E; Meszaros, G; Nagavci, B; Olsson, KM; Pepke-Zaba, J; Quint, JK; Rådegran, G; Simonneau, G; Sitbon, O; Tonia, T; Toshner, M; Vachiery, JL; Noordegraaf, AV; Delcroix, M; Rosenkranz, S</t>
  </si>
  <si>
    <t>Humbert, Marc; Kovacs, Gabor; Hoeper, Marius M.; Badagliacca, Roberto; Berger, Rolf M. F.; Brida, Margarita; Carlsen, Jorn; Coats, Andrew J. S.; Escribano-Subias, Pilar; Ferrari, Pisana; Ferreira, Diogenes S.; Ghofrani, Hossein Ardeschir; Giannakoulas, George; Kiely, David G.; Mayer, Eckhard; Meszaros, Gergely; Nagavci, Blin; Olsson, Karen M.; Pepke-Zaba, Joanna; Quint, Jennifer K.; Radegran, Goran; Simonneau, Gerald; Sitbon, Olivier; Tonia, Thomy; Toshner, Mark; Vachiery, Jean Luc; Noordegraaf, Anton Vonk; Delcroix, Marion; Rosenkranz, Stephan</t>
  </si>
  <si>
    <t>2022 ESC/ERS Guidelines for the diagnosis and treatment of pulmonary hypertension</t>
  </si>
  <si>
    <t>[Humbert, Marc; Simonneau, Gerald; Sitbon, Olivier] Univ Paris Saclay, Fac Med, Le Kremlin Bicetre, France; [Humbert, Marc; Sitbon, Olivier] Assistance Publ Hop Paris, Hop Bicetre, Ctr Reference Hypertens Pulm, Serv Pneumol &amp; Soins Intensifs Resp, Le Kremlin Bicetre, France; [Humbert, Marc; Sitbon, Olivier] Hop Marie Lannelongue, INSERM UMR S 999, Le Plessis Robinson, France; [Kovacs, Gabor] Med Univ Graz, Univ Clin Internal Med, Div Pulmonol, Graz, Austria; [Kovacs, Gabor] Ludwig Boltzmann Inst Lung Vasc Res, Graz, Austria; [Hoeper, Marius M.] Hannover Med Sch, Resp Med, Hannover, Germany; [Hoeper, Marius M.] German Ctr Lung Res DZL, Biomed Res End Stage &amp; Obstruct Lung Dis BREATH, Hannover, Germany; [Badagliacca, Roberto] Sapienza Univ Roma, Dipartimento Sci Clin Internist Anestesiol &amp; Card, Rome, Italy; [Badagliacca, Roberto] Policlin Umberto 1, Dipartimento Cardiotoracovasc &amp; Chirurg Trapiati, Rome, Italy; [Berger, Rolf M. F.] Univ Groningen, Univ Med Ctr Groningen, Dept Paediat Cardiol, Ctr Congenital Heart Dis,Beatrix Childrens Hosp, Groningen, Netherlands; [Brida, Margarita] Univ Rijeka, Dept Sports &amp; Rehabil Med, Med Fac, Rijeka, Croatia; [Brida, Margarita] Guys &amp; St Thomass NHS Trust, Royal Brompton &amp; Harefield Hosp, Adult Congenital Heart Ctr, London, England; [Brida, Margarita] Guys &amp; St Thomass NHS Trust, Royal Brompton &amp; Harefield Hosp, Natl Ctr Pulm Hypertens, London, England; [Carlsen, Jorn] Copenhagen Univ Hosp, Rigshosp, Dept Cardiol, Copenhagen, Denmark; [Carlsen, Jorn] Univ Copenhagen, Fac Hlth &amp; Med Sci, Dept Clin Med, Copenhagen, Denmark; [Coats, Andrew J. S.] Univ Warwick, Fac Med, Coventry, W Midlands, England; [Coats, Andrew J. S.] Monash Univ, Fac Med, Melbourne, Vic, Australia; [Escribano-Subias, Pilar] Hosp Univ 12 Octubre, Cardiol Dept, Pulm Hypertens Unit, Madrid, Spain; [Escribano-Subias, Pilar] Inst Salud Carlos III, CIBER CV Ctr Invest Biomed Red Enfermedades Cardi, Madrid, Spain; [Escribano-Subias, Pilar] Univ Complutense, Fac Med, Madrid, Spain; [Ferrari, Pisana; Meszaros, Gergely] ESC Patient Forum, Sophia Antipolis, France; [Ferrari, Pisana] Assoc Italiana 1Pertens Polmonare, AIPI, Bologna, Italy; [Ferreira, Diogenes S.] Univ Fed Parana, Hosp Clin, Alergia &amp; Imunol, Curitiba, Parana, Brazil; [Ghofrani, Hossein Ardeschir] Justus Liebig Univ, Univ Hosp Giessen, Dept Internal Med, Giessen, Germany; [Ghofrani, Hossein Ardeschir] Kerckhoff Klin, Dept Pneumol, Bad Nauheim, Germany; [Ghofrani, Hossein Ardeschir] Imperial Coll London, Dept Med, London, England; [Giannakoulas, George] Aristotle Univ Thessaloniki, AHEPA Univ Hosp, Cardiol Dept, Thessaloniki, Greece; [Kiely, David G.] Univ Sheffield, Dept Infect Immun &amp; Cardiovasc Dis, Sheffield, S Yorkshire, England; [Kiely, David G.] Sheffield Teaching Hosp NHS Fdn Trust, Sheffield Pulm Vasc Dis Unit, Sheffield, S Yorkshire, England; [Kiely, David G.] Univ Sheffield, Insigneo Inst, Sheffield, S Yorkshire, England; [Mayer, Eckhard] Kerckhoff Clin, Thorac Surg, Bad Nauheim, Germany; [Meszaros, Gergely] European Lung Fdn Elf, Sheffield, S Yorkshire, England; [Nagavci, Blin] Univ Freiburg, Fac Med, Inst Evidence Med, Freiburg, Germany; [Nagavci, Blin] Univ Freiburg, Med Ctr, Freiburg, Germany; [Olsson, Karen M.] Hannover Med Sch, Clin Resp Med, German Ctr Lung Res DZL, Hannover, Germany; [Pepke-Zaba, Joanna] Royal Papworth Hosp, Pulm Vasc Dis Unit, Cambridge, England; [Quint, Jennifer K.] Imperial Coll London, NHLI, London, England; [Radegran, Goran] Clin Sci Lund, Dept Cardiol, Fac Med, Lund, Sweden; [Radegran, Goran] Skane Univ Hosp, VO Heart &amp; Lung Med, Sect Heart Failure &amp; Valvular Dis, Haemodynam Lab, Lund, Sweden; [Simonneau, Gerald] Hop Marie Lannelongue, Ctr Reference Hypertens Pulm, Le Plessis Robinson, France; [Tonia, Thomy] Univ Bern, Inst Social &amp; Prevent Med, Bern, Switzerland; [Toshner, Mark] Univ Cambridge, Royal Papworth NHS Trust, Heart Lung Res Inst, Dept Med, Cambridge, England; [Vachiery, Jean Luc] HUB Hop Erasme, Pulm Vasc Dis &amp; Heart Failure Clin, Dept Cardiol, Brussels, Belgium; [Noordegraaf, Anton Vonk] Amsterdam UMC, Pulmonol, Amsterdam, Netherlands; [Delcroix, Marion] Univ Hosp Leuven, Ctr Pulm Vasc Dis, Clin Dept Resp Dis, Leuven, Belgium; [Delcroix, Marion; Rosenkranz, Stephan] Univ Hosp Cologne, Clin Internal Med 3, Dept Cardiol Pulmonol &amp; Intens Care Med, Heart Ctr, Cologne, Germany; [Delcroix, Marion; Rosenkranz, Stephan] Univ Hosp Cologne, Heart Ctr, Cologne Cardiovasc Res Ctr CCRC, Cologne, Germany</t>
  </si>
  <si>
    <t>Universite Paris Saclay; Assistance Publique Hopitaux Paris (APHP); Universite Paris Cite; Hopital Universitaire Saint-Louis - APHP; Hopital Universitaire Bicetre - APHP; Hopital Universitaire Antoine-Beclere - APHP; Universite Paris Saclay; Universite Paris Saclay; Institut National de la Sante et de la Recherche Medicale (Inserm); Hopital Marie Lannelongue; Medical University of Graz; Ludwig Boltzmann Institute; Ludwig Boltzmann Institute for Lung Vascular Research; Hannover Medical School; Sapienza University Rome; Sapienza University Rome; University Hospital Sapienza Rome; University of Groningen; University of Rijeka; Royal Brompton &amp; Harefield NHS Foundation Trust; Harefield Hospital; Royal Brompton Hospital; Royal Brompton Hospital; Royal Brompton &amp; Harefield NHS Foundation Trust; Harefield Hospital; Rigshospitalet; University of Copenhagen; Copenhagen University Hospital; University of Copenhagen; University of Warwick; Monash University; Hospital Universitario 12 de Octubre; Instituto de Salud Carlos III; Complutense University of Madrid; Universidade Federal do Parana; Justus Liebig University Giessen; University Hospital of Giessen &amp; Marburg; Kerckhoff Clinic; Imperial College London; Aristotle University of Thessaloniki; Ahepa University Hospital; University of Sheffield; University of Sheffield; University of Sheffield; Kerckhoff Clinic; University of Freiburg; University of Freiburg; Hannover Medical School; Papworth Hospital; Imperial College London; Lund University; Skane University Hospital; Hopital Marie Lannelongue; University of Bern; University of Cambridge; University of Amsterdam; KU Leuven; University Hospital Leuven; University of Cologne; University of Cologne</t>
  </si>
  <si>
    <t>Delcroix, M (corresponding author), Univ Hosp Leuven, Ctr Pulm Vasc Dis, Clin Dept Resp Dis, Leuven, Belgium.;Delcroix, M; Rosenkranz, S (corresponding author), Univ Hosp Cologne, Clin Internal Med 3, Dept Cardiol Pulmonol &amp; Intens Care Med, Heart Ctr, Cologne, Germany.;Delcroix, M; Rosenkranz, S (corresponding author), Univ Hosp Cologne, Heart Ctr, Cologne Cardiovasc Res Ctr CCRC, Cologne, Germany.</t>
  </si>
  <si>
    <t>marion.delcroix@uzleuven.be; stephan.rosenkranz@uk-koeln.de</t>
  </si>
  <si>
    <t>Brida, Margarita/HDM-7572-2022; quint, jennifer/ABE-3384-2020; delcroix, marion/AAE-2712-2022; Coats, Andrew/E-4451-2012; Giannakoulas, George/AAJ-5172-2020; Ferreira, Diogenes/AAB-2486-2020; Escribano, Pilar/R-5273-2017; Pepke-Zaba, Joanna/AGW-3073-2022; Ghofrani, Hossein/LPQ-1427-2024; Hoeper, Marius/Z-1546-2019; Nagavci, Blin/AAW-7370-2020; Vachiery, Jean-Luc/ABC-6631-2021; Sirenko, Yuriy/C-8012-2019; Kotecha, Dipak/Q-2827-2016; Kurzyna, Marcin/AAA-1244-2020; Dinh-Xuan, Anh Tuan/A-9691-2008; Celutkiene, Jelena/P-4267-2015; Konradi, Alexandra/P-1547-2014; Petersen, Steffen/A-8389-2011; Humbert, Marc/AAC-8459-2019</t>
  </si>
  <si>
    <t>Sirenko, Yuriy/0000-0002-4091-4910; Kovacs, Gabor/0000-0003-3709-2183; delcroix, marion/0000-0001-8394-9809; Nagavci, Blin/0000-0002-6626-2842; Gale, Chris/0000-0003-4732-382X; Kotecha, Dipak/0000-0002-2570-9812; Opitz, Isabelle/0000-0001-5900-9040; Mindham, Richard/0000-0003-1116-5284; Kurzyna, Marcin/0000-0002-6746-469X; Reis, Abilio/0000-0002-9932-3736; Dinh-Xuan, Anh Tuan/0000-0001-8651-5176; Simkova, Iveta/0000-0002-6051-2724; Hoeper, Marius/0000-0001-9086-2293; Celutkiene, Jelena/0000-0003-3562-9274; Cruz Utrilla, Alejandro/0000-0002-3851-4037; GIN-SING, WENDY/0000-0002-6993-0965; Rudzitis, Ainars/0000-0001-5984-1291; Konradi, Alexandra/0000-0001-8169-7812; Nielsen, Jens Cosedis/0000-0001-9414-1653; Petersen, Steffen/0000-0003-4622-5160; Humbert, Marc/0000-0003-0703-2892; Mathioudakis, Alexander G/0000-0002-4675-9616</t>
  </si>
  <si>
    <t>10.1183/13993003.00879-2022</t>
  </si>
  <si>
    <t>Green Published, Bronze</t>
  </si>
  <si>
    <t>WOS:000913404900008</t>
  </si>
  <si>
    <t>Le Pavec, J; Pison, C; Hirschi, S; Bunel, V; Mordant, P; Brugière, O; Le Guen, M; Olland, A; Coiffard, B; Renaud-Picard, B; Tissot, A; Brioude, G; Borie, R; Crestani, B; Deslèe, G; Stelianides, S; Mal, H; Schuller, A; Falque, L; Lorillon, G; Tazi, A; Burgel, PR; Grenet, D; De Miranda, S; Bergeron, A; Launay, D; Cottin, V; Nunes, H; Valeyre, D; Uzunhan, Y; Prèvot, G; Sitbon, O; Montani, D; Savale, L; Humbert, M; Fadel, E; Mercier, O; Mornex, JF; Dauriat, G; Reynaud-Gaubert, M</t>
  </si>
  <si>
    <t>Le Pavec, Jerome; Pison, Christophe; Hirschi, Sandrine; Bunel, Vincent; Mordant, Pierre; Brugiere, Olivier; Le Guen, Morgan; Olland, Anne; Coiffard, Benjamin; Renaud-Picard, Benjamin; Tissot, Adrien; Brioude, Geoffrey; Borie, Raphael; Crestani, Bruno; Deslee, Gaetan; Stelianides, Sandrine; Mal, Herve; Schuller, Armelle; Falque, Loic; Lorillon, Gwenaelle; Tazi, Abdellatif; Burgel, Pierre Regis; Grenet, Dominique; De Miranda, Sandra; Bergeron, Anne; Launay, David; Cottin, Vincent; Nunes, Hilario; Valeyre, Dominique; Uzunhan, Yurdagul; Prevot, Gregoire; Sitbon, Olivier; Montani, David; Savale, Laurent; Humbert, Marc; Fadel, Elie; Mercier, Olaf; Mornex, Jean Francois; Dauriat, Gaelle; Reynaud-Gaubert, Martine</t>
  </si>
  <si>
    <t>2022 Update of indications and contraindications for lung transplantation in France</t>
  </si>
  <si>
    <t>Lung transplantation indications; Lung transplantation contraindications; Candidate selection; High emergency allocation program</t>
  </si>
  <si>
    <t>PULMONARY ARTERIAL-HYPERTENSION; EXTRACORPOREAL MEMBRANE-OXYGENATION; SURVIVAL BENEFIT; CYSTIC-FIBROSIS; CANDIDATES; DIAGNOSIS; HEART; SELECTION; OUTCOMES; INDEX</t>
  </si>
  <si>
    <t>Lung transplantation (LTx) is a steadily expanding field. The considerable developments have been driven over the years by indefatigable work conducted at LTx centers to improve donor and recipient selection, combined with multifaceted efforts to overcome challenges raised by the surgical procedure, perioperative care, and long-term medical complications. One consequence has been a pruning away of contraindications over time, which has, in some ways, complicated the patient selection process. The Francophone Pulmonology Society (Soci ⠁et ⠁e de Pneumology de Langue Fran,caise, SPLF) set up a task force to produce up-to-date working guidelines designed to assist pulmonologists in managing end-stage respiratory insufficiency, determining which patients may be eligible for LTx, and appropriately timing LTx-center refer-ral. The task force examined the most recent literature and evaluated the risk factors that limit patient sur-vival after LTx. Ideally, the objectives of LTx are to prolong life while also improving quality of life. The guidelines developed by the task force apply to a limited resource and are consistent with the ethical princi-ples described below. &amp; COPY; 2022 SPLF and Elsevier Masson SAS. All rights reserved.</t>
  </si>
  <si>
    <t>[Le Pavec, Jerome] Grp Hosp Marie Lannelongue St Joseph, Serv Pneumol &amp; Transplantat Plum, 133 Ave Resistance, F-92350 Le Plessis Robinson, France; [Le Pavec, Jerome; Sitbon, Olivier; Montani, David; Savale, Laurent; Humbert, Marc; Fadel, Elie; Mercier, Olaf] Univ Paris Saclay, 78 Rue Gen Leclerc, F-94270 Saclay, France; [Le Pavec, Jerome; Sitbon, Olivier; Montani, David; Savale, Laurent; Humbert, Marc; Fadel, Elie; Mercier, Olaf] Univ Paris Saclay, INSERM, Grp Hosp Marie Lannelongue St Joseph, UMR S 999, 133 Ave Resistance, F-92350 Le Plessis Robinson, France; [Pison, Christophe; Falque, Loic] CHU Grenoble Alpes, Serv Hosp Univ Pneumol Physiol, Pole Thorax &amp; Vaisseaux, Ave Maquis du Gresivaudan, F-38700 La Tronche, France; [Pison, Christophe] INSERM 1055, Lab Bioenerget Fondamentale &amp; Appl, Batiment B Biol,280 Rue Piscine, F-38400 St Martin Dheres, France; [Pison, Christophe] Univ Grenoble Alpes, Ave Maquis du Gresivaudan, F-38700 La Tronche, France; [Hirschi, Sandrine; Renaud-Picard, Benjamin] Univ Strasbourg, Hop Civil, Hop Univ Strasbourg, Serv Pneumol &amp; Transplantat Plum, 1 Pl Hop,BP 426, F-67091 Strasbourg, France; [Bunel, Vincent; Mal, Herve] Univ Paris, Hop Bichat, APHP, Inserm U1152,Serv Pneumol &amp; Transplantat Plum B, 46 Rue Henri Huchard, F-75018 Paris, France; [Mordant, Pierre] Univ Paris, Hop Bichat, AP HP, Serv Chirurg Vasc Thorac &amp; Transplantat Pulm, 46 Rue Henri Huchard, F-75018 Paris, France; [Brugiere, Olivier; Grenet, Dominique; De Miranda, Sandra] Hop Foch, Ctr Transplantat Plum, 40 Rue Worth, F-92150 Suresnes, France; [Brugiere, Olivier; Grenet, Dominique; De Miranda, Sandra] Hop Foch, CRCM, 40 Rue Worth, F-92150 Suresnes, France; [Le Guen, Morgan] Hop Foch, Dept Anesthesie, 40 Rue Worth, F-92150 Suresnes, France; [Le Guen, Morgan] INRA UMR 892 VIM, Equipe Vaccins Immunopathol Immunomodulat, F-78350 Jouy En Josas, France; [Le Guen, Morgan] Univ Versailles St Quentin, 45 Ave Etats Unis, F-78000 Versailles, France; [Olland, Anne] Univ Hosp Strasbourg, Lung Transplantat Grp, Strasbourg, France; [Olland, Anne; Renaud-Picard, Benjamin] Univ Hosp Strasbourg, INSERM French Inst Hlth &amp; Med Res Regenerat 1260, 1 Pl Hop,BP 426, F-67091 Strasbourg, France; [Coiffard, Benjamin; Reynaud-Gaubert, Martine] Aix Marseille Univ, Ctr Hosp Univ Nord, Assistance Publ Hop Marseille, Serv Pneumol, Chemin Bourrely, F-13915 Marseille 20, France; [Coiffard, Benjamin; Reynaud-Gaubert, Martine] Aix Marseille Univ, Ctr Hosp Univ Nord, Assistance Publ Hop Marseille, Equipe Transplantat Plum, Chemin Bourrely, F-13915 Marseille 20, France; [Tissot, Adrien] Nantes Univ, Inst Thorax, Serv Pneumol, CHU Nantes, F-44000 Nantes, France; [Tissot, Adrien] Nantes Univ, Ctr Res Transplantat &amp; Translat Immunol, CHU Nantes, INSERM,UMR 1064, 8 Quai Moncousu, F-44007 Nantes, France; [Brioude, Geoffrey; Reynaud-Gaubert, Martine] Aix Marseille Univ, Ctr Hosp Univ Nord, Assistance Publ Hop Marseille, Serv Chirurg Thorac, Chemin Bourrely, F-13915 Marseille 20, France; [Borie, Raphael; Crestani, Bruno] Hop Foch, Serv Pneumol &amp; Transplantat Plum, 40 Rue Worth, F-92150 Suresnes, France; [Deslee, Gaetan] Univ Reims, Serv Pneumol, Inserm U1250, CHU Reims, 45 Rue Cognacq Jay, F-51092 Reims, France; [Stelianides, Sandrine] Inst Readaptat Acheres, 7 Pl Simone Veil, F-78260 Acheres, France; [Lorillon, Gwenaelle; Tazi, Abdellatif] Univ Paris, INSERM UMR 976 HIPI, Paris F-75006, France; [Lorillon, Gwenaelle; Tazi, Abdellatif] Hop St Louis, AP HP, Ctr Natl Reference Histiocytoses, Serv Pneumol, 1 Ave Claude Vellefaux, F-75010 Paris, France; [Burgel, Pierre Regis] Univ Paris Cite, Inst Cochin, Inserm U1016, Paris, France; [Burgel, Pierre Regis] Cochin Hosp, Assistance Publ Hop Paris, Pulm Dept, 27 Rue Faubourg St Jacques, F-75014 Paris, France; [Burgel, Pierre Regis] Cochin Hosp, AP HP, Natl Cyst Fibrosis Reference Ctr, 27 Rue Faubourg St Jacques, F-75014 Paris, France; [Bergeron, Anne] Hop Univ Geneve, Rue Gabrielle Perret Gentil 4, CH-1205 Geneva, Switzerland; [Bergeron, Anne] Univ Paris, Biostat &amp; Clin Epidemiol Res Team, UMR 1153 CRESS, Pl Jean Paul 2, F-75004 Paris, France; [Launay, David] Univ Lille, U1286 INFINITE Inst Translat Res Inflammat, Ctr Reference Malad Autoimmunes Syst rares Nord &amp;, Inserm,CHU Lille,Serv Med Interne &amp; Immunol Clin, Rue Michel Polonowski 5900, Lille, France; [Launay, David] Univ Lille, U1286 INFINITE Inst Translat Res Inflammat, Rue Michel Polonowski 5900, Lille, France; [Launay, David] Inserm, Rue Michel Polonowski 5900, Lille, France; [Cottin, Vincent] Univ Lyon, INRA, IVPC, Lyon, France; [Cottin, Vincent] Hosp Civils Lyon, Hop Louis Pradel, Ctr Natl Reference Malad Plum Rares, 59 Bd Pinel, F-69500 Bron, France; [Nunes, Hilario] Univ Sorbonne Paris Nord, Hop Avicenne Serv Pneumol, AP HP, INSERM UMR 1272, 125 Rue Stalingrad, F-93000 Bobigny, France; [Nunes, Hilario; Uzunhan, Yurdagul] Hop Avicenne, AP HP, Serv Pneumol, 125 Rue Stalingrad, F-93000 Bobigny, France; [Valeyre, Dominique] Hop St Joseph, Grp Hosp Paris St Joseph, 185 Rue Raymond Losserand, F-75014 Paris, France; [Prevot, Gregoire] Ctr Hop Univ, Hop Larrey, Pole Voies Resp, 24 Chem Pouvourville, F-31400 Toulouse, France; [Sitbon, Olivier; Montani, David; Savale, Laurent; Humbert, Marc] Hop Bicetre, AP HP, Serv Pneumol, 78 Rue Gen Leclerc, F-94270 Le Kremlin Bicetre, France; [Fadel, Elie; Mercier, Olaf] Grp Hosp Marie Lannelongue Paris St Joseph, Serv Chirurg Thorac &amp; Transplantat Cardioplum, 133 Ave Resistance, F-92350 Le Plessis Robinson, France; [Mornex, Jean Francois] Univ Lyon, Univ Lyon 1, F-69007 Lyon, France; [Mornex, Jean Francois] PSL, EPHE, F-69007 Lyon, France; [Mornex, Jean Francois] INRAE, F-69007 Lyon, France; [Mornex, Jean Francois] IVPC, F-69007 Lyon, France; [Mornex, Jean Francois] Hosp Civils Lyon, Serv Pneumol, GHE, 59 Bd Pinel, F-69500 Bron, France; [Mornex, Jean Francois] RESPIFIL, Orphalung, 59 Bd Pinel, F-69500 Bron, France; [Mornex, Jean Francois] Inserm, CIC1407, 59 Bd Pinel, F-69500 Bron, France; [Le Pavec, Jerome] Grp Hosp Paris St Joseph, Hop Marie Lannelogue, Serv Pneumol &amp; Transplantat Plum, 133 Ave Resistance, F-92350 Le Plessis Robinson, France</t>
  </si>
  <si>
    <t>Universite Paris Saclay; Institut National de la Sante et de la Recherche Medicale (Inserm); Universite Paris Saclay; CHU Grenoble Alpes; Institut National de la Sante et de la Recherche Medicale (Inserm); Communaute Universite Grenoble Alpes; Universite Grenoble Alpes (UGA); CHU Strasbourg; Universites de Strasbourg Etablissements Associes; Universite de Strasbourg; Universite Paris Cite; Assistance Publique Hopitaux Paris (APHP); Hopital Universitaire Hotel-Dieu - APHP; Hopital Universitaire Bichat-Claude Bernard - APHP; Institut National de la Sante et de la Recherche Medicale (Inserm); Assistance Publique Hopitaux Paris (APHP); Universite Paris Cite; Hopital Universitaire Bichat-Claude Bernard - APHP; Hospital Foch; Institut National de la Sante et de la Recherche Medicale (Inserm); Hospital Foch; Hospital Foch; INRAE; Universite Paris Saclay; CHU Strasbourg; CHU Strasbourg; Aix-Marseille Universite; Assistance Publique-Hopitaux de Marseille; Aix-Marseille Universite; Assistance Publique-Hopitaux de Marseille; Nantes Universite; CHU de Nantes; Institut National de la Sante et de la Recherche Medicale (Inserm); Nantes Universite; CHU de Nantes; Institut National de la Sante et de la Recherche Medicale (Inserm); Aix-Marseille Universite; Assistance Publique-Hopitaux de Marseille; Hospital Foch; Universite de Reims Champagne-Ardenne; Institut National de la Sante et de la Recherche Medicale (Inserm); CHU de Reims; Universite Paris Cite; Universite Paris Cite; Assistance Publique Hopitaux Paris (APHP); Hopital Universitaire Saint-Louis - APHP; Institut National de la Sante et de la Recherche Medicale (Inserm); Universite Paris Cite; Assistance Publique Hopitaux Paris (APHP); Universite Paris Cite; Hopital Universitaire Cochin - APHP; Hopital Universitaire Saint-Louis - APHP; Assistance Publique Hopitaux Paris (APHP); Universite Paris Cite; Hopital Universitaire Cochin - APHP; University of Geneva; Universite Paris Cite; Universite de Lille; CHU Lille; Institut National de la Sante et de la Recherche Medicale (Inserm); Institut National de la Sante et de la Recherche Medicale (Inserm); Universite de Lille; Institut National de la Sante et de la Recherche Medicale (Inserm); INRAE; CHU Lyon; Assistance Publique Hopitaux Paris (APHP); Hopital Universitaire Avicenne - APHP; Institut National de la Sante et de la Recherche Medicale (Inserm); Assistance Publique Hopitaux Paris (APHP); Hopital Universitaire Avicenne - APHP; Universite Paris 13; Universite Paris Cite; Hopital Paris Saint-Joseph; CHU de Toulouse; Assistance Publique Hopitaux Paris (APHP); Hopital Universitaire Antoine-Beclere - APHP; Hopital Universitaire Bicetre - APHP; Universite Paris Saclay; Universite Claude Bernard Lyon 1; Universite PSL; Ecole Pratique des Hautes Etudes (EPHE); INRAE; CHU Lyon; Institut National de la Sante et de la Recherche Medicale (Inserm); Universite Paris Cite; Hopital Paris Saint-Joseph</t>
  </si>
  <si>
    <t>Le Pavec, J (corresponding author), Grp Hosp Paris St Joseph, Hop Marie Lannelogue, Serv Pneumol &amp; Transplantat Plum, 133 Ave Resistance, F-92350 Le Plessis Robinson, France.</t>
  </si>
  <si>
    <t>Savale, Laurent/AAJ-9781-2020; Launay, David/JDM-2536-2023; Coiffard, Benjamin/AAX-1250-2020; David, Montani/I-6885-2019; Uzunhan, Yurdagul/AHA-1706-2022; Bergeron, Anne/HNS-7099-2023; BUNEL, Vincent/I-3078-2019; Borie, Raphael/J-3583-2017; Launay, David/H-1674-2016; Uzunhan, Yurdagul/P-5437-2017; Humbert, Marc/AAC-8459-2019</t>
  </si>
  <si>
    <t>Bergeron, Anne/0000-0003-2156-254X; Launay, David/0000-0003-1840-1817; mornex, jean-francois/0000-0003-4096-6152; Uzunhan, Yurdagul/0000-0002-1607-1407; Humbert, Marc/0000-0003-0703-2892; Brioude, Geoffrey/0000-0002-9622-4759; Mercier, Olaf/0000-0002-4760-6267</t>
  </si>
  <si>
    <t>10.1016/j.resmer.2022.100981</t>
  </si>
  <si>
    <t>DEC 2022</t>
  </si>
  <si>
    <t>K3VA6</t>
  </si>
  <si>
    <t>WOS:001015737400001</t>
  </si>
  <si>
    <t>Prapa, M; Lago-Docampo, M; Swietlik, EM; Montani, D; Eyries, M; Humbert, M; Welch, CL; Chung, WK; Berger, RMF; Bogaard, HJ; Danhaive, O; Escribano-Subías, P; Gall, H; Girerd, B; Hernandez-Gonzalez, I; Holden, S; Hunt, D; Jansen, SMA; Kerstjens-Frederikse, W; Kiely, DG; Lapunzina, P; McDermott, J; Moledina, S; Pepke-Zaba, J; Polwarth, GJ; Schotte, G; Tenorio-Castaño, J; Thompson, AAR; Wharton, J; Wort, SJ; Megy, K; Mapeta, R; Treacy, CM; Martin, JM; Li, W; Swift, AJ; Upton, PD; Morrell, NW; Gräf, S; Valverde, D</t>
  </si>
  <si>
    <t>Prapa, Matina; Lago-Docampo, Mauro; Swietlik, Emilia M.; Montani, David; Eyries, Melanie; Humbert, Marc; Welch, Carrie L.; Chung, Wendy K.; Berger, Rolf M. F.; Bogaard, Harm Jan; Danhaive, Olivier; Escribano-Subias, Pilar; Gall, Henning; Girerd, Barbara; Hernandez-Gonzalez, Ignacio; Holden, Simon; Hunt, David; Jansen, Samara M. A.; Kerstjens-Frederikse, Wilhelmina; Kiely, David G.; Lapunzina, Pablo; McDermott, John; Moledina, Shahin; Pepke-Zaba, Joanna; Polwarth, Gary J.; Schotte, Gwen; Tenorio-Castano, Jair; Thompson, A. A. Roger; Wharton, John; Wort, Stephen J.; Megy, Karyn; Mapeta, Rutendo; Treacy, Carmen M.; Martin, Jennifer M.; Li, Wei; Swift, Andrew J.; Upton, Paul D.; Morrell, Nicholas W.; Graf, Stefan; Valverde, Diana</t>
  </si>
  <si>
    <t>Nihr Bioresource Translational Res; Natl Cohort Study Idiopathic Herit; PAH Biobank Enrolling Ctr Investig</t>
  </si>
  <si>
    <t>First Genotype-Phenotype Study in TBX4 Syndrome Gain-of-Function Mutations Causative for Lung Disease</t>
  </si>
  <si>
    <t>pulmonary arterial hypertension; TBX4; interstitial lung disease; lung developmental disease; gain-of-function</t>
  </si>
  <si>
    <t>T-BOX GENES; EXPRESSION; SEQUENCE; CELLS; LIMB</t>
  </si>
  <si>
    <t>Rationale: Despite the increased recognition of TBX4 (T-BOX transcription factor 4)-associated pulmonary arterial hypertension (PAH), genotype-phenotype associations are lacking and may provide important insights. Objectives: To compile and functionally characterize all TBX4 variants reported to date and undertake a comprehensive genotype-phenotype analysis. Methods: We assembled a multicenter cohort of 137 patients harboring monoallelic TBX4 variants and assessed the pathogenicity of missense variation (n = 42) using a novel luciferase reporter assay containing T-BOX binding motifs. We sought genotype-phenotype correlations and undertook a comparative analysis with patients with PAH with BMPR2 (Bone Morphogenetic Protein Receptor type 2) causal variants (n = 162) or no identified variants in PAH-associated genes (n = 741) genotyped via the National Institute for Health Research BioResource-Rare Diseases. Measurements and Main Results: Functional assessment of TBX4 missense variants led to the novel finding of gain-of-function effects associated with older age at diagnosis of lung disease compared with loss-of-function effects (P = 0.038). Variants located in the T-BOX and nuclear localization domains were associated with earlier presentation (P = 0.005) and increased incidence of interstitial lung disease (P = 0.003). Event-free survival (death or transplantation) was shorter in the T-BOX group (P = 0.022), although age had a significant effect in the hazard model (P = 0.0461). Carriers of TBX4 variants were diagnosed at a younger age (P, 0.001) and had worse baseline lung function (FEV1, FVC) (P = 0.009) than the BMPR2 and no identified causal variant groups. Conclusions: We demonstrated that TBX4 syndrome is not strictly the result of haploinsufficiency but can also be caused by gain of function. The pleiotropic effects of TBX4 in lung disease may be in part explained by the differential effect of pathogenic mutations located in critical protein domains.</t>
  </si>
  <si>
    <t>[Prapa, Matina; Swietlik, Emilia M.; Megy, Karyn; Mapeta, Rutendo; Treacy, Carmen M.; Martin, Jennifer M.; Li, Wei; Upton, Paul D.; Morrell, Nicholas W.; Graf, Stefan] Univ Cambridge, Dept Med, Cambridge Biomed Campus, Cambridge, England; [Graf, Stefan] Univ Cambridge, Dept Haematol, Cambridge Biomed Campus, Cambridge, England; [Prapa, Matina] St Georges Univ Hosp Natl Hlth Serv NHS Fdn Trust, London, England; [Lago-Docampo, Mauro; Valverde, Diana] Univ Vigo, CINBIO, Campus Univ As Lagoas Marcosende S-N, Vigo 36310, Spain; [Lago-Docampo, Mauro; Valverde, Diana] Galicia Sur Hlth Res Inst IIS Galicia Sur, SERGAS UVIGO, Rare Dis &amp; Pediat Med, Vigo, Spain; [Swietlik, Emilia M.; Megy, Karyn; Mapeta, Rutendo; Morrell, Nicholas W.] Addenbrookes Hosp NHS Fdn Trust, Cambridge Biomed Campus, Cambridge, England; [Swietlik, Emilia M.; Pepke-Zaba, Joanna; Polwarth, Gary J.; Morrell, Nicholas W.] Royal Papworth Hosp NHS Fdn Trust, Cambridge Biomed Campus, Cambridge, England; [Montani, David; Humbert, Marc; Girerd, Barbara] Univ Paris Saclay, Hop Bicetre, AP HP,INSERM UMR S 999, Serv Pneumol,Ctr Reference Hypertens Pulmonaire, Paris, France; [Eyries, Melanie] UPMC Sorbonne Universites, Hop Pitie Salpetriere, AP HP, Dept Genet, Paris, France; [Eyries, Melanie] UPMC Sorbonne Univ, INSERM, UMR S 1166 ICAN, Paris, France; [Welch, Carrie L.; Chung, Wendy K.] Columbia Univ, Dept Pediat, Irving Med Ctr, New York, NY 10027 USA; [Chung, Wendy K.] Columbia Univ, Dept Med, Irving Med Ctr, New York, NY USA; [Berger, Rolf M. F.; Gall, Henning] Beatrix Childrens Hosp, Ctr Congenital Heart Dis, Pediat Cardiol, Groningen, Netherlands; [Kerstjens-Frederikse, Wilhelmina] Univ Groningen, Univ Med Ctr Groningen, Dept Genet, Groningen, Netherlands; [Bogaard, Harm Jan; Jansen, Samara M. A.; Schotte, Gwen] Vrije Univ Amsterdam, Amsterdam Univ, Dept Pulm Med, Amsterdam Cardiovasc Sci,Med Ctr, Amsterdam, Netherlands; [Danhaive, Olivier] Catholic Univ Louvain, Div Neonatol, St Luc Univ Hosp, Brussels, Belgium; [Danhaive, Olivier] Univ Calif San Francisco, Dept Pediat, San Francisco, CA USA; [Escribano-Subias, Pilar] Hosp Univ 12 Octubre, Serv Cardiol, Unidad Multidisciplinar Hipertens Pulm, Madrid, Spain; [Escribano-Subias, Pilar] Ctr Invest Biomed Red Enfermedades Cardiovasc, ISCIII, CIBERCV, Madrid, Spain; [Hernandez-Gonzalez, Ignacio] Hosp Univ Rio Hortega, Dept Cardiol, Valladolid, Spain; [Holden, Simon] Cambridge Univ Hosp NHS Fdn Trust, Dept Clin Genet, Cambridge, England; [Hunt, David] Princess Anne Hosp, Wessex Clin Genet Serv, Southampton, Hants, England; [Kiely, David G.; Thompson, A. A. Roger; Swift, Andrew J.] Univ Sheffield, Dept Infect Immun &amp; Cardiovasc Dis, Sheffield, S Yorkshire, England; [Kiely, David G.; Thompson, A. A. Roger] Royal Hallamshire Hosp, Sheffield Pulm Vasc Dis Unit, Sheffield, S Yorkshire, England; [Lapunzina, Pablo; Tenorio-Castano, Jair] Hosp Univ La Paz UAM, Inst Genet Med &amp; Mol INGEMM IdiPAZ, Madrid, Spain; [Lapunzina, Pablo; Tenorio-Castano, Jair] Ctr Invest Biomed Red Enfermedades Raras, ISCIII, CIBERER, Madrid, Spain; [Lapunzina, Pablo; Tenorio-Castano, Jair] European Reference Network Rare Congenital Malfor, ITHACA, Brussels, Belgium; [McDermott, John] Manchester Univ NHS Fdn Trust, Manchester Ctr Genom Med, St Marys Hosp, Manchester, Lancs, England; [McDermott, John] Univ Manchester, Sch Biol Sci, Div Evolut &amp; Genom Sci, Manchester, Lancs, England; [Moledina, Shahin] Great Ormond St Hosp Sick Children, London, England; [Wharton, John; Wort, Stephen J.] Imperial Coll London, Natl Heart &amp; Lung Inst, London, England; [Morrell, Nicholas W.; Graf, Stefan] Natl Inst Hlth Res NIHR BioResource Translat Res, Cambridge Biomed Campus, Cambridge, England</t>
  </si>
  <si>
    <t>University of Cambridge; University of Cambridge; Universidade de Vigo; CINBIO; Cambridge University Hospitals NHS Foundation Trust; Addenbrooke's Hospital; Papworth Hospital; Institut National de la Sante et de la Recherche Medicale (Inserm); Universite Paris Saclay; Assistance Publique Hopitaux Paris (APHP); Hopital Universitaire Bicetre - APHP; Assistance Publique Hopitaux Paris (APHP); Hopital Universitaire Pitie-Salpetriere - APHP; Sorbonne Universite; Institut National de la Sante et de la Recherche Medicale (Inserm); Sorbonne Universite; NewYork-Presbyterian Hospital; Columbia University; Columbia University; NewYork-Presbyterian Hospital; University of Groningen; University of Groningen; University of Amsterdam; Vrije Universiteit Amsterdam; Universite Catholique Louvain; Cliniques Universitaires Saint-Luc; University of California System; University of California San Francisco; Hospital Universitario 12 de Octubre; Instituto de Salud Carlos III; CIBER - Centro de Investigacion Biomedica en Red; CIBERCV; Hospital del Rio Hortega; University of Cambridge; University of Sheffield; University of Sheffield; Hospital Universitario La Paz; Instituto de Salud Carlos III; CIBER - Centro de Investigacion Biomedica en Red; CIBERER; University of Manchester; University of Manchester; University of London; University College London; Great Ormond Street Hospital for Children NHS Foundation Trust; Imperial College London</t>
  </si>
  <si>
    <t>Valverde, D (corresponding author), Univ Vigo, CINBIO, Campus Univ As Lagoas Marcosende S-N, Vigo 36310, Spain.</t>
  </si>
  <si>
    <t>dgern@thoracic.org</t>
  </si>
  <si>
    <t>Kerstjens-Frederikse, Wilhelmina/GSE-0282-2022; Pepke-Zaba, Joanna/AGW-3073-2022; David, Montani/I-6885-2019; Thompson, Roger/G-7397-2018; Valverde, Diana/Y-1101-2019; Danhaive, Olivier/AEN-1713-2022; Tenorio, Jair/AGD-3406-2022; Swift, Andy/GYU-3283-2022; moledina, shahin/A-6466-2009; Lago Docampo, Mauro/N-1841-2017; Lapunzina, Pablo/L-7075-2014; Escribano, Pilar/R-5273-2017; Valverde, Diana/I-2409-2012; Hernandez-Gonzalez, Ignacio/IXD-8469-2023; Humbert, Marc/AAC-8459-2019</t>
  </si>
  <si>
    <t>Lago Docampo, Mauro/0000-0002-8799-6079; Lapunzina, Pablo/0000-0002-6324-4825; Tenorio, Jair Antonio/0000-0002-5308-2316; Escribano, Pilar/0000-0002-6640-4839; Chung, Wendy/0000-0003-3438-5685; Montani, David/0000-0002-9358-6922; Valverde, Diana/0000-0002-7024-1657; Welch, Carrie/0000-0003-3521-4458; Prapa, Matina/0000-0002-2717-5463; Cruz Utrilla, Alejandro/0000-0002-3851-4037; Thompson, Roger/0000-0002-0717-4551; Bogaard, Harm Jan/0000-0001-5371-0346; Wharton, John/0000-0001-8110-2575; Hernandez-Gonzalez, Ignacio/0000-0001-7636-9988; Humbert, Marc/0000-0003-0703-2892; McDermott, John/0000-0002-5220-8837</t>
  </si>
  <si>
    <t>NIHR Great Ormond Street Hospital Biomedical Research Centre; Great Ormond Street Hospital Charity; Medical Research Council [MR/K020919/1]; Dinosaur Trust; Fundacion Contra la Hipertension Pulmonar; NIHR Cambridge Biomedical Research Centre; Dutch Heart Foundation [CVON2017-4 DOLPHIN-GENESIS]; British Heart Foundation [FS/18/13/3328]; Instituto de Salud Carlos III [PI18/01233]; Conselleria de Cultura, Educacion e Ordenacion Universitaria, Xunta de Galicia [ED431G/02]; Xunta de Galicia predoctoral fellowship [ED481A-2018/304]; Wellcome Trust fellowship [205188/Z/16/Z]; MRC [MR/K020919/1] Funding Source: UKRI</t>
  </si>
  <si>
    <t>NIHR Great Ormond Street Hospital Biomedical Research Centre; Great Ormond Street Hospital Charity; Medical Research Council(UK Research &amp; Innovation (UKRI)Medical Research Council UK (MRC)); Dinosaur Trust; Fundacion Contra la Hipertension Pulmonar; NIHR Cambridge Biomedical Research Centre(National Institutes of Health Research (NIHR)); Dutch Heart Foundation(Netherlands Heart Foundation); British Heart Foundation(British Heart Foundation); Instituto de Salud Carlos III(Instituto de Salud Carlos IIISpanish Government); Conselleria de Cultura, Educacion e Ordenacion Universitaria, Xunta de Galicia; Xunta de Galicia predoctoral fellowship; Wellcome Trust fellowship(Wellcome Trust); MRC(UK Research &amp; Innovation (UKRI)Medical Research Council UK (MRC))</t>
  </si>
  <si>
    <t>Supported by NIHR Great Ormond Street Hospital Biomedical Research Centre, Great Ormond Street Hospital Charity, Medical Research Council grant MR/K020919/1, Dinosaur Trust, Fundacion Contra la Hipertension Pulmonar, NIHR Cambridge Biomedical Research Centre, Dutch Heart Foundation grant CVON2017-4 DOLPHIN-GENESIS, British Heart Foundation grant FS/18/13/3328, Instituto de Salud Carlos III grant PI18/01233, and Conselleria de Cultura, Educacion e Ordenacion Universitaria, Xunta de Galicia grant ED431G/02. M.L.D. was supported by a Xunta de Galicia predoctoral fellowship (ED481A-2018/304). A.S. is funded by a Wellcome Trust fellowship (205188/Z/16/Z).</t>
  </si>
  <si>
    <t>10.1164/rccm.202203-0485OC</t>
  </si>
  <si>
    <t>7E3EX</t>
  </si>
  <si>
    <t>Green Submitted, Green Published, hybrid, Green Accepted</t>
  </si>
  <si>
    <t>WOS:000901056900014</t>
  </si>
  <si>
    <t>Mulvaney, EP; Renzo, F; Adao, R; Dupre, E; Bialesova, L; Salvatore, V; Reid, HM; Conceiçao, G; Grynblat, J; Llucià-Valldeperas, A; Michel, JB; Brás-Silva, C; Laurent, CE; Howard, LS; Montani, D; Humbert, M; Noordegraaf, AV; Perros, F; Mendes-Ferreira, P; Kinsella, BT</t>
  </si>
  <si>
    <t>Mulvaney, Eamon P.; Renzo, Fabiana; Adao, Rui; Dupre, Emilie; Bialesova, Lucia; Salvatore, Viviana; Reid, Helen M.; Conceicao, Gloria; Grynblat, Julien; Llucia-Valldeperas, Aida; Michel, Jean-Baptiste; Bras-Silva, Carmen; Laurent, Charles E.; Howard, Luke S.; Montani, David; Humbert, Marc; Noordegraaf, Anton Vonk; Perros, Frederic; Mendes-Ferreira, Pedro; Kinsella, B. Therese</t>
  </si>
  <si>
    <t>The thromboxane receptor antagonist NTP42 promotes beneficial adaptation and preserves cardiac function in experimental models of right heart overload</t>
  </si>
  <si>
    <t>pulmonary arterial hypertension (PAH); thromboxane receptor; NTP42; right ventricle (RV); heart failure</t>
  </si>
  <si>
    <t>EXTRACORPOREAL MEMBRANE-OXYGENATION; RIGHT-VENTRICULAR DYSFUNCTION; PULMONARY-HYPERTENSION; MYOFIBRILLAR PROTEINS; CA2+ RELEASE; DOUBLE-BLIND; FAILURE; CALPAIN; INHIBITION; IP3</t>
  </si>
  <si>
    <t>BackgroundPulmonary arterial hypertension (PAH) is a progressive disease characterized by increased pulmonary artery pressure leading to right ventricular (RV) failure. While current PAH therapies improve patient outlook, they show limited benefit in attenuating RV dysfunction. Recent investigations demonstrated that the thromboxane (TX) A(2) receptor (TP) antagonist NTP42 attenuates experimental PAH across key hemodynamic parameters in the lungs and heart. This study aimed to validate the efficacy of NTP42:KVA4, a novel oral formulation of NTP42 in clinical development, in preclinical models of PAH while also, critically, investigating its direct effects on RV dysfunction. MethodsThe effects of NTP42:KVA4 were evaluated in the monocrotaline (MCT) and pulmonary artery banding (PAB) models of PAH and RV dysfunction, respectively, and when compared with leading standard-of-care (SOC) PAH drugs. In addition, the expression of the TP, the target for NTP42, was investigated in cardiac tissue from several other related disease models, and from subjects with PAH and dilated cardiomyopathy (DCM). ResultsIn the MCT-PAH model, NTP42:KVA4 alleviated disease-induced changes in cardiopulmonary hemodynamics, pulmonary vascular remodeling, inflammation, and fibrosis, to a similar or greater extent than the PAH SOCs tested. In the PAB model, NTP42:KVA4 improved RV geometries and contractility, normalized RV stiffness, and significantly increased RV ejection fraction. In both models, NTP42:KVA4 promoted beneficial RV adaptation, decreasing cellular hypertrophy, and increasing vascularization. Notably, elevated expression of the TP target was observed both in RV tissue from these and related disease models, and in clinical RV specimens of PAH and DCM. ConclusionThis study shows that, through antagonism of TP signaling, NTP42:KVA4 attenuates experimental PAH pathophysiology, not only alleviating pulmonary pathologies but also reducing RV remodeling, promoting beneficial hypertrophy, and improving cardiac function. The findings suggest a direct cardioprotective effect for NTP42:KVA4, and its potential to be a disease-modifying therapy in PAH and other cardiac conditions.</t>
  </si>
  <si>
    <t>[Mulvaney, Eamon P.; Renzo, Fabiana; Bialesova, Lucia; Salvatore, Viviana; Reid, Helen M.; Kinsella, B. Therese] Univ Coll Dublin, UCD Conway Inst Biomol &amp; Biomed Res, ATXA Therapeut Ltd, Dublin, Ireland; [Adao, Rui; Conceicao, Gloria; Bras-Silva, Carmen; Mendes-Ferreira, Pedro] Univ Porto, Cardiovasc R&amp;D Ctr UnIC RISE, Dept Surg &amp; Physiol, Fac Med, Porto, Portugal; [Dupre, Emilie; Laurent, Charles E.] IPS Therapeut Inc, Sherbrooke, PQ, Canada; [Grynblat, Julien; Montani, David; Humbert, Marc; Perros, Frederic] Univ Paris Saclay, Sch Med, Le Kremlin Bicetre, France; [Grynblat, Julien; Montani, David; Humbert, Marc; Perros, Frederic] Hop Marie Lannelongue, Pulm Hypertens Pathophysiol &amp; Novel Therapies, INSERM, UMR S 999, Le Plessis Robinson, France; [Llucia-Valldeperas, Aida; Noordegraaf, Anton Vonk] Vrije Univ Amsterdam, Dept Pulm Med, PHEniX Lab, Amsterdam Cardiovasc Sci,Amsterdam UMC,Locat VUMC, Amsterdam, Netherlands; [Llucia-Valldeperas, Aida] Amsterdam Cardiovasc Sci Pulm Hypertens &amp; Thrombo, Amsterdam, Netherlands; [Michel, Jean-Baptiste] Univ Lorraine, INSERM, UMR S 1116, Vandoeuvre Les Nancy, France; [Laurent, Charles E.] ToxiPharm Labs Inc, Ste Catherine De Hatley, PQ, Canada; [Howard, Luke S.] Imperial Coll London, Natl Heart &amp; Lung Inst, London, England; [Montani, David; Humbert, Marc] Hop Bicetre, AP HP, Pulm Hypertens Natl Referral Ctr, Dept Resp &amp; Intens Care Med, Le Kremlin Bicetre, France; [Perros, Frederic; Mendes-Ferreira, Pedro] Univ Paris Saclay, Paris Porto Pulm Hypertens Collaborat Lab 3PH, INSERM, UMR S 999, Le Kremlin Bicetre, France; [Perros, Frederic] Claude Bernard Univ Lyon 1, Univ Lyon, CarMeN Lab, INSERM,INRAE, Lyon, France; [Perros, Frederic] Claude Bernard Univ Lyon 1, Univ Lyon, Ctr Rech Nutr Humaine Rhone Alpes CRNH RA, Lyon, France; [Kinsella, B. Therese] Univ Coll Dublin, UCD Sch Biomol &amp; Biomed Res, UCD Conway Inst Biomol &amp; Biomed Res, Dublin, Ireland</t>
  </si>
  <si>
    <t>University College Dublin; Universidade do Porto; Universite Paris Saclay; Hopital Marie Lannelongue; Universite Paris Saclay; Institut National de la Sante et de la Recherche Medicale (Inserm); Vrije Universiteit Amsterdam; University of Amsterdam; Universite de Lorraine; Institut National de la Sante et de la Recherche Medicale (Inserm); Imperial College London; Universite Paris Saclay; Assistance Publique Hopitaux Paris (APHP); Hopital Universitaire Antoine-Beclere - APHP; Hopital Universitaire Bicetre - APHP; Institut National de la Sante et de la Recherche Medicale (Inserm); Universite Paris Saclay; Universite Claude Bernard Lyon 1; Institut National de la Sante et de la Recherche Medicale (Inserm); INRAE; Universite Claude Bernard Lyon 1; University College Dublin</t>
  </si>
  <si>
    <t>Kinsella, BT (corresponding author), Univ Coll Dublin, UCD Conway Inst Biomol &amp; Biomed Res, ATXA Therapeut Ltd, Dublin, Ireland.;Kinsella, BT (corresponding author), Univ Coll Dublin, UCD Sch Biomol &amp; Biomed Res, UCD Conway Inst Biomol &amp; Biomed Res, Dublin, Ireland.</t>
  </si>
  <si>
    <t>therese.kinsella@atxatherapeutics.com</t>
  </si>
  <si>
    <t>Salvatore, Viviana/N-7670-2019; Michel, Jean-Baptiste/AAH-9336-2020; GRYNBLAT, Julien/KXS-1813-2024; Perros, Frédéric/N-6921-2017; Ferreira, Pedro/JXY-5442-2024; Adão, Rui/AAQ-1345-2020; Conceição, Glória/AAU-5064-2020; Bras Silva, Carmen/J-3754-2013; Humbert, Marc/AAC-8459-2019</t>
  </si>
  <si>
    <t>Bras Silva, Carmen/0000-0003-1527-3776; Salvatore, Viviana/0000-0002-1303-5435; Ferreira, Pedro/0000-0003-3616-6785; Humbert, Marc/0000-0003-0703-2892; Adao, Rui/0000-0003-2203-436X; Lab, Carmen/0000-0002-5935-3236; GRYNBLAT, Julien/0000-0001-5593-3383; Conceicao, Gloria/0000-0002-7986-2425</t>
  </si>
  <si>
    <t>DEC 14</t>
  </si>
  <si>
    <t>10.3389/fcvm.2022.1063967</t>
  </si>
  <si>
    <t>7I3QN</t>
  </si>
  <si>
    <t>WOS:000903806600001</t>
  </si>
  <si>
    <t>Maron, BM; Humbert, M</t>
  </si>
  <si>
    <t>Maron, Bradley M.; Humbert, Marc</t>
  </si>
  <si>
    <t>HFp2EF: heart failure with pulmonary dysfunction and preserved ejection fraction? (vol 43, pg 2209, 2022)</t>
  </si>
  <si>
    <t>FEB 1</t>
  </si>
  <si>
    <t>10.1093/eurheartj/ehac766</t>
  </si>
  <si>
    <t>8S1FI</t>
  </si>
  <si>
    <t>WOS:000901549300001</t>
  </si>
  <si>
    <t>Sanges, S; Rice, L; Tu, L; Valenzi, E; Cracowski, JL; Montani, D; Mantero, JC; Ternynck, C; Marot, G; Bujor, AM; Hachulla, E; Launay, D; Humbert, M; Guignabert, C; Lafyatis, R</t>
  </si>
  <si>
    <t>Sanges, Sebastien; Rice, Lisa; Tu, Ly; Valenzi, Eleanor; Cracowski, Jean-Luc; Montani, David; Mantero, Julio C.; Ternynck, Camille; Marot, Guillemette; Bujor, Andreea M.; Hachulla, Eric; Launay, David; Humbert, Marc; Guignabert, Christophe; Lafyatis, Robert</t>
  </si>
  <si>
    <t>Biomarkers of haemodynamic severity of systemic sclerosis-associated pulmonary arterial hypertension by serum proteome analysis</t>
  </si>
  <si>
    <t>ANNALS OF THE RHEUMATIC DISEASES</t>
  </si>
  <si>
    <t>systemic sclerosis; autoimmune diseases; cytokines</t>
  </si>
  <si>
    <t>SMOOTH-MUSCLE; ENDOTHELIAL-CELLS; CHEMERIN; CLASSIFICATION; PROLIFERATION; EXPRESSION; MIGRATION; SUBSETS; MARKER</t>
  </si>
  <si>
    <t>ObjectivesTo mine the serum proteome of patients with systemic sclerosis-associated pulmonary arterial hypertension (SSc-PAH) and to detect biomarkers that may assist in earlier and more effective diagnosis and treatment. MethodsPatients with limited cutaneous SSc, no extensive interstitial lung disease and no PAH-specific therapy were included. They were classified as cases if they had PAH confirmed by right heart catheterisation (RHC) and serum collected on the same day as RHC; and as controls if they had no clinical evidence of PAH. ResultsPatients were mostly middle-aged females with anticentromere-associated SSc. Among 1129 proteins assessed by a high-throughput proteomic assay (SOMAscan), only 2 were differentially expressed and correlated significantly with pulmonary vascular resistance (PVR) in SSc-PAH patients (n=15): chemerin (rho=0.62, p=0.01) and SET (rho=0.62, p=0.01). To validate these results, serum levels of chemerin were measured by ELISA in an independent cohort. Chemerin levels were confirmed to be significantly higher (p=0.01) and correlate with PVR (rho=0.42, p=0.04) in SSc-PAH patients (n=24). Chemerin mRNA expression was detected in fibroblasts, pulmonary artery smooth muscle cells (PA-SMCs)/pericytes and mesothelial cells in SSc-PAH lungs by single-cell RNA-sequencing. Confocal immunofluorescence revealed increased expression of a chemerin receptor, CMKLR1, on SSc-PAH PA-SMCs. SSc-PAH serum seemed to induce higher PA-SMC proliferation than serum from SSc patients without PAH. This difference appeared neutralised when adding the CMKLR1 inhibitor alpha-NETA. ConclusionChemerin seems an interesting surrogate biomarker for PVR in SSc-PAH. Increased chemerin serum levels and CMKLR1 expression by PA-SMCs may contribute to SSc-PAH pathogenesis by inducing PA-SMC proliferation.</t>
  </si>
  <si>
    <t>[Sanges, Sebastien; Rice, Lisa; Mantero, Julio C.; Bujor, Andreea M.] Boston Univ, Sch Med, Arthrit Ctr E5, Boston, MA 02118 USA; [Sanges, Sebastien; Hachulla, Eric; Launay, David] Univ Lille, U1286 INFINITE Inst Translat Res Inflammat, Lille, France; [Sanges, Sebastien; Hachulla, Eric; Launay, David] INSERM, Lille, France; [Sanges, Sebastien; Hachulla, Eric; Launay, David] CHU Lille, Dept Med Interne &amp; Immunol Clin, F-59037 Lille, France; [Sanges, Sebastien; Hachulla, Eric; Launay, David] CeRAINO, Ctr Natl Reference Malad Autoimmunes Syst Rares N, Lille, France; [Sanges, Sebastien; Hachulla, Eric; Launay, David] Hlth Care Provider European Reference Network Rar, Lille, France; [Tu, Ly; Montani, David; Humbert, Marc; Guignabert, Christophe] Univ Paris Saclay, Sch Med, Le Kremlin Bicetre, France; [Tu, Ly; Montani, David; Humbert, Marc; Guignabert, Christophe] Hop Marie Lannelongue, INSERM UMR S 999, F-999 Le Plessis Robinson, France; [Valenzi, Eleanor] Univ Pittsburgh, Med Ctr, Dept Med, Div Pulm Allergy &amp; Crit Care Med, Pittsburgh, PA USA; [Cracowski, Jean-Luc] Univ Grenoble Alpes, INSERM, HP2, Grenoble, France; [Montani, David; Humbert, Marc] Hop Bicetre, AP HP, Dept Resp &amp; Intens Care Med, Le Kremlin Bicetre, France; [Ternynck, Camille; Marot, Guillemette] Univ Lille, CHU Lille, ULR 2694 METRICS Evaluat Technol Sante &amp; Prat Med, Lille, France; [Marot, Guillemette] INRIA, MODAL MOdels Data Anal &amp; Learning, Lille, France; [Marot, Guillemette] Univ Lille, CNRS, INSERM, CHU Lille,Inst Pasteur Lille,UAR 2014 US 41 PLBS, Lille, France; [Lafyatis, Robert] Univ Pittsburgh, Med Ctr, Dept Med, Div Rheumatol, Pittsburgh, PA USA</t>
  </si>
  <si>
    <t>Boston University; Universite de Lille; Institut National de la Sante et de la Recherche Medicale (Inserm); Institut National de la Sante et de la Recherche Medicale (Inserm); Universite de Lille; CHU Lille; Universite Paris Saclay; Hopital Marie Lannelongue; Institut National de la Sante et de la Recherche Medicale (Inserm); Pennsylvania Commonwealth System of Higher Education (PCSHE); University of Pittsburgh; Communaute Universite Grenoble Alpes; Universite Grenoble Alpes (UGA); Institut National de la Sante et de la Recherche Medicale (Inserm); Assistance Publique Hopitaux Paris (APHP); Hopital Universitaire Bicetre - APHP; Universite Paris Saclay; Hopital Universitaire Antoine-Beclere - APHP; Universite de Lille; CHU Lille; Inria; Universite de Lille; CHU Lille; Centre National de la Recherche Scientifique (CNRS); Institut National de la Sante et de la Recherche Medicale (Inserm); Pasteur Network; Institut Pasteur Lille; Pennsylvania Commonwealth System of Higher Education (PCSHE); University of Pittsburgh</t>
  </si>
  <si>
    <t>Sanges, S (corresponding author), CHU Lille, Dept Med Interne &amp; Immunol Clin, F-59037 Lille, France.</t>
  </si>
  <si>
    <t>sebastien.sanges@univ-lille.fr</t>
  </si>
  <si>
    <t>TU, Ly/G-4035-2013; David, Montani/I-6885-2019; HACHULLA, ERIC/R-8488-2018; Launay, David/JDM-2536-2023; Bujor, Andreea/AAN-8621-2021; Humbert, Marc/AAC-8459-2019; GUIGNABERT, Christophe/G-3873-2013; Sanges, Sebastien/M-4605-2018; Marot, Guillemette/O-6525-2014; Launay, David/H-1674-2016</t>
  </si>
  <si>
    <t>Valenzi, Eleanor/0000-0003-0656-6542; Humbert, Marc/0000-0003-0703-2892; GUIGNABERT, Christophe/0000-0002-8545-4452; Sanges, Sebastien/0000-0003-0280-411X; HACHULLA, ERIC/0000-0001-7432-847X; Montani, David/0000-0002-9358-6922; Marot, Guillemette/0000-0002-7437-8239; Launay, David/0000-0003-1840-1817</t>
  </si>
  <si>
    <t>BMJ PUBLISHING GROUP</t>
  </si>
  <si>
    <t>BRITISH MED ASSOC HOUSE, TAVISTOCK SQUARE, LONDON WC1H 9JR, ENGLAND</t>
  </si>
  <si>
    <t>0003-4967</t>
  </si>
  <si>
    <t>1468-2060</t>
  </si>
  <si>
    <t>ANN RHEUM DIS</t>
  </si>
  <si>
    <t>Ann. Rheum. Dis.</t>
  </si>
  <si>
    <t>10.1136/ard-2022-223237</t>
  </si>
  <si>
    <t>9Q2XT</t>
  </si>
  <si>
    <t>Green Submitted, Green Accepted, Bronze</t>
  </si>
  <si>
    <t>WOS:000893822400001</t>
  </si>
  <si>
    <t>Bourdin, A; Deschildre, A; Humbert, M; Niarra, R; Thonnelier, C; Laborey, M; Lajoinie, A; Bernard, A; Molimard, M; Taillé, C</t>
  </si>
  <si>
    <t>Bourdin, A.; Deschildre, A.; Humbert, M.; Niarra, R.; Thonnelier, C.; Laborey, M.; Lajoinie, A.; Bernard, A.; Molimard, M.; Taille, C.</t>
  </si>
  <si>
    <t>ECONOMIC BURDEN OF SEVERE ASTHMA IN ADULTS AND CHILDREN TREATED WITH OMALIZUMAB FROM 2012 TO 2019</t>
  </si>
  <si>
    <t>VALUE IN HEALTH</t>
  </si>
  <si>
    <t>[Bourdin, A.] CHU Montpellier, Montpellier, France; [Deschildre, A.] CHU Lille, Lille, France; [Humbert, M.] Hop Bicetre, Le Kremlin Bicetre, France; [Niarra, R.; Thonnelier, C.] Novartis, Rueil Malmaison, France; [Laborey, M.; Lajoinie, A.; Bernard, A.] RCTs, Lyon 69, France; [Molimard, M.] Bordeaux Univ, CHU, Bordeaux, France; [Taille, C.] Serv Pneumol, Paris, France; [Taille, C.] Ctr Reference Malad Pulm Rares, Paris, France</t>
  </si>
  <si>
    <t>Universite de Montpellier; CHU de Montpellier; Universite de Lille; CHU Lille; Assistance Publique Hopitaux Paris (APHP); Hopital Universitaire Antoine-Beclere - APHP; Universite Paris Saclay; Hopital Universitaire Bicetre - APHP; Novartis; CHU Bordeaux; Universite de Bordeaux</t>
  </si>
  <si>
    <t>Bourdin, Philippe/D-8149-2015; Taille, Camille/J-3751-2017; Humbert, Marc/AAC-8459-2019</t>
  </si>
  <si>
    <t>1098-3015</t>
  </si>
  <si>
    <t>1524-4733</t>
  </si>
  <si>
    <t>VALUE HEALTH</t>
  </si>
  <si>
    <t>Value Health</t>
  </si>
  <si>
    <t>EE6</t>
  </si>
  <si>
    <t>S54</t>
  </si>
  <si>
    <t>Economics; Health Care Sciences &amp; Services; Health Policy &amp; Services</t>
  </si>
  <si>
    <t>Science Citation Index Expanded (SCI-EXPANDED); Social Science Citation Index (SSCI)</t>
  </si>
  <si>
    <t>Business &amp; Economics; Health Care Sciences &amp; Services</t>
  </si>
  <si>
    <t>6Z2FF</t>
  </si>
  <si>
    <t>WOS:000897594900232</t>
  </si>
  <si>
    <t>Deschildre, A; Taillé, C; Humbert, M; Niarra, R; Thonnelier, C; Lajoinie, A; Benmerad, M; Bernard, A; Molimard, M; Bourdin, A</t>
  </si>
  <si>
    <t>Deschildre, A.; Taille, C.; Humbert, M.; Niarra, R.; Thonnelier, C.; Lajoinie, A.; Benmerad, M.; Bernard, A.; Molimard, M.; Bourdin, A.</t>
  </si>
  <si>
    <t>Persistence and Patterns of Exposure to Omalizumab in Patients With Asthma in France Between 2009 and 2019 (SOLAIR Study)</t>
  </si>
  <si>
    <t>[Deschildre, A.] CHU Lille, Lille, France; [Taille, C.] Serv Pneumol, Paris, France; [Taille, C.] Ctr Reference Malad Pulm Rares, Paris, France; [Humbert, M.] Hop Bicetre, Le Kremlin Bicetre, France; [Niarra, R.; Lajoinie, A.; Benmerad, M.; Bernard, A.] RCTs, Lyon 69, France; [Thonnelier, C.] Novartis, Rueil Malmaison, France; [Molimard, M.] CHU Bordeaux Univ, Bordeaux, France; [Bourdin, A.] CHU Montpellier, Montpellier, France</t>
  </si>
  <si>
    <t>Universite de Lille; CHU Lille; Assistance Publique Hopitaux Paris (APHP); Hopital Universitaire Bicetre - APHP; Hopital Universitaire Antoine-Beclere - APHP; Universite Paris Saclay; Novartis; Universite de Bordeaux; Universite de Montpellier; CHU de Montpellier</t>
  </si>
  <si>
    <t>Taille, Camille/J-3751-2017; Bourdin, Philippe/D-8149-2015; Humbert, Marc/AAC-8459-2019</t>
  </si>
  <si>
    <t>RWD92</t>
  </si>
  <si>
    <t>S466</t>
  </si>
  <si>
    <t>WOS:000897594903350</t>
  </si>
  <si>
    <t>Fauvel, C; Raitiere, O; Boucly, A; De Groote, P; Renard, S; Bertona, J; Lamblin, N; Artaud-Macari, E; Viacroze, C; Schleifer, D; Dominique, S; Pichon, J; Jais, X; Montani, D; Sitbon, O; Savale, L; Humbert, M; Bauer, F</t>
  </si>
  <si>
    <t>Fauvel, Charles; Raitiere, Olivier; Boucly, Athenais; De Groote, Pascal; Renard, Sebastien; Bertona, Jeanne; Lamblin, Nicolas; Artaud-Macari, Elise; Viacroze, Catherine; Schleifer, Dominique; Dominique, Stephane; Pichon, Jeremie; Jais, Xavier; Montani, David; Sitbon, Olivier; Savale, Laurent; Humbert, Marc; Bauer, Fabrice</t>
  </si>
  <si>
    <t>Interest of TAPSE/sPAP ratio for noninvasive pulmonary arterial hypertension risk assessment</t>
  </si>
  <si>
    <t>pulmonary arterial hypertension; risk assessment; echocardiography; TAPSE/sPAP; right ventriculoarterial coupling</t>
  </si>
  <si>
    <t>HEART-FAILURE; EUROPEAN ASSOCIATION; CONTRACTILE FUNCTION; PREDICTING SURVIVAL; EJECTION FRACTION; AMERICAN SOCIETY; SCORE CALCULATOR; GUIDELINES; ECHOCARDIOGRAPHY; PHENOTYPES</t>
  </si>
  <si>
    <t>BACKGROUND: Although ventriculoarterial coupling is associated with better survival in pulmonary arterial hypertension (PAH), existing PAH risk assessment method has not considered echocardiographic criteria of right ventricular to pulmonary artery coupling. We aimed to test the prognostic value of the echocardiographic tricuspid annular plane systolic excursion/systolic pulmonary artery pressure (TAPSE/sPAP) ratio for noninvasive PAH risk assessment. METHODS: We retrospectively studied a cohort of 659 incident PAH patients from 4 independent French PH centers (training cohort: n = 306, validation cohort n = 353) who underwent follow-up TAPSE/sPAP measurement in addition to previously validated noninvasive risk stratification variables. The primary composite outcome was 3-year all-cause mortality or lung transplantation from re-evaluation. RESULTS: Mean age was 55 +/- 17 years-old with a majority of female (66%). The three main PAH causes were connective tissue disease (26%), idiopathic (24%) and porto-pulmonary (19%). The primary composite outcome occurred in 71 (23%) patients. Multivariable Cox regression analysis retained 3 noninvasive low-risk criteria as associated with the primary composite outcome: NYHA I-II (p = 0.001), NTproBNP &lt; 300 ng/L or BNP &lt; 50 ng/L (p = 0.004), and TAPSE/sPAP &gt; 0.33 mm/mmHg (p = 0.004). The more the low-risk criteria achieved at follow-up, the better the event-free survival both in the training and validation cohort (log-rank p &lt; 0.001). In the training cohort, the c-index for these 3 criteria, for COMPERA 2.0 and for the noninvasive French Pulmonary Hypertension Network method were 0.75, 95%CI(0.70-0.82), 0.72 95%CI(0.66-0.75), 0.71 95%CI(0.62-0.73), respectively. CONCLUSION: The 3 following dichotomized low-risk criteria: TAPSE/sPAP &gt; 0.33 mm/mmHg, NYHA I-II and NTproBNP &lt; 300 ng/L or BNP &lt; 50 ng/L allow to identify low-risk PAH patients at follow-up. (c) 2022 International Society for Heart and Lung Transplantation. All rights reserved.</t>
  </si>
  <si>
    <t>[Fauvel, Charles] Ohio State Univ, Wexner Med Ctr, Div Cardiovasc Med, Columbus, OH 43210 USA; [Fauvel, Charles; Raitiere, Olivier; Artaud-Macari, Elise; Viacroze, Catherine; Schleifer, Dominique; Dominique, Stephane; Bauer, Fabrice] Ctr Hosp Univ Charles Nicolle, Ctr Competence Hypertens Pulm 27 76, Rouen, France; [Fauvel, Charles; Bauer, Fabrice] Univ Rouen, INSERM EnVI U1096, Rouen, France; [Boucly, Athenais; Pichon, Jeremie; Jais, Xavier; Montani, David; Sitbon, Olivier; Savale, Laurent; Humbert, Marc] Univ Paris, Fac Med, Saclay, Le Kremlin Bicetre, France; [Boucly, Athenais; Pichon, Jeremie; Jais, Xavier; Montani, David; Sitbon, Olivier; Savale, Laurent; Humbert, Marc] Hop Bicetre, AP HP, Serv Pneumol &amp; Soins Intensifs Resp, Ctr Reference Hypertens Pulm, Le Kremlin Bicetre, France; [Boucly, Athenais; Pichon, Jeremie; Jais, Xavier; Sitbon, Olivier; Savale, Laurent; Humbert, Marc] INSERM EnVI U1096, Le Kremlin Bicetre, France; [De Groote, Pascal; Lamblin, Nicolas] Univ Lille, Serv Cardiol, CHU Lille, Inst Pasteur Lille,Inserm U1167, Lille, France; [Renard, Sebastien; Bertona, Jeanne] Hop La Timone, Serv Cardiol, Ctr Reg Competences Hypertens, Marseille, France; [Artaud-Macari, Elise; Viacroze, Catherine; Schleifer, Dominique; Dominique, Stephane] Rouen Univ Hosp, Pulm Thorac Oncol &amp; Resp Intens Care Unit, Rouen, France; [Artaud-Macari, Elise; Viacroze, Catherine; Schleifer, Dominique; Dominique, Stephane] Normandie Univ, Rouen Univ Hosp, INSERM EnVI U1096, UNIROUEN,EA3830, Rouen, France</t>
  </si>
  <si>
    <t>University System of Ohio; Ohio State University; Universite de Rouen Normandie; CHU de Rouen; Universite de Rouen Normandie; Institut National de la Sante et de la Recherche Medicale (Inserm); Universite Paris Cite; Assistance Publique Hopitaux Paris (APHP); Hopital Universitaire Bicetre - APHP; Universite Paris Saclay; Hopital Universitaire Antoine-Beclere - APHP; Institut National de la Sante et de la Recherche Medicale (Inserm); Pasteur Network; Universite de Lille; Institut Pasteur Lille; Institut National de la Sante et de la Recherche Medicale (Inserm); CHU Lille; Aix-Marseille Universite; Assistance Publique-Hopitaux de Marseille; Universite de Rouen Normandie; CHU de Rouen; Universite de Rouen Normandie; CHU de Rouen; Institut National de la Sante et de la Recherche Medicale (Inserm)</t>
  </si>
  <si>
    <t>Bauer, F (corresponding author), Ctr Hosp Univ Charles Nicolle, Div Cardiovasc Med, 1 Rue Germont, F-76000 Rouen, France.</t>
  </si>
  <si>
    <t>fabrice.bauer@chu-rouen.fr</t>
  </si>
  <si>
    <t>David, Montani/I-6885-2019; BAUER, Fabrice/HMP-7663-2023; Savale, Laurent/AAJ-9781-2020; DE GROOTE, Pascal/LLL-9444-2024; Humbert, Marc/AAC-8459-2019</t>
  </si>
  <si>
    <t>Fauvel, Charles/0000-0001-6243-2544; de Groote, Pascal/0000-0002-6211-0147; Bauer, Fabrice/0000-0002-9221-9688; Humbert, Marc/0000-0003-0703-2892</t>
  </si>
  <si>
    <t>10.1016/j.healun.2022.09.005</t>
  </si>
  <si>
    <t>G7NS3</t>
  </si>
  <si>
    <t>WOS:000990987700014</t>
  </si>
  <si>
    <t>Khoury, S; Beauvais, A; Colas, J; Willer, ASM; Perros, F; Humbert, M; Vandebrouck, C; Montani, D; Ferreira, T; Antigny, F</t>
  </si>
  <si>
    <t>Khoury, Spiro; Beauvais, Antoine; Colas, Jenny; Saint-Martin Willer, Anais; Perros, Frederic; Humbert, Marc; Vandebrouck, Clarisse; Montani, David; Ferreira, Thierry; Antigny, Fabrice</t>
  </si>
  <si>
    <t>Lipidomic Profile Analysis of Lung Tissues Revealed Lipointoxication in Pulmonary Veno-Occlusive Disease</t>
  </si>
  <si>
    <t>BIOMOLECULES</t>
  </si>
  <si>
    <t>PVOD; phospholipids; lysophosphatidylcholine</t>
  </si>
  <si>
    <t>PHOSPHOLIPIDS; GCN2</t>
  </si>
  <si>
    <t>Pulmonary veno-occlusive disease (PVOD) is a rare form of pulmonary arterial hypertension (PAH) occurring in a heritable form (hPVOD) due to biallelic inactivating mutations of EIF2AK4 (encoding GCN2, general control nonderepressible 2) or in a sporadic form in older age (sPVOD), following exposure to chemotherapy or organic solvents. In contrast to PAH, PVOD is characterized by a particular remodeling of the pulmonary venous system and the obliteration of small pulmonary veins by fibrous intimal thickening and patchy capillary proliferation. The pathobiological knowledge of PVOD is poor, explaining the absence of medical therapy for PVOD. Lung transplantation remains the only therapy for eligible PVOD patients. As we recently demonstrated, respiratory diseases, chronic obstructive pulmonary disease, or cystic fibrosis exhibit lipointoxication signatures characterized by excessive levels of saturated phospholipids contributing to the pathological features of these diseases, including endoplasmic reticulum stress, pro-inflammatory cytokines production, and bronchoconstriction. In this study, we investigated and compared the clinical data and lung lipid signature of control (10 patients), idiopathic PAH (7 patients), heritable PAH (9 BMPR2 mutations carriers), hPVOD (10 EIF2AK4 mutation carriers), and sPVOD (6 non-carriers) subjects. Mass spectrometry analyses demonstrated lung lipointoxication only in hPVOD patients, characterized by an increased abundance of saturated phosphatidylcholine (PC) at the expense of the polyunsaturated species in the lungs of hPVOD patients. The present data suggest that lipointoxication could be a potential player in the etiology of PVOD.</t>
  </si>
  <si>
    <t>[Khoury, Spiro; Colas, Jenny; Vandebrouck, Clarisse; Ferreira, Thierry] Univ Poitiers, Lab Cooperat Lipotox &amp; Channelopathies ConicMeds, Rue Georges Bonnet, F-86073 Poitiers, France; [Beauvais, Antoine; Saint-Martin Willer, Anais; Perros, Frederic; Humbert, Marc; Montani, David; Antigny, Fabrice] Univ Paris Saclay, Fac Med, F-94270 Le Kremlin Bicetre, France; [Beauvais, Antoine; Saint-Martin Willer, Anais; Perros, Frederic; Humbert, Marc; Montani, David; Antigny, Fabrice] Hop Marie Lannelongue, INSERM, UMR S 999, F-92350 Le Plessis Robinson, France; [Beauvais, Antoine; Humbert, Marc; Montani, David] Hop Bicetre, Assistance Publ Hop Paris, Ctr Reference Hypertens Plum,APHP, Serv Pneumol &amp; Soins Intens Resp, F-94270 Le Kremlin Bicetre, France; [Colas, Jenny; Vandebrouck, Clarisse; Ferreira, Thierry] Univ Poitiers, PReTI Lab, F-86073 Poitiers, France</t>
  </si>
  <si>
    <t>Universite de Poitiers; Universite Paris Saclay; Hopital Marie Lannelongue; Universite Paris Saclay; Institut National de la Sante et de la Recherche Medicale (Inserm); Assistance Publique Hopitaux Paris (APHP); Universite Paris Cite; Hopital Universitaire Saint-Louis - APHP; Universite Paris Saclay; Hopital Universitaire Bicetre - APHP; Hopital Universitaire Antoine-Beclere - APHP; Universite de Poitiers</t>
  </si>
  <si>
    <t>Antigny, F (corresponding author), Univ Paris Saclay, Fac Med, F-94270 Le Kremlin Bicetre, France.;Antigny, F (corresponding author), Hop Marie Lannelongue, INSERM, UMR S 999, F-92350 Le Plessis Robinson, France.</t>
  </si>
  <si>
    <t>vandebrouck, clarisse/P-9463-2016; KHOURY, Spiro/AAQ-7657-2021; David, Montani/I-6885-2019; Humbert, Marc/AAC-8459-2019; Antigny, Fabrice/Q-3999-2018; Perros, Frederic/N-6921-2017</t>
  </si>
  <si>
    <t>Humbert, Marc/0000-0003-0703-2892; Lab, Carmen/0000-0002-5935-3236; Saint-Martin Willer, Anais/0000-0002-2078-3271; Montani, David/0000-0002-9358-6922; Antigny, Fabrice/0000-0002-9515-6571; Vandebrouck, clarisse/0000-0002-9401-0546; KHOURY, Spiro/0000-0003-0365-7406; Perros, Frederic/0000-0001-7730-2427</t>
  </si>
  <si>
    <t>French National Institute for Health and Medical Research (INSERM); Marie Lannelongue Hospital; French National Agency for Research (ANR) [ANR-18-CE14-0023 (KAPAH))]; French Fondation du Souffle; Universite Paris-Saclay; Therapeutic Innovation Doctoral School [ED569]</t>
  </si>
  <si>
    <t>French National Institute for Health and Medical Research (INSERM)(Institut National de la Sante et de la Recherche Medicale (Inserm)); Marie Lannelongue Hospital; French National Agency for Research (ANR)(Agence Nationale de la Recherche (ANR)); French Fondation du Souffle; Universite Paris-Saclay; Therapeutic Innovation Doctoral School</t>
  </si>
  <si>
    <t>This study was supported by grants from the French National Institute for Health and Medical Research (INSERM), the Universite Paris-Saclay, the Marie Lannelongue Hospital and the French National Agency for Research (ANR) (grant no. ANR-18-CE14-0023 (KAPAH)). The French Fondation du Souffle supports A.B. A.S.-M.W. is supported by Therapeutic Innovation Doctoral School (ED569).</t>
  </si>
  <si>
    <t>2218-273X</t>
  </si>
  <si>
    <t>Biomolecules</t>
  </si>
  <si>
    <t>10.3390/biom12121878</t>
  </si>
  <si>
    <t>Biochemistry &amp; Molecular Biology</t>
  </si>
  <si>
    <t>7G1SK</t>
  </si>
  <si>
    <t>WOS:000902313100001</t>
  </si>
  <si>
    <t>Le Pavec, J; Pison, C; Hirschi, S; Bunel, V; Mordant, P; Brugière, O; Le Guen, M; Olland, A; Coiffard, B; Renaud-Picard, B; Tissot, A; Brioude, G; Borie, R; Crestani, B; Deslée, G; Stelianides, S; Mal, H; Schuller, A; Falque, L; Lorillon, G; Tazi, A; Burgel, PR; Grenet, D; De Miranda, S; Bergeron, A; Launay, D; Cottin, V; Nunes, H; Valeyre, D; Uzunhan, Y; Prévot, G; Sitbon, O; Montani, D; Savale, L; Humbert, M; Fadel, E; Mercier, O; Mornex, JF; Dauriat, G; Reynaud-Gaubert, M</t>
  </si>
  <si>
    <t>Le Pavec, J.; Pison, C.; Hirschi, S.; Bunel, V.; Mordant, P.; Brugiere, O.; Le Guen, M.; Olland, A.; Coiffard, B.; Renaud-Picard, B.; Tissot, A.; Brioude, G.; Borie, R.; Crestani, B.; Deslee, G.; Stelianides, S.; Mal, H.; Schuller, A.; Falque, L.; Lorillon, G.; Tazi, A.; Burgel, P. R.; Grenet, D.; De Miranda, S.; Bergeron, A.; Launay, D.; Cottin, V.; Nunes, H.; Valeyre, D.; Uzunhan, Y.; Prevot, G.; Sitbon, O.; Montani, D.; Savale, L.; Humbert, M.; Fadel, E.; Mercier, O.; Mornex, J. F.; Dauriat, G.; Reynaud-Gaubert, M.</t>
  </si>
  <si>
    <t>Updated indications and contraindications in 2022 for lung transplantation in France</t>
  </si>
  <si>
    <t>Contraindications; Indication; Emergencyregistration; List; Lung transplantation; Survival</t>
  </si>
  <si>
    <t>PULMONARY ARTERIAL-HYPERTENSION; EXTRACORPOREAL MEMBRANE-OXYGENATION; SURVIVAL BENEFIT; INTERNATIONAL SOCIETY; CONSENSUS DOCUMENT; CYSTIC-FIBROSIS; CANDIDATES; HEART; DIAGNOSIS; SELECTION</t>
  </si>
  <si>
    <t>Lung transplantation (LTx) is the last-resort treatment for end-stage respiratory insufficiency, whatever its origin, and represents a steadily expanding field of endeavor. Major developments have been impelled over the years by painstaking efforts at LTx centers to improve donor and recipient selection, and multifaceted attempts have been made to meet the challenges raised by surgical management, perioperative care, and long-term medical complications. The number of procedures has increased, leading to improved post-LTx prognosis. One consequence of these multiple developments has been a pruning away of contraindications over time, which has, in some ways, complicated the patient selection process. With these considerations in mind, the Francophone Pulmonology Society (Societe de Pneumology de Langue Francaise [SPLF]) has set up a task force to produce up-to-date working guidelines designed to assist pulmonologists in managing end-stage respiratory insufficiency, determining which patients may be eligible for LTx, and appropriately timing LTx-center referral. The task force has examined the most recent literature and evaluated the risk factors that continue to limit patient survival after LTx. Ideally, the objectives of LTx are to prolong life while improving quality of life. The guidelines developed by the task force apply to a limited resource and are consistent with the ethical principles described below. (C) 2022 SPLF. Published by Elsevier Masson SAS. All rights reserved.</t>
  </si>
  <si>
    <t>[Le Pavec, J.; Dauriat, G.] Grp Hosp Marie Lannelongue St Joseph, Serv Pneumol &amp; Transplantat Pulm, Le Plessis Robinson, France; [Le Pavec, J.; Sitbon, O.; Montani, D.; Savale, L.; Humbert, M.; Fadel, E.; Mercier, O.] Univ Paris Saclay, Le Kremlin Bicetre, France; [Le Pavec, J.; Sitbon, O.; Montani, D.; Savale, L.; Humbert, M.; Fadel, E.; Mercier, O.] Univ Paris Sud, Grp Hosp Marie Lannelongue St Joseph, INSERM, UMR S 999, Le Plessis Robinson, France; [Pison, C.; Falque, L.] CHU Grenoble Alpes, Serv Hosp Univ Pneumol Physiol, Pole Thorax &amp; Vaisseaux, Grenoble, France; [Pison, C.] Inserm1055, Lab Bioenerget Fondamentale &amp; Appl, Grenoble, France; [Pison, C.] Univ Grenoble Alpes, Grenoble, France; [Hirschi, S.; Renaud-Picard, B.; Schuller, A.] Univ Strasbourg, Hop Univ Strasbourg, Serv Pneumol &amp; Transplantat Pulm, Strasbourg, France; [Bunel, V.; Mal, H.] Univ Paris, Hop Bichat, AP HP, Serv Pneumol &amp; Transplantat Pulm B,Inserm,U1152, Paris, France; [Mordant, P.] Univ Paris, Hop Bichat, Assistance Publ Hop Paris, Serv Chirurg Vasc Thorac &amp; Transplantat Pulm, Paris, France; [Brugiere, O.; Grenet, D.; De Miranda, S.] Hop Foch, Ctr Transplantat Pulm, Suresnes, France; [Brugiere, O.; Grenet, D.; De Miranda, S.] Hop Foch, CRCM, Suresnes, France; [Le Guen, M.] Hop Foch, Dept Anesthesie, Suresnes, France; [Le Guen, M.] INRA UMR 892 VIM, Equipe Vaccins Immunopathol Immunomodulat, Jouy En Josas, France; [Le Guen, M.] Univ Versailles, St Quentin en Yvelines, France; [Olland, A.] Univ Hosp Strasbourg, Lung Transplantat Grp, Strasbourg, France; [Olland, A.; Renaud-Picard, B.] INSERM French Inst Hlth &amp; Med Res 1260 Regenerat, Paris, France; [Coiffard, B.; Reynaud-Gaubert, M.] Aix Marseille Univ, Ctr Hosp Univ Nord, Assistance Publ Hop Marseille, Serv Pneumol, Marseille, France; [Coiffard, B.; Reynaud-Gaubert, M.] Aix Marseille Univ, Ctr Hosp Univ Nord, Assistance Publ Hop Marseille, Equipe Transplantat Pulm, Marseille, France; [Tissot, A.] Nantes Univ, CHU Nantes, Serv Pneumol, Inst Thorax, F-44000 Nantes, France; [Tissot, A.] Nantes Univ, CHU Nantes, INSERM, Ctr Res Transplantat &amp; Translat Immunol,UMR 1064, F-44000 Nantes, France; [Brioude, G.] Aix Marseille Univ, Ctr Hosp Univ Nord, Assistance Publ Hop Marseille, Serv Chirurg Thorac, Marseille, France; [Borie, R.; Crestani, B.] Univ Paris, Hop Bichat, Assistance Publ Hop Paris, Serv Pneumol A, Paris, France; [Deslee, G.] Univ Reims, CHU Reims, Inserm U1250, Serv Pneumol, Reims, France; [Stelianides, S.] Inst Readaptat Acheres, 7 Pl Simone Veil, F-78260 Acheres, France; [Lorillon, G.; Tazi, A.] Univ Paris, Inserm UMR 976 HIPI, F-75006 Paris, France; [Lorillon, G.; Tazi, A.] Hop St Louis, AP HP, Ctr Natl Reference Histiocytoses, Serv Pneumol, Paris, France; [Burgel, P. R.] Univ Paris Cite, Inst Cochin, Inserm U1016, Paris, France; [Burgel, P. R.] Cochin Hosp, Assistance Publ Hop Paris, Dept Pulm, Paris, France; [Burgel, P. R.] Cochin Hosp, Assistance Publ Hop Paris, Natl Cyst Fibrosis Reference Ctr, Paris, France; [Bergeron, A.] Hop Univ Geneve, Geneva, Switzerland; [Bergeron, A.] Univ Paris, UMR CRESS 1153, Biostat &amp; Clin Epidemiol Res Team, Paris, France; [Launay, D.] Univ Lille, Ctr Reference Malad Autoimmunes Syst Rares Nord &amp;, U1286 INFINITE Inst Translat Res Inflammat, Serv Med Interne &amp; Immunol Clin,CHU Lille, F-59000 Lille, France; [Launay, D.] Univ Lille, U1286 INFINITE Inst Translat Res Inflammat, F-59000 Lille, France; [Launay, D.] INSERM, F-59000 Lille, France; [Launay, D.] CHU Lille, Serv Med Interne &amp; Immunol Clin, Ctr Reference Malad Autoimmunes Syst Rare Nord &amp;, F-59000 Lille, France; [Cottin, V.] Univ Lyon, INRA, IVPC, Lyon, France; [Cottin, V.] Hosp Civils Lyon, Hop Louis Pradel, Ctr Natl Reference Malad Pulm Rares, Lyon, France; [Nunes, H.; Valeyre, D.; Uzunhan, Y.] Univ Sorbonne Paris Nord, Hop Avicenne, AP HP, Serv Pneumol,Inserm UMR 1272, Bobigny, France; [Nunes, H.; Uzunhan, Y.] Hop Avicenne, Assistance Publ Hop Paris, Serv Pneumol, Paris, France; [Valeyre, D.] Grp Hosp Paris St Joseph, Paris, France; [Prevot, G.] Ctr Hop Univ, Pole Voies Resp Hop Larrey, Toulouse, France; [Sitbon, O.; Montani, D.; Savale, L.; Humbert, M.; Fadel, E.] Hop Kremlin Bicetre, AP HP, Serv Pneumol, Le Kremlin Bicetre, France; [Mercier, O.] Grp Hosp Marie Lannelongue Paris St Joseph, Serv Chirurg Thorac &amp; Transplantat Cardiopulm, Le Plessis Robinson, France; [Mornex, J. F.] Univ Lyon 1, Univ Lyon, PSL, EPHE,INRAE,IVPC, F-69007 Lyon, France; [Mornex, J. F.] Hosp Civils Lyon, GHE, Serv Pneumol, RESPIFIL,Orphalung,Inserm,CIC1407, F-69003 Lyon, France</t>
  </si>
  <si>
    <t>Universite Paris Saclay; Universite Paris Saclay; Institut National de la Sante et de la Recherche Medicale (Inserm); CHU Grenoble Alpes; Communaute Universite Grenoble Alpes; Universite Grenoble Alpes (UGA); Institut National de la Sante et de la Recherche Medicale (Inserm); Communaute Universite Grenoble Alpes; Universite Grenoble Alpes (UGA); CHU Strasbourg; Universites de Strasbourg Etablissements Associes; Universite de Strasbourg; Assistance Publique Hopitaux Paris (APHP); Universite Paris Cite; Hopital Universitaire Bichat-Claude Bernard - APHP; Institut National de la Sante et de la Recherche Medicale (Inserm); Assistance Publique Hopitaux Paris (APHP); Universite Paris Cite; Hopital Universitaire Bichat-Claude Bernard - APHP; Hopital Universitaire Saint-Louis - APHP; Hospital Foch; Hospital Foch; Institut National de la Sante et de la Recherche Medicale (Inserm); Hospital Foch; INRAE; Universite Paris Saclay; CHU Strasbourg; Aix-Marseille Universite; Assistance Publique-Hopitaux de Marseille; Aix-Marseille Universite; Assistance Publique-Hopitaux de Marseille; Nantes Universite; CHU de Nantes; Institut National de la Sante et de la Recherche Medicale (Inserm); Institut National de la Sante et de la Recherche Medicale (Inserm); Nantes Universite; CHU de Nantes; Aix-Marseille Universite; Assistance Publique-Hopitaux de Marseille; Assistance Publique Hopitaux Paris (APHP); Universite Paris Cite; Hopital Universitaire Bichat-Claude Bernard - APHP; Hopital Universitaire Saint-Louis - APHP; CHU de Reims; Institut National de la Sante et de la Recherche Medicale (Inserm); Universite de Reims Champagne-Ardenne; Universite Paris Cite; Universite Paris Cite; Assistance Publique Hopitaux Paris (APHP); Hopital Universitaire Saint-Louis - APHP; Universite Paris Cite; Institut National de la Sante et de la Recherche Medicale (Inserm); Assistance Publique Hopitaux Paris (APHP); Universite Paris Cite; Hopital Universitaire Cochin - APHP; Hopital Universitaire Saint-Louis - APHP; Assistance Publique Hopitaux Paris (APHP); Universite Paris Cite; Hopital Universitaire Cochin - APHP; Hopital Universitaire Saint-Louis - APHP; University of Geneva; Universite Paris Cite; Universite de Lille; CHU Lille; Institut National de la Sante et de la Recherche Medicale (Inserm); Institut National de la Sante et de la Recherche Medicale (Inserm); Universite de Lille; Institut National de la Sante et de la Recherche Medicale (Inserm); Universite de Lille; CHU Lille; INRAE; CHU Lyon; Universite Paris 13; Institut National de la Sante et de la Recherche Medicale (Inserm); Assistance Publique Hopitaux Paris (APHP); Hopital Universitaire Avicenne - APHP; Assistance Publique Hopitaux Paris (APHP); Hopital Universitaire Avicenne - APHP; Universite Paris Cite; Hopital Universitaire Saint-Louis - APHP; Universite Paris Cite; Hopital Paris Saint-Joseph; CHU de Toulouse; Assistance Publique Hopitaux Paris (APHP); Hopital Universitaire Bicetre - APHP; Universite Paris Saclay; INRAE; Universite PSL; Ecole Pratique des Hautes Etudes (EPHE); Universite Claude Bernard Lyon 1; CHU Lyon; Institut National de la Sante et de la Recherche Medicale (Inserm)</t>
  </si>
  <si>
    <t>Le Pavec, J (corresponding author), Grp Hosp Paris St Joseph, Hop Marie Lannelongue, Serv Pneumol &amp; Transplantat Pulm, 133 Ave Resistance, F-92350 Le Plessis Robinson, France.</t>
  </si>
  <si>
    <t>Launay, David/JDM-2536-2023; Uzunhan, Yurdagul/P-5437-2017; Nunes, Hilario/AAM-8127-2020; BUNEL, Vincent/I-3078-2019; Coiffard, Benjamin/AAX-1250-2020; Humbert, Marc/AAC-8459-2019; Launay, David/H-1674-2016</t>
  </si>
  <si>
    <t>Brioude, Geoffrey/0000-0002-9622-4759; Humbert, Marc/0000-0003-0703-2892; Launay, David/0000-0003-1840-1817; Mercier, Olaf/0000-0002-4760-6267</t>
  </si>
  <si>
    <t>10.1016/j.rmr.2022.10.005</t>
  </si>
  <si>
    <t>8C0WD</t>
  </si>
  <si>
    <t>WOS:000917337300007</t>
  </si>
  <si>
    <t>Montani, D; Lechartier, B; Girerd, B; Eyries, M; Ghigna, MR; Savale, L; Jaïs, X; Seferian, A; Jevnikar, M; Boucly, A; Riou, M; Traclet, J; Chaouat, A; Levy, M; Le Pavec, J; Fadel, E; Perros, F; Soubrier, F; Remy-Jardin, M; Sitbon, O; Bonnet, D; Humbert, M</t>
  </si>
  <si>
    <t>Montani, David; Lechartier, Benoit; Girerd, Barbara; Eyries, Melanie; Ghigna, Maria-Rosa; Savale, Laurent; Jais, Xavier; Seferian, Andrei; Jevnikar, Mitja; Boucly, Athenais; Riou, Marianne; Traclet, Julie; Chaouat, Ari; Levy, Maryline; Le Pavec, Jerome; Fadel, Elie; Perros, Frederic; Soubrier, Florent; Remy-Jardin, Martine; Sitbon, Olivier; Bonnet, Damien; Humbert, Marc</t>
  </si>
  <si>
    <t>An emerging phenotype of pulmonary arterial hypertension patients carrying SOX17 variants</t>
  </si>
  <si>
    <t>GUIDELINES; MUTATION</t>
  </si>
  <si>
    <t>Background The phenotype of pulmonary arterial hypertension (PAH) patients carrying SOX17 pathogenic variants remains mostly unknown. Methods We report the genetic analysis findings, characteristics and outcomes of patients with heritable PAH carrying SOX17 variants from the French Pulmonary Hypertension Network. Results 20 patients and eight unaffected relatives were identified. The median (range) age at diagnosis was 17 (2-53) years, with a female:male ratio of 1.5. At diagnosis, most of the patients (74%) were in New York Heart Association Functional Class III or IV with severe haemodynamic compromise, including a median pulmonary vascular resistance of 14.0 (4.2-31.5) WU. An associated congenital heart disease (CHD) was found in seven PAH patients (35%). Patients with CHD-associated PAH were significantly younger at diagnosis than PAH patients without CHD. Four patients (20%) suffered from recurrent haemoptysis requiring repeated arterial embolisations. 13 out of 16 patients (81%) for whom imaging was available displayed chest computed tomography abnormalities, including dilated, tortuous pulmonary vessels, ground-glass opacities as well as anomalies of the bronchial and nonbronchial arteries. After a median (range) follow-up of 47 (1-591) months, 10 patients underwent lung transplantation and one patient benefited from a heart-lung transplantation due to associated CHD. Histopathological analysis of lung explants showed a congested lung architecture with severe pulmonary arterial remodelling, subpleural vessel dilation and numerous haemorrhagic foci. Conclusions PAH due to SOX17 pathogenic variants is a severe phenotype, frequently associated with CHD, haemoptysis and radiological abnormalities. Pathological assessment reveals severe pulmonary arterial remodelling and malformations affecting pulmonary vessels and thoracic systemic arteries.</t>
  </si>
  <si>
    <t>[Montani, David; Lechartier, Benoit; Girerd, Barbara; Savale, Laurent; Jais, Xavier; Seferian, Andrei; Jevnikar, Mitja; Boucly, Athenais; Sitbon, Olivier; Humbert, Marc] Hop Bicetre, AP HP, Pulm Hypertens Natl Referral Ctr, Dept Resp &amp; Intens Care Med, Le Kremlin Bicetre, France; [Montani, David; Lechartier, Benoit; Girerd, Barbara; Savale, Laurent; Jais, Xavier; Seferian, Andrei; Jevnikar, Mitja; Boucly, Athenais; Le Pavec, Jerome; Fadel, Elie; Sitbon, Olivier; Humbert, Marc] Univ Paris Saclay, Sch Med, Le Kremlin Bicetre, France; [Montani, David; Lechartier, Benoit; Girerd, Barbara; Ghigna, Maria-Rosa; Savale, Laurent; Jais, Xavier; Seferian, Andrei; Jevnikar, Mitja; Boucly, Athenais; Le Pavec, Jerome; Fadel, Elie; Perros, Frederic; Sitbon, Olivier; Humbert, Marc] Hop Marie Lannelongue, Pulm Hypertens Pathophysiol &amp; Novel Therapies, INSERM, UMRS 999, Le Plessis Robinson, France; [Eyries, Melanie; Soubrier, Florent] Hop La Pitie Salpetriere, AP HP, Dept Genet, Paris, France; [Eyries, Melanie; Soubrier, Florent] Sorbonne Univ, UMRS 1166, Paris, France; [Ghigna, Maria-Rosa] Hop Marie Lannelongue, Serv Anatomopathol, Le Plessis Robinson, France; [Riou, Marianne] Nouvel Hop Civil, Dept Pneumol, Strasbourg, France; [Traclet, Julie] Univ Lyon 1, Hosp Civils Lyon, Ctr Reference Malad Pulmonaires Rares, Ctr Competences Hypertens Pulm,Hop Louis Pradel, Lyon, France; [Chaouat, Ari] Univ Lorraine, Dept Pneumol, CHU Nancy, Pole Specialites Med, Vandoeuvre Les Nancy, France; [Levy, Maryline; Bonnet, Damien] Univ Paris, Hop Necker Enfants Malades, AP HP, Serv Cardiol Congenitale &amp; Pediat, Paris, France; [Le Pavec, Jerome] Hop Marie Lannelongue, Serv Pneumol &amp; Transplantat Pulm, Le Plessis Robinson, France; [Fadel, Elie] Hop Marie Lannelongue, Serv Chirurg Thorac, Le Plessis Robinson, France; [Remy-Jardin, Martine] CHU Lille, Serv Imagerie Thorac, Hop Albert Calmette, Lille, France</t>
  </si>
  <si>
    <t>Universite Paris Saclay; Assistance Publique Hopitaux Paris (APHP); Hopital Universitaire Antoine-Beclere - APHP; Hopital Universitaire Bicetre - APHP; Universite Paris Saclay; Hopital Marie Lannelongue; Institut National de la Sante et de la Recherche Medicale (Inserm); Assistance Publique Hopitaux Paris (APHP); Hopital Universitaire Pitie-Salpetriere - APHP; Sorbonne Universite; Sorbonne Universite; Institut National de la Sante et de la Recherche Medicale (Inserm); Hopital Marie Lannelongue; CHU Lyon; Universite Claude Bernard Lyon 1; Universite de Lorraine; CHU de Nancy; Assistance Publique Hopitaux Paris (APHP); Universite Paris Cite; Hopital Universitaire Necker-Enfants Malades - APHP; Hopital Marie Lannelongue; Hopital Marie Lannelongue; Universite de Lille; CHU Lille</t>
  </si>
  <si>
    <t>Montani, D (corresponding author), Hop Bicetre, AP HP, Pulm Hypertens Natl Referral Ctr, Dept Resp &amp; Intens Care Med, Le Kremlin Bicetre, France.;Montani, D (corresponding author), Univ Paris Saclay, Sch Med, Le Kremlin Bicetre, France.;Montani, D (corresponding author), Hop Marie Lannelongue, Pulm Hypertens Pathophysiol &amp; Novel Therapies, INSERM, UMRS 999, Le Plessis Robinson, France.</t>
  </si>
  <si>
    <t>Savale, Laurent/AAJ-9781-2020; Chaouat, Ari/AAP-6784-2021; David, Montani/I-6885-2019; Perros, Frederic/N-6921-2017; Humbert, Marc/AAC-8459-2019</t>
  </si>
  <si>
    <t>Savale, Laurent/0000-0002-6862-8975; Ghigna, Maria Rosa/0000-0001-5996-665X; Montani, David/0000-0002-9358-6922; Bonnet, Damien/0000-0002-8722-5805; Perros, Frederic/0000-0001-7730-2427; Humbert, Marc/0000-0003-0703-2892; Lechartier, Benoit/0000-0001-5932-8164</t>
  </si>
  <si>
    <t>Fondation Juchum; Ligue Pulmonaire Vaudoise</t>
  </si>
  <si>
    <t>B. Lechartier is a recipient of a grant from the Fondation Juchum and the Ligue Pulmonaire Vaudoise.</t>
  </si>
  <si>
    <t>DEC 1</t>
  </si>
  <si>
    <t>10.1183/13993003.00656-2022</t>
  </si>
  <si>
    <t>E9SX3</t>
  </si>
  <si>
    <t>WOS:000978864400008</t>
  </si>
  <si>
    <t>Weatherald, J; Boucly, A; Peters, A; Montani, D; Prasad, K; Psotka, MA; Zannad, F; Gomberg-Maitland, M; McLaughlin, V; Simonneau, G; Humbert, M</t>
  </si>
  <si>
    <t>Weatherald, Jason; Boucly, Athenais; Peters, Anthony; Montani, David; Prasad, Krishna; Psotka, Mitchell A.; Zannad, Faiez; Gomberg-Maitland, Mardi; McLaughlin, Vallerie; Simonneau, Gerald; Humbert, Marc</t>
  </si>
  <si>
    <t>18th Global CardioVasc Clinical Tr</t>
  </si>
  <si>
    <t>The evolving landscape of pulmonary arterial hypertension clinical trials</t>
  </si>
  <si>
    <t>QUALITY-OF-LIFE; COST-EFFECTIVENESS ANALYSIS; HANDLING MISSING DATA; 6-MINUTE WALK TEST; DOUBLE-BLIND; END-POINTS; RECEPTOR ANTAGONISTS; PHYSICAL-ACTIVITY; INHALED ILOPROST; RISK-ASSESSMENT</t>
  </si>
  <si>
    <t>Although it is a rare disease, the number of available therapeutic options for treating pulmonary arterial hypertension has increased since the late 1990s, with multiple drugs developed that are shown to be effective in phase 3 randomised controlled trials. Despite considerable advancements in pulmonary arterial hypertension treatment, prognosis remains poor. Existing therapies target pulmonary endothelial dysfunction with vasodilation and anti-proliferative effects. Novel therapies that target proliferative vascular remodelling and affect important outcomes are urgently needed. There is need for additional innovations in clinical trial design so that all emerging candidate therapies can be rigorously studied. Pulmonary arterial hypertension trial design has shifted from short-term submaximal exercise capacity as a primary endpoint, to larger clinical event-driven trial outcomes. Event-driven pulmonary arterial hypertension trials could face feasibility and efficiency issues in the future because increasing sample sizes and longer follow-up durations are needed, which would be problematic in such a rare disease. Enrichment strategies, innovative and alternative trial designs, and novel trial endpoints are potential solutions that could improve the efficiency of future pulmonary arterial hypertension trials while maintaining robustness and clinically meaningful evidence.</t>
  </si>
  <si>
    <t>[Weatherald, Jason] Univ Alberta, Dept Med, Div Pulm Med, Edmonton, AB, Canada; [Boucly, Athenais; Montani, David; Simonneau, Gerald; Humbert, Marc] Univ Paris Saclay, Fac Med, Le Kremlin Bicetre, France; [Boucly, Athenais; Montani, David; Simonneau, Gerald; Humbert, Marc] Hop Marie Lannelongue, INSERM UMR S 999, Le Plessis Robinson, France; [Boucly, Athenais; Montani, David; Simonneau, Gerald; Humbert, Marc] Hop Bicetre, AP HP, Dept Resp &amp; Intens Care Med, F-94270 Le Kremlin Bicetre, France; [Peters, Anthony] Duke Univ, Med Ctr, Duke Clin Res Inst, Durham, NC USA; [Prasad, Krishna] Med &amp; Healthcare Prod Regulatory Agcy, London, England; [Psotka, Mitchell A.] Inova Heart &amp; Vasc Inst, Silver Spring, MD USA; [Psotka, Mitchell A.] US FDA, Silver Spring, MD USA; [Zannad, Faiez] Univ Lorraine, Ctr Invest Clin Plurithemat, Cardiovasc &amp; Renal Clin Trialists, Nancy, France; [Gomberg-Maitland, Mardi] George Washington Univ, Sch Med &amp; Hlth Sci, Washington, DC 20052 USA; [McLaughlin, Vallerie] Univ Michigan, Frankel Cardiovasc Ctr, Dept Internal Med, Div Cardiol,Med Sch, Ann Arbor, MI 48109 USA</t>
  </si>
  <si>
    <t>University of Alberta; Universite Paris Saclay; Hopital Marie Lannelongue; Institut National de la Sante et de la Recherche Medicale (Inserm); Universite Paris Saclay; Universite Paris Saclay; Assistance Publique Hopitaux Paris (APHP); Hopital Universitaire Antoine-Beclere - APHP; Hopital Universitaire Bicetre - APHP; Duke University; The Medicines &amp; Healthcare Products Regulatory Agency; US Food &amp; Drug Administration (FDA); Universite de Lorraine; Institut National de la Sante et de la Recherche Medicale (Inserm); George Washington University; University of Michigan System; University of Michigan</t>
  </si>
  <si>
    <t>Humbert, M (corresponding author), Hop Bicetre, AP HP, Dept Resp &amp; Intens Care Med, F-94270 Le Kremlin Bicetre, France.</t>
  </si>
  <si>
    <t>Zannad, Faiez/K-4649-2019; David, Montani/I-6885-2019; Humbert, Marc/AAC-8459-2019</t>
  </si>
  <si>
    <t>NOV 26</t>
  </si>
  <si>
    <t>10.1016/S0140-6736(22)01601-4</t>
  </si>
  <si>
    <t>8K9TM</t>
  </si>
  <si>
    <t>WOS:000923435200023</t>
  </si>
  <si>
    <t>Le Ribeuz, H; Masson, B; Dutheil, M; Boet, A; Beauvais, A; Sabourin, J; de Montpreville, VT; Capuano, V; Mercier, OM; Humbert, M; Montani, D; Antigny, F</t>
  </si>
  <si>
    <t>Le Ribeuz, Helene; Masson, Bastien; Dutheil, Mary; Boet, Angele; Beauvais, Antoine; Sabourin, Jessica; de Montpreville, Vincent Thomas; Capuano, Veronique; Mercier, Olaf M.; Humbert, Marc; Montani, David; Antigny, Fabrice</t>
  </si>
  <si>
    <t>Involvement of Sur2/Kir6.1 In the Physiopathology of Pulmonary Arterial Hypertension</t>
  </si>
  <si>
    <t>Scientific Sessions of the American-Heart-Association / Resuscitation Science Symposium</t>
  </si>
  <si>
    <t>NOV 05-06, 2022</t>
  </si>
  <si>
    <t>Chicago, IL</t>
  </si>
  <si>
    <t>Antigny, Fabrice/Q-3999-2018; Humbert, Marc/AAC-8459-2019</t>
  </si>
  <si>
    <t>NOV 8</t>
  </si>
  <si>
    <t>A10523</t>
  </si>
  <si>
    <t>6P3UH</t>
  </si>
  <si>
    <t>WOS:000890856901334</t>
  </si>
  <si>
    <t>Masson, B; Le Ribeuz, H; Sabourin, J; Laubry, L; Woodhouse, E; Foster, R; Ruchon, Y; Dutheil, M; Boet, A; Ghigna, MR; Gooroochurn, H; de Montpreville, VT; Mercier, OM; Beech, DJ; Benitah, JP; Bailey, M; Humbert, M; Montani, D; Capuano, V; Antigny, F</t>
  </si>
  <si>
    <t>Masson, Bastien; Le Ribeuz, Helene; Sabourin, Jessica; Laubry, Loann; Woodhouse, Emily; Foster, Richard; Ruchon, Yann; Dutheil, Mary; Boet, Angele; Ghigna, Maria-Rosa; Gooroochurn, Hans; de Montpreville, Vincent Thomas; Mercier, Olaf M.; Beech, David J.; Benitah, Jean-Pierre; Bailey, Marc; Humbert, Marc; Montani, David; Capuano, Veronique; Antigny, Fabrice</t>
  </si>
  <si>
    <t>Orai1 Inhibitors as Potential Treatments for Pulmonary Arterial Hypertension</t>
  </si>
  <si>
    <t>Antigny, Fabrice/Q-3999-2018; Benitah, Jean-Pierre/L-6060-2018; Humbert, Marc/AAC-8459-2019</t>
  </si>
  <si>
    <t>A9359</t>
  </si>
  <si>
    <t>WOS:000890856900246</t>
  </si>
  <si>
    <t>Humbert, M; Bourdin, A; Taille, C; Kamar, D; Thonnelier, C; Lajoinie, A; Rigault, A; Deschildre, A; Molimard, M</t>
  </si>
  <si>
    <t>Humbert, Marc; Bourdin, Arnaud; Taille, Camille; Kamar, Driss; Thonnelier, Celine; Lajoinie, Audrey; Rigault, Alexandre; Deschildre, Antoine; Molimard, Mathieu</t>
  </si>
  <si>
    <t>Real-life omalizumab exposure and discontinuation in a large nationwide population-based study of paediatric and adult asthma patients</t>
  </si>
  <si>
    <t>DATABASE; CHILDREN; THERAPY</t>
  </si>
  <si>
    <t>Background This real-life study aimed to assess omalizumab treatment patterns in adult and paediatric asthma patients, and to describe asthma control and healthcare resource use (HCRU) at omalizumab initiation and discontinuation. Methods The French healthcare database system (Systeme National des Donnees de Sante (SNDS)) was used to identify asthma patients aged &gt; 6 years who initiated omalizumab for at least 16 weeks from 2009 to 2019. We examined omalizumab treatment patterns using dispensation records. Results We identified 16 750 adults and 2453 children initiating omalizumab. Median treatment persistence before discontinuation (TSTOP) was 51.2 (95% CI 49.3-53.4) months in adults and 53.7 (95% CI 50.6-56.4) months in children. At 2 years of omalizumab exposure, rate of hospitalisation for asthma decreased by 75% and use of oral corticosteroids (OCS) by 30%, in adults and children. Among adults who discontinued omalizumab while asthma was controlled, 70%, 39% and 24% remained controlled and did not resume omalizumab at 1, 2 and 3 years after discontinuation, respectively. These proportions were higher in children (76%, 44% and 33%, respectively). Over 2 years of follow-up after discontinuation, HCRU remained stable in adults and children, notably rate of hospitalisations for asthma (none before TSTOP, 1.3% and 0.6% at 2 years) and use of OCS (in adults and children, respectively: 20.0% and 20.2% before TSTOP, 33.3% and 24.6% at 2 years). Conclusion This is the first large-scale study describing omalizumab real-life exposure patterns in adult and paediatric asthma patients in France with &gt;10 years of follow-up. We showed the long-term maintenance of low HCRU in adults and children who discontinued omalizumab while asthma was controlled, notably for OCS use and hospitalisations for asthma.</t>
  </si>
  <si>
    <t>[Humbert, Marc] Univ Paris Saclay, Le Kremlin Bicetre, France; [Humbert, Marc] Hop Bicetre, Serv Pneumol &amp; Soins Intens Respiratoires, AP HP, Le Kremlin-bicetre, France; [Humbert, Marc] Inserm, UMR S 999, Le Kremlin Bicetre, France; [Bourdin, Arnaud] Univ Montpellier, CHU Montpellier, Hop Arnaud Devilleneuve, INSERM ,CNRS,UMR 9214,U1046, Montpellier, France; [Taille, Camille] Univ Paris, Serv Pneumol, Paris, France; [Taille, Camille] Univ Paris, Hop Bichat, Grp Hosp Unive, Ctr Reference Malad Plum Rares,AP-HP Nord,UMR 115, Paris, France; [Kamar, Driss; Thonnelier, Celine] Novartis, Rueil Malmaison, France; [Lajoinie, Audrey; Rigault, Alexandre] RCTs, Lyon, France; [Deschildre, Antoine] Univ Lille, Hop Jeanne Flandre, Pediat Pulmonol &amp; Allergy Dept, CHU Lille, Lille, France; [Molimard, Mathieu] Univ Bordeaux, Serv Pharmacol Medicale, CHU Bordeaux, INSERM,BPH,U121, Bordeaux, France</t>
  </si>
  <si>
    <t>Universite Paris Saclay; Assistance Publique Hopitaux Paris (APHP); Hopital Universitaire Antoine-Beclere - APHP; Hopital Universitaire Bicetre - APHP; Universite Paris Saclay; Universite Paris Saclay; Institut National de la Sante et de la Recherche Medicale (Inserm); Universite de Montpellier; Institut National de la Sante et de la Recherche Medicale (Inserm); Centre National de la Recherche Scientifique (CNRS); CNRS - National Institute for Biology (INSB); CHU de Montpellier; Universite Paris Cite; Assistance Publique Hopitaux Paris (APHP); Universite Paris Cite; Hopital Universitaire Bichat-Claude Bernard - APHP; Novartis; Universite de Lille; CHU Lille; CHU Bordeaux; Universite de Bordeaux; Institut National de la Sante et de la Recherche Medicale (Inserm)</t>
  </si>
  <si>
    <t>Humbert, M (corresponding author), Univ Paris Saclay, Le Kremlin Bicetre, France.;Humbert, M (corresponding author), Hop Bicetre, Serv Pneumol &amp; Soins Intens Respiratoires, AP HP, Le Kremlin-bicetre, France.;Humbert, M (corresponding author), Inserm, UMR S 999, Le Kremlin Bicetre, France.</t>
  </si>
  <si>
    <t>Taille, Camille/0000-0001-9768-5728; Bourdin, Arnaud/0000-0002-4645-5209; Humbert, Marc/0000-0003-0703-2892</t>
  </si>
  <si>
    <t>Novartis Pharma</t>
  </si>
  <si>
    <t>This work was supported by Novartis Pharma. Funding information for this article has beendeposited with the Crossref Funder Registry.</t>
  </si>
  <si>
    <t>10.1183/13993003.03130-2021</t>
  </si>
  <si>
    <t>7Y7GO</t>
  </si>
  <si>
    <t>WOS:000915043100021</t>
  </si>
  <si>
    <t>Riou, M; Canuet, M; Ghigna, MR; Eyries, M; Chenard, MP; Porzio, M; Olland, A; Humbert, M; Kessler, R; Montani, D</t>
  </si>
  <si>
    <t>Riou, Marianne; Canuet, Matthieu; Ghigna, Maria-Rosa; Eyries, Melanie; Chenard, Marie Pierrette; Porzio, Michele; Olland, Anne; Humbert, Marc; Kessler, Romain; Montani, David</t>
  </si>
  <si>
    <t>First histological description of pulmonary and vascular abnormalities of pulmonary hypertension associated with KDR pathogenic variant</t>
  </si>
  <si>
    <t>INHIBITION; VEGF</t>
  </si>
  <si>
    <t>[Riou, Marianne] Hop Univ Strasbourg, Dept Physiol &amp; Funct Explorat, Nouvel Hop Civil, Strasbourg, France; [Riou, Marianne; Canuet, Matthieu; Porzio, Michele; Kessler, Romain] Hop Univ Strasbourg, Chest Dis Dept, Nouvel Hop Civil, Strasbourg, France; [Ghigna, Maria-Rosa] Hop Marie Lannelongue, Dept Pathol, Le Plessis Robinson, France; [Eyries, Melanie] Hop La Pitie Salpetriere, AP HP, Dept Genet, Paris, France; [Eyries, Melanie] Sorbonne Univ, UMR S 1166, Paris, France; [Chenard, Marie Pierrette] Hop Univ Strasbourg, Dept Pathol, Hop Hautepierre, Strasbourg, France; [Olland, Anne] Hop Univ Strasbourg, Dept Thorac Surg, Nouvel Hop Civil, Strasbourg, France; [Humbert, Marc; Montani, David] Hop Bicetre, AP HP, Pulm Hypertens Natl Referral Ctr, Dept Resp &amp; Intens Care Med, Le Kremlin Bicetre, France; [Humbert, Marc; Montani, David] Univ Paris Saclay, Sch Med, Le Kremlin Bicetre, France; [Humbert, Marc; Montani, David] Hop Marie Lannelongue, INSERM, UMR S Pulm Hypertens Pathophysiol &amp; Novel Therapi, Le Kremlin Bicetre, France</t>
  </si>
  <si>
    <t>CHU Strasbourg; Universites de Strasbourg Etablissements Associes; Universite de Strasbourg; CHU Strasbourg; Universites de Strasbourg Etablissements Associes; Universite de Strasbourg; Hopital Marie Lannelongue; Assistance Publique Hopitaux Paris (APHP); Hopital Universitaire Pitie-Salpetriere - APHP; Sorbonne Universite; Sorbonne Universite; Institut National de la Sante et de la Recherche Medicale (Inserm); Universites de Strasbourg Etablissements Associes; Universite de Strasbourg; CHU Strasbourg; Universites de Strasbourg Etablissements Associes; Universite de Strasbourg; CHU Strasbourg; Assistance Publique Hopitaux Paris (APHP); Hopital Universitaire Bicetre - APHP; Universite Paris Saclay; Hopital Universitaire Antoine-Beclere - APHP; Universite Paris Saclay; Institut National de la Sante et de la Recherche Medicale (Inserm); Hopital Marie Lannelongue</t>
  </si>
  <si>
    <t>Montani, D (corresponding author), Hop Bicetre, AP HP, Pulm Hypertens Natl Referral Ctr, Dept Resp &amp; Intens Care Med, Le Kremlin Bicetre, France.;Montani, D (corresponding author), Univ Paris Saclay, Sch Med, Le Kremlin Bicetre, France.;Montani, D (corresponding author), Hop Marie Lannelongue, INSERM, UMR S Pulm Hypertens Pathophysiol &amp; Novel Therapi, Le Kremlin Bicetre, France.</t>
  </si>
  <si>
    <t>David, Montani/I-6885-2019; Chenard, Marie-Pierre/O-2373-2016; kessler, romain/B-9149-2018; Humbert, Marc/AAC-8459-2019</t>
  </si>
  <si>
    <t>Montani, David/0000-0002-9358-6922; Ghigna, Maria Rosa/0000-0001-5996-665X; Humbert, Marc/0000-0003-0703-2892; Riou, marianne/0000-0001-6807-8582</t>
  </si>
  <si>
    <t>10.1183/13993003.01197-2022</t>
  </si>
  <si>
    <t>6J2WE</t>
  </si>
  <si>
    <t>WOS:000886686900005</t>
  </si>
  <si>
    <t>PDE5 to keep them alive: The use of phosphodiesterase type-5 inhibitors in severe pulmonary hypertension associated with interstitial lung disease</t>
  </si>
  <si>
    <t>interstitial lung disease; phosphodiesterase type 5 inhibitor; pulmonary fibrosis; pulmonary hypertension; sildenafil; tadalafil; treatment</t>
  </si>
  <si>
    <t>SILDENAFIL; FIBROSIS</t>
  </si>
  <si>
    <t>[Weatherald, Jason] Univ Alberta, Dept Med, Div Pulm Med, Edmonton, AB, Canada; [Humbert, Marc] Univ Paris, Fac Med, Le Kremlin Bicetre, France; [Humbert, Marc] Hop Marie Lannelongue, INSERM UMR S 999, Le Plessis Robinson, France; [Humbert, Marc] Hop Bicetre, Assistance Publ Hop Paris, Dept Resp &amp; Intens Care Med, ERN LUNG, Le Kremlin Bicetre, France</t>
  </si>
  <si>
    <t>University of Alberta; Universite Paris Cite; Hopital Marie Lannelongue; Institut National de la Sante et de la Recherche Medicale (Inserm); Universite Paris Saclay; Universite Paris Saclay; Assistance Publique Hopitaux Paris (APHP); Hopital Universitaire Bicetre - APHP; Hopital Universitaire Antoine-Beclere - APHP; Universite Paris Cite; Hopital Universitaire Saint-Louis - APHP</t>
  </si>
  <si>
    <t>10.1111/resp.14399</t>
  </si>
  <si>
    <t>NOV 2022</t>
  </si>
  <si>
    <t>9D3BK</t>
  </si>
  <si>
    <t>WOS:000877857900001</t>
  </si>
  <si>
    <t>Masson, B; Le Ribeuz, H; Sabourin, J; Laubry, L; Woodhouse, E; Foster, R; Ruchon, Y; Dutheil, M; Boët, A; Ghigna, MR; De Montpreville, VT; Mercier, O; Beech, DJ; Benitah, JP; Bailey, MA; Humbert, M; Montani, D; Capuano, V; Antigny, F</t>
  </si>
  <si>
    <t>Masson, Bastien; Le Ribeuz, Helene; Sabourin, Jessica; Laubry, Loann; Woodhouse, Emily; Foster, Richard; Ruchon, Yann; Dutheil, Mary; Boet, Angele; Ghigna, Maria-Rosa; De Montpreville, Vincent Thomas; Mercier, Olaf; Beech, David J.; Benitah, Jean-Pierre; Bailey, Marc A.; Humbert, Marc; Montani, David; Capuano, Veronique; Antigny, Fabrice</t>
  </si>
  <si>
    <t>CIRCULATION RESEARCH</t>
  </si>
  <si>
    <t>apoptosis; cell movement; cell proliferation; hypertension; pulmonary; mitochondria; ORAI1 Protein; pulmonary artery</t>
  </si>
  <si>
    <t>OPERATED CALCIUM INFLUX; CA2+ CHANNELS; CRAC CHANNEL; ACTIVATION; MEMBRANE</t>
  </si>
  <si>
    <t>Background: Pulmonary arterial hypertension (PAH) is characterized by progressive distal pulmonary artery (PA) obstruction, leading to right ventricular hypertrophy and failure. Exacerbated intracellular calcium (Ca2+) signaling contributes to abnormalities in PA smooth muscle cells (PASMCs), including aberrant proliferation, apoptosis resistance, exacerbated migration, and arterial contractility. Store-operated Ca2+ entry is involved in Ca2+ homeostasis in PASMCs, but its properties in PAH are unclear. Methods: Using a combination of Ca2+ imaging, molecular biology, in vitro, ex vivo, and in vivo approaches, we investigated the roles of the Orai1 SOC channel in PA remodeling in PAH and determined the consequences of pharmacological Orai1 inhibition in vivo using experimental models of pulmonary hypertension (PH). Results: Store-operated Ca2+ entry and Orai1 mRNA and protein were increased in human PASMCs (hPASMCs) from patients with PAH (PAH-hPASMCs). We found that MEK1/2 (mitogen-activated protein kinase kinase 1/2), NFAT (nuclear factor of activated T cells), and NF kappa B (nuclear factor-kappa B) contribute to the upregulation of Orai1 expression in PAH-hPASMCs. Using small interfering RNA (siRNA) and Orai1 inhibitors, we found that Orai1 inhibition reduced store-operated Ca2+ entry, mitochondrial Ca2+ uptake, aberrant proliferation, apoptosis resistance, migration, and excessive calcineurin activity in PAH-hPASMCs. Orai1 inhibitors reduced agonist-evoked constriction in human PAs. In experimental rat models of PH evoked by chronic hypoxia, monocrotaline, or Sugen/hypoxia, administration of Orai1 inhibitors (N-{4-[3,5-bis(Trifluoromethyl)-1H-pyrazol-1-yl]phenyl}-4-methyl-1,2,3-thiadiazole-5-carboxamide [BTP2], 4-(2,5-dimethoxyphenyl)-N-[(pyridin-4-yl)methyl]aniline [JPIII], or 5J4) protected against PH. Conclusions: In human PAH and experimental PH, Orai1 expression and activity are increased. Orai1 inhibition normalizes the PAH-hPASMCs phenotype and attenuates PH in rat models. These results suggest that Orai1 should be considered as a relevant therapeutic target for PAH.</t>
  </si>
  <si>
    <t>[Masson, Bastien; Le Ribeuz, Helene; Laubry, Loann; Ruchon, Yann; Dutheil, Mary; Boet, Angele; Ghigna, Maria-Rosa; Humbert, Marc; Montani, David; Capuano, Veronique; Antigny, Fabrice] Univ Paris Saclay, Fac Med, Le Kremlin Bicetre, France; [Masson, Bastien; Le Ribeuz, Helene; Laubry, Loann; Ruchon, Yann; Dutheil, Mary; Boet, Angele; Ghigna, Maria-Rosa; Humbert, Marc; Montani, David; Capuano, Veronique; Antigny, Fabrice] Hop Marie Lannelongue, INSERM UMR S 999, Hypertens Pulm Physiopathol &amp; Innovat Therapeut, Le Plessis Robinson, France; [Sabourin, Jessica; Benitah, Jean-Pierre] Univ Paris Saclay, INSERM, UMR S 1180, Signalisat &amp; Physiopathol Cardiovasc, Chetenay Malabry, France; [Laubry, Loann; Woodhouse, Emily; Foster, Richard; Beech, David J.; Bailey, Marc A.] Univ Leeds, Sch Med, Leeds Inst Cardiovasc &amp; Metab Med, Leeds, W Yorkshire, England; [Ruchon, Yann; Dutheil, Mary; Boet, Angele; Capuano, Veronique] Grp Hosp Paris St Joseph, Hoptal Marie Lannelongue, Le Plessis Robinson, France; [De Montpreville, Vincent Thomas] Grp Hosp Marie Lannelongue, Dept Pathol, F-92350 Le Plessis Robinson, France; [Mercier, Olaf] Grp Hosp Paris St Joseph, Hop Marie Lannelongue, Serv Chirurg Thorac Vasc &amp; Transplantat Cardiopul, Le Plessis Robinson, France; [Humbert, Marc; Montani, David] Hop Bicetre, AP HP, Serv Pneumol &amp; Soins Intensifs Resp, Ctr Reference Hypertens Pulm, Le Kremlin Bicetre, France</t>
  </si>
  <si>
    <t>Universite Paris Saclay; Hopital Marie Lannelongue; Institut National de la Sante et de la Recherche Medicale (Inserm); Universite Paris Saclay; Institut National de la Sante et de la Recherche Medicale (Inserm); Universite Paris Saclay; University of Leeds; Universite Paris Cite; Hopital Paris Saint-Joseph; Universite Paris Cite; Hopital Paris Saint-Joseph; Hopital Marie Lannelongue; Assistance Publique Hopitaux Paris (APHP); Hopital Universitaire Antoine-Beclere - APHP; Hopital Universitaire Bicetre - APHP; Universite Paris Saclay</t>
  </si>
  <si>
    <t>Antigny, F (corresponding author), Hop Marie Lannelongue, INSERM UMR S 999, 133 Ave Resistance, F-92350 Le Plessis Robinson, France.</t>
  </si>
  <si>
    <t>David, Montani/I-6885-2019; Antigny, Fabrice/Q-3999-2018; Humbert, Marc/AAC-8459-2019; benitah, jean-pierre/L-6060-2018</t>
  </si>
  <si>
    <t>Ghigna, Maria Rosa/0000-0001-5996-665X; , Yann/0000-0002-6665-3720; Antigny, Fabrice/0000-0002-9515-6571; Masson, Bastien/0000-0003-2364-5269; Le Ribeuz, Helene/0000-0002-6579-6076; Humbert, Marc/0000-0003-0703-2892; Laubry, Loann/0000-0002-1748-6110; benitah, jean-pierre/0000-0002-9866-9081; Mercier, Olaf/0000-0002-4760-6267; Sabourin, Jessica/0000-0002-2980-8455</t>
  </si>
  <si>
    <t>French National Institute for Health and Medical Research (INSERM); Universite Paris-Saclay; French National Agency for Research (ANR) [ANR-18-CE14-0023]; British Heart Foundation [FS/16/42/32308, FS/18/12/33270]; Therapeutic Innovation Doctoral School [ANR-18-CE14-0023, ED569]; Marie Lannelongue Hospital; Agence Nationale de la Recherche (ANR) [ANR-18-CE14-0023] Funding Source: Agence Nationale de la Recherche (ANR)</t>
  </si>
  <si>
    <t>French National Institute for Health and Medical Research (INSERM)(Institut National de la Sante et de la Recherche Medicale (Inserm)); Universite Paris-Saclay; French National Agency for Research (ANR)(Agence Nationale de la Recherche (ANR)); British Heart Foundation(British Heart Foundation); Therapeutic Innovation Doctoral School; Marie Lannelongue Hospital; Agence Nationale de la Recherche (ANR)(Agence Nationale de la Recherche (ANR))</t>
  </si>
  <si>
    <t>This study was supported by grants from the French National Institute for Health and Medical Research (INSERM), the Universite Paris-Saclay, the Marie Lannelongue Hospital, and the French National Agency for Research (ANR; grant no. ANR-18-CE14-0023 [KAPAH] and the British Heart Foundation [grant no. FS/16/42/32308 for E. Woodhouse and FS/18/12/33270 for M.A. Bailey]). B. Masson is supported by the Therapeutic Innovation Doctoral School (ED569). ANR-18-CE14-0023 supports H. Le Ribeuz.</t>
  </si>
  <si>
    <t>0009-7330</t>
  </si>
  <si>
    <t>1524-4571</t>
  </si>
  <si>
    <t>CIRC RES</t>
  </si>
  <si>
    <t>Circ.Res.</t>
  </si>
  <si>
    <t>OCT 14</t>
  </si>
  <si>
    <t>E102</t>
  </si>
  <si>
    <t>E119</t>
  </si>
  <si>
    <t>10.1161/CIRCRESAHA.122.321041</t>
  </si>
  <si>
    <t>Cardiac &amp; Cardiovascular Systems; Hematology; Peripheral Vascular Disease</t>
  </si>
  <si>
    <t>Cardiovascular System &amp; Cardiology; Hematology</t>
  </si>
  <si>
    <t>5F7ZJ</t>
  </si>
  <si>
    <t>WOS:000866530600001</t>
  </si>
  <si>
    <t>Corren, J; Castro, M; Maspero, JF; Humbert, M; Halpin, DMG; Altincatal, A; Pandit-Abid, N; Soler, X; Siddiqui, S; Jacob-Nara, JA; Deniz, Y; Rowe, PJ</t>
  </si>
  <si>
    <t>Corren, Jonathan; Castro, Mario; Maspero, Jorge F.; Humbert, Marc; Halpin, David M. G.; Altincatal, Arman; Pandit-Abid, Nami; Soler, Xavier; Siddiqui, Shahid; Jacob-Nara, Juby A.; Deniz, Yamo; Rowe, Paul J.</t>
  </si>
  <si>
    <t>DUPILUMAB REDUCED EXACERBATIONS AND IMPROVED LUNG FUNCTIONS IN PATIENTS WITH MODERATE-TO-SEVERE ASTHMA AND PRIOR EXACERBATIONS: LIBERTY ASTHMA TRAVERSE STUDY</t>
  </si>
  <si>
    <t>Annual Meeting of the American-College-of-Chest-Physicians (CHEST)</t>
  </si>
  <si>
    <t>OCT 16-19, 2022</t>
  </si>
  <si>
    <t>Nashville, TN</t>
  </si>
  <si>
    <t>Amer Coll Chest Phys</t>
  </si>
  <si>
    <t>Castro, Mario/ABD-7776-2021; Humbert, Marc/AAC-8459-2019</t>
  </si>
  <si>
    <t>1936A</t>
  </si>
  <si>
    <t>1938A</t>
  </si>
  <si>
    <t>10.1016/j.chest.2022.08.1603</t>
  </si>
  <si>
    <t>OCT 2022</t>
  </si>
  <si>
    <t>6W1BC</t>
  </si>
  <si>
    <t>WOS:000895468901675</t>
  </si>
  <si>
    <t>Gillies, H; Chakinala, MM; Dake, B; Feldman, JP; Hoeper, MM; Humbert, M; Jing, ZC; Langley, J; McLaughlin, V; Niven, R; Rosenkranz, SH; Zhang, XS; Hill, NS</t>
  </si>
  <si>
    <t>Gillies, Hunter; Chakinala, Murali M.; Dake, Ben; Feldman, Jeremy P.; Hoeper, Marius M.; Humbert, Marc; Jing, Zhi-Cheng; Langley, Jonathan; McLaughlin, Vallerie; Niven, Ralph; Rosenkranz, Stephan H.; Zhang, Xiaosha; Hill, Nicholas S.</t>
  </si>
  <si>
    <t>INHALED IMATINIB FOR PULMONARY ARTERIAL HYPERTENSION CLINICAL TRIAL: DESIGN OF THE IMPACT PHASE 2B/3 STUDY DESIGN</t>
  </si>
  <si>
    <t>Hoeper, Marius/Z-1546-2019; Jing, Zhi-Cheng/AAT-9081-2021; Humbert, Marc/AAC-8459-2019</t>
  </si>
  <si>
    <t>Humbert, Marc/0000-0003-0703-2892; Hoeper, Marius/0000-0001-9086-2293</t>
  </si>
  <si>
    <t>2325A</t>
  </si>
  <si>
    <t>2329A</t>
  </si>
  <si>
    <t>10.1016/j.chest.2022.08.1923</t>
  </si>
  <si>
    <t>WOS:000895468902252</t>
  </si>
  <si>
    <t>Beurnier, A; Yordanov, Y; Dechartres, A; Dinh, A; Debuc, E; Lescure, FX; Jourdain, P; Jaulmes, L; Humbert, M</t>
  </si>
  <si>
    <t>Beurnier, Antoine; Yordanov, Youri; Dechartres, Agnes; Dinh, Aurelien; Debuc, Erwan; Lescure, Francois-Xavier; Jourdain, Patrick; Jaulmes, Luc; Humbert, Marc</t>
  </si>
  <si>
    <t>Characteristics and outcomes of asthmatic outpatients with COVID-19 who receive home telesurveillance</t>
  </si>
  <si>
    <t>CLINICAL CHARACTERISTICS; PREVALENCE</t>
  </si>
  <si>
    <t>Background The prognosis of asthmatic outpatients with COVID-19 needs to be clarified. The objectives of this study were: 1) to investigate the characteristics and outcomes of asthmatic patients receiving initial ambulatory care and home monitoring for COVID-19 with Covidom, a telesurveillance solution; and 2) to compare the characteristics and outcomes between asthmatic and non-asthmatic patients. Methods Inclusion criteria were age.18 years, suspected or confirmed COVID-19 diagnosis allowing initial ambulatory care, registration in Covidom between March 2020 and April 2021 and completion of the initial medical questionnaire. We compared clinical characteristics and outcomes between asthmatic and non-asthmatic patients, and we evaluated whether asthma was independently associated with clinical worsening (hospitalisation or death) within 30 days follow-up using a multivariate logistic regression model. Results 33 815 patients met the inclusion criteria. Asthma was reported in 4276 (12.6%). The main comorbidities among asthmatic patients were obesity (23.1%), hypertension (12.7%) and diabetes (4.5%). As compared with non-asthmatic patients, asthmatic patients were more often female (70.0 versus 62.1%, p&lt;0.001), of younger age (42.2 versus 43.8 years, p&lt;0.001) and obese (23.1 versus 17.6%, p&lt;0.001). The rate of hospitalisation did not differ significantly (4.7 versus 4.2%, p=0.203) and no asthmatic patient died during follow-up (versus 25 non-asthmatic patients, 0.1%; p=0.109). In multivariate analysis, asthma was independently associated with higher risk of clinical worsening (OR 1.23, 95% CI 1.04-1.44, p=0.013). Conclusion In a large French cohort of patients receiving initial ambulatory care and home monitoring for COVID-19, asthma was independently associated with higher risk of clinical worsening although no asthmatic patient died within the 30 days follow-up.</t>
  </si>
  <si>
    <t>[Beurnier, Antoine] Univ Paris Saclay, Serv Physiol &amp; Explorat Fonctionnelles Resp, INSERM UMR S 999, Hop Bicetre,Fac Med,CRISALIS F CRIN Network, Le Kremlin Bicetre, France; [Yordanov, Youri] Sorbonne Univ, Serv Accueil Urgences, Inst Pierre Louis Epidemiol &amp; Sante Publ, Hop St Antoine,AP HP,UMR S 1136,INSERM, Paris, France; [Dechartres, Agnes] Sorbonne Univ, Inst Pierre Louis Epidemiol &amp; Sante Publ, Hop Pitie Salpetriere, AP HP,UMR S 1136,INSERM,Dept Sante Publ,Ctr Pharm, Paris, France; [Dinh, Aurelien] Paris Saclay Univ, Infect Dis Dept, R Poincare Univ Hosp, AP HP, Paris, France; [Debuc, Erwan] AP HP, Paris, France; [Lescure, Francois-Xavier] Bichat Claude Bernard Univ Hosp, AP HP, Dept Infect &amp; Trop Dis, Paris, France; [Lescure, Francois-Xavier] Univ Paris, Infect Antimicrobials Modelling Evolut IAME, UMR 1137, Paris, France; [Jourdain, Patrick] GHU Paris Saclay, AP HP, DMU COREVE, Paris, France; [Jourdain, Patrick] IHU TORINO Thorax Innovat, INSERM UMR S 999, Turin, Italy; [Jaulmes, Luc] Sorbonne Univ, Ctr Pharmacoepidemiol AP HP Cephepi, Dept Sante Publ, Hop Pitie Salpetriere,AP HP, Paris, France; [Humbert, Marc] Univ Paris Saclay, Fac Med, Serv Pneumol &amp; Soins Intensifs Resp, Hop Bicetre,AP HP,INSERM UMR S 999,CRISALIS F CRI, Le Kremlin Bicetre, France</t>
  </si>
  <si>
    <t>Universite Paris Saclay; Assistance Publique Hopitaux Paris (APHP); Hopital Universitaire Antoine-Beclere - APHP; Hopital Universitaire Bicetre - APHP; Institut National de la Sante et de la Recherche Medicale (Inserm); Assistance Publique Hopitaux Paris (APHP); Sorbonne Universite; Hopital Universitaire Saint-Antoine - APHP; Institut National de la Sante et de la Recherche Medicale (Inserm); Institut National de la Sante et de la Recherche Medicale (Inserm); Sorbonne Universite; Assistance Publique Hopitaux Paris (APHP); Hopital Universitaire Pitie-Salpetriere - APHP; Universite Paris Saclay; Assistance Publique Hopitaux Paris (APHP); Hopital Universitaire Raymond-Poincare - APHP; Assistance Publique Hopitaux Paris (APHP); Assistance Publique Hopitaux Paris (APHP); Universite Paris Cite; Hopital Universitaire Bichat-Claude Bernard - APHP; Institut National de la Sante et de la Recherche Medicale (Inserm); Universite Paris Cite; Assistance Publique Hopitaux Paris (APHP); Sorbonne Universite; Assistance Publique Hopitaux Paris (APHP); Hopital Universitaire Pitie-Salpetriere - APHP; Assistance Publique Hopitaux Paris (APHP); Hopital Universitaire Bicetre - APHP; Universite Paris Saclay; Institut National de la Sante et de la Recherche Medicale (Inserm); Hopital Universitaire Antoine-Beclere - APHP</t>
  </si>
  <si>
    <t>Humbert, M (corresponding author), Univ Paris Saclay, Fac Med, Serv Pneumol &amp; Soins Intensifs Resp, Hop Bicetre,AP HP,INSERM UMR S 999,CRISALIS F CRI, Le Kremlin Bicetre, France.</t>
  </si>
  <si>
    <t>Dinh, Aurélien/AAI-5355-2021; Lescure, Xavier/AAM-5261-2020; Humbert, Marc/AAC-8459-2019</t>
  </si>
  <si>
    <t>Humbert, Marc/0000-0003-0703-2892; Yordanov, Youri/0000-0003-0671-6547; dechartres, Agnes/0000-0003-0770-5567</t>
  </si>
  <si>
    <t>Programme Hospitalier de Recherche Clinique 2020 of the French Ministry of Health; AP-HP-Fondation de France; EIT Health specific COVID-19 fund</t>
  </si>
  <si>
    <t>This work was supported by the Programme Hospitalier de Recherche Clinique 2020 of the French Ministry of Health, by a research fund by AP-HP-Fondation de France. The Covidom platform received a funding from EIT Health specific COVID-19 fund. Funding information for this article has been deposited with the Crossref Funder Registry.</t>
  </si>
  <si>
    <t>OCT 1</t>
  </si>
  <si>
    <t>10.1183/23120541.00012-2022</t>
  </si>
  <si>
    <t>5P2VA</t>
  </si>
  <si>
    <t>WOS:000873013300001</t>
  </si>
  <si>
    <t>McLaughlin, V; Hoeper, M; Tamura, Y; Backer, A; Boyanova, N; Kracker, H; Larbalestier, A; Lassen, C; Sanna, L; Humbert, M</t>
  </si>
  <si>
    <t>McLaughlin, V.; Hoeper, M.; Tamura, Y.; Backer, A.; Boyanova, N.; Kracker, H.; Larbalestier, A.; Lassen, C.; Sanna, L.; Humbert, M.</t>
  </si>
  <si>
    <t>UNISUS study design: a phase 3 superiority study comparing the efficacy, safety, and tolerability of macitentan 75 mg vs macitentan 10 mg in patients with pulmonary arterial hypertension (PAH)</t>
  </si>
  <si>
    <t>[McLaughlin, V.] Univ Michigan, Div Cardiovasc Med, Ann Arbor, MI 48109 USA; [Hoeper, M.] Hannover Med Sch, Hannover, Germany; [Tamura, Y.] Intemat Univ Hlth &amp; Welf, Dept Cardiol, Sch Med, Tokyo, Japan; [Backer, A.; Boyanova, N.; Kracker, H.; Larbalestier, A.; Lassen, C.; Sanna, L.] Actel Pharmaceut Ltd, Allschwil, Switzerland; [Humbert, M.] Univ Paris Saclay, Hop Bicetre, AP HP, Paris, France</t>
  </si>
  <si>
    <t>University of Michigan System; University of Michigan; Hannover Medical School; Actelion Pharmaceuticals Ltd; Universite Paris Saclay; Assistance Publique Hopitaux Paris (APHP); Hopital Universitaire Bicetre - APHP</t>
  </si>
  <si>
    <t>Humbert, Marc/AAC-8459-2019; Hoeper, Marius/Z-1546-2019</t>
  </si>
  <si>
    <t>Actelion Pharmaceuticals Ltd., a Janssen pharmaceutical company of Johnson Johnson</t>
  </si>
  <si>
    <t>Type of funding sources: Private Company. Main funding source(s): Actelion Pharmaceuticals Ltd., a Janssen pharmaceutical company of Johnson &amp; Johnson</t>
  </si>
  <si>
    <t>6V3JF</t>
  </si>
  <si>
    <t>WOS:000894947901128</t>
  </si>
  <si>
    <t>Tu, L; Thuillet, R; Perrot, J; Ottaviani, M; Ponsardin, E; Kolkhof, P; Humbert, M; Viengchareun, S; Lombès, M; Guignabert, C</t>
  </si>
  <si>
    <t>Tu, Ly; Thuillet, Raphael; Perrot, Julie; Ottaviani, Mina; Ponsardin, Emy; Kolkhof, Peter; Humbert, Marc; Viengchareun, Say; Lombes, Marc; Guignabert, Christophe</t>
  </si>
  <si>
    <t>Mineralocorticoid Receptor Antagonism by Finerenone Attenuates Established Pulmonary Hypertension in Rats</t>
  </si>
  <si>
    <t>HYPERTENSION</t>
  </si>
  <si>
    <t>aldosterone; finerenone; hypertension; pulmonary; receptor; mineralocorticoid; vascular remodeling</t>
  </si>
  <si>
    <t>SMOOTH-MUSCLE-CELLS; ARTERIAL-HYPERTENSION; ANGIOTENSIN-II; KIDNEY-DISEASE; BAY 94-8862; ALDOSTERONE; PROLIFERATION; PROTECTS; SYSTEM</t>
  </si>
  <si>
    <t>Background: We studied the ability of the nonsteroidal MR (mineralocorticoid receptor) antagonist finerenone to attenuate vascular remodeling and pulmonary hypertension using two complementary preclinical models (the monocrotaline and sugen/hypoxia rat models) of severe pulmonary hypertension. Methods: We first examined the distribution pattern of MR in the lungs of patients with pulmonary arterial hypertension (PAH) and in monocrotaline and sugen/hypoxia rat lungs. Subsequent studies were performed to explore the effect of MR inhibition on proliferation of pulmonary artery smooth muscle cells derived from patients with idiopathic PAH. To validate the functional importance of MR activation in the pulmonary vascular remodeling characteristic of pulmonary hypertension, mice overexpressing human MR (hMR+) were studied, and curative treatments with finerenone (1 mg/kg per day by gavage), started 2 weeks after monocrotaline injection or 5 weeks after Sugen injection were realized. Results: We demonstrated that MR is overexpressed in experimental and human PAH and that its inhibition following small interfering RNA-mediated MR silencing or finerenone treatment attenuates proliferation of pulmonary artery smooth muscle cells derived from patients with idiopathic PAH. In addition, we obtained evidence that hMR+ mice display increased right ventricular systolic pressure, right ventricular hypertrophy, and remodeling of pulmonary arterioles. Consistent with these observations, curative treatments with finerenone partially reversed established pulmonary hypertension, reducing total pulmonary vascular resistance and vascular remodeling. Finally, we found that continued finerenone treatment decreases inflammatory cell infiltration and vascular cell proliferation in monocrotaline and sugen/hypoxia rat lungs. Conclusions: Finerenone treatment appears to be a potential therapy for PAH worthy of investigation and evaluation for clinical use in conjunction with current PAH treatments.</t>
  </si>
  <si>
    <t>[Tu, Ly; Thuillet, Raphael; Ottaviani, Mina; Humbert, Marc; Guignabert, Christophe] Hop Marie Lannelongue, INSERM UMR S 999 Pulm Hypertens Pathophysiol &amp; No, Le Plessis Robinson, France; [Tu, Ly; Thuillet, Raphael; Ottaviani, Mina; Humbert, Marc; Guignabert, Christophe] Univ Paris Saclay, Fac Med, Gif Sur Yvette, France; [Perrot, Julie; Viengchareun, Say; Lombes, Marc] Univ Paris Saclay, INSERM, Physiol &amp; Physiopathol Endocriniennes, Gif Sur Yvette, France; [Ponsardin, Emy] Univ Paris Saclay, INSERM, CNRS, Ingn &amp; Plateformes Serv Innovat Therapeut, Gif Sur Yvette, France; [Kolkhof, Peter] Bayer AG, Heart &amp; Vasc Dis, Therapeut Area Cardiovasc Dis Res &amp; Early Dev, Pharmaceut, Wuppertal, Germany; [Humbert, Marc] Hop Bicetre, Assistance Publ Hop Paris AP HP, Serv Pneumol &amp; Soins Intensifs Resp, Le Kremlin Bicetre, France</t>
  </si>
  <si>
    <t>Institut National de la Sante et de la Recherche Medicale (Inserm); Hopital Marie Lannelongue; Universite Paris Saclay; Institut National de la Sante et de la Recherche Medicale (Inserm); Universite Paris Saclay; Centre National de la Recherche Scientifique (CNRS); Universite Paris Saclay; Institut National de la Sante et de la Recherche Medicale (Inserm); Bayer AG; Assistance Publique Hopitaux Paris (APHP); Hopital Universitaire Antoine-Beclere - APHP; Universite Paris Saclay; Hopital Universitaire Bicetre - APHP</t>
  </si>
  <si>
    <t>Guignabert, C (corresponding author), INSERM UMR S 999, 133 Ave Resistance, F-92350 Le Plessis Robinson, France.</t>
  </si>
  <si>
    <t>Kolkhof, Peter/IST-3079-2023; Viengchareun, Say/GOV-6812-2022; LOMBES, Marc/L-5933-2018; Humbert, Marc/AAC-8459-2019; TU, Ly/G-4035-2013; GUIGNABERT, Christophe/G-3873-2013</t>
  </si>
  <si>
    <t>Thuillet, Raphael/0000-0002-1379-3797; Ponsardin, Emy/0000-0002-7323-9309; VIENGCHAREUN, Say/0000-0003-4280-3250; LOMBES, Marc/0000-0003-3189-023X; Humbert, Marc/0000-0003-0703-2892; TU, Ly/0000-0003-2336-5099; GUIGNABERT, Christophe/0000-0002-8545-4452; Perrot, Julie/0009-0008-9094-3665</t>
  </si>
  <si>
    <t>French National Institute for Health and Medical Research (Inserm); Paris-Saclay University; Marie Lannelongue Hospital; French National Agency for Research (ANR) [ANR-16-CE17-0014]; Departement HospitaloUniversitaire (DHU) Thorax Innovation (TORINO); Assistance PubliqueHopitaux de Paris (AP-HP); Service de Pneumologie; Centre de Reference de l'Hypertension Pulmonaire Severe; French pulmonary arterial hypertension (PAH) patient association (HTAP France); Fondation du Souffle (FdS); Agence Nationale de la Recherche (ANR) [ANR-16-CE17-0014] Funding Source: Agence Nationale de la Recherche (ANR)</t>
  </si>
  <si>
    <t>French National Institute for Health and Medical Research (Inserm)(Institut National de la Sante et de la Recherche Medicale (Inserm)); Paris-Saclay University; Marie Lannelongue Hospital; French National Agency for Research (ANR)(Agence Nationale de la Recherche (ANR)); Departement HospitaloUniversitaire (DHU) Thorax Innovation (TORINO); Assistance PubliqueHopitaux de Paris (AP-HP); Service de Pneumologie; Centre de Reference de l'Hypertension Pulmonaire Severe; French pulmonary arterial hypertension (PAH) patient association (HTAP France); Fondation du Souffle (FdS); Agence Nationale de la Recherche (ANR)(Agence Nationale de la Recherche (ANR))</t>
  </si>
  <si>
    <t>This research was supported by grants from the French National Institute for Health and Medical Research (Inserm), the Paris-Saclay University, the Marie Lannelongue Hospital, the French National Agency for Research (ANR) grant n degrees ANR-16-CE17-0014 (TAMIRAH), and in part by the Departement HospitaloUniversitaire (DHU) Thorax Innovation (TORINO), the Assistance PubliqueHopitaux de Paris (AP-HP), Service de Pneumologie, Centre de Reference de l'Hypertension Pulmonaire Severe, the French pulmonary arterial hypertension (PAH) patient association (HTAP France), and the Fondation du Souffle (FdS).</t>
  </si>
  <si>
    <t>0194-911X</t>
  </si>
  <si>
    <t>1524-4563</t>
  </si>
  <si>
    <t>Hypertension</t>
  </si>
  <si>
    <t>10.1161/HYPERTENSIONAHA.122.19207</t>
  </si>
  <si>
    <t>4G9FS</t>
  </si>
  <si>
    <t>Green Submitted, Bronze</t>
  </si>
  <si>
    <t>WOS:000849493300020</t>
  </si>
  <si>
    <t>Zeder, K; Banfi, C; Steinrisser-Allex, G; Maron, BA; Humbert, M; Lewis, GD; Berghold, A; Olschewski, H; Kovacs, G</t>
  </si>
  <si>
    <t>Zeder, Katarina; Banfi, Chiara; Steinrisser-Allex, Gregor; Maron, Bradley A.; Humbert, Marc; Lewis, Gregory D.; Berghold, Andrea; Olschewski, Horst; Kovacs, Gabor</t>
  </si>
  <si>
    <t>Diagnostic, prognostic and differential-diagnostic relevance of pulmonary haemodynamic parameters during exercise: a systematic review</t>
  </si>
  <si>
    <t>ARTERY WEDGE PRESSURE; HEART-FAILURE; DIASTOLIC DYSFUNCTION; HYPERTENSION; SURVIVAL; GUIDELINES; RESISTANCES; CAPACITY; CRITERIA; OUTCOMES</t>
  </si>
  <si>
    <t>Background The cardiopulmonary haemodynamic profile observed during exercise may identify patients with early-stage pulmonary vascular and primary cardiac diseases, and is used clinically to inform prognosis. However, a standardised approach to interpreting haemodynamic parameters is lacking.Methods We performed a systematic literature search according to PRISMA guidelines to identify parameters that may be diagnostic for an abnormal haemodynamic response to exercise and offer optimal prognostic and differential-diagnostic value. We performed random-effects meta-analyses of the normal values and report effect sizes as weighted mean +/- SD. Results of diagnostic and prognostic studies are reported descriptively.Results We identified 45 eligible studies with a total of 5598 subjects. The mean pulmonary arterial pressure (mPAP)/cardiac output (CO) slope, pulmonary arterial wedge pressure (PAWP)/CO slope and peak cardiac index (or CO) provided the most consistent prognostic haemodynamic parameters during exercise. The best cut-offs for survival and cardiovascular events were a mPAP/CO slope &gt;3 Wood units (WU) and PAWP/CO slope &gt;2 WU. A PAWP/CO slope cut-off &gt;2 WU best differentiated pre-from post -capillary causes of PAP elevation during exercise. Upper limits of normal (defined as mean+2SD) for the mPAP/CO and PAWP/CO slopes were strongly age-dependent and ranged in 30-70-year-old healthy subjects from 1.6 to 3.3 WU and 0.6 to 1.8 WU, respectively. Conclusion An increased mPAP/CO slope during exercise is associated with impaired survival and an independent, prognostically relevant cut-off &gt;3 WU has been validated. A PAWP/CO slope &gt;2 WU may be suitable for the differentiation between pre-and post-capillary causes of PAP increase during exercise.</t>
  </si>
  <si>
    <t>[Zeder, Katarina; Olschewski, Horst; Kovacs, Gabor] Med Univ Graz, Dept Internal Med, Div Pulmonol, Graz, Austria; [Zeder, Katarina; Olschewski, Horst; Kovacs, Gabor] Ludwig Boltzmann Inst Lung Vasc Res, Graz, Austria; [Banfi, Chiara; Berghold, Andrea] Med Univ Graz, Inst Med Informat Stat &amp; Documentat, Graz, Austria; [Steinrisser-Allex, Gregor] Lib Med Univ Graz, Graz, Austria; [Maron, Bradley A.] Brigham &amp; Womens Hosp, Boston, MA USA; [Maron, Bradley A.] Harvard Med Sch, Boston, MA USA; [Humbert, Marc] Univ Paris Saclay, Univ Paris Sud, Fac Med, Le Kremlin Bicetre, France; [Lewis, Gregory D.] Massachusetts Gen Hosp, Dept Med, Div Cardiol, Boston, MA USA; [Lewis, Gregory D.] Massachusetts Gen Hosp, Dept Med, Div Pulm &amp; Crit Care Med, Boston, MA USA</t>
  </si>
  <si>
    <t>Medical University of Graz; Ludwig Boltzmann Institute; Ludwig Boltzmann Institute for Lung Vascular Research; Medical University of Graz; Harvard University; Harvard University Medical Affiliates; Brigham &amp; Women's Hospital; Harvard University; Harvard Medical School; Universite Paris Saclay; Harvard University; Harvard University Medical Affiliates; Massachusetts General Hospital; Harvard University; Harvard University Medical Affiliates; Massachusetts General Hospital</t>
  </si>
  <si>
    <t>Olschewski, H (corresponding author), Med Univ Graz, Dept Internal Med, Div Pulmonol, Graz, Austria.;Olschewski, H (corresponding author), Ludwig Boltzmann Inst Lung Vasc Res, Graz, Austria.</t>
  </si>
  <si>
    <t>Zeder, Katarina/IUO-4213-2023; Humbert, Marc/AAC-8459-2019</t>
  </si>
  <si>
    <t>Kovacs, Gabor/0000-0003-3709-2183; Steinrisser-Allex, Gregor/0000-0002-1235-8099; Lewis, Gregory/0000-0001-8108-8240; Humbert, Marc/0000-0003-0703-2892</t>
  </si>
  <si>
    <t>Ferrer; Actelion Pharmaceuticals; Tenax Therapeutics; Regeneron Pharmaceuticals; Deerfield Corporation; NIH Research; Actelion; Chiesi; AstraZeneca; GSK; Bayer; Inventiva; Boehringer; Ferrer; Janssen; Menarini; MSD; Novartis; [PCT/US2019/059890]; [PCT/US2015/029672]</t>
  </si>
  <si>
    <t>Ferrer; Actelion Pharmaceuticals; Tenax Therapeutics; Regeneron Pharmaceuticals(Regeneron); Deerfield Corporation; NIH Research(United States Department of Health &amp; Human ServicesNational Institutes of Health (NIH) - USA); Actelion; Chiesi(Chiesi Pharmaceuticals Inc); AstraZeneca(AstraZeneca); GSK(GlaxoSmithKline); Bayer(Bayer AG); Inventiva; Boehringer(Boehringer Ingelheim); Ferrer; Janssen(Johnson &amp; JohnsonJohnson &amp; Johnson USAJanssen Biotech Inc); Menarini(Menarini Group); MSD; Novartis(Novartis); ;</t>
  </si>
  <si>
    <t>K. Zeder reports payment or honoraria for lectures, presentations, speakers bureaus, manuscript writing or educational events from Janssen, and support for attending meetings and/or travel from MSD and Ferrer. B.A. Maron reports grants from Actelion Pharmaceuticals, Tenax Therapeutics, Regeneron Pharmaceuticals, Deerfield Corporation and NIH Research, and discloses the following patents: U.S. Patent #9,605,047, PCT/US2020/066886, PCT/US2019/059890 and PCT/US2015/029672. A. Berghold reports participation on a data safety monitoring board or advisory board for Roche. H. Olschewski reports consulting fees from Actelion, Chiesi, AstraZeneca, GSK, Bayer, Inventiva, Boehringer, Ferrer, Janssen, Menarini, MSD and Novartis, payment or honoraria for lectures, presentations, speakers bureaus, manuscript writing or educational events from Springer and Medupdate, support for attending meetings and/or travel from Boehringer and Menarini, participation on a data safety monitoring board or advisory board for Aerovate, Bayer and Pfizer, receipt of equipment, materials, drugs, medical writing, gifts or other services from Algorithm Sciences, Boehringer and Inventiva, and is Deputy Director of the Ludwig Boltzmann Institute for Lung Vascular Research, Graz. The remaining authors disclose no potential conflicts of interest.</t>
  </si>
  <si>
    <t>10.1183/13993003.03181-2021</t>
  </si>
  <si>
    <t>6D3QE</t>
  </si>
  <si>
    <t>WOS:000882608600006</t>
  </si>
  <si>
    <t>Waxman, AB; Elia, D; Adir, Y; Humbert, M; Harari, S</t>
  </si>
  <si>
    <t>Waxman, Aaron B.; Elia, Davide; Adir, Yochai; Humbert, Marc; Harari, Sergio</t>
  </si>
  <si>
    <t>Recent advances in the management of pulmonary hypertension with interstitial lung disease</t>
  </si>
  <si>
    <t>PLACEBO-CONTROLLED TRIAL; CAPILLARY BLOOD-VOLUME; 6-MINUTE WALK TEST; LONG-TERM OXYGEN; INHALED TREPROSTINIL; PROGNOSTIC VALUE; DOPPLER-ECHOCARDIOGRAPHY; HEART CATHETERIZATION; ARTERIAL-HYPERTENSION; DIFFUSING-CAPACITY</t>
  </si>
  <si>
    <t>Pulmonary hypertension (PH) is known to complicate various forms of interstitial lung disease (ILD), including idiopathic pulmonary fibrosis, the interstitial pneumonias and chronic hypersensitivity pneumonitis. Pathogenesis of PH-ILD remains incompletely understood, and probably has overlap with other forms of pre-capillary pulmonary hypertension. PH-ILD carries a poor prognosis, and is associated with increased oxygen requirements, and a decline in functional capacity and exercise tolerance. Despite most patients having mild-moderate pulmonary hypertension, more severe pulmonary hypertension and signs of right heart failure are observed in a subset of cases. Clinical suspicion and findings on pulmonary function, computed tomography and echocardiography are often the initial steps towards diagnosis. Definitive diagnosis is obtained by right heart catheterisation demonstrating pre-capillary pulmonary hypertension. Drugs approved for pulmonary arterial hypertension have been investigated in several randomised controlled trials in PH-ILD patients, leading to discouraging results until the recent INCREASE study. This review provides an overview of the current understanding, approach to diagnosis and recent advances in treatment.</t>
  </si>
  <si>
    <t>[Waxman, Aaron B.] Harvard Med Sch, Ctr Pulmona Heart Dis Pulm &amp; Crit Care Med, Brigham &amp; Womens Hosp, Boston, MA 02115 USA; [Elia, Davide; Harari, Sergio] MultiMed IRCCS, Unita Pneumol &amp; Terapia Semiintens Resp, Serv Fisiopatol Resp &amp; Emodinam Polmonare, Milan, Italy; [Adir, Yochai] Lady Davis Carmel Med Ctr, Pulmonol Div, Haifa, Israel; [Adir, Yochai] Technion, Bruce &amp; Ruth Rappaport Fac Med, Haifa, Israel; [Humbert, Marc] Univ Paris Saclay, Dept Resp &amp; Intens Care Med, Hop Bicetre, AP HP,INSERM UMR S 999, Le Kremlin Bicetre, France; [Harari, Sergio] Univ Milan, Dept Clin Sci &amp; Community Hlth, Milan, Italy</t>
  </si>
  <si>
    <t>Harvard University; Harvard University Medical Affiliates; Brigham &amp; Women's Hospital; Harvard Medical School; IRCCS Multimedica; Clalit Health Services; Carmel Medical Center; Technion Israel Institute of Technology; Rappaport Faculty of Medicine; Assistance Publique Hopitaux Paris (APHP); Hopital Universitaire Bicetre - APHP; Institut National de la Sante et de la Recherche Medicale (Inserm); Universite Paris Saclay; Hopital Universitaire Antoine-Beclere - APHP; University of Milan</t>
  </si>
  <si>
    <t>Waxman, AB (corresponding author), Harvard Med Sch, Ctr Pulmona Heart Dis Pulm &amp; Crit Care Med, Brigham &amp; Womens Hosp, Boston, MA 02115 USA.</t>
  </si>
  <si>
    <t>abwaxman@bwh.harvard.edu</t>
  </si>
  <si>
    <t>Waxman, Aaron/I-8659-2019; Elia, Davide/R-5679-2019; Humbert, Marc/AAC-8459-2019</t>
  </si>
  <si>
    <t>Humbert, Marc/0000-0003-0703-2892; Waxman, Aaron/0000-0001-7797-0361</t>
  </si>
  <si>
    <t>SEP 30</t>
  </si>
  <si>
    <t>10.1183/16000617.0220-2021</t>
  </si>
  <si>
    <t>2X3UY</t>
  </si>
  <si>
    <t>WOS:000825134000001</t>
  </si>
  <si>
    <t>Jaïs, X; Brenot, P; Bouvaist, H; Jevnikar, M; Canuet, M; Chabanne, C; Chaouat, A; Cottin, V; De Groote, P; Favrolt, N; Horeau-Langlard, D; Magro, P; Savale, L; Prévot, G; Renard, S; Sitbon, O; Parent, F; Trésorier, R; Tromeur, C; Piedvache, C; Grimaldi, L; Fadel, E; Montani, D; Humbert, M; Simonneau, G</t>
  </si>
  <si>
    <t>Jais, Xavier; Brenot, Philippe; Bouvaist, Helene; Jevnikar, Mitja; Canuet, Matthieu; Chabanne, Celine; Chaouat, Ari; Cottin, Vincent; De Groote, Pascal; Favrolt, Nicolas; Horeau-Langlard, Delphine; Magro, Pascal; Savale, Laurent; Prevot, Gregoire; Renard, Sebastien; Sitbon, Olivier; Parent, Florence; Tresorier, Romain; Tromeur, Cecile; Piedvache, Celine; Grimaldi, Lamiae; Fadel, Elie; Montani, David; Humbert, Marc; Simonneau, Gerald</t>
  </si>
  <si>
    <t>Balloon pulmonary angioplasty versus riociguat for the treatment of inoperable chronic thromboembolic pulmonary hypertension (RACE): a multicentre, phase 3, open-label, randomised controlled trial and ancillary follow-up study</t>
  </si>
  <si>
    <t>Background Riociguat and balloon pulmonary angioplasty (BPA) are treatment options for inoperable chronic thromboembolic pulmonary hypertension (CTEPH). However, randomised controlled trials comparing these treatments are lacking. We aimed to evaluate the efficacy and safety of BPA versus riociguat in patients with inoperable CTEPH. Methods In this phase 3, multicentre, open-label, parallel-group, randomised controlled trial done in 23 French centres of expertise for pulmonary hypertension, we enrolled treatment-naive patients aged 18-80 years with newly diagnosed, inoperable CTEPH and pulmonary vascular resistance of more than 320 dyn.s/cm5. Patients were randomly assigned (1:1) to BPA or riociguat via a web-based randomisation system, with block randomisation (block sizes of two or four patients) without stratification. The primary endpoint was change in pulmonary vascular resistance at week 26, expressed as percentage of baseline pulmonary vascular resistance in the intention-to-treat population. Safety analyses were done in all patients who received at least one dose of riociguat or had at least one BPA session. Patients who completed the RACE trial continued into an ancillary 26-week follow-up during which symptomatic patients with pulmonary vascular resistance of more than 320 dyn.s/cm5 benefited from add-on riociguat after BPA or add-on BPA after riociguat. This trial is registered at ClinicalTrials.gov, NCT02634203, and is completed. Findings Between Jan 19, 2016, and Jan 18, 2019, 105 patients were randomly assigned to riociguat (n=53) or BPA (n=52). At week 26, the geometric mean pulmonary vascular resistance decreased to 39.9% (95% CI 36.2-44.0) of baseline pulmonary vascular resistance in the BPA group and 66.7% (60.5-73.5) of baseline pulmonary vascular resistance in the riociguat group (ratio of geometric means 0.60, 95% CI 0.52-0.69; p&lt;0.0001). Treatment-related serious adverse events occurred in 22 (42%) of 52 patients in the BPA group and five (9%) of 53 patients in the riociguat group. The most frequent treatment-related serious adverse events were lung injury (18 [35%] of 52 patients) in the BPA group and severe hypotension with syncope (two [4%] of 53 patients) in the riociguat group. There were no treatment-related deaths. At week 52, a similar reduction in pulmonary vascular resistance was observed in patients treated with first-line riociguat or first-line BPA (ratio of geometric means 0.91, 95% CI 0.79-1.04). The incidence of BPA-related serious adverse events was lower in patients who were pretreated with riociguat (five [14%] of 36 patients vs 22 [42%] of 52 patients). Interpretation At week 26, pulmonary vascular resistance reduction was more pronounced with BPA than with riociguat, but treatment-related serious adverse events were more common with BPA. The finding of fewer BPArelated serious adverse events among patients who were pretreated with riociguat in the follow-up study compared with those who received BPA as first-line treatment points to the potential benefits of a multimodality approach to treatment in patients with inoperable CTEPH. Further studies are needed to explore the effects of sequential treatment combining one or two medications and BPA in patients with inoperable CTEPH.</t>
  </si>
  <si>
    <t>[Jais, Xavier; Jevnikar, Mitja; Savale, Laurent; Sitbon, Olivier; Parent, Florence; Montani, David] Hop Bicetre, Assistance Publ Hop Paris APHP, Serv Pneumol &amp; Soins Intensifs Resp, Ctr Reference Hypertens Pulm, Le Kremlin Bicetre, France; [Piedvache, Celine; Grimaldi, Lamiae] Hop Bicetre, Unite Rech Clin Paris Saclay, Le Kremlin Bicetre, France; [Jais, Xavier; Brenot, Philippe; Jevnikar, Mitja; Savale, Laurent; Sitbon, Olivier; Parent, Florence; Fadel, Elie; Montani, David; Humbert, Marc; Simonneau, Gerald] Univ Paris Saclay, Fac Med, Le Kremlin Bicetre, France; [Jais, Xavier; Brenot, Philippe; Jevnikar, Mitja; Savale, Laurent; Sitbon, Olivier; Parent, Florence; Fadel, Elie; Montani, David; Humbert, Marc; Simonneau, Gerald] Hop Marie Lannelongue, INSERM UMR S 999, Le Plessis Robinson, France; [Brenot, Philippe] Hop Marie Lannelongue, Serv Radiol, Le Plessis Robinson, France; [Bouvaist, Helene] Ctr Hosp Univ Grenoble Alpes, Serv Cardiol, Grenoble, France; [Canuet, Matthieu] Hop Univ Strasbourg, Serv Pneumol, Nouvel Hop Civil, Strasbourg, France; [Chabanne, Celine] Ctr Hosp Univ Rennes, Serv Cardiol &amp; Malad Vasc, Rennes, France; [Chaouat, Ari] Ctr Hosp Reg Univ Nancy Brabois, Dept Pneu Mol, Vandoeuvre Les Nancy, France; [Cottin, Vincent] Hosp Civils Lyon, Grp Hosp Est, Serv Pneumol, Ctr Reference Malad Pulm Rares, Lyon, France; [De Groote, Pascal] Ctr Hosp Reg Univ Lille, Serv Cardiol, Lille, France; [Favrolt, Nicolas] Ctr Hosp Univ Dijon, Serv Pneumol &amp; Soins Intensifs Resp, Dijon, France; [Horeau-Langlard, Delphine] Ctr Hosp Univ Nantes, Serv Pneumol, Hop Laennec, Nantes, France; [Magro, Pascal] Ctr Hosp Reg Univ Tours, Serv Pneumol, Hop Bretonneau, Tours, France; [Prevot, Gregoire] Ctr Hosp Univ Toulouse, Serv Pneumol, Hop Larrey, Toulouse, France; [Renard, Sebastien] Hop La Timone, Assistance Publ Hop Marseille APHM, Serv Cardiol, Marseille, France; [Tresorier, Romain] Ctr Hosp Univ Clermont Ferrand, Serv Cardiol, Hop Gabriel Montpied, Clermont Ferrand, France; [Tromeur, Cecile] Ctr Hosp Reg Univ Brest, Dept Med Interne &amp; Pneumol, Hop Cavale Blanche, Brest, France; [Grimaldi, Lamiae] Univ Versailles St Quentin, Univ Paris Saclay, Fac Med Simone Veil, INSERM,CESP Antiinfect Evas &amp; Pharmacoepidemiol T, Montigny Le Bretonneux, France; [Fadel, Elie] Hop Marie Lannelongue, Serv Chirurg Thoracigue Vasc &amp; Transplantat Cardi, Le Plessis Robinson, France</t>
  </si>
  <si>
    <t>Assistance Publique Hopitaux Paris (APHP); Hopital Universitaire Antoine-Beclere - APHP; Universite Paris Saclay; Hopital Universitaire Bicetre - APHP; Assistance Publique Hopitaux Paris (APHP); Hopital Universitaire Bicetre - APHP; Universite Paris Saclay; Hopital Universitaire Antoine-Beclere - APHP; Universite Paris Saclay; Hopital Marie Lannelongue; Institut National de la Sante et de la Recherche Medicale (Inserm); Universite Paris Saclay; Hopital Marie Lannelongue; CHU Grenoble Alpes; Communaute Universite Grenoble Alpes; Universite Grenoble Alpes (UGA); CHU Strasbourg; Universites de Strasbourg Etablissements Associes; Universite de Strasbourg; CHU Rennes; Universite de Rennes; CHU de Nancy; CHU Lyon; Universite de Lille; CHU Lille; CHU Dijon Bourgogne; Nantes Universite; CHU de Nantes; CHU Tours; Universite de Toulouse; Universite Toulouse III - Paul Sabatier; CHU de Toulouse; Aix-Marseille Universite; Assistance Publique-Hopitaux de Marseille; CHU Clermont Ferrand; Universite de Bretagne Occidentale; CHU Brest; Institut National de la Sante et de la Recherche Medicale (Inserm); Universite Paris Saclay; Hopital Marie Lannelongue</t>
  </si>
  <si>
    <t>Jais, X (corresponding author), Hop Bicetre, Assistance Publ Hop Paris APHP, Serv Pneumol &amp; Soins Intensify Resp, F-94270 Le Kremlin Bicetre, France.</t>
  </si>
  <si>
    <t>xavier.jais@aphp.fr</t>
  </si>
  <si>
    <t>David, Montani/I-6885-2019; Savale, Laurent/AAJ-9781-2020; Chaouat, Ari/AAP-6784-2021; Grassin-Delyle, Stanislas/AAC-5921-2021; DE GROOTE, Pascal/LLL-9444-2024; Humbert, Marc/AAC-8459-2019</t>
  </si>
  <si>
    <t>de Groote, Pascal/0000-0002-6211-0147; Humbert, Marc/0000-0003-0703-2892</t>
  </si>
  <si>
    <t>Programme Hospitalier de Recherche Clinique of the French Ministry of Health and Bayer HealthCare</t>
  </si>
  <si>
    <t>Programme Hospitalier de Recherche Clinique of the French Ministry of Health and Bayer HealthCare.</t>
  </si>
  <si>
    <t>10.1016/S2213-2600(22)00214-4</t>
  </si>
  <si>
    <t>SEP 2022</t>
  </si>
  <si>
    <t>7A7SK</t>
  </si>
  <si>
    <t>WOS:000898650900015</t>
  </si>
  <si>
    <t>Joosten, A; Carrier, FM; Menioui, A; Van der Linden, P; Alexander, B; Coilly, A; Golse, N; Allard, MA; Lucidi, V; Azoulay, D; Naili, S; Toubal, L; Moussa, M; Karam, L; Pham, H; Laukaityte, E; Amara, Y; Lanteri-Minet, M; Samuel, D; Sitbon, O; Humbert, M; Savale, L; Duranteau, J</t>
  </si>
  <si>
    <t>Joosten, Alexandre; Carrier, Francois Martin; Menioui, Aimane; Van der Linden, Philippe; Alexander, Brenton; Coilly, Audrey; Golse, Nicolas; Allard, Marc-Antoine; Lucidi, Valerio; Azoulay, Daniel; Naili, Salima; Toubal, Leila; Moussa, Maya; Karam, Lydia; Pham, Hung; Laukaityte, Edita; Amara, Youcef; Lanteri-Minet, Marc; Samuel, Didier; Sitbon, Olivier; Humbert, Marc; Savale, Laurent; Duranteau, Jacques</t>
  </si>
  <si>
    <t>Incidental finding of elevated pulmonary arterial pressures during liver transplantation and postoperative pulmonary complications</t>
  </si>
  <si>
    <t>BMC ANESTHESIOLOGY</t>
  </si>
  <si>
    <t>Liver transplantation; Pulmonary arterial pressure; Postoperative outcomes; Hemodynamic; Liver surgery</t>
  </si>
  <si>
    <t>PORTOPULMONARY HYPERTENSION; MULTICENTER; MORTALITY</t>
  </si>
  <si>
    <t>Background In patients with end stage liver disease (ESLD) scheduled for liver transplantation (LT), an intraoperative incidental finding of elevated mean pulmonary arterial pressure (mPAP) may be observed. Its association with patient outcome has not been evaluated. We aimed to estimate the effects of an incidental finding of a mPAP &gt; 20 mmHg during LT on the incidence of pulmonary complications. Methods We examined all patients who underwent a LT at Paul-Brousse hospital between January 1,2015 and December 31,2020. Those who received: a LT due to acute liver failure, a combined transplantation, or a retransplantation were excluded, as well as patients for whom known porto-pulmonary hypertension was treated before the LT or patients who underwent a LT for other etiologies than ESLD. Using right sided pulmonary artery catheterization measurements made following anesthesia induction, the study cohort was divided into two groups using a mPAP cutoff of 20 mmHg. The primary outcome was a composite of pulmonary complications. Univariate and multivariable logistic regression analyses were performed to identify variables associated with the primary outcome. Sensitivity analyses of multivariable models were also conducted with other mPAP cutoffs (mPAP &gt;= 25 mmHg and &gt;= 35 mmHg) and even with mPAP as a continuous variable. Results Of 942 patients who underwent a LT, 659 met our inclusion criteria. Among them, 446 patients (67.7%) presented with an elevated mPAP (mPAP of 26.4 +/- 5.9 mmHg). When adjusted for confounding factors, an elevated mPAP was not associated with a higher risk of pulmonary complications (adjusted OR: 1.16; 95%CI 0.8-1.7), nor with 90 days-mortality or any other complications. In our sensitivity analyses, we observed a lower prevalence of elevated mPAP when increasing thresholds (235 patients (35.7%) had an elevated mPAP when defined as &gt;= 25 mmHg and 41 patients (6.2%) had an elevated mPAP when defined as &gt;= 35 mmHg). We did not observe consistent association between a mPAP &gt;= 25 mmHg or a mPAP &gt;= 35 mmHg and our outcomes. Conclusion Incidental finding of elevated mPAP was highly prevalent during LT, but it was not associated with a higher risk of postoperative complications.</t>
  </si>
  <si>
    <t>[Joosten, Alexandre; Naili, Salima; Toubal, Leila; Moussa, Maya; Karam, Lydia; Pham, Hung; Laukaityte, Edita; Amara, Youcef; Lanteri-Minet, Marc; Duranteau, Jacques] Paris Saclay Univ, Dept Anesthesiol &amp; Intens Care, Paul Brousse Hosp, Assistance Publ Hop Paris APHP, 12 Ave Paul Vaillant Couturier,94800, F-94800 Villejuif, France; [Carrier, Francois Martin] Ctr Hosp Univ Montreal, Dept Anesthesiol, Montreal, PQ, Canada; [Carrier, Francois Martin] Ctr Hosp Univ Montreal, Dept Med, Crit Care Div, Montreal, PQ, Canada; [Carrier, Francois Martin] Ctr Hosp Univ Montreal, Ctr Rech, Carrefour Innovat &amp; Sante Populat, Montreal, PQ, Canada; [Menioui, Aimane] Univ Libre Bruxelles, Erasme Hosp, Dept Anesthesiol, Brussels, Belgium; [Van der Linden, Philippe] Univ Libre Bruxelles, Brugmann Hosp, Dept Anesthesiol, Brussels, Belgium; [Alexander, Brenton] Univ Calif San Diego, Dept Anesthesiol, San Diego, CA 92103 USA; [Coilly, Audrey; Samuel, Didier] Paris Saclay Univ, Dept Intens Care, Paul Brousse Hosp, Assistance Publ Hop Paris APHP, Villejuif, France; [Coilly, Audrey; Samuel, Didier] Paris Saclay Univ, Dept Hepatol, Paul Brousse Hosp, Assistance Publ Hop Paris APHP, Villejuif, France; [Golse, Nicolas; Allard, Marc-Antoine; Azoulay, Daniel] Paris Saclay Univ, Dept Hepatobiliary Surg &amp; Liver Transplantat, Paul Brousse Hosp, Assistance Publ Hop Paris APHP, Villejuif, France; [Lucidi, Valerio] Erasme Univ Hosp, Dept Hepatobiliary Surg &amp; Liver Transplantat, Brussels, Belgium; [Sitbon, Olivier; Humbert, Marc; Savale, Laurent] Paris Saclay Univ, Fac Med, Le Kremlin Bicetre, France; [Sitbon, Olivier; Humbert, Marc; Savale, Laurent] INSERM, UMR S 999, Le Kremlin Bicetre, France; [Sitbon, Olivier; Humbert, Marc; Savale, Laurent] Bicetre Hosp, Dept Pneumol &amp; Resp Intens Care, Le Kremlin Bicetre, France</t>
  </si>
  <si>
    <t>Assistance Publique Hopitaux Paris (APHP); Hopital Universitaire Paul-Brousse - APHP; Universite Paris Saclay; Universite de Montreal; Universite de Montreal; Universite de Montreal; Universite Libre de Bruxelles; Universite Libre de Bruxelles; University of California System; University of California San Diego; Assistance Publique Hopitaux Paris (APHP); Hopital Universitaire Paul-Brousse - APHP; Universite Paris Saclay; Assistance Publique Hopitaux Paris (APHP); Hopital Universitaire Paul-Brousse - APHP; Universite Paris Saclay; Universite Paris Saclay; Assistance Publique Hopitaux Paris (APHP); Hopital Universitaire Paul-Brousse - APHP; Universite Libre de Bruxelles; Universite Paris Saclay; Institut National de la Sante et de la Recherche Medicale (Inserm); Universite Paris Saclay; Assistance Publique Hopitaux Paris (APHP); Hopital Universitaire Bicetre - APHP</t>
  </si>
  <si>
    <t>Joosten, A (corresponding author), Paris Saclay Univ, Dept Anesthesiol &amp; Intens Care, Paul Brousse Hosp, Assistance Publ Hop Paris APHP, 12 Ave Paul Vaillant Couturier,94800, F-94800 Villejuif, France.</t>
  </si>
  <si>
    <t>joosten-alexandre@hotmail.com</t>
  </si>
  <si>
    <t>Samuel, Didier/U-5265-2018; Allaes, Marc Antoine/HTM-5009-2023; Alexander, Brenton/AAV-3793-2021; Carrier, François/AAE-4623-2021; Humbert, Marc/AAC-8459-2019</t>
  </si>
  <si>
    <t>1471-2253</t>
  </si>
  <si>
    <t>BMC ANESTHESIOL</t>
  </si>
  <si>
    <t>BMC Anesthesiol.</t>
  </si>
  <si>
    <t>SEP 21</t>
  </si>
  <si>
    <t>10.1186/s12871-022-01839-7</t>
  </si>
  <si>
    <t>Anesthesiology</t>
  </si>
  <si>
    <t>4T2VK</t>
  </si>
  <si>
    <t>WOS:000857981500001</t>
  </si>
  <si>
    <t>Vicaire, H; Le Pavec, J; Mercier, O; Montani, D; Boucly, A; Roche, A; Pradère, P; Dauriat, G; Feuillet, S; Pichon, J; Jevnikar, M; Beurnier, A; Jaïs, X; Fadel, E; Sitbon, O; Humbert, M; Savale, L</t>
  </si>
  <si>
    <t>Vicaire, Hugues; Le Pavec, Jerome; Mercier, Olaf; Montani, David; Boucly, Athenais; Roche, Anne; Pradere, Pauline; Dauriat, Gaelle; Feuillet, Severine; Pichon, Jeremie; Jevnikar, Mitja; Beurnier, Antoine; Jais, Xavier; Fadel, Elie; Sitbon, Olivier; Humbert, Marc; Savale, Laurent</t>
  </si>
  <si>
    <t>Risk stratification in patients with pulmonary arterial hypertension at the time of listing for lung transplantation</t>
  </si>
  <si>
    <t>pulmonary arterial hypertension; lung transplantation; risk stratification; right heart failure; survival</t>
  </si>
  <si>
    <t>ISHLT WORKING GROUP; INTERNATIONAL-SOCIETY; CONSENSUS DOCUMENT; GRAFT DYSFUNCTION; SCORE CALCULATOR; HEART; UPDATE; DEFINITION; CANDIDATES; STATEMENT</t>
  </si>
  <si>
    <t>BACKGROUND: It is unknown whether pulmonary arterial hypertension (PAH) risk stratification instruments could be helpful to support the decision to list a patient for lung transplantation (LT). Our aim was to evaluate contemporary risk assessment tools in a cohort of PAH patients listed for LT. METHODS: Consecutive PAH patients (without pulmonary veno-occlusive disease or unrepaired congenital heart disease) listed for LT at the French Pulmonary Hypertension Reference Center between January 2006 and December 2018 were included. At the time of listing, risk stratification was assessed using the ESC/ERS criteria, the REVEAL Lite 2 score and the COMPERA 2.0 method. The primary end point was overall survival after LT listing. Secondary outcome measures were mortality on waiting list and posttransplant survival. RESULTS: One hundred and two patients were enrolled (mean age 38 +/- 13 years, 69% females). Overall survival after listing was 72%, 58% and 46% at 1, 3 and 5 years respectively. Survival after LT listing was lower in high-risk patients according to the ESC/ERS criteria (p = 0.0001) and the REVEAL Lite 2 score (p = 0.04). The COMPERA 2.0 method discriminated post-listing survival of patients at high-risk, intermediate-high and intermediate-low risk (p = 0.04). The proportion of patients requiring urgent transplantation and extracorporeal life support as a bridge to transplantation was higher in the high-risk patients. Posttransplant survival was significantly lower in high-risk patients according to the ESC/ERS criteria (p = 0.0004). CONCLUSIONS: High-risk PAH patients at the time of LT listing have poor outcomes, suggesting that LT should be considered earlier in the course of PAH remaining refractory to triple combination therapy with a parenteral prostacyclin. (C) 2022 International Society for Heart and Lung Transplantation. All rights reserved.</t>
  </si>
  <si>
    <t>[Vicaire, Hugues; Montani, David; Boucly, Athenais; Roche, Anne; Pichon, Jeremie; Jevnikar, Mitja; Beurnier, Antoine; Jais, Xavier; Sitbon, Olivier; Humbert, Marc; Savale, Laurent] Hop Bicetre, AP HP, Pulm Hypertens Natl Referral Ctr, Dept Resp &amp; Intens Care Med,DMU 5 Thorinno, Le Kremlin Bicetre, France; [Vicaire, Hugues; Le Pavec, Jerome; Mercier, Olaf; Montani, David; Boucly, Athenais; Roche, Anne; Pradere, Pauline; Dauriat, Gaelle; Feuillet, Severine; Pichon, Jeremie; Jevnikar, Mitja; Beurnier, Antoine; Jais, Xavier; Fadel, Elie; Sitbon, Olivier; Humbert, Marc; Savale, Laurent] Univ Paris Saclay, Fac Med, Le Kremlin Bicetre, France; [Vicaire, Hugues; Le Pavec, Jerome; Mercier, Olaf; Montani, David; Boucly, Athenais; Roche, Anne; Pradere, Pauline; Dauriat, Gaelle; Feuillet, Severine; Pichon, Jeremie; Jevnikar, Mitja; Beurnier, Antoine; Jais, Xavier; Fadel, Elie; Sitbon, Olivier; Humbert, Marc; Savale, Laurent] Hop Marie Lannelongue, Pulm Hypertens Pathophysiol &amp; Novel Therapies, INSERM UMR S 999, Le Plessis Robinson, France; [Le Pavec, Jerome; Pradere, Pauline; Dauriat, Gaelle; Feuillet, Severine] Hop Marie Lannelongue, Serv Pneumol &amp; Transplantat Pulm, Le Plessis Robinson, France; [Mercier, Olaf; Fadel, Elie] Hop Marie Lannelongue, Serv Chirurg Thorac Vasc &amp; Transplantat Cardio Pu, Le Plessis Robinson, France</t>
  </si>
  <si>
    <t>Universite Paris Saclay; Assistance Publique Hopitaux Paris (APHP); Hopital Universitaire Bicetre - APHP; Hopital Universitaire Antoine-Beclere - APHP; Universite Paris Saclay; Hopital Marie Lannelongue; Universite Paris Saclay; Institut National de la Sante et de la Recherche Medicale (Inserm); Hopital Marie Lannelongue; Hopital Marie Lannelongue</t>
  </si>
  <si>
    <t>Savale, L (corresponding author), Dept Resp &amp; Intens Care Med, 78 Rue Gen Leclerc, F-94270 Le Kremlin Bicetre, France.</t>
  </si>
  <si>
    <t>Humbert, Marc/0000-0003-0703-2892; Pradere, Pauline/0000-0003-4043-4666; Mercier, Olaf/0000-0002-4760-6267</t>
  </si>
  <si>
    <t>10.1016/j.healun.2022.06.001</t>
  </si>
  <si>
    <t>6O3RY</t>
  </si>
  <si>
    <t>WOS:000890162000015</t>
  </si>
  <si>
    <t>Brusselle, GG; Humbert, M</t>
  </si>
  <si>
    <t>Brusselle, Guy G.; Humbert, Marc</t>
  </si>
  <si>
    <t>Classification of COPD: fostering prevention and precision medicine in the Lancet Commission on COPD</t>
  </si>
  <si>
    <t>[Brusselle, Guy G.] Ghent Univ Hosp, Dept Resp Med, B-9000 Ghent, Belgium; [Brusselle, Guy G.] Erasmus MC, Dept Epidemiol, Rotterdam, Netherlands; [Brusselle, Guy G.] Erasmus MC, Dept Resp Med, Rotterdam, Netherlands; [Humbert, Marc] Univ Paris Saclay, Serv Pneumol &amp; Soins Intensifs Resp, INSERM UMR S 999, Hop Bicetre,Assistance Publ Hop Paris, Le Kremlin Bicetre, France</t>
  </si>
  <si>
    <t>Ghent University; Ghent University Hospital; Erasmus University Rotterdam; Erasmus MC; Erasmus University Rotterdam; Erasmus MC; Universite Paris Saclay; Assistance Publique Hopitaux Paris (APHP); Hopital Universitaire Antoine-Beclere - APHP; Universite Paris Cite; Hopital Universitaire Saint-Louis - APHP; Hopital Universitaire Bicetre - APHP; Institut National de la Sante et de la Recherche Medicale (Inserm)</t>
  </si>
  <si>
    <t>Brusselle, GG (corresponding author), Ghent Univ Hosp, Dept Resp Med, B-9000 Ghent, Belgium.;Brusselle, GG (corresponding author), Erasmus MC, Dept Epidemiol, Rotterdam, Netherlands.;Brusselle, GG (corresponding author), Erasmus MC, Dept Resp Med, Rotterdam, Netherlands.</t>
  </si>
  <si>
    <t>guy.brusselle@ugent.be</t>
  </si>
  <si>
    <t>Brusselle, Guy/AFU-8839-2022; Humbert, Marc/AAC-8459-2019</t>
  </si>
  <si>
    <t>SEP 17</t>
  </si>
  <si>
    <t>10.1016/S0140-6736(22)01660-9</t>
  </si>
  <si>
    <t>6O3YZ</t>
  </si>
  <si>
    <t>WOS:000890180700005</t>
  </si>
  <si>
    <t>Akoumia, F; Ghigna, M; Cadiou, J; Lashermes, A; Riviere, J; Gouriou, S; Lagrafeuille, R; Hery-Arnaud, G; Humbert, M; Lapaque, N; Cohen-Kaminsky, S</t>
  </si>
  <si>
    <t>Akoumia, F.; Ghigna, M.; Cadiou, J.; Lashermes, A.; Riviere, J.; Gouriou, S.; Lagrafeuille, R.; Hery-Arnaud, G.; Humbert, M.; Lapaque, N.; Cohen-Kaminsky, S.</t>
  </si>
  <si>
    <t>The microbiota affects the development of the lung vascular tree in rats</t>
  </si>
  <si>
    <t>International Congress of the European-Respiratory-Society (ERS)</t>
  </si>
  <si>
    <t>SEP 04-06, 2022</t>
  </si>
  <si>
    <t>Barcelona, SPAIN</t>
  </si>
  <si>
    <t>European Respiratory Soc</t>
  </si>
  <si>
    <t>[Akoumia, F.; Ghigna, M.] INSERM, Paris, France; [Cadiou, J.; Lashermes, A.; Riviere, J.; Gouriou, S.] INRAE, Paris, France; [Lagrafeuille, R.; Hery-Arnaud, G.; Humbert, M.; Lapaque, N.; Cohen-Kaminsky, S.] INSERM, Brest, France</t>
  </si>
  <si>
    <t>Institut National de la Sante et de la Recherche Medicale (Inserm); INRAE; Universite de Bretagne Occidentale; Institut National de la Sante et de la Recherche Medicale (Inserm)</t>
  </si>
  <si>
    <t>Humbert, Marc/AAC-8459-2019; Lapaque, Nicolas/AAB-4530-2021; Cohen-Kaminsky, Sylvia/E-4837-2014</t>
  </si>
  <si>
    <t>Cohen-Kaminsky, Sylvia/0000-0002-6341-7482</t>
  </si>
  <si>
    <t>SEP 4</t>
  </si>
  <si>
    <t>10.1183/13993003.congress-2022.2035</t>
  </si>
  <si>
    <t>6T0RZ</t>
  </si>
  <si>
    <t>WOS:000893392403006</t>
  </si>
  <si>
    <t>Boucly, A; Savale, L; Jaïs, X; Beurnier, A; Jevnikar, M; Humbert, M; Sitbon, O; Montani, D</t>
  </si>
  <si>
    <t>Boucly, A.; Savale, L.; Jais, X.; Beurnier, A.; Jevnikar, M.; Humbert, M.; Sitbon, O.; Montani, D.</t>
  </si>
  <si>
    <t>Risk stratification in pulmonary veno-occlusive disease</t>
  </si>
  <si>
    <t>[Boucly, A.; Savale, L.; Jais, X.; Beurnier, A.; Jevnikar, M.; Humbert, M.; Sitbon, O.; Montani, D.] Hop Bicetre, Serv Pneumol, Le Kremlin Bicetre, France</t>
  </si>
  <si>
    <t>Assistance Publique Hopitaux Paris (APHP); Hopital Universitaire Bicetre - APHP; Hopital Universitaire Antoine-Beclere - APHP; Universite Paris Saclay</t>
  </si>
  <si>
    <t>10.1183/13993003.congress-2022.4525</t>
  </si>
  <si>
    <t>WOS:000893392406259</t>
  </si>
  <si>
    <t>Boucly, A.; Tu, L.; Guignabert, C.; Rhodes, C.; De Groote, P.; Prevot, G.; Bergot, E.; Bourdin, A.; Beurnier, A.; Roche, A.; Jevnikar, M.; Jais, X.; Montani, D.; Wilkins, M. R.; Humbert, M.; Sitbon, O.; Savale, L.</t>
  </si>
  <si>
    <t>[Boucly, A.; Bourdin, A.; Beurnier, A.; Roche, A.; Jevnikar, M.; Jais, X.; Montani, D.; Humbert, M.; Sitbon, O.; Savale, L.] Hop Bicetre, Serv Pneumol, Le Kremlin Bicetre, France; [Tu, L.; Guignabert, C.] INSERM, UMR S999, Le Plessis Robinson, France; [Rhodes, C.; Wilkins, M. R.] Imperial Coll London, Natl Heart &amp; Lung Inst, London, England; [De Groote, P.] Univ Lille, Serv Cardiol, Lille, France; [Prevot, G.] CHU Toulouse, Serv Pneumol, Hop Larrey, Toulouse, France; [Bergot, E.] Unicaen, Ctr Hosp Univ Caen, Serv Pneumol &amp; Oncol Thorac, UFR Sante, Caen, France; [Bourdin, A.] Univ Montpellier, CNRS, UMR 9214, PhyMedExp,INSERM,U1046, Montpellier, France</t>
  </si>
  <si>
    <t>Universite Paris Saclay; Assistance Publique Hopitaux Paris (APHP); Hopital Universitaire Bicetre - APHP; Hopital Universitaire Antoine-Beclere - APHP; Institut National de la Sante et de la Recherche Medicale (Inserm); Universite Paris Saclay; Imperial College London; Universite de Lille; CHU de Toulouse; Universite de Toulouse; Universite Toulouse III - Paul Sabatier; Universite de Caen Normandie; CHU de Caen NORMANDIE; Universite de Montpellier; Institut National de la Sante et de la Recherche Medicale (Inserm); Centre National de la Recherche Scientifique (CNRS); CNRS - National Institute for Biology (INSB)</t>
  </si>
  <si>
    <t>DE GROOTE, Pascal/LLL-9444-2024; Bergot, Emmanuel/KHZ-1685-2024; TU, Ly/G-4035-2013; GUIGNABERT, Christophe/G-3873-2013; Bourdin, Philippe/D-8149-2015; Humbert, Marc/AAC-8459-2019</t>
  </si>
  <si>
    <t>Rhodes, Christopher/0000-0002-4962-3204; de Groote, Pascal/0000-0002-6211-0147; Humbert, Marc/0000-0003-0703-2892; Bourdin, Arnaud/0000-0002-4645-5209</t>
  </si>
  <si>
    <t>10.1183/13993003.congress-2022.4618</t>
  </si>
  <si>
    <t>WOS:000893392406301</t>
  </si>
  <si>
    <t>Corren, J; Castro, M; Maspero, JF; Humbert, M; Halpin, DMG; Altincatal, A; Pandit-Abid, N; Soler, X; Siddiqui, S; Jacob-Nara, JA; Deniz, Y; Rowe, PJ; Maspero, JF</t>
  </si>
  <si>
    <t>Corren, J.; Castro, M.; Maspero, J. F.; Humbert, M.; Halpin, D. M. G.; Altincatal, A.; Pandit-Abid, N.; Soler, X.; Siddiqui, S.; Jacob-Nara, J. A.; Deniz, Y.; Rowe, P. J.; Maspero, J. F.</t>
  </si>
  <si>
    <t>Dupilumab improved lung function and reduces exacerbations in patients with 1, 2, or 3 prior exacerbations: TRAVERSE</t>
  </si>
  <si>
    <t>Severe asthma Exacerbation Airway management</t>
  </si>
  <si>
    <t>[Corren, J.] Univ Calif Los Angeles, David Geffen Sch Med, Los Angeles, CA 90095 USA; [Castro, M.] Univ Kansas, Sch Med, Kansas City, KS USA; [Maspero, J. F.] Fdn CIDEA, Buenos Aires, DF, Argentina; [Humbert, M.] Univ Paris Saclay, Hop Bicetre, AP HP, INSERM,Serv Pneumol &amp; Soins Intensifs Resp, Le Kremlin Bicetre, France; [Halpin, D. M. G.] Univ Exeter, Coll Med &amp; Hlth, Univ Exeter Med Sch, Exeter, Devon, England; [Altincatal, A.] Sanofi, Cambridge, MA USA; [Pandit-Abid, N.; Jacob-Nara, J. A.; Rowe, P. J.] Sanofi, Bridgewater, NJ USA; [Soler, X.; Siddiqui, S.; Deniz, Y.] Regeneron Pharmaceut Inc, Tarrytown, NY USA</t>
  </si>
  <si>
    <t>University of California System; University of California Los Angeles; University of California Los Angeles Medical Center; David Geffen School of Medicine at UCLA; University of Kansas; University of Kansas Medical Center; Assistance Publique Hopitaux Paris (APHP); Hopital Universitaire Bicetre - APHP; Institut National de la Sante et de la Recherche Medicale (Inserm); Universite Paris Saclay; Hopital Universitaire Antoine-Beclere - APHP; University of Exeter; Sanofi-Aventis; Sanofi USA; Sanofi-Aventis; Sanofi USA; Regeneron</t>
  </si>
  <si>
    <t>10.1183/13993003.congress-2022.2364</t>
  </si>
  <si>
    <t>WOS:000893392403259</t>
  </si>
  <si>
    <t>Flokstra-De Blok, B; Kocks, J; Wouters, H; Arling, C; Chatelier, J; Douglass, J; Heaney, L; Holmes, J; Humbert, M; Kolanowski, M; Landsman, J; Lugogo, N; Malpass, A; Meijer, J; Metz, B; De Mul, B; Postma, F; Leving, M</t>
  </si>
  <si>
    <t>Flokstra-De Blok, B.; Kocks, J.; Wouters, H.; Arling, C.; Chatelier, J.; Douglass, J.; Heaney, L.; Holmes, J.; Humbert, M.; Kolanowski, M.; Landsman, J.; Lugogo, N.; Malpass, A.; Meijer, J.; Metz, B.; De Mul, B.; Postma, F.; Leving, M.</t>
  </si>
  <si>
    <t>Perceptions on home- administration of biologics in severe asthma: an international qualitative study</t>
  </si>
  <si>
    <t>[Flokstra-De Blok, B.; Kocks, J.; Wouters, H.; Arling, C.; Meijer, J.; Metz, B.; De Mul, B.; Postma, F.; Leving, M.] Gen Practitioners Res Inst, Groningen, Netherlands; [Kocks, J.] Univ Groningen, Univ Med Ctr Groningen, Groningen Res Inst Asthma &amp; COPD GRIAC, Groningen, Netherlands; [Wouters, H.; Arling, C.; Meijer, J.; Metz, B.; De Mul, B.; Postma, F.; Leving, M.] Univ Groningen, Univ Med Ctr Groningen, Beatrix Childrens Hosp, Dept Pediat Pulmonol &amp; Pediat Allergol, Groningen, Netherlands; [Chatelier, J.; Douglass, J.] Observat &amp; Pragmat Res Inst, Singapore, Singapore; [Heaney, L.; Holmes, J.] Univ Groningen, Univ Med Ctr Groningen, Dept Pulmonol, Groningen, Netherlands; [Chatelier, J.; Douglass, J.] Univ Melbourne, Royal Melbourne Hosp, Dept Med, Parkville, Vic, Australia; [Heaney, L.; Holmes, J.] Queens Univ Belfast, Wellcome Wolfson Ctr Expt Med, Belfast, Antrim, North Ireland; [Humbert, M.] Univ Paris Saclay, Hop Bicetre, AP HP, INSERM UMR S 999,Serv Pneumol, Paris, France; [Kolanowski, M.; Lugogo, N.] Univ Michigan, Dept Internal Med, Div Pulm &amp; Crit Care Med, Ann Arbor, MI USA; [Landsman, J.] Univ Groningen, Dept Hlth Sci, Univ Med Ctr Groningen, Groningen, Netherlands; [Malpass, A.] Univ Bristol, Ctr Acad Primary Care CAPC, Bristol Med Sch, Bristol, Avon, England</t>
  </si>
  <si>
    <t>University of Groningen; University of Groningen; University of Groningen; Melbourne Health; Royal Melbourne Hospital; University of Melbourne; Queens University Belfast; Assistance Publique Hopitaux Paris (APHP); Hopital Universitaire Bicetre - APHP; Universite Paris Saclay; Institut National de la Sante et de la Recherche Medicale (Inserm); University of Michigan System; University of Michigan; University of Groningen; University of Bristol</t>
  </si>
  <si>
    <t>Meijer, Joost/AAA-5146-2022; Chatelier, Josh/GQI-2826-2022; Humbert, Marc/AAC-8459-2019</t>
  </si>
  <si>
    <t>Lugogo, Njira/0000-0002-0235-7105; Humbert, Marc/0000-0003-0703-2892; Chatelier, Josh/0000-0003-0010-3467</t>
  </si>
  <si>
    <t>10.1183/13993003.congress-2022.962</t>
  </si>
  <si>
    <t>WOS:000893392401224</t>
  </si>
  <si>
    <t>Hoeper, M; Ghofrani, H; Gibbs, JS; Gomberg-Maitland, M; Humbert, M; Mclaughlin, V; Preston, I; Souza, R; Waxman, A; Pena, J; Manimaran, S; Fowler, M; Badesch, D</t>
  </si>
  <si>
    <t>Hoeper, M.; Ghofrani, H.; Gibbs, J. S.; Gomberg-Maitland, M.; Humbert, M.; Mclaughlin, V; Preston, I; Souza, R.; Waxman, A.; Pena, J.; Manimaran, S.; Fowler, M.; Badesch, D.</t>
  </si>
  <si>
    <t>Effect of sotatercept on multicomponent improvement in the PULSAR study</t>
  </si>
  <si>
    <t>[Hoeper, M.] Hannover Med Sch, Dept Resp Med, Hannover, Germany; [Hoeper, M.] German Ctr Lung Res, Hannover, Germany; [Ghofrani, H.] Univ Giessen &amp; Marburg, Dept Pneumol, Giessen, Germany; [Gibbs, J. S.] Imperial Coll London, Natl Heart &amp; Lung Inst, London, England; [Gibbs, J. S.] Imperial Coll Healthcare NHS Trust, Hammersmith Hosp, Natl Pulm Hypertens Serv, London, England; [Gomberg-Maitland, M.] George Washington Univ, Sch Med &amp; Hlth Sci, Dept Med, Washington, DC 20052 USA; [Humbert, M.] Univ Paris Saclay, Hop Bicetre, Assistance Publ Hop Paris, INSERM Unite Mixte Rech 999,Dept Resp &amp; Intens Ca, Le Kremlin Bicetre, France; [Mclaughlin, V] Univ Michigan Hlth Syst, Dept Internal Med, Div Cardiovasc Med, Ann Arbor, MI USA; [Preston, I] Tufts Med Ctr, Div Pulm Crit Care &amp; Sleep Med, Boston, MA 02111 USA; [Souza, R.] Univ Sao Paulo, Med Sch, Heart Inst, Pulm Div, Sao Paulo, Brazil; [Waxman, A.] Brigham &amp; Womens Hosp, Dept Med, Div Pulm &amp; Crit Care Med, 75 Francis St, Boston, MA 02115 USA; [Pena, J.; Manimaran, S.; Fowler, M.] Merck &amp; Co Inc, Acceleron Pharma, Rahway, NJ 07065 USA; [Badesch, D.] Univ Colorado, Div Pulm Sci &amp; Crit Care Med &amp; Cardiol, Anschutz Med Campus, Aurora, CO USA</t>
  </si>
  <si>
    <t>Hannover Medical School; Imperial College London; Imperial College London; George Washington University; Assistance Publique Hopitaux Paris (APHP); Hopital Universitaire Bicetre - APHP; Universite Paris Cite; Hopital Universitaire Saint-Louis - APHP; Hopital Universitaire Antoine-Beclere - APHP; Institut National de la Sante et de la Recherche Medicale (Inserm); Universite Paris Saclay; University of Michigan System; University of Michigan; Tufts Medical Center; Universidade de Sao Paulo; Harvard University; Harvard University Medical Affiliates; Brigham &amp; Women's Hospital; Merck &amp; Company; Merck &amp; Company USA; University of Colorado System; University of Colorado Anschutz Medical Campus</t>
  </si>
  <si>
    <t>Hoeper, Marius/Z-1546-2019; Ghofrani, Ardeschir/AAD-5293-2020; Waxman, Aaron/I-8659-2019; Humbert, Marc/AAC-8459-2019</t>
  </si>
  <si>
    <t>WOS:000893392401044</t>
  </si>
  <si>
    <t>Humbert, M; Dreyer, N; Mclaughlin, V; Pulido, T; Boyanova, N; Frauchiger, B; Kiefer, F; Lassen, C; Ong, R; Sanna, L; Sauter, A; Kiely, D</t>
  </si>
  <si>
    <t>Humbert, M.; Dreyer, N.; Mclaughlin, V; Pulido, T.; Boyanova, N.; Frauchiger, B.; Kiefer, F.; Lassen, C.; Ong, R.; Sanna, L.; Sauter, A.; Kiely, D.</t>
  </si>
  <si>
    <t>CARE PAH study design: an international, prospective real-world cohort of PAH patients</t>
  </si>
  <si>
    <t>[Humbert, M.] Univ Paris Saclay, Hop Bicetre, Assistance Publ Hop Paris, Paris, France; [Dreyer, N.] IQVIA, Cambridge, MA USA; [Mclaughlin, V] Univ Michigan, Ann Arbor, MI 48109 USA; [Pulido, T.] Natl Heart Inst, Cardiopulm Dept, Mexico City, DF, Mexico; [Boyanova, N.; Frauchiger, B.; Kiefer, F.; Lassen, C.; Ong, R.; Sanna, L.; Sauter, A.] Actelion Pharmaceut Ltd, Allschwil, Switzerland; [Kiely, D.] Univ Sheffield, Infect Immun &amp; Cardiovasc Dis, Sheffield, S Yorkshire, England</t>
  </si>
  <si>
    <t>Assistance Publique Hopitaux Paris (APHP); Universite Paris Cite; Hopital Universitaire Saint-Louis - APHP; Hopital Universitaire Bicetre - APHP; Universite Paris Saclay; IQVIA; University of Michigan System; University of Michigan; Actelion Pharmaceuticals Ltd; University of Sheffield</t>
  </si>
  <si>
    <t>WOS:000893392401068</t>
  </si>
  <si>
    <t>Kovacs, G; Humbert, M; Herve, P; Avian, A; Galie, N; Lewis, G; Souza, R; Ulrich, S; Noordegraaf, AV; Andersen, M; Barbera, JA; Blanco, ; Condliffe, R; D'Alto, M; Egenlauf, B; Ewert, R; Gruenig, E; Heine, A; Herkenrath, S; Hsu, S; Kasperowicz, K; Mak, S; Maron, B; Mccabe, C; Oliveira, R; Rosenkranz, S; Savale, L; Saxer, S; Systrom, D; Tedford, R; Torbicki, A; Olschewski, H</t>
  </si>
  <si>
    <t>Kovacs, G.; Humbert, M.; Herve, P.; Avian, A.; Galie, N.; Lewis, G.; Souza, R.; Ulrich, S.; Noordegraaf, A. Vonk; Andersen, M.; Barbera, J. A.; Blanco, I; Condliffe, R.; D'Alto, M.; Egenlauf, B.; Ewert, R.; Gruenig, E.; Heine, A.; Herkenrath, S.; Hsu, S.; Kasperowicz, K.; Mak, S.; Maron, B.; Mccabe, C.; Oliveira, R.; Rosenkranz, S.; Savale, L.; Saxer, S.; Systrom, D.; Tedford, R.; Torbicki, A.; Olschewski, H.</t>
  </si>
  <si>
    <t>Baseline characteristics of patients included into the ERS Clinical Research Collaboration: Pulmonary Hemodynamics during Exercise - Research Network (PEX-NET) registry</t>
  </si>
  <si>
    <t>[Kovacs, G.; Avian, A.; Olschewski, H.] Med Univ Graz, Graz, Austria; [Humbert, M.; Herve, P.; Savale, L.] Univ Paris, Saclay Hop Bicetre, Paris, France; [Galie, N.] Univ Bologna, Bologna, Italy; [Lewis, G.] Massachusetts Gen Hosp, Boston, MA USA; [Souza, R.] Univ Sao Paulo, Med Sch, Sao Paulo, Brazil; [Ulrich, S.; Saxer, S.] Univ Hosp Zurich, Zurich, Switzerland; [Noordegraaf, A. Vonk] Univ Amsterdam, Med Ctr, Amsterdam, Netherlands; [Andersen, M.] Aarhus Univ Hosp, Aarhus, Denmark; [Barbera, J. A.; Blanco, I] Univ Barcelona, Barcelona, Spain; [Condliffe, R.] Univ Sheffield, Sheffield, S Yorkshire, England; [D'Alto, M.] Univ Campania Luigi Vanvitelli, Naples, Italy; [Egenlauf, B.; Gruenig, E.] Univ Clin Heidelberg, Heidelberg, Germany; [Ewert, R.; Heine, A.] Univ Greifswald, Greifswald, Germany; [Herkenrath, S.] Evangel Krankenhaus Berg Gladbach, Bergisch Gladbach, Germany; [Hsu, S.] Johns Hopkins Univ, Sch Med, Baltimore, MD USA; [Kasperowicz, K.; Torbicki, A.] European Hlth Ctr Otwock, Otwock, Poland; [Mak, S.] Univ Toronto, Toronto, ON, Canada; [Maron, B.] Brigham &amp; Womens Hosp, Boston, MA USA; [Maron, B.] Harvard Med Sch, Boston, MA USA; [Mccabe, C.] Royal Brompton Hosp, London, England; [Oliveira, R.] Univ Fed Sao Paulo, Sao Paulo, Brazil; [Rosenkranz, S.] Univ Cologne, Cologne, Germany; [Systrom, D.] Brigham &amp; Womens Hosp, Graz, MA USA; [Systrom, D.] Harvard Med Sch, Graz, MA USA; [Tedford, R.] Med Univ South Carolina, Charleston, SC USA</t>
  </si>
  <si>
    <t>Medical University of Graz; Universite Paris Cite; University of Bologna; Harvard University; Harvard University Medical Affiliates; Massachusetts General Hospital; Universidade de Sao Paulo; University of Zurich; University Zurich Hospital; University of Amsterdam; Aarhus University; University of Barcelona; University of Sheffield; Universita della Campania Vanvitelli; Ruprecht Karls University Heidelberg; Universitat Greifswald; Johns Hopkins University; University of Toronto; Harvard University; Harvard University Medical Affiliates; Brigham &amp; Women's Hospital; Harvard University; Harvard Medical School; Royal Brompton Hospital; Universidade Federal de Sao Paulo (UNIFESP); University of Cologne; Harvard University; Harvard University Medical Affiliates; Brigham &amp; Women's Hospital; Medical University of South Carolina</t>
  </si>
  <si>
    <t>Humbert, Marc/AAC-8459-2019; Oliveira, Rudolf/A-8409-2013; Egenlauf, Benjamin/JCE-4338-2023</t>
  </si>
  <si>
    <t>10.1183/13993003.congress-2022.1211</t>
  </si>
  <si>
    <t>WOS:000893392401420</t>
  </si>
  <si>
    <t>Lechartier, B; Jevnikar, M; Fadel, E; Brenot, P; Beurnier, A; Montani, D; Savale, L; Sitbon, O; Humbert, M; Jais, X</t>
  </si>
  <si>
    <t>Lechartier, B.; Jevnikar, M.; Fadel, E.; Brenot, P.; Beurnier, A.; Montani, D.; Savale, L.; Sitbon, O.; Humbert, M.; Jais, X.</t>
  </si>
  <si>
    <t>Characteristics and management of chronic thromboembolic pulmonary disease patients without pulmonary hypertension in an expert centre</t>
  </si>
  <si>
    <t>Pulmonary hypertension; Embolism</t>
  </si>
  <si>
    <t>[Lechartier, B.; Jevnikar, M.; Beurnier, A.; Montani, D.; Savale, L.; Sitbon, O.; Humbert, M.; Jais, X.] Hop Bicetre, Assistance Publ Hop Paris AP HP, Dept Resp &amp; Intens Care Med, Pulm Hypertens Natl Referral Ctr, Le Kremlin Bicetre, France; [Fadel, E.; Brenot, P.] Hop Marie Lannelongue, Le Plessis Robinson, France</t>
  </si>
  <si>
    <t>Assistance Publique Hopitaux Paris (APHP); Hopital Universitaire Antoine-Beclere - APHP; Universite Paris Saclay; Hopital Universitaire Bicetre - APHP; Hopital Marie Lannelongue</t>
  </si>
  <si>
    <t>10.1183/13993003.congress-2022.919</t>
  </si>
  <si>
    <t>WOS:000893392401189</t>
  </si>
  <si>
    <t>Montani, D; Diaz, A; Chelabi, S; Jais, X; Savale, L; Froudarakis, M; Bezzeghoud, S; Boucly, A; Jevnikar, M; Sitbon, O; Bertoletti, L; Humbert, M</t>
  </si>
  <si>
    <t>Montani, D.; Diaz, A.; Chelabi, S.; Jais, X.; Savale, L.; Froudarakis, M.; Bezzeghoud, S.; Boucly, A.; Jevnikar, M.; Sitbon, O.; Bertoletti, L.; Humbert, M.</t>
  </si>
  <si>
    <t>Clinical phenotypes and outcomes of severe pulmonary hypertension associated with chronic obstructive pulmonary disease</t>
  </si>
  <si>
    <t>[Montani, D.; Chelabi, S.; Jais, X.; Savale, L.; Boucly, A.; Jevnikar, M.; Sitbon, O.; Humbert, M.] APHP, Serv Pneumol, Paris, France; [Diaz, A.; Bezzeghoud, S.; Bertoletti, L.] CHU St Etienne, Serv Med Vasc &amp; Therapeut, Hop Nord, Saint Etienne, France; [Froudarakis, M.] APHP, Serv Pneumol, Saint Etienne, France</t>
  </si>
  <si>
    <t>Assistance Publique Hopitaux Paris (APHP); Universite Paris Cite; Hopital Universitaire Hotel-Dieu - APHP; Hopital Universitaire Ambroise-Pare - APHP; CHU de St Etienne; Assistance Publique Hopitaux Paris (APHP)</t>
  </si>
  <si>
    <t>10.1183/13993003.congress-2022.3278</t>
  </si>
  <si>
    <t>WOS:000893392404409</t>
  </si>
  <si>
    <t>Taillé, C; Humbert, M; Bourdin, A; Niarra, R; Thonnelier, C; Lajoinie, A; Rigault, A; Molimard, M; Deschildre, A</t>
  </si>
  <si>
    <t>Taille, C.; Humbert, M.; Bourdin, A.; Niarra, R.; Thonnelier, C.; Lajoinie, A.; Rigault, A.; Molimard, M.; Deschildre, A.</t>
  </si>
  <si>
    <t>Adolescence to early adulthood transition in French severe asthmatic children treated with omalizumab</t>
  </si>
  <si>
    <t>Asthma - management; Treatments; Pharmacology</t>
  </si>
  <si>
    <t>[Taille, C.] Grp Hosp Univ AP HP Nord, Hop Bichat, Serv Pneumol, Paris, France; [Taille, C.] Grp Hosp Univ AP HP Nord, Hop Bichat, Ctr Reference Malad Pulm Rares, Paris, France; [Taille, C.] Univ Paris, INSERM UMR 1152, Paris, France; [Humbert, M.] Univ Paris Saclay, Hop Bicetre, AP HP,Inserm UMR S 999, Serv Pneumol &amp; Soins Intensifs Resp, Le Kremlin Bicetre, France; [Bourdin, A.] Univ Montpellier, CHU Montpellier, Hop Arnaud de Villeneuve, INSERM U1046,CNRS UMR 9214, Montpellier, France; [Niarra, R.; Thonnelier, C.] Novartis, Rueil Malmaison, France; [Lajoinie, A.; Rigault, A.] RCTs, Lyon, France; [Molimard, M.] Univ Bordeaux, CHU Bordeaux, INSERM CR1219, Serv Pharmacol Med, Bordeaux, France; [Deschildre, A.] Univ Lille, CHU Lille, Hop Jeanne de Flandre, Serv Pneumoallergol Pediat, Lille, France</t>
  </si>
  <si>
    <t>Assistance Publique Hopitaux Paris (APHP); Universite Paris Cite; Hopital Universitaire Bichat-Claude Bernard - APHP; Assistance Publique Hopitaux Paris (APHP); Universite Paris Cite; Hopital Universitaire Bichat-Claude Bernard - APHP; Institut National de la Sante et de la Recherche Medicale (Inserm); Universite Paris Cite; Universite Paris Saclay; Assistance Publique Hopitaux Paris (APHP); Hopital Universitaire Antoine-Beclere - APHP; Hopital Universitaire Bicetre - APHP; Institut National de la Sante et de la Recherche Medicale (Inserm); Institut National de la Sante et de la Recherche Medicale (Inserm); Centre National de la Recherche Scientifique (CNRS); CNRS - National Institute for Biology (INSB); Universite de Montpellier; CHU de Montpellier; Novartis; Institut National de la Sante et de la Recherche Medicale (Inserm); Universite de Bordeaux; CHU Bordeaux; Universite de Lille; CHU Lille</t>
  </si>
  <si>
    <t>10.1183/13993003.congress-2022.2897</t>
  </si>
  <si>
    <t>WOS:000893392404141</t>
  </si>
  <si>
    <t>Verbruggen, B; Raymenants, J; Stakenborg, T; Paeps, F; Marchal, E; Uribe, AJ; Duthoo, W; Kossarev, A; Dam, T; El Jerrari, Y; Wiederkehr, RS; Luo, Z; Peca, M; Mcrea, L; Frederiks, AD; Yurt, A; Ongena, K; Hanifa, R; Van Duppen, J; El Mahmoudi, S; Humbert, M; Emmen, E; Jones, B; Taher, A; Lambrechts, A; André, E; Peumans, P</t>
  </si>
  <si>
    <t>Verbruggen, B.; Raymenants, J.; Stakenborg, T.; Paeps, F.; Marchal, E.; Uribe, A. Jauregui; Duthoo, W.; Kossarev, A.; Dam, T.; El Jerrari, Y.; Wiederkehr, R. Sergio; Luo, Z.; Peca, M.; Mcrea, L.; Frederiks, A. Darriba; Yurt, A.; Ongena, K.; Hanifa, R.; Van Duppen, J.; El Mahmoudi, S.; Humbert, M.; Emmen, E.; Jones, B.; Taher, A.; Lambrechts, A.; Andre, E.; Peumans, P.</t>
  </si>
  <si>
    <t>A fast point-of-care PCR test for infectious diseases, based on aerosol capturing</t>
  </si>
  <si>
    <t>Hanifa, Rizaldy/LVS-5916-2024; Wiederkehr, Rodrigo Sergio/L-3739-2013; Humbert, Marc/AAC-8459-2019</t>
  </si>
  <si>
    <t>Wiederkehr, Rodrigo Sergio/0000-0002-1383-2776; Humbert, Marc/0000-0003-0703-2892</t>
  </si>
  <si>
    <t>10.1183/13993003.congress-2022.4093</t>
  </si>
  <si>
    <t>WOS:000893392405491</t>
  </si>
  <si>
    <t>Rivière, A; Picard, C; Berastegui, C; Mora, VM; Bunel, V; Godinas, L; Salvaterra, E; Rossetti, V; Savale, L; Israel-Biet, D; Demant, X; Bermudez, J; Meloni, F; Jaksch, P; Magnusson, J; Beaumont, L; Perch, M; Mornex, JF; Knoop, C; Aubert, JD; Hervier, B; Nunes, H; Humbert, M; Gottlieb, J; Uzunhan, Y; Le Pavec, J</t>
  </si>
  <si>
    <t>Riviere, Amelie; Picard, Clement; Berastegui, Cristina; Mora, Victor Manuel; Bunel, Vincent; Godinas, Laurent; Salvaterra, Elena; Rossetti, Valeria; Savale, Laurent; Israel-Biet, Dominique; Demant, Xavier; Bermudez, Julien; Meloni, Federica; Jaksch, Peter; Magnusson, Jesper; Beaumont, Laurence; Perch, Michael; Mornex, Jean-Francois; Knoop, Christiane; Aubert, John-David; Hervier, Baptiste; Nunes, Hilario; Humbert, Marc; Gottlieb, Jens; Uzunhan, Yurdagul; Le Pavec, Jerome</t>
  </si>
  <si>
    <t>Lung transplantation for interstitial lung disease in idiopathic inflammatory myositis: A cohort study</t>
  </si>
  <si>
    <t>AMERICAN JOURNAL OF TRANSPLANTATION</t>
  </si>
  <si>
    <t>connective tissue disease; idiopathic inflammatory myopathy; interstitial lung disease; lung transplantation</t>
  </si>
  <si>
    <t>CLASSIFICATION; POLYMYOSITIS; SURVIVAL; ANTIBODY</t>
  </si>
  <si>
    <t>In patients with interstitial lung disease (ILD) complicating classical or amyopathic idiopathic inflammatory myopathy (IIM), lung transplantation outcomes might be affected by the disease and treatments. Here, our objective was to assess survival and prognostic factors in lung transplant recipients with IIM-ILD. We retrospectively reviewed data for 64 patients who underwent lung transplantation between 2009 and 2021 at 19 European centers. Patient survival was the primary outcome. At transplantation, the median age was 53 [46-59] years, 35 (55%) patients were male, 31 (48%) had classical IIM, 25 (39%) had rapidly progressive ILD, and 21 (33%) were in a high-priority transplant allocation program. Survival rates after 1, 3, and 5 years were 78%, 73%, and 70%, respectively. During follow-up (median, 33 [7-63] months), 23% of patients developed chronic lung allograft dysfunction. Compared to amyopathic IIM, classical IIM was characterized by longer disease duration, higher-intensity immunosuppression before transplantation, and significantly worse posttransplantation survival. Five (8%) patients had a clinical IIM relapse, with mild manifestations. No patient experienced ILD recurrence in the allograft. Posttransplantation survival in IIM-ILD was similar to that in international all-cause-transplantation registries. The main factor associated with worse survival was a history of muscle involvement (classical IIM). In lung transplant recipients with idiopathic inflammatory myopathy, survival was similar to that in all-cause transplantation and was worse in patients with muscle involvement compared to those with the amyopathic disease.</t>
  </si>
  <si>
    <t>[Riviere, Amelie; Nunes, Hilario; Uzunhan, Yurdagul] Univ Sorbonne Paris Nord, Hop Avicenne, AP HP, INSERM U1272,Serv Pneumol, Bobigny, France; [Picard, Clement; Beaumont, Laurence] Hop Foch, Serv Transplantat Pulm, Suresnes, France; [Picard, Clement; Beaumont, Laurence] Hop Foch, Ctr Competence Mucoviscidose, Suresnes, France; [Berastegui, Cristina] Hosp Univ Vall dHebron, Dept Resp Med, Lung Transplant Unit, Barcelona, Spain; [Mora, Victor Manuel] Hosp Marques de Valdecilla, Lung Transplant Unit, Dept Resp Med, Santander, Spain; [Bunel, Vincent] Hop Bichat Claude Bernard, AP HP, Serv Pneumol, Paris, France; [Godinas, Laurent] Univ Hosp Leuven, Dept Resp Dis, Leuven, Belgium; [Salvaterra, Elena] IRCCS Azienda Osped Univ Bologna, Intervent Pulmonol Unit, Bologna, Italy; [Rossetti, Valeria] Fdn IRCCS Ca Granda Osped Maggiore Policlin, Resp Unit, Milan, Italy; [Rossetti, Valeria] Fdn IRCCS Ca Granda Osped Maggiore Policlin, Adult Cyst Fibrosis Ctr, Milan, Italy; [Savale, Laurent; Humbert, Marc; Le Pavec, Jerome] Univ Paris Saclay, Univ Paris Sud, Fac Med, Pulmonol Dept, Le Kremlin Bicetre, France; [Savale, Laurent; Humbert, Marc; Le Pavec, Jerome] Univ ParisSud, Hop Marie Lannelongue, INSERM, UMR S 999, Le Plessis Robinson, France; [Savale, Laurent; Humbert, Marc] Hop Kremlin Bicetre, AP HP, Pulmonol Dept, Le Kremlin Bicetre, France; [Israel-Biet, Dominique] Paris Univ, Georges Pompidou European Hosp, Pulmonol Dept, Intens Care &amp; Bronchial Endoscopies, Paris, France; [Demant, Xavier] Bordeaux Univ, Haut Leveque Hosp, Dept Resp Med, Pessac, France; [Bermudez, Julien] Univ Aix Marseille, Ctr Hosp Univ Nord, AP HM, Serv Pneumol &amp; Equipe Transplantat Pulm, Marseille, France; [Meloni, Federica] IRCCS Policlin San Matteo Fdn, Transplant Ctr, Pavia, Italy; [Jaksch, Peter] Med Univ Vienna, Thorac Surg Dept, Vienna, Austria; [Magnusson, Jesper] Univ Gothenburg, Inst Med, Dept Internal Med Resp Med &amp; Allergol, Gothenburg, Sweden; [Perch, Michael] Copenhagen Univ Hosp, Rigshosp, Dept Cardiol, Lung Transplantat Unit, Copenhagen, Denmark; [Mornex, Jean-Francois] Univ Lyon, Pulmonol Dept, INRAE, EPHE,UMR754,IVPC, Lyon, France; [Mornex, Jean-Francois] Hosp Civils Lyon, Hop Louis Pradel, Pulmonol Dept, Ctr Reference Coordonnateur Malad Pulm Rares, Bron, France; [Knoop, Christiane] Erasme Univ, Dept Chest Med, Brussels Lung Transplant Program, Brussels, Belgium; [Aubert, John-David] Univ Lausanne, Lausanne Univ Hosp, Div Pulmonol, Lausanne, Switzerland; [Hervier, Baptiste] Univ Paris, Internal Med Dept, Hop St Louis, AP HP, Paris, France; [Gottlieb, Jens] Hannover Med Sch, Dept Resp Med, Hannover, Germany; [Le Pavec, Jerome] Hop Marie Lannelogue, Serv Pneumol &amp; Transplantat Pulm, Grp Hosp Paris St Joseph, Le Plessis Robinson, France</t>
  </si>
  <si>
    <t>Assistance Publique Hopitaux Paris (APHP); Hopital Universitaire Avicenne - APHP; Universite Paris 13; Institut National de la Sante et de la Recherche Medicale (Inserm); Hospital Foch; Hospital Foch; Hospital Universitari Vall d'Hebron; Hospital Universitario Marques de Valdecilla (HUMV); Assistance Publique Hopitaux Paris (APHP); Universite Paris Cite; Hopital Universitaire Bichat-Claude Bernard - APHP; KU Leuven; University Hospital Leuven; IRCCS Azienda Ospedaliero-Universitaria di Bologna; IRCCS Ca Granda Ospedale Maggiore Policlinico; IRCCS Ca Granda Ospedale Maggiore Policlinico; Universite Paris Saclay; Universite Paris Saclay; Institut National de la Sante et de la Recherche Medicale (Inserm); Hopital Marie Lannelongue; Assistance Publique Hopitaux Paris (APHP); Hopital Universitaire Bicetre - APHP; Universite Paris Saclay; Assistance Publique Hopitaux Paris (APHP); Universite Paris Cite; Hopital Universitaire Europeen Georges-Pompidou - APHP; CHU Bordeaux; Aix-Marseille Universite; Assistance Publique-Hopitaux de Marseille; IRCCS Fondazione San Matteo; Medical University of Vienna; University of Gothenburg; University of Copenhagen; Copenhagen University Hospital; Rigshospitalet; Universite PSL; Ecole Pratique des Hautes Etudes (EPHE); INRAE; CHU Lyon; Universite Libre de Bruxelles; University of Lausanne; Centre Hospitalier Universitaire Vaudois (CHUV); Universite Paris Cite; Assistance Publique Hopitaux Paris (APHP); Hopital Universitaire Saint-Louis - APHP; Hannover Medical School; Universite Paris Cite; Hopital Paris Saint-Joseph</t>
  </si>
  <si>
    <t>Le Pavec, J (corresponding author), Univ Paris Saclay, Univ Paris Sud, Fac Med, Pulmonol Dept, Le Kremlin Bicetre, France.</t>
  </si>
  <si>
    <t>Aubert, John/MCK-5649-2025; Rossetti, Valeria/AAC-7279-2022; BUNEL, Vincent/I-3078-2019; Nunes, Hilario/AAM-8127-2020; Gottlieb, Jens/AGG-9082-2022; Salvaterra, Elena/AAV-2804-2020; Mora-Cuesta, Víctor/KCJ-8088-2024; Magnusson, Jesper/AAI-8905-2021; Savale, Laurent/AAJ-9781-2020; Godinas, Laurette/AAS-1059-2021; Perch, Michael/H-9959-2019; Humbert, Marc/AAC-8459-2019; Uzunhan, Yurdagul/P-5437-2017</t>
  </si>
  <si>
    <t>Humbert, Marc/0000-0003-0703-2892; Uzunhan, Yurdagul/0000-0002-1607-1407; mornex, jean-francois/0000-0003-4096-6152; Gottlieb, Prof. Jens/0000-0002-9540-9022; Godinas, Laurent/0000-0003-2214-5879; perch, michael/0000-0001-9740-1246; Mora Cuesta, Victor Manuel/0000-0002-8161-0462; Nunes, Hilario/0000-0003-2896-7347; Magnusson, Jesper/0000-0002-5630-0155</t>
  </si>
  <si>
    <t>1600-6135</t>
  </si>
  <si>
    <t>1600-6143</t>
  </si>
  <si>
    <t>AM J TRANSPLANT</t>
  </si>
  <si>
    <t>Am. J. Transplant.</t>
  </si>
  <si>
    <t>10.1111/ajt.17177</t>
  </si>
  <si>
    <t>Surgery; Transplantation</t>
  </si>
  <si>
    <t>8L6GF</t>
  </si>
  <si>
    <t>WOS:000849580500001</t>
  </si>
  <si>
    <t>Flokstra-de Blok, B; Kocks, J; Wouters, H; Arling, C; Chatelier, J; Douglass, J; Heaney, LG; Holmes, J; Humbert, M; Kolanowski, M; Landsman, JJA; Lugogo, N; Malpass, A; Meijer, J; Metz, B; de Mul, B; Postma, F; Leving, M</t>
  </si>
  <si>
    <t>Flokstra-de Blok, Bertine; Kocks, Janwillem; Wouters, Hans; Arling, Chantal; Chatelier, Josh; Douglass, Jo; Heaney, Liam G.; Holmes, Joshua; Humbert, Marc; Kolanowski, Mary; Landsman, Jeanet J. A.; Lugogo, Njira; Malpass, Alice; Meijer, Jiska; Metz, Boyd; de Mul, Bibicha; Postma, Frank; Leving, Marika</t>
  </si>
  <si>
    <t>Perceptions on Home-Administration of Biologics in the Context of Severe Asthma: An International Qualitative Study</t>
  </si>
  <si>
    <t>JOURNAL OF ALLERGY AND CLINICAL IMMUNOLOGY-IN PRACTICE</t>
  </si>
  <si>
    <t>Severe asthma; Biologics; Biologicals; Self-administration; Home administration; Hospital administration; Qualitative study</t>
  </si>
  <si>
    <t>OMALIZUMAB; QUESTIONNAIRE; PREFERENCES</t>
  </si>
  <si>
    <t>BACKGROUND: Biologics are an effective therapy for severe asthma. Home administration of biologics by patients is likely to facilitate their accessibility. Yet little is known about patients' and health care providers' (HCPs) perceptions regarding home administration of biologics. OBJECTIVE: The aim of this study is to create more insight into the perceptions and experiences of patients and HCPs regarding home administration of biologics in the context of the treatment of severe asthma. METHODS: A qualitative international study was performed in the Netherlands, United States, Australia, and United Kingdom. In each country, 2 focus groups were held with potential/recent and long-term users of biologics at home. Prior to the focus groups, patients were prompted with themes on online forums. For triangulation purposes, interviews were held with HCPs to discuss salient findings from forums and focus groups. Data were analyzed with qualitative content analysis. RESULTS: In total, 75 patients participated in the forums, of which 40 participated in the focus groups. Furthermore, 12 HCPs were interviewed. The following overarching themes were identified: living with severe asthma; practical aspects of using biologics; the role of HCPs regarding biologics; social support from family, friends, and others; effectiveness of biologics and other treatments; side effects of biologics. CONCLUSIONS: This study showed that, for those using biologics for severe asthma, the benefits of home administration of biologics usually outweigh inconvenience and side effects. Guided practice, accessible support contact, and monitoring including social support should be central in the transition from hospital to home administration of asthma biologics. (C) 2022 The Authors. Published by Elsevier Inc. on behalf of the American Academy of Allergy, Asthma &amp; Immunology.</t>
  </si>
  <si>
    <t>[Flokstra-de Blok, Bertine; Kocks, Janwillem; Wouters, Hans; Arling, Chantal; Meijer, Jiska; Metz, Boyd; de Mul, Bibicha; Postma, Frank; Leving, Marika] Gen Practitioners Res Inst, Prof Enno Dirk Wiersmastr 5, NL-9713 GH Groningen, Netherlands; [Flokstra-de Blok, Bertine; Kocks, Janwillem] Univ Groningen, Univ Med Ctr Groningen, Groningen Res Inst Asthma &amp; COPD GRIAC, Groningen, Netherlands; [Flokstra-de Blok, Bertine] Univ Groningen, Univ Med Ctr Groningen, Beatrix Childrens Hosp, Dept Pediat Pulmonol &amp; Pediat Allergol, Groningen, Netherlands; [Kocks, Janwillem] Observat &amp; Pragmat Res Inst, Singapore, Singapore; [Kocks, Janwillem] Univ Groningen, Univ Med Ctr Groningen, Dept Pulmonol, Groningen, Netherlands; [Chatelier, Josh; Douglass, Jo] Univ Melbourne, Royal Melbourne Hosp, Dept Med, Parkville, Vic, Australia; [Heaney, Liam G.; Holmes, Joshua] Queens Univ, Wellcome Wolfson Ctr Expt Med, Belfast, Antrim, North Ireland; [Humbert, Marc] Univ Paris Saclay, Hop Bicetre, AP HP, Fac Med,INSERM UMR S 999,Dept Resp &amp; Intens Care, Le Kremlin Bicetre, France; [Kolanowski, Mary; Lugogo, Njira] Univ Michigan, Dept Internal Med, Div Pulm &amp; Crit Care Med, Ann Arbor, MI 48109 USA; [Landsman, Jeanet J. A.] Univ Groningen, Univ Med Ctr Groningen, Dept Hlth Sci, Groningen, Netherlands; [Malpass, Alice] Univ Bristol, Ctr Acad Primary Care CAPC, Bristol Med Sch, Bristol, Avon, England</t>
  </si>
  <si>
    <t>University of Groningen; University of Groningen; University of Groningen; University of Melbourne; Melbourne Health; Royal Melbourne Hospital; Queens University Belfast; Assistance Publique Hopitaux Paris (APHP); Hopital Universitaire Antoine-Beclere - APHP; Universite Paris Saclay; Institut National de la Sante et de la Recherche Medicale (Inserm); Hopital Universitaire Bicetre - APHP; University of Michigan System; University of Michigan; University of Groningen; University of Bristol</t>
  </si>
  <si>
    <t>Flokstra-de Blok, B (corresponding author), Gen Practitioners Res Inst, Prof Enno Dirk Wiersmastr 5, NL-9713 GH Groningen, Netherlands.</t>
  </si>
  <si>
    <t>bertine@gpri.nl</t>
  </si>
  <si>
    <t>Chatelier, Josh/GQI-2826-2022; malpass, alice/AAX-8110-2020; Humbert, Marc/AAC-8459-2019</t>
  </si>
  <si>
    <t>Heaney, Liam/0000-0002-9176-5564; Landsman, Jeanet/0000-0003-0115-5971; de Mul, Bibi/0000-0002-1005-2635; Humbert, Marc/0000-0003-0703-2892; Chatelier, Josh/0000-0003-0010-3467; Lugogo, Njira/0000-0002-0235-7105</t>
  </si>
  <si>
    <t>This investigator-initiated study was funded with an unrestricted grant by AstraZeneca, indicating no involvement in designing the study, nor the collection, analysis and interpretation of the data or writing the manuscript.</t>
  </si>
  <si>
    <t>2213-2198</t>
  </si>
  <si>
    <t>2213-2201</t>
  </si>
  <si>
    <t>J ALLER CL IMM-PRACT</t>
  </si>
  <si>
    <t>J. Allergy Clin. Immunol.-Pract.</t>
  </si>
  <si>
    <t>+</t>
  </si>
  <si>
    <t>10.1016/j.jaip.2022.04.015</t>
  </si>
  <si>
    <t>Allergy; Immunology</t>
  </si>
  <si>
    <t>6M4UC</t>
  </si>
  <si>
    <t>WOS:000888863200012</t>
  </si>
  <si>
    <t>Montani, D; Certain, MC; Weatherald, J; Jaïs, X; Bulifon, S; Noel-Savina, E; Nieves, A; Renard, S; Traclet, J; Bouvaist, H; Riou, M; de Groote, P; Moceri, P; Bertoletti, L; Favrolt, N; Guillaumot, A; Jutant, EM; Beurnier, A; Boucly, A; Ebstein, N; Jevnikar, M; Pichon, J; Keddache, S; Preda, M; Roche, A; Solinas, S; Seferian, A; Reynaud-Gaubert, M; Cottin, V; Savale, L; Humbert, M; Sitbon, O</t>
  </si>
  <si>
    <t>Montani, David; Certain, Marie-Caroline; Weatherald, Jason; Jais, Xavier; Bulifon, Sophie; Noel-Savina, Elise; Nieves, Ana; Renard, Sebastien; Traclet, Julie; Bouvaist, Helene; Riou, Marianne; de Groote, Pascal; Moceri, Pamela; Bertoletti, Laurent; Favrolt, Nicolas; Guillaumot, Anne; Jutant, Etienne-Marie; Beurnier, Antoine; Boucly, Athenais; Ebstein, Nathan; Jevnikar, Mitja; Pichon, Jeremie; Keddache, Sophia; Preda, Mariana; Roche, Anne; Solinas, Sabina; Seferian, Andrei; Reynaud-Gaubert, Martine; Cottin, Vincent; Savale, Laurent; Humbert, Marc; Sitbon, Olivier</t>
  </si>
  <si>
    <t>French PH Network PULMOTENSION Inv</t>
  </si>
  <si>
    <t>COVID-19 in Patients with Pulmonary Hypertension A National Prospective Cohort Study</t>
  </si>
  <si>
    <t>COVID-19; pulmonary hypertension; pulmonary arterial hypertension; outcomes</t>
  </si>
  <si>
    <t>Rationale: Severe acute respiratory syndrome coronavirus 2 (SARS-CoV-2) infection is associated with pulmonary endothelial dysfunction. There are limited data available on the outcomes of coronavirus disease (COVID-19) in patients with pulmonary hypertension (PH), a disease characterized by pulmonary endothelial dysfunction. Objectives: To describe characteristics and outcomes of patients with precapillary PH and COVID-19. Methods: We prospectively collected characteristics, management, and outcomes of adult patients with precapillary PH in the French PH network who had COVID-19 between February 1, 2020, and April 30, 2021. Clinical, functional, and hemodynamic characteristics of PH before COVID-19 were collected from the French PH registry. Measurements and Main Results: A total of 211 patients with PH (including 123 with pulmonary arterial hypertension, 47 with chronic thromboembolic PH, and 41 with other types of PH) experienced COVID-19, and 40.3% of them were outpatients, 32.2% were hospitalized in a conventional ward, and 27.5% were in an ICU. Among hospitalized patients (n = 126), 54.0% received corticosteroids, 37.3% high-flow oxygen, and 11.1% invasive ventilation. Right ventricular and acute renal failure occurred in 30.2% and 19.8% of patients, respectively. Fifty-two patients (all hospitalized) died from COVID-19. Overall mortality was 24.6% (95% CI [confidence interval], 18.8-30.5) and in-hospital mortality 41.3% (95% CI, 32.7-49.9). Nonsurvivors were significantly older, more frequently male and suffering comorbidities (diabetes, chronic respiratory diseases, systemic hypertension, chronic cardiac diseases, and/or chronic renal failure), and had more severe PH at their most recent evaluation preceding COVID-19 diagnosis (in terms of functional class and 6-minute-walk distance; all P, 0.05). Use of pulmonary arterial hypertension therapy was similar between survivors and nonsurvivors. Conclusions: COVID-19 in patients with precapillary PH was associated with a high in-hospital mortality. The typical risk factors for severe COVID-19 and severity of PH were associated with mortality in this population.</t>
  </si>
  <si>
    <t>[Montani, David; Certain, Marie-Caroline; Jais, Xavier; Bulifon, Sophie; Beurnier, Antoine; Boucly, Athenais; Ebstein, Nathan; Jevnikar, Mitja; Pichon, Jeremie; Keddache, Sophia; Preda, Mariana; Roche, Anne; Solinas, Sabina; Seferian, Andrei; Savale, Laurent; Humbert, Marc; Sitbon, Olivier] Univ Paris Saclay, Fac Med, Le Kremlin Bicetre, France; [Montani, David; Certain, Marie-Caroline; Jais, Xavier; Bulifon, Sophie; Beurnier, Antoine; Boucly, Athenais; Ebstein, Nathan; Jevnikar, Mitja; Pichon, Jeremie; Keddache, Sophia; Preda, Mariana; Roche, Anne; Solinas, Sabina; Seferian, Andrei; Savale, Laurent; Humbert, Marc; Sitbon, Olivier] Hop Marie Lannelongue, Inst Natl Sante &amp; Rech Med, Unite Mixte Rech S 999, Le Plessis Robinson, France; [Montani, David; Certain, Marie-Caroline; Jais, Xavier; Bulifon, Sophie; Boucly, Athenais; Ebstein, Nathan; Jevnikar, Mitja; Pichon, Jeremie; Keddache, Sophia; Preda, Mariana; Roche, Anne; Solinas, Sabina; Seferian, Andrei; Savale, Laurent; Humbert, Marc; Sitbon, Olivier] Pulm Hypertens Natl Referral Ctr, Dept Resp &amp; Intens Care Med, Le Kremlin Bicetre, France; [Beurnier, Antoine] Hop Bicetre, Assistance Publ Hop Paris, Dept Physiol Pulm Funct Testing, Dept Med,Univ Thorinno 5, Le Kremlin Bicetre, France; [Weatherald, Jason] Univ Calgary, Dept Med, Div Respirol, Calgary, AB, Canada; [Weatherald, Jason] Univ Alberta, Dept Med, Div Pulm Med, Edmonton, AB, Canada; [Noel-Savina, Elise] Hop Larrey, Serv Pneumol, Toulouse, France; [Nieves, Ana; Reynaud-Gaubert, Martine] Ctr Hosp Univ Nord, Assistance Publ Hop Marseille, Serv Pneumol, Marseille, France; [Renard, Sebastien] Hop La Timone, Serv Cardiol, Ctr Reg Competences Hypertens Pulm, Marseille, France; [Traclet, Julie; Cottin, Vincent] Univ Lyon 1, Hosp Civils Lyon, Ctr Reference Malad Pulm Rares, Ctr Competences Hypertens Pulm,Hop Louis Pradel, Lyon, France; [Bouvaist, Helene] Hop Univ Grenoble Alpes, Serv Cardiol, Grenoble, France; [Riou, Marianne] Nouvel Hop Civil, Dept Pneumol, Strasbourg, France; [de Groote, Pascal] Hop Cardiol Lille, Ctr Competences Hypertens Pulm, Lille, France; [Moceri, Pamela] Univ Cote dAzur, Unite Rech Clin Cote dAzur, Serv Cardiol, Ctr Hosp Univ Nice, Nice, France; [Bertoletti, Laurent] Univ Jean Monnet, Serv Med Vasc &amp; Therapeut, Inst Natl Sante &amp; Rech Med, Unite 1059, St Etienne, France; [Bertoletti, Laurent] Univ Jean Monnet, Ctr Invest Clin 1408, Ctr Hosp Univ St Etienne, St Etienne, France; [Favrolt, Nicolas] Ctr Hosp Univ Dijon, Serv Pneumol &amp; Soins Intensifs Resp, Dijon, France; [Guillaumot, Anne] Univ Lorraine, Ctr Hosp Univ Nancy, Pole Specialites Med, Dept Pneumol, Vandoeuvre Les Nancy, France; [Jutant, Etienne-Marie] Univ Poitiers, Ctr Hosp Univ Poitiers, Serv Pneumol, Inst Natl Sante &amp; Rech Med,Ctr Invest Clin 1402, Poitiers, France</t>
  </si>
  <si>
    <t>Universite Paris Saclay; Hopital Marie Lannelongue; Institut National de la Sante et de la Recherche Medicale (Inserm); Assistance Publique Hopitaux Paris (APHP); Hopital Universitaire Bicetre - APHP; Hopital Universitaire Antoine-Beclere - APHP; Universite Paris Cite; Hopital Universitaire Saint-Louis - APHP; Universite Paris Saclay; University of Calgary; University of Alberta; CHU de Toulouse; Aix-Marseille Universite; Assistance Publique-Hopitaux de Marseille; Aix-Marseille Universite; Assistance Publique-Hopitaux de Marseille; CHU Lyon; Universite Claude Bernard Lyon 1; CHU Grenoble Alpes; Communaute Universite Grenoble Alpes; Universite Grenoble Alpes (UGA); Universite de Lille; CHU Lille; CHU Nice; Universite Cote d'Azur; Institut National de la Sante et de la Recherche Medicale (Inserm); CHU de St Etienne; Institut National de la Sante et de la Recherche Medicale (Inserm); CHU Dijon Bourgogne; Universite de Lorraine; CHU de Nancy; CHU Poitiers; Institut National de la Sante et de la Recherche Medicale (Inserm); Universite de Poitiers</t>
  </si>
  <si>
    <t>Montani, D (corresponding author), Dept Resp &amp; Intens Care Med, 78 Rue Gen Leclerc, F-94270 Le Kremlin Bicetre, France.</t>
  </si>
  <si>
    <t>DE GROOTE, Pascal/LLL-9444-2024; Savale, Laurent/AAJ-9781-2020; David, Montani/I-6885-2019; Moceri, Pamela/D-3053-2014; Bertoletti, Laurent/X-1319-2019; Humbert, Marc/AAC-8459-2019</t>
  </si>
  <si>
    <t>BERTOLETTI, Laurent/0000-0001-8214-3010; Jutant, Etienne-Marie/0000-0002-1374-1890; Humbert, Marc/0000-0003-0703-2892; Montani, David/0000-0002-9358-6922; de Groote, Pascal/0000-0002-6211-0147</t>
  </si>
  <si>
    <t>10.1164/rccm.202112-2761OC</t>
  </si>
  <si>
    <t>4J6UA</t>
  </si>
  <si>
    <t>WOS:000851399800013</t>
  </si>
  <si>
    <t>Humbert, M; Kovacs, G; Hoeper, MM; Badagliacca, R; Berger, RMF; Brida, M; Carlsen, J; Coats, AJS; Escribano-Subias, P; Ferrari, P; Ferreira, DS; Ghofrani, HA; Giannakoulas, G; Kiely, DG; Mayer, E; Meszaros, G; Nagavci, B; Olsson, KM; Pepke-Zaba, J; Quint, JK; Rådegran, G; Simonneau, G; Sitbon, O; Tonia, T; Toshner, M; Vachiery, JL; Noordegraaf, AV; Delcroix, M; Rosenkranz, S; Schwerzmann, M; Dinh-Xuan, AT; Bush, A; Abdelhamid, M; Aboyans, V; Arbustini, E; Asteggiano, R; Barberà, JA; Beghetti, M; Cikes, M; Condliffe, R; de Man, F; Falk, V; Fauchier, L; Gaine, S; Galié, N; Gin-Sing, W; Granton, J; Grünig, E; Hassoun, PM; Hellemons, M; Jaarsma, T; Kjellström, B; Klok, FA; Konradi, A; Koskinas, KC; Kotecha, D; Lang, I; Lewis, BS; Linhart, A; Lip, GYH; Lochen, ML; Mathioudakis, AG; Mindham, R; Moledina, S; Naeije, R; Nielsen, JC; Olschewski, H; Opitz, I; Petersen, SE; Prescott, E; Rakisheva, A; Reis, A; Ristic, AD; Roche, N; Rodrigues, R; Selton-Suty, C; Souza, R; Swift, AJ; Touyz, RM; Ulrich, S; Wilkins, MR; Wort, SJ</t>
  </si>
  <si>
    <t>Humbert, Marc; Kovacs, Gabor; Hoeper, Marius M.; Badagliacca, Roberto; Berger, Rolf M. F.; Brida, Margarita; Carlsen, Jorn; Coats, Andrew J. S.; Escribano-Subias, Pilar; Ferrari, Pisana; Ferreira, Diogenes S.; Ghofrani, Hossein Ardeschir; Giannakoulas, George; Kiely, David G.; Mayer, Eckhard; Meszaros, Gergely; Nagavci, Blin; Olsson, Karen M.; Pepke-Zaba, Joanna; Quint, Jennifer K.; Radegran, Goran; Simonneau, Gerald; Sitbon, Olivier; Tonia, Thomy; Toshner, Mark; Vachiery, Jean-Luc; Noordegraaf, Anton Vonk; Delcroix, Marion; Rosenkranz, Stephan; Schwerzmann, Markus; Anh-Tuan Dinh-Xuan; Bush, Andy; Abdelhamid, Magdy; Aboyans, Victor; Arbustini, Eloisa; Asteggiano, Riccardo; Barbera, Joan-Albert; Beghetti, Maurice; Cikes, Maja; Condliffe, Robin; de Man, Frances; Falk, Volkmar; Fauchier, Laurent; Gaine, Sean; Galie, Nazzareno; Gin-Sing, Wendy; Granton, John; Grunig, Ekkehard; Hassoun, Paul M.; Hellemons, Merel; Jaarsma, Tiny; Kjellstrom, Barbro; Klok, Frederikus A.; Konradi, Aleksandra; Koskinas, Konstantinos C.; Kotecha, Dipak; Lang, Irene; Lewis, Basil S.; Linhart, Ales; Lip, Gregory Y. H.; Lochen, Maja-Lisa; Mathioudakis, Alexander G.; Mindham, Richard; Moledina, Shahin; Naeije, Robert; Nielsen, Jens Cosedis; Olschewski, Horst; Opitz, Isabelle; Petersen, Steffen E.; Prescott, Eva; Rakisheva, Amina; Reis, Abilio; Ristic, Arsen D.; Roche, Nicolas; Rodrigues, Rita; Selton-Suty, Christine; Souza, Rogerio; Swift, Andrew J.; Touyz, Rhian M.; Ulrich, Silvia; Wilkins, Martin R.; Wort, Stephen John</t>
  </si>
  <si>
    <t>European Soc Cardiology; European Resp Soc; Int Soc Heart Lung Transplantat; European Reference Network Rare Re</t>
  </si>
  <si>
    <t>2022 ESC/ERS Guidelines for the diagnosis and treatment of pulmonary hypertension Developed by the task force for the diagnosis and treatment of pulmonary hypertension of the European Society of Cardiology (ESC) and the European Respiratory Society (ERS). Endorsed by the International Society for Heart and Lung Transplantation (ISHLT) and the European Reference Network on rare respiratory diseases (ERN-LUNG)</t>
  </si>
  <si>
    <t>Guidelines; Pulmonary hypertension; Pulmonary arterial hypertension; Chronic thrombo-embolic pulmonary hypertension; Left heart disease; Congenital heart disease; Lung disease; Connective tissue disease; Endothelin receptor antagonists; Phosphodiesterase type 5 inhibitors; Soluble guanylate cyclase stimulators; Prostacyclin analogues; Prostacyclin receptor agonists; Pulmonary endarterectomy; Balloon pulmonary angioplasty; Lung transplantation</t>
  </si>
  <si>
    <t>QUALITY-OF-LIFE; PRESERVED EJECTION FRACTION; ENDOTHELIN-RECEPTOR ANTAGONIST; CONTINUOUS INTRAVENOUS EPOPROSTENOL; CALCIUM-CHANNEL BLOCKERS; LONG-TERM OUTCOMES; RIGHT-VENTRICULAR DYSFUNCTION; EOSINOPHILIA-MYALGIA-SYNDROME; AFFAIRS CLINICAL-ASSESSMENT; IMPROVES EXERCISE CAPACITY</t>
  </si>
  <si>
    <t>[Rosenkranz, Stephan] Univ Hosp Cologne, CCRC Heart Ctr, Clin Internal Med 3, Dept Cardiol Pulmonol &amp; Intens Care Med, Kerpener Str 62, D-50937 Cologne, Germany; [Rosenkranz, Stephan] Univ Hosp Cologne, Heart Ctr, Cologne Cardiovasc Res Ctr CCRC, Kerpener Str 62, D-50937 Cologne, Germany; [Delcroix, Marion] Univ Hosp Leuven, Ctr Pulm Vasc Dis, Clin Dept Resp Dis, Herestr 49, B-3000 Leuven, Belgium; [Humbert, Marc; Simonneau, Gerald; Sitbon, Olivier] Univ Paris Saclay, Fac Med, Le Kremlin Bicetre, France; [Humbert, Marc; Sitbon, Olivier] Hosp Bicetre, Assistance Publ Hop Paris, Ctr Reference Hypertens Pulm, Serv Pneumol &amp; Soins Intensifs Resp, Le Kremlin Bicetre, France; [Humbert, Marc; Sitbon, Olivier] Hosp Marie Lannelongue, INSERM UMR S 999, Le Plessis Robinson, France; [Kovacs, Gabor] Med Univ Graz, Univ Clin Internal Med, Div Pulmonol, Graz, Austria; [Kovacs, Gabor] Ludwig Boltzmann Inst Lung Vasc Res, Graz, Austria; [Hoeper, Marius M.] Hannover Med Sch, Resp Med, Hannover, Germany; [Hoeper, Marius M.] German Ctr Lung Res DZL, Biomed Res End Stage &amp; Obstruct Lung Dis BREATH, Hannover, Germany; [Badagliacca, Roberto] Sapienza Univ Roma, Dipartimento Sci Clin Internist Anestesiol &amp; Card, Rome, Italy; [Badagliacca, Roberto] Policlin Umberto 1, Dipartimento Cardiotoracovasc &amp; Chirurg Trapianti, Rome, Italy; [Berger, Rolf M. F.] Univ Groningen, Univ Med Ctr Groningen, Beatrix Childrens Hosp, Ctr Congenital Heart Dis,Dept Paediat Cardiol, Groningen, Netherlands; [Brida, Margarita] Med Fac Univ Rijeka, Dept Sports &amp; Rehabil Med, Rijeka, Croatia; [Brida, Margarita] Guys &amp; St Thomass NHS Trust, Adult Congenital Heart Ctr, Royal Brompton &amp; Harefield Hosp, London, England; [Brida, Margarita] Guys &amp; St Thomass NHS Trust, Natl Ctr Pulm Hypertens, Royal Brompton &amp; Harefield Hosp, London, England; [Carlsen, Jorn] Copenhagen Univ Hosp, Rigshosp, Dept Cardiol, Copenhagen, Denmark; [Carlsen, Jorn] Univ Copenhagen, Dept Clin Med, Fac Hlth &amp; Med Sci, Copenhagen, Denmark; [Coats, Andrew J. S.] Univ Warwick, Fac Med, Coventry, W Midlands, England; [Coats, Andrew J. S.] Monash Univ Melbourne, Fac Med, Melbourne, Vic, Australia; [Escribano-Subias, Pilar] Hosp Univ 12 Octubre, Cardiol Dept, Pulm Hypertens Unit, Madrid, Spain; [Escribano-Subias, Pilar] Inst Salud Carlos III, CIBER CV Ctr Invest Biomed Red Enfermedades Cardi, Madrid, Spain; [Escribano-Subias, Pilar] Univ Complutense, Fac Med, Madrid, Spain; [Ferrari, Pisana; Meszaros, Gergely] ESC Patient Forum, Sophia Antipolis, France; [Ferrari, Pisana] Assoc Italiana Ipertens Polmonare, AIPI, Bologna, Italy; [Ferreira, Diogenes S.] Univ Fed Parana, Hosp Clin, Alergia &amp; Imunol, Curitiba, Parana, Brazil; [Ghofrani, Hossein Ardeschir] Justus Liebig Univ, Univ Hosp Giessen, Dept Internal Med, Giessen, Germany; [Ghofrani, Hossein Ardeschir] Kerckhoff Klin, Dept Pneumol, Bad Nauheim, Germany; [Giannakoulas, George] Aristotle Univ Thessaloniki, AHEPA Univ Hosp, Cardiol Dept, Thessaloniki, Greece; [Kiely, David G.] Univ Sheffield, Dept Infect Immun &amp; Cardiovasc Dis, Sheffield, S Yorkshire, England; [Kiely, David G.] Sheffield Teaching Hosp NHS Fdn Trust, Sheffield Pulm Vasc Dis Unit, Sheffield, S Yorkshire, England; [Kiely, David G.] Univ Sheffield, Insigneo Inst, Sheffield, S Yorkshire, England; [Mayer, Eckhard] Kerckhoff Clin, Thorac Surg, Bad Nauheim, Germany; [Meszaros, Gergely] European Lung Fdn ELF, Sheffield, S Yorkshire, England; [Nagavci, Blin] Univ Freiburg, Fac Med, Inst Evidence Med, Freiburg, Germany; [Nagavci, Blin] Univ Freiburg, Med Ctr, Freiburg, Germany; [Olsson, Karen M.] Hannover Med Sch, Clin Resp Med, German Ctr Lung Res DZL, Hannover, Germany; [Pepke-Zaba, Joanna] Royal Papworth Hosp, Pulm Vasc Dis Unit, Cambridge, England; [Quint, Jennifer K.] Imperial Coll London, NHLI, London, England; [Radegran, Goran] Fac Med, Dept Cardiol, Clin Sci Lund, Lund, Sweden; [Radegran, Goran] Skane Univ Hosp, VO Heart &amp; Lung Med, Sect Heart Failure &amp; Valvular Dis, Haemodynam Lab, Lund, Sweden; [Simonneau, Gerald] Hop Marie Lannelongue, Ctr Reference Hypertens Pulm, Le Plessis Robinson, France; [Tonia, Thomy] Univ Bern, Inst Social &amp; Prevent Med, Bern, Switzerland; [Toshner, Mark] Univ Cambridge, Heart Lung Res Inst, Dept Med, Cambridge, England; [Toshner, Mark] Royal Papworth NHS Trust, Cambridge, England; [Vachiery, Jean-Luc] HUB Hosp Erasme, Dept Cardiol, Pulm Vasc Dis &amp; Heart Failure Clin, Brussels, Belgium; [Noordegraaf, Anton Vonk] Amsterdam UMC, Pulmonol, Amsterdam, Netherlands</t>
  </si>
  <si>
    <t>University of Cologne; University of Cologne; KU Leuven; University Hospital Leuven; Universite Paris Saclay; Assistance Publique Hopitaux Paris (APHP); Hopital Universitaire Bicetre - APHP; Universite Paris Cite; Hopital Universitaire Saint-Louis - APHP; Institut National de la Sante et de la Recherche Medicale (Inserm); Hopital Marie Lannelongue; Universite Paris Saclay; Medical University of Graz; Ludwig Boltzmann Institute; Ludwig Boltzmann Institute for Lung Vascular Research; Hannover Medical School; Sapienza University Rome; Sapienza University Rome; University Hospital Sapienza Rome; University of Groningen; Royal Brompton Hospital; Royal Brompton &amp; Harefield NHS Foundation Trust; Harefield Hospital; Royal Brompton &amp; Harefield NHS Foundation Trust; Harefield Hospital; Royal Brompton Hospital; Rigshospitalet; University of Copenhagen; Copenhagen University Hospital; University of Copenhagen; University of Warwick; Monash University; Hospital Universitario 12 de Octubre; Instituto de Salud Carlos III; Complutense University of Madrid; Universidade Federal do Parana; Justus Liebig University Giessen; University Hospital of Giessen &amp; Marburg; Kerckhoff Clinic; Aristotle University of Thessaloniki; Ahepa University Hospital; University of Sheffield; University of Sheffield; University of Sheffield; Kerckhoff Clinic; University of Freiburg; University of Freiburg; Hannover Medical School; Papworth Hospital; Imperial College London; Lund University; Skane University Hospital; Hopital Marie Lannelongue; University of Bern; University of Cambridge; University of Amsterdam</t>
  </si>
  <si>
    <t>Rosenkranz, S (corresponding author), Univ Hosp Cologne, CCRC Heart Ctr, Clin Internal Med 3, Dept Cardiol Pulmonol &amp; Intens Care Med, Kerpener Str 62, D-50937 Cologne, Germany.;Rosenkranz, S (corresponding author), Univ Hosp Cologne, Heart Ctr, Cologne Cardiovasc Res Ctr CCRC, Kerpener Str 62, D-50937 Cologne, Germany.;Delcroix, M (corresponding author), Univ Hosp Leuven, Ctr Pulm Vasc Dis, Clin Dept Resp Dis, Herestr 49, B-3000 Leuven, Belgium.</t>
  </si>
  <si>
    <t>Koskinas, Konstantinos/IUQ-1965-2023; Hellemons, Merel/ABD-1657-2021; Lip, Gregory/AEO-0575-2022; Beghetti, Maurice/HNP-1055-2023; Klok, Erik/JDC-5567-2023; Touyz, Rhian/AAM-3564-2020; Coats, Andrew/E-4451-2012; Arbustini, Eloisa/K-8174-2016; Abdelhamid, Magdy/I-4816-2019; Swift, Andy/GYU-3283-2022; Schwerzmann, Markus/AAD-9368-2022; Asteggiano, Riccardo/ABF-4418-2020; Njolstad, Inger/X-3784-2019; moledina, shahin/A-6466-2009; Giannakoulas, George/AAJ-5172-2020; Nagavci, Blin/AAW-7370-2020; Brida, Margarita/HDM-7572-2022; Pepke-Zaba, Joanna/AGW-3073-2022; Reis, Ana Claudia/N-3124-2016; quint, jennifer/ABE-3384-2020; Mathioudakis, Alexander/I-2733-2019; Rakisheva, Amina/ABR-1263-2022; Escribano, Pilar/R-5273-2017; Ferreira, Diogenes/AAB-2486-2020; Ghofrani, Hossein/LPQ-1427-2024; delcroix, marion/AAE-2712-2022; Kotecha, Dipak/Q-2827-2016; Roche, Nicolas/AAE-9206-2021; Vachiery, Jean-Luc/ABC-6631-2021; SELTON-SUTY, CHRISTINE/ACT-3258-2022; Souza, Rogerio/I-3584-2013; Hoeper, Marius/Z-1546-2019; Petersen, Steffen/A-8389-2011; Konradi, Alexandra/P-1547-2014; Humbert, Marc/AAC-8459-2019; Dinh-Xuan, Anh Tuan/A-9691-2008; Sirenko, Yuriy/C-8012-2019</t>
  </si>
  <si>
    <t>Hoeper, Marius/0000-0001-9086-2293; delcroix, marion/0000-0001-8394-9809; Abdelhamid, Magdy/0000-0002-6701-7072; Rudzitis, Ainars/0000-0001-5984-1291; Petersen, Steffen/0000-0003-4622-5160; Konradi, Alexandra/0000-0001-8169-7812; Humbert, Marc/0000-0003-0703-2892; Dinh-Xuan, Anh Tuan/0000-0001-8651-5176; Selton-Suty, Christine/0000-0003-4129-5784; roche, nicolas/0000-0002-3162-5033; Sirenko, Yuriy/0000-0002-4091-4910</t>
  </si>
  <si>
    <t>OCT 11</t>
  </si>
  <si>
    <t>10.1093/eurheartj/ehac237</t>
  </si>
  <si>
    <t>AUG 2022</t>
  </si>
  <si>
    <t>5F2RM</t>
  </si>
  <si>
    <t>Green Submitted, Green Published</t>
  </si>
  <si>
    <t>WOS:000849694200001</t>
  </si>
  <si>
    <t>Lyon, AR; López-Fernández, T; Couch, LS; Asteggiano, R; Aznar, MC; Bergler-Klein, J; Boriani, G; Cardinale, D; Cordoba, R; Cosyns, B; Cutter, DJ; de Azambuja, E; de Boer, RA; Dent, SF; Farmakis, D; Gevaert, SA; Gorog, DA; Herrmann, J; Lenihan, D; Moslehi, J; Moura, B; Salinger, SS; Stephens, R; Suter, TM; Szmit, S; Tamargo, J; Thavendiranathan, P; Tocchetti, CG; van der Meer, P; van der Pal, HJH; Lancellotti, P; Thuny, F; Abdelhamid, M; Aboyans, V; Aleman, B; Alexandre, J; Barac, A; Borger, MA; Casado-Arroyo, R; Cautela, J; Celutkiene, J; Cikes, M; Cohen-Solal, A; Dhiman, K; Ederhy, S; Edvardsen, T; Fauchier, L; Fradley, M; Grapsa, J; Halvorsen, S; Heuser, M; Humbert, M; Jaarsma, T; Kahan, T; Konradi, A; Koskinas, KC; Kotecha, D; Ky, B; Landmesser, U; Lewis, BS; Linhart, A; Lip, GYH; Lochen, ML; Malaczynska-Rajpold, K; Metra, M; Mindham, R; Moonen, M; Neilan, TG; Nielsen, JC; Petronio, AS; Prescott, E; Rakisheva, A; Salem, JE; Savarese, G; Sitges, M; ten Berg, J; Touyz, RM; Tycinska, A; Wilhelm, M; Zamorano, JL; Laredj, N; Zelveian, P; Rainer, PP; Samadov, F; Andrushchuk, U; Gerber, BL; Selimovic, M; Kinova, E; Samardzic, J; Economides, E; Pudil, R; Nielsen, KM; Kafafy, TA; Vettus, R; Tuohinen, S; Ederhy, S; Pagava, Z; Rassaf, T; Briasoulis, A; Czuriga, D; Andersen, KK; Smyth, Y; Iakobishvili, Z; Parrini, I; Rakisheva, A; Pruthi, EP; Mirrakhimov, E; Kalejs, O; Skouri, H; Benlamin, H; Zaliaduonyte, D; Iovino, A; Moore, AM; Bursacovschi, D; Benyass, A; Manintveld, O; Bosevski, M; Gulati, G; Leszek, P; Fiuza, M; Jurcut, R; Vasyuk, Y; Foscoli, M; Simic, D; Slanina, M; Lipar, L; Martin-Garcia, A; Hübbert, L; Kurmann, R; Alayed, A; Abid, L; Zorkun, C; Nesukay, E; Manisty, C; Srojidinova, N</t>
  </si>
  <si>
    <t>Lyon, Alexander R.; Lopez-Fernandez, Teresa; Couch, Liam S.; Asteggiano, Riccardo; Aznar, Marianne C.; Bergler-Klein, Jutta; Boriani, Giuseppe; Cardinale, Daniela; Cordoba, Raul; Cosyns, Bernard; Cutter, David J.; de Azambuja, Evandro; de Boer, Rudolf A.; Dent, Susan F.; Farmakis, Dimitrios; Gevaert, Sofie A.; Gorog, Diana A.; Herrmann, Joerg; Lenihan, Daniel; Moslehi, Javid; Moura, Brenda; Salinger, Sonja S.; Stephens, Richard; Suter, Thomas M.; Szmit, Sebastian; Tamargo, Juan; Thavendiranathan, Paaladinesh; Tocchetti, Carlo G.; van der Meer, Peter; van der Pal, Helena J. H.; Lancellotti, Patrizio; Thuny, Franck; Abdelhamid, Magdy; Aboyans, Victor; Aleman, Berthe; Alexandre, Joachim; Barac, Ana; Borger, Michael A.; Casado-Arroyo, Ruben; Cautela, Jennifer; Celutkiene, Jolanta; Cikes, Maja; Cohen-Solal, Alain; Dhiman, Kreena; Ederhy, Stephane; Edvardsen, Thor; Fauchier, Laurent; Fradley, Michael; Grapsa, Julia; Halvorsen, Sigrun; Heuser, Michael; Humbert, Marc; Jaarsma, Tiny; Kahan, Thomas; Konradi, Aleksandra; Koskinas, Konstantinos C.; Kotecha, Dipak; Ky, Bonnie; Landmesser, Ulf; Lewis, Basil S.; Linhart, Ales; Lip, Gregory Y. H.; Lochen, Maja Lisa; Malaczynska-Rajpold, Katarzyna; Metra, Marco; Mindham, Richard; Moonen, Marie; Neilan, Tomas G.; Nielsen, Jens Cosedis; Petronio, Anna Sonia; Prescott, Eva; Rakisheva, Amina; Salem, Joe Elie; Savarese, Gianluigi; Sitges, Marta; ten Berg, Jurrien; Touyz, Rhian M.; Tycinska, Agnieszka; Wilhelm, Matthias; Zamorano, Jose Luis; Laredj, Nadia; Zelveian, Parounak; Rainer, Peter P.; Samadov, Fuad; Andrushchuk, Uladzimir; Gerber, Bernhard L.; Selimovic, Mirsad; Kinova, Elena; Samardzic, Jure; Economides, Evagoras; Pudil, Radek; Nielsen, Kirsten M.; Kafafy, Tarek A.; Vettus, Riina; Tuohinen, Suvi; Ederhy, Stephane; Pagava, Zurab; Rassaf, Tienush; Briasoulis, Alexandros; Czuriga, Daniel; Andersen, Karl K.; Smyth, Yvonne; Iakobishvili, Zaza; Parrini, Iris; Rakisheva, Amina; Pruthi, Edita Pllana; Mirrakhimov, Erkin; Kalejs, Oskars; Skouri, Hadi; Benlamin, Hisham; Zaliaduonyte, Diana; Iovino, Alessandra; Moore, Alice M.; Bursacovschi, Daniela; Benyass, Aatif; Manintveld, Olivier; Bosevski, Marijan; Gulati, Geeta; Leszek, Przemyslaw; Fiuza, Manuela; Jurcut, Ruxandra; Vasyuk, Yury; Foscoli, Marina; Simic, Dragan; Slanina, Miroslav; Lipar, Luka; Martin-Garcia, Ana; Huebbert, Laila; Kurmann, Reto; Alayed, Ahmad; Abid, Leila; Zorkun, Cafer; Nesukay, Elena; Manisty, Charlotte; Srojidinova, Nigora</t>
  </si>
  <si>
    <t>ESC Sci Document Grp; ESC Natl Cardiac Societies</t>
  </si>
  <si>
    <t>2022 ESC Guidelines on cardio-oncology developed in collaboration with the European Hematology Association (EHA), the European Society for Therapeutic Radiology and Oncology (ESTRO) and the International Cardio-Oncology Society (IC-OS) Developed by the task force on cardio-oncology of the European Society of Cardiology (ESC)</t>
  </si>
  <si>
    <t>Guidelines; Androgen deprivation therapy; Anthracycline; Atrial fibrillation; Arrhythmias; Biomarkers; Cancer; Cancer survivors; Carcinoid syndrome; Amyloid light-chain cardiac amyloidosis; Cardiac magnetic resonance; Cardiac tumour; Cardio-oncology; Cardiotoxicity; Coronary artery disease; Chemotherapy; Echocardiography; Fluoropyrimidine; Heart failure; Haematopoietic stem cell transplantation; Hormone therapy; Hypertension; Immunotherapy; Ischaemic heart disease; Myocarditis; Pericardial disease; Pulmonary hypertension; Thrombosis; Risk stratification; Trastuzumab; Valvular heart disease; Vascular endothelial growth factor inhibitors (VEGFi); Venous thromboembolism; Pericardial disease; Proteasome inhibitors; QTc prolongation; Radiotherapy; Strain</t>
  </si>
  <si>
    <t>IMMUNE CHECKPOINT INHIBITORS; BRAIN NATRIURETIC PEPTIDE; CARCINOID HEART-DISEASE; CORONARY-ARTERY-DISEASE; EARLY BREAST-CANCER; CARDIOVASCULAR MAGNETIC-RESONANCE; RECURRENT VENOUS THROMBOEMBOLISM; TYROSINE KINASE INHIBITOR; MOLECULAR-WEIGHT HEPARIN; AORTIC-VALVE-REPLACEMENT</t>
  </si>
  <si>
    <t>[Couch, Liam S.] Kings Coll London, Kings Coll London BHF Ctr, Rayne Inst, St Thomas Hosp, London, England; [Asteggiano, Riccardo] LARC Lab Analisi Ric Clin, Cardiol, Turin, Italy; [Asteggiano, Riccardo] Insubria Univ, Sch Med, Varese, Italy; [Aznar, Marianne C.] Univ Manchester, Div Canc Sci, Fac Biol Med &amp; Hlth, Manchester, Lancs, England; [Bergler-Klein, Jutta] Med Univ Vienna, Dept Cardiol, Vienna, Austria; [Boriani, Giuseppe] Univ Modena &amp; Reggio Emilia, Div Cardiol, Dept Biomed, Policlin Modena, Modena, Italy; [Cardinale, Daniela] European Inst Oncol IRCCS, Cardioncol Unit, Milan, Italy; [Cordoba, Raul] Fdn Jimenez Diaz Univ Hosp, Dept Hematol, Madrid, Spain; [Cordoba, Raul] Hlth Res Inst IIS FJD, Canc Res Grp, Madrid, Spain; [Cosyns, Bernard] Univ Ziekenhuis Brussel UZB, Cent Hart Vaatziekten CHVZ, Cardiol, Brussels, Belgium; [Cosyns, Bernard] Vrij Univ Brussel, Vivo Mol &amp; Cellular ICMI Ctr, Brussels, Belgium; [Cutter, David J.] Univ Oxford, Nuffield Dept Populat Hlth, Oxford, England; [Cutter, David J.] Oxford Univ Hosp NHS Fdn Trust, Oxford Canc Ctr, Oxford, England; [de Azambuja, Evandro] Inst Jules Bordet, Dept Med Oncol, Brussels, Belgium; [de Boer, Rudolf A.] Univ Med Ctr Groningen, Cardiol, Groningen, Netherlands; [Dent, Susan F.] Duke Canc Inst, Dept Med, Durham, NC USA; [Farmakis, Dimitrios] Univ Cyprus, Sch Med, Nicosia, Cyprus; [Gevaert, Sofie A.] Ghent Univ Hosp, Cardiol, Ghent, Belgium; [Gorog, Diana A.] Univ Hertfordshire, Postgrad Med, Hatfield, Herts, England; [Gorog, Diana A.] Imperial Coll London, Natl Heart &amp; Lung Inst, London, England; [Gorog, Diana A.] East &amp; North Hertfordshire NHS Trust, Cardiol Dept, Stevenage, Herts, England; [Herrmann, Joerg] Mayo Clin, Dept Cardiovasc Dis, Rochester, MN USA; [Lenihan, Daniel] Int Cardio Oncol Soc, Cardio Oncol, Tampa, FL USA; [Lenihan, Daniel] St Francis Healthcare, Cardiol, Cape Girardeau, MO USA; [Moslehi, Javid] Univ Calif San Francisco UCSF, Cardiovasc Res Inst, Sect Cardio Oncol Immunol, San Francisco, CA USA; [Moura, Brenda] Armed Forces Hosp, Dept Cardiol, Porto, Portugal; [Moura, Brenda] Univ Porto, Fac Med, Porto, Portugal; [Salinger, Sonja S.] Univ Clin Ctr, Clin Cardiovasc Dis, Nish, Serbia; [Salinger, Sonja S.] Univ Nis, Fac Med, Nish, Serbia; [Stephens, Richard] ESC Patient Forum, Sophia Antipolis, Paris, France; [Suter, Thomas M.] Univ Hosp Bern, Univ Bern, Dept Cardiol, Inselspital, Bern, Switzerland; [Szmit, Sebastian] Ctr Postgrad Med Educ, Dept Pulm Circulat, Thromboembol Dis &amp; Cardiol, Otwock, Poland; [Szmit, Sebastian] Inst Hematol &amp; Transfus Med, Transfus Med, Warsaw, Poland; [Tamargo, Juan] Univ Complutense, Pharmacol &amp; Toxicol, Madrid, Spain; [Thavendiranathan, Paaladinesh] Univ Toronto, Univ Hlth Network, Toronto Gen Hosp,Ted Rogers Program Cardiotoxici, Div Cardiol,Dept Med,Peter Munk Cardiac Ctr, Toronto, ON, Canada; [Tocchetti, Carlo G.] Univ Naples Federico II, Dept Translat Med Sci, Cardio Oncol Unit, Naples, Italy; [Tocchetti, Carlo G.] Univ Naples Federico II, Ctr Basic &amp; Clin Immunol Res CISI, Naples, Italy; [Tocchetti, Carlo G.] Univ Naples Federico II, Interdepartmental Ctr Clin &amp; Translat Res CIRCET, Naples, Italy; [van der Meer, Peter] Univ Med Ctr Groningen, Cardiol, Groningen, Netherlands; [van der Pal, Helena J. H.] Princess Maxima Ctr Pediat Oncol, Utrecht, Netherlands; [Lyon, Alexander R.] Royal Brompton Hosp, Imperial Coll London &amp; Cardio Oncol Serv, Natl Heart &amp; Lung Inst, London, England; [Lopez-Fernandez, Teresa] La Paz Univ Hosp, IdiPAZ Res Inst, Dept Cardiol, Madrid, Spain</t>
  </si>
  <si>
    <t>Guy's &amp; St Thomas' NHS Foundation Trust; University of London; King's College London; University of Insubria; University of Manchester; Medical University of Vienna; Universita di Modena e Reggio Emilia; IRCCS European Institute of Oncology (IEO); Fundacion Jimenez Diaz; University Hospital Brussels; University of Oxford; Oxford University Hospitals NHS Foundation Trust; Institut Jules Bordet; University of Groningen; Duke University; University of Cyprus; Ghent University; Ghent University Hospital; University of Hertfordshire; Imperial College London; Mayo Clinic; University of California System; University of California San Francisco; Universidade do Porto; University of Nis; University of Bern; University Hospital of Bern; Complutense University of Madrid; University of Toronto; Peter Munk Cardiac Centre; University Health Network Toronto; Toronto General Hospital; University of Naples Federico II; University of Naples Federico II; University of Naples Federico II; University of Groningen; Royal Brompton Hospital; Imperial College London; Hospital Universitario La Paz</t>
  </si>
  <si>
    <t>Lyon, AR (corresponding author), Royal Brompton Hosp, Imperial Coll London &amp; Cardio Oncol Serv, Natl Heart &amp; Lung Inst, London, England.;López-Fernández, T (corresponding author), La Paz Univ Hosp, IdiPAZ Res Inst, Dept Cardiol, Madrid, Spain.</t>
  </si>
  <si>
    <t>a.lyon@imperial.ac.uk; tlfernandez8@gmail.com</t>
  </si>
  <si>
    <t>Dent, Susan/JXX-5355-2024; van der Wal, Haye/AAR-4470-2020; Lancellotti, Patrizio/AEK-4855-2022; Heuser, Michael/S-2363-2017; Lip, Gregory/AEO-0575-2022; Malaczynska-Rajpold, Katarzyna/AAQ-6875-2020; Czuriga, Daniel/AAL-5090-2020; van der Wal, Haye/V-7528-2019; Zaliaduonyte, Diana/HLW-9841-2023; Tuohinen, Suvi Sirkku/AAD-7777-2022; Parrini, Iris/GXG-7106-2022; de Boer, Rudolf/HMW-1849-2023; Njolstad, Inger/X-3784-2019; Abdelhamid, Magdy/I-4816-2019; Arroyo, Ruben/L-7726-2019; Rakisheva, Amina/ABR-1263-2022; Asteggiano, Riccardo/ABF-4418-2020; Farmakis, Dimitrios/ITU-8609-2023; Kotecha, Dipak/Q-2827-2016; Zelveian, Parounak/P-8603-2017; Srojidinova, Nigora/AAI-1695-2019; Salinger, Sonja/GLR-1493-2022; Suter, Thomas/LRS-9610-2024; Kahan, Thomas/JBJ-7622-2023; Wilhelm, Matthias/AAS-9456-2020; Nesukay, Elena/HNJ-6323-2023; Boriani, Giuseppe/AAC-3406-2022; Metra, marco/E-7101-2010; Tamargo, Juan/J-7772-2016; Mirrakhimov, Erkin/E-6900-2017; Konradi, Aleksandra/P-1547-2014; Lopez-Fernandez, Teresa/AAK-8968-2020; Barac, Ana/JXL-7983-2024; Briasoulis, Alexandros/AAD-3965-2019; Thuny, Franck/ABB-2408-2021; Borger, Michael/H-3553-2013; de Azambuja, Evandro/AEU-3872-2022; Touyz, Rhian/AAM-3564-2020; Szmit, Sebastian/N-2487-2017; CAUTELA, Jennifer/AAA-2952-2021; Gorog, Diana/JYQ-3089-2024; Bergler-Klein, Jutta/AFE-6999-2022; Koskinas, Konstantinos/IUQ-1965-2023; Mora, Josep/A-9355-2013; Lyon, Alexander/JPK-1688-2023; Gerber, Bernhard/H-5838-2011; Moore, Alice/HZI-2229-2023; Rainer, Peter/M-2145-2016; Alexandre, Joachim/ABE-2490-2020; Zorkun, Cafer/S-7132-2016; Edvardsen, Thor/F-4079-2012; Humbert, Marc/AAC-8459-2019; Tocchetti, Carlo Gabriele/AAG-5944-2020</t>
  </si>
  <si>
    <t>Edvardsen, Thor/0000-0002-3800-765X; Humbert, Marc/0000-0003-0703-2892; Abdelhamid, Magdy/0000-0002-6701-7072; Tocchetti, Carlo Gabriele/0000-0001-5983-688X</t>
  </si>
  <si>
    <t>10.1093/eurheartj/ehac244</t>
  </si>
  <si>
    <t>5V4CJ</t>
  </si>
  <si>
    <t>WOS:000849692300001</t>
  </si>
  <si>
    <t>Certain, MC; Baron, A; Turpin, M; Ebstein, N; Boucly, A; Beurnier, A; Jevnikar, M; Roche, A; Keddache, S; Bulifon, S; Seferian, A; Jaïs, X; Montani, D; Humbert, M; Sitbon, O; Savale, L</t>
  </si>
  <si>
    <t>Certain, Marie Caroline; Baron, Audrey; Turpin, Matthieu; Ebstein, Nathan; Boucly, Athenais; Beurnier, Antoine; Jevnikar, Mitja; Roche, Anne; Keddache, Sophia; Bulifon, Sophie; Seferian, Andrei; Jais, Xavier; Montani, David; Humbert, Marc; Sitbon, Olivier; Savale, Laurent</t>
  </si>
  <si>
    <t>Outcomes of cirrhotic patients with pre-capillary pulmonary hypertension and pulmonary vascular resistance between 2 and 3 Wood Units</t>
  </si>
  <si>
    <t>PORTOPULMONARY HYPERTENSION; GUIDELINES; DIAGNOSIS; SURVIVAL</t>
  </si>
  <si>
    <t>[Certain, Marie Caroline; Baron, Audrey; Turpin, Matthieu; Ebstein, Nathan; Boucly, Athenais; Beurnier, Antoine; Jevnikar, Mitja; Roche, Anne; Keddache, Sophia; Bulifon, Sophie; Seferian, Andrei; Jais, Xavier; Montani, David; Humbert, Marc; Sitbon, Olivier; Savale, Laurent] Univ Paris Saclay, Sch Med, Le Kremlin Bicetre, France; [Certain, Marie Caroline; Baron, Audrey; Turpin, Matthieu; Ebstein, Nathan; Boucly, Athenais; Beurnier, Antoine; Jevnikar, Mitja; Roche, Anne; Keddache, Sophia; Bulifon, Sophie; Seferian, Andrei; Jais, Xavier; Montani, David; Humbert, Marc; Sitbon, Olivier; Savale, Laurent] Hop Marie Lannelongue, INSERM UMR S 999 Pulm Hypertens Pathophysiol &amp; No, Le Plessis Robinson, France; [Certain, Marie Caroline; Baron, Audrey; Turpin, Matthieu; Ebstein, Nathan; Boucly, Athenais; Beurnier, Antoine; Jevnikar, Mitja; Roche, Anne; Keddache, Sophia; Bulifon, Sophie; Seferian, Andrei; Jais, Xavier; Montani, David; Humbert, Marc; Sitbon, Olivier; Savale, Laurent] Hop Bicetre, Assistance Publ Hop Paris AP HP, Dept Resp &amp; Intens Care Med, Pulm Hypertens Natl Referral Ctr, Le Kremlin Bicetre, France</t>
  </si>
  <si>
    <t>Universite Paris Saclay; Hopital Marie Lannelongue; Institut National de la Sante et de la Recherche Medicale (Inserm); Assistance Publique Hopitaux Paris (APHP); Hopital Universitaire Antoine-Beclere - APHP; Hopital Universitaire Bicetre - APHP; Universite Paris Saclay</t>
  </si>
  <si>
    <t>Savale, L (corresponding author), Univ Paris Saclay, Sch Med, Le Kremlin Bicetre, France.;Savale, L (corresponding author), Hop Marie Lannelongue, INSERM UMR S 999 Pulm Hypertens Pathophysiol &amp; No, Le Plessis Robinson, France.;Savale, L (corresponding author), Hop Bicetre, Assistance Publ Hop Paris AP HP, Dept Resp &amp; Intens Care Med, Pulm Hypertens Natl Referral Ctr, Le Kremlin Bicetre, France.</t>
  </si>
  <si>
    <t>10.1183/13993003.00107-2022</t>
  </si>
  <si>
    <t>3Z8BN</t>
  </si>
  <si>
    <t>WOS:000844640600004</t>
  </si>
  <si>
    <t>Le Vely, B; Phan, C; Berrebeh, N; Thuillet, R; Ottaviani, M; Chelgham, MK; Chaumais, MC; Amazit, L; Humbert, M; Huertas, A; Guignabert, C; Tu, L</t>
  </si>
  <si>
    <t>Le Vely, Benjamin; Phan, Carole; Berrebeh, Nihel; Thuillet, Raphael; Ottaviani, Mina; Chelgham, Mustapha Kamel; Chaumais, Marie-Camille; Amazit, Larbi; Humbert, Marc; Huertas, Alice; Guignabert, Christophe; Tu, Ly</t>
  </si>
  <si>
    <t>Loss of cAbl Tyrosine Kinase in Pulmonary Arterial Hypertension Causes Dysfunction of Vascular Endothelial Cells</t>
  </si>
  <si>
    <t>pulmonary hypertension; endothelial dysfunction; dasatinib-induced pulmonary hypertension; DNA damage; c-Abelson</t>
  </si>
  <si>
    <t>C-ABL; DNA-DAMAGE; EXPRESSION; GROWTH; APOPTOSIS; SURVIVAL; CONTRIBUTES; PROGRESSION; PERICYTES; REVEALS</t>
  </si>
  <si>
    <t>Pulmonary arterial hypertension (PAH) is a progressive and fatal disease characterized by the dysfunction of pulmonary endothelial cells (ECs) and obstructive vascular remodeling. cAbl (non-receptor tyrosine kinase c-Abelson) plays central roles in regulating cell-cycle arrest, apoptosis, and senescence after cellular stress. We hypothesized that cAbl is downactivated in experimental and human PAH, thus leading to reduced DNA integrity and angiogenic capacity of pulmonary ECs from patients with PAH (PAH-ECs). We found cAbl and phosphorylated cAbl concentrations to be lower in the endothelium of remodeled pulmonary vessels in the lungs of patients with PAH than in control subjects. Similar observations were obtained for the lungs of Sugen1hypoxia and monocrotaline rats with established pulmonary hypertension. These in situ abnormalities were also replicated in vitro, with cultured PAH-ECs displaying lower cAbl expression and activity and an altered DNA damage response and capacity of tube formation. Downregulation of cAbl by RNA interference in control ECs or its inhibition with dasatinib resulted in genomic instability and the failure to form tubes, whereas upregulation of cAbl with 5-(1,3-diaryl-1H-pyrazol-4-yl) hydantoin reduced DNA damage and apoptosis in PAH-ECs. Finally, we establish the existence of cross-talk between cAbl and bone morphogenetic protein receptor type II. This work identifies the loss of cAbl signaling as a novel contributor to pulmonary EC dysfunction associated with PAH.</t>
  </si>
  <si>
    <t>[Le Vely, Benjamin; Phan, Carole; Berrebeh, Nihel; Thuillet, Raphael; Ottaviani, Mina; Chelgham, Mustapha Kamel; Chaumais, Marie-Camille; Humbert, Marc; Huertas, Alice; Guignabert, Christophe; Tu, Ly] Hop Marie Lannelongue, Inst Natl Sante &amp; Rech Med, Hypertens Pulmonaire Pathophysiol &amp; Innovat Thera, UMR S 999, F-999 Le Plessis Robinson, France; [Le Vely, Benjamin; Phan, Carole; Berrebeh, Nihel; Thuillet, Raphael; Ottaviani, Mina; Chelgham, Mustapha Kamel; Amazit, Larbi; Humbert, Marc; Huertas, Alice; Guignabert, Christophe; Tu, Ly] Univ Paris Saclay, Fac Med, Le Kremlin Bicetre, France; [Chaumais, Marie-Camille] Univ Paris Saclay, Fac Pharm, Chatenay Malabry, France; [Chaumais, Marie-Camille] Hop Bicetre, Assistance Publ Hop Paris, Serv Pharm, Le Kremlin Bicetre, France; [Humbert, Marc; Huertas, Alice] Hop Bicetre, Assistance Publ Hop Paris, Serv Pneumol &amp; Soins Intensifs Resp, Le Kremlin Bicetre, France; [Amazit, Larbi] Inst Biomed Val de Bievre, UMS 44, Le Kremlin Bicetre, France</t>
  </si>
  <si>
    <t>Institut National de la Sante et de la Recherche Medicale (Inserm); Hopital Marie Lannelongue; Universite Paris Saclay; Universite Paris Saclay; Assistance Publique Hopitaux Paris (APHP); Hopital Universitaire Bicetre - APHP; Universite Paris Cite; Hopital Universitaire Saint-Louis - APHP; Hopital Universitaire Antoine-Beclere - APHP; Universite Paris Saclay; Assistance Publique Hopitaux Paris (APHP); Universite Paris Cite; Hopital Universitaire Saint-Louis - APHP; Hopital Universitaire Antoine-Beclere - APHP; Universite Paris Saclay; Hopital Universitaire Bicetre - APHP</t>
  </si>
  <si>
    <t>Tu, L (corresponding author), INSERM, UMR S 999, 133 Ave Resistance, F-92350 Le Plessis Robinson, France.</t>
  </si>
  <si>
    <t>ly.tu@inserm.fr</t>
  </si>
  <si>
    <t>Humbert, Marc/AAC-8459-2019; GUIGNABERT, Christophe/G-3873-2013; TU, Ly/G-4035-2013; Huertas, Alice/E-8244-2017</t>
  </si>
  <si>
    <t>Humbert, Marc/0000-0003-0703-2892; GUIGNABERT, Christophe/0000-0002-8545-4452; TU, Ly/0000-0003-2336-5099; Huertas, Alice/0000-0001-8545-747X; BERREBEH, Nihel/0000-0003-4152-9114; amazit, larbi/0000-0003-1137-8722; Thuillet, Raphael/0000-0002-1379-3797; Phan, Carole/0000-0002-7834-508X; LE VELY, Benjamin/0000-0002-5987-0268; Chaumais, Marie-Camille/0000-0002-1217-8442</t>
  </si>
  <si>
    <t>French National Institute for Health and Medical Research (INSERM); Universite Paris-Saclay; Marie Lannelongue Hospital; Agence Nationale de la Recherche [ANR-16-CE17-0014]; Fondation Medicale de la Recherche (FRM); Departement Hospitalo-Universitaire Thorax Innovation; Assistance Publique -Hopitaux de Paris, Service de Pneumologie; Fonds de Recherche en Sant e Respiratoire -Fondation du Souffle; French PAH patient association (HTAP France); Ile-de-France region (ARDoc Health); Agence Nationale de la Recherche (ANR) [ANR-16-CE17-0014] Funding Source: Agence Nationale de la Recherche (ANR)</t>
  </si>
  <si>
    <t>French National Institute for Health and Medical Research (INSERM)(Institut National de la Sante et de la Recherche Medicale (Inserm)); Universite Paris-Saclay; Marie Lannelongue Hospital; Agence Nationale de la Recherche(Agence Nationale de la Recherche (ANR)); Fondation Medicale de la Recherche (FRM); Departement Hospitalo-Universitaire Thorax Innovation; Assistance Publique -Hopitaux de Paris, Service de Pneumologie; Fonds de Recherche en Sant e Respiratoire -Fondation du Souffle; French PAH patient association (HTAP France); Ile-de-France region (ARDoc Health); Agence Nationale de la Recherche (ANR)(Agence Nationale de la Recherche (ANR))</t>
  </si>
  <si>
    <t>Supported by grants from the French National Institute for Health and Medical Research (INSERM), the Universite Paris-Saclay, the Marie Lannelongue Hospital, the Agence Nationale de la Recherche grant ANR-16-CE17-0014 (TAMIRAH) and the Fondation Medicale de la Recherche (FRM), and in part by the Departement Hospitalo-Universitaire Thorax Innovation, the Assistance Publique -Hopitaux de Paris, Service de Pneumologie, Centre de Reference de l'Hypertension Pulmonaire Sev ere, and the French PAH patient association (HTAP France). C.P. is a recipient of a Ph.D. fellowship from the Fonds de Recherche en Sant e Respiratoire -Fondation du Souffle. N.B. is a recipient of a Ph.D. fellowship from the Ile-de-France region (ARDoc Health).</t>
  </si>
  <si>
    <t>10.1165/rcmb.2021-0332OC</t>
  </si>
  <si>
    <t>3O7UK</t>
  </si>
  <si>
    <t>WOS:000837038800012</t>
  </si>
  <si>
    <t>Lechartier, B; Girerd, B; Eyries, M; Beurnier, A; Humbert, M; Montani, D</t>
  </si>
  <si>
    <t>Lechartier, Benoit; Girerd, Barbara; Eyries, Melanie; Beurnier, Antoine; Humbert, Marc; Montani, David</t>
  </si>
  <si>
    <t>Screening for pulmonary veno-occlusive disease in heterozygous EIF2AK4 variant carriers</t>
  </si>
  <si>
    <t>[Lechartier, Benoit; Girerd, Barbara; Eyries, Melanie; Humbert, Marc; Montani, David] Hop Bicetre, Assistance Publ Hop Paris AP HP, Pulm Hypertens Natl Referral Ctr, Dept Resp &amp; Intens Care Med, DMU 5 Thorinno, Le Kremlin Bicetre, France; [Lechartier, Benoit; Girerd, Barbara; Beurnier, Antoine; Humbert, Marc; Montani, David] Univ Paris Saclay, Sch Med, Le Kremlin Bicetre, France; [Lechartier, Benoit; Girerd, Barbara; Humbert, Marc; Montani, David] Hop Marie Lannelongue, INSERM UMR S 999 Pulm Hypertens Pathophysiol &amp; No, Le Plessis Robinson, France; [Eyries, Melanie] Hop La Pitie Salpetriere, Assistance Publ Hop Paris, Dept Genet, Paris, France; [Eyries, Melanie] Sorbonne Univ, UMR S 1166, Paris, France; [Beurnier, Antoine] Hop Bicetre, Assistance Publ Hop Paris AP HP, Dept Physiol Pulm Funct Testing, DMU 5 Thorinno, Le Kremlin Bicetre, France</t>
  </si>
  <si>
    <t>Assistance Publique Hopitaux Paris (APHP); Hopital Universitaire Antoine-Beclere - APHP; Universite Paris Saclay; Hopital Universitaire Bicetre - APHP; Universite Paris Saclay; Institut National de la Sante et de la Recherche Medicale (Inserm); Hopital Marie Lannelongue; Sorbonne Universite; Assistance Publique Hopitaux Paris (APHP); Hopital Universitaire Pitie-Salpetriere - APHP; Universite Paris Cite; Hopital Universitaire Saint-Louis - APHP; Institut National de la Sante et de la Recherche Medicale (Inserm); Sorbonne Universite; Assistance Publique Hopitaux Paris (APHP); Hopital Universitaire Antoine-Beclere - APHP; Universite Paris Saclay; Hopital Universitaire Bicetre - APHP</t>
  </si>
  <si>
    <t>Montani, D (corresponding author), Hop Bicetre, Assistance Publ Hop Paris AP HP, Pulm Hypertens Natl Referral Ctr, Dept Resp &amp; Intens Care Med, DMU 5 Thorinno, Le Kremlin Bicetre, France.;Montani, D (corresponding author), Univ Paris Saclay, Sch Med, Le Kremlin Bicetre, France.;Montani, D (corresponding author), Hop Marie Lannelongue, INSERM UMR S 999 Pulm Hypertens Pathophysiol &amp; No, Le Plessis Robinson, France.</t>
  </si>
  <si>
    <t>Montani, David/0000-0002-9358-6922; Humbert, Marc/0000-0003-0703-2892</t>
  </si>
  <si>
    <t>Fonds de Recherche en Sante Respiratoire (FRSR); Fondation Juchum; Ligue Pulmonaire Vaudoise</t>
  </si>
  <si>
    <t>The DELPHI-4 study (NCT03902353) was funded by the Fonds de Recherche en Sante Respiratoire (FRSR). B. Lechartier is a recipient of a grant from the Fondation Juchum and the Ligue Pulmonaire Vaudoise.</t>
  </si>
  <si>
    <t>10.1183/13993003.00760-2022</t>
  </si>
  <si>
    <t>6J2HH</t>
  </si>
  <si>
    <t>WOS:000886648200016</t>
  </si>
  <si>
    <t>Roche, N; Crichton, ML; Goeminne, PC; Cao, B; Humbert, M; Shteinberg, M; Antoniou, KM; Ulrik, CS; Parks, H; Wang, C; Vandendriessche, T; Qu, J; Stolz, D; Brightling, C; Welte, T; Aliberti, S; Simonds, AK; Tonia, T; Chalmers, JD</t>
  </si>
  <si>
    <t>Roche, Nicolas; Crichton, Megan L.; Goeminne, Pieter C.; Cao, Bin; Humbert, Marc; Shteinberg, Michal; Antoniou, Katerina M.; Ulrik, Charlotte Suppli; Parks, Helen; Wang, Chen; Vandendriessche, Thomas; Qu, Jieming; Stolz, Daiana; Brightling, Christopher; Welte, Tobias; Aliberti, Stefano; Simonds, Anita K.; Tonia, Thomy; Chalmers, James D.</t>
  </si>
  <si>
    <t>Update June 2022: management of hospitalised adults with coronavirus disease 2019 (COVID-19): a European Respiratory Society living guideline</t>
  </si>
  <si>
    <t>PROPHYLACTIC ANTICOAGULATION</t>
  </si>
  <si>
    <t>[Roche, Nicolas] Ctr Univ Paris, Cochin Hosp, AP HP, Resp Med,Cochin Inst,INSERM,UMR1016, Paris, France; [Crichton, Megan L.; Chalmers, James D.] Univ Dundee, Sch Med, Dundee, Scotland; [Goeminne, Pieter C.] AZ Nikolaas, Dept Resp Med, St Niklaas, Belgium; [Cao, Bin] Chinese Acad Med Sci, Natl Clin Res Ctr Resp Dis,Inst Resp Med, Clin Microbiol &amp; Infect Dis Lab,Natl Ctr Resp Med, Dept Resp &amp; Crit Care Med,China Japan Friendship, Beijing, Peoples R China; [Humbert, Marc] Univ Paris Saclay, Hop Bicetre, AP HP, Serv Pneumol &amp; Soins Intensifs,Inserm,UMR S 999, Le Kremlin Bicetre, France; [Shteinberg, Michal] Technion Israel Inst Technol, Pulmonol Inst, Haifa, Israel; [Shteinberg, Michal] Technion Israel Inst Technol, CF Ctr, Haifa, Israel; [Shteinberg, Michal] Technion Israel Inst Technol, Carmel Med Ctr, Haifa, Israel; [Antoniou, Katerina M.] Univ Crete, Sch Med, Dept Resp Med, Lab Mol &amp; Cellular Pneumonol, Iraklion, Greece; [Ulrik, Charlotte Suppli] Copenhagen Univ Hosp, Dept Resp Med, Hvidovre Hosp, Hvidovre, Denmark; [Parks, Helen] European Lung Fdn, Sheffield, S Yorkshire, England; [Wang, Chen] Chinese Acad Med Sci &amp; Peking Union Med Coll, Natl Clin Res Ctr Resp Dis, China Japan Friendship Hosp, Dept Pulm &amp; Crit Care Med,Ctr Resp Med, Beijing, Peoples R China; [Vandendriessche, Thomas] KU Leuven Libraries 2Bergen Learning Ctr Desire C, Leuven, Belgium; [Qu, Jieming] Ruijin Hosp, Dept Pulm &amp; Crit Care Med, Shanghai, Peoples R China; [Qu, Jieming] Shanghai Jiao Tong Univ, Inst Resp Dis, Sch Med, Shanghai, Peoples R China; [Stolz, Daiana] Univ Hosp Basel, Clin Resp Med &amp; Pulm Cell Res, Basel, Switzerland; [Brightling, Christopher] Univ Leicester, Leicester NIHR BRC, Inst Lung Hlth, Leicester, Leics, England; [Welte, Tobias] Hannover Med Sch, Hannover, Germany; [Aliberti, Stefano] Univ Milan, Dept Pathophysiol &amp; Transplantat, Fdn IRCCS Ca Granda Osped Maggiore Policlin, Milan, Italy; [Simonds, Anita K.] Royal Brompton &amp; Harefield NHS Fdn Trust, Resp &amp; Sleep Med, London, England; [Tonia, Thomy] Univ Bern, Inst Social &amp; Prevent Med, Bern, Switzerland</t>
  </si>
  <si>
    <t>Assistance Publique Hopitaux Paris (APHP); Universite Paris Cite; Hopital Universitaire Cochin - APHP; Institut National de la Sante et de la Recherche Medicale (Inserm); University of Dundee; Chinese Academy of Medical Sciences - Peking Union Medical College; Institut National de la Sante et de la Recherche Medicale (Inserm); Universite Paris Saclay; Assistance Publique Hopitaux Paris (APHP); Hopital Universitaire Antoine-Beclere - APHP; Hopital Universitaire Bicetre - APHP; Technion Israel Institute of Technology; Technion Israel Institute of Technology; Technion Israel Institute of Technology; Clalit Health Services; Carmel Medical Center; University of Crete; University of Copenhagen; Copenhagen University Hospital; China-Japan Friendship Hospital; Chinese Academy of Medical Sciences - Peking Union Medical College; Peking Union Medical College; Shanghai Jiao Tong University; Shanghai Jiao Tong University; University of Basel; University of Leicester; Hannover Medical School; IRCCS Ca Granda Ospedale Maggiore Policlinico; University of Milan; Royal Brompton &amp; Harefield NHS Foundation Trust; University of Bern</t>
  </si>
  <si>
    <t>Chalmers, JD (corresponding author), Univ Dundee, Sch Med, Dundee, Scotland.</t>
  </si>
  <si>
    <t>jchalmers@dundee.ac.uk</t>
  </si>
  <si>
    <t>Roche, Nicolas/AAE-9206-2021; Chalmers, James/JFK-7508-2023; wang, chen/JED-7289-2023; Goeminne, Pieter/JYP-5772-2024; Vandendriessche, Thomas/K-2165-2016; Aliberti, Stefano/K-9115-2016; Humbert, Marc/AAC-8459-2019</t>
  </si>
  <si>
    <t>Shteinberg, Michal/0000-0002-0432-3398; Vandendriessche, Thomas/0000-0001-9980-6941; Aliberti, Stefano/0000-0002-0090-4531; roche, nicolas/0000-0002-3162-5033; Crichton, Megan/0009-0008-9277-6573; Suppli Ulrik, Charlotte/0000-0001-8689-3695; Stolz, Daiana/0000-0003-0099-882X; Humbert, Marc/0000-0003-0703-2892</t>
  </si>
  <si>
    <t>European Respiratory Society through the COVID-19 Living Guidelines Task Force [2020-14]</t>
  </si>
  <si>
    <t>European Respiratory Society through the COVID-19 Living Guidelines Task Force</t>
  </si>
  <si>
    <t>Funded by the European Respiratory Society through the COVID-19 Living Guidelines Task Force (2020-14). Funding information for this article has been deposited with the Crossref Funder Registry.</t>
  </si>
  <si>
    <t>10.1183/13993003.00803-2022</t>
  </si>
  <si>
    <t>WOS:000886648200017</t>
  </si>
  <si>
    <t>Tsu, M; Genton, C; Saglani, S; Humbert, M; Simonds, A; Roche, N; Brightling, CE; Ubags, N; Donnelly, LE</t>
  </si>
  <si>
    <t>Tsu, Maeve; Genton, Celine; Saglani, Sejal; Humbert, Marc; Simonds, Anita; Roche, Nicolas; Brightling, Christopher E.; Ubags, Niki; Donnelly, Louise E.</t>
  </si>
  <si>
    <t>ERS scientific awards: striving for inclusivity</t>
  </si>
  <si>
    <t>[Tsu, Maeve; Genton, Celine] European Resp Soc, Sci Act Dept, Lausanne, Switzerland; [Saglani, Sejal; Donnelly, Louise E.] Imperial Coll London, Natl Heart &amp; Lung Inst, London, England; [Humbert, Marc] Univ Paris Saclay, Hop Bicetre, AP HP,Serv Pneumol &amp; Soins Intensifs Resp, Inserm UMR S 999, Le Kremlin Bicetre, France; [Simonds, Anita] Royal Brompton Hosp, Sleep &amp; Ventilat Unit, London, England; [Roche, Nicolas] APHP Ctr Univ Paris Cite, Cochin Hosp &amp; Inst UMR1016, Resp Med, Paris, France; [Brightling, Christopher E.] Univ Leicester, Inst Lung Hlth, NIHR Leicester BRC, Leicester, Leics, England; [Ubags, Niki] Univ Lausanne, Ctr Hosp Univ Vaudois CHUV, Fac Biol &amp; Med, Serv Pneumol, Lausanne, Switzerland</t>
  </si>
  <si>
    <t>Imperial College London; Institut National de la Sante et de la Recherche Medicale (Inserm); Assistance Publique Hopitaux Paris (APHP); Hopital Universitaire Antoine-Beclere - APHP; Universite Paris Saclay; Hopital Universitaire Bicetre - APHP; Royal Brompton Hospital; Universite Paris Cite; University of Leicester; University of Lausanne; Centre Hospitalier Universitaire Vaudois (CHUV)</t>
  </si>
  <si>
    <t>Tsu, M (corresponding author), European Resp Soc, Sci Act Dept, Lausanne, Switzerland.</t>
  </si>
  <si>
    <t>maeve.tsu@ersnet.org</t>
  </si>
  <si>
    <t>Roche, Nicolas/AAE-9206-2021; Saglani, Sejal/AAE-5072-2019; Humbert, Marc/AAC-8459-2019</t>
  </si>
  <si>
    <t>roche, nicolas/0000-0002-3162-5033; Donnelly, Louise/0000-0002-0753-5425; Saglani, Sejal/0000-0001-5192-6418; Humbert, Marc/0000-0003-0703-2892; Ubags, Niki/0000-0002-0177-4134</t>
  </si>
  <si>
    <t>ERS Science Council; ERS College of Experts</t>
  </si>
  <si>
    <t>ERS would like to thank the ERS Fellowships and Awards Working Group, the ERS Science Council and the ERS College of Experts for their involvement and contribution towards the evaluation and implementation of the ERS scientific awards. The ERS takes the opportunity to thank staff members (in alphabetical order) who contribute to the ERS scientific award programme management from the Marketing and Corporate Relations Department (Alexandre Delage and Stephen Sealy) .</t>
  </si>
  <si>
    <t>10.1183/13993003.01327-2022</t>
  </si>
  <si>
    <t>4X7KE</t>
  </si>
  <si>
    <t>WOS:000861015800003</t>
  </si>
  <si>
    <t>Triantafyllidi, H; Iordanidis, D; Montani, D; Samiotis, E; Mademli, M; Vlachos, S; Mpahara, A; Humbert, M; Dorfmuller, P; Tsagkaris, I; Iliodromitis, E</t>
  </si>
  <si>
    <t>Triantafyllidi, Helen; Iordanidis, Dimitris; Montani, David; Samiotis, Elefterios; Mademli, Maria; Vlachos, Stefanos; Mpahara, Aikaterini; Humbert, Marc; Dorfmuller, Peter; Tsagkaris, Iraklis; Iliodromitis, Efstathios</t>
  </si>
  <si>
    <t>Pulmonary veno-occlusive disease associated with long-term occupational exposure to chemical solvents and pesticides. A case report br</t>
  </si>
  <si>
    <t>[Triantafyllidi, Helen; Iordanidis, Dimitris; Samiotis, Elefterios; Vlachos, Stefanos; Mpahara, Aikaterini; Iliodromitis, Efstathios] Natl &amp; Kapodistrian Univ Athens, Sch Med, ATTIKON Hosp, Dept Cardiol 2, 83 Agiou Ioannou Theologou, Athens 15561, Greece; [Montani, David; Humbert, Marc] Univ Paris Saclay, Fac Med, Le Kremlin Bicetre, France; [Montani, David; Humbert, Marc] Hop Marie Lannelongue, UMR S 999, INSERM, Le Plessis Robinson, France; [Montani, David; Humbert, Marc] Hop Bicetre, AP HP, Dept Resp &amp; Intens Care Med, Pulm Hypertens Natl Referral Ctr, Le Kremlin Bicetre, France; [Mademli, Maria] Natl &amp; Kapodistrian Univ Athens, Sch Med, ATTIKON Hosp, Dept Radiol 2, Athens, Greece; [Dorfmuller, Peter] Univ Klinikum Giessen Marburg, Inst Pathol, Giessen, Germany; [Dorfmuller, Peter] Deutsch Zentrum Lungenforsch, Giessen, Germany; [Tsagkaris, Iraklis] Natl &amp; Kapodistrian Univ Athens, Sch Med, ATTIKON Univ Hosp, Dept Crit Care 2, Athens, Greece</t>
  </si>
  <si>
    <t>National &amp; Kapodistrian University of Athens; Athens Medical School; University Hospital Attikon; Universite Paris Saclay; Universite Paris Saclay; Institut National de la Sante et de la Recherche Medicale (Inserm); Hopital Marie Lannelongue; Assistance Publique Hopitaux Paris (APHP); Hopital Universitaire Bicetre - APHP; Universite Paris Saclay; Hopital Universitaire Antoine-Beclere - APHP; Athens Medical School; University Hospital Attikon; National &amp; Kapodistrian University of Athens; University Hospital of Giessen &amp; Marburg; National &amp; Kapodistrian University of Athens; University Hospital Attikon; Athens Medical School</t>
  </si>
  <si>
    <t>Triantafyllidi, H (corresponding author), Natl &amp; Kapodistrian Univ Athens, Sch Med, ATTIKON Hosp, Dept Cardiol 2, 83 Agiou Ioannou Theologou, Athens 15561, Greece.</t>
  </si>
  <si>
    <t>seliani@hotmail.com</t>
  </si>
  <si>
    <t>Humbert, Marc/0000-0003-0703-2892; TRIANTAFYLLIDI, HELEN/0000-0001-6801-1214</t>
  </si>
  <si>
    <t>10.1016/j.resmer.2022.100943</t>
  </si>
  <si>
    <t>JUL 2022</t>
  </si>
  <si>
    <t>5J1IA</t>
  </si>
  <si>
    <t>WOS:000868798300009</t>
  </si>
  <si>
    <t>Hlavaty, A; Roustit, M; Montani, D; Chaumais, MC; Guignabert, C; Humbert, M; Cracowski, JL; Khouri, C</t>
  </si>
  <si>
    <t>Hlavaty, Alex; Roustit, Matthieu; Montani, David; Chaumais, Marie-Camille; Guignabert, Christophe; Humbert, Marc; Cracowski, Jean-Luc; Khouri, Charles</t>
  </si>
  <si>
    <t>Identifying new drugs associated with pulmonary arterial hypertension: A WHO pharmacovigilance database disproportionality analysis</t>
  </si>
  <si>
    <t>BRITISH JOURNAL OF CLINICAL PHARMACOLOGY</t>
  </si>
  <si>
    <t>drug safety; pharmacovigilance; pulmonary arterial hypertension; respiratory medicine; vascular disease</t>
  </si>
  <si>
    <t>SIGNAL-DETECTION; COMPETITION BIAS; OUTCOMES; AMINOREX; RISK</t>
  </si>
  <si>
    <t>Since the 1960s, several drugs have been linked to the onset or aggravation of pulmonary arterial hypertension (PAH): dasatinib, some amphetamine-like appetite suppressants (aminorex, fenfluramine, dexfenfluramine, benfluorex) and recreational drugs (methamphetamine). Moreover, in numerous cases, the implication of other drugs with PAH have been suggested, but the precise identification of iatrogenic aetiologies of PAH is challenging given the scarcity of this disease and the potential long latency period between drug intake and PAH onset. In this context, we used the World Health Organization's pharmacovigilance database, VigiBase, to generate new hypotheses about drug associated PAH. Methods We used VigiBase, the largest pharmacovigilance database worldwide to generate disproportionality signals through the Bayesian neural network method. All disproportionality signals were further independently reviewed by experts in pulmonary arterial hypertension, pharmacovigilance and vascular pharmacology and their plausibility ranked according to World Health Organization causality categories. Results We included 2184 idiopathic PAH cases, yielding a total of 93 disproportionality signals. Among them, 25 signals were considered very likely, 15 probable, 28 possible and 25 unlikely. Notably, we identified 4 new protein kinases inhibitors (lapatinib, lorlatinib, ponatinib and ruxolitinib), 1 angiogenesis inhibitor (bevacizumab), and several chemotherapeutics (etoposide, trastuzumab), antimetabolites (cytarabine, fludarabine, fluorouracil, gemcitabine) and immunosuppressants (leflunomide, thalidomide, ciclosporin). Conclusion Such signals represent plausible adverse drug reactions considering the knowledge of iatrogenic PAH, the drugs' biological and pharmacological activity and the characteristics of the reported case. Although confirmatory studies need to be performed, the signals identified may help clinicians envisage an iatrogenic aetiology when faced with a patient who develops PAH.</t>
  </si>
  <si>
    <t>[Hlavaty, Alex; Cracowski, Jean-Luc; Khouri, Charles] Grenoble Alpes Univ Hosp, Pharmacovigilance Unit, Grenoble, France; [Roustit, Matthieu; Khouri, Charles] Grenoble Alpes Univ Hosp, Clin Pharmacol Dept INSERM CIC1406, Grenoble, France; [Roustit, Matthieu; Cracowski, Jean-Luc; Khouri, Charles] Grenoble Alpes Univ Grenoble, HP2 Lab, Inserm U1300, Grenoble, France; [Montani, David; Chaumais, Marie-Camille; Guignabert, Christophe; Humbert, Marc] Hop Marie Lannelongue, INSERM UMR S Pulm Hypertens Pathophysiol &amp; Novel, Le Plessis Robinson, France; [Montani, David; Guignabert, Christophe; Humbert, Marc] Univ Paris Saclay, Fac Med, Le Kremlin Bicetre, France; [Montani, David; Humbert, Marc] Hop Bicetre, Assistance Publ Hop Paris AP HP, Serv Pneumol, Ctr Reference Maladie Rares Hypertens Pulm, Le Kremlin Bicetre, France; [Chaumais, Marie-Camille] Univ Paris Saclay, Fac Pharm, Chatenay Malabry, France; [Chaumais, Marie-Camille] Hop Bicetre, Assistance Publ Hop Paris AP HP, Serv Pharm, Le Kremlin Bicetre, France</t>
  </si>
  <si>
    <t>CHU Grenoble Alpes; Communaute Universite Grenoble Alpes; Universite Grenoble Alpes (UGA); Institut National de la Sante et de la Recherche Medicale (Inserm); Communaute Universite Grenoble Alpes; Universite Grenoble Alpes (UGA); CHU Grenoble Alpes; Institut National de la Sante et de la Recherche Medicale (Inserm); Hopital Marie Lannelongue; Institut National de la Sante et de la Recherche Medicale (Inserm); Universite Paris Saclay; Assistance Publique Hopitaux Paris (APHP); Hopital Universitaire Bicetre - APHP; Hopital Universitaire Antoine-Beclere - APHP; Universite Paris Saclay; Universite Paris Saclay; Assistance Publique Hopitaux Paris (APHP); Hopital Universitaire Bicetre - APHP; Hopital Universitaire Antoine-Beclere - APHP; Universite Paris Saclay</t>
  </si>
  <si>
    <t>Khouri, C (corresponding author), CHU Grenoble Alpes, Ctr Reg Pharmacovigilance, F-38043 Grenoble 09, France.</t>
  </si>
  <si>
    <t>David, Montani/I-6885-2019; KHOURI, CHARLES/J-1090-2019; Roustit, Matthieu/M-6927-2014; Hlavaty, Alex/KIB-2233-2024; Humbert, Marc/AAC-8459-2019; GUIGNABERT, Christophe/G-3873-2013</t>
  </si>
  <si>
    <t>Montani, David/0000-0002-9358-6922; GUIGNABERT, Christophe/0000-0002-8545-4452</t>
  </si>
  <si>
    <t>MIAI @ university Grenoble Alpes [ANR-19-P3IA-0003]</t>
  </si>
  <si>
    <t>MIAI @ university Grenoble Alpes</t>
  </si>
  <si>
    <t>MIAI @ university Grenoble Alpes, Grant/Award Number: ANR-19-P3IA-0003</t>
  </si>
  <si>
    <t>0306-5251</t>
  </si>
  <si>
    <t>1365-2125</t>
  </si>
  <si>
    <t>BRIT J CLIN PHARMACO</t>
  </si>
  <si>
    <t>Br. J. Clin. Pharmacol.</t>
  </si>
  <si>
    <t>10.1111/bcp.15436</t>
  </si>
  <si>
    <t>6E4WW</t>
  </si>
  <si>
    <t>WOS:000822545500001</t>
  </si>
  <si>
    <t>Dauriat, G; Reynaud-Gaubert, M; Cottin, V; Lamia, B; Montani, D; Belhadi, D; Humbert, M; Laouenan, C; Mal, H</t>
  </si>
  <si>
    <t>Dauriat, Gaelle; Reynaud-Gaubert, Martine; Cottin, Vincent; Lamia, Bouchra; Montani, David; Belhadi, Drifa; Humbert, Marc; Laouenan, Cedric; Mal, Herve</t>
  </si>
  <si>
    <t>grp investigators severe PH-COPD</t>
  </si>
  <si>
    <t>Severe pulmonary hypertension associated with COPD: long-term results of a prospective French multicentre cohort</t>
  </si>
  <si>
    <t>[Dauriat, Gaelle; Mal, Herve] Univ Paris 07, Hop Bichat, Serv Pneumol B, Inserm UMR1152, Paris, France; [Reynaud-Gaubert, Martine] Hop Nord Marseille, Serv Pneumol, Marseille, France; [Cottin, Vincent] Hop Louis Pradel, Serv Pneumol, Lyon, France; [Lamia, Bouchra] UNIROUEN, Serv Pneumol, Normandie Univ, EA 3830,CHU Rouen, Rouen, France; [Lamia, Bouchra] Grp Hosp Havre, Rouen, France; [Montani, David; Humbert, Marc] Hop Bicetre, Serv Pneumol, Le Kremlin Bicetre, France; [Montani, David; Humbert, Marc] Hop Bicetre, Pulm Hypertens Natl Referral Ctr, Le Kremlin Bicetre, France; [Belhadi, Drifa; Laouenan, Cedric] Hop Bichat Claude Bernard, Unite Rech Clin, Paris, France</t>
  </si>
  <si>
    <t>Universite Paris Cite; Institut National de la Sante et de la Recherche Medicale (Inserm); Assistance Publique Hopitaux Paris (APHP); Hopital Universitaire Bichat-Claude Bernard - APHP; Aix-Marseille Universite; Assistance Publique-Hopitaux de Marseille; CHU Lyon; Universite de Rouen Normandie; CHU de Rouen; Assistance Publique Hopitaux Paris (APHP); Hopital Universitaire Bicetre - APHP; Hopital Universitaire Antoine-Beclere - APHP; Universite Paris Saclay; Assistance Publique Hopitaux Paris (APHP); Hopital Universitaire Bicetre - APHP; Universite Paris Saclay; Hopital Universitaire Antoine-Beclere - APHP; Assistance Publique Hopitaux Paris (APHP); Universite Paris Cite; Hopital Universitaire Bichat-Claude Bernard - APHP</t>
  </si>
  <si>
    <t>Mal, H (corresponding author), Univ Paris 07, Hop Bichat, Serv Pneumol B, Inserm UMR1152, Paris, France.</t>
  </si>
  <si>
    <t>herve.mal@bch.aphp.fr</t>
  </si>
  <si>
    <t>David, Montani/I-6885-2019; Humbert, Marc/AAC-8459-2019; LAOUENAN, Cedric/E-1157-2019</t>
  </si>
  <si>
    <t>Humbert, Marc/0000-0003-0703-2892; Cottin, Vincent/0000-0002-5591-0955; LAOUENAN, Cedric/0000-0002-3681-6314; Montani, David/0000-0002-9358-6922; Belhadi, Drifa/0000-0002-0589-6614</t>
  </si>
  <si>
    <t>Pfizer Upjohn</t>
  </si>
  <si>
    <t>This clinical study was supported by an unrestricted investigator sponsored research (ISR) grant from Pfizer Upjohn. Pfizer Upjohn was not involved in the design of the study and in the analysis of the results. Funding information for this article has been deposited with the Crossref Funder Registry.</t>
  </si>
  <si>
    <t>10.1183/13993003.02897-2021</t>
  </si>
  <si>
    <t>3N3GL</t>
  </si>
  <si>
    <t>WOS:000836038800017</t>
  </si>
  <si>
    <t>Rouzaud, C; Berastegui, C; Picard, C; Vos, R; Savale, L; Demant, X; Bertani, A; Verschuuren, E; Jaksch, P; Reed, A; Morlacchi, LC; Reynaud-Gaubert, M; Lortholary, O; Fadel, E; Humbert, M; Gottlieb, J; Le Pavec, J</t>
  </si>
  <si>
    <t>Rouzaud, Claire; Berastegui, Cristina; Picard, Clement; Vos, Robin; Savale, Laurent; Demant, Xavier; Bertani, Alessandro; Verschuuren, Erik; Jaksch, Peter; Reed, Anna; Morlacchi, Letizia Corinna; Reynaud-Gaubert, Martine; Lortholary, Olivier; Fadel, Elie; Humbert, Marc; Gottlieb, Jens; Le Pavec, Jerome</t>
  </si>
  <si>
    <t>Lung transplantation in HIV-positive patients: a European retrospective cohort study</t>
  </si>
  <si>
    <t>ANTIRETROVIRAL THERAPY; IMPACT; RISK</t>
  </si>
  <si>
    <t>[Rouzaud, Claire; Lortholary, Olivier] Hop Necker Enfants Malad, Assistance Publ Hop Paris, Dept Infect &amp; Trop Dis, Paris, France; [Rouzaud, Claire; Lortholary, Olivier] SAMU Social Paris, Paris, France; [Berastegui, Cristina] Hosp Univ Vall dHebron, Dept Resp Med, Lung Transplant Unit, Barcelona, Spain; [Picard, Clement] Foch Hosp, Serv Transplantat Pulm, Suresnes, France; [Picard, Clement] Foch Hosp, Ctr Competence Mucoviscidose, Suresnes, France; [Vos, Robin] Univ Hosp Leuven Gasthuisberg Campus, Dept Resp Dis, Leuven, Belgium; [Vos, Robin] Katholieke Univ Leuven, Lab Resp Dis &amp; Thorac Surg BREATHE, Dept Chron Dis &amp; Metab, Leuven, Belgium; [Savale, Laurent; Fadel, Elie; Humbert, Marc; Le Pavec, Jerome] Univ Paris Saclay, Fac Med, Le Kremlin Bicetre, France; [Savale, Laurent; Fadel, Elie; Humbert, Marc; Le Pavec, Jerome] Hop Marie Lannelongue, INSERM UMR S 999, Le Plessis Robinson, France; [Savale, Laurent; Humbert, Marc] Hop Bicetre, Assistance Publ Hop Paris, Serv Pneumol &amp; Soins Intensifs Resp, Le Kremlin Bicetre, France; [Demant, Xavier] Bordeaux Univ, Haut Leveque Hosp, Dept Resp Med, Pessac, France; [Bertani, Alessandro] IRCCS ISMETT Mediterranean Inst Transplantat &amp; Ad, Dept Thorac Surg, Palermo, Italy; [Verschuuren, Erik] Univ Med Ctr Groningen, Resp Dis &amp; Lung Transplantat, Groningen, Netherlands; [Jaksch, Peter] Med Univ Vienna, Div Thorac Surg, Vienna, Austria; [Reed, Anna] Royal Brompton Hosp, Cardiothorac Transplant Unit, London, England; [Reed, Anna] Harefield Hosp, Cardiothorac Transplant Unit, London, England; [Reed, Anna] Imperial Coll London, London, England; [Morlacchi, Letizia Corinna] Fdn IRCCS Ca Granda Osped Maggiore Policlin, Resp Unit, Dept Internal Med, Milan, Italy; [Morlacchi, Letizia Corinna] Fdn IRCCS Ca Granda Osped Maggiore Policlin, Adult Cyst Fibrosis Ctr, Dept Internal Med, Milan, Italy; [Reynaud-Gaubert, Martine] Aix Marseille Univ, Ctr Hosp Univ Nord, Assistance Publ Hop Marseille, Serv Pneumol &amp; Equipe Transplantat Pulm, Marseille, France; [Fadel, Elie] Grp Hosp Paris St Joseph, Hop Marie Lannelogue, Serv Chirurg Thorac &amp; Transplantat Pulm, Le Plessis Robinson, France; [Gottlieb, Jens] Hannover Med Sch, Dept Resp Med, Hannover, Germany; [Le Pavec, Jerome] Grp Hosp Paris St Joseph, Hop Marie Lannelogue, Serv Pneumol &amp; Transplantat Pulm, Le Plessis Robinson, France</t>
  </si>
  <si>
    <t>Assistance Publique Hopitaux Paris (APHP); Universite Paris Cite; Hopital Universitaire Saint-Louis - APHP; Hopital Universitaire Necker-Enfants Malades - APHP; Hospital Universitari Vall d'Hebron; Hospital Foch; Hospital Foch; KU Leuven; Universite Paris Saclay; Hopital Marie Lannelongue; Institut National de la Sante et de la Recherche Medicale (Inserm); Universite Paris Saclay; Assistance Publique Hopitaux Paris (APHP); Universite Paris Cite; Hopital Universitaire Saint-Louis - APHP; Hopital Universitaire Bicetre - APHP; Hopital Universitaire Antoine-Beclere - APHP; Universite Paris Saclay; CHU Bordeaux; IRCCS Istituto Mediterraneo per i Trapianti e Terapie ad Alta Specializzazione (ISMETT); University of Groningen; Medical University of Vienna; Royal Brompton Hospital; Royal Brompton &amp; Harefield NHS Foundation Trust; Harefield Hospital; Imperial College London; IRCCS Ca Granda Ospedale Maggiore Policlinico; IRCCS Ca Granda Ospedale Maggiore Policlinico; Aix-Marseille Universite; Assistance Publique-Hopitaux de Marseille; Universite Paris Cite; Hopital Paris Saint-Joseph; Hannover Medical School; Universite Paris Cite; Hopital Paris Saint-Joseph</t>
  </si>
  <si>
    <t>Le Pavec, J (corresponding author), Univ Paris Saclay, Fac Med, Le Kremlin Bicetre, France.;Le Pavec, J (corresponding author), Hop Marie Lannelongue, INSERM UMR S 999, Le Plessis Robinson, France.;Le Pavec, J (corresponding author), Grp Hosp Paris St Joseph, Hop Marie Lannelogue, Serv Pneumol &amp; Transplantat Pulm, Le Plessis Robinson, France.</t>
  </si>
  <si>
    <t>Savale, Laurent/AAJ-9781-2020; Bertani, Alessandro/AAB-7545-2019; Morlacchi, Letizia/K-7336-2018; Gottlieb, Jens/AGG-9082-2022; Reed, Anna/GQY-8730-2022; Humbert, Marc/AAC-8459-2019</t>
  </si>
  <si>
    <t>Humbert, Marc/0000-0003-0703-2892; Verschuuren, Erik/0000-0002-6807-6744; Gottlieb, Prof. Jens/0000-0002-9540-9022; Vos, MD, PhD, Robin/0000-0002-3468-9251; Savale, Laurent/0000-0002-6862-8975</t>
  </si>
  <si>
    <t>10.1183/13993003.00189-2022</t>
  </si>
  <si>
    <t>Green Accepted, Green Submitted</t>
  </si>
  <si>
    <t>WOS:000836038800012</t>
  </si>
  <si>
    <t>Toshner, M; Church, C; Harbaum, L; Rhodes, C; Moreschi, SSV; Liley, J; Jones, R; Arora, A; Batai, K; Desai, AA; Coghlan, JG; Gibbs, JSR; Gor, D; Gräf, S; Harlow, L; Hernandez-Sanchez, J; Howard, LS; Humbert, M; Karnes, J; Kiely, DG; Kittles, R; Knightbridge, E; Lam, B; Lutz, KA; Nichols, WC; Pauciulo, MW; Pepke-Zaba, J; Suntharalingam, J; Soubrier, F; Trembath, RC; Schwantes-An, THL; Wort, SJ; Wilkins, MR; Gaine, S; Morrell, NW; Corris, PA</t>
  </si>
  <si>
    <t>Toshner, Mark; Church, Colin; Harbaum, Lars; Rhodes, Christopher; Moreschi, Sofia S. Villar; Liley, James; Jones, Rowena; Arora, Amit; Batai, Ken; Desai, Ankit A.; Coghlan, John G.; Gibbs, J. Simon R.; Gor, Dee; Graf, Stefan; Harlow, Louise; Hernandez-Sanchez, Jules; Howard, Luke S.; Humbert, Marc; Karnes, Jason; Kiely, David G.; Kittles, Rick; Knightbridge, Emily; Lam, Brian; Lutz, Katie A.; Nichols, William C.; Pauciulo, Michael W.; Pepke-Zaba, Joanna; Suntharalingam, Jay; Soubrier, Florent; Trembath, Richard C.; Schwantes-An, Tae-Hwi L.; Wort, S. John; Wilkins, Martin R.; Gaine, Sean; Morrell, Nicholas W.; Corris, Paul A.</t>
  </si>
  <si>
    <t>Uniphy Clin Trials Network</t>
  </si>
  <si>
    <t>Mendelian randomisation and experimental medicine approaches to interleukin-6 as a drug target in pulmonary arterial hypertension (vol 59, 2002463, 2022)</t>
  </si>
  <si>
    <t>Batai, Ken/AAG-5277-2019; Pepke-Zaba, Joanna/AGW-3073-2022; Liley, James/GSD-4767-2022; Wilkins, Martin/ABH-1140-2021; Cardoso, Paulo/C-5768-2012; Howard, Luke/HJP-3415-2023; Humbert, Marc/AAC-8459-2019</t>
  </si>
  <si>
    <t>Church, Alistair/0000-0002-4446-0100; Humbert, Marc/0000-0003-0703-2892; Rhodes, Christopher/0000-0002-4962-3204</t>
  </si>
  <si>
    <t>10.1183/13993003.52463-2020</t>
  </si>
  <si>
    <t>WOS:000836038800005</t>
  </si>
  <si>
    <t>Harbaum, L; Rhodes, CJ; Wharton, J; Lawrie, A; Karnes, JH; Desai, AA; Nichols, WC; Humbert, M; Montani, D; Girerd, B; Sitbon, O; Boehm, M; Novoyatleva, T; Schermuly, RT; Ghofrani, HA; Toshner, M; Kiely, DG; Howard, LS; Swietlik, EM; Gräf, S; Pietzner, M; Morrell, NW; Wilkins, MR</t>
  </si>
  <si>
    <t>Harbaum, Lars; Rhodes, Christopher J.; Wharton, John; Lawrie, Allan; Karnes, Jason H.; Desai, Ankit A.; Nichols, William C.; Humbert, Marc; Montani, David; Girerd, Barbara; Sitbon, Olivier; Boehm, Mario; Novoyatleva, Tatyana; Schermuly, Ralph T.; Ghofrani, H. Ardeschir; Toshner, Mark; Kiely, David G.; Howard, Luke S.; Swietlik, Emilia M.; Graf, Stefan; Pietzner, Maik; Morrell, Nicholas W.; Wilkins, Martin R.</t>
  </si>
  <si>
    <t>UK Natl Inst Hlth Res BioResource; UK Pulm Arterial Hypertension Coho; US Pulm Arterial Hypertension Biob</t>
  </si>
  <si>
    <t>Mining the Plasma Proteome for Insights into the Molecular Pathology of Pulmonary Arterial Hypertension</t>
  </si>
  <si>
    <t>genome; protein quantitative trait loci; Mendelian randomization; case-control studies</t>
  </si>
  <si>
    <t>HEREDITARY HEMORRHAGIC TELANGIECTASIA; DISEASE; ASSOCIATION; MUTATION; ENDOGLIN; BINDING; GENE</t>
  </si>
  <si>
    <t>Rationale: Pulmonary arterial hypertension (PAH) is characterized by structural remodeling of pulmonary arteries and arterioles. Underlying biological processes are likely reflected in a perturbation of circulating proteins. Objectives: To quantify and analyze the plasma proteome of patients with PAH using inherited genetic variation to inform on underlying molecular drivers. Methods: An aptamer-based assay was used to measure plasma proteins in 357 patients with idiopathic or heritable PAH, 103 healthy volunteers, and 23 relatives of patients with PAH. In discovery and replication subgroups, the plasma proteomes of PAH and healthy individuals were compared, and the relationship to transplantation-free survival in PAH was determined. To examine causal relationships to PAH, protein quantitative trait loci (pQTL) that influenced protein levels in the patient population were used as instruments for Mendelian randomization (MR) analysis. Measurements and Main Results: From 4,152 annotated plasma proteins, levels of 208 differed between patients with PAH and healthy subjects, and 49 predicted long-term survival. MR based on cis-pQTL located in proximity to the encoding gene for proteins that were prognostic and distinguished PAH from health estimated an adverse effect for higher levels of netrin-4 (odds ratio [OR], 1.55; 95% confidence interval [CI), 1.16-2.08) and a protective effect for higher levels of thrombospondin-2 (OR, 0.83; 95% CI, 0.74-0.94) on PAH. Both proteins tracked the development of PAH in previously healthy relatives and changes in thrombospondin-2 associated with pulmonary arterial pressure at disease onset. Conclusions: Integrated analysis of the plasma proteome and genome implicates two secreted matrix-binding proteins, netrin-4 and thrombospondin-2, in the pathobiology of PAH.</t>
  </si>
  <si>
    <t>[Harbaum, Lars; Rhodes, Christopher J.; Wharton, John; Howard, Luke S.; Wilkins, Martin R.] Imperial Coll London, Fac Med, Natl Heart &amp; Lung Inst, London, England; [Lawrie, Allan; Kiely, David G.] Univ Sheffield, Med Sch, Dept Infect Immun &amp; Cardiovasc Dis, Sheffield, S Yorkshire, England; [Karnes, Jason H.] Univ Arizona, Coll Pharm, Dept Pharm Practice &amp; Sci, Tucson, AZ 85721 USA; [Desai, Ankit A.] Indiana Univ, Dept Med, Dept Med &amp; Mol Genet, Indianapolis, IN USA; [Desai, Ankit A.] Indiana Univ, Dept Med, Krannert Inst Cardiol, Indianapolis, IN USA; [Nichols, William C.] Univ Cincinnati, Cincinnati Childrens Hosp Med Ctr, Coll Med, Div Human Genet, Cincinnati, OH USA; [Humbert, Marc; Montani, David; Girerd, Barbara; Sitbon, Olivier] Univ Paris Saclay, Hop Bicetre, AP HP,Pulm Hypertens Natl Referral Ctr, INSERM UMR S 999,Dept Resp &amp; Intens Care Med, Le Kremlin Bicetre, France; [Boehm, Mario; Novoyatleva, Tatyana; Schermuly, Ralph T.; Ghofrani, H. Ardeschir] Justus Liebig Univ Giessen, Dept Internal Med, Giessen, Germany; [Toshner, Mark; Swietlik, Emilia M.; Graf, Stefan; Morrell, Nicholas W.] Univ Cambridge, Dept Med, Sch Clin Med, Cambridge, England; [Graf, Stefan] Univ Cambridge, Natl Inst Hlth Res BioResource Translat Res, Cambridge, England; [Graf, Stefan] Univ Cambridge, Dept Haematol, Cambridge, England; [Pietzner, Maik] Charite Univ Med Berlin, Berlin Inst Hlth BIH, Computat Med, Berlin, Germany; [Pietzner, Maik] Univ Cambridge, Med Res Council Epidemiol Unit, Cambridge, England</t>
  </si>
  <si>
    <t>Imperial College London; University of Sheffield; University of Arizona; Indiana University System; Indiana University Indianapolis; Indiana University System; Indiana University Indianapolis; University System of Ohio; University of Cincinnati; Cincinnati Children's Hospital Medical Center; Assistance Publique Hopitaux Paris (APHP); Hopital Universitaire Antoine-Beclere - APHP; Hopital Universitaire Bicetre - APHP; Institut National de la Sante et de la Recherche Medicale (Inserm); Universite Paris Saclay; Justus Liebig University Giessen; University of Cambridge; University of Cambridge; University of Cambridge; Berlin Institute of Health; Free University of Berlin; Humboldt University of Berlin; Charite Universitatsmedizin Berlin; UK Research &amp; Innovation (UKRI); Medical Research Council UK (MRC); University of Cambridge</t>
  </si>
  <si>
    <t>Wilkins, MR (corresponding author), Imperial Coll London, 2S4 Commonwealth Bldg,Hammersmith Campus, London W12 0NN, England.</t>
  </si>
  <si>
    <t>m.wilkins@imperial.ac.uk</t>
  </si>
  <si>
    <t>David, Montani/I-6885-2019; Ghofrani, Hossein/LPQ-1427-2024; Howard, Luke/HJP-3415-2023; Lawrie, Allan/A-2708-2012; Humbert, Marc/AAC-8459-2019; Southgate, Laura/H-7924-2019</t>
  </si>
  <si>
    <t>Pietzner, Maik/0000-0003-3437-9963; Humbert, Marc/0000-0003-0703-2892; Olschewski, Andrea/0000-0002-8189-3634; Montani, David/0000-0002-9358-6922; Harbaum, Lars/0000-0002-9422-6195; Machado, Rajiv David/0000-0001-9247-0744; Novoyatleva, Tatyana/0000-0002-3367-9940; Seeger, Werner/0000-0003-1946-0894; Wharton, John/0000-0001-8110-2575; Rhodes, Christopher/0000-0002-4962-3204; Southgate, Laura/0000-0002-2090-1450</t>
  </si>
  <si>
    <t>National Institute for Health Research (NIHR) through the NIHR BioResource (NIHRBR) Rare Diseases study; Imperial NIHR Clinical Research Facility; United Kingdom Department of Health via the NIHR comprehensive Biomedical Research Centre award; Cambridge Biomedical Research Centre; King's College London; King's College Hospital NHS Foundation Trust; Sheffield NIHR Clinical Research Facility award; NIHRBR; British Heart Foundation (BHF) [SP/12/12/29836]; United Kingdom Medical Research Council [MR/K020919/1]; US NIH/NHLBI [HL105333]; Assistance Publique-Hopitaux de Paris; INSERM; Universite, Paris-Sud; Agence Nationale de la Recherche (Departement Hospitalo-Universitaire Thorax Innovation) [ANR-10-LABX-0033, ANR-15-RHUS-0002]; French Ministry of Social Affairs and Health [PHRC P100175]; French Pulmonary Hypertension Patient Association (HTaPFrance), Chancellerie des Universites, Legs Poix, France; Pulmonary Hypertension Grants Program 2013 from Bayer; European Respiratory Society [LTRF-2013-1592]; European Respiratory Society Fellowship [LTRF 2016-6884]; BHF Intermediate Basic Science Research fellowship [FS/15/59/31839]; Academy of Medical Sciences Springboard fellowship [SBF004\1095]; BHF Senior Basic Science Research fellowship [FS/13/48/30453, FS/18/52/33808]; BHF Imperial Research Centre of Excellence [RE/18/4/34215]; German Research Foundation (DFG) [SFB1213]; German Ministry for Education and Research [01EY1103]; NIH/NHLBI [HL105333, R01HL158686, K01HL143137]; National Institute of Health/National Heart Lung and Blood Institute [NIH/NHLBI R01HL136603]; National Heart Lung and Blood Institute [K01HL143137, R01HL136603] Funding Source: NIH RePORTER; Agence Nationale de la Recherche (ANR) [ANR-10-LABX-0033] Funding Source: Agence Nationale de la Recherche (ANR); MRC [MR/K020919/1] Funding Source: UKRI</t>
  </si>
  <si>
    <t>National Institute for Health Research (NIHR) through the NIHR BioResource (NIHRBR) Rare Diseases study(National Institutes of Health Research (NIHR)); Imperial NIHR Clinical Research Facility; United Kingdom Department of Health via the NIHR comprehensive Biomedical Research Centre award; Cambridge Biomedical Research Centre; King's College London; King's College Hospital NHS Foundation Trust; Sheffield NIHR Clinical Research Facility award; NIHRBR; British Heart Foundation (BHF)(British Heart Foundation); United Kingdom Medical Research Council(UK Research &amp; Innovation (UKRI)Medical Research Council UK (MRC)); US NIH/NHLBI; Assistance Publique-Hopitaux de Paris; INSERM(Institut National de la Sante et de la Recherche Medicale (Inserm)); Universite, Paris-Sud; Agence Nationale de la Recherche (Departement Hospitalo-Universitaire Thorax Innovation)(Agence Nationale de la Recherche (ANR)); French Ministry of Social Affairs and Health; French Pulmonary Hypertension Patient Association (HTaPFrance), Chancellerie des Universites, Legs Poix, France; Pulmonary Hypertension Grants Program 2013 from Bayer; European Respiratory Society; European Respiratory Society Fellowship; BHF Intermediate Basic Science Research fellowship; Academy of Medical Sciences Springboard fellowship; BHF Senior Basic Science Research fellowship; BHF Imperial Research Centre of Excellence; German Research Foundation (DFG)(German Research Foundation (DFG)); German Ministry for Education and Research(Federal Ministry of Education &amp; Research (BMBF)); NIH/NHLBI(United States Department of Health &amp; Human ServicesNational Institutes of Health (NIH) - USANIH National Heart Lung &amp; Blood Institute (NHLBI)); National Institute of Health/National Heart Lung and Blood Institute(United States Department of Health &amp; Human ServicesNational Institutes of Health (NIH) - USANIH National Heart Lung &amp; Blood Institute (NHLBI)); National Heart Lung and Blood Institute(United States Department of Health &amp; Human ServicesNational Institutes of Health (NIH) - USANIH National Heart Lung &amp; Blood Institute (NHLBI)); Agence Nationale de la Recherche (ANR)(Agence Nationale de la Recherche (ANR)); MRC(UK Research &amp; Innovation (UKRI)Medical Research Council UK (MRC))</t>
  </si>
  <si>
    <t>Supported by the National Institute for Health Research (NIHR) through the NIHR BioResource (NIHRBR) Rare Diseases study and the Imperial NIHR Clinical Research Facility. The authors acknowledge the use of BRC Core Facilities provided by financial support from the United Kingdom Department of Health via the NIHR comprehensive Biomedical Research Centre award to Imperial College Healthcare National Health Service (NHS) Trust, Cambridge Biomedical Research Centre, and Guy's and St. Thomas' NHS Foundation Trust in partnership with King's College London and King's College Hospital NHS Foundation Trust. Sheffield NIHR Clinical Research Facility award to Sheffield Teaching Hospitals Foundation NHS Trust. The United Kingdom National Cohort of Idiopathic and Heritable Pulmonary Arterial Hypertension (PAH) is supported by the NIHRBR, the British Heart Foundation (BHF) (SP/12/12/29836), and the United Kingdom Medical Research Council (MR/K020919/1). The authors also gratefully acknowledge the participation of patients recruited to the US NIH/NHLBI-sponsored National Biological Sample and Data Repository for PAH (also known as PAH Biobank; HL105333). This work was supported in part by the Assistance Publique-Hopitaux de Paris, INSERM, Universite, Paris-Sud, and Agence Nationale de la Recherche (Departement Hospitalo-Universitaire Thorax Innovation; LabEx LERMIT, ANR-10-LABX-0033; and RHU BIO-ART LUNG 2020, ANR-15-RHUS-0002). The DELPHI-2 Study was funded by the French Ministry of Social Affairs and Health (PHRC P100175) and supported by the French Pulmonary Hypertension Patient Association (HTaPFrance), Chancellerie des Universites, Legs Poix, France, and a Pulmonary Hypertension Grants Program 2013 from Bayer, and the European Respiratory Society (grant LTRF-2013-1592). L.H. is a recipient of the European Respiratory Society Fellowship (LTRF 2016-6884). C.J.R. is supported by a BHF Intermediate Basic Science Research fellowship (FS/15/59/31839) and Academy of Medical Sciences Springboard fellowship (SBF004\1095). A.L. is supported by a BHF Senior Basic Science Research fellowship (FS/13/48/30453 &amp; FS/18/52/33808). M.R.W. is supported by the BHF Imperial Research Centre of Excellence (RE/18/4/34215). M.R.W., M.B., T.N., R.T.S., and H.A.G. receive funding from German Research Foundation (DFG) SFB1213, project A08, A09, B04, and B09. The popgen 2.0 network is supported by a grant from the German Ministry for Education and Research (01EY1103). W.C.N. is funded by NIH/NHLBI (HL105333). A.A.D. is supported by National Institute of Health/National Heart Lung and Blood Institute (NIH/NHLBI R01HL136603). J.H.K. is funded by NIH/NHLBI (R01HL158686 and K01HL143137).</t>
  </si>
  <si>
    <t>JUN 15</t>
  </si>
  <si>
    <t>10.1164/rccm.202109-2106OC</t>
  </si>
  <si>
    <t>2F5YZ</t>
  </si>
  <si>
    <t>WOS:000812986200015</t>
  </si>
  <si>
    <t>Boucly, A; Humbert, M; Sitbon, O</t>
  </si>
  <si>
    <t>Boucly, Athenais; Humbert, Marc; Sitbon, Olivier</t>
  </si>
  <si>
    <t>To be or not to be... treated with initial combination therapy, that is the (PAH) question</t>
  </si>
  <si>
    <t>PULMONARY; AMBRISENTAN; TADALAFIL</t>
  </si>
  <si>
    <t>Initial versus sequential combination therapy in PAH, that is the question: a robust comparison of these two strategies is needed (initial oral combination versus monotherapy followed by sequential combination therapy when treatment goals are not met) https://bit.ly/35BxQXB</t>
  </si>
  <si>
    <t>[Boucly, Athenais; Humbert, Marc; Sitbon, Olivier] Univ Paris Saclay, Fac Med, Le Kremlin Bicetre, France; [Boucly, Athenais; Humbert, Marc; Sitbon, Olivier] Hop Bicetre, AP HP, Ctr Reference Hypertens Pulm, DMU Thorinno,Serv Pneumol &amp; Soins Intensifs, Le Kremlin Bicetre, France; [Boucly, Athenais; Humbert, Marc; Sitbon, Olivier] Hop Marie Lannelongue, INSERM, UMR S Hypertens Pulm Physiopathol &amp; Nouvelles The, Le Plessis Robinson, France</t>
  </si>
  <si>
    <t>Universite Paris Saclay; Assistance Publique Hopitaux Paris (APHP); Hopital Universitaire Antoine-Beclere - APHP; Hopital Universitaire Bicetre - APHP; Universite Paris Saclay; Hopital Marie Lannelongue; Institut National de la Sante et de la Recherche Medicale (Inserm)</t>
  </si>
  <si>
    <t>Sitbon, O (corresponding author), Univ Paris Saclay, Fac Med, Le Kremlin Bicetre, France.;Sitbon, O (corresponding author), Hop Bicetre, AP HP, Ctr Reference Hypertens Pulm, DMU Thorinno,Serv Pneumol &amp; Soins Intensifs, Le Kremlin Bicetre, France.;Sitbon, O (corresponding author), Hop Marie Lannelongue, INSERM, UMR S Hypertens Pulm Physiopathol &amp; Nouvelles The, Le Plessis Robinson, France.</t>
  </si>
  <si>
    <t>olivier.sitbon@universite-paris-saclay.fr</t>
  </si>
  <si>
    <t>Sitbon, Olivier/I-3623-2019; Humbert, Marc/AAC-8459-2019</t>
  </si>
  <si>
    <t>Humbert, Marc/0000-0003-0703-2892; SITBON, Olivier/0000-0002-1942-1951</t>
  </si>
  <si>
    <t>10.1183/13993003.00390-2022</t>
  </si>
  <si>
    <t>2B1UC</t>
  </si>
  <si>
    <t>WOS:000809978500007</t>
  </si>
  <si>
    <t>Boucly, A; Weatherald, J; Savale, L; de Groote, P; Cottin, V; Prévot, G; Chaouat, A; Picard, F; Horeau-Langlard, D; Bourdin, A; Jutant, EM; Beurnier, A; Jevnikar, M; Jaïs, X; Simonneau, G; Montani, D; Sitbon, O; Humbert, M</t>
  </si>
  <si>
    <t>Boucly, Athenais; Weatherald, Jason; Savale, Laurent; de Groote, Pascal; Cottin, Vincent; Prevot, Gregoire; Chaouat, Ari; Picard, Francois; Horeau-Langlard, Delphine; Bourdin, Arnaud; Jutant, Etienne-Marie; Beurnier, Antoine; Jevnikar, Mitja; Jais, Xavier; Simonneau, Gerald; Montani, David; Sitbon, Olivier; Humbert, Marc</t>
  </si>
  <si>
    <t>External validation of a refined four-stratum risk assessment score from the French pulmonary hypertension registry</t>
  </si>
  <si>
    <t>PORTOPULMONARY HYPERTENSION; CALCULATOR 2.0; SURVIVAL</t>
  </si>
  <si>
    <t>Introduction Contemporary risk assessment tools categorise patients with pulmonary arterial hypertension (PAH) as low, intermediate or high risk. A minority of patients achieve low risk status with most remaining intermediate risk. Our aim was to validate a four-stratum risk assessment approach categorising patients as low, intermediate-low, intermediate-high or high risk, as proposed by the Comparative, Prospective Registry of Newly Initiated Therapies for Pulmonary Hypertension (COMPERA) investigators. Methods We evaluated incident patients from the French PAH Registry and applied a four-stratum risk method at baseline and at first reassessment. We applied refined cut-points for three variables: World Health Organization functional class, 6-min walk distance and N-terminal pro-brain natriuretic peptide. We used Kaplan-Meier survival analyses and Cox proportional hazards regression to assess survival according to three-stratum and four-stratum risk approaches. Results At baseline (n=2879), the four-stratum approach identified four distinct risk groups and performed slightly better than a three-stratum method for predicting mortality. Four-stratum model discrimination was significantly higher than the three-stratum method when applied during follow-up and refined risk categories among subgroups with idiopathic PAH, connective tissue disease-associated PAH, congenital heart disease and portopulmonary hypertension. Using the four-stratum approach, 53% of patients changed risk category from baseline compared to 39% of patients when applying the three-stratum approach. Those who achieved or maintained a low risk status had the best survival, whereas there were more nuanced differences in survival for patients who were intermediate-low and intermediate-high risk. Conclusions The four-stratum risk assessment method refined risk prediction, especially within the intermediate risk category of patients, performed better at predicting survival and was more sensitive to change than the three-stratum approach.</t>
  </si>
  <si>
    <t>[Boucly, Athenais; Savale, Laurent; Jutant, Etienne-Marie; Beurnier, Antoine; Jevnikar, Mitja; Jais, Xavier; Simonneau, Gerald; Montani, David; Sitbon, Olivier; Humbert, Marc] Univ Paris Saclay, Sch Med, Le Kremlin Bicetre, France; [Boucly, Athenais; Savale, Laurent; Jutant, Etienne-Marie; Beurnier, Antoine; Jevnikar, Mitja; Jais, Xavier; Simonneau, Gerald; Montani, David; Sitbon, Olivier; Humbert, Marc] Hop Bicetre, AP HP, Dept Resp &amp; Intens Care Med, Le Kremlin Bicetre, France; [Boucly, Athenais; Savale, Laurent; Jutant, Etienne-Marie; Beurnier, Antoine; Jevnikar, Mitja; Jais, Xavier; Simonneau, Gerald; Montani, David; Sitbon, Olivier; Humbert, Marc] Hop Marie Lannelongue, INSERM UMR S 999, Le Plessis Robinson, France; [Weatherald, Jason] Univ Calgary, Dept Med, Div Respirol, Calgary, AB, Canada; [Weatherald, Jason] Libin Cardiovasc Inst, Calgary, AB, Canada; [de Groote, Pascal] Univ Lille, Inst Pasteur Lille, Serv Cardiol, Inserm U1167,CHU Lille, Lille, France; [Cottin, Vincent] Univ Lyon 1, Hosp Civils Lyon, UMR754, IVPC,Natl Reference Ctr Rare Pulm Dis,INRAE, Lyon, France; [Prevot, Gregoire] CHU Toulouse, Hop Larrey, Serv Pneumol, Toulouse, France; [Chaouat, Ari] Univ Lorraine, Fac Med Nancy, Dept Pneumol, Inserm UMR 51116,CHRU Nancy, Vandoeuvre Les Nancy, France; [Picard, Francois] Univ Bordeaux, Hop Cardiol Haut Leveque, Heart Failure Unit, Bordeaux, France; [Picard, Francois] Pulm Hypertens Expert Ctr, Bordeaux, France; [Horeau-Langlard, Delphine] CHU Nantes, Hop Laennec, Serv Pneumol, Nantes, France; [Bourdin, Arnaud] Univ Montpellier, Dept Resp Dis, CHU Montpellier, Montpellier, France; [Jutant, Etienne-Marie] CHU Poitiers, Serv Pneumol, Poitiers, France</t>
  </si>
  <si>
    <t>Universite Paris Saclay; Universite Paris Saclay; Assistance Publique Hopitaux Paris (APHP); Hopital Universitaire Antoine-Beclere - APHP; Hopital Universitaire Bicetre - APHP; Institut National de la Sante et de la Recherche Medicale (Inserm); Hopital Marie Lannelongue; Universite Paris Saclay; University of Calgary; Libin Cardiovascular Institute Of Alberta; Universite de Lille; CHU Lille; Pasteur Network; Institut Pasteur Lille; Institut National de la Sante et de la Recherche Medicale (Inserm); Universite Claude Bernard Lyon 1; INRAE; CHU Lyon; CHU de Toulouse; Universite de Toulouse; Universite Toulouse III - Paul Sabatier; Universite de Lorraine; CHU de Nancy; Universite de Bordeaux; CHU Bordeaux; Nantes Universite; CHU de Nantes; Universite de Montpellier; CHU de Montpellier; CHU Poitiers; Universite de Poitiers</t>
  </si>
  <si>
    <t>Humbert, M (corresponding author), Univ Paris Saclay, Sch Med, Le Kremlin Bicetre, France.;Humbert, M (corresponding author), Hop Bicetre, AP HP, Dept Resp &amp; Intens Care Med, Le Kremlin Bicetre, France.;Humbert, M (corresponding author), Hop Marie Lannelongue, INSERM UMR S 999, Le Plessis Robinson, France.</t>
  </si>
  <si>
    <t>Bourdin, Philippe/D-8149-2015; Savale, Laurent/AAJ-9781-2020; Chaouat, Ari/AAP-6784-2021; David, Montani/I-6885-2019; DE GROOTE, Pascal/LLL-9444-2024; Humbert, Marc/AAC-8459-2019</t>
  </si>
  <si>
    <t>Jevnikar, Mitja/0000-0003-0727-6790; Savale, Laurent/0000-0002-6862-8975; Chaouat, Ari/0000-0001-6056-202X; de Groote, Pascal/0000-0002-6211-0147; Jutant, Etienne-Marie/0000-0002-1374-1890; Cottin, Vincent/0000-0002-5591-0955; Humbert, Marc/0000-0003-0703-2892; Bourdin, Arnaud/0000-0002-4645-5209; Weatherald, Jason/0000-0002-0615-4575</t>
  </si>
  <si>
    <t>10.1183/13993003.02419-2021</t>
  </si>
  <si>
    <t>3K4ZG</t>
  </si>
  <si>
    <t>Green Published, Green Submitted, hybrid</t>
  </si>
  <si>
    <t>WOS:000834085100005</t>
  </si>
  <si>
    <t>Hlavaty, A.; Roustit, M.; Montani, D.; Chaumais, M. C.; Guignabert, C.; Humbert, M.; Cracowski, J. L.; Khouri, C.</t>
  </si>
  <si>
    <t>drug safety; clinical pharmacology; pharmacovigilance; clinical pharmacology; vascular disease; cardiology; respiratory medicine</t>
  </si>
  <si>
    <t>[Hlavaty, A.; Cracowski, J. L.; Khouri, C.] Grenoble Alpes Univ Hosp, Pharmacovigilance Unit, Grenoble, France; [Roustit, M.] Grenoble Alpes Univ Hosp, Dept Inserm CIC1406, Clin Pharmacol, F-38000 Grenoble, France; [Montani, D.; Chaumais, M. C.; Guignabert, C.; Humbert, M.] Hop Marie Lannelongue, Pulm Hypertens Pathophysiol &amp; Novel Therapies, Inserm UMR S 999, F-92350 Le Plessis Robinson, France</t>
  </si>
  <si>
    <t>Communaute Universite Grenoble Alpes; Universite Grenoble Alpes (UGA); CHU Grenoble Alpes; CHU Grenoble Alpes; Communaute Universite Grenoble Alpes; Universite Grenoble Alpes (UGA); Institut National de la Sante et de la Recherche Medicale (Inserm); Universite Paris Saclay; Hopital Marie Lannelongue</t>
  </si>
  <si>
    <t>Hlavaty, Alex/KIB-2233-2024; GUIGNABERT, Christophe/G-3873-2013; Humbert, Marc/AAC-8459-2019</t>
  </si>
  <si>
    <t>PM2-015</t>
  </si>
  <si>
    <t>1V3RG</t>
  </si>
  <si>
    <t>WOS:000806010700135</t>
  </si>
  <si>
    <t>Humbert, M; Simonneau, G; Pittrow, D; Delcroix, M; Pepke-Zaba, J; Langleben, D; Mielniczuk, LM; Subias, PE; Snijder, RJ; Barberà, JA; Klotsche, J; Meier, C; Hoeper, MM</t>
  </si>
  <si>
    <t>Humbert, Marc; Simonneau, Gerald; Pittrow, David; Delcroix, Marion; Pepke-Zaba, Joanna; Langleben, David; Mielniczuk, Lisa M.; Subias, Pilar Escribano; Snijder, Repke J.; Barbera, Joan A.; Klotsche, Jens; Meier, Christian; Hoeper, Marius M.</t>
  </si>
  <si>
    <t>Oral anticoagulants (NOAC and VKA) in chronic thromboembolic pulmonary hypertension</t>
  </si>
  <si>
    <t>chronic thromboembolic pulmonary hypertension; vitamin K antagonists; non-vitamin K antagonist oral anticoagulants; riociguat; drug safety</t>
  </si>
  <si>
    <t>EXPERT was an international, multicenter, prospective, uncontrolled, non-interventional cohort study in patients with pulmonary hypertension treated with riociguat. Patients were followed for 1-4 years, and the primary outcomes were adverse events (AEs) and serious AEs (SAEs), including embolic/ thrombotic and hemorrhagic events. Here we report data on patients with chronic thromboembolic pulmonary hypertension (CTEPH) receiving a vitamin K antagonist (VKA; n = 683) or a non-vitamin K antagonist oral anticoagulant (NOAC; n = 198) at baseline. AEs and SAEs were reported in 438 patients (64.1%) and 257 patients (37.6%), respectively, in the VKA group, and in 135 patients (68.2%) and 74 patients (37.4%) in the NOAC group. Exposure-adjusted hemorrhagic event rates were similar in the two groups, while exposure-adjusted embolic and/or thrombotic event rates were higher in the NOAC group, although the numbers of events were small. Further studies are required to determine the long-term effects of anticoagulation strategies in CTEPH. J Heart Lung Transplant 2022;41:716- 721 (c) 2022 The Author(s). Published by Elsevier Inc. on behalf of International Society for Heart and Lung Transplantation. This is an open access article under the CC BY-NC-ND license (http://creativecommons.org/licenses/by-nc-nd/</t>
  </si>
  <si>
    <t>[Humbert, Marc; Simonneau, Gerald] Univ Paris Saclay, Hop Bicetre, AP HP, Inserm U999,Serv Pneumol &amp; Soins Intensifs Resp, Le Kremlin Bicetre, France; [Pittrow, David] Tech Univ, Med Fac, Inst Clin Pharmacol, Dresden, Germany; [Delcroix, Marion] Univ Leuven, Univ Hosp &amp; Lab Resp Dis &amp; Thorac Surg, Clin Dept Resp Dis, Leuven, Belgium; [Delcroix, Marion] Univ Leuven, KU Leuven, Dept Chron Dis &amp; Metab, Leuven, Belgium; [Pepke-Zaba, Joanna] Royal Papworth Hosp, Pulm Vasc Dis Unit, Cambridge, England; [Langleben, David] McGill Univ, Jewish Gen Hosp, Montreal, PQ, Canada; [Mielniczuk, Lisa M.] Univ Ottawa, Dept Med, Div Cardiol, Heart Inst, Ottawa, ON, Canada; [Subias, Pilar Escribano] Hosp Univ 12 Octubre, Cardiol Dept, Madrid, Spain; [Subias, Pilar Escribano] Hosp Univ 12 Octubre, Spanish Cardiovasc Res Network, Madrid, Spain; [Snijder, Repke J.] St Antonius Hosp, Dept Pulmonol, Nieuwegein, Netherlands; [Barbera, Joan A.] Univ Barcelona, Dept Pulm Med, Hosp Clin IDIBAPS, Madrid, Spain; [Barbera, Joan A.] Biomed Res Networking Ctr Resp Dis, Madrid, Spain; [Klotsche, Jens] German Rheumatism Res Ctr Berlin, Leibniz Inst, Berlin, Germany; [Meier, Christian] Bayer AG, Global Med Affairs, Berlin, Germany; [Hoeper, Marius M.] German Ctr Lung Res, Hannover Med Sch, Clin Resp Med, Hannover, Germany</t>
  </si>
  <si>
    <t>Universite Paris Saclay; Institut National de la Sante et de la Recherche Medicale (Inserm); Assistance Publique Hopitaux Paris (APHP); Hopital Universitaire Antoine-Beclere - APHP; Hopital Universitaire Bicetre - APHP; Technische Universitat Dresden; KU Leuven; KU Leuven; Papworth Hospital; McGill University; University of Ottawa; University of Ottawa Heart Institute; Hospital Universitario 12 de Octubre; Hospital Universitario 12 de Octubre; St. Antonius Hospital Utrecht; University of Barcelona; Hospital Clinic de Barcelona; IDIBAPS; Leibniz Association; Deutsches Rheuma-Forschungszentrum (DRFZ); Bayer AG; Hannover Medical School</t>
  </si>
  <si>
    <t>Humbert, M (corresponding author), Hop Bicetre, Serv Pneumol &amp; Soins Intensifs Resp, 78 Rue Gen Leclerc, F-94270 Le Kremlin Bicetre, France.</t>
  </si>
  <si>
    <t>marc.humbertt@aphp.fr</t>
  </si>
  <si>
    <t>Pepke-Zaba, Joanna/AGW-3073-2022; delcroix, marion/AAE-2712-2022; Escribano, Pilar/R-5273-2017; Hoeper, Marius/Z-1546-2019; Humbert, Marc/AAC-8459-2019</t>
  </si>
  <si>
    <t>delcroix, marion/0000-0001-8394-9809; Humbert, Marc/0000-0003-0703-2892; Cruz Utrilla, Alejandro/0000-0002-3851-4037</t>
  </si>
  <si>
    <t>Bayer AG, Berlin, Germany; Good Publication Practice (GPP3) guidelines</t>
  </si>
  <si>
    <t>Medical writing services provided by Richard Murphy, PhD, of Adelphi Communications Ltd, Macclesfield, UK, were funded by Bayer AG, Berlin, Germany, in accordance with Good Publication Practice (GPP3) guidelines. The authors acknowledge database administration by Torsten Tille, Dresden, and project administration by Mrs. Romy Hoppenz and Mrs. Linda Kottke at GWT-TUD GmbH, Dresden.</t>
  </si>
  <si>
    <t>10.1016/j.healun.2022.02.002</t>
  </si>
  <si>
    <t>G7NN6</t>
  </si>
  <si>
    <t>WOS:000990983000007</t>
  </si>
  <si>
    <t>Jutant, EM; Tu, L; Thuillet, R; Picard, V; Guignabert, C; Parent, F; Sitbon, O; Humbert, M; Savale, L; Huertas, A</t>
  </si>
  <si>
    <t>Jutant, Etienne-Marie; Tu, Ly; Thuillet, Raphael; Picard, Veronique; Guignabert, Christophe; Parent, Florence; Sitbon, Olivier; Humbert, Marc; Savale, Laurent; Huertas, Alice</t>
  </si>
  <si>
    <t>Erythrocytes are altered in pulmonary arterial hypertension</t>
  </si>
  <si>
    <t>CELL DISTRIBUTION WIDTH; GLYCATION END-PRODUCTS; ENDOTHELIAL ACTIVATION; PROGNOSTIC MARKER; RECEPTOR</t>
  </si>
  <si>
    <t>[Jutant, Etienne-Marie; Tu, Ly; Thuillet, Raphael; Picard, Veronique; Guignabert, Christophe; Parent, Florence; Sitbon, Olivier; Humbert, Marc; Savale, Laurent; Huertas, Alice] Univ Paris Saclay, Sch Med, Le Kremlin Bicetre, France; [Jutant, Etienne-Marie; Tu, Ly; Thuillet, Raphael; Guignabert, Christophe; Parent, Florence; Sitbon, Olivier; Humbert, Marc; Savale, Laurent; Huertas, Alice] Hop Marie Lannelongue, INSERM, UMR S 999, Pulm Hypertens Pathophysiol &amp; Novel Therapies, Le Plessis Robinson, France; [Jutant, Etienne-Marie; Parent, Florence; Sitbon, Olivier; Humbert, Marc; Savale, Laurent; Huertas, Alice] Hop Bicetre, AP HP, Pulm Hypertens Natl Referral Ctr, Dept Resp &amp; Intens Care Med, Le Kremlin Bicetre, France; [Picard, Veronique] Hop Bicetre, AP HP, Dept Biol Haematol, Constitut Hematopoiet Disorders Natl Referral Ctr, Le Kremlin Bicetre, France</t>
  </si>
  <si>
    <t>Universite Paris Saclay; Institut National de la Sante et de la Recherche Medicale (Inserm); Hopital Marie Lannelongue; Universite Paris Saclay; Universite Paris Saclay; Assistance Publique Hopitaux Paris (APHP); Hopital Universitaire Antoine-Beclere - APHP; Hopital Universitaire Bicetre - APHP; Assistance Publique Hopitaux Paris (APHP); Hopital Universitaire Antoine-Beclere - APHP; Hopital Universitaire Bicetre - APHP; Universite Paris Saclay</t>
  </si>
  <si>
    <t>Huertas, A (corresponding author), Univ Paris Saclay, Sch Med, Le Kremlin Bicetre, France.</t>
  </si>
  <si>
    <t>Sitbon, Olivier/I-3623-2019; Savale, Laurent/AAJ-9781-2020; Huertas, Alice/E-8244-2017; Humbert, Marc/AAC-8459-2019; TU, Ly/G-4035-2013; GUIGNABERT, Christophe/G-3873-2013</t>
  </si>
  <si>
    <t>Huertas, Alice/0000-0001-8545-747X; Humbert, Marc/0000-0003-0703-2892; TU, Ly/0000-0003-2336-5099; Savale, Laurent/0000-0002-6862-8975; Jutant, Etienne-Marie/0000-0002-1374-1890; GUIGNABERT, Christophe/0000-0002-8545-4452; SITBON, Olivier/0000-0002-1942-1951; Thuillet, Raphael/0000-0002-1379-3797</t>
  </si>
  <si>
    <t>10.1183/13993003.00506-2022</t>
  </si>
  <si>
    <t>WOS:000834085100001</t>
  </si>
  <si>
    <t>Berrebeh, N; Thuillet, R; Ottaviani, M; Chelgham, M; Anegon, I; Schermuly, RT; Humbert, MJ; Kojonazarov, B; Bailly, S; Tu, L; Guignabert, C</t>
  </si>
  <si>
    <t>Berrebeh, N.; Thuillet, R.; Ottaviani, M.; Chelgham, M.; Anegon, I.; Schermuly, R. T.; Humbert, M. J.; Kojonazarov, B.; Bailly, S.; Tu, L.; Guignabert, C.</t>
  </si>
  <si>
    <t>Bone Morphogenetic Protein 9 (BMP)-9 Loss Alters Lung Vascular Integrity and Partially Attenuates Experimental Pulmonary Hypertension</t>
  </si>
  <si>
    <t>International Conference of the American-Thoracic-Society</t>
  </si>
  <si>
    <t>MAY 13-18, 2022</t>
  </si>
  <si>
    <t>San Francisco, CA</t>
  </si>
  <si>
    <t>[Berrebeh, N.; Thuillet, R.; Ottaviani, M.; Chelgham, M.; Humbert, M. J.; Tu, L.; Guignabert, C.] INSERM UMR S 999, Pulm Hypertens Pathophysiol &amp; Novel Therapies, Le Plessis Robinson, France; [Anegon, I.] INSERM 1064CRTI, Gene &amp; cell Engn immunol &amp; regenerat Med, Nantes, France; [Schermuly, R. T.] Justus Liebig Univ Giessen, Pulm Pharmacotherapy, Giessen, Germany; [Kojonazarov, B.] Univ Giessen, Giessen, Germany; [Kojonazarov, B.] Marburg Lung Ctr, Giessen, Germany; [Bailly, S.] INSERM CEA UGA CNRS U1036, Lab Biol Canc &amp; Infect, Grenoble, France</t>
  </si>
  <si>
    <t>Institut National de la Sante et de la Recherche Medicale (Inserm); Universite Paris Saclay; Justus Liebig University Giessen; Justus Liebig University Giessen; Communaute Universite Grenoble Alpes; Universite Grenoble Alpes (UGA)</t>
  </si>
  <si>
    <t>Anegon, Ignacio/I-7760-2018; Humbert, Marc/AAC-8459-2019; GUIGNABERT, Christophe/G-3873-2013; TU, Ly/G-4035-2013</t>
  </si>
  <si>
    <t>RA(C)gion Ile de France</t>
  </si>
  <si>
    <t>This abstract is funded by: RA (c) gion Ile de France</t>
  </si>
  <si>
    <t>A1190</t>
  </si>
  <si>
    <t>1B5MH</t>
  </si>
  <si>
    <t>WOS:000792480400188</t>
  </si>
  <si>
    <t>Boucly, A; Weatherald, JC; Savale, L; De Groote, P; Cottin, V; Prévot, G; Chaouat, A; Picard, F; Horeau-Langlard, D; Bourdin, A; Jutant, E; Beurnier, A; Jevnikar, M; Jais, X; Simonneau, G; Montani, D; Sitbon, O; Humbert, M</t>
  </si>
  <si>
    <t>Boucly, A.; Weatherald, J. C.; Savale, L.; De Groote, P.; Cottin, V.; Prevot, G.; Chaouat, A.; Picard, F.; Horeau-Langlard, D.; Bourdin, A.; Jutant, E.; Beurnier, A.; Jevnikar, M.; Jais, X.; Simonneau, G.; Montani, D.; Sitbon, O.; Humbert, M.</t>
  </si>
  <si>
    <t>External Validation of a Refined 4 Strata Risk Assessment Score from the French Pulmonary Hypertension Registry</t>
  </si>
  <si>
    <t>[Boucly, A.; Savale, L.; Beurnier, A.; Jevnikar, M.; Jais, X.; Simonneau, G.; Montani, D.; Sitbon, O.; Humbert, M.] Hop Bicetre, Le Kremlin Bicetre, France; [Weatherald, J. C.] Univ Calgary, Respirol, Calgary, AB, Canada; [De Groote, P.] CHU Lille, Lille, France; [Cottin, V.] Louis Pradel Hosp, Lyon, France; [Prevot, G.] CHU Toulouse, Toulouse, France; [Chaouat, A.] CHRU Nancy, Vandoeuvre Les Nancy, France; [Picard, F.] Hop Cardiol Haut Leveque, Bordeaux, France; [Horeau-Langlard, D.] Hop Laennec, Nantes, France; [Bourdin, A.] Univ Montpellier, Resp Dis, Montpellier, France; [Jutant, E.] CHU Poitiers, Poitiers, France</t>
  </si>
  <si>
    <t>Assistance Publique Hopitaux Paris (APHP); Hopital Universitaire Bicetre - APHP; Universite Paris Saclay; Hopital Universitaire Antoine-Beclere - APHP; University of Calgary; Universite de Lille; CHU Lille; CHU Lyon; CHU de Toulouse; Universite de Toulouse; Universite Toulouse III - Paul Sabatier; CHU de Nancy; CHU Bordeaux; Universite de Bordeaux; Nantes Universite; CHU de Nantes; Universite de Montpellier; CHU Poitiers; Universite de Poitiers</t>
  </si>
  <si>
    <t>DE GROOTE, Pascal/LLL-9444-2024; Chaouat, Ari/AAP-6784-2021; Bourdin, Philippe/D-8149-2015; Humbert, Marc/AAC-8459-2019</t>
  </si>
  <si>
    <t>Humbert, Marc/0000-0003-0703-2892; de Groote, Pascal/0000-0002-6211-0147</t>
  </si>
  <si>
    <t>A2154</t>
  </si>
  <si>
    <t>WOS:000792480401431</t>
  </si>
  <si>
    <t>Boucly, A; Mitrovic, S; Savale, L; Jaïs, X; Montani, D; Lazaro, E; Schleinitz, N; Bloch-Queyrat, C; Christides, C; Pouchot, J; Humbert, M; Fautrel, B; Sitbon, O</t>
  </si>
  <si>
    <t>Boucly, A.; Mitrovic, S.; Savale, L.; Jais, X.; Montani, D.; Lazaro, E.; Schleinitz, N.; Bloch-Queyrat, C.; Christides, C.; Pouchot, J.; Humbert, M.; Fautrel, B.; Sitbon, O.</t>
  </si>
  <si>
    <t>Pulmonary Arterial Hypertension in Adult-Onset Still's Disease</t>
  </si>
  <si>
    <t>[Boucly, A.; Savale, L.; Jais, X.; Montani, D.; Humbert, M.; Sitbon, O.] Hop Bicetre, Le Kremlin Bicetre, France; [Mitrovic, S.; Fautrel, B.] Hop La Pitie Salpetriere, Paris, France; [Lazaro, E.] Hop Haut Leveque, Pessac, France; [Schleinitz, N.] La Timone, Marseille, France; [Bloch-Queyrat, C.] Hop Avicenne, Bobigny, France; [Christides, C.] Ctr Hosp Avignon Henri Duffaut, Avignon, France; [Pouchot, J.] Hop Europeen Georges Pompidou, Paris, France</t>
  </si>
  <si>
    <t>Assistance Publique Hopitaux Paris (APHP); Hopital Universitaire Bicetre - APHP; Universite Paris Saclay; Hopital Universitaire Antoine-Beclere - APHP; Sorbonne Universite; Assistance Publique Hopitaux Paris (APHP); Hopital Universitaire Pitie-Salpetriere - APHP; Universite de Bordeaux; CHU Bordeaux; Universite Paris 13; Assistance Publique Hopitaux Paris (APHP); Hopital Universitaire Avicenne - APHP; Assistance Publique Hopitaux Paris (APHP); Universite Paris Cite; Hopital Universitaire Europeen Georges-Pompidou - APHP</t>
  </si>
  <si>
    <t>schleinitz, nicolas/AAL-6751-2020; Humbert, Marc/AAC-8459-2019</t>
  </si>
  <si>
    <t>schleinitz, nicolas/0000-0001-9449-3392; Humbert, Marc/0000-0003-0703-2892</t>
  </si>
  <si>
    <t>A3043</t>
  </si>
  <si>
    <t>WOS:000792480402611</t>
  </si>
  <si>
    <t>Gillies, H; Niven, R; Dake, B; Chakinala, MM; Feldman, JP; Hill, NS; Hoeper, M; Humbert, MJ; Mclaughlin, VV; Kankam, M</t>
  </si>
  <si>
    <t>Gillies, H.; Niven, R.; Dake, B.; Chakinala, M. M.; Feldman, J. P.; Hill, N. S.; Hoeper, M.; Humbert, M. J.; Mclaughlin, V. V.; Kankam, M.</t>
  </si>
  <si>
    <t>A Phase 1 Single and Multiple Ascending Dose (SAD/MAD) Study to Evaluate the Safety, Tolerability, and Pharmacokinetics of AV-101, a Novel Inhaled Dry Powder Formulation of Imatinib in Healthy Subjects</t>
  </si>
  <si>
    <t>[Gillies, H.; Niven, R.; Dake, B.] Aerovate Therapeut, Waltham, MA USA; [Chakinala, M. M.] Washington Univ, St Louis, MO 63110 USA; [Feldman, J. P.] Arizona Pulm Specialists, Phoenix, AZ USA; [Hill, N. S.] Tufts Med Ctr, Pulm Crit Care &amp; Sleep Div, Boston, MA 02111 USA; [Hoeper, M.] Hannover Med Sch, Resp Med, Hannover, Germany; [Humbert, M. J.] Hop Bicetre, Pneumol, Le Kremlin Bicetre, France; [Mclaughlin, V. V.] Univ Michigan Hosp, Ann Arbor, MI 48109 USA; [Kankam, M.] Altasciences, Kansas City, MO USA</t>
  </si>
  <si>
    <t>Washington University (WUSTL); Tufts Medical Center; Hannover Medical School; Universite Paris Saclay; Assistance Publique Hopitaux Paris (APHP); Hopital Universitaire Bicetre - APHP; Hopital Universitaire Antoine-Beclere - APHP; University of Michigan System; University of Michigan</t>
  </si>
  <si>
    <t>gillies_hunter@yahoo.com</t>
  </si>
  <si>
    <t>Aerovate Therapeutics</t>
  </si>
  <si>
    <t>This abstract is funded by: Aerovate Therapeutics</t>
  </si>
  <si>
    <t>A3594</t>
  </si>
  <si>
    <t>WOS:000792480403465</t>
  </si>
  <si>
    <t>Humbert, M; Mclaughlin, VV; Gibbs, SR; Gomberg-Maitland, M; Hoeper, M; Preston, IR; Souza, R; Waxman, AB; Ghofrani, HA; Subias, PE; Feldman, JP; Meyer, GB; Montani, D; Olsson, KM; Manimaran, S; Pena, JD; Badesch, DB</t>
  </si>
  <si>
    <t>Humbert, M.; Mclaughlin, V. V.; Gibbs, S. R.; Gomberg-Maitland, M.; Hoeper, M.; Preston, I. R.; Souza, R.; Waxman, A. B.; Ghofrani, H. A.; Subias, P. Escribano; Feldman, J. P.; Bohns Meyer, G.; Montani, D.; Olsson, K. M.; Manimaran, S.; Pena, J. de Oliveira; Badesch, D. B.</t>
  </si>
  <si>
    <t>PULSAR Open-Label Extension: Long-Term Efficacy and Safety of Sotatercept for the Treatment of Pulmonary Arterial Hypertension (PAH)</t>
  </si>
  <si>
    <t>[Humbert, M.] Hop Bicetre, Pneumol, Le Kremlin Bicetre, France; [Mclaughlin, V. V.] Univ Michigan Hosp, Ann Arbor, MI 48109 USA; [Gibbs, S. R.] Imperial Coll London, London, England; [Gomberg-Maitland, M.] George Washington Univ, Sch Med &amp; Hlth Sci, Washington, DC 20037 USA; [Hoeper, M.] Hannover Med Sch, Dept Resp Med, Hannover, Germany; [Preston, I. R.] Tufts Med Ctr, Div Pulm Crit Care &amp; Sleep Med, Boston, MA 02111 USA; [Souza, R.] Univ Sao Paulo, Pulm Div Heart Inst, Med Sch, Sao Paulo, Brazil; [Waxman, A. B.] Brigham &amp; Womans Hosp, Div Pulm &amp; Crit Care Med, Boston, MA USA; [Ghofrani, H. A.] Univ Hosp Giessen &amp; Marburgh GmbH, Giessen, Germany; [Subias, P. Escribano] Hosp Univ 12 Octubre, Madrid, Spain; [Feldman, J. P.] Arizona Pulm Specialists, Phoenix, AZ USA; [Bohns Meyer, G.] Ctr Hipertensao Pulmonar, Porto Alegre, RS, Brazil; [Manimaran, S.; Pena, J. de Oliveira] Acceleron Pharma Inc, Cambridge, MA USA; [Badesch, D. B.] Univ Colorado, Aurora, CO USA</t>
  </si>
  <si>
    <t>Assistance Publique Hopitaux Paris (APHP); Hopital Universitaire Bicetre - APHP; Hopital Universitaire Antoine-Beclere - APHP; Universite Paris Saclay; University of Michigan System; University of Michigan; Imperial College London; George Washington University; Hannover Medical School; Tufts Medical Center; Universidade de Sao Paulo; Harvard University; Harvard University Medical Affiliates; Brigham &amp; Women's Hospital; Hospital Universitario 12 de Octubre; Acceleron Pharma; University of Colorado System; University of Colorado Anschutz Medical Campus</t>
  </si>
  <si>
    <t>marc.humbert@bct.aphp.fr</t>
  </si>
  <si>
    <t>Escribano, Pilar/R-5273-2017; Ghofrani, Hossein/LPQ-1427-2024; Hoeper, Marius/Z-1546-2019; Humbert, Marc/AAC-8459-2019; Waxman, Aaron/I-8659-2019</t>
  </si>
  <si>
    <t>Acceleron Pharma Inc</t>
  </si>
  <si>
    <t>This abstract is funded by: Acceleron Pharma Inc</t>
  </si>
  <si>
    <t>A2150</t>
  </si>
  <si>
    <t>WOS:000792480401427</t>
  </si>
  <si>
    <t>Le Ribeuz, H; Masson, B; Capuano, V; Dutheil, M; Gooroochurn, H; Boët, A; Ghigna, MR; De Montpreville, V; Girerd, B; Lambert, M; Mercier, O; Chung, WK; Humbert, M; Montani, D; Antigny, F</t>
  </si>
  <si>
    <t>Le Ribeuz, Helene; Masson, Bastien; Capuano, Veronique; Dutheil, Mary; Gooroochurn, Hans; Boet, Angele; Ghigna, Maria-Rosa; De Montpreville, Vincent; Girerd, Barbara; Lambert, Melanie; Mercier, Olaf; Chung, Wendy K.; Humbert, Marc; Montani, David; Antigny, Fabrice</t>
  </si>
  <si>
    <t>SUR1 As a New Therapeutic Target for Pulmonary Arterial Hypertension</t>
  </si>
  <si>
    <t>SUR1; ABCC8; pulmonary arterial tone; nateglinide</t>
  </si>
  <si>
    <t>K-ATP CHANNELS; SENSITIVE POTASSIUM CHANNELS; GLUTAMATE RELEASE; SULFONYLUREA; DIAZOXIDE; ACTIVATION; EXPRESSION; OPENER; MUSCLE; SECRETION</t>
  </si>
  <si>
    <t>Mutations in ABCC8 have been identified in pulmonary arterial hypertension (PAH). ABCC8 encodes SUR1, a regulatory subunit of the ATP-sensitive potassium channel Kir6.2. However, the pathophysiological role of the SUR1/Kir6.2 channel in PAH is unknown. We hypothesized that activation of SUR1 could be a novel potential target for PAH. We analyzed the expression of SUR1/Kir6.2 in the lungs and pulmonary artery (PA) in human PAH or experimental pulmonary hypertension (PH). The contribution of SUR1 in human or rat PA tone was evaluated, and we measured the consequences of in vivo activation of SUR1 in control and PH rats. SUR1 and Kir6.2 protein expression was not reduced in the lungs or human pulmonary arterial endothelial cells and smooth muscle cells from PAH or experimentally induced PH. We showed that pharmacological activation of SUR1 by three different SUR1 activators (diazoxide, VU0071063, and NN414) leads to PA relaxation. Conversely, the inhibition of SUR1/Kir6.2 channels causes PA constriction. In vivo, long- and short-term activation of SUR1 with diazoxide reversed monocrotaline-induced PH in rats. In addition, in vivo diazoxide application (short protocol) reduced the severity of PH in chronic-hypoxia rats. Moreover, 3 weeks of diazoxide exposure in control rats had no cardiovascular effects. Finally, in vivo, activation of SUR1 with NN414 reduced monocrotaline-induced PH in rats. In PAH and experimental PH, the expression of SUR1/Kir6.2 was still present. In vivo pharmacological SUR1 activation by two different molecules alleviated experimental PH, providing proof of concept that SUR1 activation should be considered for PAH and evaluated more thoroughly.</t>
  </si>
  <si>
    <t>[Le Ribeuz, Helene; Masson, Bastien; Capuano, Veronique; Dutheil, Mary; Boet, Angele; Ghigna, Maria-Rosa; Girerd, Barbara; Lambert, Melanie; Mercier, Olaf; Humbert, Marc; Montani, David; Antigny, Fabrice] Univ Paris Saclay, Paris Saclay Univ, Sch Med, Paris, France; [Le Ribeuz, Helene; Masson, Bastien; Capuano, Veronique; Dutheil, Mary; Boet, Angele; Ghigna, Maria-Rosa; Girerd, Barbara; Lambert, Melanie; Mercier, Olaf; Humbert, Marc; Montani, David; Antigny, Fabrice] Grp Hosp Paris St Joseph Marie Lannelongue, INSERM, UMR S 999, Le Plessis Robinson, France; [Capuano, Veronique; Dutheil, Mary; Ghigna, Maria-Rosa] Hop Marie Lannelongue, Grp Hosp Paris St Joseph, Le Plessis Robinson, France; [Gooroochurn, Hans; De Montpreville, Vincent] Grp Hosp Paris St Joseph Marie Lannelongue Hosp, Dept Pathol, F-92350 Le Plessis Robinson, France; [Girerd, Barbara; Humbert, Marc; Montani, David] Hop Bicetre, AP HP, Pulm Hypertens Natl Referral Ctr, Dept Resp &amp; Intens Care Med, Le Kremlin Bicetre, France; [Mercier, Olaf] Grp Hosp Paris St Joseph Marie Lannelongue Hosp, Dept Thorac &amp; Vasc Surg &amp; Heart Lung Transplantat, F-92350 Le Plessis Robinson, France; [Chung, Wendy K.] Columbia Univ, New York, NY USA</t>
  </si>
  <si>
    <t>Universite Paris Saclay; Universite Paris Cite; Universite Paris Saclay; Institut National de la Sante et de la Recherche Medicale (Inserm); Hopital Marie Lannelongue; Universite Paris Cite; Hopital Paris Saint-Joseph; Universite Paris Cite; Universite Paris Saclay; Assistance Publique Hopitaux Paris (APHP); Hopital Universitaire Bicetre - APHP; Hopital Universitaire Antoine-Beclere - APHP; Universite Paris Cite; Columbia University</t>
  </si>
  <si>
    <t>fabrice.antigny@universite-paris-saclay.fr</t>
  </si>
  <si>
    <t>David, Montani/I-6885-2019; Antigny, Fabrice/Q-3999-2018; Humbert, Marc/AAC-8459-2019</t>
  </si>
  <si>
    <t>Mercier, Olaf/0000-0002-4760-6267; Le Ribeuz, Helene/0000-0002-6579-6076; Masson, Bastien/0000-0003-2364-5269; Antigny, Fabrice/0000-0002-9515-6571; Ghigna, Maria Rosa/0000-0001-5996-665X; Humbert, Marc/0000-0003-0703-2892</t>
  </si>
  <si>
    <t>French association, Federation Francaise de Cardiologie; French National Institute for Health and Medical Research; University of Paris-Saclay; Agence Nationale de la Recherche [ANR-18-CE14-0023]; Therapeutic Innovation Doctoral School [ED569]; Agence Nationale de la Recherche (ANR) [ANR-18-CE14-0023] Funding Source: Agence Nationale de la Recherche (ANR)</t>
  </si>
  <si>
    <t>French association, Federation Francaise de Cardiologie; French National Institute for Health and Medical Research(Institut National de la Sante et de la Recherche Medicale (Inserm)); University of Paris-Saclay; Agence Nationale de la Recherche(Agence Nationale de la Recherche (ANR)); Therapeutic Innovation Doctoral School; Agence Nationale de la Recherche (ANR)(Agence Nationale de la Recherche (ANR))</t>
  </si>
  <si>
    <t>Supported by grants from the French association, Federation Francaise de Cardiologie. This study was also supported by grants from the French National Institute for Health and Medical Research, the University of Paris-Saclay, the Marie Lannelongue Hospital, and the Agence Nationale de la Recherche, grant ANR-18-CE14-0023 (KAPAH). H.L.R. is supported by ANR-18-CE14-0023. M.L. and B.M. are supported by Therapeutic Innovation Doctoral School (ED569).</t>
  </si>
  <si>
    <t>10.1165/rcmb.2021-0180OC</t>
  </si>
  <si>
    <t>0Y7JS</t>
  </si>
  <si>
    <t>WOS:000790563500012</t>
  </si>
  <si>
    <t>Mclaughlin, VV; Channick, RN; Deng, C; Escudero, M; Grover, R; Solum, DT; Humbert, MJ</t>
  </si>
  <si>
    <t>Mclaughlin, V. V.; Channick, R. N.; Deng, C.; Escudero, M.; Grover, R.; Solum, D. T.; Humbert, M. J.</t>
  </si>
  <si>
    <t>A Phase 3, Multicenter, Randomized, Double-Blind, Placebo-Controlled Study to Evaluate the Efficacy and Safety of Ralinepag to Improve Treatment Outcomes in Subjects with Pulmonary Arterial Hypertension (ADVANCE OUTCOMES)</t>
  </si>
  <si>
    <t>[Mclaughlin, V. V.] Univ Michigan Hosp, Ann Arbor, MI 48109 USA; [Channick, R. N.] Univ Calif Los Angeles, David Geffen Sch Med, Med, Los Angeles, CA 90095 USA; [Deng, C.; Escudero, M.; Grover, R.; Solum, D. T.] United Therapeut, Res Triangle Pk, NC USA; [Humbert, M. J.] Hop Bicetre, Pneumol, Le Kremlin Bicetre, France</t>
  </si>
  <si>
    <t>University of Michigan System; University of Michigan; University of California System; University of California Los Angeles; University of California Los Angeles Medical Center; David Geffen School of Medicine at UCLA; Assistance Publique Hopitaux Paris (APHP); Hopital Universitaire Bicetre - APHP; Universite Paris Saclay; Hopital Universitaire Antoine-Beclere - APHP</t>
  </si>
  <si>
    <t>United Therapeutics Corporation</t>
  </si>
  <si>
    <t>Funded by United Therapeutics Corporation</t>
  </si>
  <si>
    <t>A3591</t>
  </si>
  <si>
    <t>WOS:000792480403462</t>
  </si>
  <si>
    <t>Rhodes, CJ; Wharton, J; Swietlik, EM; Harbaum, L; Girerd, B; Coghlan, JG; Lordan, J; Church, C; Pepke-Zaba, J; Toshner, M; Wort, SJ; Kiely, DG; Condliffe, R; Lawrie, A; Gräf, S; Montani, D; Boucly, A; Sitbon, O; Humbert, M; Howard, LS; Morrell, NW; Wilkins, MR</t>
  </si>
  <si>
    <t>Rhodes, Christopher J.; Wharton, John; Swietlik, Emilia M.; Harbaum, Lars; Girerd, Barbara; Coghlan, J. Gerry; Lordan, James; Church, Colin; Pepke-Zaba, Joanna; Toshner, Mark; Wort, Stephen J.; Kiely, David G.; Condliffe, Robin; Lawrie, Allan; Graf, Stefan; Montani, David; Boucly, Athenais; Sitbon, Olivier; Humbert, Marc; Howard, Luke S.; Morrell, Nicholas W.; Wilkins, Martin R.</t>
  </si>
  <si>
    <t>UK Natl PAH Cohort Study Consortiu</t>
  </si>
  <si>
    <t>Using the Plasma Proteome for Risk Stratifying Patients with Pulmonary Arterial Hypertension</t>
  </si>
  <si>
    <t>biomarkers; prognosis; clinical outcomes</t>
  </si>
  <si>
    <t>EXTRACELLULAR-MATRIX; THROMBOSPONDIN-2; SURVIVAL; POLYDOM/SVEP1; ANGIOGENESIS; PEROXIDASIN</t>
  </si>
  <si>
    <t>Rationale: NT-proBNP (N-terminal pro-brain natriuretic peptide), a biomarker of cardiac origin, is used to risk stratify patients with pulmonary arterial hypertension (PAH). Its limitations include poor sensitivity to early vascular pathology. Other biomarkers of vascular or systemic origin may also be useful in the management of PAH. Objectives: Identify prognostic proteins in PAH that complement NT-proBNP and clinical risk scores. Methods: An aptamer-based assay (SomaScan version 4) targeting 4,152 proteins was used to measure plasma proteins in patients with idiopathic, heritable, or drug-induced PAH from the UK National Cohort of PAH (n = 357) and the French EFORT (Evaluation of Prognostic Factors and Therapeutic Targets in PAH) study (n = 79). Prognostic proteins were identified in discovery-replication analyses of UK samples. Proteins independent of 6-minute-walk distance and NT-proBNP entered least absolute shrinkage and selection operator modeling, and the best combination in a single score was evaluated against clinical targets in EFORT. Measurements and Main Results: Thirty-one proteins robustly informed prognosis independent of NT-proBNP and 6-minute-walk distance in the UK cohort. A weighted combination score of six proteins was validated at baseline (5-yr mortality; area under the curve [AUC], 0.73; 95% confidence interval [CI], 0.63-0.85) and follow-up in EFORT (AUC, 0.84; 95% CI, 0.75-0.94; P = 9.96 x 10(-6)). The protein score risk stratified patients independent of established clinical targets and risk equations. The addition of the six-protein model score to NT-proBNP improved prediction of 5-year outcomes from AUC 0.762 (0.702-0.821) to 0.818 (0.767-0.869) by receiver operating characteristic analysis (P = 0.00426 for difference in AUC) in the UK replication and French samples combined. Conclusions: The plasma proteome informs prognosis beyond established factors in PAH and may provide a more sensitive measure of therapeutic response.</t>
  </si>
  <si>
    <t>[Rhodes, Christopher J.; Wharton, John; Harbaum, Lars; Wort, Stephen J.; Howard, Luke S.; Wilkins, Martin R.] Imperial Coll London, Natl Heart &amp; Lung Inst, London, England; [Swietlik, Emilia M.; Toshner, Mark; Graf, Stefan; Morrell, Nicholas W.] Univ Cambridge, Dept Med, Cambridge, England; [Girerd, Barbara; Montani, David; Boucly, Athenais; Sitbon, Olivier; Humbert, Marc] Univ Paris Saclay, Pulm Hypertens Natl Referral Ctr, Dept Resp &amp; Intens Care Med, Hop Bicetre,AP HP,INSERM UMR S 999, Le Kremlin Bicetre, France; [Coghlan, J. Gerry] UCL, Dept Cardiol, Royal Free Campus, London, England; [Lordan, James] Newcastle Univ, Newcastle Upon Tyne, Tyne &amp; Wear, England; [Church, Colin] Univ Glasgow, Glasgow, Lanark, Scotland; [Pepke-Zaba, Joanna] Royal Papworth Hosp, Pulm Vasc Dis Unit, Cambridge, England; [Kiely, David G.; Condliffe, Robin; Lawrie, Allan] Univ Sheffield, Dept Infect Immun &amp; Cardiovasc Dis, Sheffield, S Yorkshire, England; [Kiely, David G.; Condliffe, Robin] Royal Hallamshire Hosp, Sheffield Pulm Vasc Unit, Sheffield, S Yorkshire, England; [Graf, Stefan] Natl Inst Hlth Res, BioResource Translat Res, Cambridge Biomed Campus, Cambridge, England</t>
  </si>
  <si>
    <t>Imperial College London; University of Cambridge; Assistance Publique Hopitaux Paris (APHP); Hopital Universitaire Bicetre - APHP; Universite Paris Saclay; Institut National de la Sante et de la Recherche Medicale (Inserm); Hopital Universitaire Antoine-Beclere - APHP; University of London; University College London; Newcastle University - UK; University of Glasgow; Papworth Hospital; University of Sheffield; University of Sheffield; University of Cambridge</t>
  </si>
  <si>
    <t>Pepke-Zaba, Joanna/AGW-3073-2022; Lawrie, Allan/A-2708-2012; Howard, Luke/HJP-3415-2023; Wilkins, Martin/ABH-1140-2021; Humbert, Marc/AAC-8459-2019</t>
  </si>
  <si>
    <t>Wharton, John/0000-0001-8110-2575; Church, Alistair/0000-0002-4446-0100; Rhodes, Christopher/0000-0002-4962-3204; Harbaum, Lars/0000-0002-9422-6195; Humbert, Marc/0000-0003-0703-2892</t>
  </si>
  <si>
    <t>National Institute for Health Research (NIHR); UK Medical Research Council [MR/K020919/1]; Assistance Publique-Hopitaux de Paris, INSERM, University Paris-Sud; Agence Nationale de la Recherche (Departement Hospitalo-Universitaire Thorax Innovation; LabEx LERMIT) [ANR-10-LABX-0033]; Agence Nationale de la Recherche (Departement Hospitalo-Universitaire Thorax Innovation; RHU BIO-ART LUNG 2020) [ANR-15-RHUS-0002]; British Heart Foundation Centre for Research Excellence award [RE/18/4/34215]; BHF Intermediate Basic Science Research fellowship [FS/15/59/31839]; Academy of Medical Sciences Springboard fellowship [SBF004\1095]; BHF [FS/18/52/33808]; [SP/18/10/33975]; MRC [MR/K020919/1] Funding Source: UKRI; Agence Nationale de la Recherche (ANR) [ANR-10-LABX-0033] Funding Source: Agence Nationale de la Recherche (ANR)</t>
  </si>
  <si>
    <t>National Institute for Health Research (NIHR)(National Institutes of Health Research (NIHR)); UK Medical Research Council(UK Research &amp; Innovation (UKRI)Medical Research Council UK (MRC)); Assistance Publique-Hopitaux de Paris, INSERM, University Paris-Sud; Agence Nationale de la Recherche (Departement Hospitalo-Universitaire Thorax Innovation; LabEx LERMIT)(Agence Nationale de la Recherche (ANR)); Agence Nationale de la Recherche (Departement Hospitalo-Universitaire Thorax Innovation; RHU BIO-ART LUNG 2020)(Agence Nationale de la Recherche (ANR)); British Heart Foundation Centre for Research Excellence award; BHF Intermediate Basic Science Research fellowship; Academy of Medical Sciences Springboard fellowship; BHF(British Heart Foundation); ; MRC(UK Research &amp; Innovation (UKRI)Medical Research Council UK (MRC)); Agence Nationale de la Recherche (ANR)(Agence Nationale de la Recherche (ANR))</t>
  </si>
  <si>
    <t>Supported by the National Institute for Health Research (NIHR), and the UK Medical Research Council (MR/K020919/1), and in part by the Assistance Publique-Hopitaux de Paris, INSERM, University Paris-Sud, and Agence Nationale de la Recherche (Departement Hospitalo-Universitaire Thorax Innovation; LabEx LERMIT, ANR-10-LABX-0033; and RHU BIO-ART LUNG 2020, ANR-15-RHUS-0002); British Heart Foundation Centre for Research Excellence award RE/18/4/34215; and special project grant SP/18/10/33975. C.J.R. is supported by a BHF Intermediate Basic Science Research fellowship (FS/15/59/31839) and Academy of Medical Sciences Springboard fellowship (SBF004\1095). A.L. is a BHF Senior Investigator (FS/18/52/33808). N.W.M. is a BHF Professor and NIHR Senior Investigator. The views expressed are those of the author(s) and not necessarily those of the National Health Service, the NIHR, or the Department of Health and Social Care.</t>
  </si>
  <si>
    <t>10.1164/rccm.202105-1118OC</t>
  </si>
  <si>
    <t>0Y7JA</t>
  </si>
  <si>
    <t>WOS:000790561700020</t>
  </si>
  <si>
    <t>Maron, BA; Humbert, M</t>
  </si>
  <si>
    <t>Maron, Bradley A.; Humbert, Marc</t>
  </si>
  <si>
    <t>HFp2EF: heart failure with pulmonary dysfunction and preserved ejection fraction?</t>
  </si>
  <si>
    <t>Harvard Med Sch, Brigham &amp; Womens Hosp, Div Cardiovasc Med, Boston, MA 02115 USA; [Maron, Bradley A.] VA Boston Healthcare Syst, Dept Cardiol, Boston, MA USA; [Humbert, Marc] Univ Paris Saclay, Hop Bicetre, AP HP, INSERM,UMR S 999,Serv Pneumol, Le Kremlin Bicetre, France</t>
  </si>
  <si>
    <t>Harvard University; Harvard University Medical Affiliates; Brigham &amp; Women's Hospital; Harvard Medical School; Harvard University; Harvard University Medical Affiliates; US Department of Veterans Affairs; Veterans Health Administration (VHA); VA Boston Healthcare System; Assistance Publique Hopitaux Paris (APHP); Hopital Universitaire Bicetre - APHP; Universite Paris Saclay; Hopital Universitaire Antoine-Beclere - APHP; Institut National de la Sante et de la Recherche Medicale (Inserm)</t>
  </si>
  <si>
    <t>Humbert, M (corresponding author), Hop Bicetre, Serv Pneumol &amp; Soins Intensifs Resp, 78 Rue Gen Leclerc, F-92130 Le Kremlin Bicetre, France.</t>
  </si>
  <si>
    <t>National Institutes of Health [NIH 1R01HL139613-01, R01HL153502, R01HL155096-01, U54HL119145]; BWH/MIT-Broad Institute [2021A007243]; Cardiovascular Medical Research Foundation; National Heart Lung and Blood Institute [R01HL153502] Funding Source: NIH RePORTER</t>
  </si>
  <si>
    <t>National Institutes of Health(United States Department of Health &amp; Human ServicesNational Institutes of Health (NIH) - USA); BWH/MIT-Broad Institute; Cardiovascular Medical Research Foundation; National Heart Lung and Blood Institute(United States Department of Health &amp; Human ServicesNational Institutes of Health (NIH) - USANIH National Heart Lung &amp; Blood Institute (NHLBI))</t>
  </si>
  <si>
    <t>B.A.M. receives funding from the National Institutes of Health grant nos NIH 1R01HL139613-01, R01HL153502, R01HL155096-01, and U54HL119145; grant no. 2021A007243 from BWH/MIT-Broad Institute; and the Cardiovascular Medical Research Foundation.</t>
  </si>
  <si>
    <t>JUN 14</t>
  </si>
  <si>
    <t>10.1093/eurheartj/ehac201</t>
  </si>
  <si>
    <t>APR 2022</t>
  </si>
  <si>
    <t>2F2QS</t>
  </si>
  <si>
    <t>WOS:000786587500001</t>
  </si>
  <si>
    <t>Solinc, J; Raimbault-Machado, J; Dierick, F; El Bernoussi, L; Tu, L; Thuillet, R; Mougenot, N; Hoareau-Coudert, B; Monceau, V; Pavoine, C; Atassi, F; Sassoon, D; Marazzi, G; Harvey, RP; Schofield, P; Christ, D; Humbert, M; Guignabert, C; Soubrier, F; Nadaud, S</t>
  </si>
  <si>
    <t>Solinc, Julien; Raimbault-Machado, Jessica; Dierick, France; El Bernoussi, Lamiaa; Tu, Ly; Thuillet, Raphael; Mougenot, Nathalie; Hoareau-Coudert, Benedicte; Monceau, Virginie; Pavoine, Catherine; Atassi, Fabrice; Sassoon, David; Marazzi, Giovanna; Harvey, Richard P.; Schofield, Peter; Christ, Daniel; Humbert, Marc; Guignabert, Christophe; Soubrier, Florent; Nadaud, Sophie</t>
  </si>
  <si>
    <t>Platelet-Derived Growth Factor Receptor Type α Activation Drives Pulmonary Vascular Remodeling Via Progenitor Cell Proliferation and Induces Pulmonary Hypertension</t>
  </si>
  <si>
    <t>fibrosis; pulmonary hypertension; platelet-derived growth factor receptor alpha; stem cells; vascular remodeling</t>
  </si>
  <si>
    <t>MESENCHYMAL STEM-CELLS; PDGFR-ALPHA; FACTOR EXPRESSION; CONTRIBUTES; FIBROBLASTS; PW1</t>
  </si>
  <si>
    <t>Background Platelet-derived growth factor is a major regulator of the vascular remodeling associated with pulmonary arterial hypertension. We previously showed that protein widely 1 (PW1(+)) vascular progenitor cells participate in early vessel neomuscularization during experimental pulmonary hypertension (PH) and we addressed the role of the platelet-derived growth factor receptor type alpha (PDGFR alpha) pathway in progenitor cell-dependent vascular remodeling and in PH development. Methods and Results Remodeled pulmonary arteries from patients with idiopathic pulmonary arterial hypertension showed an increased number of perivascular and vascular PW1(+) cells expressing PDGFR alpha. PW1(nLacZ) reporter mice were used to follow the fate of pulmonary PW1(+) progenitor cells in a model of chronic hypoxia-induced PH development. Under chronic hypoxia, PDGFR alpha inhibition prevented the increase in PW1(+) progenitor cell proliferation and differentiation into vascular smooth muscle cells and reduced pulmonary vessel neomuscularization, but did not prevent an increased right ventricular systolic pressure or the development of right ventricular hypertrophy. Conversely, constitutive PDGFR alpha activation led to neomuscularization via PW1(+) progenitor cell differentiation into new smooth muscle cells and to PH development in male mice without fibrosis. In vitro, PW1(+) progenitor cell proliferation, but not differentiation, was dependent on PDGFR alpha activity. Conclusions These results demonstrate a major role of PDGFR alpha signaling in progenitor cell-dependent lung vessel neomuscularization and vascular remodeling contributing to PH development, including in idiopathic pulmonary arterial hypertension patients. Our findings suggest that PDGFR alpha blockers may offer a therapeutic add-on strategy to combine with current pulmonary arterial hypertension treatments to reduce vascular remodeling. Furthermore, our study highlights constitutive PDGFR alpha activation as a novel experimental PH model.</t>
  </si>
  <si>
    <t>[Solinc, Julien; Raimbault-Machado, Jessica; Dierick, France; El Bernoussi, Lamiaa; Pavoine, Catherine; Atassi, Fabrice; Soubrier, Florent; Nadaud, Sophie] Sorbonne Univ, Fac Med Pitie Salpetriere, INSERM, UMR S 1166, Paris, France; [Mougenot, Nathalie] Sorbonne Univ, Fac Med Pitie Salpetriere, INSERM, UMS28, Paris, France; [Hoareau-Coudert, Benedicte] Sorbonne Univ, Fac Med Pitie Salpetriere, INSERM, Plateforme CyPS, Paris, France; [Solinc, Julien; Raimbault-Machado, Jessica; El Bernoussi, Lamiaa; Pavoine, Catherine; Atassi, Fabrice; Soubrier, Florent; Nadaud, Sophie] ICAN Inst, Paris, France; [Dierick, France] McGill Univ, Lady Davis Inst Med Res, Montreal, PQ, Canada; [Tu, Ly; Thuillet, Raphael; Humbert, Marc; Guignabert, Christophe] Univ Paris Saclay, Sch Med, Le Kremlin Bicetre, France; [Tu, Ly; Thuillet, Raphael; Humbert, Marc; Guignabert, Christophe] Hop Marie Lannelongue, UMR S Pulm Hypertens Pathophysiol &amp; Novel Therapi, INSERM, Le Plessis Robinson, France; [Monceau, Virginie] LRTOX, Fontenay Aux Roses, France; [Sassoon, David; Marazzi, Giovanna] Univ Paris, Paris Cardiovasc Res Ctr, INSERM, Paris, France; [Harvey, Richard P.] Victor Chang Cardiac Res Inst, Darlinghurst, NSW, Australia; [Harvey, Richard P.; Schofield, Peter; Christ, Daniel] UNSW Sydney, St Vincents Clin Sch, Sydney, NSW, Australia; [Harvey, Richard P.; Schofield, Peter; Christ, Daniel] UNSW Sydney, Sch Biotechnol &amp; Biomol Sci, Sydney, NSW, Australia; [Schofield, Peter; Christ, Daniel] Garvan Inst Med Res, Immunol Div, Darlinghurst, NSW, Australia; [Humbert, Marc] Hop Bicetre, AP HP, Dept Resp &amp; Intens Care Med, Pulm Hypertens Natl Referral Ctr, Le Kremlin Bicetre, France</t>
  </si>
  <si>
    <t>Institut National de la Sante et de la Recherche Medicale (Inserm); Sorbonne Universite; Sorbonne Universite; Institut National de la Sante et de la Recherche Medicale (Inserm); Sorbonne Universite; Institut National de la Sante et de la Recherche Medicale (Inserm); Sorbonne Universite; Institut National de la Sante et de la Recherche Medicale (Inserm); McGill University; Lady Davis Institute; Universite Paris Saclay; Hopital Marie Lannelongue; Institut National de la Sante et de la Recherche Medicale (Inserm); Institut National de la Sante et de la Recherche Medicale (Inserm); Universite Paris Cite; Victor Chang Cardiac Research Institute; University of New South Wales Sydney; University of New South Wales Sydney; Garvan Institute of Medical Research; Assistance Publique Hopitaux Paris (APHP); Hopital Universitaire Antoine-Beclere - APHP; Hopital Universitaire Bicetre - APHP; Universite Paris Saclay</t>
  </si>
  <si>
    <t>Nadaud, S (corresponding author), Univ Paris 06, UMR S ICAN 1166, 91 Blvd Hop, F-75013 Paris, France.</t>
  </si>
  <si>
    <t>sophie.nadaud@sorbonne-universite.fr</t>
  </si>
  <si>
    <t>Nadaud, Sophie/A-7063-2013; Harvey, Richard/U-9341-2019; GUIGNABERT, Christophe/G-3873-2013; TU, Ly/G-4035-2013; Christ, Daniel/C-1861-2018; Humbert, Marc/AAC-8459-2019</t>
  </si>
  <si>
    <t>Hoareau, Benedicte/0000-0002-6575-7085; Thuillet, Raphael/0000-0002-1379-3797; GUIGNABERT, Christophe/0000-0002-8545-4452; Nadaud, Sophie/0000-0002-1452-6009; TU, Ly/0000-0003-2336-5099; Christ, Daniel/0000-0002-7313-3977; Humbert, Marc/0000-0003-0703-2892</t>
  </si>
  <si>
    <t>Institute of Cardiometabolism and Nutrition [ANR-10-IAHU-05]; Fondation Leducq [13CVD01]; Agence Nationale de la Recherche [ANR-15-CE14-0020]; Fondation pour la Recherche Medicale [DEQ20150331712]; Departement Hospitalo-Universitaire Thorax Innovation; LabEx LERMIT [ANR-10-LABX-0033]; French PAH patient association (HTAP France); French Ministry of Research and Education; Canadian Institutes of Health Research project grant; National Health and Medical Research Council of Australia [APP1118576, 1074386]; Australian Research Council Special Initiative in Stem Cell Science [SR110001002]; New South Wales Government Department of Health; Agence Nationale de la Recherche (ANR) [ANR-15-CE14-0020] Funding Source: Agence Nationale de la Recherche (ANR)</t>
  </si>
  <si>
    <t>Institute of Cardiometabolism and Nutrition; Fondation Leducq(Leducq Foundation); Agence Nationale de la Recherche(Agence Nationale de la Recherche (ANR)); Fondation pour la Recherche Medicale(Fondation pour la Recherche Medicale); Departement Hospitalo-Universitaire Thorax Innovation; LabEx LERMIT; French PAH patient association (HTAP France); French Ministry of Research and Education; Canadian Institutes of Health Research project grant(Canadian Institutes of Health Research (CIHR)); National Health and Medical Research Council of Australia(National Health &amp; Medical Research Council (NHMRC) of Australia); Australian Research Council Special Initiative in Stem Cell Science(Australian Research Council); New South Wales Government Department of Health; Agence Nationale de la Recherche (ANR)(Agence Nationale de la Recherche (ANR))</t>
  </si>
  <si>
    <t>This work was supported by the Institute of Cardiometabolism and Nutrition (ANR-10-IAHU-05). Drs Sassoon, Marazzi, and Harvey were supported by a grant from the Fondation Leducq (grant 13CVD01; CardioStemNet project). Drs Nadaud and Guignabert were supported by a grant from the Agence Nationale de la Recherche (ANR-15-CE14-0020). Drs Humbert and C. Guignabert also acknowledge support from the Fondation pour la Recherche Medicale (DEQ20150331712), the Departement Hospitalo-Universitaire Thorax Innovation, the LabEx LERMIT (ANR-10-LABX-0033), and the French PAH patient association (HTAP France). Dr Solinc was supported by the French Ministry of Research and Education. Dr Dierick was supported by the French Ministry of Research and Education and by a Canadian Institutes of Health Research project grant (to the Stephanie Lehoux laboratory). Dr Harvey also acknowledges support from the National Health and Medical Research Council of Australia (APP1118576; 1074386), the Australian Research Council Special Initiative in Stem Cell Science (SR110001002) and the New South Wales Government Department of Health.</t>
  </si>
  <si>
    <t>APR 5</t>
  </si>
  <si>
    <t>e023021</t>
  </si>
  <si>
    <t>10.1161/JAHA.121.023021</t>
  </si>
  <si>
    <t>0G8AW</t>
  </si>
  <si>
    <t>WOS:000778262600056</t>
  </si>
  <si>
    <t>Eger, K; Paroczai, D; Bacon, A; Schleich, F; Sergejeva, S; Bourdin, A; Vachier, I; Zervas, E; Katsoulis, K; Papapetrou, D; Kostikas, K; Csoma, Z; Heffler, E; Canonica, GW; Grisle, I; Bieksiene, K; Palacionyte, J; Ten Brinke, A; Hashimoto, S; Smeenk, FWJM; Braunstahl, GJ; van der Sar, S; Mihaltan, F; Nenasheva, N; Peredelskaya, M; Zvezdin, B; Cekerevac, I; Hromis, S; Cupurdija, V; Lazic, Z; Milenkovic, B; Dimic-Janjic, S; Yasinska, V; Dahlén, B; Bossios, A; Lazarinis, N; Aronsson, D; Egesten, A; Munir, AM; Ahlbeck, L; Janson, C; Skrgat, S; Edelbaher, N; Leuppi, J; Jaun, F; Rüdiger, J; Pavlov, N; Gianella, P; Fischer, R; Charbonnier, F; Chaudhuri, R; Smith, SJ; Doe, S; Fawdon, M; Masoli, M; Heaney, L; Haitchi, HM; Kurukulaaratchy, R; Fulton, O; Frankemölle, B; Gibson, T; Needham, K; Howarth, P; Djukanovic, R; Bel, E; Hyland, M</t>
  </si>
  <si>
    <t>Eger, Katrien; Paroczai, Dora; Bacon, Alison; Schleich, Florence; Sergejeva, Svetlana; Bourdin, Arnaud; Vachier, Isabelle; Zervas, Eleftherios; Katsoulis, Konstantinos; Papapetrou, Dimosthenis; Kostikas, Konstantinos; Csoma, Zsuzsanna; Heffler, Enrico; Canonica, Giorgio Walter; Grisle, Ineta; Bieksiene, Kristina; Palacionyte, Jolita; Ten Brinke, Anneke; Hashimoto, Simone; Smeenk, Frank W. J. M.; Braunstahl, Gert-Jan; van der Sar, Simone; Mihaltan, Florin; Nenasheva, Natalia; Peredelskaya, Marina; Zvezdin, Biljana; Cekerevac, Ivan; Hromis, Sanja; Cupurdija, Vojislav; Lazic, Zorica; Milenkovic, Branislava; Dimic-Janjic, Sanja; Yasinska, Valentyna; Dahlen, Barbro; Bossios, Apostolos; Lazarinis, Nikolaos; Aronsson, David; Egesten, Arne; Munir, Abul Kashem Mohammad; Ahlbeck, Lars; Janson, Christer; Skrgat, Sabina; Edelbaher, Natalija; Leuppi, Joerg; Jaun, Fabienne; Rudiger, Jochen; Pavlov, Nikolay; Gianella, Pietro; Fischer, Reta; Charbonnier, Florian; Chaudhuri, Rekha; Smith, Steven James; Doe, Simon; Fawdon, Michelle; Masoli, Matthew; Heaney, Liam; Haitchi, Hans Michael; Kurukulaaratchy, Ramesh; Fulton, Olivia; Frankemolle, Betty; Gibson, Toni; Needham, Karen; Howarth, Peter; Djukanovic, Ratko; Bel, Elisabeth; Hyland, Michael</t>
  </si>
  <si>
    <t>The effect of the COVID-19 pandemic on severe asthma care in Europe: will care change for good?</t>
  </si>
  <si>
    <t>PATIENT SATISFACTION; ALLERGY; TELEMEDICINE; SERVICES; TELEHEALTH; PROGRAM; IMPACT</t>
  </si>
  <si>
    <t>Background The coronavirus disease 2019 (COVID-19) pandemic has put pressure on healthcare services, forcing the reorganisation of traditional care pathways. We investigated how physicians taking care of severe asthma patients in Europe reorganised care, and how these changes affected patient satisfaction, asthma control and future care. Methods In this European-wide cross-sectional study, patient surveys were sent to patients with a physician-diagnosis of severe asthma, and physician surveys to severe asthma specialists between November 2020 and May 2021. Results 1101 patients and 268 physicians from 16 European countries contributed to the study. Common physician-reported changes in severe asthma care included use of video/phone consultations (46%), reduced availability of physicians (43%) and change to home-administered biologics (38%). Change to phone/video consultations was reported in 45% of patients, of whom 79% were satisfied or very satisfied with this change. Of 709 patients on biologics, 24% experienced changes in biologic care, of whom 92% were changed to home-administered biologics and of these 62% were satisfied or very satisfied with this change. Only 2% reported worsening asthma symptoms associated with changes in biologic care. Many physicians expect continued implementation of video/phone consultations (41%) and home administration of biologics (52%). Conclusions Change to video/phone consultations and home administration of biologics was common in severe asthma care during the COVID-19 pandemic and was associated with high satisfaction levels in most but not all cases. Many physicians expect these changes to continue in future severe asthma care, though satisfaction levels may change after the pandemic.</t>
  </si>
  <si>
    <t>[Eger, Katrien; Bel, Elisabeth] Univ Amsterdam, Acad Med Ctr, Amsterdam, Netherlands; [Paroczai, Dora; Hashimoto, Simone] Univ Szeged, Csongrad Cty Hosp, Szeged, Hungary; [Paroczai, Dora; Hashimoto, Simone] Univ Szeged, Dept Pulmonol, Szeged, Hungary; [Bacon, Alison] Univ Plymouth, Sch Psychol, Plymouth, Devon, England; [Schleich, Florence] CHU Liege, Liege, Belgium; [Sergejeva, Svetlana] North Estonian Med Ctr, Tallinn, Estonia; [Bourdin, Arnaud; Vachier, Isabelle] Univ Montpellier, CHU Montpellier, PhyMedExp, Montpellier, France; [Zervas, Eleftherios] Athens Chest Hosp, Resp Dept 7, Athens, Greece; [Katsoulis, Konstantinos] 424 Army Gen Hosp, Pulm Dept, Thessaloniki, Greece; [Papapetrou, Dimosthenis] Paleo Faliro Clin, Med Grp Athens, Athens, Greece; [Kostikas, Konstantinos] Univ Hosp Ioannina, Resp Med Dept, Ioannina, Greece; [Csoma, Zsuzsanna] Natl Koranyi Inst Pulmonol, Budapest, Hungary; [Heffler, Enrico; Canonica, Giorgio Walter] IRCCS Humanitas Res Hosp, Personalized Med Asthma &amp; Allergy, Rozzano, MI, Italy; [Heffler, Enrico; Canonica, Giorgio Walter] Humanitas Univ, Dept Biomed Sci, Pieve Emanuele, MI, Italy; [Grisle, Ineta] Riga East Univ Hosp, Riga, Latvia; [Bieksiene, Kristina; Palacionyte, Jolita] Lithuanian Univ Hlth Sci, Kaunas, Lithuania; [Ten Brinke, Anneke] Med Ctr Leeuwarden, Leeuwarden, Netherlands; [Smeenk, Frank W. J. M.] Catharina Ziekenhuis Eindhoven, Eindhoven, Netherlands; [Braunstahl, Gert-Jan] Franciscus Gasthuis Vlietland, Rotterdam, Netherlands; [van der Sar, Simone] Amphia Ziekenhuis, Breda, Netherlands; [Mihaltan, Florin] Natl Inst Pneumol, Bucharest, Romania; [Nenasheva, Natalia; Peredelskaya, Marina] Russian Med Acad Continuous Profess Educ, Minist Healthcare Russian Federat, Moscow, Russia; [Zvezdin, Biljana; Hromis, Sanja] Inst Pulm Dis Vojvodina, Sremska Kamenica, Serbia; [Zvezdin, Biljana] Univ Novi Sad, Med Fac Novi Sad, Bucharest, Romania; [Cekerevac, Ivan; Cupurdija, Vojislav; Lazic, Zorica] Univ Clin Ctr Kragujevac, Clin Pulmonol, Kragujevac, Serbia; [Cekerevac, Ivan; Cupurdija, Vojislav; Lazic, Zorica] Univ Kragujevac, Fac Med Sci, Dept Internal Med, Kragujevac, Serbia; [Milenkovic, Branislava; Dimic-Janjic, Sanja] Univ Clin Ctr Serbia, Belgrade Med Fac, Clin Pulmonol, Belgrade, Serbia; [Yasinska, Valentyna; Dahlen, Barbro; Bossios, Apostolos; Lazarinis, Nikolaos] Karolinska Univ Hosp, Karolinska Severe Asthma Ctr, Dept Resp Med &amp; Allergy, Huddinge, Sweden; [Yasinska, Valentyna; Dahlen, Barbro; Bossios, Apostolos; Lazarinis, Nikolaos] Dept Med, Huddinge, Sweden; [Yasinska, Valentyna; Dahlen, Barbro; Bossios, Apostolos; Lazarinis, Nikolaos] Karolinska Inst, Stockholm, Sweden; [Aronsson, David; Egesten, Arne; Munir, Abul Kashem Mohammad] Lund Univ, Dept Clin Sci Lund, Resp Med &amp; Allergol, Lund, Sweden; [Aronsson, David; Egesten, Arne; Munir, Abul Kashem Mohammad] Skane Univ Hosp, Lund, Sweden; [Ahlbeck, Lars] Allergy Ctr, Linkoping, Sweden; [Janson, Christer] Uppsala Univ, Dept Med Sci, Uppsala, Sweden; [Skrgat, Sabina] Univ Ljubljana, Univ Med Ctr Ljubljana, Med Fac, Dept Pulm Dis, Ljubljana, Slovenia; [Edelbaher, Natalija] Univ Med Ctr Maribor, Pulm Dept, Maribor, Slovenia; [Leuppi, Joerg; Jaun, Fabienne] Univ Basel, Med Fac, Liestal, Switzerland; [Leuppi, Joerg; Jaun, Fabienne] Cantonal Hosp Baselland, Liestal, Switzerland; [Rudiger, Jochen] Med Stollturm, Basel, Switzerland; [Pavlov, Nikolay] Univ Bern, Bern Univ Hosp, Dept Pulm Med, Inselspital, Bern, Switzerland; [Gianella, Pietro] EOC Lugano, Lugano, Switzerland; [Fischer, Reta] Quartier Bleu, Bern, Switzerland; [Charbonnier, Florian] HUG Geneve, Geneva, Switzerland; [Chaudhuri, Rekha; Smith, Steven James] Gartnavel Royal Hosp, Glasgow, Lanark, Scotland; [Doe, Simon; Fawdon, Michelle] Royal Victoria Infirm, Newcastle Upon Tyne, Tyne &amp; Wear, England; [Masoli, Matthew] Royal Devon &amp; Exeter Hosp, Exeter, Devon, England; [Heaney, Liam] Queens Univ Belfast, Wellcome Wolfson Ctr Expt Med, Belfast, Antrim, North Ireland; [Haitchi, Hans Michael; Kurukulaaratchy, Ramesh; Djukanovic, Ratko] Univ Hosp Southampton, Southampton, Hants, England; [Fulton, Olivia; Frankemolle, Betty; Gibson, Toni; Needham, Karen] European Lung Fdn, Sheffield, S Yorkshire, England; [Howarth, Peter] GSK, Specialty Med TA, Global Med Affairs, Brentford, England; [Hyland, Michael] Plymouth Marjon Univ, Plymouth, Devon, England</t>
  </si>
  <si>
    <t>University of Amsterdam; Academic Medical Center Amsterdam; Szeged University; Szeged University; University of Plymouth; University of Liege; Universite de Montpellier; CHU de Montpellier; Institut National de la Sante et de la Recherche Medicale (Inserm); University Hospital Ioannina; Riga East University Hospital; Lithuanian University of Health Sciences; Medical Center Leeuwarden; Catharina Hospital; Franciscus Gasthuis; Amphia Hospital; Marius Nasta Pneumophtisiology Institute; University of Kragujevac; Clinical Centre of Serbia; Karolinska Institutet; Karolinska University Hospital; Karolinska Institutet; Lund University; Lund University; Skane University Hospital; Uppsala University; University of Ljubljana; University Medical Centre Ljubljana; University of Maribor; University of Basel; Kantonsspital Baselland; University of Bern; University Hospital of Bern; University of Geneva; Gartnavel Royal Hospital; Newcastle University - UK; University of Exeter; Queens University Belfast; GlaxoSmithKline; Glaxosmithkline United Kingdom; University of St Mark &amp; St John</t>
  </si>
  <si>
    <t>Eger, K (corresponding author), Univ Amsterdam, Acad Med Ctr, Amsterdam, Netherlands.</t>
  </si>
  <si>
    <t>k.a.eger@amsterdamumc.nl</t>
  </si>
  <si>
    <t>Hromis, Sanja/HJA-1113-2022; Vachier, Isabelle/AAV-5731-2020; Bourdin, Philippe/D-8149-2015; Bacon, Alison/AAE-4217-2022; Leuppi, Jörg/W-6798-2019; Yasinska, Valentyna/AEI-7779-2022; Humbert, Marc/AAC-8459-2019; Gotua, Maia/ABA-1648-2021; Cekerevac, Ivan/HGE-2790-2022; Jaun, Fabienne/IXN-7658-2023; Lotrean, Lucia/C-2859-2011; Kurukulaaratchy, Ramesh/IRZ-6246-2023; Peredelskaya, marina/GWD-0538-2022; Bossios, Apostolos/ABH-8262-2020; Hashimoto, Simone/AAO-8863-2020; CANONICA, GIORGIO WALTER/ABF-2037-2020; Braunstahl, Gerrit/AAA-3047-2020; Heffler, Enrico/F-9455-2010</t>
  </si>
  <si>
    <t>Peredelskaya, Marina/0000-0003-2682-8108; Dimic- Janjic, Sanja/0000-0001-9989-3862; Bourdin, Arnaud/0000-0002-4645-5209; Hyland, Michael/0000-0003-3879-0469; Jaun, Fabienne/0000-0002-1229-2181; Heaney, Liam/0000-0002-9176-5564; Howarth, Peter/0000-0003-0619-7927; Kurukulaaratchy, Ramesh/0000-0002-1588-2400; Leuppi, Jorg/0000-0002-5554-0675; Bossios, Apostolos/0000-0002-0494-2690; Haitchi, Hans Michael/0000-0001-8603-302X; Lazarinis, Nikolaos/0000-0003-2078-0705; Bacon, Alison/0000-0003-4279-3814; CANONICA, GIORGIO WALTER/0000-0001-8467-2557; Djukanovic, Ratko/0000-0001-6039-5612; Braunstahl, Gerrit/0000-0001-7671-3742; Dahlen, Barbro/0000-0003-3803-9034; Heffler, Enrico/0000-0002-0492-5663; Zervas, Eleftherios/0000-0001-7436-4550</t>
  </si>
  <si>
    <t>European Respiratory Society; GlaxoSmithKline Research and Development Limited; Chiesi Farmaceutici SPA; Novartis Pharma AG; Sanofi-Genzyme Corporation; Teva Branded Pharmaceutical Products RD, Inc.</t>
  </si>
  <si>
    <t>European Respiratory Society; GlaxoSmithKline Research and Development Limited; Chiesi Farmaceutici SPA(Chiesi Pharmaceuticals Inc); Novartis Pharma AG; Sanofi-Genzyme Corporation; Teva Branded Pharmaceutical Products RD, Inc.(Teva Pharmaceutical Industries)</t>
  </si>
  <si>
    <t>The SHARP CRC has been supported by financial and other contributions from the following consortium partners: European Respiratory Society, GlaxoSmithKline Research and Development Limited, Chiesi Farmaceutici SPA, Novartis Pharma AG, Sanofi-Genzyme Corporation and Teva Branded Pharmaceutical Products R&amp;D, Inc. Funding information for this article has been deposited with the Crossref Funder Registry.</t>
  </si>
  <si>
    <t>00065-2022</t>
  </si>
  <si>
    <t>10.1183/23120541.00065-2022</t>
  </si>
  <si>
    <t>1I8PK</t>
  </si>
  <si>
    <t>Green Accepted, Green Published, Green Submitted, gold</t>
  </si>
  <si>
    <t>WOS:000797488900005</t>
  </si>
  <si>
    <t>Issard, J; Jais, X; Garcia-Alonso, C; Gerardin, B; Mercier, O; Humbert, M; Fadel, E; Brenot, P</t>
  </si>
  <si>
    <t>Issard, J.; Jais, X.; Garcia-Alonso, C.; Gerardin, B.; Mercier, O.; Humbert, M.; Fadel, E.; Brenot, P.</t>
  </si>
  <si>
    <t>Balloon Pulmonary Angioplasty Results in Anatomically Operable CTEPH Patients</t>
  </si>
  <si>
    <t>[Issard, J.; Jais, X.; Garcia-Alonso, C.; Gerardin, B.; Mercier, O.; Humbert, M.; Fadel, E.; Brenot, P.] France &amp; 2 Bicetre Hosp, Plessis Robinson, Le Kremlin Bic etre, France</t>
  </si>
  <si>
    <t>Brenot, Philippe/HJB-1040-2022; Humbert, Marc/AAC-8459-2019</t>
  </si>
  <si>
    <t>S27</t>
  </si>
  <si>
    <t>0J5BP</t>
  </si>
  <si>
    <t>WOS:000780119700039</t>
  </si>
  <si>
    <t>Savale, L; Vicaire, H; Le Pavec, J; Pradére, P; Boucly, A; Jais, X; Montani, D; Mercier, O; Sitbon, O; Fadel, E; Humbert, M</t>
  </si>
  <si>
    <t>Savale, L.; Vicaire, H.; Le Pavec, J.; Pradere, P.; Boucly, A.; Jais, X.; Montani, D.; Mercier, O.; Sitbon, O.; Fadel, E.; Humbert, M.</t>
  </si>
  <si>
    <t>Risk Stratification in Patients with Pulmonary Arterial Hypertension and Candidates for Lung or Heart-Lung Transplantation</t>
  </si>
  <si>
    <t>[Savale, L.; Vicaire, H.; Boucly, A.; Jais, X.; Montani, D.; Sitbon, O.; Humbert, M.] CHU Bicetre, Le Kremlin Bicetre, France; [Le Pavec, J.; Pradere, P.; Mercier, O.; Fadel, E.] Hop Marie Lannelongue, Le Plessis Robinson, France</t>
  </si>
  <si>
    <t>Assistance Publique Hopitaux Paris (APHP); Hopital Universitaire Bicetre - APHP; Hopital Marie Lannelongue</t>
  </si>
  <si>
    <t>S35</t>
  </si>
  <si>
    <t>WOS:000780119700059</t>
  </si>
  <si>
    <t>Vizza, CD; Lang, IM; Badagliacca, R; Benza, RL; Rosenkranz, S; White, RJ; Adir, Y; Andreassen, AK; Balasubramanian, V; Bartolome, S; Blanco, I; Bourge, RC; Carlsen, J; Camacho, REC; D'Alto, M; Farber, HW; Frantz, RP; Ford, HJ; Ghio, S; Gomberg-Maitland, M; Humbert, M; Naeije, R; Orfanos, SE; Oudiz, RJ; Perrone, SV; Shlobin, OA; Simon, MA; Sitbon, O; Torres, F; Vachiery, JL; Wang, KY; Yacoub, MH; Liu, Y; Golden, G; Matsubara, H</t>
  </si>
  <si>
    <t>Vizza, Carmine Dario; Lang, Irene M.; Badagliacca, Roberto; Benza, Raymond L.; Rosenkranz, Stephan; White, R. James; Adir, Yochai; Andreassen, Arne K.; Balasubramanian, Vijay; Bartolome, Sonja; Blanco, Isabel; Bourge, Robert C.; Carlsen, Jorn; Conde Camacho, Rafael Enrique; D'Alto, Michele; Farber, Harrison W.; Frantz, Robert P.; Ford, H. James; Ghio, Stefano; Gomberg-Maitland, Mardi; Humbert, Marc; Naeije, Robert; Orfanos, Stylianos E.; Oudiz, Ronald J.; Perrone, Sergio, V; Shlobin, Oksana A.; Simon, Marc A.; Sitbon, Olivier; Torres, Fernando; Vachiery, Jean Luc; Wang, Kuo-Yang; Yacoub, Magdi H.; Liu, Yan; Golden, Gil; Matsubara, Hiromi</t>
  </si>
  <si>
    <t>Aggressive Afterload Lowering to Improve the Right Ventricle A New Target for Medical Therapy in Pulmonary Arterial Hypertension?</t>
  </si>
  <si>
    <t>combination therapy; prostacyclin; pulmonary arterial hypertension; pulmonary arterial pressure; right ventricular afterload</t>
  </si>
  <si>
    <t>COMBINATION THERAPY; LUNG TRANSPLANTATION; PROGNOSTIC-FACTORS; SINGLE-CENTER; RIGHT HEART; FOLLOW-UP; EPOPROSTENOL; PROSTACYCLIN; BOSENTAN; SURVIVAL</t>
  </si>
  <si>
    <t>Despite numerous therapeutic advances in pulmonary arterial hypertension, patients continue to suffer high morbidity and mortality, particularly considering a median age of 50 years. This article explores whether early, robust reduction of right ventricular afterload would facilitate substantial improvement in right ventricular function and thus whether afterload reduction should be a treatment goal for pulmonary arterial hypertension. The earliest clinical studies of prostanoid treatment in pulmonary arterial hypertension demonstrated an important link between lowering mean pulmonary arterial pressure (or pulmonary vascular resistance) and improved survival. Subsequent studies of oral monotherapy or sequential combination therapy demonstrated smaller reductions in mean pulmonary arterial pressure and pulmonary vascular resistance. More recently, retrospective reports of initial aggressive prostanoid treatment or initial combination oral and parenteral therapy have shown marked afterload reduction along with significant improvements in right ventricular function. Some data suggest that reaching threshold levels for pressure or resistance (components of right ventricular afterload) may be key to interrupting the self-perpetuating injury of pulmonary vascular disease in pulmonary arterial hypertension and could translate into improved long-term clinical outcomes. Based on these clues, the authors postulate that improved clinical outcomes might be achieved by targeting significant afterload reduction with initial oral combination therapy and early parenteral prostanoids.</t>
  </si>
  <si>
    <t>[Vizza, Carmine Dario; Badagliacca, Roberto] Univ Roma La Sapienza, Dipartimento Sci Clin Internist Anestesiol &amp; Card, Rome, Italy; [Lang, Irene M.] Med Univ Vienna, Dept Internal Med 2, Div Cardiol, Vienna, Austria; [Benza, Raymond L.] Ohio State Univ, Div Cardiovasc Dis, Columbus, OH 43210 USA; [Rosenkranz, Stephan] Clin III Internal Med, Dept Cardiol, Cologne, Germany; [Rosenkranz, Stephan] Cologne Cardiovasc Res Ctr, Cologne, Germany; [White, R. James] Univ Rochester, Dept Pulm &amp; Crit Care Med, Rochester, NY USA; [Adir, Yochai] Carmel Hosp, Pulm Div, Haifa, Israel; [Adir, Yochai] Technion Israel Inst Technol, Fac Med, Haifa, Israel; [Andreassen, Arne K.] Oslo Univ Hosp, Dept Cardiol, Rikshosp, Oslo, Norway; [Balasubramanian, Vijay] Univ Calif San Francisco Fresno, Dept Med, Div Pulm &amp; Crit Care, Fresno, CA USA; [Bartolome, Sonja; Torres, Fernando] Univ Texas Southwestern Med Ctr Dallas, Div Pulm &amp; Crit Care Med, Dallas, TX 75390 USA; [Blanco, Isabel] Univ Barcelona, August Pi &amp; Sunyer Biomed Res Inst, Dept Pulm Med, Barcelona, Spain; [Blanco, Isabel] Biomed Res Networking Ctr Resp Dis CIBERES, Madrid, Spain; [Bourge, Robert C.] Univ Alabama Birmingham, Dept Cardiovasc Dis, Birmingham, AL USA; [Carlsen, Jorn] Copenhagen Univ Hosp, Rigshosp, Dept Cardiol, Copenhagen, Denmark; [Carlsen, Jorn] Univ Copenhagen, Fac Hlth &amp; Med Sci, Dept Clin Med, Copenhagen, Denmark; [Conde Camacho, Rafael Enrique] Univ Clin Colombia, Pulmonol Fdn Colombia, Vasc Pulm Ctr, Pulmonol,Crit Med &amp; Intens Care, Bogota, Colombia; [D'Alto, Michele] Univ L Vanvitelli, Monaldi Hosp, Dept Cardiol, Naples, Italy; [Farber, Harrison W.] Boston Univ, Pulm Ctr, Sch Med, Boston, MA USA; [Frantz, Robert P.] Mayo Clin, Dept Cardiovasc Med, Rochester, MN USA; [Ford, H. James] Univ N Carolina, Div Pulm &amp; Crit Care Med, Chapel Hill, NC 27515 USA; [Ghio, Stefano] San Matteo Hosp, Sci Inst Res Hospitalizat &amp; Healthcare, Div Cardiol, Pavia, Italy; [Gomberg-Maitland, Mardi] George Washington Univ, Sch Med &amp; Hlth Sci, Dept Cardiol, Washington, DC 20052 USA; [Humbert, Marc; Sitbon, Olivier] Univ Paris Saclay, Fac Med, Le Kremlin Bicetre, France; [Humbert, Marc; Sitbon, Olivier] Hop Bicetre, AP HP, Serv Pneumol &amp; Soins Intensifs, Le Kremlin Bicetre, France; [Humbert, Marc; Sitbon, Olivier] Hop Marie Lannelongue, Unite Mixte Rech S999, INSERM, Le Plessis Robinson, France; [Naeije, Robert] Erasme Univ Hosp, Dept Cardiol, Brussels, Belgium; [Orfanos, Stylianos E.] Natl &amp; Kapodistrian Univ Athens, Dept Crit Care 1, Med Sch, Athens, Greece; [Oudiz, Ronald J.] Harbor Univ Calif Los Angeles Med Ctr, Div Cardiol, Lundquist Inst Biomed Res, Torrance, CA USA; [Perrone, Sergio, V] Inst Fdn Lucha Enfermedades Neurol Infancia, Dept Cardiol, Buenos Aires, DF, Argentina; [Shlobin, Oksana A.] Inova Fairfax Hosp, Adv Lung Dis &amp; Transplant Program, Falls Church, VA USA; [Simon, Marc A.] Univ Calif San Francisco, Dept Med, Div Cardiol, San Francisco, CA 94143 USA; [Vachiery, Jean Luc] Clin Univ Bruxelles, Dept Cardiol, Pulm Vasc Dis &amp; Heart Failure Clin, Hop Erasme, Brussels, Belgium; [Wang, Kuo-Yang] China Univ Hosp, Ctr Pulm Hypertens &amp; Pulm Vasc Dis, Taichung, Taiwan; [Yacoub, Magdi H.] Harefield Hosp, Heart Sci Ctr, Natl Heart &amp; Lung Inst, London, England; [Liu, Yan; Golden, Gil] United Therapeut Corp, Dept Global Med Affairs, Res Triangle Pk, NC USA; [Matsubara, Hiromi] Okayama Med Ctr, Natl Hosp Org, Dept Cardiol &amp; Clin Sci, Okayama, Japan</t>
  </si>
  <si>
    <t>Sapienza University Rome; Medical University of Vienna; University System of Ohio; Ohio State University; University of Rochester; Clalit Health Services; Carmel Medical Center; Technion Israel Institute of Technology; Rappaport Faculty of Medicine; University of Oslo; National Hospital Norway; University of California System; University of California San Francisco; University of California San Francisco at Fresno; University of Texas System; University of Texas Southwestern Medical Center Dallas; University of Barcelona; Hospital Clinic de Barcelona; IDIBAPS; CIBER - Centro de Investigacion Biomedica en Red; CIBERES; University of Alabama System; University of Alabama Birmingham; University of Copenhagen; Copenhagen University Hospital; Rigshospitalet; University of Copenhagen; Universita della Campania Vanvitelli; Boston University; Mayo Clinic; University of North Carolina; University of North Carolina Chapel Hill; IRCCS Fondazione San Matteo; George Washington University; Universite Paris Saclay; Universite Paris Saclay; Assistance Publique Hopitaux Paris (APHP); Hopital Universitaire Bicetre - APHP; Hopital Universitaire Antoine-Beclere - APHP; Institut National de la Sante et de la Recherche Medicale (Inserm); Hopital Marie Lannelongue; Universite Libre de Bruxelles; National &amp; Kapodistrian University of Athens; University of California System; University of California Los Angeles; University of California Los Angeles Medical Center; Inova Fairfax Hospital; University of California System; University of California San Francisco; Universite Libre de Bruxelles; Royal Brompton &amp; Harefield NHS Foundation Trust; Harefield Hospital; Imperial College London; United Therapeutics Corporation</t>
  </si>
  <si>
    <t>Vizza, CD (corresponding author), Univ Roma La Sapienza, Policlin Umberto I, Dipartimento Sci Clin Internist Anestesiol &amp; Card, I-00161 Rome, Italy.</t>
  </si>
  <si>
    <t>dario.vizza@uniroma1.it</t>
  </si>
  <si>
    <t>Benza, Raymond/AAD-4885-2019; Simon, Marc/AAH-3404-2020; Matsubara, Hiromi/AEB-0280-2022; Vachiery, Jean-Luc/ABC-6631-2021; Humbert, Marc/AAC-8459-2019; vizza, carmine dario/AAC-5540-2020</t>
  </si>
  <si>
    <t>Wang, Kuo-Yang/0000-0003-4477-705X; Matsubara, Hiromi/0000-0002-3417-7651; Perrone, Sergio Victor/0000-0002-3325-7633; Humbert, Marc/0000-0003-0703-2892; vizza, carmine dario/0000-0002-3540-4983</t>
  </si>
  <si>
    <t>Supported by United Therapeutics Corporation to consider the possibility of a clinical study evaluating pulmonary arterial pressure targets as an endpoint. Subsequently, the initiative and authorship of the manuscript was driven by the authors independently from United Therapeutics Corporation. United Therapeutics Corporation contracted Omni Healthcare Communications to provide editorial services limited to assimilating author feedback and formatting for submission. None of the authors was compensated by United Therapeutics Corporation in any way for their involvement with this manuscript development, and the co-first authors take responsibility for the ideas and opinions espoused.</t>
  </si>
  <si>
    <t>10.1164/rccm.202109-2079PP</t>
  </si>
  <si>
    <t>0G1TZ</t>
  </si>
  <si>
    <t>WOS:000777836300009</t>
  </si>
  <si>
    <t>Montani, D; Savale, L; Noel, N; Meyrignac, O; Colle, R; Gasnier, M; Corruble, E; Beurnier, A; Jutant, EM; Pham, T; Lecoq, AL; Papon, JF; Figueiredo, S; Harrois, A; Humbert, M; Monnet, X</t>
  </si>
  <si>
    <t>Montani, David; Savale, Laurent; Noel, Nicolas; Meyrignac, Olivier; Colle, Romain; Gasnier, Matthieu; Corruble, Emmanuelle; Beurnier, Antoine; Jutant, Etienne-Marie; Pham, Tai; Lecoq, Anne-Lise; Papon, Jean-Francois; Figueiredo, Samy; Harrois, Anatole; Humbert, Marc; Monnet, Xavier</t>
  </si>
  <si>
    <t>COMEBAC Study Grp</t>
  </si>
  <si>
    <t>Post-acute COVID-19 syndrome</t>
  </si>
  <si>
    <t>HYPERVENTILATION SYNDROME; FOLLOW-UP; SURVIVORS; OUTCOMES; DISEASE; PREVALENCE; INFECTION; NEUROINFLAMMATION; DISCHARGE; INJURY</t>
  </si>
  <si>
    <t>Infection with severe acute respiratory syndrome coronavirus 2 (SARS-CoV-2) is responsible for the coronavirus disease 2019 (COVID-19) pandemic that has resulted in millions of deaths and a major strain on health systems worldwide. Medical treatments for COVID-19 (anticoagulants, corticosteroids, anti-inflammatory drugs, oxygenation therapy and ventilation) and vaccination have improved patient outcomes. The majority of patients will recover spontaneously or after acute-phase management, but clinicians are now faced with long-term complications of COVID-19 including a large variety of symptoms, defined as post-acute COVID-19 syndrome. Most studies have focused on patients hospitalised for severe COVID-19, but acute COVID-19 syndrome is not restricted to these patients and exists in outpatients. Given the diversity of symptoms and the high prevalence of persistent symptoms, the management of these patients requires a multidisciplinary team approach, which will result in the consumption of large amounts of health resources in the coming months. In this review, we discuss the presentation, prevalence, pathophysiology and evolution of respiratory complications and other organ-related injuries associated with post-acute COVID-19 syndrome.</t>
  </si>
  <si>
    <t>[Montani, David; Savale, Laurent; Beurnier, Antoine; Jutant, Etienne-Marie; Humbert, Marc] Univ Paris Saclay, Hop Bicetre, AP HP,Inserm UMR S999, Serv Pneumol &amp; Soins Intensifs Resp,DMU 5 Thorinn, Le Kremlin Bicetre, France; [Noel, Nicolas] Univ Paris Saclay, Hop Bicetre, AP HP, Serv Med Interne &amp; Immunol Clin,DMU Endocrinol Im, Le Kremlin Bicetre, France; [Meyrignac, Olivier] Univ Paris Saclay, Hop Bicetre, AP HP,BioMaps, Serv Radiol Diagnost &amp; Intervent,DMU Smart Imagin, Le Kremlin Bicetre, France; [Colle, Romain; Gasnier, Matthieu; Corruble, Emmanuelle] Univ Paris Saclay, Hop Bicetre, AP HP,Equipe MOODS,Inserm U1178,CESP Ctr Rech Epi, Serv Psychiat,DMU Psychiat Sante Mentale Addictol, Le Kremlin Bicetre, France; [Jutant, Etienne-Marie] Univ Poitiers, CHU Poitiers, Serv Pneumol, Inserm CIC 1402, Poitiers, France; [Pham, Tai; Monnet, Xavier] Univ Paris Saclay, Hop Bicetre, AP HP,Inserm UMR S999,FHU Sepsis,CARMAS, Serv Med Intens Reanimat,DMU CORREVE Malad Doeur, Le Kremlin Bicetre, France; [Lecoq, Anne-Lise] Univ Paris Saclay, AP HP, Ctr Rech Clin Paris Saclay, DMU Sante Publ 13,Informat Med,Appui Rech Clin, Le Kremlin Bicetre, France; [Papon, Jean-Francois] Univ Paris Saclay, AP HP, Serv ORL &amp; Chirurg Cervicofaciale, DMU Neurosci 9,Inserm U955,E13,CNRS ERL7000, Le Kremlin Bicetre, France; [Figueiredo, Samy; Harrois, Anatole] Univ Paris Saclay, Hop Bicetre, AP HP,Reanimat, Serv Anesthesie Reanimat &amp; Med Perioperatoire,DMU, Le Kremlin Bicetre, France</t>
  </si>
  <si>
    <t>Universite Paris Saclay; Institut National de la Sante et de la Recherche Medicale (Inserm); Assistance Publique Hopitaux Paris (APHP); Hopital Universitaire Antoine-Beclere - APHP; Hopital Universitaire Bicetre - APHP; Assistance Publique Hopitaux Paris (APHP); Hopital Universitaire Antoine-Beclere - APHP; Hopital Universitaire Bicetre - APHP; Universite Paris Saclay; Institut National de la Sante et de la Recherche Medicale (Inserm); Universite Paris Saclay; Assistance Publique Hopitaux Paris (APHP); Hopital Universitaire Antoine-Beclere - APHP; Institut National de la Sante et de la Recherche Medicale (Inserm); Hopital Universitaire Bicetre - APHP; Assistance Publique Hopitaux Paris (APHP); Hopital Universitaire Bicetre - APHP; Hopital Universitaire Antoine-Beclere - APHP; Universite Paris Cite; Institut National de la Sante et de la Recherche Medicale (Inserm); Universite Paris Saclay; Institut National de la Sante et de la Recherche Medicale (Inserm); CHU Poitiers; Universite de Poitiers; Assistance Publique Hopitaux Paris (APHP); Hopital Universitaire Bicetre - APHP; Institut National de la Sante et de la Recherche Medicale (Inserm); Hopital Universitaire Antoine-Beclere - APHP; Universite Paris Saclay; Universite Paris Saclay; Assistance Publique Hopitaux Paris (APHP); Hopital Universitaire Bicetre - APHP; Assistance Publique Hopitaux Paris (APHP); Hopital Universitaire Bicetre - APHP; Institut National de la Sante et de la Recherche Medicale (Inserm); Universite Paris-Est-Creteil-Val-de-Marne (UPEC); Universite Paris Saclay; Assistance Publique Hopitaux Paris (APHP); Hopital Universitaire Antoine-Beclere - APHP; Institut National de la Sante et de la Recherche Medicale (Inserm); Universite Paris Saclay; Hopital Universitaire Bicetre - APHP</t>
  </si>
  <si>
    <t>Montani, D (corresponding author), Univ Paris Saclay, Hop Bicetre, AP HP,Inserm UMR S999, Serv Pneumol &amp; Soins Intensifs Resp,DMU 5 Thorinn, Le Kremlin Bicetre, France.</t>
  </si>
  <si>
    <t>Savale, Laurent/AAJ-9781-2020; Pham, Tai/KHY-9966-2024; David, Montani/I-6885-2019; Noel, Nicolas/AAK-3911-2021; Colle, Romain/IQV-1876-2023; Gasnier, Matthieu/KFS-1044-2024; Humbert, Marc/AAC-8459-2019</t>
  </si>
  <si>
    <t>Savale, Laurent/0000-0002-6862-8975; Colle, Romain/0000-0002-2549-4495; Humbert, Marc/0000-0003-0703-2892; Gasnier, Matthieu/0000-0003-4887-4025; Noel, Nicolas/0000-0003-4055-617X; PHAM, Tai/0000-0002-4373-0711; Jutant, Etienne-Marie/0000-0002-1374-1890; Montani, David/0000-0002-9358-6922</t>
  </si>
  <si>
    <t>10.1183/16000617.0185-2021</t>
  </si>
  <si>
    <t>0N9QJ</t>
  </si>
  <si>
    <t>WOS:000783164100011</t>
  </si>
  <si>
    <t>Savale, L; Huitema, M; Shlobin, O; Kouranos, V; Nathan, SD; Nunes, H; Gupta, R; Grutters, JC; Culver, DA; Post, MC; Ouellette, D; Lower, EE; Al-Hakim, T; Wells, AU; Humbert, M; Baughman, RP</t>
  </si>
  <si>
    <t>Savale, Laurent; Huitema, Marloes; Shlobin, Oksana; Kouranos, Vasilis; Nathan, Steven D.; Nunes, Hiliaro; Gupta, Rohit; Grutters, Jan C.; Culver, Daniel A.; Post, Marco C.; Ouellette, Daniel; Lower, Elyse E.; Al-Hakim, Tamara; Wells, Athol U.; Humbert, Marc; Baughman, Robert P.</t>
  </si>
  <si>
    <t>WASOG statement on the diagnosis and management of sarcoidosis-associated pulmonary hypertension</t>
  </si>
  <si>
    <t>OBSTRUCTIVE SLEEP-APNEA; ARTERIAL-HYPERTENSION; SINGLE-CENTER; CLINICAL CHARACTERISTICS; EPOPROSTENOL THERAPY; CARDIAC SARCOIDOSIS; OUTCOMES; ABNORMALITIES; HEMODYNAMICS; AMBRISENTAN</t>
  </si>
  <si>
    <t>Sarcoidosis-associated pulmonary hypertension (SAPH) is an important complication of advanced sarcoidosis. Over the past few years, there have been several studies dealing with screening, diagnosis and treatment of SAPH. This includes the results of two large SAPH-specific registries. A task force was established by the World Association of Sarcoidosis and Other Granulomatous disease (WASOG) to summarise the current level of knowledge in the area and provide guidance for the management of patients. A group of sarcoidosis and pulmonary hypertension experts participated in this task force. The committee developed a consensus regarding initial screening including who should undergo more specific testing with echocardiogram. Based on the results, the committee agreed upon who should undergo right-heart catheterisation and how to interpret the results. The committee felt there was no specific phenotype of a SAPH patient in whom pulmonary hypertension-specific therapy could he definitively recommended. They recommended that treatment decisions be made jointly with a sarcoidosis and pulmonary hypertension expert. The committee recognised that there were significant defects in the current knowledge regarding SAPII, but felt the statement would be useful in directing future studies.</t>
  </si>
  <si>
    <t>[Savale, Laurent; Humbert, Marc] Univ Paris Saclay, Le Kremlin Bicetre, France; [Savale, Laurent; Humbert, Marc] INSERM UMR S 999, Le Kremlin Bicetre, France; [Savale, Laurent; Humbert, Marc] Hop Bicetre, AP HP, Serv Pneumol &amp; Soins Intensifs Resp, Le Kremlin Bicetre, France; [Huitema, Marloes; Post, Marco C.] St Antonius Hosp, Dept Cardiol, Nieuwegein, Netherlands; [Huitema, Marloes; Grutters, Jan C.; Post, Marco C.] Univ Med Ctr Utrecht, Utrecht, Netherlands; [Shlobin, Oksana; Nathan, Steven D.] Inova Fairfax Hosp, Adv Lung Dis &amp; Transplant Program, Falls Church, VA USA; [Kouranos, Vasilis; Wells, Athol U.] Royal Brompton Hosp, Interstitial Lung Dis Sarcoidosis Unit, London, England; [Kouranos, Vasilis; Wells, Athol U.] Imperial Coll, Natl Heart &amp; Lung Inst, London, England; [Nunes, Hiliaro] Univ Sorbonne Paris Nord, INSERM UMR 1272, Bobigny, France; [Nunes, Hiliaro] Hop Avicenne, AP HP, Ctr Reference Malad Pulmonaires Rares, Serv Pneumol, Bobigny, France; [Gupta, Rohit] Temple Univ, Lewis Katz Sch Med, Dept Thorac Med &amp; Surg, Philadelphia, PA 19122 USA; [Grutters, Jan C.] St Antonius Hosp, ILD Ctr Excellence, Dept Pulmonol, Nieuwegein, Netherlands; [Culver, Daniel A.] Cleveland Clin, Cleveland, OH 44106 USA; [Ouellette, Daniel] Henry Ford Hosp, Detroit, MI 48202 USA; [Lower, Elyse E.; Baughman, Robert P.] Univ Cincinnati, Med Ctr, Dept Med, Cincinnati, OH 45267 USA; [Al-Hakim, Tamara] Fdn Sarcoidosis Res, Chicago, IL USA</t>
  </si>
  <si>
    <t>Universite Paris Saclay; Universite Paris Saclay; Institut National de la Sante et de la Recherche Medicale (Inserm); Assistance Publique Hopitaux Paris (APHP); Hopital Universitaire Antoine-Beclere - APHP; Hopital Universitaire Bicetre - APHP; Universite Paris Saclay; St. Antonius Hospital Utrecht; Utrecht University; Utrecht University Medical Center; Inova Fairfax Hospital; Royal Brompton Hospital; Imperial College London; Institut National de la Sante et de la Recherche Medicale (Inserm); Assistance Publique Hopitaux Paris (APHP); Hopital Universitaire Avicenne - APHP; Universite Paris 13; Pennsylvania Commonwealth System of Higher Education (PCSHE); Temple University; St. Antonius Hospital Utrecht; Cleveland Clinic Foundation; Henry Ford Health System; Henry Ford Hospital; University System of Ohio; University of Cincinnati</t>
  </si>
  <si>
    <t>Baughman, RP (corresponding author), Univ Cincinnati, Med Ctr, Dept Med, Cincinnati, OH 45267 USA.</t>
  </si>
  <si>
    <t>baughmrp@ucmail.uc.edu</t>
  </si>
  <si>
    <t>Nunes, Hilario/AAM-8127-2020; Savale, Laurent/AAJ-9781-2020; GUPTA, ROHIT/W-4685-2019; Humbert, Marc/AAC-8459-2019</t>
  </si>
  <si>
    <t>Humbert, Marc/0000-0003-0703-2892; Savale, Laurent/0000-0002-6862-8975; Nunes, Hilario/0000-0003-2896-7347</t>
  </si>
  <si>
    <t>Foundation for Sarcoidosis Research and Bayer Pharmaceuticals</t>
  </si>
  <si>
    <t>Supported in part by unrestricted grants from Foundation for Sarcoidosis Research and Bayer Pharmaceuticals. Funding information for this article has been deposited with the Crossref Funder Registry.</t>
  </si>
  <si>
    <t>10.1183/16000617.0165-2021</t>
  </si>
  <si>
    <t>WOS:000783164100006</t>
  </si>
  <si>
    <t>van Wezenbeek, J; Groeneveldt, JA; Llucià-Valldeperas, A; van Der Bruggen, CE; Jansen, SMA; Smits, AJ; Smal, R; van Leeuwen, JW; dos Remedios, C; Keogh, A; Humbert, M; Dorfmüller, P; Mercier, O; Guignabert, C; Niessen, HWM; Handoko, ML; Marcus, JT; Meijboom, LJ; Oosterveer, FPT; Westerhof, BE; Heijboer, AC; Bogaard, HJ; Noordegraaf, AV; Goumans, MJ; de Man, FS</t>
  </si>
  <si>
    <t>van Wezenbeek, Jessie; Groeneveldt, Joanne A.; Llucia-Valldeperas, Aida; van Der Bruggen, Cathelijne E.; Jansen, Samara M. A.; Smits, A. Josien; Smal, Rowan; van Leeuwen, Joost W.; dos Remedios, Cris; Keogh, Anne; Humbert, Marc; Dorfmuller, Peter; Mercier, Olaf; Guignabert, Christophe; Niessen, Hans W. M.; Handoko, M. Louis; Marcus, J. Tim; Meijboom, Lilian J.; Oosterveer, Frank P. T.; Westerhof, Berend E.; Heijboer, Annemieke C.; Bogaard, Harm Jan; Noordegraaf, Anton Vonk; Goumans, Marie Jose; de Man, Frances S.</t>
  </si>
  <si>
    <t>Interplay of sex hormones and long-term right ventricular adaptation in a Dutch PAH-cohort</t>
  </si>
  <si>
    <t>PULMONARY ARTERIAL-HYPERTENSION; SURVIVAL; TESTOSTERONE; ESTRADIOL; REGISTRY; RATS</t>
  </si>
  <si>
    <t>BACKGROUND: To investigate the association between altered sex hormone expression and long-term right ventricular (RV) adaptation and progression of right heart failure in a Dutch cohort of Pulmonary Arterial Hypertension (PAH)-patients across a wide range of ages.METHODS: In this study we included 279 PAH-patients, of which 169 females and 110 males. From 59 patients and 21 controls we collected plasma samples for sex hormone analysis. Right heart catheterization (RHC) and/or cardiac magnetic resonance (CMR) imaging was performed at baseline. For longitudinal data analysis, we selected patients that underwent a RHC and/or CMR maximally 1.5 years prior to an event (death or transplantation, N = 49).RESULTS: Dehydroepiandrosterone-sulfate (DHEA-S) levels were reduced in male and female PAHpatients compared to controls, whereas androstenedione and testosterone were only reduced in female patients. Interestingly, low DHEA-S and high testosterone levels were correlated to worse RV function in male patients only. Subsequently, we analyzed prognosis and RV adaptation in females stratified by age. Females &lt; 45years had best prognosis in comparison to females &amp; GE;55years and males. No differences in RV function at baseline were observed, despite higher pressure-overload in females &lt; 45years. Longitudinal data demonstrated a clear distinction in RV adaptation. Although females &lt; 45years had an event at a later time point, RV function was more impaired at end-stage disease.CONCLUSIONS: Sex hormones are differently associated with RV function in male and female PAHpatients. DHEA-S appeared to be lower in male and female PAH-patients. Females &lt; 45years could persevere pressure-overload for a longer time, but had a more severe RV phenotype at end-stage disease.J Heart Lung Transplant 2022;41:445-457 (c) 2021 The Author(s). Published by Elsevier Inc. on behalf of International Society for Heart and Lung Transplantation. This is an open access article under the CC BY license (http://creativecommons.org/licenses/by/4.0/)</t>
  </si>
  <si>
    <t>[van Wezenbeek, Jessie; Groeneveldt, Joanne A.; Llucia-Valldeperas, Aida; van Der Bruggen, Cathelijne E.; Jansen, Samara M. A.; Smits, A. Josien; Smal, Rowan; van Leeuwen, Joost W.; Oosterveer, Frank P. T.; Westerhof, Berend E.; Bogaard, Harm Jan; Noordegraaf, Anton Vonk; de Man, Frances S.] Vrije Univ Amsterdam, Dept Pulm Med, Amsterdam UMC, Amsterdam Cardiovasc Sci, Amsterdam, Netherlands; [dos Remedios, Cris] Victor Chang Cardiac Res Inst, Darlinghurst, NSW, Australia; [dos Remedios, Cris] Univ Sydney, Sydney, NSW, Australia; [Keogh, Anne] St Vincents Publ Hosp, Heart Transplant Unit, Sydney, NSW, Australia; [Keogh, Anne] Univ NSW, Sydney, NSW, Australia; [Humbert, Marc; Dorfmuller, Peter; Mercier, Olaf; Guignabert, Christophe] INSERM, UMR S 999, Hypertens Pulmonaire Physiopathol &amp; Innovat Thera, Le Plessis Robinson, France; [Humbert, Marc; Dorfmuller, Peter; Mercier, Olaf; Guignabert, Christophe] Univ Paris Saclay, Hypertens Pulm Physiopathol &amp; Innovat Therapeut, Le Plessis Robinson, France; [Humbert, Marc; Dorfmuller, Peter] Hop Bicetre, AP HP, Dept Resp &amp; Intens Care Med, Pulm Hypertens Natl Referral Ctr, Le Kremlin Bicetre, France; [Mercier, Olaf] Hop Marie Lannelongue, Dept Thorac &amp; Vasc Surg &amp; Heart Lung Transplantat, Le Plessis Robinson, France; [Niessen, Hans W. M.] Amsterdam Univ Med Ctr, Dept Pathol, Amsterdam Cardiovasc Sci, Amsterdam, Netherlands; [Handoko, M. Louis] Vrije Univ Amsterdam, Amsterdam UMC, Dept Cardiol, Amsterdam, Netherlands; [Marcus, J. Tim; Meijboom, Lilian J.] Vrije Univ, Dept Radiol &amp; Nucl Med, Amsterdam Cardiovasc Sci, Amsterdam UMC, Amsterdam, Netherlands; [Westerhof, Berend E.] Univ Twente, Tech Med Ctr, Cardiovasc &amp; Resp Physiol, Enschede, Netherlands; [Heijboer, Annemieke C.] Vrije Univ Amsterdam, Dept Clin Chem, Endocrine Lab, Amsterdam UMC, Amsterdam, Netherlands; [Heijboer, Annemieke C.] Univ Amsterdam, Amsterdam, Netherlands; [Goumans, Marie Jose] Leiden UMC, Dept Cell &amp; Chem Biol, Leiden, Netherlands</t>
  </si>
  <si>
    <t>Vrije Universiteit Amsterdam; University of Amsterdam; Victor Chang Cardiac Research Institute; University of Sydney; University of New South Wales Sydney; Universite Paris Saclay; Institut National de la Sante et de la Recherche Medicale (Inserm); Universite Paris Saclay; Assistance Publique Hopitaux Paris (APHP); Hopital Universitaire Antoine-Beclere - APHP; Hopital Universitaire Bicetre - APHP; Universite Paris Saclay; Hopital Marie Lannelongue; University of Amsterdam; Vrije Universiteit Amsterdam; University of Amsterdam; Vrije Universiteit Amsterdam; University of Twente; University of Amsterdam; Vrije Universiteit Amsterdam; University of Amsterdam; Leiden University; Leiden University Medical Center (LUMC)</t>
  </si>
  <si>
    <t>de Man, FS (corresponding author), Vrije Univ Amsterdam, Dept Pulm Med, Amsterdam Cardiovasc Sci, PHEniX Lab,Amsterdam UMC, De Boelelaan 1117, NL-1081 HV Amsterdam, Netherlands.</t>
  </si>
  <si>
    <t>fs.deman@amsterdamumc.nl</t>
  </si>
  <si>
    <t>van Wezenbeek, Jessie/LJM-4845-2024; Goumans, Marie/U-1455-2019; Llucia-Valldeperas, Aida/L-6259-2014; Humbert, Marc/AAC-8459-2019; GUIGNABERT, Christophe/G-3873-2013</t>
  </si>
  <si>
    <t>Llucia-Valldeperas, Aida/0000-0002-9723-8343; Bogaard, Harm Jan/0000-0001-5371-0346; Humbert, Marc/0000-0003-0703-2892; van Wezenbeek, Jessie/0000-0002-1091-5445; Vonk Noordegraaf, Anton/0000-0002-4057-758X; Goumans, Marie Jose/0000-0001-9344-6746; Mercier, Olaf/0000-0002-4760-6267; GUIGNABERT, Christophe/0000-0002-8545-4452</t>
  </si>
  <si>
    <t>Netherlands Organization for Scientific Research: NWO-VICI [918.16.610]; NWO-VIDI [917.18.338]; Dutch Heart Foundation [2018T059]; Dekker Senior Clinical Scientist [2020T058]; Netherlands CardioVascular Research Initiative [CVON-2017-10 DOLPHIN-GENESIS, CVON-2018-29 PHAEDRA-IMPACT]</t>
  </si>
  <si>
    <t>Netherlands Organization for Scientific Research: NWO-VICI(Netherlands Organization for Scientific Research (NWO)); NWO-VIDI(Netherlands Organization for Scientific Research (NWO)); Dutch Heart Foundation(Netherlands Heart Foundation); Dekker Senior Clinical Scientist; Netherlands CardioVascular Research Initiative</t>
  </si>
  <si>
    <t>This research was financially supported by the Netherlands Organization for Scientific Research: NWO-VICI num. 918.16.610 (J.A. Groeneveldt, B.E. Westerhof and A. Vonk Noordegraaf) and NWO-VIDI num. 917.18.338 (F.S. de Man). The work was also funded by the Dutch Heart Foundation Dekker senior post-doc grant num. 2018T059 (J. van Wezenbeek and F.S. de Man) and Dekker Senior Clinical Scientist 2020T058 (M.L. Handoko), and the Netherlands CardioVascular Research Initiative: CVON-2017-10 DOLPHIN-GENESIS (A. Vonk Noordegraaf, F.S. de Man, H.J. Bogaard and MJ Goumans), and CVON-2018-29 PHAEDRA-IMPACT (A. Lluci~a-Valldeperas, A. Vonk Noordegraaf, F.S. de Man, H.J. Bogaard and MJ Goumans).</t>
  </si>
  <si>
    <t>10.1016/j.healun.2021.11.004</t>
  </si>
  <si>
    <t>MAR 2022</t>
  </si>
  <si>
    <t>1D3SF</t>
  </si>
  <si>
    <t>WOS:000793722900005</t>
  </si>
  <si>
    <t>Hermine, O; Mariette, X; Porcher, R; Djossou, F; Nguyen, Y; Arlet, JB; Savale, L; Diehl, JL; Georgin-Lavialle, S; Cadranel, J; Pialoux, G; Lacombe, K; Mekinian, A; Gros, H; Lescure, X; Ghosn, J; Coupez, E; Grapin, K; Rapp, C; Michel, M; Lecapitaine, AL; Michot, JM; Costedoat-Chalumeau, N; Nguyen, LBL; Semerano, L; Raffi, F; Aguillar, C; Rouzaud, C; Gottenberg, JE; Hansmann, Y; Bienvenu, B; London, J; Fantchou, FS; Ackermann, F; Gros, A; Morel, A; Gambier, N; Sène, D; Mégarbane, B; Azoulay, E; Bureau, S; Dougados, M; Emmerich, J; Fartoukh, M; Guidet, B; Humbert, M; Mahevas, M; Pène, F; Schlemmer, F; Pourcher-Martinez, V; Tibi, A; Baron, G; Perrodeau, E; Baron, S; Steg, G; Yazdapanah, Y; Simon, T; Resche-Rigon, M; Tharaux, PL; Ravaud, P</t>
  </si>
  <si>
    <t>Hermine, Olivier; Mariette, Xavier; Porcher, Raphael; Djossou, Felix; Nguyen, Yann; Arlet, Jean-Benoit; Savale, Laurent; Diehl, Jean Luc; Georgin-Lavialle, Sophie; Cadranel, Jacques; Pialoux, Gilles; Lacombe, Karine; Mekinian, Arsene; Gros, Helene; Lescure, Xavier; Ghosn, Jade; Coupez, Elisabeth; Grapin, Kevin; Rapp, Christophe; Michel, Marc; Lecapitaine, Anne Lise; Michot, Jean Marie; Costedoat-Chalumeau, Nathalie; Liem Binh Luong Nguyen; Semerano, Luca; Raffi, Francois; Aguillar, Claire; Rouzaud, Claire; Gottenberg, Jacques Eric; Hansmann, Yves; Bienvenu, Boris; London, Jonathan; Fantchou, Franklin Samou; Ackermann, Felix; Gros, Antoine; Morel, Alexandre; Gambier, Nicolas; Sene, Damien; Megarbane, Bruno; Azoulay, Elie; Bureau, Serge; Dougados, Maxime; Emmerich, Joseph; Fartoukh, Muriel; Guidet, Bertrand; Humbert, Marc; Mahevas, Mathieu; Pene, Frederic; Schlemmer, Frederic; Pourcher-Martinez, Valerie; Tibi, Annick; Baron, Gabriel; Perrodeau, Elodie; Baron, Stephanie; Steg, Gabriel; Yazdapanah, Yazdan; Simon, Tabassome; Resche-Rigon, Matthieu; Tharaux, Pierre-Louis; Ravaud, Philippe</t>
  </si>
  <si>
    <t>CORIMUNO-19 Collaborative Grp</t>
  </si>
  <si>
    <t>Tocilizumab plus dexamethasone versus dexamethasone in patients with moderate-to-severe COVID-19 pneumonia: A randomised clinical trial from the CORIMUNO-19 study group</t>
  </si>
  <si>
    <t>ECLINICALMEDICINE</t>
  </si>
  <si>
    <t>COVID-19; Tocilizumab plus Dexamethasone; Randomized clinical trial</t>
  </si>
  <si>
    <t>Background In moderate-to-severe COVID-19 pneumonia, dexamethasone (DEX) and tocilizumab (TCZ) reduce the occurrence of death and ventilatory support. We investigated the efficacy and safety of DEX+TCZ in an open randomized clinical trial. Methods From July 24, 2020, through May 18, 2021, patients with moderate-to-severe COVID-19 pneumonia requiring oxygen (&gt;3 L/min) were randomly assigned to receive DEX (10 mg/d 5 days tapering up to 10 days) alone or combined with TCZ (8 mg/kg IV) at day 1, possibly repeated with a fixed dose of 400 mg i.v. at day 3. The primary outcome was time from randomization to mechanical ventilation support or death up to day 14, analysed on an intent-to-treat basis using a Bayesian approach. ClinicalTrials.gov number, NCT04476979. Findings A total of 453 patients were randomized, 3 withdrew consent, 450 were analysed, of whom 226 and 224 patients were assigned to receive DEX or TCZ+DEX, respectively. At day 14, mechanical ventilation or death occurred in 32/226 (14%) and 27/224 (12%) in the DEX and TCZ+DEX arms, respectively (hazard ratio [HR] 0.85, 90% credible interval [CrI] 0.55 to 1.31). At day 14, the World health Organization (WHO) clinical progression scale (CPS) was significantly improved in the TCZ+DEX arm (OR 0.69, 95% CrI, 0.49 to 0.97). At day 28, the cumulative incidence of oxygen supply independency was 82% in the TCZ+DEX arms and 72% in the DEX arm (HR 1.36, 95% CI 1.11 to 1.67). On day 90, 24 deaths (11%) were observed in the DEX arm and 18 (8%) in the TCZ+DEX arm (HR 0.77, 95% CI 0.42-1.41). Serious adverse events were observed in 25% and 21% in DEX and TCZ+DEX arms, respectively. Interpretation Mechanical ventilation need and mortality were not improved with TCZ+DEX compared with DEX alone. The safety of both treatments was similar. However, given the wide confidence intervals for the estimate of effect, definitive interpretation cannot be drawn. Copyright (C) 2022 The Author(s). Published by Elsevier Ltd.</t>
  </si>
  <si>
    <t>[Hermine, Olivier] Univ Paris, Dept Hematol, Hop Necker, Assistance Publ Hop Paris, 149 Rue Sevres, F-75015 Paris, France; [Hermine, Olivier] Univ Paris, Inst Imagine, Lab Physiopathol &amp; Treatment Hematol Malignancies, INSERM U1153, Paris, France; [Mariette, Xavier] Univ Paris Saclay, Dept Rhumatol, Hop Bicetre, Assistance Publ Hop Paris, Le Kremlin Bicetre, France; [Porcher, Raphael; Baron, Gabriel; Perrodeau, Elodie; Ravaud, Philippe] Univ Paris, INSERM, Ctr Rech Epidemiol &amp; Stat Sorbonne Paris Cite CRE, Ctr Epidemiol Clin,Hop Hotel Dieu, Paris, France; [Djossou, Felix] Univ Guyane, Serv Malad Infect &amp; Trop UMIT, TBIP, Cayenne 97300, French Guiana; [Djossou, Felix] Univ Lille, U1019 UMR9017 CIIL Ctr Infect &amp; Immunite Lille, Inst Pasteur Lille, INSERM,CNRS, F-59000 Lille, France; [Nguyen, Yann] Univ Paris, Dept Med Interne, Hop Beaujon, Assistance Publ Hop Paris, Paris, France; [Arlet, Jean-Benoit] Univ Paris, Dept Med Interne, Hop Europeen Georges Pompidou, Assistance Publ Hop Paris, Paris, France; [Savale, Laurent; Humbert, Marc] Univ Paris Saclay, Serv Pneumol &amp; Soins Intensifs Resp, Hop Bicetre, Assistance Publ Hop Paris,INSERM UMR S999, Le Kremlin Bicetre, France; [Diehl, Jean Luc] Univ Paris, Dept Reanimat, Hop Europeen Georges Pompidou, Assistance Publ Hop Paris, Paris, France; [Georgin-Lavialle, Sophie] Univ Paris Sorbonne, Dept Med Interne, Hop Tenon, Assistance Publ Hop Paris, Paris, France; [Cadranel, Jacques] Univ Paris Sorbonne, Dept Pneumol, Hop Tenon, Assistance Publ Hop Paris, Paris, France; [Pialoux, Gilles] Univ Paris Sorbonne, Dept Malad Infect, Hop Tenon, Assistance Publ Hop Paris, Paris, France; [Lacombe, Karine] Univ Paris Sorbonne, Dept Malad Infect, Hop St Antoine, Assistance Publ Hop Paris, Paris, France; [Mekinian, Arsene] Univ Paris Sorbonne, Dept Med Interne, Hop St Antoine, Assistance Publ Hop Paris, Paris, France; [Gros, Helene] CHI Robert Ballanger, Serv Med Interne &amp; Malad Infect, F-93600 Aulnay Sous Bois, France; [Lescure, Xavier; Ghosn, Jade; Yazdapanah, Yazdan] Univ Paris, Dept Malad Infect, Hop Bichat, Assistance Publ Hop Paris, Paris, France; [Ghosn, Jade] INSERM UMRS 1137 IAME, Paris, France; [Coupez, Elisabeth] Univ Clermont Ferrand, Dept Reanimat, Hop Gabriel Montpied, CHU Clermont Ferrand, Clermont Ferrand, France; [Grapin, Kevin] Univ Clermont Ferrand, Dept Pneumol, CHU Clermont Ferrand, Hop Gabriel Montpied, Clermont Ferrand, France; [Rapp, Christophe] Hop Americain, Serv Med Interne, Neuilly, France; [Michel, Marc; Mahevas, Mathieu] Univ Paris Est Creteil, Dept Med Interne, Hop Henri Mondor, Assistance Publ Hop Paris, Creteil, France; [Lecapitaine, Anne Lise] Hop Compiegne, Serv Malad Infect, Compiegne, France; [Michot, Jean Marie] Univ Paris Saclay, Inst Gustave Roussy, Serv Dhematol, Villejuif, France; [Costedoat-Chalumeau, Nathalie] Univ Paris, Dept Med Interne, Hop Cochin, Assistance Publ Hop Paris, Paris, France; [Liem Binh Luong Nguyen] Univ Paris, Hop Cochin, Assistance Publ Hop Paris, CIC Cochin Pasteur, Paris, France; [Semerano, Luca] Univ Paris Nord Sorbonne, Serv Rhumatol, Hop Avicenne, Assistance Publ Hop Paris, Bobigny, France; [Raffi, Francois] Nantes Univ Hosp, Hotel Dieu Hosp, Dept Infect Dis, Nantes, France; [Raffi, Francois] Nantes Univ Hosp, INSERM CIC 1413, Nantes, France; [Aguillar, Claire; Rouzaud, Claire] Univ Paris, Dept Malad Infect, Hop Necker, Assistance Publ Hop Paris, Paris, France; [Rouzaud, Claire] Univ Paris, Dept Malad Infect, Hop St Joseph, Paris, France; [Gottenberg, Jacques Eric] Univ Strasbourg, Hop Univ Strasbourg, Serv Rhumatol, Strasbourg, France; [Hansmann, Yves] Univ Strasbourg, Hop Univ Strasbourg, Serv Malad Infect, Strasbourg, France; [Bienvenu, Boris] Hop St Joseph, Dept Med Interne, Marseille, France; [London, Jonathan] Hop Diaconesse Croix St Simon, Serv Med Interne, Paris, France; [Fantchou, Franklin Samou] Ctr Hosp Ctr Hosp Ouest Guyanais, Serv Malad Infect, St Laurent Du Maroni, France; [Ackermann, Felix] Hop Foch, Serv Med Interne, Surennes, France; [Gros, Antoine] Hop Andre Mignot, Serv Reanimat Med Chirurg, Versailles, France; [Morel, Alexandre] Hop Prive Antony, Serv Hematol, Antony, France; [Gambier, Nicolas] Hop Delafontaine, Ctr Hosp St Denis, Serv Malad Infect, St Denis, France; [Sene, Damien] Univ Paris, Serv Med Interne, Hop Lariboisiere, Assistance Publ Hop Paris, Paris, France; [Megarbane, Bruno] Univ Paris, Hop Lariboisiere, Assistance Publ Hop Paris, Reanimat Med &amp; Toxicol,INSERM UMRS 1144, Paris, France; [Azoulay, Elie] Univ Paris, Dept Reanimat, Hop St Louis, Assistance Publ Hop Paris, Paris, France; [Bureau, Serge] Univ Paris, Hop St Louis, Assistance Publ Hop Paris, Direct Rech Clin, Paris, France; [Dougados, Maxime] Univ Paris, Dept Rhumatol, Hop Cochin, Assistance Publ Hop Paris, Paris, France; [Emmerich, Joseph] Univ Paris, Dept Med Vasc, Hop St Joseph, Paris, France; [Fartoukh, Muriel] Univ Paris Sorbonne, Dept Reanimat, Hop Tenon, Assistance Publ Hop Paris, Paris, France; [Guidet, Bertrand] Univ Paris Sorbonne, Dept Reanimat, Hop St Antoine, Assistance Publ Hop Paris, Paris, France; [Pene, Frederic] Univ Paris, Hop Cochin, Assistance Publ Hop Paris Ctr, Serv Med Intens &amp; Reanimat, Paris, France; [Schlemmer, Frederic] Univ Paris Est Creteil, Hop Univ Henri Mondor, Assistance Publ HOp Paris, Unite Pneumol,Serv Med Intens &amp; Reanimat, Creteil, France; [Pourcher-Martinez, Valerie] Univ Paris Sorbonne, Dept Malad Infect, Hop La Pitie Salpetriere, Assistance Publ Hop Paris, Paris, France; [Tibi, Annick] Assistance Publ Hop Paris, Agence Gen Equipements &amp; Prod Sante, Paris, France; [Baron, Stephanie] Univ Paris, Dept Physiol &amp; Explorat Fonctionelles, Hop Europeen Georges Pompidou, Assistance Publ Hop Paris, Paris, France; [Steg, Gabriel] Univ Paris, Dept Cardiol, Hop Bichat, Assistance Publ Hop Paris, Paris, France; [Simon, Tabassome] Univ Paris Sorbonne, Ctr Rech Clin Paris Est, Serv Pharmacol Clin, Hop St Antoine,Assistance Publ Hop Paris, Paris, France; [Resche-Rigon, Matthieu] Univ Paris, Serv Biostat &amp; Informat Med, Hop St Louis, Assistance Publ Hop Paris,INSERM U153, Paris, France; [Tharaux, Pierre-Louis] Univ Paris, INSERM U970 Paris Cardiovasc Ctr PARCC, Paris, France</t>
  </si>
  <si>
    <t>Assistance Publique Hopitaux Paris (APHP); Universite Paris Cite; Hopital Universitaire Saint-Louis - APHP; Hopital Universitaire Necker-Enfants Malades - APHP; Universite Paris Cite; Institut National de la Sante et de la Recherche Medicale (Inserm); Assistance Publique Hopitaux Paris (APHP); Hopital Universitaire Antoine-Beclere - APHP; Universite Paris Cite; Hopital Universitaire Saint-Louis - APHP; Universite Paris Saclay; Hopital Universitaire Bicetre - APHP; Institut National de la Sante et de la Recherche Medicale (Inserm); Assistance Publique Hopitaux Paris (APHP); Universite Paris Cite; Hopital Universitaire Hotel-Dieu - APHP; Institut National de la Sante et de la Recherche Medicale (Inserm); Pasteur Network; Universite de Lille; Institut Pasteur Lille; Centre National de la Recherche Scientifique (CNRS); Assistance Publique Hopitaux Paris (APHP); Universite Paris Cite; Hopital Universitaire Saint-Louis - APHP; Hopital Universitaire Beaujon - APHP; Assistance Publique Hopitaux Paris (APHP); Universite Paris Cite; Hopital Universitaire Saint-Louis - APHP; Hopital Universitaire Europeen Georges-Pompidou - APHP; Assistance Publique Hopitaux Paris (APHP); Hopital Universitaire Bicetre - APHP; Hopital Universitaire Antoine-Beclere - APHP; Universite Paris Saclay; Institut National de la Sante et de la Recherche Medicale (Inserm); Universite Paris Cite; Hopital Universitaire Saint-Louis - APHP; Assistance Publique Hopitaux Paris (APHP); Universite Paris Cite; Hopital Universitaire Europeen Georges-Pompidou - APHP; Hopital Universitaire Saint-Louis - APHP; Assistance Publique Hopitaux Paris (APHP); Sorbonne Universite; Hopital Universitaire Tenon - APHP; Universite Paris Cite; Hopital Universitaire Saint-Louis - APHP; Sorbonne Universite; Assistance Publique Hopitaux Paris (APHP); Hopital Universitaire Tenon - APHP; Universite Paris Cite; Hopital Universitaire Saint-Louis - APHP; Sorbonne Universite; Assistance Publique Hopitaux Paris (APHP); Universite Paris Cite; Hopital Universitaire Saint-Louis - APHP; Hopital Universitaire Tenon - APHP; Assistance Publique Hopitaux Paris (APHP); Sorbonne Universite; Hopital Universitaire Saint-Antoine - APHP; Universite Paris Cite; Hopital Universitaire Saint-Louis - APHP; Assistance Publique Hopitaux Paris (APHP); Universite Paris Cite; Hopital Universitaire Saint-Louis - APHP; Sorbonne Universite; Hopital Universitaire Saint-Antoine - APHP; Assistance Publique Hopitaux Paris (APHP); Universite Paris Cite; Hopital Universitaire Bichat-Claude Bernard - APHP; Hopital Universitaire Saint-Louis - APHP; Universite Paris Cite; CHU Clermont Ferrand; CHU Clermont Ferrand; Assistance Publique Hopitaux Paris (APHP); Universite Paris-Est-Creteil-Val-de-Marne (UPEC); Hopital Universitaire Henri-Mondor - APHP; Universite Paris Cite; Hopital Universitaire Saint-Louis - APHP; UNICANCER; Gustave Roussy; Universite Paris Saclay; Assistance Publique Hopitaux Paris (APHP); Universite Paris Cite; Hopital Universitaire Cochin - APHP; Hopital Universitaire Saint-Louis - APHP; Assistance Publique Hopitaux Paris (APHP); Universite Paris Cite; Hopital Universitaire Saint-Louis - APHP; Hopital Universitaire Cochin - APHP; Institut National de la Sante et de la Recherche Medicale (Inserm); Assistance Publique Hopitaux Paris (APHP); Hopital Universitaire Avicenne - APHP; Universite Paris Cite; Hopital Universitaire Saint-Louis - APHP; Universite Paris 13; Nantes Universite; CHU de Nantes; Nantes Universite; CHU de Nantes; Institut National de la Sante et de la Recherche Medicale (Inserm); Assistance Publique Hopitaux Paris (APHP); Universite Paris Cite; Hopital Universitaire Necker-Enfants Malades - APHP; Hopital Universitaire Saint-Louis - APHP; Universite Paris Cite; Hopital Paris Saint-Joseph; CHU Strasbourg; Universites de Strasbourg Etablissements Associes; Universite de Strasbourg; CHU Strasbourg; Universites de Strasbourg Etablissements Associes; Universite de Strasbourg; Hospital Foch; Centre Hospitalier de Versailles; Assistance Publique Hopitaux Paris (APHP); Universite Paris Cite; Hopital Universitaire Saint-Louis - APHP; Hopital Universitaire Lariboisiere-Fernand-Widal - APHP; Assistance Publique Hopitaux Paris (APHP); Universite Paris Cite; Hopital Universitaire Saint-Louis - APHP; Institut National de la Sante et de la Recherche Medicale (Inserm); Hopital Universitaire Lariboisiere-Fernand-Widal - APHP; Universite Paris Cite; Assistance Publique Hopitaux Paris (APHP); Hopital Universitaire Saint-Louis - APHP; Universite Paris Cite; Assistance Publique Hopitaux Paris (APHP); Hopital Universitaire Saint-Louis - APHP; Assistance Publique Hopitaux Paris (APHP); Universite Paris Cite; Hopital Universitaire Saint-Louis - APHP; Hopital Universitaire Cochin - APHP; Universite Paris Cite; Hopital Paris Saint-Joseph; Assistance Publique Hopitaux Paris (APHP); Universite Paris Cite; Hopital Universitaire Saint-Louis - APHP; Sorbonne Universite; Hopital Universitaire Tenon - APHP; Assistance Publique Hopitaux Paris (APHP); Universite Paris Cite; Hopital Universitaire Saint-Louis - APHP; Sorbonne Universite; Hopital Universitaire Saint-Antoine - APHP; Assistance Publique Hopitaux Paris (APHP); Universite Paris Cite; Hopital Universitaire Cochin - APHP; Universite Paris-Est-Creteil-Val-de-Marne (UPEC); Assistance Publique Hopitaux Paris (APHP); Hopital Universitaire Henri-Mondor - APHP; Universite Paris Cite; Hopital Universitaire Saint-Louis - APHP; Assistance Publique Hopitaux Paris (APHP); Hopital Universitaire Pitie-Salpetriere - APHP; Universite Paris Cite; Hopital Universitaire Saint-Louis - APHP; Sorbonne Universite; Assistance Publique Hopitaux Paris (APHP); AGEPS Agence Generale des Equipements et Produits de Sante - APHP; Universite Paris Cite; Hopital Universitaire Saint-Louis - APHP; Assistance Publique Hopitaux Paris (APHP); Universite Paris Cite; Hopital Universitaire Saint-Louis - APHP; Hopital Universitaire Europeen Georges-Pompidou - APHP; Assistance Publique Hopitaux Paris (APHP); Universite Paris Cite; Hopital Universitaire Bichat-Claude Bernard - APHP; Hopital Universitaire Saint-Louis - APHP; Sorbonne Universite; Assistance Publique Hopitaux Paris (APHP); Hopital Universitaire Saint-Antoine - APHP; Universite Paris Cite; Hopital Universitaire Saint-Louis - APHP; Universite Paris Cite; Assistance Publique Hopitaux Paris (APHP); Hopital Universitaire Saint-Louis - APHP; Institut National de la Sante et de la Recherche Medicale (Inserm); Institut National de la Sante et de la Recherche Medicale (Inserm); Universite Paris Cite</t>
  </si>
  <si>
    <t>Hermine, O (corresponding author), Univ Paris, Dept Hematol, Hop Necker, Assistance Publ Hop Paris, 149 Rue Sevres, F-75015 Paris, France.</t>
  </si>
  <si>
    <t>olivier.hermine@aphp.fr; raphael.porcher@aphp.fr</t>
  </si>
  <si>
    <t>Arlet, Jean/D-3124-2016; Savale, Laurent/AAJ-9781-2020; London, Jonathan/ABB-3495-2021; Michot, Jean-Marie/AAC-3028-2022; Resche-Rigon, Matthieu/ABA-5374-2021; Dougados, Maxime/P-5287-2016; Empana, Jean-Philippe/AAF-6923-2021; Hermine, Olivier/Q-7072-2018; Azoulay, Elie/HLG-3693-2023; Mariette, Xavier/GYU-8073-2022; Baron, Stephanie/AAY-5703-2020; STEG, Philippe/Z-1567-2019; Ghosn, Jade/KHW-1059-2024; Nguyen, Yann/AAX-5740-2020; COSTEDOAT-CHALUMEAU, NATHALIE/P-5321-2016; sene, damien/R-3970-2017; Mariette, Xavier/N-3743-2013; Humbert, Marc/AAC-8459-2019; Tharaux, Pierre-Louis/A-9155-2009</t>
  </si>
  <si>
    <t>STEG, Philippe Gabriel/0000-0001-6896-2941; Mariette, Xavier/0000-0002-4244-5417; Lacombe, Karine/0000-0001-8772-9029; Megarbane, Bruno/0000-0002-2522-2764; Humbert, Marc/0000-0003-0703-2892; Tharaux, Pierre-Louis/0000-0002-6062-5905; Baron, Gabriel/0000-0003-4893-2926; SENE, Damien/0000-0001-8640-4580; Nguyen, Yann/0000-0002-0866-3824; Baron, Stephanie/0000-0002-0375-6968</t>
  </si>
  <si>
    <t>Programme Hospitalier de Recherche Clinique [PHRC] [COVID-19-20-0151, PHRC COVID-19-20-0029]; Fondation de l'Assistance Publique -Hopitaux de Paris; Federation pour la Recherche Medicale(FRM); Roche</t>
  </si>
  <si>
    <t>Programme Hospitalier de Recherche Clinique [PHRC]; Fondation de l'Assistance Publique -Hopitaux de Paris; Federation pour la Recherche Medicale(FRM)(Fondation pour la Recherche Medicale); Roche(Roche Holding)</t>
  </si>
  <si>
    <t>Programme Hospitalier de Recherche Clinique [PHRC COVID-19-20-0151, PHRC COVID-19-20-0029], Fondation de l'Assistance Publique -Hopitaux de Paris (Alliance Tous Unis Contre le Virus) and from Federation pour la Recherche Medicale(FRM). Tocilizumab was provided by Roche.</t>
  </si>
  <si>
    <t>2589-5370</t>
  </si>
  <si>
    <t>EClinicalMedicine</t>
  </si>
  <si>
    <t>10.1016/j.eclinm.2022.101362</t>
  </si>
  <si>
    <t>2S0KY</t>
  </si>
  <si>
    <t>WOS:000821492000018</t>
  </si>
  <si>
    <t>Humbert, M; Lambin, X; Villard, E</t>
  </si>
  <si>
    <t>Humbert, Marc; Lambin, Xavier; Villard, Eric</t>
  </si>
  <si>
    <t>The role of prior warnings when cheating is easy and punishment is credible</t>
  </si>
  <si>
    <t>INFORMATION ECONOMICS AND POLICY</t>
  </si>
  <si>
    <t>Education; Online exams; Unproctored exams; Prior warnings; Nudges; Randomized control trial</t>
  </si>
  <si>
    <t>During the COVID-19 sanitary crisis, many exams were hastily moved to online mode. This revived a much needed debate over the privacy issues associated with online proctoring of exams, while the validity and fairness of unproctored exams were increasingly questioned. With a randomized control trial, we estimate the effectiveness of prior warnings as a means of discouraging academic dishonesty in exams. We use original, non-intrusive technologies to surreptitiously identify cheating in a series of unproctored assignments and send a targeted warning to half of the students who were identified as cheaters. We then compare their cheating behavior on the final exam with the behavior of the group of unwarned cheaters. The warning proves effective but does not completely eliminate cheating, as some students' cheating strategies become more sophisticated following issuance of the warnings. We conclude that switching traditional exams to online mode should be accompanied by proctoring. When proctoring is not possible, credible and effective anti-cheating technologies should be deployed together with adequate warnings.(c) 2021 Elsevier B.V. All rights reserved.</t>
  </si>
  <si>
    <t>[Humbert, Marc; Villard, Eric] Grenoble Ecole Management, 12 Rue Pierre Semard, F-38000 Grenoble, France; [Lambin, Xavier] ESSEC Business Sch, 3 Ave Bernard Hirsch,BP 50105, F-95021 Cergy, France; [Lambin, Xavier] THEMA, 3 Ave Bernard Hirsch,BP 50105, F-95021 Cergy, France</t>
  </si>
  <si>
    <t>Grenoble Ecole Management; ESSEC Business School; Universite de Bourgogne</t>
  </si>
  <si>
    <t>Lambin, X (corresponding author), ESSEC Business Sch, 3 Ave Bernard Hirsch,BP 50105, F-95021 Cergy, France.;Lambin, X (corresponding author), THEMA, 3 Ave Bernard Hirsch,BP 50105, F-95021 Cergy, France.</t>
  </si>
  <si>
    <t>lambin@essec.edu</t>
  </si>
  <si>
    <t>Lambin, Xavier/HTQ-3955-2023; Humbert, Marc/AAC-8459-2019</t>
  </si>
  <si>
    <t>Humbert, Marc/0000-0003-0703-2892; Lambin, Xavier/0000-0002-4664-726X</t>
  </si>
  <si>
    <t>0167-6245</t>
  </si>
  <si>
    <t>1873-5975</t>
  </si>
  <si>
    <t>INF ECON POLICY</t>
  </si>
  <si>
    <t>Inf. Econ. Policy</t>
  </si>
  <si>
    <t>10.1016/j.infoecopol.2021.100959</t>
  </si>
  <si>
    <t>Economics</t>
  </si>
  <si>
    <t>Business &amp; Economics</t>
  </si>
  <si>
    <t>ZY8JS</t>
  </si>
  <si>
    <t>WOS:000772827800005</t>
  </si>
  <si>
    <t>Le Pennec, R; Tromeur, C; Orione, C; Robin, P; Le Mao, R; De Moreuil, C; Jevnikar, M; Hoffman, C; Savale, L; Couturaud, F; Sitbon, O; Montani, D; Jais, X; Le Gal, G; Salauen, PY; Humbert, M; Le Roux, PY</t>
  </si>
  <si>
    <t>Le Pennec, Romain; Tromeur, Cecile; Orione, Charles; Robin, Philippe; Le Mao, Raphael; De Moreuil, Claire; Jevnikar, Mitja; Hoffman, Clement; Savale, Laurent; Couturaud, Francis; Sitbon, Olivier; Montani, David; Jais, Xavier; Le Gal, Gregoire; Salauen, Pierre Yves; Humbert, Marc; Le Roux, Pierre Yves</t>
  </si>
  <si>
    <t>Lung Ventilation/Perfusion Scintigraphy for the Screening of Chronic Thromboembolic Pulmonary Hypertension (CTEPH): Which Criteria to Use?</t>
  </si>
  <si>
    <t>FRONTIERS IN MEDICINE</t>
  </si>
  <si>
    <t>chronic thromboembolic pulmonary hypertension; ventilation; perfusion scintigraphy; interpretation criteria; CTEPH; planar V; Q scintigraphy</t>
  </si>
  <si>
    <t>EMBOLISM DIAGNOSIS; RISK-FACTORS; V/Q SPECT</t>
  </si>
  <si>
    <t>ObjectiveThe diagnosis of chronic thromboembolic pulmonary hypertension (CTEPH) is a major challenge as it is a curable cause of pulmonary hypertension (PH). Ventilation/Perfusion (V/Q) lung scintigraphy is the imaging modality of choice for the screening of CTEPH. However, there is no consensus on the criteria to use for interpretation. The aim of this study was to assess the accuracy of various interpretation criteria of planar V/Q scintigraphy for the screening of CTEPH in patients with PH. MethodsThe eligible study population consisted of consecutive patients with newly diagnosed PH in the Brest University Hospital, France. Final diagnosis (CTEPH or non-CTEPH) was established in a referential center on the management of PH, based on the ESC/ERS guidelines and a minimum follow-up of 3 years. A retrospective central review of planar V/Q scintigraphy was performed by three nuclear physicians blinded to clinical findings and to final diagnosis. The number, extent (sub-segmental or segmental) and type (matched or mismatched) of perfusion defects were reported. Sensitivity and specificity were evaluated for various criteria based on the number of mismatched perfusion defects and the number of perfusion defects (regardless of ventilation). Receiver operating characteristic (ROC) curves were generated and areas under the curve (AUC) were calculated for both. ResultsA total of 226 patients with newly diagnosed PH were analyzed. Fifty six (24.8%) were diagnosed with CTEPH while 170 patients (75.2%) were diagnosed with non-CTEPH. The optimal threshold was 2.5 segmental mismatched perfusion defects, providing a sensitivity of 100 % (95% CI 93.6-100%) and a specificity of 94.7% (95%CI 90.3-97.2%). Lower diagnostic cut-offs of mismatched perfusion defects provided similar sensitivity but lower specificity. Ninety five percent of patients with CTEPH had more than 4 segmental mismatched defects. An interpretation only based on perfusion provided similar sensitivity but a specificity of 81.8% (95%CI 75.3-86.9%). ConclusionOur study confirmed the high diagnostic performance of planar V/Q scintigraphy for the screening of CTEPH in patients with PH. The optimal diagnostic cut-off for interpretation was 2.5 segmental mismatched perfusion defects. An interpretation only based on perfusion defects provided similar sensitivity but lower specificity.</t>
  </si>
  <si>
    <t>[Le Pennec, Romain; Robin, Philippe; Salauen, Pierre Yves; Le Roux, Pierre Yves] Univ Bretagne Occidentale, Serv medecine nucleaire, GETBO IFR EA3878 148, CHRU Brest, Brest, France; [Tromeur, Cecile; Orione, Charles; Le Mao, Raphael; De Moreuil, Claire; Hoffman, Clement; Couturaud, Francis] Univ Bretagne Occidentale, Dept Medecine Interne &amp; Pneumol, EA GETBO 3878, CHRU Brest, Brest, France; [Jevnikar, Mitja; Savale, Laurent; Sitbon, Olivier; Montani, David; Jais, Xavier; Humbert, Marc] Univ Paris Sud, Hop Bicetre, Ctr Chirurg Marie Lannelongue, Serv Pneumol DHU Thorax Innovat,AP HP, Paris, France; [Le Gal, Gregoire] Univ Brest, Ctr Hospitalier Reg, Ctr Invest Clin, Brest, France; [Le Gal, Gregoire] Univ Ottawa, Ottawa Hosp Res Inst, Dept Med, Ottawa, ON, Canada</t>
  </si>
  <si>
    <t>CHU Brest; Universite de Bretagne Occidentale; CHU Brest; Universite de Bretagne Occidentale; Institut National de la Sante et de la Recherche Medicale (Inserm); Universite Paris Saclay; Hopital Marie Lannelongue; Assistance Publique Hopitaux Paris (APHP); Hopital Universitaire Bicetre - APHP; Universite de Bretagne Occidentale; Institut National de la Sante et de la Recherche Medicale (Inserm); University of Ottawa; Ottawa Hospital Research Institute</t>
  </si>
  <si>
    <t>Le Pennec, R (corresponding author), Univ Bretagne Occidentale, Serv medecine nucleaire, GETBO IFR EA3878 148, CHRU Brest, Brest, France.</t>
  </si>
  <si>
    <t>romain.lepennec@gmail.com</t>
  </si>
  <si>
    <t>Robin, Philippe/X-6290-2019; de Moreuil, Claire/AAF-1489-2021; Humbert, Marc/AAC-8459-2019; LE GAL, Gregoire/K-1077-2012</t>
  </si>
  <si>
    <t>Humbert, Marc/0000-0003-0703-2892; Couturaud, Francis/0000-0002-1855-8032; LE GAL, Gregoire/0000-0002-9253-248X; Orione, Charles/0000-0003-1673-2321; de Moreuil, Claire/0000-0003-1142-0978</t>
  </si>
  <si>
    <t>2296-858X</t>
  </si>
  <si>
    <t>FRONT MED-LAUSANNE</t>
  </si>
  <si>
    <t>Front. Med.</t>
  </si>
  <si>
    <t>10.3389/fmed.2022.851935</t>
  </si>
  <si>
    <t>ZY8VW</t>
  </si>
  <si>
    <t>WOS:000772859800001</t>
  </si>
  <si>
    <t>Finding Pulmonary Arterial Hypertension-Switching to Offense to Mitigate Disease Burden</t>
  </si>
  <si>
    <t>JAMA CARDIOLOGY</t>
  </si>
  <si>
    <t>[Maron, Bradley A.] Harvard Med Sch, Brigham &amp; Womens Hosp, Dept Med, Div Cardiovasc Med, 77 Ave Louis Pasteur,New Res Bldg Room 0630-N, Boston, MA 02115 USA; [Maron, Bradley A.] Vet Affairs Boston Healthcare Syst, Dept Cardiol, West Roxbury, MA USA; [Humbert, Marc] Univ Paris Saclay, Hop Bicetre, AP HP, Serv Pneumol &amp; Soins Intensifs Resp,INSERM, Le Kremlin Bicetre, France</t>
  </si>
  <si>
    <t>Harvard University; Harvard University Medical Affiliates; Brigham &amp; Women's Hospital; Harvard Medical School; Harvard University; Harvard University Medical Affiliates; US Department of Veterans Affairs; Veterans Health Administration (VHA); VA Boston Healthcare System; Institut National de la Sante et de la Recherche Medicale (Inserm); Assistance Publique Hopitaux Paris (APHP); Hopital Universitaire Bicetre - APHP; Universite Paris Saclay; Hopital Universitaire Antoine-Beclere - APHP</t>
  </si>
  <si>
    <t>Maron, BA (corresponding author), Harvard Med Sch, Brigham &amp; Womens Hosp, Dept Med, Div Cardiovasc Med, 77 Ave Louis Pasteur,New Res Bldg Room 0630-N, Boston, MA 02115 USA.</t>
  </si>
  <si>
    <t>bmaron@bwh.harvard.edu</t>
  </si>
  <si>
    <t>National Heart Lung and Blood Institute [R01HL153502] Funding Source: NIH RePORTER</t>
  </si>
  <si>
    <t>National Heart Lung and Blood Institute(United States Department of Health &amp; Human ServicesNational Institutes of Health (NIH) - USANIH National Heart Lung &amp; Blood Institute (NHLBI))</t>
  </si>
  <si>
    <t>AMER MEDICAL ASSOC</t>
  </si>
  <si>
    <t>CHICAGO</t>
  </si>
  <si>
    <t>330 N WABASH AVE, STE 39300, CHICAGO, IL 60611-5885 USA</t>
  </si>
  <si>
    <t>2380-6583</t>
  </si>
  <si>
    <t>2380-6591</t>
  </si>
  <si>
    <t>JAMA CARDIOL</t>
  </si>
  <si>
    <t>JAMA Cardiol.</t>
  </si>
  <si>
    <t>10.1001/jamacardio.2022.0011</t>
  </si>
  <si>
    <t>0N1SF</t>
  </si>
  <si>
    <t>WOS:000764268800005</t>
  </si>
  <si>
    <t>Mercier, O; Dubost, C; Delaporte, A; Genty, T; Fabre, D; Mitilian, D; Girault, A; Issard, J; Astaneh, A; Menager, JB; Dauriat, G; Mussot, S; Jevnikar, M; Jais, X; Humbert, M; Simonneau, G; Dartevelle, P; Ion, I; Stephan, F; Brenot, P; Fadel, E</t>
  </si>
  <si>
    <t>Mercier, Olaf; Dubost, Clement; Delaporte, Amelie; Genty, Thibault; Fabre, Dominique; Mitilian, Delphine; Girault, Antoine; Issard, Justin; Astaneh, Arash; Menager, Jean-Baptiste; Dauriat, Gaelle; Mussot, Sacha; Jevnikar, Mitja; Jais, Xavier; Humbert, Marc; Simonneau, Gerald; Dartevelle, Philippe; Ion, Iolando; Stephan, Francois; Brenot, Philippe; Fadel, Elie</t>
  </si>
  <si>
    <t>Pulmonary thromboendarterectomy: The Marie Lannelongue Hospital experience</t>
  </si>
  <si>
    <t>ANNALS OF CARDIOTHORACIC SURGERY</t>
  </si>
  <si>
    <t>Chronic thromboembolic pulmonary hypertension (CTEPH); pulmonary endarterectomy (PEA); deep hypothermia; circulatory arrest pulmonary vascular disease; balloon pulmonary angioplasty (BPA)</t>
  </si>
  <si>
    <t>EXTRACORPOREAL LIFE-SUPPORT; ENDARTERECTOMY; HYPERTENSION; ANGIOPLASTY; MANAGEMENT</t>
  </si>
  <si>
    <t>Baokground: Targeted medical therapy and balloon pulmonary angioplasty (BPA) entered the field of chronic thromboembolic pulmonary hypertension (CTEPH) treatment in the early 2010's. Multimodal therapy is emerging as the new gold standard for CTEPH management. Whether this change of paradigm impacted early outcomes of pulmonary endarterectomy (PEA) remains unknown. Our aim is to report our surgical experience in the era of CTEPH multimodal management. Methods: Patients who underwent PEA between 2016 and 2020 were included in the study. Early outcomes were described and compared between three groups of patients: PEA alone, PEA after targeted medical therapy induction and PEA after BPA. Results: A total of 418 patients, 225 males and 193 females, with a mean age of 59 +/- 14 years were included in the study. 336 patients underwent PEA alone, 69 after medical targeted therapy induction and 13 after unilateral BPA. Baseline preoperative pulmonary vascular resistance [4.99 (IQR, 1.71-8.48), 6.21 (IQR, 4.37-8.1), 5.03 (IQR, 4.44-7.19) wood units (WU), P=0.230, respectively] and PEA effectiveness [% decrease mean pulmonary artery pressure (mPAP), 24 (IQR, 7-42), 25 (IQR, 7-35), 23 (IQR, 3-29), P=0.580] did not differ between groups. Compared to PEA alone and PEA+BPA, the medical therapy induction group represented the most challenging group with higher baseline mPAP (45 +/- 10 vs. 42 +/- 11 and 43 +/- 11 mmHg, P=0.047), longer circulatory arrest time (30.1 +/- 15 vs. 26.6 +/- 10 and 19.6 +/- 6 min, P=0.005), higher post-PEA extracorporeal membrane oxygenation use (20.6% vs. 8.7 and 9.1%, P=0.004), higher duration on mechanical ventilation [4 (IQR, 1-12) vs. 1 (IQR, 0.5-5) and 2 (IQR, 1-3) days, P=0.005], higher complication rate (85.5% vs. 74.6% and 76.9%, P=0.052) and higher 90-day mortality (13% vs. 3.9% and 0%, P=0.002). Compared to PEA and PEA+ medical therapy induction groups, patients in the BPA induction group were older [72 (IQR, 62-76) vs. 60 (IQR, 48-69) and 62 (IQR, 52-72) years, P=0.005], and underwent shorter cardiopulmonary bypass (191.9 +/- 47.9 vs. 222 +/- 107.2 and 236.8 +/- 46.4 min, P&lt;0.001), aortic cross clamping (54.8 +/- 21 vs. 82.7 +/- 01.4 and 80.1 +/- 32.9 min, P=0.002) and circulatory arrest time (19.6 +/- 6.2 vs. 26.6 +/- 10.8 and 30.1 +/- 15.1 min, P=0.008). Conclusions: Multimodal therapy approach to CTEPH patients did not affect effectiveness of PEA. Medical therapy and BPA could act in synergy with surgery to treat more challenging patients.</t>
  </si>
  <si>
    <t>[Mercier, Olaf; Dubost, Clement; Genty, Thibault; Fabre, Dominique; Mitilian, Delphine; Girault, Antoine; Issard, Justin; Astaneh, Arash; Menager, Jean-Baptiste; Dauriat, Gaelle; Mussot, Sacha; Jevnikar, Mitja; Jais, Xavier; Humbert, Marc; Stephan, Francois; Brenot, Philippe; Fadel, Elie] Univ Paris Saclay, Fac Med, Le Kremlin Bicetre, France; [Mercier, Olaf; Dubost, Clement; Fabre, Dominique; Mitilian, Delphine; Girault, Antoine; Issard, Justin; Astaneh, Arash; Menager, Jean-Baptiste; Dauriat, Gaelle; Mussot, Sacha; Simonneau, Gerald; Dartevelle, Philippe; Brenot, Philippe; Fadel, Elie] GHPSJ, Dept Thorac &amp; Vasc Surg &amp; Heart Lung Transplantat, Hop Marie Lannelongue, Le Plessis Robinson, France; [Genty, Thibault; Stephan, Francois] GHPSJ, Intens Care Unit, Hop Marie Lannelongue, Le Plessis Robinson, France; [Delaporte, Amelie; Ion, Iolando] GHPSJ, Dept Anesthesiol, Hop Marie Lannelongue, Le Plessis Robinson, France; [Jevnikar, Mitja; Jais, Xavier; Humbert, Marc] Hop Bicetre, AP HP, Serv Pneumol &amp; Soins Intensifs Resp, Ap Hp, France</t>
  </si>
  <si>
    <t>Universite Paris Saclay; Hopital Marie Lannelongue; Hopital Marie Lannelongue; Hopital Marie Lannelongue; Assistance Publique Hopitaux Paris (APHP); Hopital Universitaire Bicetre - APHP</t>
  </si>
  <si>
    <t>Mercier, O (corresponding author), Hop Marie Lannelongue, Dept Thorac &amp; Vasc Surg &amp; Heart Lung Transplantat, 133 Ave Resistance, F-92350 Le Plessis Robinson, France.</t>
  </si>
  <si>
    <t>o.mercier@hml.fr</t>
  </si>
  <si>
    <t>Brenot, Philippe/HJB-1040-2022; Mussot, S/AAL-7512-2020; Humbert, Marc/AAC-8459-2019</t>
  </si>
  <si>
    <t>AME PUBLISHING COMPANY</t>
  </si>
  <si>
    <t>SHATIN</t>
  </si>
  <si>
    <t>FLAT-RM C 16F, KINGS WING PLAZA 1, NO 3 KWAN ST, SHATIN, HONG KONG 00000, PEOPLES R CHINA</t>
  </si>
  <si>
    <t>2225-319X</t>
  </si>
  <si>
    <t>2304-1021</t>
  </si>
  <si>
    <t>ANN CARDIOTHORAC SUR</t>
  </si>
  <si>
    <t>Ann. Cardiothorac. Surg.</t>
  </si>
  <si>
    <t>10.21037/acs-2021-pte-20</t>
  </si>
  <si>
    <t>Cardiac &amp; Cardiovascular Systems; Surgery</t>
  </si>
  <si>
    <t>Cardiovascular System &amp; Cardiology; Surgery</t>
  </si>
  <si>
    <t>0N3CP</t>
  </si>
  <si>
    <t>WOS:000782720300008</t>
  </si>
  <si>
    <t>Migliori, GB; Falzon, D; Marks, GB; Goletti, D; Kasaeva, T; Esposito, S; Humbert, M</t>
  </si>
  <si>
    <t>Migliori, Giovanni Battista; Falzon, Dennis; Marks, Guy B.; Goletti, Delia; Kasaeva, Tereza; Esposito, Susanna; Humbert, Marc</t>
  </si>
  <si>
    <t>Commemorating World Tuberculosis Day 2022: recent ERJ articles of critical relevance to ending TB and saving lives</t>
  </si>
  <si>
    <t>[Migliori, Giovanni Battista] Ist Clin Sci Maugeri IRCCS, Serv Epidemiol Clin Malattie Resp, Tradate, Italy; [Falzon, Dennis; Kasaeva, Tereza] WHO, Global TB Programme, Geneva, Switzerland; [Marks, Guy B.] Univ New South Wales, South Western Sydney Clin Sch, Sydney, NSW, Australia; [Goletti, Delia] Natl Inst Infect Dis L Spallanzani, Rome, Italy; [Esposito, Susanna] Univ Parma, Pietro Barilla Childrens Hosp, Paediat Clin, Parma, Italy; [Humbert, Marc] Univ Paris Saclay, Hop Bicetre, AP HP, INSERM,Serv Pneumol &amp; Soins Intensifs Resp, Le Kremlin Bicetre, France</t>
  </si>
  <si>
    <t>World Health Organization; University of New South Wales Sydney; IRCCS Lazzaro Spallanzani; University of Parma; Institut National de la Sante et de la Recherche Medicale (Inserm); Assistance Publique Hopitaux Paris (APHP); Hopital Universitaire Antoine-Beclere - APHP; Universite Paris Saclay; Hopital Universitaire Bicetre - APHP</t>
  </si>
  <si>
    <t>Migliori, GB (corresponding author), Ist Clin Sci Maugeri IRCCS, Serv Epidemiol Clin Malattie Resp, Tradate, Italy.</t>
  </si>
  <si>
    <t>giovannibattista.migliori@icsmaugeri.it</t>
  </si>
  <si>
    <t>goletti, delia/AAM-6577-2020; Esposito, Susanna/AAA-8275-2022; Migliori, Giovanni Battista/AAB-8589-2020; Humbert, Marc/AAC-8459-2019; Marks, Guy/F-5058-2013; Esposito, Susanna/K-3475-2016</t>
  </si>
  <si>
    <t>Migliori, Giovanni Battista/0000-0002-2597-574X; Humbert, Marc/0000-0003-0703-2892; Kasaeva, Tereza/0000-0002-3986-1460; Marks, Guy/0000-0002-8976-8053; Esposito, Susanna/0000-0003-4103-2837; Goletti, Delia/0000-0001-8360-4376</t>
  </si>
  <si>
    <t>10.1183/13993003.00149-2022</t>
  </si>
  <si>
    <t>1B5SU</t>
  </si>
  <si>
    <t>WOS:000792497500010</t>
  </si>
  <si>
    <t>Uniphy Clinical Trials Network</t>
  </si>
  <si>
    <t>Mendelian randomisation and experimental medicine approaches to interleukin-6 as a drug target in pulmonary arterial hypertension</t>
  </si>
  <si>
    <t>GENOME-WIDE ASSOCIATION; SYSTEMIC-SCLEROSIS; TOCILIZUMAB; DISEASE; INFLAMMATION; RECEPTOR; RISK</t>
  </si>
  <si>
    <t>Background Inflammation and dysregulated immunity are important in the development of pulmonary arterial hypertension (PAH). Compelling preclinical data supports the therapeutic blockade of interleukin-6 (IL-6) signalling. Methods We conducted a phase 2 open-label study of intravenous tocilizumab (8 mg.kg(-1)) over 6 months in patients with group 1 PAH. Co-primary end-points were safety, defined by incidence and severity of adverse events, and change in pulmonary vascular resistance. Separately, a mendelian randomisation study was undertaken on 11744 individuals with European ancestry including 2085 patients with idiopathic/heritable disease for the IL-6 receptor (IL6R) variant (rs7529229), known to associate with circulating IL-6R levels. Results We recruited 29 patients (male/female 10/19; mean +/- SD age 54.9 +/- 11.4 years). Of these, 19 had heritable/idiopathic PAH and 10 had connective tissue disease-associated PAH. Six were withdrawn prior to drug administration; 23 patients received at least one dose of tocilizumab. Tocilizumab was discontinued in four patients owing to serious adverse events. There were no deaths. Despite evidence of target engagement in plasma IL-6 and C-reactive protein levels, both intention-to-treat and modified intention-to treat analyses demonstrated no change in pulmonary vascular resistance. Inflammatory markers did not predict treatment response. Mendelian randomisation did not support an effect of the lead IL6R variant on risk of PAH (OR 0.99, p=0.88). Conclusion Adverse events were consistent with the known safety profile of tocilizumab. Tocilizumab did not show any consistent treatment effect.</t>
  </si>
  <si>
    <t>[Toshner, Mark; Liley, James; Jones, Rowena; Graf, Stefan; Knightbridge, Emily; Morrell, Nicholas W.] Univ Cambridge, Dept Med, Cambridge, England; [Toshner, Mark; Harlow, Louise; Pepke-Zaba, Joanna] Royal Papworth Hosp, Cambridge, England; [Church, Colin] Golden Jubilee Hosp, Glasgow, Lanark, Scotland; [Harbaum, Lars; Rhodes, Christopher; Gibbs, J. Simon R.; Howard, Luke S.; Wort, S. John; Wilkins, Martin R.] Imperial Coll, Heart Lung Res Inst, London, England; [Moreschi, Sofia S. Villar; Liley, James] Univ Cambridge, MRC Biostatist Unit, Cambridge, England; [Arora, Amit; Karnes, Jason; Kittles, Rick] Univ Arizona, Dept Epidemiol &amp; Biostat, Tucson, AZ USA; [Batai, Ken] Univ Arizona, Dept Urol, Tucson, AZ USA; [Desai, Ankit A.; Schwantes-An, Tae-Hwi L.] Indiana Univ, Dept Med, Indianapolis, IN USA; [Coghlan, John G.] Royal Free Hosp, London, England; [Gor, Dee; Hernandez-Sanchez, Jules] Roche Prod Ltd, Welwyn Garden City, Herts, England; [Humbert, Marc] Univ Paris Sud, Paris, France; [Kiely, David G.] Royal Hallamshire Hosp, Sheffield, S Yorkshire, England; [Lam, Brian] Univ Cambridge, Inst Metab Sci, Cambridge, England; [Lutz, Katie A.; Nichols, William C.; Pauciulo, Michael W.] Cincinnati Childrens Hosp Med Ctr, Div Human Genet, Cincinnati, OH 45229 USA; [Suntharalingam, Jay] Royal United Hosp, Bath, Avon, England; [Soubrier, Florent] Sorbonne Univ, INSERM, Paris, France; [Trembath, Richard C.] Kings Coll London, Genet &amp; Mol Med, London, England; [Gaine, Sean] Mater Misericordiae Univ Hosp, Dublin, Ireland; [Corris, Paul A.] Newcastle Univ, Dept Med, Newcastle Upon Tyne, Tyne &amp; Wear, England</t>
  </si>
  <si>
    <t>University of Cambridge; Papworth Hospital; Golden Jubilee Hospital; Imperial College London; University of Cambridge; MRC Biostatistics Unit; University of Arizona; University of Arizona; Indiana University System; Indiana University Indianapolis; University of London; University College London; Royal Free London NHS Foundation Trust; UCL Medical School; Roche Holding; Roche Holding United Kingdom; Universite Paris Saclay; University of Sheffield; University of Cambridge; Cincinnati Children's Hospital Medical Center; Institut National de la Sante et de la Recherche Medicale (Inserm); Sorbonne Universite; University of London; King's College London; Mater Misericordiae University Hospital; University College Dublin; Newcastle University - UK</t>
  </si>
  <si>
    <t>Toshner, M (corresponding author), Univ Cambridge, Dept Med, Cambridge, England.;Toshner, M (corresponding author), Royal Papworth Hosp, Cambridge, England.</t>
  </si>
  <si>
    <t>mrt34@medschl.cam.ac.uk</t>
  </si>
  <si>
    <t>Liley, James/GSD-4767-2022; Pepke-Zaba, Joanna/AGW-3073-2022; Batai, Ken/AAG-5277-2019; Cardoso, Paulo/C-5768-2012; Wilkins, Martin/ABH-1140-2021; Howard, Luke/HJP-3415-2023; Humbert, Marc/AAC-8459-2019</t>
  </si>
  <si>
    <t>Rhodes, Christopher/0000-0002-4962-3204; Church, Alistair/0000-0002-4446-0100; Toshner, Mark/0000-0002-3969-6143; Humbert, Marc/0000-0003-0703-2892</t>
  </si>
  <si>
    <t>UK National Institute of Health Research Cambridge Biomedical Research Centre; Roche Products Limited; Welwyn Garden City, UK; National Heart Lung and Blood Institute [R01HL136603] Funding Source: NIH RePORTER</t>
  </si>
  <si>
    <t>UK National Institute of Health Research Cambridge Biomedical Research Centre; Roche Products Limited; Welwyn Garden City, UK; National Heart Lung and Blood Institute(United States Department of Health &amp; Human ServicesNational Institutes of Health (NIH) - USANIH National Heart Lung &amp; Blood Institute (NHLBI))</t>
  </si>
  <si>
    <t>This work was funded by a grant from the UK National Institute of Health Research Cambridge Biomedical Research Centre and Rare Diseases Translational Research Collaboration, in addition to an unrestricted grant from Roche Products Limited, Welwyn Garden City, UK. TRANSFORM-UK, ClinicalTrials.gov number NCT02676947. Funding information for this article has been deposited with the Crossref Funder Registry.</t>
  </si>
  <si>
    <t>10.1183/13993003.02463-2020</t>
  </si>
  <si>
    <t>WOS:000792497500021</t>
  </si>
  <si>
    <t>Genty, T; Wirth, C; Humbert, M; Fadel, E; Stéphan, F</t>
  </si>
  <si>
    <t>Genty, Thibaut; Wirth, Camille; Humbert, Marc; Fadel, Elie; Stephan, Francois</t>
  </si>
  <si>
    <t>Pulmonary Endarterectomy in Patients With Myeloproliferative Neoplasms</t>
  </si>
  <si>
    <t>[Genty, Thibaut; Wirth, Camille; Stephan, Francois] Hop Marie Lannelongue, Cardiothorac Intens Care Unit, Le Plessis Robinson, France; [Humbert, Marc; Fadel, Elie; Stephan, Francois] Univ Paris Saclay, Fac Med, Gif Sur Yvette, France; [Humbert, Marc; Fadel, Elie; Stephan, Francois] Hop Marie Lannelongue, Pulm Hypertens Pathophysiol &amp; Novel Therapies, INSERM U999, Le Plessis Robinson, France; [Humbert, Marc] Hop Bicetre, Dept Resp &amp; Intens Care Med, Pulm Hypertens Reference Ctr, Le Kremlin Bicetre, France; [Fadel, Elie] Hop Marie Lannelongue, Dept Thorac &amp; Vasc Surg &amp; Heart Lung Transplantat, Le Plessis Robinson, France</t>
  </si>
  <si>
    <t>Hopital Marie Lannelongue; Universite Paris Saclay; Institut National de la Sante et de la Recherche Medicale (Inserm); Universite Paris Saclay; Hopital Marie Lannelongue; Universite Paris Saclay; Assistance Publique Hopitaux Paris (APHP); Hopital Universitaire Antoine-Beclere - APHP; Hopital Universitaire Bicetre - APHP; Hopital Marie Lannelongue</t>
  </si>
  <si>
    <t>Stephan, F (corresponding author), Hop Marie Lannelongue, Cardiothorac Intens Care Unit, Le Plessis Robinson, France.;Stephan, F (corresponding author), Univ Paris Saclay, Fac Med, Gif Sur Yvette, France.;Stephan, F (corresponding author), Hop Marie Lannelongue, Pulm Hypertens Pathophysiol &amp; Novel Therapies, INSERM U999, Le Plessis Robinson, France.</t>
  </si>
  <si>
    <t>f.stephan@ghpsj.fr</t>
  </si>
  <si>
    <t>10.1016/j.chest.2021.09.007</t>
  </si>
  <si>
    <t>FEB 2022</t>
  </si>
  <si>
    <t>YW4EZ</t>
  </si>
  <si>
    <t>WOS:000753369000048</t>
  </si>
  <si>
    <t>Certain, MC; Robert, F; Baron, A; Sitbon, O; Humbert, M; Guignabert, C; Tu, L; Savale, L</t>
  </si>
  <si>
    <t>Certain, M-C; Robert, F.; Baron, A.; Sitbon, O.; Humbert, M.; Guignabert, C.; Tu, L.; Savale, L.</t>
  </si>
  <si>
    <t>Hepatopulmonary syndrome: Prevalence, pathophysiology and clinical implications</t>
  </si>
  <si>
    <t>Hepatopulmonary syndrome; Portal hypertension; Endothelial dysfunction; Pulmonary vascular remodeling; BMP-9</t>
  </si>
  <si>
    <t>NITRIC-OXIDE; ENDOTHELIN-1; CIRRHOSIS</t>
  </si>
  <si>
    <t>Hepatopulmonary syndrome (HPS) is a pulmonary vascular disease induced by por-tal hypertension that is characterized by dilation of the pulmonary capillaries and right-to-left shunting, leading to gas exchange abnormalities. While dysregulation of several endothelial cell (EC)-derived angiocrine factors and the development of HPS have been associated, the field is currently lacking in mechanistic understanding on how they contribute to disease initiation, perpetuation, and worsening. Although substantial progress has been made in the description of clinical characteristics and outcomes, no specific targeting therapy has been shown to have a long-term effect on the evolution of HPS; only liver transplantation can lead full or partial reversibility of the syndrome. This article aims to provide a comprehensive review of the cli-nical and epidemiological definitions of HPS and to describe its experimental models as well as recent advances in understanding the pathophysiology of the disease, with specific focus on BMP-9 and its signaling pathway. (c) 2022 SPLF. Published by Elsevier Masson SAS. All rights reserved.</t>
  </si>
  <si>
    <t>[Certain, M-C; Robert, F.; Baron, A.; Sitbon, O.; Humbert, M.; Guignabert, C.; Tu, L.; Savale, L.] Inserm UMRS 999 Pulm Hypertens Pathophysiol &amp; Nov, Le Plessis Robinson, France; [Certain, M-C; Baron, A.; Sitbon, O.; Humbert, M.; Savale, L.] Univ Paris Saclay, Fac Med, Le Kremlin Bicetre, France; [Certain, M-C; Baron, A.; Sitbon, O.; Humbert, M.; Savale, L.] Hop Bicetre, AP HP, Serv Pneumol &amp; Soins Intensifs Resp, Le Kremlin Bicetre, France</t>
  </si>
  <si>
    <t>Institut National de la Sante et de la Recherche Medicale (Inserm); Universite Paris Saclay; Assistance Publique Hopitaux Paris (APHP); Hopital Universitaire Bicetre - APHP; Hopital Universitaire Antoine-Beclere - APHP; Universite Paris Saclay</t>
  </si>
  <si>
    <t>Certain, MC (corresponding author), Hop Bicetre, AP HP, Serv Pneumol &amp; Soins Intensifs Resp, Le Kremlin Bicetre, France.</t>
  </si>
  <si>
    <t>mariecaroline.certain@gmail.com</t>
  </si>
  <si>
    <t>Savale, Laurent/AAJ-9781-2020; Humbert, Marc/AAC-8459-2019; GUIGNABERT, Christophe/G-3873-2013; TU, Ly/G-4035-2013</t>
  </si>
  <si>
    <t>Humbert, Marc/0000-0003-0703-2892; GUIGNABERT, Christophe/0000-0002-8545-4452; ROBERT, Fabien/0000-0003-3132-8706; TU, Ly/0000-0003-2336-5099</t>
  </si>
  <si>
    <t>10.1016/j.rmr.2022.02.055</t>
  </si>
  <si>
    <t>ZQ7MN</t>
  </si>
  <si>
    <t>Bronze, Green Published</t>
  </si>
  <si>
    <t>WOS:000767284700006</t>
  </si>
  <si>
    <t>Lechartier, B; Berrebeh, N; Huertas, A; Humbert, M; Guignabert, C; Tu, L</t>
  </si>
  <si>
    <t>Lechartier, Benoit; Berrebeh, Nihel; Huertas, Alice; Humbert, Marc; Guignabert, Christophe; Tu, Ly</t>
  </si>
  <si>
    <t>Phenotypic Diversity of Vascular Smooth Muscle Cells in Pulmonary Arterial Hypertension Implications for Therapy</t>
  </si>
  <si>
    <t>contractile; synthetic phenotype; pulmonary hypertension; pulmonary vascular remodeling; smooth muscle heterogeneity; translational targets</t>
  </si>
  <si>
    <t>POSITRON-EMISSION-TOMOGRAPHY; FIBROBLAST GROWTH FACTOR-2; TO-MESENCHYMAL TRANSITION; SENESCENCE; PATHOGENESIS; OSTEOPONTIN; CONTRIBUTES; PROGRESSION; ENDOTHELIUM; ACTIVATION</t>
  </si>
  <si>
    <t>Pulmonary arterial hypertension (PAH) is a progressive incurable condition that is characterized by extensive remodeling of the pulmonary circulation, leading to severe right-sided heart failure and death. Similar to other vascular contractile cells, pulmonary arterial smooth muscle cells play central roles in physiological and pathologic vascular remodeling because of their remarkable ability to dynamically modulate their phenotype to ensure contractile and synthetic functions. The dysfunction and molecular mechanisms underlying their contribution to the various pulmonary vascular lesions associated with PAH have been a major focus of research. The aim of this review is to describe the medial and nonmedial origins of contractile cells in the pulmonary vascular wall and present evidence of how they contribute to the onset and progression of PAH. We also highlight specific potential target molecules and discuss future directions that are being explored to widen the therapeutic options for the treatment of PAH.</t>
  </si>
  <si>
    <t>[Lechartier, Benoit] Lausanne Univ Hosp, Pulm Div, Lausanne, Switzerland; [Lechartier, Benoit; Berrebeh, Nihel; Huertas, Alice; Humbert, Marc; Guignabert, Christophe; Tu, Ly] Univ Paris Saclay, Sch Med, Le Kremlin Bicetre, France; [Lechartier, Benoit; Berrebeh, Nihel; Huertas, Alice; Humbert, Marc; Guignabert, Christophe; Tu, Ly] Hop Marie Lannelongue, INSERM UMR S 999, Le Plessis Robinson, France; [Lechartier, Benoit; Huertas, Alice; Humbert, Marc] Hop Bicetre, Dept Resp &amp; Intens Care Med, Le Kremlin Bicetre, France</t>
  </si>
  <si>
    <t>University of Lausanne; Centre Hospitalier Universitaire Vaudois (CHUV); Universite Paris Saclay; Institut National de la Sante et de la Recherche Medicale (Inserm); Hopital Marie Lannelongue; Universite Paris Saclay; Universite Paris Saclay; Assistance Publique Hopitaux Paris (APHP); Hopital Universitaire Bicetre - APHP; Hopital Universitaire Antoine-Beclere - APHP</t>
  </si>
  <si>
    <t>Tu, L (corresponding author), Univ Paris Saclay, Sch Med, Le Kremlin Bicetre, France.;Tu, L (corresponding author), Hop Marie Lannelongue, INSERM UMR S 999, Le Plessis Robinson, France.</t>
  </si>
  <si>
    <t>Huertas, Alice/E-8244-2017; TU, Ly/G-4035-2013; Humbert, Marc/AAC-8459-2019; GUIGNABERT, Christophe/G-3873-2013</t>
  </si>
  <si>
    <t>TU, Ly/0000-0003-2336-5099; Humbert, Marc/0000-0003-0703-2892; GUIGNABERT, Christophe/0000-0002-8545-4452; Lechartier, Benoit/0000-0001-5932-8164</t>
  </si>
  <si>
    <t>Fondation Juchum; Ligue Pulmonaire Vaudoise; Ile de France region (ARDoc Health)</t>
  </si>
  <si>
    <t>B. Lechartier is a recipient of a research grant from the Fondation Juchum and the Ligue Pulmonaire Vaudoise. N. Berrebeh is a recipient of a PhD fellowship from the Ile de France region (ARDoc Health).</t>
  </si>
  <si>
    <t>10.1016/j.chest.2021.08.040</t>
  </si>
  <si>
    <t>JAN 2022</t>
  </si>
  <si>
    <t>YO3YL</t>
  </si>
  <si>
    <t>WOS:000747878800028</t>
  </si>
  <si>
    <t>Beshay, S; Humbert, M; Barrios, R; Sahay, S</t>
  </si>
  <si>
    <t>Beshay, Sarah; Humbert, Marc; Barrios, Roberto; Sahay, Sandeep</t>
  </si>
  <si>
    <t>Progression of pulmonary veno-occlusive disease without pulmonary hypertension</t>
  </si>
  <si>
    <t>drug toxicity; pulmonary hypertension; pulmonary veno-occlusive disease</t>
  </si>
  <si>
    <t>Pulmonary veno-occlusive disease (PVOD) is a progressively fatal disease with no definitive treatment options. PVOD can be a result of genetic mutation but can also be due secondary to exposure to solvents or chemotherapeutic agents. Generally, at the time of diagnosis PVOD is associated with hemodynamically confirmed pulmonary hypertension (PH). In this study, we describe a patient who was diagnosed with PVOD early in the disease without hemodynamically confirmed PH. She had histologically confirmed PVOD. Her clinical presentation posed management challenges and prednisone therapy was used to stabilize her disease. This case and some recently published reports highlight possible immune dysregulation in PVOD and role for immuno-suppressive therapy in these patients.</t>
  </si>
  <si>
    <t>[Beshay, Sarah; Sahay, Sandeep] Houston Methodist Lung Ctr, Dept Internal Med, Div Pulm Crit Care &amp; Sleep Med, Houston, TX USA; [Humbert, Marc] Univ Paris Saclay, Sch Med, Le Kremlin Bicetre, France; [Humbert, Marc] Hop Bicetre, AP HP, Serv Pneumol &amp; Soins Intensifs Resp, Le Kremlin Bicetre, France; [Humbert, Marc] Hop Marie Lannelongue, INSERM UMR S 999, Le Plessis Robinson, France; [Barrios, Roberto] Houston Methodist Hosp, Dept Pathol &amp; Genom, Houston, TX 77030 USA</t>
  </si>
  <si>
    <t>Houston Methodist; Universite Paris Saclay; Assistance Publique Hopitaux Paris (APHP); Hopital Universitaire Bicetre - APHP; Hopital Universitaire Antoine-Beclere - APHP; Universite Paris Saclay; Universite Paris Saclay; Hopital Marie Lannelongue; Institut National de la Sante et de la Recherche Medicale (Inserm); Houston Methodist</t>
  </si>
  <si>
    <t>Sahay, S (corresponding author), Houston Methodist Hosp, Dept Internal Med, Weill Cornell Med, Houston, TX 77030 USA.</t>
  </si>
  <si>
    <t>ssahay@houstonmethodist.org</t>
  </si>
  <si>
    <t>Beshay, Sarah/AAO-5251-2020; Sahay, Sandeep/T-4291-2019; Humbert, Marc/AAC-8459-2019</t>
  </si>
  <si>
    <t>Humbert, Marc/0000-0003-0703-2892; Sahay, Sandeep/0000-0002-0672-1680</t>
  </si>
  <si>
    <t>e12046</t>
  </si>
  <si>
    <t>10.1002/pul2.12046</t>
  </si>
  <si>
    <t>ZZ8YP</t>
  </si>
  <si>
    <t>WOS:000773550600001</t>
  </si>
  <si>
    <t>Boucly, A; Savale, L; Jaïs, X; Humbert, M; Sitbon, O; Montani, D</t>
  </si>
  <si>
    <t>Boucly, Athenais; Savale, Laurent; Jais, Xavier; Humbert, Marc; Sitbon, Olivier; Montani, David</t>
  </si>
  <si>
    <t>Sequential combination therapy with parenteral prostacyclin in BMPR2 mutations carriers</t>
  </si>
  <si>
    <t>hemodynamics; prostaglandins; pulmonary arterial hypertension</t>
  </si>
  <si>
    <t>[Boucly, Athenais; Savale, Laurent; Jais, Xavier; Humbert, Marc; Sitbon, Olivier; Montani, David] Univ Paris Saclay, Sch Med, Le Kremlin Bicetre, France; [Boucly, Athenais; Savale, Laurent; Jais, Xavier; Humbert, Marc; Sitbon, Olivier; Montani, David] Hop Bicetre, AP HP, Dept Resp &amp; Intens Care Med, Le Kremlin Bicetre, France; [Boucly, Athenais; Savale, Laurent; Jais, Xavier; Humbert, Marc; Sitbon, Olivier; Montani, David] Hop Marie Lannelongue, INSERM, UMRS 999, Le Plessis Robinson, France</t>
  </si>
  <si>
    <t>Montani, D (corresponding author), Hop Bicetre, 78 Rue Gen Leclerc, F-94270 Le Kremlin Bicetre, France.</t>
  </si>
  <si>
    <t>David, Montani/I-6885-2019; Savale, Laurent/AAJ-9781-2020; Sitbon, Olivier/I-3623-2019; Humbert, Marc/AAC-8459-2019</t>
  </si>
  <si>
    <t>Montani, David/0000-0002-9358-6922; SITBON, Olivier/0000-0002-1942-1951; Humbert, Marc/0000-0003-0703-2892</t>
  </si>
  <si>
    <t>e12023</t>
  </si>
  <si>
    <t>10.1002/pul2.12023</t>
  </si>
  <si>
    <t>ZZ8XZ</t>
  </si>
  <si>
    <t>WOS:000773549000001</t>
  </si>
  <si>
    <t>Boulate, D; Loisel, F; Coblence, M; Provost, B; Todesco, A; Decante, B; Beurnier, A; Herve, P; Perros, F; Humbert, M; Fadel, E; Mercier, O; Chemla, D</t>
  </si>
  <si>
    <t>Boulate, David; Loisel, Fanny; Coblence, Mathieu; Provost, Bastien; Todesco, Alban; Decante, Benoit; Beurnier, Antoine; Herve, Philippe; Perros, Frederic; Humbert, Marc; Fadel, Elie; Mercier, Olaf; Chemla, Denis</t>
  </si>
  <si>
    <t>Pulsatile pulmonary artery pressure in a large animal model of chronic thromboembolic pulmonary hypertension: Similarities and differences with human data</t>
  </si>
  <si>
    <t>animal models; pathophysiology; pulmonary hypertension experimental; right ventricle function and dysfunction</t>
  </si>
  <si>
    <t>HEART-FAILURE; VASCULAR-RESISTANCE; PIGLET MODEL; FRACTION; CONSTANT; OUTCOMES</t>
  </si>
  <si>
    <t>A striking feature of the human pulmonary circulation is that mean (mPAP) and systolic (sPAP) pulmonary artery pressures (PAPs) are strongly related and, thus, are essentially redundant. According to the empirical formula documented under normotensive and hypertensive conditions (mPAP = 0.61 sPAP + 2 mmHg), sPAP matches similar to 160%mPAP on average. This attests to the high pulsatility of PAP, as also witnessed by the near equality of PA pulse pressure and mPAP. Our prospective study tested if pressure redundancy and high pulsatility also apply in a piglet model of chronic thromboembolic pulmonary hypertension (CTEPH). At baseline (Week-0, W0), Sham (n = 8) and CTEPH (n = 27) had similar mPAP and stroke volume. At W6, mPAP increased in CTEPH only, with a two- to three-fold increase in PA stiffness and total pulmonary resistance. Seven CTEPH piglets were also studied at W16 at baseline, after volume loading, and after acute pulmonary embolism associated with dobutamine infusion. There was a strong linear relationship between sPAP and mPAP (1) at W0 and W6 (n = 70 data points, r(2) = 0.95); (2) in the subgroup studied at W16 (n = 21, r(2) = 0.97); and (3) when all data were pooled (n = 91, r(2) = 0.97, sPAP range 9-112 mmHg). The PA pulsatility was lower than that expected based on observations in humans: sPAP matched similar to 120%mPAP only and PA pulse pressure was markedly lower than mPAP. In conclusion, the redundancy between mPAP and sPAP seems a characteristic of the pulmonary circulation independent of the species. However, it is suggested that the sPAP thresholds used to define PH in animals are species- and/or model-dependent and thus must be validated.</t>
  </si>
  <si>
    <t>[Boulate, David; Loisel, Fanny; Coblence, Mathieu; Provost, Bastien; Todesco, Alban; Decante, Benoit; Beurnier, Antoine; Herve, Philippe; Perros, Frederic; Humbert, Marc; Fadel, Elie; Mercier, Olaf; Chemla, Denis] Hop Marie Lannelongue, INSERM UMR S 999, Le Plessis Robinson, France; [Humbert, Marc] Hop Bicetre, AP HP, Serv Pneumol, DMU THORINO, Le Kremlin Bicetre, France; [Fadel, Elie; Mercier, Olaf] Hop Marie Lannelongue, Pole Thorac Vasc &amp; Transplantat, Le Plessis Robinson, France; [Chemla, Denis] Univ Paris Saclay, Hop Antoine Beclere Kremlin Bicetre, AP HP,Fac Med,DMU CORREVE, Serv Explorat Fonctionnelles Multidisciplinaires, Le Kremlin Bicetre, France</t>
  </si>
  <si>
    <t>Institut National de la Sante et de la Recherche Medicale (Inserm); Universite Paris Saclay; Hopital Marie Lannelongue; Assistance Publique Hopitaux Paris (APHP); Hopital Universitaire Antoine-Beclere - APHP; Hopital Universitaire Bicetre - APHP; Universite Paris Saclay; Hopital Marie Lannelongue; Universite Paris Saclay; Assistance Publique Hopitaux Paris (APHP); Hopital Universitaire Bicetre - APHP</t>
  </si>
  <si>
    <t>Chemla, D (corresponding author), CHU Bicetre, Explorat Fonctionnelles Cardiovasc, 78 Rue Gen Leclerc, F-94275 Le Kremlin Bicetre, France.</t>
  </si>
  <si>
    <t>denis.chemla56@gmail.com</t>
  </si>
  <si>
    <t>Boulate, David/ABC-8057-2020; Humbert, Marc/AAC-8459-2019; Perros, Frederic/N-6921-2017</t>
  </si>
  <si>
    <t>Humbert, Marc/0000-0003-0703-2892; Perros, Frederic/0000-0001-7730-2427; Mercier, Olaf/0000-0002-4760-6267</t>
  </si>
  <si>
    <t>e12017</t>
  </si>
  <si>
    <t>10.1002/pul2.12017</t>
  </si>
  <si>
    <t>ZZ8YF</t>
  </si>
  <si>
    <t>WOS:000773549600001</t>
  </si>
  <si>
    <t>Gazengel, P; Hascoët, S; Amsallem, M; Savale, L; Montani, D; Mercier, O; Humbert, M; Fadel, E; Le Pavec, J</t>
  </si>
  <si>
    <t>Gazengel, Pierre; Hascoet, Sebastien; Amsallem, Myriam; Savale, Laurent; Montani, David; Mercier, Olaf; Humbert, Marc; Fadel, Elie; Le Pavec, Jerome</t>
  </si>
  <si>
    <t>Double-lung transplantation followed by delayed percutaneous repair for atrial septal defect-associated pulmonary arterial hypertension</t>
  </si>
  <si>
    <t>PRIMARY GRAFT DYSFUNCTION; EISENMENGER SYNDROME; HEART-LUNG; SURVIVAL</t>
  </si>
  <si>
    <t>[Gazengel, Pierre; Mercier, Olaf; Fadel, Elie; Le Pavec, Jerome] Hop Marie Lannelongue, Serv Chirurg Thorac Vasc &amp; Transplantat Cardiopul, Le Plessis Robinson, France; [Gazengel, Pierre; Hascoet, Sebastien; Amsallem, Myriam; Savale, Laurent; Montani, David; Mercier, Olaf; Humbert, Marc; Fadel, Elie; Le Pavec, Jerome] Univ Paris Saclay, Fac Med, Le Kremlin Bicetre, France; [Gazengel, Pierre; Hascoet, Sebastien; Amsallem, Myriam; Savale, Laurent; Montani, David; Mercier, Olaf; Humbert, Marc; Fadel, Elie; Le Pavec, Jerome] Hop Marie Lannelongue, INSERM, UMR S 999, Le Plessis Robinson, France; [Hascoet, Sebastien] Hop Marie Lannelongue, Serv Cardiopathie Congenitale Enfant &amp; Adulte, Le Plessis Robinson, France; [Amsallem, Myriam] Hop Marie Lannelongue, Serv Cardiol, Le Plessis Robinson, France; [Savale, Laurent; Montani, David; Humbert, Marc] Hop Bicetre, AP HP, Dept Resp &amp; Intens Care Med, Le Kremlin Bicetre, France</t>
  </si>
  <si>
    <t>Hopital Marie Lannelongue; Universite Paris Saclay; Hopital Marie Lannelongue; Institut National de la Sante et de la Recherche Medicale (Inserm); Universite Paris Saclay; Hopital Marie Lannelongue; Hopital Marie Lannelongue; Assistance Publique Hopitaux Paris (APHP); Hopital Universitaire Bicetre - APHP; Hopital Universitaire Antoine-Beclere - APHP; Universite Paris Saclay</t>
  </si>
  <si>
    <t>Le Pavec, J (corresponding author), Hop Marie Lannelongue, Serv Chirurg Thorac Vasc &amp; Transplantat Cardiopul, Le Plessis Robinson, France.;Le Pavec, J (corresponding author), Univ Paris Saclay, Fac Med, Le Kremlin Bicetre, France.;Le Pavec, J (corresponding author), Hop Marie Lannelongue, INSERM, UMR S 999, Le Plessis Robinson, France.</t>
  </si>
  <si>
    <t>Savale, Laurent/AAJ-9781-2020; David, Montani/I-6885-2019; Hascoet, Sebastien/Q-3311-2018; Humbert, Marc/AAC-8459-2019</t>
  </si>
  <si>
    <t>Hascoet, Sebastien/0000-0002-8695-0503; Humbert, Marc/0000-0003-0703-2892; Montani, David/0000-0002-9358-6922; Savale, Laurent/0000-0002-6862-8975; Fadel, Elie/0000-0002-9290-4589; Mercier, Olaf/0000-0002-4760-6267</t>
  </si>
  <si>
    <t>10.1183/13993003.02388-2021</t>
  </si>
  <si>
    <t>YW4CS</t>
  </si>
  <si>
    <t>WOS:000753363000006</t>
  </si>
  <si>
    <t>Liu, MC; Bel, EH; Kornmann, O; Moore, WC; Kaneko, N; Smith, SG; Martin, N; Price, RG; Yancey, SW; Humbert, M</t>
  </si>
  <si>
    <t>Liu, Mark C.; Bel, Elisabeth H.; Kornmann, Oliver; Moore, Wendy C.; Kaneko, Norihiro; Smith, Steven G.; Martin, Neil; Price, Robert G.; Yancey, Steven W.; Humbert, Marc</t>
  </si>
  <si>
    <t>Health outcomes after stopping long-term mepolizumab in severe eosinophilic asthma: COMET</t>
  </si>
  <si>
    <t>DOUBLE-BLIND; PERSISTENT ASTHMA; MULTICENTER; EFFICACY</t>
  </si>
  <si>
    <t>Asthma worsening and symptom control are clinically important health outcomes in patients with severe eosinophilic asthma. This analysis of COMET evaluated whether stopping versus continuing long-term mepolizumab therapy impacted these outcomes. Patients with severe eosinophilic asthma with &gt;= 3 years continuous mepolizumab treatment (via COLUMBA (NCT01691859) or COSMEX (NCT02135692) open-label studies) were eligible to enter COMET (NCT02555371), a randomised, double-blind, placebo-controlled study. Patients were randomised 1:1 to continue mepolizumab 100 mg subcutaneous every 4 weeks or to stop mepolizumab, plus standard of care asthma treatment. Patients could switch to open-label mepolizumab following an exacerbation. Health outcome endpoints included time to first asthma worsening (composite endpoint: rescue use, symptoms, awakening at night and morning peak expiratory flow (PEF)), patient and clinician assessed global rating of asthma severity and overall perception of response to therapy, and unscheduled healthcare resource utilisation. Patients who stopped mepolizumab showed increased risk of and shorter time to first asthma worsening compared with those who continued mepolizumab (hazard ratio (HR) 1.71; 95% CI 1.17-2.52; p=0.006), including reduced asthma control (increased risk of first worsening in rescue use (HR 1.36; 95% CI 1.00-1.84; p=0.047) and morning PEF (HR 1.77; 95% CI 1.21-2.59; p=0.003). There was a higher probability of any unscheduled healthcare resource use (HR 1.81; 95% CI 1.31-2.49; p&lt;0.001), and patients and clinicians reported greater asthma severity and less favourable perceived response to therapy for patients who stopped versus continued mepolizumab. These data suggest that patients with severe eosinophilic asthma continuing long-term mepolizumab treatment sustain clinically important improvements in health outcomes.</t>
  </si>
  <si>
    <t>[Liu, Mark C.] Johns Hopkins Asthma &amp; Allergy Ctr, Div Allergy &amp; Clin Immunol, Baltimore, MD 21224 USA; [Liu, Mark C.] Johns Hopkins Asthma &amp; Allergy Ctr, Div Pulm &amp; Crit Care Med, Baltimore, MD 21224 USA; [Bel, Elisabeth H.] Univ Amsterdam, Amsterdam UMC, Dept Resp Med, Amsterdam, Netherlands; [Kornmann, Oliver] IKF Pneumol Frankfurt, Clin Res Ctr Resp Dis, Frankfurt, Germany; [Moore, Wendy C.] Wake Forest Sch Med, Dept Med, Med Ctr Blvd, Winston Salem, NC 27101 USA; [Kaneko, Norihiro] Kameda Med Ctr, Dept Pulm Med, Kamogawa, Japan; [Smith, Steven G.] GlaxoSmithKline, Resp Therapeut Area, Res Triangle Pk, NC USA; [Martin, Neil] GSK, Global Med Affairs, Brentford, England; [Price, Robert G.] GSK, Biostat, Stevenage, Herts, England; [Yancey, Steven W.] GSK, Resp Therapeut Area, Res Triangle Pk, NC USA; [Humbert, Marc] Hop Bicetre, AP HP, Serv Pneumol &amp; Soins Intensifs Resp, Paris, France; [Humbert, Marc] Univ Paris Saclay, Paris, France; [Humbert, Marc] INSERM, U999, Paris, France</t>
  </si>
  <si>
    <t>Johns Hopkins University; Johns Hopkins Medicine; Johns Hopkins University; Johns Hopkins Medicine; University of Amsterdam; Wake Forest University; GlaxoSmithKline; Glaxosmithkline USA; GlaxoSmithKline; Glaxosmithkline United Kingdom; GlaxoSmithKline; Glaxosmithkline United Kingdom; GlaxoSmithKline; Glaxosmithkline USA; Universite Paris Saclay; Assistance Publique Hopitaux Paris (APHP); Hopital Universitaire Bicetre - APHP; Universite Paris Saclay; Universite Paris Saclay; Institut National de la Sante et de la Recherche Medicale (Inserm)</t>
  </si>
  <si>
    <t>Liu, MC (corresponding author), Johns Hopkins Asthma &amp; Allergy Ctr, Div Allergy &amp; Clin Immunol, Baltimore, MD 21224 USA.;Liu, MC (corresponding author), Johns Hopkins Asthma &amp; Allergy Ctr, Div Pulm &amp; Crit Care Med, Baltimore, MD 21224 USA.</t>
  </si>
  <si>
    <t>mcl@jhmi.edu</t>
  </si>
  <si>
    <t>Smith, Steven/HDM-9496-2022; Humbert, Marc/AAC-8459-2019</t>
  </si>
  <si>
    <t>Humbert, Marc/0000-0003-0703-2892; Price, Robert/0000-0001-6418-6818</t>
  </si>
  <si>
    <t>GlaxoSmithKline [201810/NCT02555371]</t>
  </si>
  <si>
    <t>GlaxoSmithKline(GlaxoSmithKline)</t>
  </si>
  <si>
    <t>This study was funded by GlaxoSmithKline (GSK ID: 201810/NCT02555371). Funding information for this article has been deposited with the Crossref Funder Registry.</t>
  </si>
  <si>
    <t>00419-2021</t>
  </si>
  <si>
    <t>10.1183/23120541.00419-2021</t>
  </si>
  <si>
    <t>YH1RC</t>
  </si>
  <si>
    <t>WOS:000742950600002</t>
  </si>
  <si>
    <t>Moore, WC; Kornmann, O; Humbert, M; Poirier, C; Bel, EH; Kaneko, N; Smith, SG; Martin, N; Gilson, MJ; Price, RG; Bradford, ES; Liu, MC</t>
  </si>
  <si>
    <t>Moore, Wendy C.; Kornmann, Oliver; Humbert, Marc; Poirier, Claude; Bel, Elisabeth H.; Kaneko, Norihiro; Smith, Steven G.; Martin, Neil; Gilson, Martyn J.; Price, Robert G.; Bradford, Eric S.; Liu, Mark C.</t>
  </si>
  <si>
    <t>Stopping versus continuing long-term mepolizumab treatment in severe eosinophilic asthma (COMET study)</t>
  </si>
  <si>
    <t>INFLAMMATORY PHENOTYPES; DOUBLE-BLIND; MULTICENTER; THERAPY; THRESHOLDS; EFFICACY; DREAM</t>
  </si>
  <si>
    <t>Background The long-term efficacy and safety of mepolizumab for treatment of severe eosinophilic asthma are well established. Here, we examine the clinical impact of stopping mepolizumab after long-term use. Methods COMET (NCT02555371) was a randomised, double-blind, placebo-controlled, parallel-group, multicentre study. Patients who had completed COLUMBA (NCT01691859) or COSMEX (NCT02135692) and received continuous mepolizumab treatment for &gt;= 3 years were randomised 1:1 to stop (switch to placebo) or continue subcutaneous mepolizumab 100 mg every 4 weeks for 52 weeks. Primary end-point: time to first clinically significant exacerbation; secondary end-points: time to first exacerbation requiring hospitalisation/emergency department visit, time to decrease in asthma control (&gt;= 0.5-point increase in Asthma Control Questionnaire-5 score from COMET baseline) and blood eosinophil count ratio to COMET baseline. Safety was assessed. Results Patients stopping (n=151) versus continuing (n=144) mepolizumab had significantly shorter times to first clinically significant exacerbation (hazard ratio 1.61,, 95% CI 1.17-2.22; p=0.004) and decrease in asthma control (hazard ratio 1.52, 95% CI 1.13-2.02; p=0.005), and higher blood eosinophil counts at week 52 (270 versus 40 cells.mu L-1; ratio (stopping versus continuing) 6.19, 95% CI 4.89-7.83; p&lt;0.001). Differences in efficacy outcomes between groups were observed when assessed from week 12 (16 weeks after last mepolizumab dose). Exacerbations requiring hospitalisation/emergency department visit were rare. Adverse events in patients continuing mepolizumab were consistent with previous studies. For patients who stopped mepolizumab, the safety profile was consistent with other eosinophilic asthma populations. Conclusion Patients who stopped mepolizumab had an increase in exacerbations and reduced asthma control versus those who continued.</t>
  </si>
  <si>
    <t>[Moore, Wendy C.] Wake Forest Sch Med, Med Ctr Blvd, Dept Med, Winston Salem, NC 27101 USA; [Kornmann, Oliver] IKF Pneumol Frankfurt, Clin Res Ctr Resp Dis, Frankfurt, Germany; [Humbert, Marc] Univ Paris Saclay, Paris, France; [Humbert, Marc] Hop Bicetre, AP HP, Serv Pneumol &amp; Soins Intensifs Resp, Le Kremlin Bicetre, France; [Humbert, Marc] INSERM U999, Paris, France; [Poirier, Claude] Ctr Hosp Univ Montreal CHUM, Serv Pneumol, Dept Med, Montreal, PQ, Canada; [Bel, Elisabeth H.] Univ Amsterdam, Dept Resp Med, Amsterdam UMC, Amsterdam, Netherlands; [Kaneko, Norihiro] Kameda Med Ctr, Dept Pulm Med, Kamogawa, Japan; [Smith, Steven G.; Bradford, Eric S.] GSK, Resp Therapeut Area, Res Triangle Pk, NC USA; [Martin, Neil] GSK, Global Med Affairs, Brentford, England; [Martin, Neil] Univ Leicester, Inst Lung Hlth, Leicester, Leics, England; [Gilson, Martyn J.] GSK, Resp Res &amp; Dev, Uxbridge, Middx, England; [Price, Robert G.] GSK, Biostat, Stevenage, Herts, England; [Liu, Mark C.] Johns Hopkins Asthma &amp; Allergy Ctr, Div Allergy, Baltimore, MD USA; [Liu, Mark C.] Johns Hopkins Asthma &amp; Allergy Ctr, Div Clin Immunol, Baltimore, MD USA; [Liu, Mark C.] Johns Hopkins Asthma &amp; Allergy Ctr, Div Pulm, Baltimore, MD USA; [Liu, Mark C.] Johns Hopkins Asthma &amp; Allergy Ctr, Div Crit Care Med, Baltimore, MD USA</t>
  </si>
  <si>
    <t>Wake Forest University; Universite Paris Saclay; Assistance Publique Hopitaux Paris (APHP); Hopital Universitaire Antoine-Beclere - APHP; Hopital Universitaire Bicetre - APHP; Universite Paris Saclay; Institut National de la Sante et de la Recherche Medicale (Inserm); Universite Paris Saclay; Universite de Montreal; University of Amsterdam; GlaxoSmithKline; Glaxosmithkline USA; GlaxoSmithKline; Glaxosmithkline United Kingdom; University of Leicester; GlaxoSmithKline; Glaxosmithkline United Kingdom; GlaxoSmithKline; Glaxosmithkline United Kingdom; Johns Hopkins University; Johns Hopkins Medicine; Johns Hopkins University; Johns Hopkins Medicine; Johns Hopkins University; Johns Hopkins Medicine; Johns Hopkins University; Johns Hopkins Medicine</t>
  </si>
  <si>
    <t>Moore, WC (corresponding author), Wake Forest Sch Med, Med Ctr Blvd, Dept Med, Winston Salem, NC 27101 USA.</t>
  </si>
  <si>
    <t>wmoore@wakehealth.edu</t>
  </si>
  <si>
    <t>GlaxoSmithKline (GSK) [201810/NCT02555371]</t>
  </si>
  <si>
    <t>GlaxoSmithKline (GSK)(GlaxoSmithKline)</t>
  </si>
  <si>
    <t>This study was funded by GlaxoSmithKline (GSK ID: 201810/NCT02555371). The study sponsor had a role in study design, data collection, analysis and interpretation, and in the writing of the report. The sponsor did not place any restrictions on access to data or statements made in the report. Authors had full access to all study data and had final responsibility to submit for publication. Funding information for this article has been deposited with the Crossref Funder Registry.</t>
  </si>
  <si>
    <t>10.1183/13993003.00396-2021</t>
  </si>
  <si>
    <t>WOS:000753363000026</t>
  </si>
  <si>
    <t>Nagavci, B; Tonia, T; Roche, N; Genton, C; Vaccaro, V; Humbert, M; Brightling, C; Cordeiro, CR; Bush, A</t>
  </si>
  <si>
    <t>Nagavci, Blin; Tonia, Thomy; Roche, Nicolas; Genton, Celine; Vaccaro, Valerie; Humbert, Marc; Brightling, Christopher; Cordeiro, Carlos Robalo; Bush, Andrew</t>
  </si>
  <si>
    <t>European Respiratory Society clinical practice guidelines: methodological guidance</t>
  </si>
  <si>
    <t>[Nagavci, Blin; Tonia, Thomy; Roche, Nicolas; Genton, Celine; Vaccaro, Valerie; Humbert, Marc; Brightling, Christopher; Cordeiro, Carlos Robalo; Bush, Andrew] European Resp Soc, Lausanne, Switzerland; [Nagavci, Blin] Univ Freiburg, Inst Evidence Med, Med Ctr, Freiburg, Germany; [Tonia, Thomy] Univ Bern, Inst Social &amp; Prevent Med, Bern, Switzerland; [Roche, Nicolas] Univ Paris, Cochin Hosp, Assistance Publ Hop Paris AP HP Ctr, Dept Pulmonol, Paris, France; [Humbert, Marc] Univ Paris Saclay, Serv Pneumol &amp; Soins Intensifs Resp, Hop Bicetre, AP HP, Le Kremlin Bicetre, France; [Brightling, Christopher] Univ Leicester, Dept Resp Sci, Leicester, Leics, England; [Cordeiro, Carlos Robalo] Coimbra Univ Hosp, Dept Pneumol, Coimbra, Portugal; [Bush, Andrew] Imperial Coll, Imperial Ctr Paediat &amp; Child Hlth, Natl Heart &amp; Lung Inst, Dept Paediat Resp Med, London, England; [Bush, Andrew] Royal Brompton Hosp, London, England</t>
  </si>
  <si>
    <t>University of Freiburg; University of Bern; Assistance Publique Hopitaux Paris (APHP); Universite Paris Cite; Hopital Universitaire Cochin - APHP; Assistance Publique Hopitaux Paris (APHP); Hopital Universitaire Antoine-Beclere - APHP; Hopital Universitaire Bicetre - APHP; Institut National de la Sante et de la Recherche Medicale (Inserm); Universite Paris Saclay; University of Leicester; Universidade de Coimbra; Centro Hospitalar e Universitario de Coimbra (CHUC); Imperial College London; Royal Brompton Hospital</t>
  </si>
  <si>
    <t>Nagavci, B (corresponding author), European Resp Soc, Lausanne, Switzerland.;Nagavci, B (corresponding author), Univ Freiburg, Inst Evidence Med, Med Ctr, Freiburg, Germany.</t>
  </si>
  <si>
    <t>blin.nagavci@ersnet.org</t>
  </si>
  <si>
    <t>Roche, Nicolas/AAE-9206-2021; Nagavci, Blin/AAW-7370-2020; Robalo Cordeiro, Carlos Manuel da Silva/I-4864-2012; Humbert, Marc/AAC-8459-2019</t>
  </si>
  <si>
    <t>roche, nicolas/0000-0002-3162-5033; Nagavci, Blin/0000-0002-6626-2842; Robalo Cordeiro, Carlos Manuel da Silva/0000-0002-8264-3856; Humbert, Marc/0000-0003-0703-2892</t>
  </si>
  <si>
    <t>00655-2021</t>
  </si>
  <si>
    <t>10.1183/23120541.00655-2021</t>
  </si>
  <si>
    <t>0N9RB</t>
  </si>
  <si>
    <t>WOS:000783165900069</t>
  </si>
  <si>
    <t>Adir, Y; Saliba, W; Beurnier, A; Humbert, M</t>
  </si>
  <si>
    <t>Adir, Yochai; Saliba, Walid; Beurnier, Antoine; Humbert, Marc</t>
  </si>
  <si>
    <t>Asthma and COVID-19: an update</t>
  </si>
  <si>
    <t>RISK-FACTORS; INHALED CORTICOSTEROIDS; SARS-COV-2; CORONAVIRUS; PREVALENCE; EXPRESSION; RECEPTOR; OUTCOMES; DISEASE; ACE2</t>
  </si>
  <si>
    <t>As the world faces the coronavirus disease 2019 (COVID-19) pandemic due to severe acute respiratory syndrome coronavirus 2 (SARS-CoV-2) infection, concerns have been raised that asthma patients could be at increased risk of SARS-CoV-2 infection and disease severity. However, it appears that asthma is not an independent risk factor for both. Furthermore, asthma is not over-represented in hospitalised patients with severe pneumonia due to SARS-CoV-2 infection and there was no increased risk of asthma exacerbations triggered by SARS-CoV-2. There is accumulating evidence that asthma phenotypes and comorbidities are important factors in evaluating the risk for SARS-CoV-2 infection and disease severity, as findings suggest that Th2-high inflammation may reduce the risk of SARS-Cov-2 infection and disease severity in contrast to increased risk in patients with Th2-low asthma. The use of inhaled corticosteroids (ICS) is safe in asthma patients with SARS-CoV-2 infection. Furthermore, it has been proposed that ICS may confer some degree of protection against SARS-CoV-2 infection and the development of severe disease by reducing the expression of angiotensin converting enzyme-2 and transmembrane protease serine in the lung. In contrast, chronic or recurrent use of systemic corticosteroids before SARS-CoV-2 infection is a major risk factor of poor outcomes and worst survival in asthma patients. Conversely, biological therapy for severe allergic and eosinophilic asthma does not increase the risk of being infected with SARS-CoV-2 or having worse COVID-19 severity. In the present review we will summarise the current literature regarding asthma and COVID-19.</t>
  </si>
  <si>
    <t>[Adir, Yochai] Technion Israel Inst Technol, Fac Med, Lady Davis Carmel Med Ctr, Pulm Div, Haifa, Israel; [Adir, Yochai; Saliba, Walid] Technion Israel Inst Technol, Ruth &amp; Bruce Rappaport Fac Med, Haifa, Israel; [Saliba, Walid] Lady Davis Carmel Med Ctr, Dept Community Med &amp; Epidemiol, Haifa, Israel; [Beurnier, Antoine; Humbert, Marc] Univ Paris Saclay, Le Kremlin Bicetre, France; [Beurnier, Antoine; Humbert, Marc] Hop Bicetre, AP HP, Dept Resp &amp; Intens Care Med, Le Kremlin Bicetre, France; [Beurnier, Antoine; Humbert, Marc] Hop Marie Lannelongue, INSERM, UMR S 999, Le Plessis Robinson, France</t>
  </si>
  <si>
    <t>Clalit Health Services; Carmel Medical Center; Technion Israel Institute of Technology; Rappaport Faculty of Medicine; Technion Israel Institute of Technology; Rappaport Faculty of Medicine; Clalit Health Services; Carmel Medical Center; Universite Paris Saclay; Assistance Publique Hopitaux Paris (APHP); Hopital Universitaire Antoine-Beclere - APHP; Hopital Universitaire Bicetre - APHP; Universite Paris Saclay; Universite Paris Saclay; Hopital Marie Lannelongue; Institut National de la Sante et de la Recherche Medicale (Inserm)</t>
  </si>
  <si>
    <t>Adir, Y (corresponding author), Technion Israel Inst Technol, Fac Med, Lady Davis Carmel Med Ctr, Pulm Div, Haifa, Israel.;Adir, Y (corresponding author), Technion Israel Inst Technol, Ruth &amp; Bruce Rappaport Fac Med, Haifa, Israel.</t>
  </si>
  <si>
    <t>adir-sh@zahav.net.il</t>
  </si>
  <si>
    <t>DEC 31</t>
  </si>
  <si>
    <t>10.1183/16000617.0152-2021</t>
  </si>
  <si>
    <t>ZU3LY</t>
  </si>
  <si>
    <t>WOS:000769745400018</t>
  </si>
  <si>
    <t>Bandyopadhyay, D; Lai, C; Pulido, JN; Restrepo-Jaramillo, R; Tonelli, AR; Humbert, M</t>
  </si>
  <si>
    <t>Bandyopadhyay, Debabrata; Lai, Christopher; Pulido, Juan N.; Restrepo-Jaramillo, Ricardo; Tonelli, Adriano R.; Humbert, Marc</t>
  </si>
  <si>
    <t>Perioperative approach to precapillary pulmonary hypertension in non-cardiac non-obstetric surgery</t>
  </si>
  <si>
    <t>ARTERIAL-HYPERTENSION; ANESTHETIC MANAGEMENT; HEMODYNAMIC-RESPONSE; NONOBSTETRIC SURGERY; VASCULAR-RESISTANCE; PREDICTING SURVIVAL; CONTROLLED INFUSION; GENERAL-ANESTHESIA; AMERICAN-SOCIETY; CARDIAC-SURGERY</t>
  </si>
  <si>
    <t>Pulmonary hypertension (PH) confers a significant challenge in perioperative care. It is associated with substantial morbidity and mortality. A considerable amount of information about management of patients with PH has emerged over the past decade. However, there is still a paucity of information to guide perioperative evaluation and management of these patients. Yet, a satisfactory outcome is feasible by focusing on elaborate disease-adapted anaesthetic management of this complex disease with a multidisciplinary approach. The cornerstone of the peri-anaesthetic management of patients with PH is preservation of right ventricular (RV) function with attention on maintaining RV preload, contractility and limiting increase in RV afterload at each stage of the patient's perioperative care. Pre-anaesthetic evaluation, choice of anaesthetic agents, proper fluid management, appropriate ventilation, correction of hypoxia, hypercarbia, acid-base balance and pain control are paramount in this regard. Essentially, the perioperative management of PH patients is intricate and multifaceted. Unfortunately, a comprehensive evidence-based guideline is lacking to navigate us through this complex process. We conducted a literature review on patients with PH with a focus on the perioperative evaluation and suggest management algorithms for these patients during non-cardiac, non-obstetric surgery.</t>
  </si>
  <si>
    <t>[Bandyopadhyay, Debabrata; Restrepo-Jaramillo, Ricardo] Univ S Florida, Tampa Gen Hosp, Ctr Adv Lung Dis &amp; Lung Transplant, Tampa, FL 33620 USA; [Lai, Christopher] Univ Paris Saclay, Fac Med, Le Kremlin Bicetre, France; [Lai, Christopher; Humbert, Marc] Hop Bicetre, AP HP, Grp Rech Clin CARMAS, DMU CORREVE,FHU SEPSIS,Serv Med Intens Reanimat, Le Kremlin Bicetre, France; [Lai, Christopher; Humbert, Marc] Hop Marie Lannelongue, Inserm UMR S 999, Le Plessis Robinson, France; [Pulido, Juan N.] Swedish Med Ctr, Dept Anesthesiol &amp; Crit Care Med, Seattle, WA USA; [Tonelli, Adriano R.] Cleveland Clin, Resp Inst, Dept Pulm Allergy &amp; Crit Care Med, Cleveland, OH 44106 USA; [Tonelli, Adriano R.] Cleveland Clin, Lerner Res Inst, Pathobiol Div, Cleveland, OH 44106 USA; [Humbert, Marc] Hop Bicetre, AP HP, Serv Pneumol &amp; Soins Intensifs Resp, Ctr Reference Hypertens Pulmonaire, Le Kremlin Bicetre, France</t>
  </si>
  <si>
    <t>State University System of Florida; University of South Florida; Tampa General Hospital; Universite Paris Saclay; Universite Paris-Est-Creteil-Val-de-Marne (UPEC); CHI Creteil; Universite Paris Saclay; Assistance Publique Hopitaux Paris (APHP); Hopital Universitaire Bicetre - APHP; Hopital Universitaire Antoine-Beclere - APHP; Universite Paris Saclay; Institut National de la Sante et de la Recherche Medicale (Inserm); Hopital Marie Lannelongue; Swedish Medical Center; Cleveland Clinic Foundation; Cleveland Clinic Foundation; Assistance Publique Hopitaux Paris (APHP); Hopital Universitaire Bicetre - APHP; Hopital Universitaire Antoine-Beclere - APHP; Universite Paris Saclay</t>
  </si>
  <si>
    <t>Humbert, M (corresponding author), Hop Bicetre, AP HP, Grp Rech Clin CARMAS, DMU CORREVE,FHU SEPSIS,Serv Med Intens Reanimat, Le Kremlin Bicetre, France.;Humbert, M (corresponding author), Hop Marie Lannelongue, Inserm UMR S 999, Le Plessis Robinson, France.;Humbert, M (corresponding author), Hop Bicetre, AP HP, Serv Pneumol &amp; Soins Intensifs Resp, Ctr Reference Hypertens Pulmonaire, Le Kremlin Bicetre, France.</t>
  </si>
  <si>
    <t>Humbert, Marc/AAC-8459-2019; Lai, Christopher/ADS-7951-2022</t>
  </si>
  <si>
    <t>Humbert, Marc/0000-0003-0703-2892; Bandyoapdhyay, Debabrata/0000-0002-5323-9061; Lai, Christopher/0000-0001-5088-3364</t>
  </si>
  <si>
    <t>10.1183/16000617.0166-2021</t>
  </si>
  <si>
    <t>WOS:000769745400021</t>
  </si>
  <si>
    <t>Cheron, C; McBride, SA; Antigny, F; Girerd, B; Chouchana, M; Chaumais, MC; Jaïs, X; Bertoletti, L; Sitbon, O; Weatherald, J; Humbert, M; Montani, D</t>
  </si>
  <si>
    <t>Cheron, Celine; McBride, Susan Ainslie; Antigny, Fabrice; Girerd, Barbara; Chouchana, Margot; Chaumais, Marie-Camille; Jais, Xavier; Bertoletti, Laurent; Sitbon, Olivier; Weatherald, Jason; Humbert, Marc; Montani, David</t>
  </si>
  <si>
    <t>Sex and gender in pulmonary arterial hypertension</t>
  </si>
  <si>
    <t>RIGHT-VENTRICULAR STRUCTURE; ESTROGEN-RECEPTOR-ALPHA; SEROTONIN TRANSPORTER; PROGNOSTIC VALUE; ANESTHETIC MANAGEMENT; ESTRADIOL METABOLISM; CHANGING LANDSCAPE; PREGNANCY OUTCOMES; RISK-FACTORS; MONOCROTALINE</t>
  </si>
  <si>
    <t>Pulmonary arterial hypertension (PAIL) is a rare disease characterised by pulmonary vascular remodelling and elevated pulmonary pressure, which eventually leads to right heart failure and death. Registries worldwide have noted a female predominance of the disease, spurring particular interest in hormonal involvement in the disease pathobiology. Several experimental models have shown both protective and deleterious effects of oestrogens, suggesting that complex mechanisms participate in PAH pathogenesis. In fact, oestrogen metabolites as well as receptors and enzymes implicated in oestrogen signalling pathways and associated conditions such as BMPR2 mutation contribute to PAH penetrance more specifically in women. Conversely, females have better right ventricular function, translating to a better prognosis. Along with right ventricular adaptation, women tend to respond to PAH treatment differently from men. As some young women suffer from PAH, contraception is of particular importance, considering that pregnancy in patients with PAH is strongly discouraged due to high risk of death. When contraception measures fail, pregnant women need a multidisciplinary team-based approach. This article aims to review epidemiology, mechanisms underlying the higher female predominance, but better prognosis and the intricacies in management of women affected by PAH.</t>
  </si>
  <si>
    <t>[Cheron, Celine; Antigny, Fabrice; Girerd, Barbara; Jais, Xavier; Sitbon, Olivier; Humbert, Marc; Montani, David] Univ Paris Saclay, Sch Med, Le Kremlin Bicetre, France; [Cheron, Celine; Antigny, Fabrice; Girerd, Barbara; Jais, Xavier; Sitbon, Olivier; Humbert, Marc; Montani, David] Hop Bicetre, AP HP, Serv Pneumol &amp; Soins Intensifs Resp, Le Kremlin Bicetre, France; [Cheron, Celine; Antigny, Fabrice; Girerd, Barbara; Chaumais, Marie-Camille; Jais, Xavier; Sitbon, Olivier; Humbert, Marc; Montani, David] Hop Marie Lannelongue, INSERM, UMR S 999, Le Plessis Robinson, France; [McBride, Susan Ainslie] Univ Calgary, Dept Med, Internal Med Residency Program, Calgary, AB, Canada; [Chouchana, Margot; Chaumais, Marie-Camille] Serv Pharm Hop Bicetre, AP HP, Le Kremlin Bicetre, France; [Chaumais, Marie-Camille] Univ Paris Saclay, Fac Pharm, Chatenay Malabry, France; [Bertoletti, Laurent] Ctr Hosp Univ St Etienne, Serv Med Vasc &amp; Therapeut, St Etienne, France; [Bertoletti, Laurent] Univ Jean Monnet, INSERM U1059, St Etienne, France; [Bertoletti, Laurent] Univ Jean Monnet, CIC1408, St Etienne, France; [Weatherald, Jason] Univ Calgary, Dept Med, Div Respirol, Calgary, AB, Canada; [Weatherald, Jason] Univ Calgary, Libin Cardiovasc Inst, Calgary, AB, Canada</t>
  </si>
  <si>
    <t>Universite Paris Saclay; Assistance Publique Hopitaux Paris (APHP); Hopital Universitaire Antoine-Beclere - APHP; Hopital Universitaire Bicetre - APHP; Universite Paris Saclay; Universite Paris Saclay; Institut National de la Sante et de la Recherche Medicale (Inserm); Hopital Marie Lannelongue; University of Calgary; Assistance Publique Hopitaux Paris (APHP); Hopital Universitaire Bicetre - APHP; Universite Paris Saclay; CHU de St Etienne; Institut National de la Sante et de la Recherche Medicale (Inserm); University of Calgary; Libin Cardiovascular Institute Of Alberta; University of Calgary</t>
  </si>
  <si>
    <t>Montani, D (corresponding author), Univ Paris Saclay, Sch Med, Le Kremlin Bicetre, France.;Montani, D (corresponding author), Hop Bicetre, AP HP, Serv Pneumol &amp; Soins Intensifs Resp, Le Kremlin Bicetre, France.;Montani, D (corresponding author), Hop Marie Lannelongue, INSERM, UMR S 999, Le Plessis Robinson, France.</t>
  </si>
  <si>
    <t>Bertoletti, Laurent/X-1319-2019; Sitbon, Olivier/I-3623-2019; David, Montani/I-6885-2019; Humbert, Marc/AAC-8459-2019; Antigny, Fabrice/Q-3999-2018</t>
  </si>
  <si>
    <t>Humbert, Marc/0000-0003-0703-2892; Weatherald, Jason/0000-0002-0615-4575; Chaumais, Marie-Camille/0000-0002-1217-8442; BERTOLETTI, Laurent/0000-0001-8214-3010; Antigny, Fabrice/0000-0002-9515-6571; SITBON, Olivier/0000-0002-1942-1951</t>
  </si>
  <si>
    <t>10.1183/16000617.0330-2020</t>
  </si>
  <si>
    <t>WOS:000769745400001</t>
  </si>
  <si>
    <t>Harari, S; Adir, Y; Humbert, M</t>
  </si>
  <si>
    <t>Harari, Sergio; Adir, Yochai; Humbert, Marc</t>
  </si>
  <si>
    <t>Some take-home messages from the 9th International Meeting on Pulmonary Rare Diseases and Orphan Drugs</t>
  </si>
  <si>
    <t>[Harari, Sergio] IRCCS, UO Pneumol &amp; Terapia Semiintens Respiratoria, Osped San Giuseppe MultiMed, Serv Fisiopatol Respiratoria Emodinam Polmonare, Milan, Italy; [Harari, Sergio] Univ Milan, Dept Clin Sci &amp; Community Hlth, Milan, Italy; [Adir, Yochai] Technion Israel Inst Technol, Lady Davis Carmel Med Ctr, Fac Med, Pulm Div, Haifa, Israel; [Humbert, Marc] Univ Paris Saclay, Fac Med, Inserm UMR S 999, Le Kremlin Bicetre, France; [Humbert, Marc] Hop Marie Lannelongue, AP HP, Le Plessis Robinson, France; [Humbert, Marc] Hop Bicetre, Serv Pneumol &amp; Soins Intensifs Resp, Ctr Reference Hypertens Pulmonaire, Le Kremlin Bicetre, France</t>
  </si>
  <si>
    <t>University of Milan; Technion Israel Institute of Technology; Rappaport Faculty of Medicine; Clalit Health Services; Carmel Medical Center; Universite Paris Saclay; Institut National de la Sante et de la Recherche Medicale (Inserm); Hopital Marie Lannelongue; Assistance Publique Hopitaux Paris (APHP); Universite Paris Saclay; Assistance Publique Hopitaux Paris (APHP); Hopital Universitaire Antoine-Beclere - APHP; Hopital Universitaire Bicetre - APHP</t>
  </si>
  <si>
    <t>Harari, S (corresponding author), IRCCS, UO Pneumol &amp; Terapia Semiintens Respiratoria, Osped San Giuseppe MultiMed, Serv Fisiopatol Respiratoria Emodinam Polmonare, Milan, Italy.;Harari, S (corresponding author), Univ Milan, Dept Clin Sci &amp; Community Hlth, Milan, Italy.</t>
  </si>
  <si>
    <t>sergio@sergioharari.it</t>
  </si>
  <si>
    <t>10.1183/16000617.0258-2021</t>
  </si>
  <si>
    <t>WOS:000769745400027</t>
  </si>
  <si>
    <t>Perros, F; Humbert, M; Dorfmüller, P</t>
  </si>
  <si>
    <t>Perros, Frederic; Humbert, Marc; Dorfmueller, Peter</t>
  </si>
  <si>
    <t>Smouldering fire or conflagration? An illustrated update on the concept of inflammation in pulmonary arterial hypertension</t>
  </si>
  <si>
    <t>REGULATORY T-CELLS; LYMPHOID-TISSUE; SELF-TOLERANCE; GCN2 CONTROLS; ION CHANNELS; SENSOR GCN2; INTERLEUKIN-6; ACTIVATION; PHENOTYPE; PATHOLOGY</t>
  </si>
  <si>
    <t>Pulmonary arterial hypertension (PAH) is a rare condition that is characterised by a progressive increase of pulmonary vascular resistances that leads to right ventricular failure and death, if untreated. The underlying narrowing of the pulmonary vasculature relies on several independent and interdependent biological pathways, such as genetic predisposition and epigenetic changes, imbalance of vasodilating and vasoconstrictive mediators, as well as dysimmunity and inflammation that will trigger endothelial dysfunction, smooth muscle cell proliferation, fibroblast activation and collagen deposition. Progressive constriction of the pulmonary vasculature, in turn, initiates and sustains hypertrophic and maladaptive myocardial remodelling of the right ventricle. In this review, we focus on the role of inflammation and dysimmunity in PAH which is generally accepted today, although existing PAH-specific medical therapies still lack targeted immune-modulating approaches.</t>
  </si>
  <si>
    <t>[Perros, Frederic; Humbert, Marc] Univ Paris Saclay, Sch Med, Le Kremlin Bicetre, France; [Perros, Frederic; Humbert, Marc] Hop Marie Lannelongue, INSERM UMR S 999, Le Kremlin Bicetre, France; [Perros, Frederic] INSERM, Paris Porto Pulm Hypertens Collaborat Lab 3PH, Le Kremlin Bicetre, France; [Humbert, Marc] Assistance Publ Hop Paris, AP HP, Pulm Hypertens Natl Referral Ctr, Dept Resp &amp; Intens Care Med, Le Kremlin Bicetre, France; [Dorfmueller, Peter] Univ Klinikum Giessen &amp; Marburg, Inst Pathol, Giessen, Germany; [Dorfmueller, Peter] Deutsch Zentrum Lungenforsch DZL, Giessen, Germany</t>
  </si>
  <si>
    <t>Universite Paris Saclay; Universite Paris Saclay; Hopital Marie Lannelongue; Institut National de la Sante et de la Recherche Medicale (Inserm); Institut National de la Sante et de la Recherche Medicale (Inserm); Assistance Publique Hopitaux Paris (APHP); Hopital Universitaire Bicetre - APHP; Universite Paris Cite; Hopital Universitaire Saint-Louis - APHP; University Hospital of Giessen &amp; Marburg</t>
  </si>
  <si>
    <t>Dorfmüller, P (corresponding author), Univ Klinikum Giessen &amp; Marburg, Inst Pathol, Giessen, Germany.;Dorfmüller, P (corresponding author), Deutsch Zentrum Lungenforsch DZL, Giessen, Germany.</t>
  </si>
  <si>
    <t>peter.dorfmuller@patho.med.uni-giessen.de</t>
  </si>
  <si>
    <t>; Humbert, Marc/AAC-8459-2019; Perros, Frederic/N-6921-2017</t>
  </si>
  <si>
    <t>Dorfmuller, Peter/0000-0003-2499-6829; Humbert, Marc/0000-0003-0703-2892; Perros, Frederic/0000-0001-7730-2427</t>
  </si>
  <si>
    <t>10.1183/16000617.0161-2021</t>
  </si>
  <si>
    <t>WOS:000769745400020</t>
  </si>
  <si>
    <t>Weatherald, J; Riha, RL; Humbert, M</t>
  </si>
  <si>
    <t>Weatherald, Jason; Riha, Renata L.; Humbert, Marc</t>
  </si>
  <si>
    <t>Sex and gender in lung health and disease: more than just Xs and Ys</t>
  </si>
  <si>
    <t>[Weatherald, Jason] Univ Calgary, Dept Med, Div Respirol, Calgary, AB, Canada; [Weatherald, Jason] Univ Calgary, Libin Cardiovasc Inst, Calgary, AB, Canada; [Riha, Renata L.] Royal Infirm Edinburgh NHS Trust, Dept Sleep Med, Edinburgh, Midlothian, Scotland; [Riha, Renata L.] Univ Edinburgh, Ctr Clin Brain Sci, Edinburgh, Midlothian, Scotland; [Humbert, Marc] Univ Paris Saclay, Fac Med, Le Kremlin Bicetre, France; [Humbert, Marc] Hop Marie Lannelongue, INSERM UMR S 999, Pulm Hypertens Pathophysiol &amp; Novel Therapies, Le Plessis Robinson, France; [Humbert, Marc] Hop Bicetre, AP HP, French Pulm Hypertens Reference Ctr, Dept Resp &amp; Intens Care Med, Le Kremlin Bicetre, France</t>
  </si>
  <si>
    <t>University of Calgary; Libin Cardiovascular Institute Of Alberta; University of Calgary; University of Edinburgh; Royal Infirmary of Edinburgh; University of Edinburgh; Universite Paris Saclay; Universite Paris Saclay; Hopital Marie Lannelongue; Institut National de la Sante et de la Recherche Medicale (Inserm); Assistance Publique Hopitaux Paris (APHP); Hopital Universitaire Bicetre - APHP; Hopital Universitaire Antoine-Beclere - APHP; Universite Paris Saclay</t>
  </si>
  <si>
    <t>Weatherald, J (corresponding author), Univ Calgary, Dept Med, Div Respirol, Calgary, AB, Canada.;Weatherald, J (corresponding author), Univ Calgary, Libin Cardiovasc Inst, Calgary, AB, Canada.</t>
  </si>
  <si>
    <t>Jason.Weatherald@ahs.ca</t>
  </si>
  <si>
    <t>Riha, Renata/AAN-9066-2020; Humbert, Marc/AAC-8459-2019</t>
  </si>
  <si>
    <t>Humbert, Marc/0000-0003-0703-2892; Riha, Renata L/0000-0001-8983-9985; Weatherald, Jason/0000-0002-0615-4575</t>
  </si>
  <si>
    <t>10.1183/16000617.0217-2021</t>
  </si>
  <si>
    <t>WOS:000769745400026</t>
  </si>
  <si>
    <t>Boucly, A; Weatherald, J; Savale, L; Jais, X; Montani, D; Humbert, M; Sitbon, O</t>
  </si>
  <si>
    <t>Boucly, Athenais; Weatherald, Jason; Savale, Laurent; Jais, Xavier; Montani, David; Humbert, Marc; Sitbon, Olivier</t>
  </si>
  <si>
    <t>Treatment of Pulmonary Hypertension: Is Triple Therapy Necessarily Better than Monotherapy? Reply</t>
  </si>
  <si>
    <t>ARTERIAL-HYPERTENSION; COMBINATION THERAPY; EPOPROSTENOL; BOSENTAN</t>
  </si>
  <si>
    <t>[Boucly, Athenais; Savale, Laurent; Jais, Xavier; Montani, David; Humbert, Marc; Sitbon, Olivier] Univ Paris Saclay, Le Kremlin Bicetre, France; [Boucly, Athenais; Savale, Laurent; Jais, Xavier; Montani, David; Humbert, Marc; Sitbon, Olivier] Hopl Bicetre, AP HP, Le Kremlin Bicetre, France; [Boucly, Athenais; Savale, Laurent; Jais, Xavier; Montani, David; Humbert, Marc; Sitbon, Olivier] Hop Marie Lannelongue, INSERM UMR S 999, Le Plessis Robinson, France; [Weatherald, Jason] Univ Calgary, Calgary, AB, Canada</t>
  </si>
  <si>
    <t>Universite Paris Saclay; Assistance Publique Hopitaux Paris (APHP); Hopital Universitaire Bicetre - APHP; Institut National de la Sante et de la Recherche Medicale (Inserm); Hopital Marie Lannelongue; Universite Paris Saclay; University of Calgary</t>
  </si>
  <si>
    <t>Sitbon, O (corresponding author), Univ Paris Saclay, Le Kremlin Bicetre, France.;Sitbon, O (corresponding author), Hopl Bicetre, AP HP, Le Kremlin Bicetre, France.;Sitbon, O (corresponding author), Hop Marie Lannelongue, INSERM UMR S 999, Le Plessis Robinson, France.</t>
  </si>
  <si>
    <t>JAIS, XAVIER/0000-0002-4104-7994; SITBON, Olivier/0000-0002-1942-1951; Montani, David/0000-0002-9358-6922; Weatherald, Jason/0000-0002-0615-4575; Humbert, Marc/0000-0003-0703-2892; Savale, Laurent/0000-0002-6862-8975</t>
  </si>
  <si>
    <t>10.1164/rccm.202107-1725LE</t>
  </si>
  <si>
    <t>XP7JF</t>
  </si>
  <si>
    <t>WOS:000731037100027</t>
  </si>
  <si>
    <t>Kariotis, S; Jammeh, E; Swietlik, EM; Pickworth, JA; Rhodes, CJ; Otero, P; Wharton, J; Iremonger, J; Dunning, MJ; Pandya, D; Mascarenhas, TS; Errington, N; Thompson, AAR; Romanoski, CE; Rischard, F; Garcia, JGN; Yuan, JXJ; An, THS; Desai, AA; Coghlan, G; Lordan, J; Corris, PA; Howard, LS; Condliffe, R; Kiely, DG; Church, C; Pepke-Zaba, J; Toshner, M; Wort, S; Gräf, S; Morrell, NW; Wilkins, MR; Lawrie, A; Wang, DN; Bleda, M; Bleda, M; Hadinnapola, C; Haimel, M; Auckland, K; Tilly, T; Martin, JM; Yates, K; Treacy, CM; Day, M; Greenhalgh, A; Shipley, D; Peacock, AJ; Irvine, V; Kennedy, F; Moledina, S; MacDonald, L; Tamvaki, E; Barnes, A; Cookson, V; Chentouf, L; Ali, S; Othman, S; Ranganathan, L; Gibbs, JSR; DaCosta, R; Pinguel, J; Dormand, N; Parker, A; Stokes, D; Ghedia, D; Tan, YN; Ngcozana, T; Wanjiku, I; Polwarth, G; Ross, RMV; Suntharalingam, J; Grover, M; Kirby, A; Grove, A; White, K; Seatter, A; Creaser-Myers, A; Walker, S; Roney, S; Elliot, CA; Charalampopoulos, A; Sabroe, I; Hameed, A; Armstrong, I; Hamilton, N; Rothman, AMK; Swift, AJ; Wild, JM; Soubrier, F; Eyries, M; Humbert, M; Montani, D; Girerd, B; Scelsi, L; Ghio, S; Gall, H; Ghofrani, A; Bogaard, HJ; Noordegraaf, AV; Houweling, AC; Veld, AHI; Schotte, G</t>
  </si>
  <si>
    <t>Kariotis, Sokratis; Jammeh, Emmanuel; Swietlik, Emilia M.; Pickworth, Josephine A.; Rhodes, Christopher J.; Otero, Pablo; Wharton, John; Iremonger, James; Dunning, Mark J.; Pandya, Divya; Mascarenhas, Thomas S.; Errington, Niamh; Thompson, A. A. Roger; Romanoski, Casey E.; Rischard, Franz; Garcia, Joe G. N.; Yuan, Jason X. -J.; An, Tae-Hwi Schwantes; Desai, Ankit A.; Coghlan, Gerry; Lordan, Jim; Corris, Paul A.; Howard, Luke S.; Condliffe, Robin; Kiely, David G.; Church, Colin; Pepke-Zaba, Joanna; Toshner, Mark; Wort, Stephen; Graf, Stefan; Morrell, Nicholas W.; Wilkins, Martin R.; Lawrie, Allan; Wang, Dennis; Bleda, Marta; Bleda, Marta; Hadinnapola, Charaka; Haimel, Matthias; Auckland, Kate; Tilly, Tobias; Martin, Jennifer M.; Yates, Katherine; Treacy, Carmen M.; Day, Margaret; Greenhalgh, Alan; Shipley, Debbie; Peacock, Andrew J.; Irvine, Val; Kennedy, Fiona; Moledina, Shahin; MacDonald, Lynsay; Tamvaki, Eleni; Barnes, Anabelle; Cookson, Victoria; Chentouf, Latifa; Ali, Souad; Othman, Shokri; Ranganathan, Lavanya; Gibbs, J. Simon R.; DaCosta, Rosa; Pinguel, Joy; Dormand, Natalie; Parker, Alice; Stokes, Della; Ghedia, Dipa; Tan, Yvonne; Ngcozana, Tanaka; Wanjiku, Ivy; Polwarth, Gary; Mackenzie Ross, Rob V.; Suntharalingam, Jay; Grover, Mark; Kirby, Ali; Grove, Ali; White, Katie; Seatter, Annette; Creaser-Myers, Amanda; Walker, Sara; Roney, Stephen; Elliot, Charles A.; Charalampopoulos, Athanasios; Sabroe, Ian; Hameed, Abdul; Armstrong, Iain; Hamilton, Neil; Rothman, Alex M. K.; Swift, Andrew J.; Wild, James M.; Soubrier, Florent; Eyries, Melanie; Humbert, Marc; Montani, David; Girerd, Barbara; Scelsi, Laura; Ghio, Stefano; Gall, Henning; Ghofrani, Ardi; Bogaard, Harm J.; Noordegraaf, Anton Vonk; Houweling, Arjan C.; Veld, Anna Huis in't; Schotte, Gwen</t>
  </si>
  <si>
    <t>Biological heterogeneity in idiopathic pulmonary arterial hypertension identified through unsupervised transcriptomic profiling of whole blood</t>
  </si>
  <si>
    <t>NATURE COMMUNICATIONS</t>
  </si>
  <si>
    <t>HYPOXIA-INDUCED PROLIFERATION; OPERATED CALCIUM-ENTRY; RISK SCORE CALCULATOR; PROGNOSTIC IMPACT; IRON-DEFICIENCY; REGISTRY; ASSESSMENTS; SURVIVAL; OUTCOMES</t>
  </si>
  <si>
    <t>Idiopathic pulmonary arterial hypertension (IPAH) is a rare but fatal disease diagnosed by right heart catheterisation and the exclusion of other forms of pulmonary arterial hypertension, producing a heterogeneous population with varied treatment response. Here we show unsupervised machine learning identification of three major patient subgroups that account for 92% of the cohort, each with unique whole blood transcriptomic and clinical feature signatures. These subgroups are associated with poor, moderate, and good prognosis. The poor prognosis subgroup is associated with upregulation of the ALAS2 and downregulation of several immunoglobulin genes, while the good prognosis subgroup is defined by upregulation of the bone morphogenetic protein signalling regulator NOG, and the C/C variant of HLA-DPA1/DPB1 (independently associated with survival). These findings independently validated provide evidence for the existence of 3 major subgroups (endophenotypes) within the IPAH classification, could improve risk stratification and provide molecular insights into the pathogenesis of IPAH. Idiopathic pulmonary arterial hypertension is a rare and fatal disease with a heterogeneous treatment response. Here the authors show that unsupervised machine learning of whole blood transcriptomes from 359 patients with idiopathic pulmonary arterial hypertension identifies 3 subgroups (endophenotypes) that improve risk stratification and provide new molecular insights.</t>
  </si>
  <si>
    <t>[Kariotis, Sokratis; Jammeh, Emmanuel; Dunning, Mark J.; Mascarenhas, Thomas S.; Errington, Niamh; Wang, Dennis] Univ Sheffield, Dept Neurosci, Sheffield, S Yorkshire, England; [Kariotis, Sokratis; Jammeh, Emmanuel; Pickworth, Josephine A.; Iremonger, James; Errington, Niamh; Thompson, A. A. Roger; Condliffe, Robin; Kiely, David G.; Lawrie, Allan] Univ Sheffield, Dept Infect Immun &amp; Cardiovasc Dis, Sheffield, S Yorkshire, England; [Swietlik, Emilia M.; Pandya, Divya; Toshner, Mark; Graf, Stefan; Morrell, Nicholas W.] Univ Cambridge, Dept Med, Cambridge, England; [Swietlik, Emilia M.; Pepke-Zaba, Joanna; Toshner, Mark] Royal Papworth Hosp, Cambridge, England; [Rhodes, Christopher J.; Otero, Pablo; Wharton, John; Howard, Luke S.; Wort, Stephen; Wilkins, Martin R.] Imperial Coll London, Natl Heart &amp; Lung Inst, London, England; [Thompson, A. A. Roger; Condliffe, Robin; Kiely, David G.] Royal Hallamshire Hosp, Sheffield Pulm Vasc Dis Unit, Sheffield, S Yorkshire, England; [Romanoski, Casey E.; Rischard, Franz; Garcia, Joe G. N.] Univ Arizona, Dept Cellular &amp; Mol Med, Tucson, AZ USA; [Yuan, Jason X. -J.] Univ Calif San Diego, Dept Med, La Jolla, CA 92093 USA; [An, Tae-Hwi Schwantes; Desai, Ankit A.] Indiana Univ, Dept Med, Indianapolis, IN USA; [Coghlan, Gerry] UCL, Royal Free Hosp, London, England; [Lordan, Jim; Corris, Paul A.] Newcastle Univ, Newcastle, England; [Kiely, David G.; Lawrie, Allan] Insigneo Inst Silico Med, Sheffield, S Yorkshire, England; [Church, Colin] Univ Glasgow, Glasgow, Lanark, Scotland; [Wang, Dennis] Univ Sheffield, Dept Comp Sci, Sheffield, S Yorkshire, England; [Wang, Dennis] Singapore Inst Clin Sci, Singapore, Singapore</t>
  </si>
  <si>
    <t>University of Sheffield; University of Sheffield; University of Cambridge; Papworth Hospital; Imperial College London; University of Sheffield; University of Arizona; University of California System; University of California San Diego; Indiana University System; Indiana University Indianapolis; University of London; University College London; Royal Free London NHS Foundation Trust; UCL Medical School; Newcastle University - UK; University of Glasgow; University of Sheffield; Agency for Science Technology &amp; Research (A*STAR); A*STAR - Singapore Institute for Clinical Sciences (SICS)</t>
  </si>
  <si>
    <t>Wang, DN (corresponding author), Univ Sheffield, Dept Neurosci, Sheffield, S Yorkshire, England.;Lawrie, A (corresponding author), Univ Sheffield, Dept Infect Immun &amp; Cardiovasc Dis, Sheffield, S Yorkshire, England.;Lawrie, A (corresponding author), Insigneo Inst Silico Med, Sheffield, S Yorkshire, England.;Wang, DN (corresponding author), Univ Sheffield, Dept Comp Sci, Sheffield, S Yorkshire, England.;Wang, DN (corresponding author), Singapore Inst Clin Sci, Singapore, Singapore.</t>
  </si>
  <si>
    <t>a.lawrie@sheffield.ac.uk; dennis.wang@sheffield.ac.uk</t>
  </si>
  <si>
    <t>Sabroe, Ian/AAE-5858-2019; iremonger, james/HGU-8683-2022; Wang, Dennis/JQW-1371-2023; moledina, shahin/A-6466-2009; Pepke-Zaba, Joanna/AGW-3073-2022; Garcia, Joe/E-8862-2010; Howard, Luke/HJP-3415-2023; Cardoso, Paulo/C-5768-2012; Bleda, Marta/A-9333-2014; Swift, Andy/GYU-3283-2022; Rothman, Alexander/AFL-6068-2022; wei, wei/HHR-8613-2022; Lawrie, Allan/A-2708-2012; Ghofrani, Hossein/LPQ-1427-2024; Thompson, Roger/G-7397-2018; Humbert, Marc/AAC-8459-2019; Hameed, Abdul/O-1782-2019; Scelsi, Laura/AAB-9729-2019; Ghio, Stefano/ABH-1151-2021; Sabroe, Ian/I-5981-2013</t>
  </si>
  <si>
    <t>Rischard, Franz/0000-0002-6861-8304; Vonk Noordegraaf, Anton/0000-0002-4057-758X; Thompson, Roger/0000-0002-0717-4551; Humbert, Marc/0000-0003-0703-2892; Hameed, Abdul/0000-0002-2128-2081; Kariotis, Sokratis/0000-0001-9993-6017; Church, Alistair/0000-0002-4446-0100; Rhodes, Christopher/0000-0002-4962-3204; Scelsi, Laura/0000-0001-9409-691X; Otero-Nunez, Pablo/0000-0003-0972-7268; Ghio, Stefano/0000-0002-1858-1152; Bogaard, Harm Jan/0000-0001-5371-0346; Wharton, John/0000-0001-8110-2575; Othman, Shokri/0000-0001-6503-7240; Dunning, Mark/0000-0002-8853-9435; Sabroe, Ian/0000-0001-9750-8975; Iremonger, James/0000-0003-3953-8812; Errington, Niamh/0000-0001-6768-7394; Wang, Dennis/0000-0003-0068-1005; Jammeh, Emmanuel A./0000-0003-3826-3212</t>
  </si>
  <si>
    <t>British Heart Foundation [SP/12/12/29836, SP/18/10/33975, PG/11/116/29288]; UK Medical Research Council [MR/K020919/1]; UK Department of Health via the NIHR comprehensive Biomedical Research Centre award; Donald Heath Ph.D. Studentship award; British Heart Foundation Intermediate Basic Science Research fellowship [FS/15/59/31839]; EPSRC Centre for Doctoral Training; British Heart Foundation Intermediate Clinical Research fellowship [FS/18/13/33281]; BHF Senior Basic Science Research fellowship [FS/18/52/33808]; Academy of Medical Sciences Springboard [SBF004/1052]; British Heart Foundation Centre for Research Excellence award [RE/18/4/34215]; NIHR Sheffield Biomedical Research Centre; UK Pulmonary Hypertension Association</t>
  </si>
  <si>
    <t>British Heart Foundation(British Heart Foundation); UK Medical Research Council(UK Research &amp; Innovation (UKRI)Medical Research Council UK (MRC)); UK Department of Health via the NIHR comprehensive Biomedical Research Centre award; Donald Heath Ph.D. Studentship award; British Heart Foundation Intermediate Basic Science Research fellowship; EPSRC Centre for Doctoral Training(UK Research &amp; Innovation (UKRI)Engineering &amp; Physical Sciences Research Council (EPSRC)); British Heart Foundation Intermediate Clinical Research fellowship; BHF Senior Basic Science Research fellowship; Academy of Medical Sciences Springboard; British Heart Foundation Centre for Research Excellence award; NIHR Sheffield Biomedical Research Centre; UK Pulmonary Hypertension Association</t>
  </si>
  <si>
    <t>The UK National Cohort of Idiopathic and Heritable PAH is supported by grants from the British Heart Foundation (SP/12/12/29836 &amp; SP/18/10/33975) and the UK Medical Research Council (MR/K020919/1). Additional samples from the Sheffield Teaching Hospitals Observational Study of Pulmonary Hypertension, Cardiovascular and other Respiratory Diseases were supported by British Heart Foundation (PG/11/116/29288). We gratefully acknowledge financial support from the UK Department of Health via the NIHR comprehensive Biomedical Research Centre award to Imperial College Healthcare NHS Trust, Cambridge Biomedical Research Centre, and Guy's and St Thomas' NHS Foundation Trust in partnership with King's College London and King's College Hospital NHS Foundation Trust and the NIHR Imperial Clinical Research Facility. Sheffield NIHR Clinical Research Facility award to Sheffield Teaching Hospitals Foundation NHS Trust. S.K. is supported by a Donald Heath Ph.D. Studentship award; C.J.R. is supported by a British Heart Foundation Intermediate Basic Science Research fellowship (FS/15/59/31839). N.E. is supported by an EPSRC Centre for Doctoral Training; A.A.R.T. is supported by a British Heart Foundation Intermediate Clinical Research fellowship (FS/18/13/33281); N.W.M. is a British Heart Foundation Professor and NIHR Senior Investigator. A.L. is supported by a BHF Senior Basic Science Research fellowship (FS/18/52/33808). E.J. is supported by the Academy of Medical Sciences Springboard (ref: SBF004/1052). M.R.W. is in receipt of a British Heart Foundation Centre for Research Excellence award (RE/18/4/34215). M.J.D. and D.W. are supported by the NIHR Sheffield Biomedical Research Centre. We thank and thank all the patients and their families who contributed to this research, the UK Pulmonary Hypertension Association for their support, NIHR BioResource volunteers for their participation, and gratefully acknowledge NIHR BioResource centres, NHS Trusts and staff for their contribution. We thank the National Institute for Health Research, NHS Blood and Transplant, and Health Data Research UK as part of the Digital Innovation Hub Programme. The views expressed are those of the author(s) and not necessarily those of the NHS, the NIHR or the Department of Health and Social Care.</t>
  </si>
  <si>
    <t>2041-1723</t>
  </si>
  <si>
    <t>NAT COMMUN</t>
  </si>
  <si>
    <t>Nat. Commun.</t>
  </si>
  <si>
    <t>DEC 7</t>
  </si>
  <si>
    <t>10.1038/s41467-021-27326-0</t>
  </si>
  <si>
    <t>XM0XH</t>
  </si>
  <si>
    <t>WOS:000728559600008</t>
  </si>
  <si>
    <t>Celli, BR; Fabbri, LM; Aaron, SD; Agusti, A; Brook, R; Criner, GJ; Franssen, FME; Humbert, M; Hurst, JR; O'Donnell, D; Pantoni, L; Papi, A; Rodriguez-Roisin, R; Sethi, S; Torres, A; Vogelmeier, CF; Wedzicha, JA</t>
  </si>
  <si>
    <t>Celli, Bartolome R.; Fabbri, Leonardo M.; Aaron, Shawn D.; Agusti, Alvar; Brook, Robert; Criner, Gerard J.; Franssen, Frits M. E.; Humbert, Marc; Hurst, John R.; O'Donnell, Denis; Pantoni, Leonardo; Papi, Alberto; Rodriguez-Roisin, Roberto; Sethi, Sanjay; Torres, Antoni; Vogelmeier, Claus F.; Wedzicha, Jadwiga A.</t>
  </si>
  <si>
    <t>An Updated Definition and Severity Classification of Chronic Obstructive Pulmonary Disease Exacerbations The Rome Proposal</t>
  </si>
  <si>
    <t>C-REACTIVE PROTEIN; COPD EXACERBATIONS; PHYSIOLOGICAL-CHANGES; GAS-EXCHANGE; TIME-COURSE; BIOMARKERS; RECOVERY; DYSPNEA; PREVALENCE; PERCEPTION</t>
  </si>
  <si>
    <t>[Celli, Bartolome R.] Brigham &amp; Womens Hosp, Div Pulm &amp; Crit Care Med, 75 Francis St, Boston, MA 02115 USA; [Celli, Bartolome R.] Harvard Med Sch, Boston, MA 02115 USA; [Fabbri, Leonardo M.] Univ Ferrara, Sect Resp Med Translat Med &amp; Romagna, Ferrara, Italy; [Aaron, Shawn D.] Univ Ottawa, Ottawa Hosp, Res Inst, Ottawa, ON, Canada; [Agusti, Alvar; Rodriguez-Roisin, Roberto; Torres, Antoni] Univ Barcelona, Barcelona, Spain; [Agusti, Alvar; Rodriguez-Roisin, Roberto; Torres, Antoni] Hosp Clin Barcelona, Inst Clin Resp, Barcelona, Spain; [Agusti, Alvar; Torres, Antoni] Inst Invest Biomed August Pi i Sunyer, Barcelona, Spain; [Agusti, Alvar] Ctr Invest Biomed Red Enfermedades Resp, Madrid, Spain; [Brook, Robert] Wayne State Univ, Detroit, MI USA; [Criner, Gerard J.] Temple Univ, Lewis Katz Sch Med, Dept Thorac Med &amp; Surg, Philadelphia, PA 19122 USA; [Franssen, Frits M. E.] CIRO, Dept Res &amp; Educ, Horn, Netherlands; [Franssen, Frits M. E.] Maastricht Univ, Dept Resp Med, Med Ctr, Maastricht, Netherlands; [Humbert, Marc] Hop Bicetre, AP HP, Serv Pneumol &amp; Soins Intensifs Resp, Le Kremlin Bicetre, France; [Humbert, Marc] Univ Paris Saclay, Le Kremlin Bicetre, France; [Humbert, Marc] INSERM, Unite Mixte Rech 999, Le Kremlin Bicetre, France; [Hurst, John R.] UCL, UCL Resp, London, England; [O'Donnell, Denis] Queens Univ, Resp Invest Unit, Kingston, ON, Canada; [O'Donnell, Denis] Kingston Hlth Sci Ctr, Kingston, ON, Canada; [Pantoni, Leonardo] Univ Milan, Luigi Sacco Dept Biomed &amp; Clin Sci, Milan, Italy; [Papi, Alberto] Univ Ferrara, Sect Resp Med, Ferrara, Italy; [Papi, Alberto] St Anna Univ Hosp, Emergency Dept, Ferrara, Italy; [Sethi, Sanjay] Univ Buffalo State Univ New York, Jacobs Sch Med &amp; Biomed Sci, Buffalo, NY USA; [Torres, Antoni] Ctr Invest Biomed Xarxa Malalties Resp, Inst Catalana Recerca &amp; Estudis Avancats Acad, Barcelona, Spain; [Vogelmeier, Claus F.] Philipps Univ Marburg, Univ Med Ctr Giessen &amp; Marburg, Div Pulm &amp; Crit Care Med, Dept Med, Marburg, Germany; [Vogelmeier, Claus F.] German Ctr Lung Res DZL, Marburg, Germany; [Wedzicha, Jadwiga A.] Imperial Coll London, Natl Heart &amp; Lung Inst, Resp Div, London, England</t>
  </si>
  <si>
    <t>Harvard University; Harvard University Medical Affiliates; Brigham &amp; Women's Hospital; Harvard University; Harvard Medical School; University of Ferrara; University of Ottawa; Ottawa Hospital Research Institute; University of Barcelona; University of Barcelona; Hospital Clinic de Barcelona; University of Barcelona; Hospital Clinic de Barcelona; IDIBAPS; CIBER - Centro de Investigacion Biomedica en Red; CIBERES; Wayne State University; Pennsylvania Commonwealth System of Higher Education (PCSHE); Temple University; Maastricht University; Assistance Publique Hopitaux Paris (APHP); Hopital Universitaire Antoine-Beclere - APHP; Universite Paris Saclay; Hopital Universitaire Bicetre - APHP; Universite Paris Saclay; Institut National de la Sante et de la Recherche Medicale (Inserm); University of London; University College London; Queens University - Canada; University of Milan; Luigi Sacco Hospital; University of Ferrara; University of Ferrara; Arcispedale Sant'Anna; State University of New York (SUNY) System; University at Buffalo, SUNY; ICREA; Philipps University Marburg; University Hospital of Giessen &amp; Marburg; Imperial College London</t>
  </si>
  <si>
    <t>Fabbri, Leonardo/I-4055-2012; Franssen, Frits/L-3334-2019; Papi, alberto/AAC-1888-2019; Torres, Antoni/H-6128-2017; Garcia-Navarro, Alvar/F-4474-2015; Humbert, Marc/AAC-8459-2019</t>
  </si>
  <si>
    <t>Hurst, John/0000-0002-7246-6040; Humbert, Marc/0000-0003-0703-2892</t>
  </si>
  <si>
    <t>Supported by Chiesi Farmaceutici SpA (including medical writing assistance).</t>
  </si>
  <si>
    <t>10.1164/rccm.202108-1819PP</t>
  </si>
  <si>
    <t>XJ1SH</t>
  </si>
  <si>
    <t>WOS:000726576300009</t>
  </si>
  <si>
    <t>Khouri, C; Hlavaty, A; Roustit, M; Cracowski, JL; Chaumais, MC; Humbert, M; Montani, D</t>
  </si>
  <si>
    <t>Khouri, Charles; Hlavaty, Alex; Roustit, Matthieu; Cracowski, Jean-Luc; Chaumais, Marie-Camille; Humbert, Marc; Montani, David</t>
  </si>
  <si>
    <t>Investigating the association between ALK receptor tyrosine kinase inhibitors and pulmonary arterial hypertension: a disproportionality analysis from the WHO pharmacovigilance database</t>
  </si>
  <si>
    <t>[Khouri, Charles; Hlavaty, Alex; Cracowski, Jean-Luc] Grenoble Alpes Univ Hosp, Pharmacovigilance Unit, Grenoble, France; [Khouri, Charles; Roustit, Matthieu] Grenoble Alpes Univ Hosp, INSERM CIC1406, Clin Pharmacol Dept, Grenoble, France; [Khouri, Charles; Roustit, Matthieu; Cracowski, Jean-Luc] Univ Grenoble Alpes, Inserm U1300, HP2 Lab, Grenoble, France; [Chaumais, Marie-Camille] Univ Paris Saclay, Fac Pharmacie, F-92296 Chatenay Malabry, France; [Chaumais, Marie-Camille] Hop Bicetre, Assistance Publ Hopitaux Paris AP HP, Serv Pharmacie, Le Kremlin Bicetre, France; [Chaumais, Marie-Camille; Humbert, Marc; Montani, David] Hop Marie Lannelongue, INSERM UMRS 999, Pulm Hypertens Pathophysiol &amp; Novel Therapies, Le Plessis Robinson, France; [Humbert, Marc; Montani, David] Univ Paris Saclay, Fac Med, Le Kremlin Bicetre, France; [Humbert, Marc; Montani, David] Hop Bicetre, AP HP, Pulm Hypertens Natl Referral Ctr, Dept Resp &amp; Intens Care Med, Le Kremlin Bicetre, France</t>
  </si>
  <si>
    <t>CHU Grenoble Alpes; Communaute Universite Grenoble Alpes; Universite Grenoble Alpes (UGA); CHU Grenoble Alpes; Institut National de la Sante et de la Recherche Medicale (Inserm); Communaute Universite Grenoble Alpes; Universite Grenoble Alpes (UGA); Institut National de la Sante et de la Recherche Medicale (Inserm); Communaute Universite Grenoble Alpes; Universite Grenoble Alpes (UGA); Universite Paris Saclay; Assistance Publique Hopitaux Paris (APHP); Hopital Universitaire Bicetre - APHP; Hopital Universitaire Antoine-Beclere - APHP; Universite Paris Saclay; Institut National de la Sante et de la Recherche Medicale (Inserm); Hopital Marie Lannelongue; Universite Paris Saclay; Universite Paris Saclay; Assistance Publique Hopitaux Paris (APHP); Hopital Universitaire Antoine-Beclere - APHP; Hopital Universitaire Bicetre - APHP</t>
  </si>
  <si>
    <t>Khouri, C (corresponding author), Grenoble Alpes Univ Hosp, Pharmacovigilance Unit, Grenoble, France.;Khouri, C (corresponding author), Grenoble Alpes Univ Hosp, INSERM CIC1406, Clin Pharmacol Dept, Grenoble, France.;Khouri, C (corresponding author), Univ Grenoble Alpes, Inserm U1300, HP2 Lab, Grenoble, France.</t>
  </si>
  <si>
    <t>KHOURI, CHARLES/J-1090-2019; David, Montani/I-6885-2019; Hlavaty, Alex/KIB-2233-2024; Roustit, Matthieu/M-6927-2014; Humbert, Marc/AAC-8459-2019</t>
  </si>
  <si>
    <t>MIAI @ University Grenoble Alpes [ANR-19-P3IA-0003]</t>
  </si>
  <si>
    <t>MIAI @ University Grenoble Alpes</t>
  </si>
  <si>
    <t>This work has been partially supported by MIAI @ University Grenoble Alpes, (ANR-19-P3IA-0003) .</t>
  </si>
  <si>
    <t>10.1183/13993003.01576-2021</t>
  </si>
  <si>
    <t>XM4GN</t>
  </si>
  <si>
    <t>WOS:000728787900006</t>
  </si>
  <si>
    <t>Masson, B; Montani, D; Humbert, M; Capuano, V; Antigny, F</t>
  </si>
  <si>
    <t>Masson, Bastien; Montani, David; Humbert, Marc; Capuano, Veronique; Antigny, Fabrice</t>
  </si>
  <si>
    <t>Role of Store-Operated Ca2+ Entry in the Pulmonary Vascular Remodeling Occurring in Pulmonary Arterial Hypertension</t>
  </si>
  <si>
    <t>PAH; Ca2+ signaling; Orai; STIM; TRPC; IP3R; RyR</t>
  </si>
  <si>
    <t>STROMAL INTERACTION MOLECULE-1; SMOOTH-MUSCLE-CELLS; CAPACITATIVE CALCIUM-ENTRY; INOSITOL 1,4,5-TRISPHOSPHATE RECEPTORS; FOCAL SEGMENTAL GLOMERULOSCLEROSIS; CA2+-PERMEABLE CATION CHANNEL; PANCREATIC ACINAR-CELLS; TRANSIENT RECEPTOR; PLASMA-MEMBRANE; TRPC CHANNELS</t>
  </si>
  <si>
    <t>Pulmonary arterial hypertension (PAH) is a severe and multifactorial disease. PAH pathogenesis mostly involves pulmonary arterial endothelial and pulmonary arterial smooth muscle cell (PASMC) dysfunction, leading to alterations in pulmonary arterial tone and distal pulmonary vessel obstruction and remodeling. Unfortunately, current PAH therapies are not curative, and therapeutic approaches mostly target endothelial dysfunction, while PASMC dysfunction is under investigation. In PAH, modifications in intracellular Ca2+ homoeostasis could partly explain PASMC dysfunction. One of the most crucial actors regulating Ca2+ homeostasis is store-operated Ca2+ channels, which mediate store-operated Ca2+ entry (SOCE). This review focuses on the main actors of SOCE in human and experimental PASMC, their contribution to PAH pathogenesis, and their therapeutic potential in PAH.</t>
  </si>
  <si>
    <t>[Masson, Bastien; Montani, David; Humbert, Marc; Capuano, Veronique; Antigny, Fabrice] Univ Paris Saclay, Sch Med, Fac Med, F-94276 Le Kremlin Bicetre, France; [Masson, Bastien; Montani, David; Humbert, Marc; Capuano, Veronique; Antigny, Fabrice] Hop Marie Lannelongue, Grp Hosp Paris St Joseph, INSERM, UMR S Pulm Hypertens Pathophysiol &amp; Novel Therapi, F-92350 Le Plessis Robinson, France; [Montani, David; Humbert, Marc] Hop Bicetre, AP HP, Pulm Hypertens Natl Referral Ctr, Dept Resp &amp; Intens Care Med, F-94276 Le Kremlin Bicetre, France; [Capuano, Veronique] Hop Marie Lannelongue, Grp Hosp Paris St Joseph, Res &amp; Innovat Unit, F-92350 Le Plessis Robinson, France</t>
  </si>
  <si>
    <t>Universite Paris Saclay; Universite Paris Cite; Hopital Paris Saint-Joseph; Institut National de la Sante et de la Recherche Medicale (Inserm); Hopital Marie Lannelongue; Assistance Publique Hopitaux Paris (APHP); Hopital Universitaire Bicetre - APHP; Universite Paris Saclay; Hopital Universitaire Antoine-Beclere - APHP; Universite Paris Cite; Hopital Paris Saint-Joseph; Hopital Marie Lannelongue</t>
  </si>
  <si>
    <t>Antigny, F (corresponding author), Univ Paris Saclay, Sch Med, Fac Med, F-94276 Le Kremlin Bicetre, France.;Antigny, F (corresponding author), Hop Marie Lannelongue, Grp Hosp Paris St Joseph, INSERM, UMR S Pulm Hypertens Pathophysiol &amp; Novel Therapi, F-92350 Le Plessis Robinson, France.</t>
  </si>
  <si>
    <t>bastienmasson999@gmail.com; davidmontani@gmail.com; mjc.humbert@gmail.com; veronique.capuano@universite-paris-saclay.fr; fabrice.antigny@inserm.fr</t>
  </si>
  <si>
    <t>Antigny, Fabrice/0000-0002-9515-6571; Humbert, Marc/0000-0003-0703-2892; Montani, David/0000-0002-9358-6922; Masson, Bastien/0000-0003-2364-5269</t>
  </si>
  <si>
    <t>Therapeutic Innovation Doctoral School [ED569]</t>
  </si>
  <si>
    <t>Therapeutic Innovation Doctoral School</t>
  </si>
  <si>
    <t>B.M. was supported by the Therapeutic Innovation Doctoral School (ED569).</t>
  </si>
  <si>
    <t>10.3390/biom11121781</t>
  </si>
  <si>
    <t>XX1RX</t>
  </si>
  <si>
    <t>WOS:000736083200001</t>
  </si>
  <si>
    <t>Bisserier, M; Mathiyalagan, P; Zhang, SH; Elmastour, F; Dorfmuller, P; Humbert, M; David, G; Weber, T; Perros, F; Sassi, Y; Sahoo, S; Hadri, L</t>
  </si>
  <si>
    <t>Bisserier, Malik; Mathiyalagan, Prabhu; Zhang, Shihong; Elmastour, Firas; Dorfmuller, Peter; Humbert, Marc; David, Gregory; Weber, Thomas; Perros, Frederic; Sassi, Yassine; Sahoo, Susmita; Hadri, Lahouaria</t>
  </si>
  <si>
    <t>Regulation of the Methylation and Expression Levels of the Bmpr2 Gene by Sin3a as a Novel Therapeutic Mechanism in Pulmonary Arterial Hypertension</t>
  </si>
  <si>
    <t>Annual Scientific Sessions of the American-Heart-Association / Resuscitation Science Symposium</t>
  </si>
  <si>
    <t>NOV 12-15, 2021</t>
  </si>
  <si>
    <t>Boston, MA</t>
  </si>
  <si>
    <t>Bisserier, Malik/AAI-3730-2021; Hadri, Lahouaria/AAP-6415-2020; Perros, Frédéric/N-6921-2017; Humbert, Marc/AAC-8459-2019</t>
  </si>
  <si>
    <t>A10248</t>
  </si>
  <si>
    <t>YU4MT</t>
  </si>
  <si>
    <t>WOS:000752020002023</t>
  </si>
  <si>
    <t>Bisserier, M; Zhang, SH; Dorfmuller, P; Humbert, M; Weber, T; Perros, F; Sassi, Y; Bonnet, S; Hadri, L</t>
  </si>
  <si>
    <t>Bisserier, Malik; Zhang, Shihong; Dorfmuller, Peter; Humbert, Marc; Weber, Thomas; Perros, Frederic; Sassi, Yassine; Bonnet, Sebastien; Hadri, Lahouaria</t>
  </si>
  <si>
    <t>Sin3a Gene Delivery Restores Bmpr2 Expression Through Foxk2 in Pulmonary Arterial Endothelial Cells and Inhibits Sugen/Hypoxia-Induced Pah</t>
  </si>
  <si>
    <t>Perros, Frédéric/N-6921-2017; Lezoualc'h, Frank/E-5031-2016; Hadri, Lahouaria/AAP-6415-2020; Humbert, Marc/AAC-8459-2019</t>
  </si>
  <si>
    <t>A10253</t>
  </si>
  <si>
    <t>WOS:000752020002028</t>
  </si>
  <si>
    <t>Le Ribeuz, H; Dutheil, M; Capuano, V; Mercier, OM; Humbert, M; Montani, D; Antigny, F</t>
  </si>
  <si>
    <t>Le Ribeuz, Helene; Dutheil, Mary; Capuano, Veronique; Mercier, Olaf M.; Humbert, Marc; Montani, David; Antigny, Fabrice</t>
  </si>
  <si>
    <t>Implication of the KATP SUR2B/kir6.1 in the Physiopathology of Pulmonary Arterial Hypertension</t>
  </si>
  <si>
    <t>A9511</t>
  </si>
  <si>
    <t>WOS:000752020000363</t>
  </si>
  <si>
    <t>Valentin, S; Maurac, A; Sitbon, O; Beurnier, A; Gomez, E; Guillaumot, A; Textoris, L; Fay, R; Savale, L; Jaïs, X; Montani, D; Picard, F; Mornex, JF; Prevot, G; Chabot, F; Humbert, M; Chaouat, A</t>
  </si>
  <si>
    <t>Valentin, Simon; Maurac, Arnaud; Sitbon, Olivier; Beurnier, Antoine; Gomez, Emmanuel; Guillaumot, Anne; Textoris, Laura; Fay, Renaud; Savale, Laurent; Jais, Xavier; Montani, David; Picard, Francois; Mornex, Jean-Francois; Prevot, Gregoire; Chabot, Francois; Humbert, Marc; Chaouat, Ari</t>
  </si>
  <si>
    <t>Outcomes of patients with decreased arterial oxyhaemoglobin saturation on pulmonary arterial hypertension drugs</t>
  </si>
  <si>
    <t>EXERCISE</t>
  </si>
  <si>
    <t>Background Drugs approved for the treatment of pulmonary arterial hypertension (PAH) improve long-term outcomes. These drugs have pulmonary vasodilator properties which may potentially cause a decrease in arterial oxyhaemoglobin saturation (S-aO2) in some patients. The present retrospective study of the French Pulmonary Hypertension Registry aimed to describe the clinical characteristics and outcomes of patients showing a &gt;= 3% decrease in S-aO2 while treated with PAH drugs. Methods We reviewed 719 PAH patients. The exclusion criteria were PAH associated with congenital heart disease and PAH with overt features of venous/capillaries involvement. Results 173 (24%) patients had a &gt;= 3% decrease in S-aO2. At diagnosis, they were older with a lower diffusing capacity of the lung for carbon monoxide and a shorter 6-min walk distance compared with those who did not display a &gt;= 3% decrease in S-aO2. The percentage of patients meeting the European Society of Cardiology/European Respiratory Society (ESC/ERS) low-risk criteria at re-evaluation was significantly lower in those with a &gt;= 3% decrease in S-aO2 and more patients started long-term oxygen therapy in this group (16% versus 5%; p&lt;0.001). A &gt;= 3% decrease in S-aO2 was associated with a poorer survival (hazard ratio 1.81, 95% CI 1.43-2.34; p&lt;0.0001). In a multivariate Cox analysis, a &gt;= 3% decrease in S-aO2 was a prognostic factor independent of age at diagnosis and ESC/ERS risk stratification at follow-up. Conclusions When treated with PAH drugs, a large subset of patients experience a &gt;= 3% decrease in S-aO2, which is associated with worse long-term outcomes and reduced survival.</t>
  </si>
  <si>
    <t>[Valentin, Simon; Maurac, Arnaud; Gomez, Emmanuel; Guillaumot, Anne; Textoris, Laura; Chabot, Francois; Chaouat, Ari] CHRU Nancy, Dept Pneumol, Pole Special Med, Vandoeuvre Les Nancy, France; [Valentin, Simon; Chabot, Francois; Chaouat, Ari] Univ Lorraine, Fac Med Nancy, INSERM UMR S 1116, Vandoeuvre Les Nancy, France; [Sitbon, Olivier; Beurnier, Antoine; Savale, Laurent; Jais, Xavier; Montani, David; Humbert, Marc] Univ Paris Saclay, Fac Med, Le Kremlin Bicetre, France; [Sitbon, Olivier; Beurnier, Antoine; Savale, Laurent; Jais, Xavier; Montani, David; Humbert, Marc] Hop Bicetre, AP HP, Serv Pneumol &amp; Physiol Resp, Le Kremlin Bicetre, France; [Sitbon, Olivier; Beurnier, Antoine; Savale, Laurent; Jais, Xavier; Montani, David; Humbert, Marc] Hop Marie Lannelongue, INSERM UMR S 999, Le Plessis Robinson, France; [Fay, Renaud] CHRU Nancy, Clin Invest Ctr 1433, French Clin Res Infrastructure Network Invest, Cardiovasc &amp; Renal Clin Trialists, Vandoeuvre Les Nancy, France; [Picard, Francois] Univ Bordeaux, Serv Cardiol, Hop Haut Leveque, CHU Bordeaux, Pessac, France; [Mornex, Jean-Francois] Hosp Civils Lyon, Serv Pneumol, Hop Louis Pradel, Lyon, France; [Mornex, Jean-Francois] Univ Lyon, Univ Lyon 1, INRA, UMR754, Lyon, France; [Prevot, Gregoire] CHU Toulouse, Serv Pneumol, Hop Larrey, Toulouse, France</t>
  </si>
  <si>
    <t>CHU de Nancy; Universite de Lorraine; Institut National de la Sante et de la Recherche Medicale (Inserm); Universite Paris Saclay; Assistance Publique Hopitaux Paris (APHP); Hopital Universitaire Bicetre - APHP; Universite Paris Saclay; Hopital Universitaire Antoine-Beclere - APHP; Universite Paris Saclay; Institut National de la Sante et de la Recherche Medicale (Inserm); Hopital Marie Lannelongue; Institut National de la Sante et de la Recherche Medicale (Inserm); CHU de Nancy; Universite de Bordeaux; CHU Bordeaux; CHU Lyon; INRAE; Universite Claude Bernard Lyon 1; CHU de Toulouse; Universite de Toulouse; Universite Toulouse III - Paul Sabatier</t>
  </si>
  <si>
    <t>Chaouat, A (corresponding author), CHRU Nancy, Dept Pneumol, Pole Special Med, Vandoeuvre Les Nancy, France.;Chaouat, A (corresponding author), Univ Lorraine, Fac Med Nancy, INSERM UMR S 1116, Vandoeuvre Les Nancy, France.</t>
  </si>
  <si>
    <t>a.chaouat@chru-nancy.fr</t>
  </si>
  <si>
    <t>Chaouat, Ari/AAP-6784-2021; Sitbon, Olivier/I-3623-2019; David, Montani/I-6885-2019; Savale, Laurent/AAJ-9781-2020; Humbert, Marc/AAC-8459-2019</t>
  </si>
  <si>
    <t>Humbert, Marc/0000-0003-0703-2892; Savale, Laurent/0000-0002-6862-8975; SITBON, Olivier/0000-0002-1942-1951; mornex, jean-francois/0000-0003-4096-6152; JAIS, XAVIER/0000-0002-4104-7994</t>
  </si>
  <si>
    <t>ARAIRLOR (Messein, France)</t>
  </si>
  <si>
    <t>This work was supported in part by ARAIRLOR (Messein, France), an association to help patients with chronic respiratory failure. Funding information for this article has been deposited with the Crossref Funder Registry.</t>
  </si>
  <si>
    <t>NOV 4</t>
  </si>
  <si>
    <t>10.1183/13993003.04066-2020</t>
  </si>
  <si>
    <t>WW6HQ</t>
  </si>
  <si>
    <t>WOS:000718015500013</t>
  </si>
  <si>
    <t>Duflot, T; Tu, L; Leuillier, M; Messaoudi, H; Groussard, D; Feugray, G; Azhar, S; Thuillet, R; Bauer, F; Humbert, M; Richard, V; Guignabert, C; Bellien, J</t>
  </si>
  <si>
    <t>Duflot, Thomas; Tu, Ly; Leuillier, Matthieu; Messaoudi, Hind; Groussard, Deborah; Feugray, Guillaume; Azhar, Saida; Thuillet, Raphael; Bauer, Fabrice; Humbert, Marc; Richard, Vincent; Guignabert, Christophe; Bellien, Jeremy</t>
  </si>
  <si>
    <t>Preventing the Increase in Lysophosphatidic Acids: A New Therapeutic Target in Pulmonary Hypertension?</t>
  </si>
  <si>
    <t>METABOLITES</t>
  </si>
  <si>
    <t>lysophospholipids; lysophosphatidic acids; cardiovascular diseases; HPLC-MS; MS; rodent models; pulmonary hypertension; chronic heart failure; hypertension</t>
  </si>
  <si>
    <t>ANGIOTENSIN-II; PHOSPHATIDIC-ACID; LUNG INJURY; ATHEROSCLEROSIS; INHIBITION; RECEPTORS; FIBROSIS; DISEASE; ARTERY; ROLES</t>
  </si>
  <si>
    <t>Cardiovascular diseases (CVD) are the leading cause of premature death and disability in humans that are closely related to lipid metabolism and signaling. This study aimed to assess whether circulating lysophospholipids (LPL), lysophosphatidic acids (LPA) and monoacylglycerols (MAG) may be considered as potential therapeutic targets in CVD. For this objective, plasma levels of 22 compounds (13 LPL, 6 LPA and 3 MAG) were monitored by liquid chromatography coupled with tandem mass spectrometry (HPLC/MS2) in different rat models of CVD, i.e., angiotensin-II-induced hypertension (HTN), ischemic chronic heart failure (CHF) and sugen/hypoxia(SuHx)-induced pulmonary hypertension (PH). On one hand, there were modest changes on the monitored compounds in HTN (LPA 16:0, 18:1 and 20:4, LPC 16:1) and CHF (LPA 16:0, LPC 18:1 and LPE 16:0 and 18:0) models compared to control rats but these changes were no longer significant after multiple testing corrections. On the other hand, PH was associated with important changes in plasma LPA with a significant increase in LPA 16:0, 18:1, 18:2, 20:4 and 22:6 species. A deleterious impact of LPA was confirmed on cultured human pulmonary smooth muscle cells (PA-SMCs) with an increase in their proliferation. Finally, plasma level of LPA(16:0) was positively associated with the increase in pulmonary artery systolic pressure in patients with cardiac dysfunction. This study demonstrates that circulating LPA may contribute to the pathophysiology of PH. Additional experiments are needed to assess whether the modulation of LPA signaling in PH may be of interest.</t>
  </si>
  <si>
    <t>[Duflot, Thomas; Richard, Vincent; Bellien, Jeremy] Normandie Univ, Dept Pharmacol, CHU Rouen, UNIROUEN,INSERM,U1096, F-76000 Rouen, France; [Tu, Ly; Thuillet, Raphael; Humbert, Marc; Guignabert, Christophe] Hop Marie Lannelongue, INSERM, UMR S 999, F-92350 Le Plessis Robinson, France; [Tu, Ly; Thuillet, Raphael; Humbert, Marc; Guignabert, Christophe] Univ Paris Saclay, Sch Med, F-92290 Chatenay Malabry, France; [Leuillier, Matthieu; Messaoudi, Hind; Groussard, Deborah; Azhar, Saida] Normandie Univ, INSERM, UNIROUEN, U1096, F-76000 Rouen, France; [Feugray, Guillaume] Normandie Univ, Dept Gen Biochem, CHU Rouen, INSERM,U1096,UNIROUEN, F-76000 Rouen, France; [Bauer, Fabrice] Normandie Univ, Dept Cardiol, CHU Rouen, INSERM,U1096,UNIROUEN, F-76000 Rouen, France</t>
  </si>
  <si>
    <t>Universite de Rouen Normandie; CHU de Rouen; Institut National de la Sante et de la Recherche Medicale (Inserm); Universite Paris Saclay; Institut National de la Sante et de la Recherche Medicale (Inserm); Hopital Marie Lannelongue; Universite Paris Saclay; Universite de Rouen Normandie; Institut National de la Sante et de la Recherche Medicale (Inserm); Institut National de la Sante et de la Recherche Medicale (Inserm); Universite de Rouen Normandie; CHU de Rouen; Institut National de la Sante et de la Recherche Medicale (Inserm); Universite de Rouen Normandie; CHU de Rouen</t>
  </si>
  <si>
    <t>Duflot, T (corresponding author), Normandie Univ, Dept Pharmacol, CHU Rouen, UNIROUEN,INSERM,U1096, F-76000 Rouen, France.</t>
  </si>
  <si>
    <t>thomas.duflot@chu-rouen.fr; lyieng@gmail.com; leuillier.matthieu@gmail.com; hindiimessaoudi@gmail.com; deborah.groussard@laposte.net; guillaume.feugray@chu-rouen.fr; saida.azhar1@univ-rouen.fr; raphael.thuillet@inserm.fr; fabrice.bauer@chu-rouen.fr; marc.humbert@aphp.fr; vincent.richard@univ-rouen.fr; christophe.guignabert@inserm.fr; jeremy.bellien@chu-rouen.fr</t>
  </si>
  <si>
    <t>BAUER, Fabrice/HMP-7663-2023; Richard, Vincent/B-1059-2014; GUIGNABERT, Christophe/G-3873-2013; TU, Ly/G-4035-2013; Humbert, Marc/AAC-8459-2019; Duflot, Thomas/ABH-5340-2020</t>
  </si>
  <si>
    <t>Jeremy, Bellien/0000-0002-0383-2342; Richard, Vincent/0000-0003-0590-0158; Bauer, Fabrice/0000-0002-9221-9688; GUIGNABERT, Christophe/0000-0002-8545-4452; TU, Ly/0000-0003-2336-5099; Humbert, Marc/0000-0003-0703-2892; Thuillet, Raphael/0000-0002-1379-3797; Duflot, Thomas/0000-0002-8730-284X; Groussard, Deborah/0000-0003-0664-1274</t>
  </si>
  <si>
    <t>French National Research Agency [ANR-16-CE17-0012]; Agence Nationale de la Recherche (ANR) [ANR-16-CE17-0012] Funding Source: Agence Nationale de la Recherche (ANR)</t>
  </si>
  <si>
    <t>French National Research Agency(Agence Nationale de la Recherche (ANR)); Agence Nationale de la Recherche (ANR)(Agence Nationale de la Recherche (ANR))</t>
  </si>
  <si>
    <t>This study was supported by grants from the French National Research Agency (ANR-16-CE17-0012).</t>
  </si>
  <si>
    <t>2218-1989</t>
  </si>
  <si>
    <t>Metabolites</t>
  </si>
  <si>
    <t>10.3390/metabo11110784</t>
  </si>
  <si>
    <t>XI0FL</t>
  </si>
  <si>
    <t>Green Submitted, gold, Green Published</t>
  </si>
  <si>
    <t>WOS:000725799000001</t>
  </si>
  <si>
    <t>Le Ribeuz, H; To, L; Ghigna, MR; Martin, C; Nagaraj, C; Dreano, E; Rucker-Martin, C; Girerd, B; Bouligand, JM; Pechoux, C; Lambert, M; Boet, A; Issard, J; Mercier, O; Hoetzenecker, K; Manoury, B; Becq, F; Burgel, PR; Cottart, CH; Olschewski, A; Sermet-Gaudelus, I; Perros, F; Humbert, M; Montani, D; Antigny, F</t>
  </si>
  <si>
    <t>Le Ribeuz, Helene; To, Lucie; Ghigna, Maria-Rosa; Martin, Clemence; Nagaraj, Chandran; Dreano, Elise; Rucker-Martin, Catherine; Girerd, Barbara; Bouligand, Jerome; Pechoux, Christine; Lambert, Melanie; Boet, Angele; Issard, Justin; Mercier, Olaf; Hoetzenecker, Konrad; Manoury, Boris; Becq, Frederic; Burgel, Pierre-Regis; Cottart, Charles-Henry; Olschewski, Andrea; Sermet-Gaudelus, Isabelle; Perros, Frederic; Humbert, Marc; Montani, David; Antigny, Fabrice</t>
  </si>
  <si>
    <t>Involvement of CFTR in the pathogenesis of pulmonary arterial hypertension</t>
  </si>
  <si>
    <t>TRANSMEMBRANE CONDUCTANCE REGULATOR; CYSTIC-FIBROSIS; SMOOTH-MUSCLE; CARDIAC-FUNCTION; CELL FUNCTION; SPHINGOLIPIDS; POTENTIATOR; DYSFUNCTION; DISRUPTION; CHANNELS</t>
  </si>
  <si>
    <t>Introduction A reduction in pulmonary artery relaxation is a key event in the pathogenesis of pulmonary arterial hypertension (PAH). Cystic fibrosis transmembrane conductance regulator (CFTR) dysfunction in airway epithelial cells plays a central role in cystic fibrosis; CFTR is also expressed in pulmonary arteries and has been shown to control endothelium-independent relaxation. Aim and objectives We aimed to delineate the role of CFTR in PAH pathogenesis through observational and interventional experiments in human tissues and animal models. Methods and results Reverse-transcriptase quantitative PCR, confocal imaging and electron microscopy showed that CFTR expression was reduced in pulmonary arteries from patients with idiopathic PAH (iPAH) and in rats with monocrotaline-induced pulmonary hypertension (PH). Moreover, using myography on human, pig and rat pulmonary arteries, we demonstrated that CFTR activation induces pulmonary artery relaxation. CFTR-mediated pulmonary artery relaxation was reduced in pulmonary arteries from iPAH patients and rats with monocrotaline-or chronic hypoxia-induced PH. Long-term in vivo CFTR inhibition in rats significantly increased right ventricular systolic pressure, which was related to exaggerated pulmonary vascular cell proliferation in situ and vessel neomuscularisation. Pathologic assessment of lungs from patients with severe cystic fibrosis (F508del-CFTR) revealed severe pulmonary artery remodelling with intimal fibrosis and medial hypertrophy. Lungs from homozygous F508delCftr rats exhibited pulmonary vessel neomuscularisation. The elevations in right ventricular systolic pressure and end diastolic pressure in monocrotaline-exposed rats with chronic CFTR inhibition were more prominent than those in vehicle-exposed rats. Conclusions CFTR expression is strongly decreased in pulmonary artery smooth muscle and endothelial cells in human and animal models of PH. CFTR inhibition increases vascular cell proliferation and strongly reduces pulmonary artery relaxation.</t>
  </si>
  <si>
    <t>[Le Ribeuz, Helene; To, Lucie; Ghigna, Maria-Rosa; Rucker-Martin, Catherine; Girerd, Barbara; Lambert, Melanie; Boet, Angele; Issard, Justin; Mercier, Olaf; Perros, Frederic; Humbert, Marc; Montani, David; Antigny, Fabrice] Univ Paris Saclay, Fac Med, Le Kremlin Bicetre, France; [Le Ribeuz, Helene; To, Lucie; Ghigna, Maria-Rosa; Rucker-Martin, Catherine; Girerd, Barbara; Lambert, Melanie; Boet, Angele; Issard, Justin; Mercier, Olaf; Perros, Frederic; Humbert, Marc; Montani, David; Antigny, Fabrice] Hop Marie Lannelongue, INSERM, Hypertens Pulm Physiopathol &amp; Innovat Therapt, UMR S 999, Le Plessis Robinson, France; [Le Ribeuz, Helene; To, Lucie; Ghigna, Maria-Rosa; Rucker-Martin, Catherine; Girerd, Barbara; Lambert, Melanie; Boet, Angele; Issard, Justin; Mercier, Olaf; Burgel, Pierre-Regis; Perros, Frederic; Humbert, Marc; Montani, David; Antigny, Fabrice] Hop Bicetre, Hop Paris AP HP, Serv Pneumol &amp; Soins Intens Resp, Ctr Ref Hypertens Pulm, Le Kremlin Bicetre, France; [Burgel, Pierre-Regis] Cochin Hosp, Hop Paris AP HP, Dept Resp Med, Ctr Ref Malad Rare Mucoviscidose,ERN Lung, Paris, France; [Martin, Clemence; Dreano, Elise; Burgel, Pierre-Regis; Olschewski, Andrea] Univ Paris, Inst Cochin, Inserm U1016, Paris, France; [Rucker-Martin, Catherine] Ludwig Boltzmann Inst Lung Vasc Res, Graz, Austria; [Dreano, Elise; Cottart, Charles-Henry] Univ Paris, Ctr Malad Rare Mucoviscidose, ERN Lung,U1151, Inst Necker Enfants Malad,CNRS UMR 8253,Inserm, Paris, France; [Bouligand, Jerome] Hop Bicetre, AP HP, Lab Genet Mol Pharmacogenet &amp; Hormonol, Le Kremlin Bicetre, France; [Bouligand, Jerome] Univ Paris Saclay, Fac Med, INSERM UMR 1185, Le Kremlin Bicetre, France; [Rucker-Martin, Catherine] Univ Paris Saclay, GABI, AgroParisTech, INRA, Jouy En Josas, France; [Hoetzenecker, Konrad] Med Univ Vienna, Dept Thorac Surg, Vienna, Vienna, Austria; [Manoury, Boris] Univ Paris Saclay, Univ Paris Sud, Signalisat Physiopathol Cardiovasc, UMR S 1180,INSERM, Chatenay Malabry, France; [Becq, Frederic] Univ Poitiers, Lab Signalisat &amp; Transports Membranaires, Poitiers 9, France; [Olschewski, Andrea] Med Univ Graz, Dept Anaesthesiol &amp; Intens Care Med, Graz, Austria</t>
  </si>
  <si>
    <t>Universite Paris Saclay; Hopital Marie Lannelongue; Institut National de la Sante et de la Recherche Medicale (Inserm); Universite Paris Saclay; Universite Paris Saclay; Assistance Publique Hopitaux Paris (APHP); Hopital Universitaire Bicetre - APHP; Hopital Universitaire Antoine-Beclere - APHP; Assistance Publique Hopitaux Paris (APHP); Universite Paris Cite; Hopital Universitaire Cochin - APHP; Universite Paris Cite; Institut National de la Sante et de la Recherche Medicale (Inserm); Ludwig Boltzmann Institute; Ludwig Boltzmann Institute for Lung Vascular Research; Centre National de la Recherche Scientifique (CNRS); CNRS - National Institute for Biology (INSB); Institut National de la Sante et de la Recherche Medicale (Inserm); Universite Paris Cite; Assistance Publique Hopitaux Paris (APHP); Hopital Universitaire Antoine-Beclere - APHP; Universite Paris Saclay; Hopital Universitaire Bicetre - APHP; Institut National de la Sante et de la Recherche Medicale (Inserm); Universite Paris Saclay; Universite Paris Saclay; AgroParisTech; INRAE; Medical University of Vienna; Institut National de la Sante et de la Recherche Medicale (Inserm); Universite Paris Saclay; Universite de Poitiers; Medical University of Graz</t>
  </si>
  <si>
    <t>Antigny, F (corresponding author), Univ Paris Saclay, Fac Med, Le Kremlin Bicetre, France.;Antigny, F (corresponding author), Hop Marie Lannelongue, INSERM, Hypertens Pulm Physiopathol &amp; Innovat Therapt, UMR S 999, Le Plessis Robinson, France.;Antigny, F (corresponding author), Hop Bicetre, Hop Paris AP HP, Serv Pneumol &amp; Soins Intens Resp, Ctr Ref Hypertens Pulm, Le Kremlin Bicetre, France.</t>
  </si>
  <si>
    <t>David, Montani/I-6885-2019; Clémence, Martin/AAR-1198-2021; Antigny, Fabrice/Q-3999-2018; Humbert, Marc/AAC-8459-2019; Perros, Frederic/N-6921-2017; Becq, Frederic/P-9233-2016; Manoury, Boris/P-1066-2016</t>
  </si>
  <si>
    <t>Antigny, Fabrice/0000-0002-9515-6571; Humbert, Marc/0000-0003-0703-2892; Ghigna, Maria Rosa/0000-0001-5996-665X; Perros, Frederic/0000-0001-7730-2427; Sermet-Gaudelus, Isabelle/0000-0001-5537-9482; Becq, Frederic/0000-0003-3915-0973; Boet, Angele/0000-0003-1510-3347; Le Ribeuz, Helene/0000-0002-6579-6076; Mercier, Olaf/0000-0002-4760-6267; Cottart, Charles-Henry/0000-0003-3776-957X; Manoury, Boris/0000-0001-7305-5633</t>
  </si>
  <si>
    <t>National Funding Agency for Research [ANR-18-CE14-0023]; Fondation du Souffle et Fonds de Dotation Recherche en Sante Respiratoire; Fondation Lefoulon-Delalande; Fondation Legs Poix; Legs Poix, Chancellerie des Universites de Paris; Therapeutic Innovation Doctoral School [ED569]</t>
  </si>
  <si>
    <t>National Funding Agency for Research; Fondation du Souffle et Fonds de Dotation Recherche en Sante Respiratoire; Fondation Lefoulon-Delalande; Fondation Legs Poix; Legs Poix, Chancellerie des Universites de Paris; Therapeutic Innovation Doctoral School</t>
  </si>
  <si>
    <t>F. Antigny receives funding from the National Funding Agency for Research: ANR-18-CE14-0023. F. Antigny also receives funding from the Fondation du Souffle et Fonds de Dotation Recherche en Sante Respiratoire, from the Fondation Lefoulon-Delalande and from the Fondation Legs Poix. F. Perros is supported by the Legs Poix, Chancellerie des Universites de Paris. M. Lambert is supported by the Therapeutic Innovation Doctoral School (ED569).</t>
  </si>
  <si>
    <t>10.1183/13993003.00653-2020</t>
  </si>
  <si>
    <t>XM4SY</t>
  </si>
  <si>
    <t>WOS:000728820200023</t>
  </si>
  <si>
    <t>van den Berge, M; Genton, C; Heuvelin, E; Simonds, AK; Humbert, M; Nyberg, A; Gosens, R; Donnelly, L; Fulton, O; Wilkens, M; Roche, N; Brightling, C</t>
  </si>
  <si>
    <t>van den Berge, Maarten; Genton, Celine; Heuvelin, Elise; Simonds, Anita K.; Humbert, Marc; Nyberg, Andre; Gosens, Reinoud; Donnelly, Louise; Fulton, Olivia; Wilkens, Marion; Roche, Nicolas; Brightling, Christopher</t>
  </si>
  <si>
    <t>Success and continuous growth of the ERS clinical research collaborations</t>
  </si>
  <si>
    <t>[van den Berge, Maarten] Univ Groningen, Dept Pulm Dis, Univ Med Ctr Groningen, Groningen, Netherlands; [Genton, Celine; Heuvelin, Elise] European Resp Soc, Sci Act Dept, Lausanne, Switzerland; [Simonds, Anita K.] Royal Brompton &amp; Harefield Hosp, Dept Sleep &amp; Ventilat, London, England; [Humbert, Marc] Univ Paris Saclay, Sch Med, Le Kremlin Bicetre, France; [Humbert, Marc] Univ Paris Saclay, Hop Bicetre, AP HP, Inserm UMR S 999,Serv Pneumol &amp; Soins Intensifs R, Le Kremlin Bicetre, France; [Nyberg, Andre] Umea Univ, Sect Physiotherapy, Dept Community Med &amp; Rehabil, Umea, Sweden; [Gosens, Reinoud] Univ Groningen, Dept Mol Pharmacol, Groningen, Netherlands; [Donnelly, Louise] Imperial Coll London, Natl Heart &amp; Lung Inst, London, England; [Fulton, Olivia] European Lung Fdn, Sheffield, S Yorkshire, England; [Wilkens, Marion] Patientenorg Alpha1 Deutschland eV, Gernsheim, Germany; [Roche, Nicolas] Univ Paris, Cochin Hosp, AP HP, Dept Pulmonol, Paris, France; [Brightling, Christopher] Univ Leicester, Leicester NIHR Biomed Res Ctr, Leicester, Leics, England</t>
  </si>
  <si>
    <t>University of Groningen; Royal Brompton &amp; Harefield NHS Foundation Trust; Harefield Hospital; Royal Brompton Hospital; Universite Paris Saclay; Assistance Publique Hopitaux Paris (APHP); Hopital Universitaire Bicetre - APHP; Universite Paris Saclay; Institut National de la Sante et de la Recherche Medicale (Inserm); Hopital Universitaire Antoine-Beclere - APHP; Umea University; University of Groningen; Imperial College London; Assistance Publique Hopitaux Paris (APHP); Universite Paris Cite; Hopital Universitaire Cochin - APHP; University of Leicester</t>
  </si>
  <si>
    <t>van den Berge, M (corresponding author), Univ Groningen, Dept Pulm Dis, Univ Med Ctr Groningen, Groningen, Netherlands.</t>
  </si>
  <si>
    <t>m.van.den.berge@umcg.nl</t>
  </si>
  <si>
    <t>Nyberg, Andre/GZA-8096-2022; Roche, Nicolas/AAP-4445-2021; van den Berg, Anke/H-1718-2011; Humbert, Marc/AAC-8459-2019</t>
  </si>
  <si>
    <t>Fulton, Olivia/0000-0001-7358-0219; Humbert, Marc/0000-0003-0703-2892; van den Berge, Maarten/0000-0002-9336-7340; Nyberg, Andre/0000-0003-2782-7959</t>
  </si>
  <si>
    <t>10.1183/13993003.02527-2021</t>
  </si>
  <si>
    <t>WOS:000728820200008</t>
  </si>
  <si>
    <t>Humbert, M; Montani, D; Savale, L; Tu, L; Guignabert, C</t>
  </si>
  <si>
    <t>Humbert, Marc; Montani, David; Savale, Laurent; Tu, Ly; Guignabert, Christophe</t>
  </si>
  <si>
    <t>Targeting activin receptor IIA ligands for the treatment of pulmonary arterial hypertension</t>
  </si>
  <si>
    <t>[Humbert, Marc; Montani, David; Savale, Laurent; Tu, Ly; Guignabert, Christophe] Univ Paris Saclay, Fac Med, F-94270 Le Kremlin Bicetre, France; [Humbert, Marc; Montani, David; Savale, Laurent; Tu, Ly; Guignabert, Christophe] Hop Marie Lannelongue, Inserm, UMRS 999, F-92350 Le Plessis Robinson, France; [Humbert, Marc; Montani, David; Savale, Laurent] Hop Bicetre, Assistance Publique Hopitaux Paris AP HP, Serv Pneumol &amp; Soins Intensifs Resp, Ctr Reference lHypertens Pulmonaire, 78 Rue Gen Leclerc, F-94270 Le Kremlin Bicetre, France</t>
  </si>
  <si>
    <t>Universite Paris Saclay; Institut National de la Sante et de la Recherche Medicale (Inserm); Hopital Marie Lannelongue; Universite Paris Saclay; Assistance Publique Hopitaux Paris (APHP); Hopital Universitaire Antoine-Beclere - APHP; Hopital Universitaire Bicetre - APHP</t>
  </si>
  <si>
    <t>Humbert, M (corresponding author), Univ Paris Saclay, Fac Med, F-94270 Le Kremlin Bicetre, France.;Humbert, M (corresponding author), Hop Marie Lannelongue, Inserm, UMRS 999, F-92350 Le Plessis Robinson, France.;Humbert, M (corresponding author), Hop Bicetre, Assistance Publique Hopitaux Paris AP HP, Serv Pneumol &amp; Soins Intensifs Resp, Ctr Reference lHypertens Pulmonaire, 78 Rue Gen Leclerc, F-94270 Le Kremlin Bicetre, France.</t>
  </si>
  <si>
    <t>TU, Ly/0000-0003-2336-5099; GUIGNABERT, Christophe/0000-0002-8545-4452</t>
  </si>
  <si>
    <t>10.1051/medsci/2021131</t>
  </si>
  <si>
    <t>WG7QM</t>
  </si>
  <si>
    <t>WOS:000707189700004</t>
  </si>
  <si>
    <t>Boucly, A; Savale, L; Jaïs, X; Bauer, F; Bergot, E; Bertoletti, L; Beurnier, A; Bourdin, A; Bouvaist, H; Bulifon, S; Chabanne, C; Chaouat, A; Cottin, V; Dauphin, C; Degano, B; De Groote, P; Favrolt, N; Feng, YC; Horeau-Langlard, D; Jevnikar, M; Jutant, EM; Liang, ZY; Magro, P; Mauran, P; Moceri, P; Mornex, JF; Palat, S; Parent, F; Picard, F; Pichon, J; Poubeau, P; Prévot, G; Renard, S; Reynaud-Gaubert, M; Riou, M; Roblot, P; Sanchez, O; Seferian, A; Tromeur, C; Weatherald, J; Simonneau, G; Montani, D; Humbert, M; Sitbon, O</t>
  </si>
  <si>
    <t>Boucly, Athenais; Savale, Laurent; Jais, Xavier; Bauer, Fabrice; Bergot, Emmanuel; Bertoletti, Laurent; Beurnier, Antoine; Bourdin, Arnaud; Bouvaist, Helene; Bulifon, Sophie; Chabanne, Celine; Chaouat, Ari; Cottin, Vincent; Dauphin, Claire; Degano, Bruno; De Groote, Pascal; Favrolt, Nicolas; Feng, Yuanchao; Horeau-Langlard, Delphine; Jevnikar, Mitja; Jutant, Etienne-Marie; Liang, Zhiying; Magro, Pascal; Mauran, Pierre; Moceri, Pamela; Mornex, Jean-Francois; Palat, Sylvain; Parent, Florence; Picard, Francois; Pichon, Jeremie; Poubeau, Patrice; Prevot, Gregoire; Renard, Sebastien; Reynaud-Gaubert, Martine; Riou, Marianne; Roblot, Pascal; Sanchez, Olivier; Seferian, Andrei; Tromeur, Cecile; Weatherald, Jason; Simonneau, Gerald; Montani, David; Humbert, Marc; Sitbon, Olivier</t>
  </si>
  <si>
    <t>Association between Initial Treatment Strategy and Long-Term Survival in Pulmonary Arterial Hypertension</t>
  </si>
  <si>
    <t>pulmonary hypertension; pulmonary arterial hypertension; survival; therapeutics</t>
  </si>
  <si>
    <t>TRIPLE COMBINATION THERAPY; EPOPROSTENOL; IMPACT; ASSESSMENTS; AMBRISENTAN; TADALAFIL; BOSENTAN</t>
  </si>
  <si>
    <t>Rationale: The relationship between the initial treatment strategy and survival in pulmonary arterial hypertension (PAH) remains uncertain. Objectives: To evaluate the long-term survival of patients with PAH categorized according to the initial treatment strategy. Methods: A retrospective analysis of incident patients with idiopathic, heritable, or anorexigen-induced PAH enrolled in the French Pulmonary Hypertension Registry (January 2006 to December 2018) was conducted. Survival was assessed according to the initial strategy: monotherapy, dual therapy, or triple-combination therapy (two oral medications and a parenteral prostacyclin). Measurements and Main Results: Among 1,611 enrolled patients, 984 were initiated on monotherapy, 551 were initiated on dual therapy, and 76 were initiated on triple therapy. The triple-combination group was younger and had fewer comorbidities but had a higher mortality risk. The survival rate was higher with the use of triple therapy (91% at 5 yr) as compared with dual therapy or monotherapy (both 61% at 5 yr) (P &lt; 0.001). Propensity score matching of age, sex, and pulmonary vascular resistance also showed significant differences between triple therapy and dual therapy (10-yr survival, 85% vs. 65%). In high-risk patients (n = 243), the survival rate was higher with triple therapy than with monotherapy or dual therapy, whereas there was no difference between monotherapy and double therapy. In intermediate-risk patients (n = 1,134), survival improved with an increasing number of therapies. In multivariable Cox regression, triple therapy was independently associated with a lower risk of death (hazard ratio, 0.29; 95% confidence interval, 0.11-0.80; P = 0.017). Among the 148 patients initiated on a parenteral prostacyclin, those on triple therapy had a higher survival rate than those on monotherapy or dual therapy. Conclusions: Initial triple-combination therapy that includes parenteral prostacyclin seems to be associated with a higher survival rate in PAH, particularly in the youngest high-risk patients.</t>
  </si>
  <si>
    <t>[Boucly, Athenais; Savale, Laurent; Jais, Xavier; Beurnier, Antoine; Bulifon, Sophie; Jevnikar, Mitja; Jutant, Etienne-Marie; Parent, Florence; Pichon, Jeremie; Seferian, Andrei; Simonneau, Gerald; Montani, David; Humbert, Marc; Sitbon, Olivier] Univ Paris Saclay, Fac Med, Le Kremlin Bicetre, France; [Boucly, Athenais; Savale, Laurent; Jais, Xavier; Beurnier, Antoine; Bulifon, Sophie; Jevnikar, Mitja; Jutant, Etienne-Marie; Parent, Florence; Pichon, Jeremie; Seferian, Andrei; Simonneau, Gerald; Montani, David; Humbert, Marc; Sitbon, Olivier] Hop Bicetre, AP HP, Serv Pneumol &amp; Soins Intensifs, Le Kremlin Bicetre, France; [Boucly, Athenais; Savale, Laurent; Jais, Xavier; Beurnier, Antoine; Bulifon, Sophie; Jevnikar, Mitja; Jutant, Etienne-Marie; Parent, Florence; Pichon, Jeremie; Seferian, Andrei; Simonneau, Gerald; Montani, David; Humbert, Marc; Sitbon, Olivier] Hop Marie Lannelongue, Unite Mixte Rech S999, INSERM, Le Plessis Robinson, France; [Bauer, Fabrice] Univ Rouen, CHU Rouen, Dept Chirurg Cardiaque, Unite 1096,INSERM, Rouen, France; [Bergot, Emmanuel] Univ Caen, CHU Caen, Serv Pneumol &amp; Oncol Thorac, Unite Format &amp; Rech Sante, Caen, France; [Bertoletti, Laurent] Univ Jean Monnet, Serv Med Vasc &amp; Therapeut, Unite Mixte Rech 1059, CHU St Etienne,INSERM, St Etienne, France; [Bourdin, Arnaud] Univ Montpellier, CHU Montpellier, Serv Pneumol, Montpellier, France; [Bourdin, Arnaud] Univ Montpellier, INSERM, Lab Physiol &amp; Med Expt, CHU Montpellier,CNRS, Montpellier, France; [Bouvaist, Helene] Hop Univ Grenoble Alpes, Serv Cardiol, Grenoble, France; [Degano, Bruno] Hop Univ Grenoble Alpes, Serv Pneumol, Grenoble, France; [Chabanne, Celine] Univ Rennes, CHU Rennes, Serv Cardiol &amp; Malad Vasc,INSERM, Unite Mixte Rech 1099 Lab Traitement Signal &amp; Ima, Rennes, Ille &amp; Vilaine, France; [Chaouat, Ari] Univ Lorraine, Ctr Hosp Reg Univ Nancy, Fac Med Nancy, Dept Pneumol,INSERM, Vanduvre Les Nancy, France; [Cottin, Vincent; Mornex, Jean-Francois] Univ Lyon 1, Hosp Civils Lyon, Unite Mixte Rech 754 Infect Virales &amp; Pathol Comp, Inst Natl Rech Agronm,Ctr Natl Reference Malad Pu, Lyon, France; [Dauphin, Claire] CHU Clermont Ferrand, Serv Cardiol &amp; Malad Vasc, Hop Gabriel Montpied, Clermont Ferrand, France; [De Groote, Pascal] Univ Lille, CHU Lille, Serv Cardiol, Unite 1167,Inst Pasteur Lille,INSERM, Lille, France; [Favrolt, Nicolas] Ctr Hosp Univ Francois Mitterrand, Serv Pneumol &amp; Soins Intensifs Resp, Dijon, France; [Feng, Yuanchao; Liang, Zhiying; Weatherald, Jason] Univ Calgary, Libin Cardiovasc Inst, Calgary, AB, Canada; [Horeau-Langlard, Delphine] CHU Nantes, Serv Pneumol, Hop Laennec, Nantes, France; [Magro, Pascal] CHU Tours, Serv Pneumol, Tours, France; [Mauran, Pierre] Amer Mem Hosp, Unite Cardiol Pediat &amp; Congenitale, CHU Reims, Reims, France; [Moceri, Pamela] Univ Cote dAzur, CHU Nice, Serv Cardiol, Unite Rech Clin Cote Azur, Nice, France; [Palat, Sylvain] Ctr Hosp Univ Dupuytren, Dept Med Interne, Limoges, France; [Picard, Francois] Univ Bordeaux, CHU Bordeaux, Hop Cardiol Haut Leveque, Unite Traitement Insuffisance Cardiaque, Bordeaux, France; [Picard, Francois] Univ Bordeaux, CHU Bordeaux, Ctr Competences lHypertens Pulm, Hop Cardiol Haut Leveque, Bordeaux, France; [Poubeau, Patrice] Ctr Hosp Univ Reunion, Serv Med Interne, St Pierre De La Reunion, France; [Prevot, Gregoire] CHU Toulouse, Serv Pneumol, Hop Larrey, Toulouse, France; [Renard, Sebastien] Hop La Timone, Serv Cardiol, Ctr Reg Competences Hypertens Pulm, Marseille, France; [Reynaud-Gaubert, Martine] Aix Marseille Univ Hop Nord, AP HM, Serv Pneumol, Ctr Competences Malad Pulm Rares, Marseille, France; [Riou, Marianne] Nouvel Hop Civil, Dept Pneumol, Strasbourg, France; [Roblot, Pascal] Hop Univ Poitiers, Serv Med Interne, Malad Infect &amp; Trop, Poitiers, France; [Sanchez, Olivier] Univ Paris, Hop Europeen Georges Pompidou, AP HP, Serv Pneumol, Paris, France; [Tromeur, Cecile] Univ Bretagne Occidentale, Ctr Invest Clin Brest, Dept Med Interne &amp; Pneumol, Unite 1412,CHU Brest,INSERM, Brest, France; [Weatherald, Jason] Univ Calgary, Dept Med, Div Respirol, Calgary, AB, Canada</t>
  </si>
  <si>
    <t>Universite Paris Saclay; Universite Paris Saclay; Assistance Publique Hopitaux Paris (APHP); Hopital Universitaire Antoine-Beclere - APHP; Hopital Universitaire Bicetre - APHP; Institut National de la Sante et de la Recherche Medicale (Inserm); Hopital Marie Lannelongue; Universite de Rouen Normandie; CHU de Rouen; Institut National de la Sante et de la Recherche Medicale (Inserm); CHU de Caen NORMANDIE; Universite de Caen Normandie; CHU de St Etienne; Institut National de la Sante et de la Recherche Medicale (Inserm); Universite de Montpellier; CHU de Montpellier; Institut National de la Sante et de la Recherche Medicale (Inserm); Universite de Montpellier; Centre National de la Recherche Scientifique (CNRS); CHU de Montpellier; Communaute Universite Grenoble Alpes; Universite Grenoble Alpes (UGA); CHU Grenoble Alpes; Communaute Universite Grenoble Alpes; Universite Grenoble Alpes (UGA); CHU Grenoble Alpes; CHU Rennes; Institut National de la Sante et de la Recherche Medicale (Inserm); Universite de Rennes; CHU de Nancy; Institut National de la Sante et de la Recherche Medicale (Inserm); Universite de Lorraine; Universite Claude Bernard Lyon 1; CHU Lyon; INRAE; CHU Clermont Ferrand; Universite de Lille; CHU Lille; Pasteur Network; Institut Pasteur Lille; Institut National de la Sante et de la Recherche Medicale (Inserm); CHU Dijon Bourgogne; University of Calgary; Libin Cardiovascular Institute Of Alberta; Nantes Universite; CHU de Nantes; CHU Tours; CHU de Reims; Universite de Reims Champagne-Ardenne; Universite Cote d'Azur; CHU Nice; CHU Limoges; CHU Bordeaux; Universite de Bordeaux; Universite de Bordeaux; CHU Bordeaux; CHU Reunion; CHU de Toulouse; Universite de Toulouse; Universite Toulouse III - Paul Sabatier; Aix-Marseille Universite; Assistance Publique-Hopitaux de Marseille; Aix-Marseille Universite; Assistance Publique-Hopitaux de Marseille; CHU Poitiers; Universite de Poitiers; Assistance Publique Hopitaux Paris (APHP); Universite Paris Cite; Hopital Universitaire Europeen Georges-Pompidou - APHP; Universite de Bretagne Occidentale; Institut National de la Sante et de la Recherche Medicale (Inserm); CHU Brest; University of Calgary</t>
  </si>
  <si>
    <t>Sitbon, O (corresponding author), Hop Bicetre, Serv Pneumol &amp; Soins Intensifs, 78 Rue Gen Leclerc, F-94275 Le Kremlin Bicetre, France.</t>
  </si>
  <si>
    <t>Bertoletti, Laurent/X-1319-2019; Savale, Laurent/AAJ-9781-2020; BAUER, Fabrice/HMP-7663-2023; DE GROOTE, Pascal/LLL-9444-2024; Moceri, Pamela/D-3053-2014; Sanchez-Ramon, Silvia/AAZ-7670-2020; Bourdin, Philippe/D-8149-2015; David, Montani/I-6885-2019; Degano, Bruno/IAQ-7289-2023; Chaouat, Ari/AAP-6784-2021; Bergot, Emmanuel/KHZ-1685-2024; Humbert, Marc/AAC-8459-2019</t>
  </si>
  <si>
    <t>Jevnikar, Mitja/0000-0003-0727-6790; mornex, jean-francois/0000-0003-4096-6152; JAIS, XAVIER/0000-0002-4104-7994; Bourdin, Arnaud/0000-0002-4645-5209; Weatherald, Jason/0000-0002-0615-4575; de Groote, Pascal/0000-0002-6211-0147; Bauer, Fabrice/0000-0002-9221-9688; Jutant, Etienne-Marie/0000-0002-1374-1890; BERTOLETTI, Laurent/0000-0001-8214-3010; Savale, Laurent/0000-0002-6862-8975</t>
  </si>
  <si>
    <t>10.1164/rccm.202009-3698OC</t>
  </si>
  <si>
    <t>WE2PI</t>
  </si>
  <si>
    <t>WOS:000705466800019</t>
  </si>
  <si>
    <t>Fauvel, C; Raitiere, O; Boucly, A; Artaud-Macari, E; Viacroze, C; Schleifer, D; Dominique, S; Pichon, J; Jais, X; Montani, D; Sitbon, O; Savale, L; Doguet, F; Humbert, M; Bauer, F</t>
  </si>
  <si>
    <t>Fauvel, C.; Raitiere, O.; Boucly, A.; Artaud-Macari, E.; Viacroze, C.; Schleifer, D.; Dominique, S.; Pichon, J.; Jais, X.; Montani, D.; Sitbon, O.; Savale, L.; Doguet, F.; Humbert, M.; Bauer, F.</t>
  </si>
  <si>
    <t>Inclusion of echocardiographic measure of right ventricular function in the non-invasive French pulmonary arterial hypertension risk stratification method</t>
  </si>
  <si>
    <t>[Fauvel, C.] Univ Hosp Rouen, Cardiol, Rouen, France; [Raitiere, O.; Artaud-Macari, E.; Viacroze, C.; Schleifer, D.; Dominique, S.; Doguet, F.; Bauer, F.] Univ Hosp Rouen, Rouen, France; [Boucly, A.; Pichon, J.; Jais, X.; Montani, D.; Sitbon, O.; Savale, L.; Humbert, M.] Univ Paris Saclay, Pneumol, Le Kremlin Bicetre, France</t>
  </si>
  <si>
    <t>Universite de Rouen Normandie; CHU de Rouen; Universite de Rouen Normandie; CHU de Rouen; Universite Paris Saclay</t>
  </si>
  <si>
    <t>BAUER, Fabrice/HMP-7663-2023; Humbert, Marc/AAC-8459-2019</t>
  </si>
  <si>
    <t>XA2AO</t>
  </si>
  <si>
    <t>WOS:000720456902172</t>
  </si>
  <si>
    <t>Hagenburg, J; Savale, L; Lechartier, B; Ghigna, MR; Chaumais, MC; Jaïs, X; Sitbon, O; Humbert, M; Montani, D</t>
  </si>
  <si>
    <t>Hagenburg, Jean; Savale, Laurent; Lechartier, Benoit; Ghigna, Maria-Rosa; Chaumais, Marie-Camille; Jais, Xavier; Sitbon, Olivier; Humbert, Marc; Montani, David</t>
  </si>
  <si>
    <t>Pulmonary hypertension associated with busulfan</t>
  </si>
  <si>
    <t>pulmonary hypertension; pulmonary fibrosis; fibroblast; treatment; catheterization; right ventricle function and dysfunction</t>
  </si>
  <si>
    <t>BONE-MARROW-TRANSPLANTATION; HEMATOPOIETIC-CELL TRANSPLANTATION; BRONCHIOLITIS OBLITERANS SYNDROME; VERSUS-HOST-DISEASE; LUNG-FUNCTION; FRANCOPHONE SOCIETY; AMERICAN SOCIETY; GUIDELINES; EFFICACY; RISK</t>
  </si>
  <si>
    <t>Busulfan is widely used to treat malignant diseases, particularly for therapeutic intensification prior to an autologous stem cell graft. Numerous side effects consecutive to busulfan are described, but few descriptions of pulmonary hypertension exist, while bronchiolitis obliterans remains a rare complication. We report the clinical observations of four patients from the French Pulmonary Hypertension Registry who experienced subacute pulmonary hypertension after receiving busulfan as preparation regimen before an autologous stem cell graft for malignancies (Hodgkin's disease, Ewing's sarcoma and primary large B cell lymphoma of the brain). Patients experienced severe pulmonary arterial hypertension 2 to 4.5 months after busulfan administration. Pulmonary hypertension improved after treatment with approved drugs for pulmonary arterial hypertension and/or corticosteroids. During the follow-up period, two patients developed chronic respiratory insufficiency due to interstitial lung disease, leading to double lung transplantation. The pathological assessment of explanted lungs revealed interstitial lung fibrosis with advanced bronchiolar lesions and severe pulmonary vascular damage. Three of the four patients were still alive after 36 to 80 months and the fourth died unexpectedly and suddenly after 5 months. In conclusion, PAH is a rare but severe complication associated with busulfan chemotherapy in adults. Histological examinations provide evidence for diffuse pulmonary vascular damage combined with interstitial lung injury in most cases.</t>
  </si>
  <si>
    <t>[Hagenburg, Jean; Savale, Laurent; Lechartier, Benoit; Jais, Xavier; Sitbon, Olivier; Humbert, Marc; Montani, David] Hop Bicetre, AP HP, Pulm Hypertens Natl Referral, Dept Resp &amp; Intens Care Med, Le Kremlin Bicetre, France; [Hagenburg, Jean; Savale, Laurent; Lechartier, Benoit; Chaumais, Marie-Camille; Jais, Xavier; Sitbon, Olivier; Humbert, Marc; Montani, David] Univ Paris Saclay, Sch Med, Le Kremlin Bicetre, France; [Savale, Laurent; Lechartier, Benoit; Ghigna, Maria-Rosa; Chaumais, Marie-Camille; Jais, Xavier; Sitbon, Olivier; Humbert, Marc; Montani, David] Hop Marie Lannelongue, INSERM, UMR S, Pulm Hypertens Pathophysiol &amp; Novel Therapies, Le Plessis Robinson, France; [Ghigna, Maria-Rosa] Hop Marie Lannelongue, Serv Anatomopathol, Le Plessis Robinson, France; [Chaumais, Marie-Camille] Hop Bicetre, AP HP, Serv Pharm, Le Kremlin Bicetre, France</t>
  </si>
  <si>
    <t>Universite Paris Saclay; Assistance Publique Hopitaux Paris (APHP); Hopital Universitaire Bicetre - APHP; Hopital Universitaire Antoine-Beclere - APHP; Universite Paris Saclay; Hopital Marie Lannelongue; Institut National de la Sante et de la Recherche Medicale (Inserm); Hopital Marie Lannelongue; Assistance Publique Hopitaux Paris (APHP); Hopital Universitaire Bicetre - APHP; Hopital Universitaire Antoine-Beclere - APHP; Universite Paris Saclay</t>
  </si>
  <si>
    <t>Montani, David/0000-0002-9358-6922; Ghigna, Maria Rosa/0000-0001-5996-665X</t>
  </si>
  <si>
    <t>10.1177/20458940211030170</t>
  </si>
  <si>
    <t>WB7WU</t>
  </si>
  <si>
    <t>WOS:000703780500001</t>
  </si>
  <si>
    <t>Thore, P; Humbert, M; Montani, D</t>
  </si>
  <si>
    <t>Thore, Pierre; Humbert, Marc; Montani, David</t>
  </si>
  <si>
    <t>Pulmonary hypertension A rare but severe complication of common variable immunodeficiency</t>
  </si>
  <si>
    <t>ANNALS OF ALLERGY ASTHMA &amp; IMMUNOLOGY</t>
  </si>
  <si>
    <t>[Thore, Pierre] Ctr Hosp Reg Univ Nancy, Hop Brabois, Dept Pneumol, Vandoeuvre Les Nancy, France; [Humbert, Marc] Univ Lorraine, Fac Med, Maieut &amp; Metiers Sante Nancy, Campus Brabois Sante, Vandoeuvre Les Nancy, France; [Thore, Pierre] Maieut &amp; Metiers Sante Nancy, INSERM, Fac Med, Defaillance Cardiovasc &amp; Aigue &amp; Chron,UMR S 1116, Campus Brabois Sante, Vandoeuvre Les Nancy, France; [Humbert, Marc; Montani, David] Hop Bicetre, AP HP, Ctr Ref Natl Hypertens Pulmonaire, Dept Med Resp &amp; Soins Intensifs Resp, Le Kremlin Bicetre, France; [Humbert, Marc; Montani, David] Univ Paris Saclay, Fac Med, Le Kremlin Bicetre, France; [Montani, David] Hypertens Arterielle Pulm Physiopathol &amp; Nouvelle, INSERM UMR S 999, Le Plessis Robinson, France</t>
  </si>
  <si>
    <t>CHU de Nancy; Universite de Lorraine; Universite de Lorraine; Institut National de la Sante et de la Recherche Medicale (Inserm); Assistance Publique Hopitaux Paris (APHP); Hopital Universitaire Bicetre - APHP; Hopital Universitaire Antoine-Beclere - APHP; Universite Paris Saclay; Universite Paris Saclay; Universite Paris Saclay; Institut National de la Sante et de la Recherche Medicale (Inserm)</t>
  </si>
  <si>
    <t>Montani, D (corresponding author), Hop Bicetre, AP HP, Ctr Ref Natl Hypertens Pulmonaire, Dept Med Resp &amp; Soins Intensifs Resp, Le Kremlin Bicetre, France.;Montani, D (corresponding author), Univ Paris Saclay, Fac Med, Le Kremlin Bicetre, France.;Montani, D (corresponding author), Hypertens Arterielle Pulm Physiopathol &amp; Nouvelle, INSERM UMR S 999, Le Plessis Robinson, France.</t>
  </si>
  <si>
    <t>David, Montani/I-6885-2019; Thoré, Pierre/HKE-8857-2023; Humbert, Marc/AAC-8459-2019</t>
  </si>
  <si>
    <t>Humbert, Marc/0000-0003-0703-2892; Thore, Pierre/0000-0001-7378-2419; Montani, David/0000-0002-9358-6922</t>
  </si>
  <si>
    <t>1081-1206</t>
  </si>
  <si>
    <t>1534-4436</t>
  </si>
  <si>
    <t>ANN ALLERG ASTHMA IM</t>
  </si>
  <si>
    <t>Ann. Allergy Asthma Immunol.</t>
  </si>
  <si>
    <t>10.1016/j.anai.2021.06.016</t>
  </si>
  <si>
    <t>SEP 2021</t>
  </si>
  <si>
    <t>WQ1SL</t>
  </si>
  <si>
    <t>WOS:000713601500025</t>
  </si>
  <si>
    <t>Badesch, D; Gibbs, S; Gomberg-Maitland, M; Hoeper, M; Mclaughlin, V; Preston, I; Souza, R; Waxman, A; Manimaran, S; Barnes, J; Pena, JD; Humbert, M; Hoeper, MM</t>
  </si>
  <si>
    <t>Badesch, David; Gibbs, Simon; Gomberg-Maitland, Mardi; Hoeper, Marius; Mclaughlin, Vallerie; Preston, Ioana; Souza, Rogerio; Waxman, Aaron; Manimaran, Solaiappan; Barnes, Jennifer; Pena, Janethe De Oliveira; Humbert, Marc; Hoeper, Marius M.</t>
  </si>
  <si>
    <t>PULSAR open-label extension: interim results from a phase 2 study of the efficacy and safety of sotatercept when added to standard of care for the treatment of pulmonary arterial hypertension (PAH)</t>
  </si>
  <si>
    <t>European-Respiratory-Society (ERS) International Congress</t>
  </si>
  <si>
    <t>SEP 26-30, 2021</t>
  </si>
  <si>
    <t>Thessaloniki, GREECE</t>
  </si>
  <si>
    <t>[Badesch, David] Univ Colorado, Aurora, CO USA; [Gibbs, Simon] Imperial Coll London, Natl Heart &amp; Lung Inst, London, England; [Gomberg-Maitland, Mardi] George Washington Univ, Washington, DC USA; [Hoeper, Marius] Hannover Med Sch, Dept Resp Med, Hannover, Germany; [Hoeper, Marius] German Ctr Lung Res, Hannover, Germany; [Mclaughlin, Vallerie] Univ Michigan, Ann Arbor, MI 48109 USA; [Preston, Ioana] Tufts Med Ctr, Boston, MA 02111 USA; [Souza, Rogerio] InCor Univ Sao Paulo, Sao Paulo, Brazil; [Waxman, Aaron] Brigham &amp; Womens Hosp, Boston, MA USA; [Manimaran, Solaiappan; Barnes, Jennifer; Pena, Janethe De Oliveira] Acceleron Pharma, Cambridge, England; [Humbert, Marc] Univ Paris Saclay, Assistance Publ Hop Paris, Le Kremlin Bicetre, France; [Hoeper, Marius M.] Univ Paris Saclay, Hannover, Germany</t>
  </si>
  <si>
    <t>University of Colorado System; University of Colorado Anschutz Medical Campus; Imperial College London; George Washington University; Hannover Medical School; University of Michigan System; University of Michigan; Tufts Medical Center; Harvard University; Harvard University Medical Affiliates; Brigham &amp; Women's Hospital; Acceleron Pharma; Assistance Publique Hopitaux Paris (APHP); Universite Paris Cite; Hopital Universitaire Saint-Louis - APHP; Hopital Universitaire Bicetre - APHP; Universite Paris Saclay</t>
  </si>
  <si>
    <t>David.Badesch@cuanschutz.edu</t>
  </si>
  <si>
    <t>Hoeper, Marius/Z-1546-2019; Souza, Rogerio/I-3584-2013; Waxman, Aaron/I-8659-2019; Humbert, Marc/AAC-8459-2019</t>
  </si>
  <si>
    <t>SEP 5</t>
  </si>
  <si>
    <t>OA140</t>
  </si>
  <si>
    <t>10.1183/13993003.congress-2021.OA140</t>
  </si>
  <si>
    <t>YN7RR</t>
  </si>
  <si>
    <t>WOS:000747452100122</t>
  </si>
  <si>
    <t>Boucly, Athenais; Mitrovic, Stephane; Savale, Laurent; Jais, Xavier; Montani, David; Lazaro, Estibaliz; Schleinitz, Nicolas; Bloch-Queyrat, Coralie; Christides, Christine; Pouchot, Jacques; Humbert, Marc; Fautrel, Bruno; Sitbon, Olivier</t>
  </si>
  <si>
    <t>Pulmonary arterial hypertension in Adult-Onset Still's Disease</t>
  </si>
  <si>
    <t>Adults; Pulmonary hypertension</t>
  </si>
  <si>
    <t>[Boucly, Athenais; Savale, Laurent; Jais, Xavier; Montani, David; Humbert, Marc; Sitbon, Olivier] Hop Bicetre, Le Kremlin Bicetre, France; [Mitrovic, Stephane; Fautrel, Bruno] Hop La Pitie Salpetriere, Paris, France; [Lazaro, Estibaliz] Hop Haut Leveque, Pessac, France; [Schleinitz, Nicolas] Hop La Timone, Marseille, France; [Bloch-Queyrat, Coralie] Hop Avicennes, Bobigny, France; [Christides, Christine] Ctr Hosp Avignon Henri Duffaut, Avignon, France; [Pouchot, Jacques] Hop Europeen Georges Pompidou, Paris, France</t>
  </si>
  <si>
    <t>Universite Paris Saclay; Assistance Publique Hopitaux Paris (APHP); Hopital Universitaire Bicetre - APHP; Hopital Universitaire Antoine-Beclere - APHP; Sorbonne Universite; Assistance Publique Hopitaux Paris (APHP); Hopital Universitaire Pitie-Salpetriere - APHP; Universite de Bordeaux; CHU Bordeaux; Aix-Marseille Universite; Assistance Publique-Hopitaux de Marseille; Assistance Publique Hopitaux Paris (APHP); Hopital Universitaire Avicenne - APHP; Assistance Publique Hopitaux Paris (APHP); Universite Paris Cite; Hopital Universitaire Europeen Georges-Pompidou - APHP</t>
  </si>
  <si>
    <t>Savale, Laurent/AAJ-9781-2020; schleinitz, nicolas/AAL-6751-2020; Humbert, Marc/AAC-8459-2019</t>
  </si>
  <si>
    <t>Humbert, Marc/0000-0003-0703-2892; schleinitz, nicolas/0000-0001-9449-3392</t>
  </si>
  <si>
    <t>OA145</t>
  </si>
  <si>
    <t>10.1183/13993003.congress-2021.OA145</t>
  </si>
  <si>
    <t>WOS:000747452100127</t>
  </si>
  <si>
    <t>Humbert, M; Bourdin, A; Deschildre, A; Molimard, M; Taille, C; Kamar, D; Thonnelier, C; Lajoinie, A; Rigault, A</t>
  </si>
  <si>
    <t>Humbert, Marc; Bourdin, Arnaud; Deschildre, Antoine; Molimard, Mathieu; Taille, Camille; Kamar, Driss; Thonnelier, Celine; Lajoinie, Audrey; Rigault, Alexandre</t>
  </si>
  <si>
    <t>Omalizumab exposure patterns in reallife: An 11-year French population-based study of 19,203 patients with severe asthma</t>
  </si>
  <si>
    <t>Treatments; Asthma - management; Pharmacology</t>
  </si>
  <si>
    <t>[Humbert, Marc] Univ Paris Saclay, Hop Bicetre, Serv Pneumol, Le Kremlin Bicetre, France; [Bourdin, Arnaud] Univ Montpellier, CHU Montpellier, Hop Arnaud Villeneuve, CNRS,UMR 9214,INSERM,U1046, Montpellier, France; [Bourdin, Arnaud] Hop Arnaud de Villeneuve, Montpellier, France; [Deschildre, Antoine] Univ Lille, CHU Lille, Hop Jeanne de Flandre, Pediat Pulmonol &amp; Allergy Dept, Lille, France; [Molimard, Mathieu] Univ Bordeaux, CHU Bordeaux, INSERM, CR1219,Serv Pharmacol Med, Bordeaux, France; [Taille, Camille] Hop Bichat Claude Bernard, Serv Pneumol, Paris, France; [Taille, Camille] Hop Bichat Claude Bernard, Ctr Reference C Malad Pulm Rares, Paris, France; [Kamar, Driss] Novartis, Rueil Malmais, France; [Thonnelier, Celine] Novartis, Rueil Malmaison, France; [Lajoinie, Audrey; Rigault, Alexandre] RCTs, Lyon, France</t>
  </si>
  <si>
    <t>Assistance Publique Hopitaux Paris (APHP); Hopital Universitaire Bicetre - APHP; Universite Paris Saclay; Hopital Universitaire Antoine-Beclere - APHP; Universite de Montpellier; Centre National de la Recherche Scientifique (CNRS); CNRS - National Institute for Biology (INSB); CHU de Montpellier; Institut National de la Sante et de la Recherche Medicale (Inserm); Universite de Montpellier; CHU de Montpellier; Universite de Lille; CHU Lille; Universite de Bordeaux; Institut National de la Sante et de la Recherche Medicale (Inserm); CHU Bordeaux; Assistance Publique Hopitaux Paris (APHP); Universite Paris Cite; Hopital Universitaire Bichat-Claude Bernard - APHP; Assistance Publique Hopitaux Paris (APHP); Universite Paris Cite; Hopital Universitaire Bichat-Claude Bernard - APHP; Novartis</t>
  </si>
  <si>
    <t>mjc.humbert@gmail.com</t>
  </si>
  <si>
    <t>PA3731</t>
  </si>
  <si>
    <t>10.1183/13993003.congress-2021.PA3731</t>
  </si>
  <si>
    <t>WOS:000747452105088</t>
  </si>
  <si>
    <t>Jutant, EM; Roche, A; Boucly, A; Camboulive, A; Jevnikar, M; Jais, X; Sitbon, O; Humbert, M; Savale, L; Montani, D</t>
  </si>
  <si>
    <t>Jutant, Etienne-Marie; Roche, Anne; Boucly, Athenais; Camboulive, Alice; Jevnikar, Mitja; Jais, Xavier; Sitbon, Olivier; Humbert, Marc; Savale, Laurent; Montani, David</t>
  </si>
  <si>
    <t>Whipple's disease: a rare and life-threatening cause of pulmonary hypertension</t>
  </si>
  <si>
    <t>Pulmonary hypertension; Bacteria; Critically ill patients</t>
  </si>
  <si>
    <t>[Jutant, Etienne-Marie; Roche, Anne; Boucly, Athenais; Camboulive, Alice; Jevnikar, Mitja; Jais, Xavier; Sitbon, Olivier; Humbert, Marc; Savale, Laurent; Montani, David] Univ Paris Saclay, Fac Med, Le Kremlin Bicetre, France; [Jutant, Etienne-Marie; Roche, Anne; Boucly, Athenais; Camboulive, Alice; Jevnikar, Mitja; Jais, Xavier; Sitbon, Olivier; Humbert, Marc; Savale, Laurent; Montani, David] Hop Bicetre, AP HP, Ctr Reference Hypertens Pulm, Serv Pneumol &amp; Soins Intensifs Resp, Le Kremlin Bicetre, France; [Jutant, Etienne-Marie; Roche, Anne; Boucly, Athenais; Camboulive, Alice; Jevnikar, Mitja; Jais, Xavier; Sitbon, Olivier; Humbert, Marc; Savale, Laurent; Montani, David] Hop Marie Lannelongue, INSERM, UMR S 999, Le Plessis Robinson, France</t>
  </si>
  <si>
    <t>Universite Paris Saclay; Assistance Publique Hopitaux Paris (APHP); Hopital Universitaire Bicetre - APHP; Hopital Universitaire Antoine-Beclere - APHP; Universite Paris Saclay; Hopital Marie Lannelongue; Universite Paris Saclay; Institut National de la Sante et de la Recherche Medicale (Inserm)</t>
  </si>
  <si>
    <t>emjutant@gmail.com</t>
  </si>
  <si>
    <t>PA3599</t>
  </si>
  <si>
    <t>10.1183/13993003.congress-2021.PA3599</t>
  </si>
  <si>
    <t>WOS:000747452104420</t>
  </si>
  <si>
    <t>Lazarus, H; Denning, J; Kamau-Kelley, W; Wring, S; Palacios, M; Humbert, M</t>
  </si>
  <si>
    <t>Lazarus, Howard; Denning, Jill; Kamau-Kelley, Watiri; Wring, Stephen; Palacios, Michelle; Humbert, Marc</t>
  </si>
  <si>
    <t>ELEVATE 2: A multicenter study of rodatristat ethyl in patients with WHO Group 1 pulmonary arterial hypertension (PAH)</t>
  </si>
  <si>
    <t>Pulmonary hypertension; Chronic diseases; Orphan diseases</t>
  </si>
  <si>
    <t>[Lazarus, Howard; Denning, Jill; Kamau-Kelley, Watiri; Wring, Stephen; Palacios, Michelle] Altavant Sci Inc, Cary, NC USA; [Humbert, Marc] Univ Paris Saclay, Paris, France</t>
  </si>
  <si>
    <t>Universite Paris Saclay</t>
  </si>
  <si>
    <t>howard.lazarus@altavant.com</t>
  </si>
  <si>
    <t>PA1919</t>
  </si>
  <si>
    <t>10.1183/13993003.congress-2021.PA1919</t>
  </si>
  <si>
    <t>WOS:000747452102152</t>
  </si>
  <si>
    <t>Le Ribeuz, H; Dutheil, M; Capuano, V; Mercier, O; Humbert, M; Montani, D; Antigny, F</t>
  </si>
  <si>
    <t>Le Ribeuz, Helene; Dutheil, Mary; Capuano, Veronique; Mercier, Olaf; Humbert, Marc; Montani, David; Antigny, Fabrice</t>
  </si>
  <si>
    <t>Late Breaking Abstract - Implication of the KATP Sur2b/Kir6.1 in the physiopathology of pulmonary arterial hypertension</t>
  </si>
  <si>
    <t>Pulmonary hypertension; Pharmacology; Circulation</t>
  </si>
  <si>
    <t>[Le Ribeuz, Helene; Dutheil, Mary; Capuano, Veronique; Antigny, Fabrice] Hop Marie Lannelongue, INSERM, U999, Hypertens Pulm Physiopathol &amp; Innovat Therapeut, Le Plessis Robinson, France; [Mercier, Olaf] Hop Marie Lannelongue, Grp Hosp Paris St Joseph, Serv Chirurg Thorac Vasc &amp; Transplantat Cardiopul, Le Plessis Robinson, France; [Humbert, Marc; Montani, David] Hop Bicetre, AP HP, Ctr Reference Hypertens Pulm, Serv Pneumol &amp; Soins Intensifs Resp, Le Kremlin Bicetre, France</t>
  </si>
  <si>
    <t>Hopital Marie Lannelongue; Universite Paris Saclay; Institut National de la Sante et de la Recherche Medicale (Inserm); Universite Paris Cite; Hopital Paris Saint-Joseph; Hopital Marie Lannelongue; Universite Paris Saclay; Assistance Publique Hopitaux Paris (APHP); Hopital Universitaire Bicetre - APHP; Hopital Universitaire Antoine-Beclere - APHP</t>
  </si>
  <si>
    <t>helene.leribeuz@aol.com</t>
  </si>
  <si>
    <t>PA600</t>
  </si>
  <si>
    <t>10.1183/13993003.congress-2021.PA600</t>
  </si>
  <si>
    <t>WOS:000747452106038</t>
  </si>
  <si>
    <t>Masson, B; Le Ribeuz, H; Sabourin, J; Woodhouse, E; Foster, R; Ruchon, Y; Dutheil, M; Boët, A; Ghigna, MR; Mercier, O; Beech, D; Benitah, JP; Bailey, M; Humbert, M; Montani, D; Capuano, V; Antigny, F</t>
  </si>
  <si>
    <t>Masson, Bastien; Le Ribeuz, Helene; Sabourin, Jessica; Woodhouse, Emily; Foster, Richard; Ruchon, Yann; Dutheil, Mary; Boet, Angele; Ghigna, Maria-Rosa; Mercier, Olaf; Beech, David; Benitah, Jean-Pierre; Bailey, Marc; Humbert, Marc; Montani, David; Capuano, Veronique; Antigny, Fabrice</t>
  </si>
  <si>
    <t>Late Breaking Abstract - Involvement of Orai1 Ca2+channel in the pathogenesis of pulmonary arterial hypertension. Orai1 as a new potential therapeutic target ?</t>
  </si>
  <si>
    <t>[Masson, Bastien; Le Ribeuz, Helene; Ruchon, Yann; Dutheil, Mary; Boet, Angele; Ghigna, Maria-Rosa; Capuano, Veronique; Antigny, Fabrice] Hop Marie Lannelongue, INSERM, UMR S 999, Hypertens Pulm Physiopathol &amp; Innovat Therapeut, Le Plessis Robinson, France; [Sabourin, Jessica; Benitah, Jean-Pierre] Univ Paris Saclay, INSERM, UMR S 1180, Signalisat &amp; Physiopathol Cardiovasc, Chatenay Malabry, France; [Woodhouse, Emily; Foster, Richard; Beech, David; Bailey, Marc] Univ Leeds, Inst Cardiovasc &amp; Metab Med, Sch Med, Leeds, W Yorkshire, England; [Mercier, Olaf] Hop Marie Lannelongue, Grp Hosp Paris St Joseph, Serv Chirurg Thorac Vasc &amp; Transplantat Cardiopul, Le Plessis Robinson, France; [Humbert, Marc; Montani, David] Hop Bicetre, AP HP, Ctr Reference Hypertens Pulm, Serv Pneumol &amp; Soins Intensifs Resp, Le Kremlin Bicetre, France</t>
  </si>
  <si>
    <t>Institut National de la Sante et de la Recherche Medicale (Inserm); Universite Paris Saclay; Hopital Marie Lannelongue; Universite Paris Saclay; Institut National de la Sante et de la Recherche Medicale (Inserm); University of Leeds; Universite Paris Cite; Hopital Paris Saint-Joseph; Hopital Marie Lannelongue; Assistance Publique Hopitaux Paris (APHP); Hopital Universitaire Antoine-Beclere - APHP; Hopital Universitaire Bicetre - APHP; Universite Paris Saclay</t>
  </si>
  <si>
    <t>bastienmasson999@gmail.com</t>
  </si>
  <si>
    <t>Antigny, Fabrice/Q-3999-2018; benitah, jean-pierre/L-6060-2018; Humbert, Marc/AAC-8459-2019</t>
  </si>
  <si>
    <t>benitah, jean-pierre/0000-0002-9866-9081; Humbert, Marc/0000-0003-0703-2892</t>
  </si>
  <si>
    <t>PA599</t>
  </si>
  <si>
    <t>10.1183/13993003.congress-2021.PA599</t>
  </si>
  <si>
    <t>WOS:000747452106037</t>
  </si>
  <si>
    <t>Montani, D; Certain, MC; Savale, L; Jaïs, X; Humbert, M; Sitbon, O</t>
  </si>
  <si>
    <t>Montani, David; Certain, Marie-Caroline; Savale, Laurent; Jais, Xavier; Humbert, Marc; Sitbon, Olivier</t>
  </si>
  <si>
    <t>French PH Network Pulmotension I</t>
  </si>
  <si>
    <t>Late Breaking Abstract - COVID-19 in patients with pulmonary hypertension: a national prospective cohort study</t>
  </si>
  <si>
    <t>Covid-19; Pulmonary hypertension</t>
  </si>
  <si>
    <t>[Montani, David; Certain, Marie-Caroline; Savale, Laurent; Jais, Xavier; Humbert, Marc; Sitbon, Olivier] Univ Paris Saclay, Hop Bicetre, AP HP, Pulm Hypertens Natl Referral Ctr,Dept Resp &amp; Inte, Le Kremlin Bicetre, France; [French PH Network Pulmotension I] French PH Network, Pulmotens, Dijon, France</t>
  </si>
  <si>
    <t>Assistance Publique Hopitaux Paris (APHP); Hopital Universitaire Antoine-Beclere - APHP; Universite Paris Saclay; Hopital Universitaire Bicetre - APHP; Institut National de la Sante et de la Recherche Medicale (Inserm)</t>
  </si>
  <si>
    <t>PA3606</t>
  </si>
  <si>
    <t>10.1183/13993003.congress-2021.PA3606</t>
  </si>
  <si>
    <t>WOS:000747452104428</t>
  </si>
  <si>
    <t>Palasset, TL; Chaumais, MC; Weatherald, J; Savale, L; Jais, X; Price, LC; Khouri, C; Bulifon, S; Seferian, A; Jevnikar, M; Boucly, A; Manaud, G; Pancic, S; Chabanne, C; Ahmad, K; Volpato, M; Favrolt, N; Guillaumot, A; Horeau-Langlard, D; Prevot, G; Fesler, P; Bertoletti, L; Reynaud-Gaubert, M; Lamblin, N; Launay, D; Simonneau, G; Sitbon, O; Perros, F; Humbert, M; Montani, D</t>
  </si>
  <si>
    <t>Palasset, Thomas Lacoste; Chaumais, Marie-Camille; Weatherald, Jason; Savale, Laurent; Jais, Xavier; Price, Laura C.; Khouri, Charles; Bulifon, Sophie; Seferian, Andrei; Jevnikar, Mitja; Boucly, Athenais; Manaud, Gregoire; Pancic, Stefana; Chabanne, Celine; Ahmad, Kais; Volpato, Mathilde; Favrolt, Nicolas; Guillaumot, Anne; Horeau-Langlard, Delphine; Prevot, Gregoire; Fesler, Pierre; Bertoletti, Laurent; Reynaud-Gaubert, Martine; Lamblin, Nicolas; Launay, David; Simonneau, Gerald; Sitbon, Olivier; Perros, Frederic; Humbert, Marc; Montani, David</t>
  </si>
  <si>
    <t>Association between Leflunomide and Pulmonary Hypertension</t>
  </si>
  <si>
    <t>Diagnosis; Pharmacology; Experimental approaches</t>
  </si>
  <si>
    <t>[Palasset, Thomas Lacoste; Savale, Laurent; Jais, Xavier; Bulifon, Sophie; Seferian, Andrei; Jevnikar, Mitja; Boucly, Athenais; Simonneau, Gerald; Sitbon, Olivier; Humbert, Marc; Montani, David] Hop Bicetre, AP HP, Serv Pneumol, Ctr Reference Hypertens Pulm, Le Kremlin Bicetre, France; [Chaumais, Marie-Camille] Hop Bicetre, AP HP, Serv Pharm, Le Kremlin Bicetre, France; [Weatherald, Jason] Univ Calgary, Div Respirol, Dept Med, Calgary, AB, Canada; [Price, Laura C.] Imperial Coll London, Natl Heart &amp; Lung Inst, Royal Brompton Hosp, London, England; [Khouri, Charles] Ctr Hosp Univ Grenoble, Ctr Reg Pharmacovigilance, Grenoble, France; [Manaud, Gregoire; Perros, Frederic] Hop Marie Lannelongue, INSERM, UMR S 999, Le Plessis Robinson, France; [Pancic, Stefana] Univ Calgary, Dept Med, Calgary, AB, Canada; [Chabanne, Celine] Ctr Hosp Univ Rennes, Serv Cardiol &amp; Malad Vasc, Rennes, France; [Ahmad, Kais] Hosp Civils Lyon, Serv Pneumol, Ctr Natl Reference Malad Pulm Rares, Grp Hosp Est, Lyon, France; [Volpato, Mathilde] Ctr Hosp Univ Montpellier, Serv Pneumol, Montpellier, France; [Favrolt, Nicolas] Ctr Hosp Univ Dijon, Serv Pneumol &amp; Soins Intensifs Resp, Dijon, France; [Guillaumot, Anne] Ctr Hosp Reg Univ Nancy, Dept Pneumol, Hop Brabois, Vandoeuvre Les Nancy, France; [Horeau-Langlard, Delphine] Ctr Hosp Univ Nantes, Serv Pneumol, Hop Laennec, Nantes, France; [Prevot, Gregoire] Ctr Hosp Univ Toulouse, Serv Pneumol, Hop Larrey, Toulouse, France; [Fesler, Pierre] Ctr Hosp Univ Montpellier, Dept Med Interne Lapeyronie, Montpellier, France; [Bertoletti, Laurent] Ctr Hosp Univ St Etienne, Serv Med Vasc &amp; Therapeut, St Etienne, France; [Reynaud-Gaubert, Martine] CHU Nord, AP HM, Serv Pneumol, Marseille, France; [Lamblin, Nicolas] Univ Lille, Inst Pasteur, Ctr Hosp Reg Univ Lille, Serv Cardiol, Lille, France; [Launay, David] Univ Lille, Ctr Hosp Reg Univ Lille, Dept Med Interne &amp; Immunol Clin, Lille, France</t>
  </si>
  <si>
    <t>Universite Paris Saclay; Assistance Publique Hopitaux Paris (APHP); Hopital Universitaire Antoine-Beclere - APHP; Hopital Universitaire Bicetre - APHP; Universite Paris Saclay; Assistance Publique Hopitaux Paris (APHP); Hopital Universitaire Bicetre - APHP; Hopital Universitaire Antoine-Beclere - APHP; University of Calgary; Imperial College London; Royal Brompton Hospital; CHU Grenoble Alpes; Communaute Universite Grenoble Alpes; Universite Grenoble Alpes (UGA); Hopital Marie Lannelongue; Universite Paris Saclay; Institut National de la Sante et de la Recherche Medicale (Inserm); University of Calgary; CHU Rennes; Universite de Rennes; CHU Lyon; Universite de Montpellier; CHU de Montpellier; CHU Dijon Bourgogne; CHU de Nancy; Nantes Universite; CHU de Nantes; Universite de Toulouse; Universite Toulouse III - Paul Sabatier; CHU de Toulouse; Universite de Montpellier; CHU de Montpellier; CHU de St Etienne; Aix-Marseille Universite; Assistance Publique-Hopitaux de Marseille; Universite de Lille; CHU Lille; Pasteur Network; Institut Pasteur Lille; Universite de Lille; CHU Lille</t>
  </si>
  <si>
    <t>KHOURI, CHARLES/J-1090-2019; Launay, David/JDM-2536-2023; Savale, Laurent/AAJ-9781-2020; Perros, Frédéric/N-6921-2017; Fesler, Pierre/O-7620-2018; Humbert, Marc/AAC-8459-2019</t>
  </si>
  <si>
    <t>OA146</t>
  </si>
  <si>
    <t>10.1183/13993003.congress-2021.OA146</t>
  </si>
  <si>
    <t>WOS:000747452100128</t>
  </si>
  <si>
    <t>Pichon, J; Fauvel, C; Roche, A; Boucly, A; Jaïs, X; Jevnikar, M; Ebstein, N; Sitbon, O; Montani, D; Humbert, M; Savale, L</t>
  </si>
  <si>
    <t>Pichon, Jeremie; Fauvel, Charles; Roche, Anne; Boucly, Athenais; Jais, Xavier; Jevnikar, Mitja; Ebstein, Nathan; Sitbon, Olivier; Montani, David; Humbert, Marc; Savale, Laurent</t>
  </si>
  <si>
    <t>Prognostic value of renal doppler in acute decompensated precapillary pulmonary hypertension</t>
  </si>
  <si>
    <t>Pulmonary hypertension; Exacerbation; Circulation</t>
  </si>
  <si>
    <t>[Pichon, Jeremie; Roche, Anne; Boucly, Athenais; Jais, Xavier; Jevnikar, Mitja; Ebstein, Nathan; Sitbon, Olivier; Montani, David; Humbert, Marc; Savale, Laurent] CHU Bicetre, Le Kremlin Bicetre, France; [Fauvel, Charles] CHU Charles Nicolle, Rouen, France</t>
  </si>
  <si>
    <t>Assistance Publique Hopitaux Paris (APHP); Hopital Universitaire Bicetre - APHP; Universite de Rouen Normandie; CHU de Rouen</t>
  </si>
  <si>
    <t>jeremie.pichon@aphp.fr</t>
  </si>
  <si>
    <t>PA1925</t>
  </si>
  <si>
    <t>10.1183/13993003.congress-2021.PA1925</t>
  </si>
  <si>
    <t>WOS:000747452102158</t>
  </si>
  <si>
    <t>Pringuez, H; Beurnier, A; Boucly, A; Ebstein, N; Pichon, J; Bulifon, S; Jais, X; Jevnikar, M; Jutant, EM; Montani, D; Humbert, M; Sitbon, O; Savale, L</t>
  </si>
  <si>
    <t>Pringuez, Helene; Beurnier, Antoine; Boucly, Athenais; Ebstein, Nathan; Pichon, Jeremie; Bulifon, Sophie; Jais, Xavier; Jevnikar, Mitja; Jutant, Etienne Marie; Montani, David; Humbert, Marc; Sitbon, Olivier; Savale, Laurent</t>
  </si>
  <si>
    <t>Prognostic value of respiratory variables in candidates for liver transplantation</t>
  </si>
  <si>
    <t>Extrapulmonary impact</t>
  </si>
  <si>
    <t>[Pringuez, Helene; Beurnier, Antoine; Boucly, Athenais; Ebstein, Nathan; Pichon, Jeremie; Bulifon, Sophie; Jais, Xavier; Jevnikar, Mitja; Jutant, Etienne Marie; Montani, David; Humbert, Marc; Sitbon, Olivier; Savale, Laurent] CHU Bicetre, Le Kremlin Bicetre, France</t>
  </si>
  <si>
    <t>hpringuez@gmail.com</t>
  </si>
  <si>
    <t>PA3295</t>
  </si>
  <si>
    <t>10.1183/13993003.congress-2021.PA3295</t>
  </si>
  <si>
    <t>WOS:000747452104091</t>
  </si>
  <si>
    <t>Valentin, Simon; Maurac, Arnaud; Sitbon, Olivier; Beurnier, Antoine; Gomez, Emmanuel; Guillaumot, Anne; Textoris, Laura; Fay, Renaud; Savale, Laurent; Jais, Xavier; Montani, Davis; Picard, Francois; Mornex, Jean-Francois; Prevot, Gregoire; Chabot, Francois; Humbert, Marc; Chaouat, Ari</t>
  </si>
  <si>
    <t>Treatments; Pulmonary hypertension; Gas exchange</t>
  </si>
  <si>
    <t>[Valentin, Simon; Maurac, Arnaud; Gomez, Emmanuel; Guillaumot, Anne; Textoris, Laura; Chabot, Francois; Chaouat, Ari] CHRU Nancy, Dept Pneumol, Pole Specialites Med, Vandoeuvre Les Nancy, France; [Valentin, Simon; Fay, Renaud; Chabot, Francois; Chaouat, Ari] Univ Lorraine, Fac Med Nancy, INSERM, UMR S1116, Vandoeuvre Les Nancy, France; [Sitbon, Olivier; Beurnier, Antoine; Savale, Laurent; Jais, Xavier; Montani, Davis; Humbert, Marc] Univ Paris Saclay, Fac Med, Le Kremlin Bicetre, France; [Sitbon, Olivier; Beurnier, Antoine; Savale, Laurent; Jais, Xavier; Montani, Davis; Humbert, Marc] Hop Bicetre, AP HP, Serv Pneumol &amp; Physiol Resp, Le Kremlin Bicetre, France; [Sitbon, Olivier; Beurnier, Antoine; Savale, Laurent; Jais, Xavier; Montani, Davis; Humbert, Marc] Hop Marie Lannelongue, INSERM, UMR S 999, Le Plessis Robinson, France; [Fay, Renaud] CHRU Nancy, Clin Invest Ctr 1433, French Clin Res Infrastruct Network Invest Networ, Vandoeuvre Les Nancy, France; [Picard, Francois] Univ Bordeaux, Hop Haut Leveque, CHU Bordeaux, Serv Cardiol, Pessac, France; [Mornex, Jean-Francois] Hop Louis Pradel, Serv Pneumol, Hosp Civils Lyon, Lyon, France; [Mornex, Jean-Francois] Univ Lyon 1, Univ Lyon, INRA, UMR754, Lyon, France; [Prevot, Gregoire] CHU Toulouse, Serv Pneumol, Hop Larrey, Toulouse, France</t>
  </si>
  <si>
    <t>CHU de Nancy; Universite de Lorraine; Institut National de la Sante et de la Recherche Medicale (Inserm); Universite Paris Saclay; Assistance Publique Hopitaux Paris (APHP); Hopital Universitaire Antoine-Beclere - APHP; Universite Paris Saclay; Hopital Universitaire Bicetre - APHP; Institut National de la Sante et de la Recherche Medicale (Inserm); Hopital Marie Lannelongue; Universite Paris Saclay; CHU de Nancy; Institut National de la Sante et de la Recherche Medicale (Inserm); CHU Bordeaux; Universite de Bordeaux; CHU Lyon; Universite Claude Bernard Lyon 1; INRAE; Universite de Toulouse; Universite Toulouse III - Paul Sabatier; CHU de Toulouse</t>
  </si>
  <si>
    <t>s.valentin@chru-nancy.fr</t>
  </si>
  <si>
    <t>Savale, Laurent/AAJ-9781-2020; Chaouat, Ari/AAP-6784-2021; Humbert, Marc/AAC-8459-2019</t>
  </si>
  <si>
    <t>PA1923</t>
  </si>
  <si>
    <t>10.1183/13993003.congress-2021.PA1923</t>
  </si>
  <si>
    <t>WOS:000747452102156</t>
  </si>
  <si>
    <t>Vicaire, H; Le Pavec, J; Boucly, A; Jais, X; Mercier, O; Montani, D; Fadel, E; Humbert, M; Sitbon, O; Savale, L</t>
  </si>
  <si>
    <t>Vicaire, Hugues; Le Pavec, Jerome; Boucly, Athenais; Jais, Xavier; Mercier, Olaf; Montani, David; Fadel, Elie; Humbert, Marc; Sitbon, Olivier; Savale, Laurent</t>
  </si>
  <si>
    <t>Risk stratification in patients with pulmonary arterial hypertension (PAH) and candidates for lung or heart-lung transplantation</t>
  </si>
  <si>
    <t>Pulmonary hypertension; Monitoring; Circulation</t>
  </si>
  <si>
    <t>[Vicaire, Hugues; Boucly, Athenais; Jais, Xavier; Montani, David; Savale, Laurent] CHU Bicetre, Le Kremlin Bicetre, France; [Le Pavec, Jerome; Mercier, Olaf; Fadel, Elie; Humbert, Marc; Sitbon, Olivier] Hop Marie Lannelongue, Le Plessis Robinson, France</t>
  </si>
  <si>
    <t>hugues.vicaire@gmail.com</t>
  </si>
  <si>
    <t>OA141</t>
  </si>
  <si>
    <t>10.1183/13993003.congress-2021.OA141</t>
  </si>
  <si>
    <t>WOS:000747452100123</t>
  </si>
  <si>
    <t>Bisserier, M; Katz, MG; Bueno-Beti, C; Brojakowska, A; Zhang, SH; Gubara, S; Kohlbrenner, E; Fazal, S; Fargnoli, A; Dorfmuller, P; Humbert, M; Hata, A; Goukassian, DA; Sassi, Y; Hadri, L</t>
  </si>
  <si>
    <t>Bisserier, Malik; Katz, Michael G.; Bueno-Beti, Carlos; Brojakowska, Agnieszka; Zhang, Shihong; Gubara, Sarah; Kohlbrenner, Erik; Fazal, Shahood; Fargnoli, Anthony; Dorfmuller, Peter; Humbert, Marc; Hata, Akiko; Goukassian, David A.; Sassi, Yassine; Hadri, Lahouaria</t>
  </si>
  <si>
    <t>Combination Therapy with STAT3 Inhibitor Enhances SERCA2a-Induced BMPR2 Expression and Inhibits Pulmonary Arterial Hypertension</t>
  </si>
  <si>
    <t>INTERNATIONAL JOURNAL OF MOLECULAR SCIENCES</t>
  </si>
  <si>
    <t>gene therapy; pulmonary arterial hypertension; right heart failure; BMPR2; SERCA2a; STAT3</t>
  </si>
  <si>
    <t>RIGHT-VENTRICULAR FUNCTION; GENE-THERAPY; DELIVERY; ACTIVATION; BLOCKING; PATHWAY; HJC0152</t>
  </si>
  <si>
    <t>Pulmonary arterial hypertension (PAH) is a devastating lung disease characterized by the progressive obstruction of the distal pulmonary arteries (PA). Structural and functional alteration of pulmonary artery smooth muscle cells (PASMC) and endothelial cells (PAEC) contributes to PA wall remodeling and vascular resistance, which may lead to maladaptive right ventricular (RV) failure and, ultimately, death. Here, we found that decreased expression of sarcoplasmic/endoplasmic reticulum Ca2+ ATPase 2a (SERCA2a) in the lung samples of PAH patients was associated with the down-regulation of bone morphogenetic protein receptor type 2 (BMPR2) and the activation of signal transducer and activator of transcription 3 (STAT3). Our results showed that the antiproliferative properties of SERCA2a are mediated through the STAT3/BMPR2 pathway. At the molecular level, transcriptome analysis of PASMCs co-overexpressing SERCA2a and BMPR2 identified STAT3 amongst the most highly regulated transcription factors. Using a specific siRNA and a potent pharmacological STAT3 inhibitor (STAT3i, HJC0152), we found that SERCA2a potentiated BMPR2 expression by repressing STAT3 activity in PASMCs and PAECs. In vivo, we used a validated and efficient model of severe PAH induced by unilateral left pneumonectomy combined with monocrotaline (PNT/MCT) to further evaluate the therapeutic potential of single and combination therapies using adeno-associated virus (AAV) technology and a STAT3i. We found that intratracheal delivery of AAV1 encoding SERCA2 or BMPR2 alone or STAT3i was sufficient to reduce the mean PA pressure and vascular remodeling while improving RV systolic pressures, RV ejection fraction, and cardiac remodeling. Interestingly, we found that combined therapy of AAV1.hSERCA2a with AAV1.hBMPR2 or STAT3i enhanced the beneficial effects of SERCA2a. Finally, we used cardiac magnetic resonance imaging to measure RV function and found that therapies using AAV1.hSERCA2a alone or combined with STAT3i significantly inhibited RV structural and functional changes in PNT/MCT-induced PAH. In conclusion, our study demonstrated that combination therapies using SERCA2a gene transfer with a STAT3 inhibitor could represent a new promising therapeutic alternative to inhibit PAH and to restore BMPR2 expression by limiting STAT3 activity.</t>
  </si>
  <si>
    <t>[Bisserier, Malik; Katz, Michael G.; Bueno-Beti, Carlos; Brojakowska, Agnieszka; Zhang, Shihong; Gubara, Sarah; Kohlbrenner, Erik; Fazal, Shahood; Fargnoli, Anthony; Goukassian, David A.; Sassi, Yassine; Hadri, Lahouaria] Icahn Sch Med Mt Sinai, Cardiovasc Res Inst, New York, NY 10029 USA; [Dorfmuller, Peter] Univ Hosp Giessen &amp; Marburg UKGM, Dept Pathol, Langhansstr 10, D-35392 Giessen, Germany; [Humbert, Marc] Hop Bicetre, AP HP, Ctr Reference Hypertens Pulmonaire, Serv Pneumol &amp; Soins Intensifs Resp, F-94270 Le Kremlin Bicetre, France; [Hata, Akiko] Univ Calif San Francisco, Cardiovasc Res Inst, San Francisco, CA 94143 USA</t>
  </si>
  <si>
    <t>Icahn School of Medicine at Mount Sinai; University Hospital of Giessen &amp; Marburg; Assistance Publique Hopitaux Paris (APHP); Hopital Universitaire Antoine-Beclere - APHP; Hopital Universitaire Bicetre - APHP; Universite Paris Saclay; University of California System; University of California San Francisco</t>
  </si>
  <si>
    <t>Bisserier, M; Hadri, L (corresponding author), Icahn Sch Med Mt Sinai, Cardiovasc Res Inst, New York, NY 10029 USA.</t>
  </si>
  <si>
    <t>malik.bisserier@mssm.edu; michael.katz1@mssm.edu; buebecar@gmail.com; agnieszka.brojakowska@mssm.edu; Shihong.Zhang@mssm.edu; sarahgubara17@gmail.com; elkolbg@gmail.com; shahood.fazal@icahn.mssm.edu; fargnoli2@gmail.com; dorfmuller@gmail.com; mjc.humbert@gmail.com; akiko.hata@ucsf.edu; david.goukassian@mssm.edu; yassine.sassi@mssm.edu; Lahouaria.hadri@mssm.edu</t>
  </si>
  <si>
    <t>Bisserier, Malik/AAI-3730-2021; Beti, Carlos/AAP-2082-2020; Hadri, Lahouaria/AAP-6415-2020; Humbert, Marc/AAC-8459-2019</t>
  </si>
  <si>
    <t>Hadri, Lahouaria/0000-0001-8108-7993; Bueno-Beti, Carlos/0000-0003-4626-1276; Goukassian, David/0000-0001-5270-5270; Brojakowska, Agnieszka/0000-0002-7319-9685; Dorfmuller, Peter/0000-0003-2499-6829; Sassi, Yassine/0000-0002-7807-1728; Humbert, Marc/0000-0003-0703-2892; Bisserier, Malik/0000-0001-8826-4649</t>
  </si>
  <si>
    <t>National Institutes of Health [R01 HL133554]; American Heart Association [AHA-18IPA34170321]; NIH [5T32HL007824-22]; Cardiovascular Medical Research and Education Fund (CMREF)</t>
  </si>
  <si>
    <t>National Institutes of Health(United States Department of Health &amp; Human ServicesNational Institutes of Health (NIH) - USA); American Heart Association(American Heart Association); NIH(United States Department of Health &amp; Human ServicesNational Institutes of Health (NIH) - USA); Cardiovascular Medical Research and Education Fund (CMREF)</t>
  </si>
  <si>
    <t>This work was supported by the National Institutes of Health grant R01 HL133554 and the American Heart Association AHA-18IPA34170321 (to LH), NIH 5T32HL007824-22, and the Cardiovascular Medical Research and Education Fund (CMREF) (to LH and MB).</t>
  </si>
  <si>
    <t>1661-6596</t>
  </si>
  <si>
    <t>1422-0067</t>
  </si>
  <si>
    <t>INT J MOL SCI</t>
  </si>
  <si>
    <t>Int. J. Mol. Sci.</t>
  </si>
  <si>
    <t>10.3390/ijms22179105</t>
  </si>
  <si>
    <t>Biochemistry &amp; Molecular Biology; Chemistry, Multidisciplinary</t>
  </si>
  <si>
    <t>Biochemistry &amp; Molecular Biology; Chemistry</t>
  </si>
  <si>
    <t>UN9TZ</t>
  </si>
  <si>
    <t>WOS:000694350500001</t>
  </si>
  <si>
    <t>Humbert, M; Simonds, AK</t>
  </si>
  <si>
    <t>Humbert, Marc; Simonds, Anita K.</t>
  </si>
  <si>
    <t>Looking forward: key initiatives to improve the care of rare diseases and streamline the delivery of medicines and vaccines in Europe</t>
  </si>
  <si>
    <t>[Humbert, Marc] Univ Paris Saclay, Fac Med, Le Kremlin Bicetre, France; [Humbert, Marc] Hop Bicetre, AP HP, Serv Pneumol &amp; Soins Intensifs Resp, Le Kremlin Bicetre, France; [Humbert, Marc] Hop Marie Lannelongue, INSERM, UMR S 999, Le Plessis Robinson, France; [Humbert, Marc] European Resp Soc 2021 22, Lausanne, Switzerland; [Humbert, Marc] European Reference Network Rare Resp Dis ERN LUNG, Frankfurt, Germany; [Simonds, Anita K.] Royal Brompton &amp; Harefield Hosp, Resp &amp; Sleep Med, London, England; [Simonds, Anita K.] European Resp Soc, Lausanne, Switzerland; [Simonds, Anita K.] European Medicines Agcy, Emergency Covid Task Force, Amsterdam, Netherlands</t>
  </si>
  <si>
    <t>Universite Paris Saclay; Universite Paris Saclay; Assistance Publique Hopitaux Paris (APHP); Hopital Universitaire Antoine-Beclere - APHP; Hopital Universitaire Bicetre - APHP; Hopital Marie Lannelongue; Institut National de la Sante et de la Recherche Medicale (Inserm); Universite Paris Saclay; Royal Brompton &amp; Harefield NHS Foundation Trust; Harefield Hospital; Royal Brompton Hospital</t>
  </si>
  <si>
    <t>Simonds, AK (corresponding author), Royal Brompton &amp; Harefield Hosp, Resp &amp; Sleep Med, London, England.;Simonds, AK (corresponding author), European Resp Soc, Lausanne, Switzerland.;Simonds, AK (corresponding author), European Medicines Agcy, Emergency Covid Task Force, Amsterdam, Netherlands.</t>
  </si>
  <si>
    <t>A.Simonds@rbht.nhs.uk</t>
  </si>
  <si>
    <t>L616</t>
  </si>
  <si>
    <t>L618</t>
  </si>
  <si>
    <t>10.1152/ajplung.00317.2021</t>
  </si>
  <si>
    <t>US3BK</t>
  </si>
  <si>
    <t>WOS:000697308700005</t>
  </si>
  <si>
    <t>Mitrovic, S; Boucly, A; Lazaro, E; Schleinitz, N; Bloch-Queyrat, C; Christides, C; Pouchot, J; Humbert, M; Montani, D; Savale, L; Jaïs, X; Sitbon, O; Fautrel, B</t>
  </si>
  <si>
    <t>Mitrovic, Stephane; Boucly, Athenais; Lazaro, Estibaliz; Schleinitz, Nicolas; Bloch-Queyrat, Coralie; Christides, Christine; Pouchot, Jacques; Humbert, Marc; Montani, David; Savale, Laurent; Jais, Xavier; Sitbon, Olivier; Fautrel, Bruno</t>
  </si>
  <si>
    <t>Pulmonary Arterial Hypertension in Adult-Onset Still's Disease: A Case Series of 13 Patients</t>
  </si>
  <si>
    <t>ARTHRITIS &amp; RHEUMATOLOGY</t>
  </si>
  <si>
    <t>ACR Convergence Conference</t>
  </si>
  <si>
    <t>NOV 05-09, 2021</t>
  </si>
  <si>
    <t>ELECTR NETWORK</t>
  </si>
  <si>
    <t>ACR</t>
  </si>
  <si>
    <t>[Mitrovic, Stephane] Hop La Pitie Salpetriere, Inst Mutaliste Montsouris, Paris, France; [Boucly, Athenais; Humbert, Marc; Montani, David; Savale, Laurent; Jais, Xavier; Sitbon, Olivier] Bicetre Hosp, AP HP, Pneumol Dept, Kremlin Bicetre, Germany; [Lazaro, Estibaliz] CHU Bordeaux, Internal Med Dept, Pessac, France; [Schleinitz, Nicolas] Hop La Timone, AP HM, Internal Med Dept, Marseille, France; [Bloch-Queyrat, Coralie] Avicennes Hosp, AP HP, Internal Med Dept, Bobigny, France; [Christides, Christine] CH Avignon, Internal Med Dept, Avignon, France; [Pouchot, Jacques] RUEIL MALMAISON, AP HP, Paris, France; [Fautrel, Bruno] Sorbonne Univ, AP HP, Pitie Salpetriere Hosp, Paris, France</t>
  </si>
  <si>
    <t>Assistance Publique Hopitaux Paris (APHP); Hopital Universitaire Pitie-Salpetriere - APHP; Sorbonne Universite; Universite Paris Cite; Institute Mutualiste Montsouris; Assistance Publique Hopitaux Paris (APHP); Hopital Universitaire Bicetre - APHP; CHU Bordeaux; Aix-Marseille Universite; Assistance Publique-Hopitaux de Marseille; Assistance Publique Hopitaux Paris (APHP); Hopital Universitaire Avicenne - APHP; Assistance Publique Hopitaux Paris (APHP); Assistance Publique Hopitaux Paris (APHP); Hopital Universitaire Pitie-Salpetriere - APHP; Sorbonne Universite</t>
  </si>
  <si>
    <t>2326-5191</t>
  </si>
  <si>
    <t>2326-5205</t>
  </si>
  <si>
    <t>ARTHRITIS RHEUMATOL</t>
  </si>
  <si>
    <t>Arthritis Rheumatol.</t>
  </si>
  <si>
    <t>YJ5AT</t>
  </si>
  <si>
    <t>WOS:000744545204140</t>
  </si>
  <si>
    <t>Savale, L; Vuillard, C; Pichon, J; Boucly, A; Roche, A; Jevnikar, M; Ebstein, N; Jais, X; Le Pavec, J; Montani, D; Mercier, O; Sitbon, O; Fadel, E; Humbert, M</t>
  </si>
  <si>
    <t>Savale, Laurent; Vuillard, Constance; Pichon, Jeremie; Boucly, Athenais; Roche, Anne; Jevnikar, Mitja; Ebstein, Nathan; Jais, Xavier; Le Pavec, Jerome; Montani, David; Mercier, Olaf; Sitbon, Olivier; Fadel, Elie; Humbert, Marc</t>
  </si>
  <si>
    <t>Five-year survival after an acute episode of decompensated pulmonary arterial hypertension in the modern management era of right heart failure</t>
  </si>
  <si>
    <t>TRANSPLANTATION; SOCIETY</t>
  </si>
  <si>
    <t>[Savale, Laurent; Vuillard, Constance; Pichon, Jeremie; Boucly, Athenais; Roche, Anne; Jevnikar, Mitja; Ebstein, Nathan; Jais, Xavier; Le Pavec, Jerome; Montani, David; Mercier, Olaf; Sitbon, Olivier; Fadel, Elie; Humbert, Marc] Univ Paris Saclay, Fac Med, Le Kremlin Bicetre, France; [Savale, Laurent; Vuillard, Constance; Pichon, Jeremie; Boucly, Athenais; Roche, Anne; Jevnikar, Mitja; Ebstein, Nathan; Jais, Xavier; Le Pavec, Jerome; Montani, David; Mercier, Olaf; Sitbon, Olivier; Fadel, Elie; Humbert, Marc] INSERM UMR S 999, Le Kremlin Bicetre, France; [Savale, Laurent; Vuillard, Constance; Pichon, Jeremie; Boucly, Athenais; Roche, Anne; Jevnikar, Mitja; Ebstein, Nathan; Jais, Xavier; Montani, David; Sitbon, Olivier; Humbert, Marc] Hop Bicetre, AP HP, Serv Pneumol &amp; Soins Intensifs Resp, Le Kremlin Bicetre, France; [Le Pavec, Jerome; Mercier, Olaf; Fadel, Elie] Hop Marie Lannelongue, Serv Chirurg Thorac Vasc &amp; Transplantat Cardiopul, Le Plessis Robinson, France</t>
  </si>
  <si>
    <t>Universite Paris Saclay; Institut National de la Sante et de la Recherche Medicale (Inserm); Universite Paris Saclay; Assistance Publique Hopitaux Paris (APHP); Hopital Universitaire Bicetre - APHP; Hopital Universitaire Antoine-Beclere - APHP; Universite Paris Saclay; Hopital Marie Lannelongue</t>
  </si>
  <si>
    <t>Savale, L (corresponding author), Univ Paris Saclay, Fac Med, Le Kremlin Bicetre, France.;Savale, L (corresponding author), INSERM UMR S 999, Le Kremlin Bicetre, France.;Savale, L (corresponding author), Hop Bicetre, AP HP, Serv Pneumol &amp; Soins Intensifs Resp, Le Kremlin Bicetre, France.</t>
  </si>
  <si>
    <t>laurent.savale@gmail.com</t>
  </si>
  <si>
    <t>Mercier, Olaf/0000-0002-4760-6267; Savale, Laurent/0000-0002-6862-8975; Montani, David/0000-0002-9358-6922; JAIS, XAVIER/0000-0002-4104-7994; Humbert, Marc/0000-0003-0703-2892; Jevnikar, Mitja/0000-0003-0727-6790</t>
  </si>
  <si>
    <t>10.1183/13993003.00466-2021</t>
  </si>
  <si>
    <t>XQ9II</t>
  </si>
  <si>
    <t>WOS:000731853700019</t>
  </si>
  <si>
    <t>Fortas, F; Di Nardo, M; Yousef, N; Humbert, M; De Luca, D</t>
  </si>
  <si>
    <t>Fortas, Feriel; Di Nardo, Matteo; Yousef, Nadya; Humbert, Marc; De Luca, Daniele</t>
  </si>
  <si>
    <t>Response to: Life-threatening PPHN refractory to NO: therapeutic algorithm</t>
  </si>
  <si>
    <t>EUROPEAN JOURNAL OF PEDIATRICS</t>
  </si>
  <si>
    <t>[Fortas, Feriel; Yousef, Nadya; De Luca, Daniele] Paris Saclay Univ Hosp, Div Pediat &amp; Neonatal Crit Care, A Beclere Med Ctr, Paris, France; [Di Nardo, Matteo] Bambino Gesu Children Hosp IRCCS, Rome, Italy; [Humbert, Marc; De Luca, Daniele] Paris Saclay Univ, Physiopathol &amp; Therapeut Innovat Unit, INSERM, Paris, France</t>
  </si>
  <si>
    <t>Assistance Publique Hopitaux Paris (APHP); Hopital Universitaire Bicetre - APHP; Hopital Universitaire Antoine-Beclere - APHP; IRCCS Bambino Gesu; Institut National de la Sante et de la Recherche Medicale (Inserm); Universite Paris Saclay</t>
  </si>
  <si>
    <t>De Luca, D (corresponding author), Paris Saclay Univ Hosp, Div Pediat &amp; Neonatal Crit Care, A Beclere Med Ctr, Paris, France.;De Luca, D (corresponding author), Paris Saclay Univ, Physiopathol &amp; Therapeut Innovat Unit, INSERM, Paris, France.</t>
  </si>
  <si>
    <t>feriel.fortas@aphp.fr; matteo.dinardo@opbg.net; nadya.yousef@aphp.fr; marc.humbert@aphp.fr; daniele.deluca@aphp.fr</t>
  </si>
  <si>
    <t>Di NARDO, Matteo/AAI-1781-2019; Humbert, Marc/AAC-8459-2019</t>
  </si>
  <si>
    <t>Yousef, Nadya/0000-0002-8604-0788; De Luca, Daniele/0000-0002-3846-4834</t>
  </si>
  <si>
    <t>ONE NEW YORK PLAZA, SUITE 4600, NEW YORK, NY, UNITED STATES</t>
  </si>
  <si>
    <t>0340-6199</t>
  </si>
  <si>
    <t>1432-1076</t>
  </si>
  <si>
    <t>EUR J PEDIATR</t>
  </si>
  <si>
    <t>Eur. J. Pediatr.</t>
  </si>
  <si>
    <t>10.1007/s00431-021-04228-3</t>
  </si>
  <si>
    <t>AUG 2021</t>
  </si>
  <si>
    <t>Pediatrics</t>
  </si>
  <si>
    <t>YG7NU</t>
  </si>
  <si>
    <t>WOS:000688424100001</t>
  </si>
  <si>
    <t>Simonneau, G; Dorfmuller, P; Guignabert, C; Mercier, O; Humbert, M</t>
  </si>
  <si>
    <t>Simonneau, Gerald; Dorfmuller, Peter; Guignabert, Christophe; Mercier, Olaf; Humbert, Marc</t>
  </si>
  <si>
    <t>Chronic thromboembolic pulmonary hypertension: the magic of pathophysiology (Jan, 10.21037/acs-2021-pte-10, 2021)</t>
  </si>
  <si>
    <t>Chronic thromboembolic pulmonary disease (CTEPD); chronic thromboembolic pulmonary hypertension (CTEPH); pathophysiology; microvasculopathy; pulmonary hypertension (PH)</t>
  </si>
  <si>
    <t>Chronic thromboembolic pulmonary hypertension (CTEPH) is a rare and underdiagnosed complication of acute pulmonary embolism (APE). CTEPH is a common cause of pulmonary hypertension (PH) with distinct management strategy including pulmonary endarterectomy, balloon pulmonary angioplasty, long-term anticoagulation and PH drugs targeting endothelial cell dysfunction. Initially, PH in chronic thromboembolic pulmonary disease (CTEPD) was thought to be due exclusively to the intravascular obstruction of pulmonary arteries by unresolved fibrotic clots. However, it is now well accepted that pulmonary vascular remodelling can include significant pulmonary microvasculopathy, which plays a role in the development of CTEPH. The histological description and clinical consequences of CTEPH microvasculopathy are now better understood. These lesions may involve not only small muscular pulmonary arteries &lt;500 mu m, but also pulmonary capillaries and veins. In addition, enlargement and proliferation of systemic bronchial arteries as well as anastomoses between the systemic and pulmonary circulations contribute to the development of microvasculopathy. In this review, we discuss the recent advances in the understanding of the pathophysiology of CTEPH.</t>
  </si>
  <si>
    <t>; GUIGNABERT, Christophe/G-3873-2013; Humbert, Marc/AAC-8459-2019</t>
  </si>
  <si>
    <t>Mercier, Olaf/0000-0002-4760-6267; GUIGNABERT, Christophe/0000-0002-8545-4452; Humbert, Marc/0000-0003-0703-2892</t>
  </si>
  <si>
    <t>Investissement d'Avenir programme [ANR-18-RHUS-0006]; Agence Nationale de la Recherche (ANR) [ANR-18-RHUS-0006] Funding Source: Agence Nationale de la Recherche (ANR)</t>
  </si>
  <si>
    <t>Investissement d'Avenir programme(Agence Nationale de la Recherche (ANR)Agence nationale pour le developpement de la recherche en sante (ANDRS)); Agence Nationale de la Recherche (ANR)(Agence Nationale de la Recherche (ANR))</t>
  </si>
  <si>
    <t>Funding: M. Humbert is supported by the Investissement d'Avenir programme managed by the French National Research Agency under the grant contract ANR-18-RHUS-0006 (DESTINATION 2024) .</t>
  </si>
  <si>
    <t>10.21037/acs-2021-pte-10</t>
  </si>
  <si>
    <t>WOS:000721693800001</t>
  </si>
  <si>
    <t>Dauriat, G; Reynaud-Gaubert, M; Cottin, V; Lamia, B; Montani, D; Canuet, M; Boissin, C; Tromeur, C; Chaouat, A; Degano, B; Bergot, E; Sanchez, O; Prevot, G; Sitbon, O; Thabut, G; Belhadi, D; de Beauregard, YC; Bencherif, A; Humbert, M; Simonneau, G; Laouenan, C; Mal, H</t>
  </si>
  <si>
    <t>Dauriat, Gaelle; Reynaud-Gaubert, Martine; Cottin, Vincent; Lamia, Bouchra; Montani, David; Canuet, Mathieu; Boissin, Clement; Tromeur, Cecile; Chaouat, Ari; Degano, Bruno; Bergot, Emmanuel; Sanchez, Olivier; Prevot, Gregoire; Sitbon, Olivier; Thabut, Gabriel; Belhadi, Drifa; de Beauregard, Yolande Costa; Bencherif, Amina; Humbert, Marc; Simonneau, Gerald; Laouenan, Cedric; Mal, Herve</t>
  </si>
  <si>
    <t>Severe pulmonary hypertension associated with chronic obstructive pulmonary disease: A prospective French multicenter cohort</t>
  </si>
  <si>
    <t>chronic obstructive pulmonary disease; pulmonary hypertension; lung transplantation</t>
  </si>
  <si>
    <t>COPD; EXACERBATION; HEMODYNAMICS; PREVALENCE; PREDICTORS; DIAGNOSIS</t>
  </si>
  <si>
    <t>BACKGROUND: A small proportion of patients with chronic obstructive pulmonary disease (COPD) patients present severe pulmonary hypertension (PH), defined by mean pulmonary artery pressure (mPAP) &gt;= 35 mm Hg measured by right heart catheterization. Little is known about the characteristics of severe PH-COPD. The aim of the study based on a national registry was to describe this phenotype. METHODS: We prospectively included and followed patients with incident PH-COPD. Clinical, functional, hemodynamic data at inclusion and follow-up were retrieved. Survival assessed by Kaplan Meier analysis was the primary end-point. RESULTS: From 2012 to 2016, 99 patients from 13 French centers were included in the study (82 males; median age 66.0 years [interquartile range 62.0-72.0]). At inclusion, most patients had marked dyspnea(55.6% and 22.2% New York Heart Association class III and IV, respectively). During 12 months before inclusion, 42.9% had an exacerbation requiring a hospitalization. Pulmonary function tests showed a moderate obstructive pattern with median (interquartile range) FEV1 50.0 [35.0-63.0] % predicted and low diffusing capacity for carbon monoxide, median 20.0 [16.5-30.6] % predicted. The median values for PaO2 and PaCO2 on room air were 50.0 [44.8-62.0] and 36.0 [31.1-43.0] mm Hg. Median values of mPAP, pulmonary artery occlusion pressure, cardiac index and pulmonary vascular resistance were 42.0 [37.0-48.0] mm Hg, 11.0 [9.0-14.0] mm Hg, 3.0 [2.4-3.6] L/min/m(2), and 6.3 [4.27.9] WU, respectively. Mean restricted survival was 15.0 [13.9-16.0] months. CONCLUSIONS: Severe PH-COPD is characterized by moderate airway obstruction but marked dyspnea and marked hypoxemia, low DLCO and high mPAP. This phenotype is associated with poor prognosis. (C) 2021 The Author(s). Published by Elsevier Inc. on behalf of International Society for Heart and Lung Transplantation.</t>
  </si>
  <si>
    <t>[Dauriat, Gaelle; Thabut, Gabriel; Mal, Herve] Univ Paris 07, Serv Pneumol B, Hop Bichat, Inserm UMR1152, Paris, France; [Reynaud-Gaubert, Martine] Hop Nord Marseille, Serv Pneumol, Marseille, France; [Cottin, Vincent] Hop Louis Pradel, Serv Pneumol, Lyon, France; [Lamia, Bouchra] Normandie Univ, Serv Pneumol, UNIROUEN, CHU Rouen,EA 3830, St Etienne Du Rouvray, France; [Lamia, Bouchra] Grp Hosp Havre, St Etienne Du Rouvray, France; [Montani, David; Sitbon, Olivier; Humbert, Marc; Simonneau, Gerald] Hop Bicetre, Serv Pneumol, Le Kremlin Bicetre, France; [Canuet, Mathieu] Nouvel Hop Civil, Serv Pneumol, Strasbourg, France; [Boissin, Clement] Hop Arnaud Villeneuve, Serv Pneumol, Montpellier, France; [Tromeur, Cecile] Hop Cavale Blanche, Serv Pneumol, Brest, France; [Chaouat, Ari] Hop Brabois, Serv Pneumol, Nancy, France; [Degano, Bruno] Hop Albert Michalon, Serv Pneumol, Grenoble, France; [Bergot, Emmanuel] Hop Cote Nacre, Serv Pneumol, Caen, France; [Sanchez, Olivier] Hop Europeen Georges Pompidou, Serv Pneumol, Paris, France; [Prevot, Gregoire] Hop Larrey, Serv Pneumol, Toulouse, France; [Belhadi, Drifa; Laouenan, Cedric] Hop Bichat Claude Bernard, Unite Rech Clin, Paris, France; [de Beauregard, Yolande Costa; Bencherif, Amina] Hop Bichat Claude Bernard, Ctr Invest Clin, Paris, France; [Humbert, Marc; Simonneau, Gerald] Hop Bicetre, Pulm Hypertens Natl Referral Ctr, Le Kremlin Bicetre, France</t>
  </si>
  <si>
    <t>Universite Paris Cite; Assistance Publique Hopitaux Paris (APHP); Hopital Universitaire Bichat-Claude Bernard - APHP; Institut National de la Sante et de la Recherche Medicale (Inserm); Aix-Marseille Universite; Assistance Publique-Hopitaux de Marseille; CHU Lyon; Universite de Rouen Normandie; CHU de Rouen; Assistance Publique Hopitaux Paris (APHP); Hopital Universitaire Antoine-Beclere - APHP; Hopital Universitaire Bicetre - APHP; Universite Paris Saclay; CHU Strasbourg; Universite de Montpellier; CHU de Montpellier; Universite de Bretagne Occidentale; CHU Brest; CHU de Nancy; CHU Grenoble Alpes; CHU de Caen NORMANDIE; Universite de Caen Normandie; Assistance Publique Hopitaux Paris (APHP); Universite Paris Cite; Hopital Universitaire Europeen Georges-Pompidou - APHP; CHU de Toulouse; Assistance Publique Hopitaux Paris (APHP); Universite Paris Cite; Hopital Universitaire Bichat-Claude Bernard - APHP; Universite Paris Cite; Assistance Publique Hopitaux Paris (APHP); Hopital Universitaire Bichat-Claude Bernard - APHP; Institut National de la Sante et de la Recherche Medicale (Inserm); Universite Paris Saclay; Assistance Publique Hopitaux Paris (APHP); Hopital Universitaire Antoine-Beclere - APHP; Hopital Universitaire Bicetre - APHP</t>
  </si>
  <si>
    <t>Mal, H (corresponding author), Hop Bichat Claude Bernard, Serv Pneumol &amp; Transplantat Pulmonaire B, 46 Rue Henri Huchard, F-75018 Paris, France.</t>
  </si>
  <si>
    <t>David, Montani/I-6885-2019; Chaouat, Ari/AAP-6784-2021; Humbert, Marc/AAC-8459-2019; Laouenan, Cedric/E-1157-2019; Degano, Bruno/IAQ-7289-2023; Sanchez-Ramon, Silvia/AAZ-7670-2020; Bergot, Emmanuel/KHZ-1685-2024</t>
  </si>
  <si>
    <t>Belhadi, Drifa/0000-0002-0589-6614</t>
  </si>
  <si>
    <t>This clinical study was supported by an unrestricted Investigator Sponsored Research (ISR) grant from Pfizer Upjohn.</t>
  </si>
  <si>
    <t>10.1016/j.healun.2021.04.021</t>
  </si>
  <si>
    <t>UZ1MT</t>
  </si>
  <si>
    <t>WOS:000701976600020</t>
  </si>
  <si>
    <t>Eyries, M; Girerd, B; Savale, L; Soubrier, F; Humbert, M; Montani, D</t>
  </si>
  <si>
    <t>Eyries, Melanie; Girerd, Barbara; Savale, Laurent; Soubrier, Florent; Humbert, Marc; Montani, David</t>
  </si>
  <si>
    <t>A CELSR1 variant in a patient with pulmonary arterial hypertension</t>
  </si>
  <si>
    <t>CLINICAL GENETICS</t>
  </si>
  <si>
    <t>[Eyries, Melanie; Soubrier, Florent] Sorbonne Univ, Hop Pitie Salpetriere, AP HP, INSERM,Dept Genet,UMR S1166,Inst Cardiometab &amp; Nu, Paris, France; [Girerd, Barbara; Savale, Laurent; Humbert, Marc; Montani, David] Univ Paris Saclay, Hop Bicetre, AP HP,Dept Resp &amp; Intens Care, INSERM,UMR S 999,Pulm Hypertens Natl Referral Ctr, F-94270 Le Kremlin Bicetre, France</t>
  </si>
  <si>
    <t>Assistance Publique Hopitaux Paris (APHP); Hopital Universitaire Pitie-Salpetriere - APHP; Sorbonne Universite; Institut National de la Sante et de la Recherche Medicale (Inserm); Institut National de la Sante et de la Recherche Medicale (Inserm); Universite Paris Saclay; Assistance Publique Hopitaux Paris (APHP); Hopital Universitaire Bicetre - APHP; Hopital Universitaire Antoine-Beclere - APHP</t>
  </si>
  <si>
    <t>Montani, D (corresponding author), Univ Paris Saclay, Hop Bicetre, AP HP,Dept Resp &amp; Intens Care, INSERM,UMR S 999,Pulm Hypertens Natl Referral Ctr, F-94270 Le Kremlin Bicetre, France.</t>
  </si>
  <si>
    <t>EYRIES, MELANIE/0000-0003-1911-6698; Savale, Laurent/0000-0002-6862-8975; SOUBRIER, Florent/0000-0003-2571-7932; Montani, David/0000-0002-9358-6922; Humbert, Marc/0000-0003-0703-2892</t>
  </si>
  <si>
    <t>0009-9163</t>
  </si>
  <si>
    <t>1399-0004</t>
  </si>
  <si>
    <t>CLIN GENET</t>
  </si>
  <si>
    <t>Clin. Genet.</t>
  </si>
  <si>
    <t>10.1111/cge.14046</t>
  </si>
  <si>
    <t>Genetics &amp; Heredity</t>
  </si>
  <si>
    <t>WQ3LC</t>
  </si>
  <si>
    <t>WOS:000688284100001</t>
  </si>
  <si>
    <t>Hascoët, S; Pontailler, M; Le Pavec, JM; Savale, L; Mercier, O; Fabre, D; Mussot, S; Simonneau, G; Jais, X; Feuillet, S; Stephan, F; Cohen, S; Bonnet, D; Humbert, M; Dartevelle, P; Fadel, E</t>
  </si>
  <si>
    <t>Hascoet, Sebastien; Pontailler, Margaux; Le Pavec, Jerome; Savale, Laurent; Mercier, Olaf; Fabre, Dominique; Mussot, Sacha; Simonneau, Gerald; Jais, Xavier; Feuillet, Severine; Stephan, Francois; Cohen, Sarah; Bonnet, Damien; Humbert, Marc; Dartevelle, Philippe; Fadel, Elie</t>
  </si>
  <si>
    <t>Transplantation for pulmonary arterial hypertension with congenital heart disease: Impact on outcomes of the current therapeutic approach including a high-priority allocation program</t>
  </si>
  <si>
    <t>clinical research; practice; health services and outcomes research; heart disease; congenital; heart transplantation; cardiology; lung transplantation; pulmonology; organ allocation; organ procurement and allocation</t>
  </si>
  <si>
    <t>LUNG TRANSPLANTATION; EISENMENGER-SYNDROME; INTERNATIONAL SOCIETY; BILATERAL-LUNG; ADULT LUNG; REGISTRY; SURVIVAL</t>
  </si>
  <si>
    <t>Patients with end-stage pulmonary arterial hypertension due to congenital heart disease have limited access to heart-lung transplantation or double-lung transplantation. We aimed to assess the effects of a high-priority allocation program established in France in 2007. We conducted a retrospective study to compare waitlist and posttransplantation outcomes before versus after implementation of the high-priority allocation program. We included 67 consecutive patients (mean age at listing, 33.2 +/- 10.5 years) with pulmonary arterial hypertension due to congenital heart disease listed for heart-lung transplantation or double-lung transplantation from 1997 to 2016. At one month, the incidences of transplantation and death before transplantation were 3.5% and 24.6% in 1997-2006, 4.8% and 4.9% for patients on the regular list in 2007-2016, and 41.2% and 7.4% for patients listed under the high-priority allocation program (p p = .0001, respectively). Overall survival was higher in patients listed in 2007-2016 (84.2% and 61.2% at 1 and 10 years vs. 36.8% and 22.1%, p = .0001). Increased incidence of transplantation, decreased waiting list mortality, and improved early and long-term outcomes were observed in patients with pulmonary arterial hypertension due to congenital heart disease listed for transplantation in the recent era, characterized by implementation of a high-priority allocation program.</t>
  </si>
  <si>
    <t>[Hascoet, Sebastien; Cohen, Sarah] Grp Hosp Paris St Joseph, Dept Congenital Heart Dis, Ctr Reference Malformat Cardiaques Congenit Compl, Hop Marie Lannelongue, Paris, France; [Hascoet, Sebastien; Le Pavec, Jerome; Savale, Laurent; Mercier, Olaf; Fabre, Dominique; Mussot, Sacha; Simonneau, Gerald; Jais, Xavier; Feuillet, Severine; Stephan, Francois; Humbert, Marc; Dartevelle, Philippe; Fadel, Elie] Univ Paris Saclay, Fac Med Paris Saclay, Hop Marie Lannelongue, INSERM,UMR S 999, Le Plessis Robinson, France; [Pontailler, Margaux; Bonnet, Damien] Univ Paris, Ctr Reference Malformat Cardiaques Congenit Compl, Hop Univ Necker Enfants Malad,AP HP, Ctr Competence Hypertens Arterielle Pulm Severe,D, Paris, France; [Le Pavec, Jerome; Mercier, Olaf; Fabre, Dominique; Mussot, Sacha; Feuillet, Severine; Stephan, Francois; Dartevelle, Philippe; Fadel, Elie] Grp Hosp Paris St Joseph, Dept Thorac &amp; Vasc Surg, Ctr Reference Hypertens Arterielle Pulm Severe, Hop Marie Lannelongue, Le Plessis Robinson, France; [Savale, Laurent; Simonneau, Gerald; Jais, Xavier; Humbert, Marc] Hop Bicetre, Dept Pulmonol, Ctr Reference Hypertens Pulm Severe, DHU Thorax Innovat, Le Kremlin Bicetre, France</t>
  </si>
  <si>
    <t>Universite Paris Cite; Hopital Paris Saint-Joseph; Hopital Marie Lannelongue; Hopital Marie Lannelongue; Universite Paris Saclay; Institut National de la Sante et de la Recherche Medicale (Inserm); Assistance Publique Hopitaux Paris (APHP); Universite Paris Cite; Hopital Universitaire Necker-Enfants Malades - APHP; Universite Paris Cite; Hopital Paris Saint-Joseph; Hopital Marie Lannelongue; Universite Paris Saclay; Assistance Publique Hopitaux Paris (APHP); Hopital Universitaire Bicetre - APHP; Hopital Universitaire Antoine-Beclere - APHP</t>
  </si>
  <si>
    <t>Hascoët, S (corresponding author), Grp Hosp Paris St Joseph, Dept Congenital Heart Dis, Ctr Reference Malformat Cardiaques Congenit Compl, Hop Marie Lannelongue, Paris, France.;Hascoët, S (corresponding author), INSERM, UMR S 999, Paris, France.;Hascoët, S (corresponding author), Univ Paris Saclay, Fac Med Paris Saclay, Gif Sur Yvette, France.</t>
  </si>
  <si>
    <t>Savale, Laurent/AAJ-9781-2020; Mussot, S/AAL-7512-2020; Humbert, Marc/AAC-8459-2019; Hascoet, Sebastien/Q-3311-2018</t>
  </si>
  <si>
    <t>Mercier, Olaf/0000-0002-4760-6267; Hascoet, Sebastien/0000-0002-8695-0503; Bonnet, Damien/0000-0002-8722-5805; Savale, Laurent/0000-0002-6862-8975; Pontailler, Margaux/0000-0001-9375-2444; JAIS, XAVIER/0000-0002-4104-7994; Mussot, Sacha/0000-0002-4669-7216</t>
  </si>
  <si>
    <t>10.1111/ajt.16600</t>
  </si>
  <si>
    <t>WD3RW</t>
  </si>
  <si>
    <t>WOS:000681291000001</t>
  </si>
  <si>
    <t>Adir, Y; Humbert, M; Saliba, W</t>
  </si>
  <si>
    <t>Adir, Yochai; Humbert, Marc; Saliba, Walid</t>
  </si>
  <si>
    <t>COVID-19 risk and outcomes in adult asthmatic patients treated with biologics or systemic corticosteroids: Nationwide real-world evidence</t>
  </si>
  <si>
    <t>JOURNAL OF ALLERGY AND CLINICAL IMMUNOLOGY</t>
  </si>
  <si>
    <t>COVID-19; asthma; systemic corticosteroids; biologics</t>
  </si>
  <si>
    <t>Background: Managing severe asthma during the severe acute respiratory syndrome coronavirus 2 (SARS-CoV-2) pandemic is challenging, particularly due to safety concerns regarding the use of systemic corticosteroids and biologics. Objectives: We sought to determine the association between biologics or systemic corticosteroids use and PCR positivity for SARS-CoV-2 and coronavirus disease 2019 (COVID-19) outcomes among asthmatic patients. Methods: We used the computerized database of Clalit Health Services, the largest health care provider in Israel, to identify all asthmatic adult patients who underwent PCR testing for SARSCoV-2, between March 1, 2020, and December 7, 2020. A cohort approach was used to assess the association between biologics use and steroids treatment and COVID-19 severity and 90-day mortality. Results: Overall, 8,242 of 80,602 tested asthmatic patients had positive PCR testing result for SARS-CoV-2. Both biologics and systemic corticosteroids were not associated with increased risk of SARS-CoV-2 infection. Multivariate analyses revealed that biologics were not associated with a significantly increased risk of moderate to severe COVID-19, nor with the composite end point of moderate to severe COVID-19 or all-cause mortality within 90 days. Chronic systemic corticosteroid use was associated with significantly increased risk of all tested outcome. Recent (within the previous 120 days) systemic corticosteroid use, but not former use, was significantly associated with increased risk of both moderate to severe COVID-19 and the composite of moderate to severe COVID-19 or all-cause mortality. Conclusions: Biologics approved for asthma and systemic corticosteroids are not associated with increased risk of SARS-CoV-2 infection. In contrast, systemic corticosteroids are an independent risk factor for worst COVID-19 severity and all-cause mortality. Our findings underscore the risk of recent or current exposure to systemic corticosteroids in asthmatic patients infected with SARS-CoV-2. (J Allergy Clin Immunol 2021;148:361-7.)</t>
  </si>
  <si>
    <t>[Adir, Yochai] Fac Med Technion Inst Technol, Pulm Div, Lady Davis Carmel Med Ctr, Haifa, Israel; [Adir, Yochai; Saliba, Walid] Technion Israel Inst Technol, Ruth &amp; Bruce Rappaport Fac Med, Haifa, Israel; [Humbert, Marc] Univ Paris Saclay, Le Kremlin Bicetre, France; [Humbert, Marc] Assistance Publ Hopitaux Paris AP HP, Dept Resp &amp; Intens Care Med, Hopital Bicetre, Le Kremlin Bicetre, France; [Humbert, Marc] INSERM, Hopital Marie Lannelongue, UMRS 999, Le Plessis Robinson, France; [Saliba, Walid] Dept Commun Med &amp; Epidemiol, Lady Davis Carmel Med Ctr, Haifa, Israel</t>
  </si>
  <si>
    <t>Clalit Health Services; Carmel Medical Center; Technion Israel Institute of Technology; Rappaport Faculty of Medicine; Universite Paris Saclay; Assistance Publique Hopitaux Paris (APHP); Hopital Universitaire Bicetre - APHP; Institut National de la Sante et de la Recherche Medicale (Inserm); Clalit Health Services; Carmel Medical Center</t>
  </si>
  <si>
    <t>Adir, Y (corresponding author), Lady Davis Carmel Med Ctr, Pulm Div, 7 Michal St, Haifa, Israel.</t>
  </si>
  <si>
    <t>0091-6749</t>
  </si>
  <si>
    <t>1097-6825</t>
  </si>
  <si>
    <t>J ALLERGY CLIN IMMUN</t>
  </si>
  <si>
    <t>J. Allergy Clin. Immunol.</t>
  </si>
  <si>
    <t>10.1016/j.jaci.2021.06.006</t>
  </si>
  <si>
    <t>TZ7BX</t>
  </si>
  <si>
    <t>WOS:000684625700014</t>
  </si>
  <si>
    <t>Association between sex and SARS-CoV-2 infection and hospitalisation as a result of COVID-19</t>
  </si>
  <si>
    <t>ASTHMA</t>
  </si>
  <si>
    <t>[Adir, Yochai] Technion Israel Inst Technol, Fac Med, Lady Davis Carmel Med Ctr, Pulm Div, Haifa, Israel; [Adir, Yochai; Saliba, Walid] Technion Israel Inst Technol, Ruth &amp; Bruce Rappaport Fac Med, Haifa, Israel; [Humbert, Marc] Univ Paris Saclay, Paris, France; [Humbert, Marc] Hop Bicetre, AP HP, Dept Resp &amp; Intens Care Med, Paris, France; [Humbert, Marc] Hop Marie Lannelongue, INSERM, Le Plessis Robinson, France; [Saliba, Walid] Lady Davis Carmel Med Ctr, Dept Community Med &amp; Epidemiol, Haifa, Israel</t>
  </si>
  <si>
    <t>Technion Israel Institute of Technology; Rappaport Faculty of Medicine; Clalit Health Services; Carmel Medical Center; Technion Israel Institute of Technology; Rappaport Faculty of Medicine; Universite Paris Saclay; Assistance Publique Hopitaux Paris (APHP); Hopital Universitaire Bicetre - APHP; Universite Paris Saclay; Hopital Marie Lannelongue; Institut National de la Sante et de la Recherche Medicale (Inserm); Clalit Health Services; Carmel Medical Center</t>
  </si>
  <si>
    <t>THE BOULEVARD, LANGFORD LANE, KIDLINGTON, OXFORD OX5 1GB, OXON, ENGLAND</t>
  </si>
  <si>
    <t>E75</t>
  </si>
  <si>
    <t>E76</t>
  </si>
  <si>
    <t>10.1016/S2213-2600(21)00239-3</t>
  </si>
  <si>
    <t>UL7GG</t>
  </si>
  <si>
    <t>WOS:000692814700004</t>
  </si>
  <si>
    <t>Antigny, F; Le Ribeuz, H; Humbert, M; Montani, D</t>
  </si>
  <si>
    <t>Antigny, Fabrice; Le Ribeuz, Helene; Humbert, Marc; Montani, David</t>
  </si>
  <si>
    <t>Comment on: Transcriptomic analysis of CFTR-impaired endothelial cells reveals a pro-inflammatory phenotype</t>
  </si>
  <si>
    <t>CYSTIC-FIBROSIS; SMOOTH-MUSCLE</t>
  </si>
  <si>
    <t>CFTR loss of function induces endothelial cell (EC) dysfunction. CFTR expression is reduced in pulmonary arterial ECs (PAECs) from patients with pulmonary arterial hypertension (PAH). Does CFTR loss of expression in PAECs contribute to PAH pathogenesis? https://bit.ly/3icWfa3</t>
  </si>
  <si>
    <t>[Antigny, Fabrice; Le Ribeuz, Helene; Humbert, Marc; Montani, David] Univ Paris Saclay, Fac Med, Le Kremlin Bicetre, France; [Antigny, Fabrice; Le Ribeuz, Helene; Humbert, Marc; Montani, David] INSERM, UMRS 999 Hypertens Pulm Physiopathol &amp; Innovat Th, Hop Marie Lannelongue, Le Plessis Robinson, France; [Antigny, Fabrice; Le Ribeuz, Helene; Humbert, Marc; Montani, David] Hop Bicetre, AP HP, Serv Pneumol &amp; Soins Intensifs Resp, Ctr Reference Hypertens Pulm, Le Kremlin Bicetre, France</t>
  </si>
  <si>
    <t>Universite Paris Saclay; Institut National de la Sante et de la Recherche Medicale (Inserm); Hopital Marie Lannelongue; Assistance Publique Hopitaux Paris (APHP); Hopital Universitaire Bicetre - APHP; Universite Paris Saclay; Hopital Universitaire Antoine-Beclere - APHP</t>
  </si>
  <si>
    <t>Antigny, F (corresponding author), Univ Paris Saclay, Fac Med, Le Kremlin Bicetre, France.;Antigny, F (corresponding author), INSERM, UMRS 999 Hypertens Pulm Physiopathol &amp; Innovat Th, Hop Marie Lannelongue, Le Plessis Robinson, France.;Antigny, F (corresponding author), Hop Bicetre, AP HP, Serv Pneumol &amp; Soins Intensifs Resp, Ctr Reference Hypertens Pulm, Le Kremlin Bicetre, France.</t>
  </si>
  <si>
    <t>Humbert, Marc/0000-0003-0703-2892; Montani, David/0000-0002-9358-6922; Antigny, Fabrice/0000-0002-9515-6571</t>
  </si>
  <si>
    <t>10.1183/13993003.01365-2021</t>
  </si>
  <si>
    <t>UO6LI</t>
  </si>
  <si>
    <t>WOS:000694804400008</t>
  </si>
  <si>
    <t>Jevnikar, M; Sanchez, O; Humbert, M; Parent, F</t>
  </si>
  <si>
    <t>Jevnikar, Mitja; Sanchez, Olivier; Humbert, Marc; Parent, Florence</t>
  </si>
  <si>
    <t>Prevalence of pulmonary embolism in patients with COVID-19 at the time of hospital admission and role for pre-test probability scores and home treatment</t>
  </si>
  <si>
    <t>MULTICENTER</t>
  </si>
  <si>
    <t>[Jevnikar, Mitja; Humbert, Marc; Parent, Florence] Univ Paris Saclay, Fac Med, Le Kremlin Bicetre, France; [Jevnikar, Mitja; Humbert, Marc; Parent, Florence] INSERM, UMR S 999, Le Kremlin Bicetre, France; [Jevnikar, Mitja; Humbert, Marc; Parent, Florence] Hop Bicetre, AP HP, Serv Pneumol &amp; Soins Intensifs Resp, Le Kremlin Bicetre, France; [Sanchez, Olivier] Hop Europeen Georges Pompidou, AP HP, Serv Pneumol &amp; Soins Intensifs, Paris, France; [Sanchez, Olivier] INSERM, UMR S 1140, Paris, France; [Sanchez, Olivier] INNOVTE, St Etienne, France; [Sanchez, Olivier] Univ Paris 05, Fac Med, Paris, France</t>
  </si>
  <si>
    <t>Universite Paris Saclay; Universite Paris Saclay; Institut National de la Sante et de la Recherche Medicale (Inserm); Universite Paris Saclay; Assistance Publique Hopitaux Paris (APHP); Hopital Universitaire Antoine-Beclere - APHP; Hopital Universitaire Bicetre - APHP; Assistance Publique Hopitaux Paris (APHP); Universite Paris Cite; Hopital Universitaire Europeen Georges-Pompidou - APHP; Institut National de la Sante et de la Recherche Medicale (Inserm); Universite Paris Cite; Universite Paris Cite</t>
  </si>
  <si>
    <t>Parent, F (corresponding author), Univ Paris Saclay, Fac Med, Le Kremlin Bicetre, France.;Parent, F (corresponding author), INSERM, UMR S 999, Le Kremlin Bicetre, France.;Parent, F (corresponding author), Hop Bicetre, AP HP, Serv Pneumol &amp; Soins Intensifs Resp, Le Kremlin Bicetre, France.</t>
  </si>
  <si>
    <t>florence.parent@aphp.fr</t>
  </si>
  <si>
    <t>Sanchez-Ramon, Silvia/AAZ-7670-2020; Humbert, Marc/AAC-8459-2019</t>
  </si>
  <si>
    <t>Humbert, Marc/0000-0003-0703-2892; Jevnikar, Mitja/0000-0003-0727-6790</t>
  </si>
  <si>
    <t>10.1183/13993003.01033-2021</t>
  </si>
  <si>
    <t>TZ1FH</t>
  </si>
  <si>
    <t>WOS:000684220600010</t>
  </si>
  <si>
    <t>Le Pavec, JM; Valeyre, D; Gazengel, P; Holm, AM; Schultz, HH; Perch, M; Le Borgne, A; Reynaud-Gaubert, M; Knoop, C; Godinas, L; Hirschi, S; Bunel, V; Laporta, R; Harari, S; Blanchard, E; Magnusson, JM; Tissot, A; Picard, C; Savale, L; Bernaudin, JF; Brillet, PY; Nunes, H; Humbert, M; Fadel, E; Gottlieb, J</t>
  </si>
  <si>
    <t>Le Pavec, Jerome; Valeyre, Dominique; Gazengel, Pierre; Holm, Are M.; Schultz, Hans Henrik; Perch, Michael; Le Borgne, Aurelie; Reynaud-Gaubert, Martine; Knoop, Christiane; Godinas, Laurent; Hirschi, Sandrine; Bunel, Vincent; Laporta, Rosalia; Harari, Sergio; Blanchard, Elodie; Magnusson, Jesper M.; Tissot, Adrien; Picard, Clement; Savale, Laurent; Bernaudin, Jean-Francois; Brillet, Pierre-Yves; Nunes, Hilario; Humbert, Marc; Fadel, Elie; Gottlieb, Jens</t>
  </si>
  <si>
    <t>Lung transplantation for sarcoidosis: outcome and prognostic factors</t>
  </si>
  <si>
    <t>PULMONARY-HYPERTENSION; INTERNATIONAL SOCIETY; RECURRENCE; HEART; GRANULOMAS; MANAGEMENT; ALLOGRAFTS; SURVIVAL; DISEASE</t>
  </si>
  <si>
    <t>Study question In patients with sarcoidosis, past and ongoing immunosuppressive regimens, recurrent disease in the transplant and extrapulmonary involvement may affect outcomes of lung transplantation. We asked whether sarcoidosis lung phenotypes can be differentiated and, if so, how they relate to outcomes in patients with pulmonary sarcoidosis treated by lung transplantation. Patients and methods We retrospectively reviewed data from 112 patients who met international diagnostic criteria for sarcoidosis and underwent lung or heart-lung transplantation between 2006 and 2019 at 16 European centres. Results Patient survival was the main outcome measure. At transplantation, median (interaquartile range (IQR)) age was 52 (46-59) years; 71 (64%) were male. Lung phenotypes were individualised as follows: 1) extended fibrosis only; 2) airflow obstruction; 3) severe pulmonary hypertension (sPH) and airflow obstruction; 4) sPH, airflow obstruction and fibrosis; 5) sPH and fibrosis; 6) airflow obstruction and fibrosis; 7) sPH; and 8) none of these criteria, in 17%, 16%, 17%, 14%, 11%, 9%, 5% and 11% of patients, respectively. Post-transplant survival rates after 1, 3, and 5 years were 86%, 76% and 69%, respectively. During follow-up (median (IQR) 46 (16-89) months), 31% of patients developed chronic lung allograft dysfunction. Age and extended lung fibrosis were associated with increased mortality. Pulmonary fibrosis predominating peripherally was associated with short-term complications. Answer to the study question Post-transplant survival in patients with pulmonary sarcoidosis was similar to that in patients with other indications for lung transplantation. The main factors associated with worse survival were older age and extensive pre-operative lung fibrosis.</t>
  </si>
  <si>
    <t>[Le Pavec, Jerome; Gazengel, Pierre; Fadel, Elie] Hop Marie Lannelongue, Serv Chirurg Thorac Vasc &amp; Transplantat Cardio Pu, Le Plessis Robinson, France; [Le Pavec, Jerome; Gazengel, Pierre; Savale, Laurent; Humbert, Marc; Fadel, Elie] Univ Paris Saclay, Univ Paris Sud, Fac Med, Le Kremlin Bicetre, France; [Le Pavec, Jerome; Gazengel, Pierre; Savale, Laurent; Humbert, Marc; Fadel, Elie] Univ Paris Sud, Hop Marie Lannelongue, INSERM, UMR S999, Le Plessis Robinson, France; [Valeyre, Dominique; Nunes, Hilario] Univ Sorbonne Paris Nord, Hop Avicenne Serv Pneumol, AP HP, INSERM,UMR 1272, Bobigny, France; [Valeyre, Dominique] Grp Hosp Paris St Joseph, Paris, France; [Holm, Are M.] Univ Oslo, Hosp &amp; Inst Clin Med, Dept Resp Med, Oslo, Norway; [Schultz, Hans Henrik; Perch, Michael] Rigshosp, Copenhagen Univ Hosp, Sect Lung Transplantat, Dept Cardiol, DK-2100 Copenhagen, Denmark; [Le Borgne, Aurelie] Ctr Hop Univ, Pole Voies Resp Hop Larrey, Toulouse, France; [Reynaud-Gaubert, Martine] Aix Marseille Univ, Ctr Hosp Univ Nord, AP HP, Serv Pneumol &amp; Equipe Transplantat Pulm, Marseille, France; [Knoop, Christiane] Erasme Univ, Brussels Lung Transplant Program, Dept Chest Med, Brussels, Belgium; [Godinas, Laurent] Univ Hosp Leuven, Dept Resp Dis, Leuven, Belgium; [Hirschi, Sandrine] Hop Univ Strasbourg, Grp Transplantat Pulm, Serv Pneumol, Strasbourg, France; [Bunel, Vincent] Hop Bichat Claude Bernard, AP HP, Serv Pneumol, Paris, France; [Laporta, Rosalia] Hosp Univ Puerta Hierro, Pneumol Dept, Madrid, Spain; [Harari, Sergio] Univ Milan, Dept Med Sci, San Giuseppe Hosp MultiMed IRCCS, Milan, Italy; [Harari, Sergio] Univ Milan, Dept Clin Sci &amp; Community Hlth, Milan, Italy; [Blanchard, Elodie] Bordeaux Univ, Haut Leveque Hosp, Dept Resp Med, Pessac, France; [Magnusson, Jesper M.] Univ Gothenburg, Dept Internal Med Resp Med &amp; Allergo, Inst Med, Gothenburg, Sweden; [Tissot, Adrien] Ctr Hosp Univ Nantes, Inst Thorax, Serv Pneumol, Nantes, France; [Bernaudin, Jean-Francois] Univ Lyon, INRA, Lyon, France; [Bernaudin, Jean-Francois] Hosp Civils Lyon, Lyon, France; [Picard, Clement] Hop Foch, Serv Pneumol, Suresnes, France; [Savale, Laurent; Humbert, Marc] Hop Kremlin Bicetre, AP HP, Serv Pneumol, Le Kremlin Bicetre, France; [Bernaudin, Jean-Francois] Bobigny &amp; Sorbonne Univ Paris, Univ Sorbonne Paris Nord, INSERM, UMR 1272, Paris, France; [Brillet, Pierre-Yves] Univ Paris Sorbonne Nord, Hop Avicenne, AP HP, Serv Radiol,INSERM,U1272, Bobigny, France; [Gottlieb, Jens] Hannover Med Sch, Dept Resp Med, Hannover, NH, Germany</t>
  </si>
  <si>
    <t>Hopital Marie Lannelongue; Universite Paris Saclay; Universite Paris Saclay; Institut National de la Sante et de la Recherche Medicale (Inserm); Hopital Marie Lannelongue; Assistance Publique Hopitaux Paris (APHP); Hopital Universitaire Avicenne - APHP; Institut National de la Sante et de la Recherche Medicale (Inserm); Universite Paris Cite; Hopital Paris Saint-Joseph; University of Oslo; University of Copenhagen; Copenhagen University Hospital; Rigshospitalet; CHU de Toulouse; Aix-Marseille Universite; Assistance Publique-Hopitaux de Marseille; Assistance Publique Hopitaux Paris (APHP); Universite Libre de Bruxelles; KU Leuven; University Hospital Leuven; CHU Strasbourg; Universites de Strasbourg Etablissements Associes; Universite de Strasbourg; Universite Paris Cite; Assistance Publique Hopitaux Paris (APHP); Hopital Universitaire Bichat-Claude Bernard - APHP; Hospital Puerta de Hierro-Majadahonda; University of Milan; University of Milan; CHU Bordeaux; University of Gothenburg; Institut National de la Sante et de la Recherche Medicale (Inserm); Nantes Universite; CHU de Nantes; INRAE; CHU Lyon; Hospital Foch; Universite Paris Saclay; Assistance Publique Hopitaux Paris (APHP); Hopital Universitaire Bicetre - APHP; Institut National de la Sante et de la Recherche Medicale (Inserm); Universite Paris 13; Assistance Publique Hopitaux Paris (APHP); Hopital Universitaire Avicenne - APHP; Institut National de la Sante et de la Recherche Medicale (Inserm); Hannover Medical School</t>
  </si>
  <si>
    <t>Le Pavec, J (corresponding author), Hop Marie Lannelongue, Serv Chirurg Thorac Vasc &amp; Transplantat Cardio Pu, Le Plessis Robinson, France.;Le Pavec, J (corresponding author), Univ Paris Saclay, Univ Paris Sud, Fac Med, Le Kremlin Bicetre, France.;Le Pavec, J (corresponding author), Univ Paris Sud, Hop Marie Lannelongue, INSERM, UMR S999, Le Plessis Robinson, France.</t>
  </si>
  <si>
    <t>Gottlieb, Jens/AGG-9082-2022; BUNEL, Vincent/I-3078-2019; Godinas, Laurette/AAS-1059-2021; Perch, Michael/H-9959-2019; Magnusson, Jesper/AAI-8905-2021; Humbert, Marc/AAC-8459-2019; Laporta Hernandez, Rosalía/AFP-1538-2022; Nunes, Hilario/AAM-8127-2020; Savale, Laurent/AAJ-9781-2020</t>
  </si>
  <si>
    <t>Nunes, Hilario/0000-0003-2896-7347; mornex, jean-francois/0000-0003-4096-6152; perch, michael/0000-0001-9740-1246; Valeyre, dominique/0000-0003-4470-1776; Godinas, Laurent/0000-0003-2214-5879; Gottlieb, Prof. Jens/0000-0002-9540-9022; BERNAUDIN, Jean-Francois/0000-0002-4893-0106; Magnusson, Jesper/0000-0002-5630-0155; Schultz, Hans Henrik/0000-0003-3836-411X; Brillet, Pierre-Yves/0000-0002-2411-5545</t>
  </si>
  <si>
    <t>10.1183/13993003.03358-2020</t>
  </si>
  <si>
    <t>WOS:000684220600005</t>
  </si>
  <si>
    <t>Oldham, WM; Hess, E; Waldo, SW; Humbert, M; Choudhary, G; Maron, BA</t>
  </si>
  <si>
    <t>Oldham, William M.; Hess, Edward; Waldo, Stephen W.; Humbert, Marc; Choudhary, Gaurav; Maron, Bradley A.</t>
  </si>
  <si>
    <t>Integrating haemodynamics identifies an extreme pulmonary hypertension phenotype</t>
  </si>
  <si>
    <t>AFFAIRS CLINICAL-ASSESSMENT; HEART-FAILURE; MORTALITY; EXERCISE</t>
  </si>
  <si>
    <t>[Oldham, William M.] Brigham &amp; Womens Hosp, Harvard Med Sch, Dept Med, Div Pulm &amp; Crit Care Med, 75 Francis St, Boston, MA 02115 USA; [Hess, Edward; Waldo, Stephen W.] Rocky Mt Reg VA Med Ctr, Aurora, CO USA; [Humbert, Marc] Univ Paris Saclay, INSERM, UMRS 999, Hosp Bicetre,Serv Pneumol, Le Kremlin Bicetre, France; [Choudhary, Gaurav] Brown Univ, Warren Alpert Med Sch, Div Cardiovasc Med, Providence, RI USA; [Maron, Bradley A.] Brown Univ, Providence Vet Affairs Med Ctr, Providence, RI USA; [Maron, Bradley A.] Brigham &amp; Womens Hosp, Harvard Med Sch, Dept Med, Div Cardiovasc Med, Boston, MA USA; [Maron, Bradley A.] Veterans Affairs Boston Hlthcare Syst, Boston, MA USA</t>
  </si>
  <si>
    <t>Harvard University; Harvard University Medical Affiliates; Brigham &amp; Women's Hospital; Harvard Medical School; Universite Paris Saclay; Assistance Publique Hopitaux Paris (APHP); Hopital Universitaire Bicetre - APHP; Institut National de la Sante et de la Recherche Medicale (Inserm); Brown University; Brown University; US Department of Veterans Affairs; Veterans Health Administration (VHA); Providence VA Medical Center; Harvard University; Harvard Medical School; Harvard University Medical Affiliates; Brigham &amp; Women's Hospital</t>
  </si>
  <si>
    <t>Maron, BA (corresponding author), Brown Univ, Providence Vet Affairs Med Ctr, Providence, RI USA.;Maron, BA (corresponding author), Brigham &amp; Womens Hosp, Harvard Med Sch, Dept Med, Div Cardiovasc Med, Boston, MA USA.;Maron, BA (corresponding author), Veterans Affairs Boston Hlthcare Syst, Boston, MA USA.</t>
  </si>
  <si>
    <t>Oldham, William/AAD-5089-2022; Choudhary, Gaurav/M-1643-2019; Humbert, Marc/AAC-8459-2019</t>
  </si>
  <si>
    <t>Oldham, William/0000-0003-3029-4866; Choudhary, Gaurav/0000-0001-9343-5481; Humbert, Marc/0000-0003-0703-2892</t>
  </si>
  <si>
    <t>Cardiovascular Medical Research Education Foundation (CMREF); McKenzie Family Charitable Trust; Boston Biomedical Innovations Center; VA CSRD grant [I01CX001892]; NHLBI [R01HL148727]; CMREF; [R01HL139613-01]; [R01HL1535-02]; [R01HL155096-01]; [U54HL119145]; [R21HL145420]; [K08HL128802]</t>
  </si>
  <si>
    <t>Cardiovascular Medical Research Education Foundation (CMREF); McKenzie Family Charitable Trust; Boston Biomedical Innovations Center; VA CSRD grant; NHLBI(United States Department of Health &amp; Human ServicesNational Institutes of Health (NIH) - USANIH National Heart Lung &amp; Blood Institute (NHLBI)); CMREF; ; ; ; ; ;</t>
  </si>
  <si>
    <t>B.A. Maron: R01HL139613-01, R01HL1535-02, R01HL155096-01, U54HL119145, R21HL145420; Cardiovascular Medical Research Education Foundation (CMREF), and McKenzie Family Charitable Trust, Boston Biomedical Innovations Center. W.M. Oldham: K08HL128802, CMREF; G. Choudhary: VA CSR&amp;D grant I01CX001892, and NHLBI R01HL148727. Funding information for this article has been deposited with the Crossref Funder Registry. The views expressed are those of the authors alone and do not represent the views of the Veterans Affairs or other US federal government agencies.</t>
  </si>
  <si>
    <t>10.1183/13993003.04625-2020</t>
  </si>
  <si>
    <t>Green Accepted, Bronze</t>
  </si>
  <si>
    <t>WOS:000694804400024</t>
  </si>
  <si>
    <t>Palasset, TL; Chaumais, MC; Weatherald, J; Savale, L; Jaïs, X; Price, LC; Khouri, C; Bulifon, S; Seferian, A; Jevnikar, M; Boucly, A; Manaud, G; Pancic, S; Chabanne, C; Ahmad, K; Volpato, M; Favrolt, N; Guillaumot, A; Horeau-Langlard, D; Prévot, G; Fesler, P; Bertoletti, L; Reynaud-Gaubert, M; Lamblin, N; Launay, D; Simonneau, G; Sitbon, O; Perros, F; Humbert, M; Montani, D</t>
  </si>
  <si>
    <t>translational medical research; antirheumatic agents; pharmacovigilance; pulmonary hypertension</t>
  </si>
  <si>
    <t>HYDROXYCHLOROQUINE-INDUCED CARDIOMYOPATHY; ARTERIAL-HYPERTENSION; RHEUMATOID-ARTHRITIS; ACTIVE METABOLITE; TYROSINE KINASE; DETERIORATION; GUIDELINES; TOXICITY; SURVIVAL; THERAPY</t>
  </si>
  <si>
    <t>Rationale: Pulmonary hypertension (PH) has been described in patients treated with leflunomide. Objectives: To assess the association between leflunomide and PH. Methods: We identified incident cases of PH in patients treated with leflunomide from the French PH Registry and through the pharmacoVIGIlAnce in Pulmonary ArTerial Hypertension (VIGIAPATH) program between September 1999 to December 2019. PH etiology, clinical, functional, radiologic, and hemodynamic characteristics were reviewed at baseline and follow-up. A pharmacovigilance disproportionality analysis using the World Health Organization's global database was conducted. We then investigated the effect of leflunomide on human pulmonary endothelial cells. Data are expressed as median (min-max). Results: Twenty-eight patients treated with leflunomide before PH diagnosis was identified. A total of 21 (75%) had another risk factor for PH and 2 had two risk factors. The median time between leflunomide initiation and PH diagnosis was 32 months (1-120). Right heart catheterization confirmed precapillary PH with a cardiac index of 2.37 L-1.min(-1).m(-2) (1.19-3.1) and elevated pulmonary vascular resistance at 9.63 Wood Units (3.6-22.1) without nitric oxide reversibility. Five patients (17.9%) had no other risk factor for PH besides exposure to leflunomide. No significant hemodynamic improvement was observed after leflunomide withdrawal. The pharmacovigilance disproportionality analysis using the World Health Organization's database revealed a significant overrepresentation of leflunomide among reported pulmonary arterial hypertension-adverse drug reactions. In vitro studies showed the dose-dependent toxicity of leflunomide on human pulmonary endothelial cells. Conclusions: PH associated with leflunomide is rare and usually associated with other risk factors. The pharmacovigilance analysis suggests an association reinforced by experimental data.</t>
  </si>
  <si>
    <t>[Palasset, Thomas Lacoste; Savale, Laurent; Jais, Xavier; Bulifon, Sophie; Seferian, Andrei; Jevnikar, Mitja; Boucly, Athenais; Simonneau, Gerald; Sitbon, Olivier; Humbert, Marc; Montani, David] Ctr Reference Hypertens Pulmonaire, Serv Pneumol, Le Kremlin Bicetre, France; [Palasset, Thomas Lacoste; Savale, Laurent; Jais, Xavier; Bulifon, Sophie; Seferian, Andrei; Jevnikar, Mitja; Boucly, Athenais; Simonneau, Gerald; Sitbon, Olivier; Perros, Frederic; Humbert, Marc; Montani, David] Univ Paris Saclay, Le Kremlin Bicetre, France; [Palasset, Thomas Lacoste; Chaumais, Marie-Camille; Savale, Laurent; Jais, Xavier; Bulifon, Sophie; Seferian, Andrei; Jevnikar, Mitja; Boucly, Athenais; Manaud, Gregoire; Simonneau, Gerald; Sitbon, Olivier; Perros, Frederic; Humbert, Marc; Montani, David] Hop Marie Lannelongue, INSERM, Unite Mixte Rech S 999, Le Plessis Robinson, France; [Chaumais, Marie-Camille] CHU Bicetre, AP HP, Serv Pharm, Le Kremlin Bicetre, France; [Chaumais, Marie-Camille] Univ Paris Saclay, Fac Pharm, Chatenay Malabry, France; [Weatherald, Jason] Imperial Coll London, Div Respirol, Dept Med, Royal Brompton Hosp, London, England; [Price, Laura C.] Imperial Coll London, Royal Brompton Hosp, Natl Heart &amp; Lung Inst, London, England; [Khouri, Charles] CHU Grenoble, Ctr Reg Pharmacovigilance, Grenoble, France; [Pancic, Stefana] Univ Calgary, Dept Med, Calgary, AB, Canada; [Chabanne, Celine] CHU Rennes, INSERM, Serv Cardiol &amp; Malad Vasc, Unite 1099, Rennes, France; [Ahmad, Kais] Hosp Civils Lyon, Grp Hosp Est, Serv Pneumol, Ctr Natl Reference Malad Pulmonaires Rares, Lyon, France; [Volpato, Mathilde] CHU Dijon, Serv Pneumol, Dijon, France; [Favrolt, Nicolas] CHU Dijon, Serv Pneumol &amp; Soins Intensifs Resp, Dijon, France; [Guillaumot, Anne] Ctr Hosp Reg Univ Nancy, Dept Pneumol, Hop Brabois, Vandoeuvre Les Nancy, France; [Horeau-Langlard, Delphine] CHU Nantes, Serv Pneumol, Hop Laennec, Nantes, France; [Prevot, Gregoire] CHU Toulouse, Serv Pneumol, Hop Larrey, Toulouse, France; [Fesler, Pierre] CHU Montpellier, INSERM, CNRS, Montpellier, France; [Bertoletti, Laurent] Univ Jean Monnet, INSERM, Serv Med Vasc &amp; Therapeut, CHU St Etienne,Unite 1059, St Etienne, France; [Bertoletti, Laurent] Univ Jean Monnet, Ctr Invest Clin 1408, CHU St Etienne, St Etienne, France; [Reynaud-Gaubert, Martine] Ctr Hosp Univ Nord, AP HP, Serv Pneumol, Marseille, France; [Lamblin, Nicolas] Univ Lille, Inst Pasteur, Serv Cardiol, Ctr Hosp Reg Univ Lille, Lille, France; [Launay, David] Univ Lille, Ctr Hosp Reg Univ Lille, Dept Med Interne &amp; Immunol Clin, Lille, France</t>
  </si>
  <si>
    <t>Universite Paris Saclay; Hopital Marie Lannelongue; Institut National de la Sante et de la Recherche Medicale (Inserm); Assistance Publique Hopitaux Paris (APHP); Hopital Universitaire Bicetre - APHP; Universite Paris Saclay; Royal Brompton Hospital; Imperial College London; Imperial College London; Royal Brompton Hospital; CHU Grenoble Alpes; Communaute Universite Grenoble Alpes; Universite Grenoble Alpes (UGA); University of Calgary; Institut National de la Sante et de la Recherche Medicale (Inserm); Universite de Rennes; CHU Rennes; CHU Lyon; CHU Dijon Bourgogne; CHU Dijon Bourgogne; CHU de Nancy; Nantes Universite; CHU de Nantes; CHU de Toulouse; Universite de Toulouse; Universite Toulouse III - Paul Sabatier; Institut National de la Sante et de la Recherche Medicale (Inserm); Centre National de la Recherche Scientifique (CNRS); Universite de Montpellier; CHU de Montpellier; CHU de St Etienne; Institut National de la Sante et de la Recherche Medicale (Inserm); Institut National de la Sante et de la Recherche Medicale (Inserm); CHU de St Etienne; Assistance Publique Hopitaux Paris (APHP); Aix-Marseille Universite; Assistance Publique-Hopitaux de Marseille; Universite de Lille; Pasteur Network; Institut Pasteur Lille; CHU Lille; Universite de Lille; CHU Lille</t>
  </si>
  <si>
    <t>Launay, David/JDM-2536-2023; Humbert, Marc/AAC-8459-2019; KHOURI, CHARLES/J-1090-2019; David, Montani/I-6885-2019; Fesler, Pierre/O-7620-2018; Savale, Laurent/AAJ-9781-2020; Bertoletti, Laurent/X-1319-2019; Launay, David/H-1674-2016; Perros, Frederic/N-6921-2017</t>
  </si>
  <si>
    <t>Lacoste-Palasset, Thomas/0000-0003-3543-6675; Weatherald, Jason/0000-0002-0615-4575; JAIS, XAVIER/0000-0002-4104-7994; Boucly, Athenais/0000-0001-6246-5557; Launay, David/0000-0003-1840-1817; Chaumais, Marie-Camille/0000-0002-1217-8442; Perros, Frederic/0000-0001-7730-2427; BERTOLETTI, Laurent/0000-0001-8214-3010; Jevnikar, Mitja/0000-0003-0727-6790</t>
  </si>
  <si>
    <t>Agence Nationale de Securite du Medicament et des Produits de Sante; French national pharmacovigilance network</t>
  </si>
  <si>
    <t>Agence Nationale de Securite du Medicament et des Produits de Sante(Agence Nationale de la Recherche (ANR)); French national pharmacovigilance network</t>
  </si>
  <si>
    <t>The authors thank Laurence Rottat for her help in obtaining the data for this study and her hard work inmanaging data in the French PH Registry. They also thank all participants to the French PHNetwork. They also thank the French pulmonary hypertension pharmacovigilance network, VIGIAPATH, supported by the Agence Nationale de Securite du Medicament et des Produits de Sante, and the French national pharmacovigilance network, especially Dr. E. Polard and Dr. L. Thomas for their analysis of drug-suspected notifications. They also thank the Uppsala Monitoring Center for providing full access to VigiBase. The supplied data from VigiBase come from various sources. The likelihood of a causal relationship is not the same in all reports. The information does not represent the opinion of WHO.</t>
  </si>
  <si>
    <t>1546-3222</t>
  </si>
  <si>
    <t>10.1513/AnnalsATS.202008-913OC</t>
  </si>
  <si>
    <t>TT2YI</t>
  </si>
  <si>
    <t>WOS:000680216300009</t>
  </si>
  <si>
    <t>Savale, L; Akagi, S; Tu, L; Cumont, A; Thuillet, R; Phan, C; Le Vely, B; Berrebeh, N; Huertas, A; Jaïs, X; Cottin, V; Chaouat, A; Tromeur, C; Boucly, A; Jutant, EM; Mercier, O; Fadel, E; Montani, D; Sitbon, O; Humbert, M; Tamura, Y; Guignabert, C</t>
  </si>
  <si>
    <t>Savale, Laurent; Akagi, Satoshi; Tu, Ly; Cumont, Amelie; Thuillet, Raphael; Phan, Carole; Le Vely, Benjamin; Berrebeh, Nihel; Huertas, Alice; Jais, Xavier; Cottin, Vincent; Chaouat, Ari; Tromeur, Cecile; Boucly, Athenais; Jutant, Etienne Marie; Mercier, Olaf; Fadel, Elie; Montani, David; Sitbon, Olivier; Humbert, Marc; Tamura, Yuichi; Guignabert, Christophe</t>
  </si>
  <si>
    <t>Serum and pulmonary uric acid in pulmonary arterial hypertension</t>
  </si>
  <si>
    <t>MUSCLE-CELL PROLIFERATION; XANTHINE-OXIDASE ACTIVITY; GENE-EXPRESSION; NADPH OXIDASE; HYPERURICEMIA; PROGRESSION; OUTCOMES; RISK; GOUT; CKD</t>
  </si>
  <si>
    <t>Previous studies have suggested an association between uric acid (UA) and the severity of pulmonary arterial hypertension (PAH), but it is unknown whether UA contributes to disease pathogenesis. The aim of this study was to determine the prognostic value of circulating UA in the era of current management of PAH and to investigate the role of UA in pulmonary vascular remodelling. Serum UA levels were determined in idiopathic, heritable or anorexigen PAH at baseline and first re-evaluation in the French Pulmonary Hypertension Network. We studied protein levels of xanthine oxidase (XO) and the voltage-driven urate transporter 1 (URATv1) in lungs of control and PAH patients and of monocrotaline (MCT) and Sugen/hypoxia (SuHx) rats. Functional studies were performed using human pulmonary artery smooth muscle cells (PA-SMCs) and two animal models of pulmonary hypertension (PH). High serum UA levels at first follow-up, but not at baseline, were associated with a poor prognosis. Both the generating enzyme XO and URATv1 were upregulated in the wall of remodelled pulmonary arteries in idiopathic PAH patients and MCT and SuHx rats. High UA concentrations promoted a mild increase in cell growth in idiopathic PAH PA-SMCs, but not in control PA-SMCs. Consistent with these observations, oxonic acid-induced hyperuricaemia did not aggravate MCT-induced PH in rats. Finally, chronic treatment of MCT and SuHx rats with benzbromarone mildly attenuated pulmonary vascular remodelling. UA levels in idiopathic PAH patients were associated with an impaired clinical and haemodynamic profile and might be used as a non-invasive indicator of clinical prognosis during follow-up. Our findings also indicate that UA metabolism is disturbed in remodelled pulmonary vascular walls in both experimental and human PAH.</t>
  </si>
  <si>
    <t>[Savale, Laurent; Akagi, Satoshi; Tu, Ly; Cumont, Amelie; Thuillet, Raphael; Phan, Carole; Le Vely, Benjamin; Berrebeh, Nihel; Huertas, Alice; Jais, Xavier; Boucly, Athenais; Jutant, Etienne Marie; Mercier, Olaf; Fadel, Elie; Montani, David; Sitbon, Olivier; Humbert, Marc; Tamura, Yuichi; Guignabert, Christophe] Univ Paris Saclay, Sch Med, Le Kremlin Bicetre, France; [Savale, Laurent; Akagi, Satoshi; Tu, Ly; Cumont, Amelie; Thuillet, Raphael; Phan, Carole; Le Vely, Benjamin; Berrebeh, Nihel; Huertas, Alice; Jais, Xavier; Boucly, Athenais; Jutant, Etienne Marie; Mercier, Olaf; Fadel, Elie; Montani, David; Sitbon, Olivier; Humbert, Marc; Tamura, Yuichi; Guignabert, Christophe] Hop Marie Lannelongue, Pulm Hypertens Pathophysiol &amp; Novel Therapies, INSERM, UMR S999, 133 Ave Resistance, F-92350 Le Plessis Robinson, France; [Savale, Laurent; Huertas, Alice; Jais, Xavier; Boucly, Athenais; Jutant, Etienne Marie; Montani, David; Sitbon, Olivier; Humbert, Marc] Hop Bicetre, AP HP, Pulm Hypertens Natl Referral Ctr, Dept Resp &amp; Intens Care, Le Kremlin Bicetre, France; [Cottin, Vincent] Univ Claude Bernard Lyon 1, Ctr Reference Natl Malad Pulmonaires Rares, Serv Pneumol, Hop Louis Pradel,INRAE,UMR754, Lyon, France; [Chaouat, Ari] Univ Lorraine, CHRU Nancy, Dept Pneumol, INSERM,U1116, Vandoeuvre Les Nancy, France; [Tromeur, Cecile] European Brittany Univ, Brest, France; [Tromeur, Cecile] Univ Hosp, Ctr Cavale Blanche, Dept Internal Med &amp; Chest Dis, Brest, France; [Tromeur, Cecile] Grp Etude Thrombose Bretagne Occidentale GETBO, CIC INSERM 1412, EA 3878, Brest, France; [Mercier, Olaf; Fadel, Elie] Hop Marie Lannelongue, Groupe Hosp Paris St Joseph, Dept Thorac &amp; Vasc Surg &amp; Heart Lung Transplantat, Le Plessis Robinson, France; [Tamura, Yuichi] Int Univ Hlth &amp; Welf, Mita Hosp, Pulmonary Hypertens Ctr, Tokyo, Japan</t>
  </si>
  <si>
    <t>Universite Paris Saclay; Hopital Marie Lannelongue; Universite Paris Saclay; Institut National de la Sante et de la Recherche Medicale (Inserm); Assistance Publique Hopitaux Paris (APHP); Hopital Universitaire Bicetre - APHP; Hopital Universitaire Antoine-Beclere - APHP; Universite Paris Saclay; INRAE; CHU Lyon; Universite Claude Bernard Lyon 1; Institut National de la Sante et de la Recherche Medicale (Inserm); Universite de Lorraine; CHU de Nancy; Universite de Bretagne Occidentale; CHU Brest; Institut National de la Sante et de la Recherche Medicale (Inserm); Hopital Marie Lannelongue; International University of Health &amp; Welfare</t>
  </si>
  <si>
    <t>Savale, L (corresponding author), Univ Paris Saclay, Sch Med, Le Kremlin Bicetre, France.;Savale, L (corresponding author), Hop Marie Lannelongue, Pulm Hypertens Pathophysiol &amp; Novel Therapies, INSERM, UMR S999, 133 Ave Resistance, F-92350 Le Plessis Robinson, France.;Savale, L (corresponding author), Hop Bicetre, AP HP, Pulm Hypertens Natl Referral Ctr, Dept Resp &amp; Intens Care, Le Kremlin Bicetre, France.</t>
  </si>
  <si>
    <t>Savale, Laurent/AAJ-9781-2020; Chaouat, Ari/AAP-6784-2021; Tamura, Yuichi/B-5991-2014; David, Montani/I-6885-2019; Humbert, Marc/AAC-8459-2019; TU, Ly/G-4035-2013; GUIGNABERT, Christophe/G-3873-2013; Huertas, Alice/E-8244-2017</t>
  </si>
  <si>
    <t>TU, Ly/0000-0003-2336-5099; Thuillet, Raphael/0000-0002-1379-3797; tromeur, cecile/0000-0001-9161-7521; JAIS, XAVIER/0000-0002-4104-7994; Mercier, Olaf/0000-0002-4760-6267; GUIGNABERT, Christophe/0000-0002-8545-4452; Huertas, Alice/0000-0001-8545-747X; Tamura, Yuichi/0000-0002-4437-8019; Savale, Laurent/0000-0002-6862-8975; Jutant, Etienne-Marie/0000-0002-1374-1890; Boucly, Athenais/0000-0001-6246-5557</t>
  </si>
  <si>
    <t>French National Institute for Health and Medical Research (INSERM); University Paris-Saclay; Marie Lannelongue Hospital; French National Agency for Research (ANR) [ANR-16-CE17-0014, ANR-18-RHUS-0006]; Fondation de la Recherche Medicale (FRM) [DEQ20150331712]; Departement Hospitalo-Universitaire (DHU) Thorax Innovation (TORINO); Assistance Publique-Hopitaux de Paris (AP-HP); Service de Pneumologie, Centre de Reference de l'Hypertension Pulmonaire Severe; LabEx LERMIT [ANR-10-LABX-0033]; French PAH patient association (HTAP France); French Fonds de Dotation Recherche en Sante Respiratoire - (FRSR) - Fondation du Souffle (FdS); Ile-de-France Regional Council; doctoral contract (ARDoC 2018); Agence Nationale de la Recherche (ANR) [ANR-18-RHUS-0006] Funding Source: Agence Nationale de la Recherche (ANR)</t>
  </si>
  <si>
    <t>French National Institute for Health and Medical Research (INSERM)(Institut National de la Sante et de la Recherche Medicale (Inserm)); University Paris-Saclay; Marie Lannelongue Hospital; French National Agency for Research (ANR)(Agence Nationale de la Recherche (ANR)); Fondation de la Recherche Medicale (FRM)(Fondation pour la Recherche Medicale); Departement Hospitalo-Universitaire (DHU) Thorax Innovation (TORINO); Assistance Publique-Hopitaux de Paris (AP-HP); Service de Pneumologie, Centre de Reference de l'Hypertension Pulmonaire Severe; LabEx LERMIT; French PAH patient association (HTAP France); French Fonds de Dotation Recherche en Sante Respiratoire - (FRSR) - Fondation du Souffle (FdS); Ile-de-France Regional Council(Region Ile-de-France); doctoral contract (ARDoC 2018); Agence Nationale de la Recherche (ANR)(Agence Nationale de la Recherche (ANR))</t>
  </si>
  <si>
    <t>This research was supported by grants from the French National Institute for Health and Medical Research (INSERM), the University Paris-Saclay, the Marie Lannelongue Hospital, the French National Agency for Research (ANR) grant number ANR-16-CE17-0014 (TAMIRAH) and ANR-18-RHUS-0006 (RHU DESTINATION 2024), the Fondation de la Recherche Medicale (FRM) grant number DEQ20150331712 (Equipe FRM 2015), and in part by the Departement Hospitalo-Universitaire (DHU) Thorax Innovation (TORINO), the Assistance Publique-Hopitaux de Paris (AP-HP), Service de Pneumologie, Centre de Reference de l'Hypertension Pulmonaire Severe, the LabEx LERMIT (grant number ANR-10-LABX-0033), the French PAH patient association (HTAP France) and the French Fonds de Dotation Recherche en Sante Respiratoire - (FRSR) - Fondation du Souffle (FdS). N. Berrebeh is supported by the Ile-de-France Regional Council with a doctoral contract (ARDoC 2018). Funding information for this article has been deposited with the Crossref Funder Registry.</t>
  </si>
  <si>
    <t>10.1183/13993003.00332-2020</t>
  </si>
  <si>
    <t>WOS:000684220600004</t>
  </si>
  <si>
    <t>D'Humières, T; Savale, L; Inamo, J; Deswarte, S; Lionnet, F; Loko, G; Chantalat, C; Damy, T; Guillet, H; d'Orengiani, ALPHD; Galactéros, F; Audureau, E; Maitre, B; Humbert, M; Derumeaux, G; Bartolucci, P; Deux, JF</t>
  </si>
  <si>
    <t>D'Humieres, Thomas; Savale, Laurent; Inamo, Jocelyn; Deswarte, Simon; Lionnet, Francois; Loko, Gylna; Chantalat, Christelle; Damy, Thibaud; Guillet, Henri; d'Orengiani, Anne Laure Pham Hung d'Alexandry; Galacteros, Frederic; Audureau, Etienne; Maitre, Bernard; Humbert, Marc; Derumeaux, Genevieve; Bartolucci, Pablo; Deux, Jean-Francois</t>
  </si>
  <si>
    <t>Cardiovascular phenotypes predict clinical outcomes in sickle cell disease: An echocardiography-based cluster analysis</t>
  </si>
  <si>
    <t>AMERICAN JOURNAL OF HEMATOLOGY</t>
  </si>
  <si>
    <t>PULMONARY-HYPERTENSION; DIASTOLIC DYSFUNCTION; EUROPEAN-ASSOCIATION; RISK-FACTOR; DEATH; GUIDELINES; SOCIETY; ADULTS; PATHOPHYSIOLOGY; RECOMMENDATIONS</t>
  </si>
  <si>
    <t>This study sought to link cardiac phenotypes in homozygous Sickle Cell Disease (SCD) patients with clinical profiles and outcomes using cluster analysis. We analyzed data of 379 patients included in the French Etendard Cohort. A cluster analyses was performed based on echocardiographic variables, and the association between clusters, clinical profiles and outcomes was assessed. Three clusters were identified. Cluster 1 (n = 123) patients had the lowest cardiac output, mild left cardiac cavities remodeling, mild diastolic dysfunction, and higher tricuspid regurgitation velocity (TRV). They were predominantly female and displayed the most altered functional limitation. Cluster 2 (n = 102) patients had the highest cardiac output and the most remodeled cardiac cavities. Diastolic function and TRV were similar to cluster 1. These patients had a higher blood pressure and a severe hemolytic anemia. Cluster 3 (n = 154) patients had mild left cardiac cavities remodeling, normal diastolic function and lowest TRV values. They were younger with the highest hemoglobin value. Right heart catheterization was performed in 94 patients. Cluster 1 (n = 33) included the majority of pre-capillary PH whilst cluster 2 (n = 34) included post-capillary PH. No PH was found in cluster 3 (n = 27). After a follow-up of 11.4 +/- 2 years, death occurred in 41 patients (11%). Cluster 2 patients had the worst prognosis with a 19% mortality rate versus 12% in cluster 1 and 5% in cluster 3 (p log-rank = 0.003). Cluster analysis of echocardiography variables identified three hemodynamic and clinical phenotypes among SCD patients, each predicting a different prognosis.</t>
  </si>
  <si>
    <t>[D'Humieres, Thomas; Deswarte, Simon; Derumeaux, Genevieve] Henri Mondor Hosp, AP HP, Physiol Dept, FHU SENEC, Creteil, France; [D'Humieres, Thomas; Deswarte, Simon; Derumeaux, Genevieve; Deux, Jean-Francois] Univ Paris Est UPEC, INSERM IMRB U955, Team 8, Creteil, France; [D'Humieres, Thomas; Guillet, Henri; d'Orengiani, Anne Laure Pham Hung d'Alexandry; Galacteros, Frederic; Humbert, Marc; Bartolucci, Pablo] CHU Henri Mondor, AP HP, Sickle Cell Referral Ctr UMGGR, UPEC,FHU,SENEC,Plateforme Expertise Malad Rares G, Creteil, France; [Savale, Laurent] Hop Bicetre, AP HP, Dept Resp &amp; Intens Care Med, Pulm Hypertens Natl Referral Ctr, Le Kremlin Bicetre, France; [Savale, Laurent] Univ Paris Saclay, Sch Med, Le Kremlin Bicetre, France; [Savale, Laurent] Hop Marie Lannelongue, INSERM UMR S Pulm Hypertens Pathophysiol &amp; Novel, Le Plessis Robinson, France; [Inamo, Jocelyn] Univ French West Indies &amp; Guiana, Dept Cardiol, Fort De France, Martinique, France; [Deux, Jean-Francois] Henri Mondor Hosp, AP HP, Dept Radiol, FHU SENEC, Creteil, France; [Lionnet, Francois] Tenon Hosp, AP HP, Dept Internal Med, Paris, France; [Loko, Gylna] Univ French West Indies &amp; Guiana, Sickle Cell Ctr, Pointe A Pitre, Martinique, France; [Chantalat, Christelle] Bicetre Univ Hosp, AP HP, Dept Hematol, Le Kremlin Bicetre, France; [Damy, Thibaud] Henri Mondor Hosp, AP HP, Dept Cardiovasc Med, FHU SENEC, Creteil, France; [Damy, Thibaud] Univ Paris Est Creteil, INSERM IMRB U955, Team 8, Creteil, France; [Guillet, Henri; Galacteros, Frederic; Bartolucci, Pablo] Henri Mondor Univ Hosp UPEC, AP HP, Dept Internal Med, Creteil, France; [Audureau, Etienne] Henri Mondor Hosp, AP HP, Biostat Dept, Creteil, France; [Audureau, Etienne] Univ Paris Est UPEC, FHU SENEC, CEpiA IMRB U955, Creteil, France; [Maitre, Bernard; Humbert, Marc] Henri Mondor Hosp, AP HP, Pulm Unit, FHU SENEC, Creteil, France; [Maitre, Bernard; Humbert, Marc] Univ Paris Est UPEC, INSERM IMRB U955, Creteil, France</t>
  </si>
  <si>
    <t>Assistance Publique Hopitaux Paris (APHP); Universite Paris-Est-Creteil-Val-de-Marne (UPEC); Hopital Universitaire Henri-Mondor - APHP; Universite Paris-Est-Creteil-Val-de-Marne (UPEC); Institut National de la Sante et de la Recherche Medicale (Inserm); Assistance Publique Hopitaux Paris (APHP); Universite Paris-Est-Creteil-Val-de-Marne (UPEC); Hopital Universitaire Henri-Mondor - APHP; Assistance Publique Hopitaux Paris (APHP); Hopital Universitaire Antoine-Beclere - APHP; Universite Paris Saclay; Hopital Universitaire Bicetre - APHP; Universite Paris Saclay; Institut National de la Sante et de la Recherche Medicale (Inserm); Hopital Marie Lannelongue; Assistance Publique Hopitaux Paris (APHP); Universite Paris-Est-Creteil-Val-de-Marne (UPEC); Hopital Universitaire Henri-Mondor - APHP; Assistance Publique Hopitaux Paris (APHP); Sorbonne Universite; Hopital Universitaire Tenon - APHP; CHU Guadeloupe; Assistance Publique Hopitaux Paris (APHP); Hopital Universitaire Bicetre - APHP; Assistance Publique Hopitaux Paris (APHP); Universite Paris-Est-Creteil-Val-de-Marne (UPEC); Hopital Universitaire Henri-Mondor - APHP; Institut National de la Sante et de la Recherche Medicale (Inserm); Universite Paris-Est-Creteil-Val-de-Marne (UPEC); Assistance Publique Hopitaux Paris (APHP); Universite Paris-Est-Creteil-Val-de-Marne (UPEC); Hopital Universitaire Henri-Mondor - APHP; Assistance Publique Hopitaux Paris (APHP); Universite Paris-Est-Creteil-Val-de-Marne (UPEC); Hopital Universitaire Henri-Mondor - APHP; Universite Paris-Est-Creteil-Val-de-Marne (UPEC); Assistance Publique Hopitaux Paris (APHP); Universite Paris-Est-Creteil-Val-de-Marne (UPEC); Hopital Universitaire Henri-Mondor - APHP; Institut National de la Sante et de la Recherche Medicale (Inserm); Universite Paris-Est-Creteil-Val-de-Marne (UPEC)</t>
  </si>
  <si>
    <t>D'Humières, T (corresponding author), Henri Mondor Univ Hosp, AP HP, Physiol Dept, 51 Ave Marechal de Lattre de Tassigny, F-94010 Creteil, France.</t>
  </si>
  <si>
    <t>thomas.dhumieres@aphp.fr</t>
  </si>
  <si>
    <t>Humbert, Marc/AAC-8459-2019; INAMO, Jocelyn/AGZ-1674-2022; DERUMEAUX, Genevieve/T-2489-2018; Deux, Jean-François/AAR-9696-2021; Savale, Laurent/AAJ-9781-2020; Audureau, Etienne/AHE-2826-2022</t>
  </si>
  <si>
    <t>d'Humieres, Thomas/0000-0002-0414-0962</t>
  </si>
  <si>
    <t>French Ministry of Health; Delegation for Clinical Research of the Assistance Publique-Hopitaux de Paris</t>
  </si>
  <si>
    <t>This work was supported by the French Ministry of Health and the Delegation for Clinical Research of the Assistance Publique-Hopitaux de Paris.</t>
  </si>
  <si>
    <t>0361-8609</t>
  </si>
  <si>
    <t>1096-8652</t>
  </si>
  <si>
    <t>AM J HEMATOL</t>
  </si>
  <si>
    <t>Am. J. Hematol.</t>
  </si>
  <si>
    <t>10.1002/ajh.26271</t>
  </si>
  <si>
    <t>JUL 2021</t>
  </si>
  <si>
    <t>TY0DY</t>
  </si>
  <si>
    <t>WOS:000674069000001</t>
  </si>
  <si>
    <t>Bousquet, J; Humbert, M; Gibson, PG; Kostikas, K; Jaumont, X; Pfister, P; Nissen, F</t>
  </si>
  <si>
    <t>Bousquet, Jean; Humbert, Marc; Gibson, Peter G.; Kostikas, Konstantinos; Jaumont, Xavier; Pfister, Pascal; Nissen, Francis</t>
  </si>
  <si>
    <t>Real-World Effectiveness of Omalizumab in Severe Allergic Asthma: A Meta-Analysis of Observational Studies</t>
  </si>
  <si>
    <t>Omalizumab; Severe allergic asthma; Real-world evidence; Meta-analysis; Global evaluation of treatment effec-tiveness; Severe exacerbations; Lung function; Health care resource utilization; Patient-reported outcomes</t>
  </si>
  <si>
    <t>SEVERE PERSISTENT ASTHMA; ANTI-IGE ANTIBODY; QUALITY-OF-LIFE; ADD-ON THERAPY; ANTIIMMUNOGLOBULIN-E THERAPY; TREAT ATOPIC ASTHMA; LONG-TERM SAFETY; DOUBLE-BLIND; RESPONSE PREDICTORS; MONOCLONAL-ANTIBODY</t>
  </si>
  <si>
    <t>BACKGROUND: Assessment of clinical outcomes in the real world corroborates findings from randomized controlled trials (RCTs). OBJECTIVE: This meta-analysis evaluated real-world data of omalizumab on treatment response, lung function, exacerbations, oral corticosteroid (OCS) use, patient-reported outcomes (PROs), health care resource utilization (HCRU), and school/ work absenteeism at 4, 6, and 12 months after treatment. METHODS: Observational studies in patients with severe allergic asthma (&gt;= 6 years) treated with omalizumab for &gt;= 16 weeks, published from January 2005 to October 2018, were retrieved from PubMed, Embase, and Cochrane. A random effects model was used to assess heterogeneity. RESULTS: In total, 86 publications were included. Global evaluation of treatment effectiveness (GETE) was good/excellent in 77% patients at 16 weeks (risk difference: 0.77; 95% confidence interval [CI]: 0.70-0.84; I-2 = 96%) and in 82% patients at 12 months (0.82, 0.73-0.91; 97%). The mean improvement in forced expiratory volume in 1 second was 160, 220, and 250 mL at 16 weeks, 6 months, and 12 months, respectively. There was a decrease in Asthma Control Questionnaire score at 16 weeks (-1.14), 6 months (-1.56), and 12 months (-1.13) after omalizumab therapy. Omalizumab significantly reduced annualized rate of severe exacerbations (risk ratio [RR]: 0.41, 95% CI: 0.30-0.56; I2 = 96%), proportion of patients receiving OCS (RR: 0.59, 95% CI: 0.47-0.75; I2 = 96%), and number of unscheduled physician visits (mean difference:-2.34, 95% CI:-3.54 to-1.13; I2 [ 98%) at 12 months versus baseline. CONCLUSION: The consistent improvements in GETE, lung function, and PROs, and reductions in asthma exacerbations, OCS use, and HCRU with add-on omalizumab in real-life confirm and complement the efficacy data of RCTs. (c) 2021 The Authors. Published by Elsevier Inc. on behalf of the American Academy of Allergy, Asthma &amp; Immunology. This is an open access article under the CC BY-NC-ND license (http:// creativecommons.org/licenses/by-nc-nd/4.0/). (J Allergy Clin Immunol Pract 2021;9:2702-14)</t>
  </si>
  <si>
    <t>[Bousquet, Jean] Contre Malad Chron VIeillissement Actif MACVIA Fr, Montpellier, France; [Bousquet, Jean] Ctr Hosp Univ Montpellier, 191 Ave Doyen Gaston Giraud, F-34295 Montpellier, France; [Bousquet, Jean] Humboldt Univ, Charite, Univ Med Berlin, Berlin, Germany; [Bousquet, Jean] Berlin Inst Hlth, Comprehens Allergy Ctr, Dept Dermatol &amp; Allergy, Berlin, Germany; [Humbert, Marc] Univ Paris Saclay, Sch Med, Le Kremlin Bicetre, France; [Humbert, Marc] Hop Marie Lannelongue, INSERM UMR S 999, Le Plessis Robinson, France; [Humbert, Marc] Hop Bicetre, AP HP, Dept Resp &amp; Intens Care Med, Le Kremlin Bicetre, France; [Gibson, Peter G.] John Hunter Hosp, Dept Resp &amp; Sleep Med, Hunter Med Res Inst, Newcastle, NSW, Australia; [Gibson, Peter G.] Univ Newcastle, Prior Res Ctr Asthma &amp; Resp Dis, Newcastle, NSW, Australia; [Kostikas, Konstantinos] Univ Ioannina, Sch Med, Resp Med Dept, Ioannina, Greece; [Jaumont, Xavier; Pfister, Pascal; Nissen, Francis] Novartis Pharma AG, Basel, Switzerland</t>
  </si>
  <si>
    <t>Universite de Montpellier; CHU de Montpellier; Berlin Institute of Health; Free University of Berlin; Humboldt University of Berlin; Charite Universitatsmedizin Berlin; Berlin Institute of Health; Universite Paris Saclay; Institut National de la Sante et de la Recherche Medicale (Inserm); Hopital Marie Lannelongue; Universite Paris Saclay; Universite Paris Saclay; Assistance Publique Hopitaux Paris (APHP); Hopital Universitaire Antoine-Beclere - APHP; Hopital Universitaire Bicetre - APHP; University of Newcastle; Hunter Medical Research Institute; John Hunter Hospital; University of Newcastle; University of Ioannina; Novartis</t>
  </si>
  <si>
    <t>Bousquet, J (corresponding author), Ctr Hosp Univ Montpellier, 191 Ave Doyen Gaston Giraud, F-34295 Montpellier, France.</t>
  </si>
  <si>
    <t>jean.bousquet@orange.fr</t>
  </si>
  <si>
    <t>Humbert, Marc/AAC-8459-2019; Bousquet, Jean/O-4221-2019; Gibson, Peter/G-6194-2014</t>
  </si>
  <si>
    <t>Bousquet, Jean/0000-0002-4061-4766; Gibson, Peter/0000-0001-5865-489X</t>
  </si>
  <si>
    <t>Novartis Pharma AG, Basel, Switzerland</t>
  </si>
  <si>
    <t>This meta-analysis was funded by Novartis Pharma AG, Basel, Switzerland.</t>
  </si>
  <si>
    <t>10.1016/j.jaip.2021.01.011</t>
  </si>
  <si>
    <t>TI1LB</t>
  </si>
  <si>
    <t>WOS:000672543000020</t>
  </si>
  <si>
    <t>Bisserier, M; Mathiyalagan, P; Zhang, SH; Elmastour, F; Dorfmüller, P; Humbert, M; David, G; Tarzami, S; Weber, T; Perros, F; Sassi, Y; Sahoo, S; Hadri, L</t>
  </si>
  <si>
    <t>Bisserier, Malik; Mathiyalagan, Prabhu; Zhang, Shihong; Elmastour, Firas; Dorfmuller, Peter; Humbert, Marc; David, Gregory; Tarzami, Sima; Weber, Thomas; Perros, Frederic; Sassi, Yassine; Sahoo, Susmita; Hadri, Lahouaria</t>
  </si>
  <si>
    <t>Regulation of the Methylation and Expression Levels of the BMPR2 Gene by SIN3a as a Novel Therapeutic Mechanism in Pulmonary Arterial Hypertension</t>
  </si>
  <si>
    <t>dependovirus; DNA; epigenesis; genetic; genetic therapy; hypertension; pulmonary; methylation; pulmonary arterial hypertension</t>
  </si>
  <si>
    <t>DNA METHYLATION; HISTONE DEACETYLASES; CLINICAL-OUTCOMES; EMERGING ROLES; BREAST-CANCER; II RECEPTOR; EZH2; CHROMATIN; COMPLEX; TRANSCRIPTION</t>
  </si>
  <si>
    <t>Background: Epigenetic mechanisms are critical in the pathogenesis of pulmonary arterial hypertension (PAH). Previous studies have suggested that hypermethylation of the BMPR2 (bone morphogenetic protein receptor type 2) promoter is associated with BMPR2 downregulation and progression of PAH. Here, we investigated for the first time the role of SIN3a (switch-independent 3a), a transcriptional regulator, in the epigenetic mechanisms underlying hypermethylation of BMPR2 in the pathogenesis of PAH. Methods: We used lung samples from PAH patients and non-PAH controls, preclinical mouse and rat PAH models, and human pulmonary arterial smooth muscle cells. Expression of SIN3a was modulated using a lentiviral vector or a siRNA in vitro and a specific adeno-associated virus serotype 1 or a lentivirus encoding for human SIN3a in vivo. Results: SIN3a is a known transcriptional regulator; however, its role in cardiovascular diseases, especially PAH, is unknown. It is interesting that we detected a dysregulation of SIN3 expression in patients and in rodent models, which is strongly associated with decreased BMPR2 expression. SIN3a is known to regulate epigenetic changes. Therefore, we tested its role in the regulation of BMPR2 and found that BMPR2 is regulated by SIN3a. It is interesting that SIN3a overexpression inhibited human pulmonary arterial smooth muscle cells proliferation and upregulated BMPR2 expression by preventing the methylation of the BMPR2 promoter region. RNA-sequencing analysis suggested that SIN3a downregulated the expression of DNA and histone methyltransferases such as DNMT1 (DNA methyltransferase 1) and EZH2 (enhancer of zeste 2 polycomb repressive complex 2) while promoting the expression of the DNA demethylase TET1 (ten-eleven translocation methylcytosine dioxygenase 1). Mechanistically, SIN3a promoted BMPR2 expression by decreasing CTCF (CCCTC-binding factor) binding to the BMPR2 promoter. Last, we identified intratracheal delivery of adeno-associated virus serotype human SIN3a to be a beneficial therapeutic approach in PAH by attenuating pulmonary vascular and right ventricle remodeling, decreasing right ventricle systolic pressure and mean pulmonary arterial pressure, and restoring BMPR2 expression in rodent models of PAH. Conclusions: All together, our study unveiled the protective and beneficial role of SIN3a in pulmonary hypertension. We also identified a novel and distinct molecular mechanism by which SIN3a regulates BMPR2 in human pulmonary arterial smooth muscle cells. Our study also identified lung-targeted SIN3a gene therapy using adeno-associated virus serotype 1 as a new promising therapeutic strategy for treating patients with PAH.</t>
  </si>
  <si>
    <t>[Bisserier, Malik; Mathiyalagan, Prabhu; Zhang, Shihong; Elmastour, Firas; Weber, Thomas; Sassi, Yassine; Sahoo, Susmita; Hadri, Lahouaria] Icahn Sch Med Mt Sinai, Cardiovasc Res Inst, Box 1030,1470 Madison Ave, New York, NY 10029 USA; [Dorfmuller, Peter] Hop Marie Lannelongue, Dept Pathol, Le Plessis Robinson, France; [Humbert, Marc] Univ Paris Sud, Paris, France; [Humbert, Marc] Univ Paris Saclay, Hop Bicetre, Paris, France; [Humbert, Marc; Perros, Frederic] Hop Bicetre, AP HP, Serv Pneumol &amp; Soins Intensifs Resp, Paris, France; [Humbert, Marc; Perros, Frederic] Hop Bicetre, AP HP, INSERM 0999, Paris, France; [David, Gregory] NYU, Sch Med, Washington, DC USA; [Tarzami, Sima] Howard Univ, Coll Med, Dept Physiol &amp; Biophys, Washington, DC 20059 USA</t>
  </si>
  <si>
    <t>Icahn School of Medicine at Mount Sinai; Hopital Marie Lannelongue; Universite Paris Saclay; Universite Paris Saclay; Assistance Publique Hopitaux Paris (APHP); Hopital Universitaire Bicetre - APHP; Assistance Publique Hopitaux Paris (APHP); Hopital Universitaire Bicetre - APHP; Universite Paris Saclay; Institut National de la Sante et de la Recherche Medicale (Inserm); Universite Paris Saclay; Assistance Publique Hopitaux Paris (APHP); Hopital Universitaire Bicetre - APHP; New York University; Howard University</t>
  </si>
  <si>
    <t>Hadri, L (corresponding author), Icahn Sch Med Mt Sinai, Cardiovasc Res Inst, Box 1030,1470 Madison Ave, New York, NY 10029 USA.</t>
  </si>
  <si>
    <t>lahouaria.hadri@mssm.edu</t>
  </si>
  <si>
    <t>Bisserier, Malik/AAI-3730-2021; Hadri, Lahouaria/AAP-6415-2020; Weber, Thomas/GLS-9125-2022; Humbert, Marc/AAC-8459-2019; Perros, Frederic/N-6921-2017</t>
  </si>
  <si>
    <t>Tarzami, Sima/0000-0002-3434-4587; Humbert, Marc/0000-0003-0703-2892; Bisserier, Malik/0000-0001-8826-4649; Mathiyalagan, Prabhu/0000-0002-8202-9266; Hadri, Lahouaria/0000-0001-8108-7993; Dorfmuller, Peter/0000-0003-2499-6829; Sassi, Yassine/0000-0002-7807-1728; Perros, Frederic/0000-0001-7730-2427</t>
  </si>
  <si>
    <t>National Institutes of Health [R01HL133554, R01HL140469, R01HL124187, R01HL148786, 5T32HL007824-22]; Cardiovascular Medical Research and Education Fund; National Heart Lung and Blood Institute [R01HL140469] Funding Source: NIH RePORTER</t>
  </si>
  <si>
    <t>National Institutes of Health(United States Department of Health &amp; Human ServicesNational Institutes of Health (NIH) - USA); Cardiovascular Medical Research and Education Fund; National Heart Lung and Blood Institute(United States Department of Health &amp; Human ServicesNational Institutes of Health (NIH) - USANIH National Heart Lung &amp; Blood Institute (NHLBI))</t>
  </si>
  <si>
    <t>This work was supported by the National Institutes of Health (grant R01HL133554 [to L.H.]; R01HL140469, R01HL124187, R01HL148786 [to S.S.]; 5T32HL007824-22 [to M.B.], and the Cardiovascular Medical Research and Education Fund [to M.B.]).</t>
  </si>
  <si>
    <t>JUL 6</t>
  </si>
  <si>
    <t>10.1161/CIRCULATIONAHA.120.047978</t>
  </si>
  <si>
    <t>TE3NT</t>
  </si>
  <si>
    <t>Green Accepted</t>
  </si>
  <si>
    <t>WOS:000669921200011</t>
  </si>
  <si>
    <t>Bouvard, C; Tu, L; Rossi, M; Desroches-Castan, A; Berrebeh, N; Helfer, E; Roelants, C; Liu, HQ; Ouarne, M; Chaumontel, N; Mallet, C; Battail, C; Bikfalvi, A; Humbert, M; Savale, L; Daubon, T; Perret, P; Tillet, E; Guignabert, C; Bailly, S</t>
  </si>
  <si>
    <t>Bouvard, Claire; Tu, Ly; Rossi, Martina; Desroches-Castan, Agnes; Berrebeh, Nihel; Helfer, Elise; Roelants, Caroline; Liu, Hequn; Ouarne, Marie; Chaumontel, Nicolas; Mallet, Christine; Battail, Christophe; Bikfalvi, Andreas; Humbert, Marc; Savale, Laurent; Daubon, Thomas; Perret, Pascale; Tillet, Emmanuelle; Guignabert, Christophe; Bailly, Sabine</t>
  </si>
  <si>
    <t>Different cardiovascular and pulmonary phenotypes for single- and double-knock-out mice deficient in BMP9 and BMP10</t>
  </si>
  <si>
    <t>CARDIOVASCULAR RESEARCH</t>
  </si>
  <si>
    <t>Pulmonary hypertension; Pulmonary vascular remodelling; Vascular anomalies; High-output heart failure; Bone morphogenetic proteins</t>
  </si>
  <si>
    <t>INHIBITION PARTIALLY PROTECTS; KINASE 1 ALK1; ENDOTHELIAL-CELLS; HEART-FAILURE; ET-AL; MUTATIONS; PROTEIN-9; ENDOGLIN; ARTICLE; GROWTH</t>
  </si>
  <si>
    <t>Aims BMP9 and BMP10 mutations were recently identified in patients with pulmonary arterial hypertension, but their specific roles in the pathogenesis of the disease are still unclear. We aimed to study the roles of BMP9 and BMP10 in cardiovascular homeostasis and pulmonary hypertension using transgenic mouse models deficient in Bmp9 and/or Bmp10. Methods and results Single- and double-knockout mice for Bmp9 (constitutive) and/or Bmp10 (tamoxifen inducible) were generated. Single-knock-out (KO) mice developed no obvious age-dependent phenotype when compared with their wild-type littermates. However, combined deficiency in Bmp9 and Bmp10 led to vascular defects resulting in a decrease in peripheral vascular resistance and blood pressure and the progressive development of high-output heart failure and pulmonary hemosiderosis. RNAseq analysis of the lungs of the double-KO mice revealed differential expression of genes involved in inflammation and vascular homeostasis. We next challenged these mice to chronic hypoxia. After 3 weeks of hypoxic exposure, Bmp10-cKO mice showed an enlarged heart. However, although genetic deletion of Bmp9 in the single- and double-KO mice attenuated the muscularization of pulmonary arterioles induced by chronic hypoxia, we observed no differences in Bmp10-cKO mice. Consistent with these results, endothelin-1 levels were significantly reduced in Bmp9 deficient mice but not Bmp10-cKO mice. Furthermore, the effects of BMP9 on vasoconstriction were inhibited by bosentan, an endothelin receptor antagonist, in a chick chorioallantoic membrane assay. Conclusions Our data show redundant roles for BMP9 and BMP10 in cardiovascular homeostasis under normoxic conditions (only combined deletion of both Bmp9 and Bmp10 was associated with severe defects) but highlight specific roles under chronic hypoxic conditions. We obtained evidence that BMP9 contributes to chronic hypoxia-induced pulmonary vascular remodelling, whereas BMP10 plays a role in hypoxia-induced cardiac remodelling in mice.</t>
  </si>
  <si>
    <t>[Bouvard, Claire; Rossi, Martina; Desroches-Castan, Agnes; Helfer, Elise; Roelants, Caroline; Liu, Hequn; Ouarne, Marie; Chaumontel, Nicolas; Mallet, Christine; Battail, Christophe; Tillet, Emmanuelle; Bailly, Sabine] Univ Grenoble Alpes, Lab Biosante U1292, CEA, INSERM,IRIG Biosante,UMR S 1292, Grenoble, France; [Tu, Ly; Berrebeh, Nihel; Humbert, Marc; Savale, Laurent; Guignabert, Christophe] Univ Paris Saclay, Sch Med, Le Kremlin Bicetre, France; [Tu, Ly; Berrebeh, Nihel; Humbert, Marc; Savale, Laurent; Guignabert, Christophe] Hop Marie Lannelongue, INSERM, UMR S 999, Le Plessis Robinson, France; [Roelants, Caroline] Inovarion, F-75005 Paris, France; [Bikfalvi, Andreas; Daubon, Thomas] Inst Natl Sante &amp; Rech Med, INSERM U1029, F-33615 Pessac, France; [Humbert, Marc] Hop Bicetre, AP HP, Dept Resp &amp; Intens Care Med, Le Kremlin Bicetre, France; [Daubon, Thomas] Univ Bordeaux, CNRS, UMR5095, IBGC, F-33000 Bordeaux, France; [Perret, Pascale] Univ Grenoble Alpes, Lab Bioclin Radiopharmaceut, LRB, INSERM,UMRS 1039, F-38000 Grenoble, France; [Ouarne, Marie] Univ Lisbon, Fac Med, Inst Med Mol, Lisbon, Portugal</t>
  </si>
  <si>
    <t>CEA; Communaute Universite Grenoble Alpes; Universite Grenoble Alpes (UGA); Institut National de la Sante et de la Recherche Medicale (Inserm); Universite Paris Saclay; Universite Paris Saclay; Institut National de la Sante et de la Recherche Medicale (Inserm); Hopital Marie Lannelongue; Institut National de la Sante et de la Recherche Medicale (Inserm); Assistance Publique Hopitaux Paris (APHP); Hopital Universitaire Bicetre - APHP; Universite Paris Saclay; Hopital Universitaire Antoine-Beclere - APHP; Centre National de la Recherche Scientifique (CNRS); CNRS - National Institute for Biology (INSB); Universite de Bordeaux; Communaute Universite Grenoble Alpes; Universite Grenoble Alpes (UGA); Institut National de la Sante et de la Recherche Medicale (Inserm); Universidade de Lisboa</t>
  </si>
  <si>
    <t>Bouvard, C (corresponding author), Univ Grenoble Alpes, Lab Biosante U1292, CEA, INSERM,IRIG Biosante,UMR S 1292, Grenoble, France.</t>
  </si>
  <si>
    <t>claire.bouvard@univ-grenoble-alpes.fr</t>
  </si>
  <si>
    <t>Perret, pascale/O-7382-2019; Desroches-Castan, Agnes/AAA-4557-2019; Savale, Laurent/AAJ-9781-2020; Liu, Hequn/JFK-2316-2023; Ouarné, Marie/ABB-2357-2021; bouvard, claire/AAA-4638-2019; Perret, Pascale/M-3911-2014; TU, Ly/G-4035-2013; GUIGNABERT, Christophe/G-3873-2013; Humbert, Marc/AAC-8459-2019</t>
  </si>
  <si>
    <t>Perret, Pascale/0000-0003-0804-8247; Ouarne, Marie/0000-0003-4724-4363; Battail, Christophe/0000-0001-6849-7824; TU, Ly/0000-0003-2336-5099; GUIGNABERT, Christophe/0000-0002-8545-4452; bouvard, claire/0000-0001-5252-754X; Elise, HELFER/0000-0002-0257-031X; roelants, caroline/0000-0001-5380-4422; Castan, Agnes/0000-0002-3301-9504; BERREBEH, Nihel/0000-0003-4152-9114; LIU, Hequn/0000-0003-3830-3421; Rossi, Martina/0000-0002-8866-1844; Humbert, Marc/0000-0003-0703-2892</t>
  </si>
  <si>
    <t>French National Agency for Research (ANR) [ANR-17-CE14-0006, ANR-15-IDEX-02]; CEA (Commissariat a` l'Energie Atomique et aux Energies Alternatives, DRF/IRIG/DS); National Institute for Health and Medical Research (INSERM); University of Grenoble; University of Paris-Saclay; Association Maladie de Rendu-Osler (AMRO/HHT-France); Fondation pour la Recherche Medicale [EQU202003010188]; H2020-msca-ITN-2018 [V.A.Cure814316]; GRAL, a programme of the Chemistry Biology Health (CBH) Graduate School of University Grenoble Alpes [ANR-17-EURE-0003]; France Life Imaging network [ANR-11-INBS-0006]; Ile-de-France region (ARDoc Health); Agence Nationale de la Recherche (ANR) [ANR-17-CE14-0006] Funding Source: Agence Nationale de la Recherche (ANR)</t>
  </si>
  <si>
    <t>French National Agency for Research (ANR)(Agence Nationale de la Recherche (ANR)); CEA (Commissariat a` l'Energie Atomique et aux Energies Alternatives, DRF/IRIG/DS); National Institute for Health and Medical Research (INSERM)(Institut National de la Sante et de la Recherche Medicale (Inserm)); University of Grenoble; University of Paris-Saclay; Association Maladie de Rendu-Osler (AMRO/HHT-France); Fondation pour la Recherche Medicale(Fondation pour la Recherche Medicale); H2020-msca-ITN-2018; GRAL, a programme of the Chemistry Biology Health (CBH) Graduate School of University Grenoble Alpes; France Life Imaging network; Ile-de-France region (ARDoc Health); Agence Nationale de la Recherche (ANR)</t>
  </si>
  <si>
    <t>This research was supported by grants from the French National Agency for Research (ANR), ANR-17-CE14-0006 (B9inPH) and ANR-15-IDEX-02 (IDEX-IRS2018 ANGIOBMP), and in part by the CEA (Commissariat a` l'Energie Atomique et aux Energies Alternatives, DRF/IRIG/DS), the National Institute for Health and Medical Research (INSERM), the University of Grenoble and the University of Paris-Saclay, the Association Maladie de Rendu-Osler (AMRO/HHT-France), the Fondation pour la Recherche Me ' dicale (EQU202003010188), and the H2020-msca-ITN-2018 (V.A.Cure814316). The authors acknowledge the animal facility platform supported by GRAL, a programme of the Chemistry Biology Health (CBH) Graduate School of University Grenoble Alpes (ANR-17-EURE-0003). This work was partially performed by a laboratory member of the France Life Imaging network (grant ANR-11-INBS-0006). N.B. is a recipient of a PhD fellowship from the Ile-de-France region (ARDoc Health).</t>
  </si>
  <si>
    <t>0008-6363</t>
  </si>
  <si>
    <t>1755-3245</t>
  </si>
  <si>
    <t>CARDIOVASC RES</t>
  </si>
  <si>
    <t>Cardiovasc. Res.</t>
  </si>
  <si>
    <t>JUN 22</t>
  </si>
  <si>
    <t>10.1093/cvr/cvab187</t>
  </si>
  <si>
    <t>2H5LI</t>
  </si>
  <si>
    <t>WOS:000755828900001</t>
  </si>
  <si>
    <t>Jevnikar, M; Sanchez, O; Chocron, R; Andronikof, M; Raphael, M; Meyrignac, O; Fournier, L; Montani, D; Planquette, B; Soudani, M; Boucly, A; Pichon, J; Preda, M; Beurnier, A; Bulifon, S; Seferian, A; Jaïs, X; Sitbon, O; Savale, L; Humbert, M; Parent, F</t>
  </si>
  <si>
    <t>Jevnikar, Mitja; Sanchez, Olivier; Chocron, Richard; Andronikof, Marc; Raphael, Maurice; Meyrignac, Olivier; Fournier, Laure; Montani, David; Planquette, Benjamin; Soudani, Mary; Boucly, Athenais; Pichon, Jeremie; Preda, Mariana; Beurnier, Antoine; Bulifon, Sophie; Seferian, Andrei; Jais, Xavier; Sitbon, Olivier; Savale, Laurent; Humbert, Marc; Parent, Florence</t>
  </si>
  <si>
    <t>Prevalence of pulmonary embolism in patients with COVID-19 at the time of hospital admission</t>
  </si>
  <si>
    <t>INFECTION</t>
  </si>
  <si>
    <t>[Jevnikar, Mitja; Andronikof, Marc; Raphael, Maurice; Meyrignac, Olivier; Montani, David; Soudani, Mary; Boucly, Athenais; Pichon, Jeremie; Preda, Mariana; Beurnier, Antoine; Bulifon, Sophie; Seferian, Andrei; Jais, Xavier; Sitbon, Olivier; Savale, Laurent; Humbert, Marc; Parent, Florence] Univ Paris Saclay, Fac Med, Le Kremlin Bicetre, France; [Jevnikar, Mitja; Montani, David; Boucly, Athenais; Pichon, Jeremie; Preda, Mariana; Beurnier, Antoine; Bulifon, Sophie; Seferian, Andrei; Jais, Xavier; Sitbon, Olivier; Savale, Laurent; Humbert, Marc; Parent, Florence] INSERM, UMR S 999, Le Kremlin Bicetre, France; [Jevnikar, Mitja; Montani, David; Boucly, Athenais; Pichon, Jeremie; Preda, Mariana; Bulifon, Sophie; Seferian, Andrei; Jais, Xavier; Sitbon, Olivier; Savale, Laurent; Humbert, Marc; Parent, Florence] Hop Bicetre, AP HP, Serv Pneumol &amp; Soins Intensifs Resp, Le Kremlin Bicetre, France; [Sanchez, Olivier; Planquette, Benjamin] Hop Europeen Georges Pompidou, AP HP, Serv Pneumol &amp; Soins Intensifs, Paris, France; [Sanchez, Olivier; Planquette, Benjamin] INSERM, UMR S 1140, Paris, France; [Sanchez, Olivier; Planquette, Benjamin] INNOVTE, St Etienne, France; [Sanchez, Olivier; Planquette, Benjamin] Univ Paris 05, Fac Med, Paris, France; [Sanchez, Olivier; Chocron, Richard; Fournier, Laure; Planquette, Benjamin] Hop Europeen Georges Pompidou, AP HP, Serv Urgence, Paris, France; [Chocron, Richard] Hop Europeen Georges Pompidou, AP HP, Serv Urgence, Paris, France; [Andronikof, Marc] Hop Antoine Beclere, AP HP, Serv Urgenc, Clamart, France; [Raphael, Maurice] Hop Bicetre, AP HP, Serv Urgence, Le Kremlin Bicetre, France; [Meyrignac, Olivier] Hop Bicetre, AP HP, Serv Radiol, Le Kremlin Bicetre, France; [Fournier, Laure] Hop Europeen Georges Pompidou, AP HP, Serv Radiol, Paris, France; [Soudani, Mary] Hop Bicetre, AP HP, Serv Geriatrie, Le Kremlin Bicetre, France; [Beurnier, Antoine] Hop Bicetre, AP HP, Serv Physiol &amp; Explorat Fonct Resp CRISALIS F CRI, Le Kremlin Bicetre, France</t>
  </si>
  <si>
    <t>Universite Paris Saclay; Universite Paris Saclay; Institut National de la Sante et de la Recherche Medicale (Inserm); Universite Paris Saclay; Assistance Publique Hopitaux Paris (APHP); Hopital Universitaire Antoine-Beclere - APHP; Hopital Universitaire Bicetre - APHP; Assistance Publique Hopitaux Paris (APHP); Universite Paris Cite; Hopital Universitaire Europeen Georges-Pompidou - APHP; Universite Paris Cite; Institut National de la Sante et de la Recherche Medicale (Inserm); Universite Paris Cite; Assistance Publique Hopitaux Paris (APHP); Universite Paris Cite; Hopital Universitaire Europeen Georges-Pompidou - APHP; Assistance Publique Hopitaux Paris (APHP); Universite Paris Cite; Hopital Universitaire Europeen Georges-Pompidou - APHP; Assistance Publique Hopitaux Paris (APHP); Hopital Universitaire Antoine-Beclere - APHP; Universite Paris Saclay; Assistance Publique Hopitaux Paris (APHP); Hopital Universitaire Antoine-Beclere - APHP; Hopital Universitaire Bicetre - APHP; Assistance Publique Hopitaux Paris (APHP); Hopital Universitaire Antoine-Beclere - APHP; Universite Paris Saclay; Hopital Universitaire Bicetre - APHP; Assistance Publique Hopitaux Paris (APHP); Universite Paris Cite; Hopital Universitaire Europeen Georges-Pompidou - APHP; Assistance Publique Hopitaux Paris (APHP); Hopital Universitaire Antoine-Beclere - APHP; Hopital Universitaire Bicetre - APHP; Universite Paris Saclay; Universite Paris Saclay; Assistance Publique Hopitaux Paris (APHP); Hopital Universitaire Bicetre - APHP; Hopital Universitaire Antoine-Beclere - APHP</t>
  </si>
  <si>
    <t>Humbert, Marc/AAC-8459-2019; PLANQUETTE, Benjamin/AAL-7166-2021; Sanchez-Ramon, Silvia/AAZ-7670-2020; Chocron, Richard/ABF-5825-2021; Savale, Laurent/AAJ-9781-2020; David, Montani/I-6885-2019; Fournier, Laure/HJI-9361-2023</t>
  </si>
  <si>
    <t>Boucly, Athenais/0000-0001-6246-5557; Montani, David/0000-0002-9358-6922; Jevnikar, Mitja/0000-0003-0727-6790; JAIS, XAVIER/0000-0002-4104-7994; Chocron, Richard/0000-0002-5498-8937</t>
  </si>
  <si>
    <t>10.1183/13993003.00116-2021</t>
  </si>
  <si>
    <t>US9JS</t>
  </si>
  <si>
    <t>WOS:000697742000007</t>
  </si>
  <si>
    <t>Montani, D; Girerd, B; Jaïs, X; Laveneziana, P; Lau, EMT; Bouchachi, A; Hascoët, S; Günther, S; Godinas, L; Parent, F; Guignabert, C; Beurnier, A; Chemla, D; Hervé, P; Eyries, M; Soubrier, F; Simonneau, G; Sitbon, O; Savale, L; Humbert, M</t>
  </si>
  <si>
    <t>Montani, David; Girerd, Barbara; Jais, Xavier; Laveneziana, Pierantonio; Lau, Edmund M. T.; Bouchachi, Amir; Hascoet, Sebastien; Gunther, Sven; Godinas, Laurent; Parent, Florence; Guignabert, Christophe; Beurnier, Antoine; Chemla, Denis; Herve, Philippe; Eyries, Melanie; Soubrier, Florent; Simonneau, Gerald; Sitbon, Olivier; Savale, Laurent; Humbert, Marc</t>
  </si>
  <si>
    <t>Screening for pulmonary arterial hypertension in adults carrying a BMPR2 mutation</t>
  </si>
  <si>
    <t>SYSTEMIC-SCLEROSIS; EXERTIONAL DYSPNEA; CLINICAL-OUTCOMES; PRESSURE RESPONSE; EXERCISE; DIAGNOSIS; CARRIERS</t>
  </si>
  <si>
    <t>Background Heritable pulmonary arterial hypertension (PAH) is most commonly due to heterozygous mutations of the BMPR2 gene. Based on expert consensus, guidelines recommend annual screening echocardiography in asymptomatic BMPR2 mutation carriers. The main objectives of this study were to evaluate the characteristics of asymptomatic BMPR2 mutation carriers, assess their risk of occurrence of PAH and detect PAH at an early stage in this high-risk population. Methods Asymptomatic BMPR2 mutation carriers underwent screening at baseline and annually for a minimum of 2 years (DELPHI-2 study; ClinicalTrials.gov: NCT01600898). Annual screening included clinical assessment, ECG, pulmonary function tests, 6-min walk distance, cardiopulmonary exercise testing, chest radiography, echocardiography and brain natriuretic peptide (BNP) or N-terminal (NT)proBNP level. Right heart catheterisation (RHC) was performed based on predefined criteria. An optional RHC at rest and exercise was proposed at baseline. Results 55 subjects (26 males; median age 37 years) were included. At baseline, no PAH was suspected based on echocardiography and NT-proBNP levels. All subjects accepted RHC at inclusion, which identified two mild PAH cases (3.6%) and 12 subjects with exercise pulmonary hypertension (21.8%). At long-term follow-up (118.8 patient-years of follow-up), three additional cases were diagnosed, yielding a PAH incidence of 2.3% per year (0.99% per year in males and 3.5% per year in females). All PAH cases remained at low-risk status on oral therapy at last follow-up. Conclusions Asymptomatic BMPR2 mutation carriers have a significant risk of developing incident PAH. International multicentre studies are needed to confirm that refined multimodal screening programmes with regular follow-up allow early detection of PAH.</t>
  </si>
  <si>
    <t>[Montani, David; Girerd, Barbara; Jais, Xavier; Godinas, Laurent; Parent, Florence; Guignabert, Christophe; Simonneau, Gerald; Sitbon, Olivier; Savale, Laurent; Humbert, Marc] Univ Paris Saclay, Sch Med, Le Kremlin Bicetre, France; [Montani, David; Girerd, Barbara; Jais, Xavier; Godinas, Laurent; Parent, Florence; Simonneau, Gerald; Sitbon, Olivier; Savale, Laurent; Humbert, Marc] Hop Bicetre, AP HP, Serv Pneumol &amp; Soins Intensifs Resp, Le Kremlin Bicetre, France; [Montani, David; Girerd, Barbara; Jais, Xavier; Bouchachi, Amir; Hascoet, Sebastien; Godinas, Laurent; Parent, Florence; Guignabert, Christophe; Beurnier, Antoine; Chemla, Denis; Herve, Philippe; Simonneau, Gerald; Sitbon, Olivier; Savale, Laurent; Humbert, Marc] Hop Marie Lannelongue, INSERM UMRS 999, F-999 Le Plessis Robinson, France; [Laveneziana, Pierantonio] Sorbonne Univ, Neurophysiol Resp Expt &amp; Clin, INSERM UMRS 1158, Paris, France; [Laveneziana, Pierantonio] Sorbonne Univ, Univ Pitie Salpetriere Tenon &amp; St Antoine, AP HP,Dept Med Univ APPROCHES, Serv Explorat Fonctionnelles Resp Exercice &amp; Exer, Paris, France; [Lau, Edmund M. T.] Royal Prince Alfred Hosp, Dept Resp Med, Camperdown, NSW, Australia; [Bouchachi, Amir] Hop Bicetre, AP HP, Serv Cardiol, Le Kremlin Bicetre, France; [Hascoet, Sebastien] Hop Marie Lannelongue, Pole Cardiol Pediat &amp; Congenitale, Le Plessis Robinson, France; [Gunther, Sven] Georges Pompidou European Hosp, AP HP, Serv Physiol, Paris, France; [Beurnier, Antoine; Chemla, Denis] Hop Bicetre, AP HP, Serv Physiol, Le Kremlin Bicetre, France; [Herve, Philippe] Hop Marie Lannelongue, Serv Chirurg Thorac, Le Plessis Robinson, France; [Eyries, Melanie; Soubrier, Florent] Hop La Pitie Salpetriere, AP HP, Dept Genet, Paris, France; [Eyries, Melanie; Soubrier, Florent] Sorbonne Univ, INSERM UMRS 1166, Paris, France; [Eyries, Melanie; Soubrier, Florent] Inst Cardiometab &amp; Nutr ICAN, Paris, France</t>
  </si>
  <si>
    <t>Universite Paris Saclay; Universite Paris Saclay; Assistance Publique Hopitaux Paris (APHP); Hopital Universitaire Bicetre - APHP; Hopital Universitaire Antoine-Beclere - APHP; Hopital Marie Lannelongue; Institut National de la Sante et de la Recherche Medicale (Inserm); Institut National de la Sante et de la Recherche Medicale (Inserm); Sorbonne Universite; Assistance Publique Hopitaux Paris (APHP); Sorbonne Universite; Hopital Universitaire Tenon - APHP; NSW Health; Royal Prince Alfred Hospital; University of Sydney; Assistance Publique Hopitaux Paris (APHP); Hopital Universitaire Antoine-Beclere - APHP; Hopital Universitaire Bicetre - APHP; Universite Paris Saclay; Hopital Marie Lannelongue; Assistance Publique Hopitaux Paris (APHP); Universite Paris Cite; Hopital Universitaire Europeen Georges-Pompidou - APHP; Assistance Publique Hopitaux Paris (APHP); Hopital Universitaire Bicetre - APHP; Hopital Universitaire Antoine-Beclere - APHP; Universite Paris Saclay; Hopital Marie Lannelongue; Sorbonne Universite; Assistance Publique Hopitaux Paris (APHP); Hopital Universitaire Pitie-Salpetriere - APHP; Sorbonne Universite; Institut National de la Sante et de la Recherche Medicale (Inserm); Institut National de la Sante et de la Recherche Medicale (Inserm); Sorbonne Universite</t>
  </si>
  <si>
    <t>Humbert, M (corresponding author), Univ Paris Saclay, Sch Med, Le Kremlin Bicetre, France.;Humbert, M (corresponding author), Hop Bicetre, AP HP, Serv Pneumol &amp; Soins Intensifs Resp, Le Kremlin Bicetre, France.;Humbert, M (corresponding author), Hop Marie Lannelongue, INSERM UMRS 999, F-999 Le Plessis Robinson, France.</t>
  </si>
  <si>
    <t>Humbert, Marc/AAC-8459-2019; David, Montani/I-6885-2019; Laveneziana, Pierantonio/GWC-2028-2022; Godinas, Laurette/AAS-1059-2021; Savale, Laurent/AAJ-9781-2020; Günther, Sven/ACV-7191-2022; GUNTHER, Sven/P-4177-2017; GUIGNABERT, Christophe/G-3873-2013; Hascoet, Sebastien/Q-3311-2018</t>
  </si>
  <si>
    <t>Montani, David/0000-0002-9358-6922; GUNTHER, Sven/0000-0001-8388-6131; GUIGNABERT, Christophe/0000-0002-8545-4452; Hascoet, Sebastien/0000-0002-8695-0503; JAIS, XAVIER/0000-0002-4104-7994</t>
  </si>
  <si>
    <t>French Ministry of Social Affairs and Health [NCT01600898, PHRC P100175]; French Pulmonary Hypertension Patient Association HTaPFrance; Bayer; European Respiratory Society [LTRF-2013-1592]</t>
  </si>
  <si>
    <t>French Ministry of Social Affairs and Health; French Pulmonary Hypertension Patient Association HTaPFrance; Bayer(Bayer AG); European Respiratory Society</t>
  </si>
  <si>
    <t>The DELPHI-2 study (NCT01600898) was funded by the French Ministry of Social Affairs and Health (PHRC P100175) and supported by the French Pulmonary Hypertension Patient Association HTaPFrance, Chancellerie des Universites, Legs Poix, France, Pulmonary Hypertension Grants Program 2013 from Bayer and the European Respiratory Society (grant LTRF-2013-1592). Funding information for this article has been deposited with the Crossref Funder Registry.</t>
  </si>
  <si>
    <t>10.1183/13993003.04229-2020</t>
  </si>
  <si>
    <t>hybrid, Green Published, Green Submitted</t>
  </si>
  <si>
    <t>WOS:000697742000026</t>
  </si>
  <si>
    <t>Montani, D; Savale, L; Beurnier, A; Colle, R; Noël, N; Pham, T; Monnet, X; Humbert, M</t>
  </si>
  <si>
    <t>Montani, David; Savale, Laurent; Beurnier, Antoine; Colle, Romain; Noel, Nicolas; Pham, Tai; Monnet, Xavier; Humbert, Marc</t>
  </si>
  <si>
    <t>Multidisciplinary approach for post-acute COVID-19 syndrome: time to break down the walls</t>
  </si>
  <si>
    <t>[Montani, David; Savale, Laurent; Beurnier, Antoine; Colle, Romain; Noel, Nicolas; Pham, Tai; Monnet, Xavier; Humbert, Marc] Univ Paris Saclay, Fac Med, Le Kremlin Bicetre, France; [Montani, David; Savale, Laurent; Beurnier, Antoine; Monnet, Xavier; Humbert, Marc] Hop Marie Lannelongue, INSERM UMR S 999, Le Plessis Robinson, France; [Montani, David; Savale, Laurent; Humbert, Marc] Hop Bicetre, AP HP, Pulm Hypertens Natl Referral Ctr, Dept Resp &amp; Intens Care Med,DMU Thorinno 5, Le Kremlin Bicetre, France; [Beurnier, Antoine] Hop Bicetre, AP HP, Dept Physiol Pulm Funct Testing, DMU 5 Thorinno, Le Kremlin Bicetre, France; [Colle, Romain] Hop Bicetre, AP HP, INSERM U1178,DMU 11,Equipe MOODS, CESP Ctr Rech Epidemiol &amp; Sante Populat,Serv Psyc, Le Kremlin Bicetre, France; [Noel, Nicolas] Hop Bicetre, AP HP, DMU Endocrinol Immunites Inflammat Canc Urgences, Serv Med Interne &amp; Immunol Clin, Le Kremlin Bicetre, France; [Pham, Tai; Monnet, Xavier] Hop Bicetre, AP HP, DMU CORREVE Malad Coeur &amp; Vaisseaux 4, Serv Med Intens Reanimat,FHU Sepsis, Le Kremlin Bicetre, France</t>
  </si>
  <si>
    <t>Universite Paris Saclay; Universite Paris Saclay; Institut National de la Sante et de la Recherche Medicale (Inserm); Hopital Marie Lannelongue; Assistance Publique Hopitaux Paris (APHP); Hopital Universitaire Antoine-Beclere - APHP; Hopital Universitaire Bicetre - APHP; Universite Paris Saclay; Assistance Publique Hopitaux Paris (APHP); Hopital Universitaire Antoine-Beclere - APHP; Hopital Universitaire Bicetre - APHP; Universite Paris Saclay; Assistance Publique Hopitaux Paris (APHP); Hopital Universitaire Antoine-Beclere - APHP; Universite Paris Cite; Universite Paris Saclay; Hopital Universitaire Bicetre - APHP; Institut National de la Sante et de la Recherche Medicale (Inserm); Assistance Publique Hopitaux Paris (APHP); Hopital Universitaire Antoine-Beclere - APHP; Hopital Universitaire Bicetre - APHP; Universite Paris Saclay; Assistance Publique Hopitaux Paris (APHP); Hopital Universitaire Antoine-Beclere - APHP; Universite Paris Saclay; Hopital Universitaire Bicetre - APHP</t>
  </si>
  <si>
    <t>Montani, D (corresponding author), Dept Resp &amp; Intens Care Med, Le Kremlin Bicetre, France.;Montani, D (corresponding author), 78 Rue Gen Leclerc, F-94270 Le Kremlin Bicetre, France.</t>
  </si>
  <si>
    <t>David, Montani/I-6885-2019; Mariette, Xavier/N-3743-2013; Colle, Romain/IQV-1876-2023; Pham, Tai/KHY-9966-2024; Savale, Laurent/AAJ-9781-2020; Noel, Nicolas/AAK-3911-2021; Humbert, Marc/AAC-8459-2019</t>
  </si>
  <si>
    <t>Montani, David/0000-0002-9358-6922; Humbert, Marc/0000-0003-0703-2892; PHAM, Tai/0000-0002-4373-0711; MONNET, Xavier/0000-0001-6820-2678; Savale, Laurent/0000-0002-6862-8975; Colle, Romain/0000-0002-2549-4495</t>
  </si>
  <si>
    <t>10.1183/13993003.01090-2021</t>
  </si>
  <si>
    <t>WOS:000697742000031</t>
  </si>
  <si>
    <t>Taniguchi, H; Takashima, T; Tu, L; Thuillet, R; Furukawa, A; Furukawa, Y; Kawamura, A; Humbert, M; Guignabert, C; Tamura, Y</t>
  </si>
  <si>
    <t>Taniguchi, Hirohisa; Takashima, Tomoya; Tu, Ly; Thuillet, Raphael; Furukawa, Asuka; Furukawa, Yoshiko; Kawamura, Akio; Humbert, Marc; Guignabert, Christophe; Tamura, Yuichi</t>
  </si>
  <si>
    <t>Pulmonary hypertension associated with neurofibromatosis type 2</t>
  </si>
  <si>
    <t>pulmonary hypertension; neurofibromatosis; pulmonary vascular remodelling; endothelial dysfunction; Merlin</t>
  </si>
  <si>
    <t>INHIBITION</t>
  </si>
  <si>
    <t>Although precapillary pulmonary hypertension is a rare but severe complication of patients with neurofibromatosis type 1 (NF1), its association with NF2 remains unknown. Herein, we report a case of a 44-year-old woman who was initially diagnosed with idiopathic pulmonary arterial hypertension and treated with pulmonary arterial hypertension-specific combination therapy. However, a careful assessment for a relevant family history of the disease and genetic testing reveal that this patient had a mutation in the NF2 gene. Using immunofluorescence and Western blotting, we demonstrated a decrease in endothelial NF2 protein in lungs from idiopathic pulmonary arterial hypertension patients compared to control lungs, suggesting a potential role of NF2 in pulmonary arterial hypertension development. To our knowledge, this is the first time that precapillary pulmonary hypertension has been described in a patient with NF2. The altered endothelial NF2 expression pattern in pulmonary arterial hypertension lungs should stimulate work to better understand how NF2 is contributing to the pulmonary vascular remodelling associated to these severe life-threatening conditions.</t>
  </si>
  <si>
    <t>[Taniguchi, Hirohisa; Furukawa, Asuka; Furukawa, Yoshiko; Kawamura, Akio; Tamura, Yuichi] Int Univ Hlth &amp; Welf, Dept Cardiol, Mita Hosp, Tokyo, Japan; [Takashima, Tomoya; Furukawa, Asuka; Tamura, Yuichi] Int Univ Hlth &amp; Welf, Pulm Hypertens Ctr, Mita Hosp, Tokyo, Japan; [Takashima, Tomoya] Tokyo Univ Agr, Dept Biosci, Tokyo, Japan; [Tu, Ly; Thuillet, Raphael; Humbert, Marc; Guignabert, Christophe] Univ Paris Saclay, Sch Med, Le Kremlin Bicetre, France; [Tu, Ly; Thuillet, Raphael; Humbert, Marc; Guignabert, Christophe] Hop Marie Lannelongue, UMR S 999, INSERM, Le Plessis Robinson, France; [Humbert, Marc] Hop Bicetre, AP HP, Dept Resp &amp; Intens Care Med, Le Kremlin Bicetre, France</t>
  </si>
  <si>
    <t>International University of Health &amp; Welfare; International University of Health &amp; Welfare; Tokyo University of Agriculture; Universite Paris Saclay; Hopital Marie Lannelongue; Institut National de la Sante et de la Recherche Medicale (Inserm); Universite Paris Saclay; Assistance Publique Hopitaux Paris (APHP); Hopital Universitaire Antoine-Beclere - APHP; Universite Paris Saclay; Hopital Universitaire Bicetre - APHP</t>
  </si>
  <si>
    <t>Tamura, Y (corresponding author), Int Univ Hlth &amp; Welf, Pulm Hypertens Ctr, Mita Hosp, Minato Ku, 1-4-3 Mita, Tokyo 1088329, Japan.</t>
  </si>
  <si>
    <t>ul@ta-mu.net</t>
  </si>
  <si>
    <t>Tamura, Yuichi/B-5991-2014; takashima, tomoya/ABG-7994-2021; Humbert, Marc/AAC-8459-2019; TU, Ly/G-4035-2013; GUIGNABERT, Christophe/G-3873-2013</t>
  </si>
  <si>
    <t>Takashima, Tomoya/0000-0002-3648-1569; Tamura, Yuichi/0000-0002-4437-8019; Thuillet, Raphael/0000-0002-1379-3797; TU, Ly/0000-0003-2336-5099; GUIGNABERT, Christophe/0000-0002-8545-4452</t>
  </si>
  <si>
    <t>10.1177/20458940211029550</t>
  </si>
  <si>
    <t>UJ5RO</t>
  </si>
  <si>
    <t>WOS:000691342600001</t>
  </si>
  <si>
    <t>Esnaud, R; Gagnadoux, F; Beurnier, A; Berrehare, A; Trzepizur, W; Humbert, M; Montani, D; Jutant, EM</t>
  </si>
  <si>
    <t>Esnaud, R.; Gagnadoux, F.; Beurnier, A.; Berrehare, A.; Trzepizur, W.; Humbert, M.; Montani, D.; Jutant, E. -M.</t>
  </si>
  <si>
    <t>The association between sleep-related breathing disorders and pre-capillary pulmonary hypertension: A chicken and egg question</t>
  </si>
  <si>
    <t>POSITIVE AIRWAY PRESSURE; OBESITY-HYPOVENTILATION SYNDROME; APNEA SYNDROME; NONINVASIVE VENTILATION; ARTERIAL-HYPERTENSION; HEMODYNAMICS; HYPOXEMIA; HYPERCAPNIA; PREVALENCE; FREQUENCY</t>
  </si>
  <si>
    <t>The level of knowledge about a direct link between sleep-related breathing disorders and pre-capillary pulmonary hypertension (PH) is low and there is a chicken and egg question to know which disease causes the other. On one hand, sleep-related breathing disorders are considered as a cause of group 3PH, in the subgroup of patients with hypoxemia without lung disease. Indeed, isolated sleep-related breathing disorders can lead to mild pre-capillary PH on their own, although this is rare for obstructive sleep apnea and difficult to establish for obesity-hypoventilation syndrome, the evolution towards PH being observed especially in the presence of respiratory comorbidities. The hemodynamic improvement under treatment with continuous positive airway pressure or non-invasive ventilation also argues for a causal link between pre-capillary PH and sleep-related breathing disorders. On the other hand, patients followed for pre-capillary PH, particularly pulmonary arterial hypertension and chronic thromboembolic pulmonary hypertension, develop more sleep-related breathing disorders than the general population, especially sleep hypoxemia, central sleep apnea in patients with severe PH and obstructive sleep apnea in older patients with higher body mass index. The main objective of this article is therefore to answer two main questions, which will then lead us to discuss the bilateral link between these diseases: are sleeprelated breathing disorders independent risk factors for pre-capillary PH and does pre-capillary PH induce sleep-related breathing disorders? In other words, who is the chicken and who is the egg?</t>
  </si>
  <si>
    <t>[Esnaud, R.; Gagnadoux, F.; Trzepizur, W.] Univ Angers, INSERM UMR1063, Angers, France; [Esnaud, R.; Gagnadoux, F.; Trzepizur, W.] Angers Univ Hosp, Dept Resp &amp; Sleep Med, Angers, France; [Beurnier, A.; Humbert, M.; Montani, D.; Jutant, E. -M.] Univ Paris Saclay, Sch Med, Le Kremlin Bicetre, France; [Beurnier, A.; Humbert, M.; Montani, D.; Jutant, E. -M.] Hop Marie Lannelongue, INSERM UMR S 999 Pulm Hypertens Pathophysiol &amp; No, Le Plessis Robinson, France; [Beurnier, A.] Hop Bicetre, Assistance Publ Hop Paris AP HP, Serv Physiol &amp; Explorat Fonct Resp, Le Kremlin Bicetre, France; [Berrehare, A.] Ctr Hosp Mans, Dept Pneumol, Le Mans, France; [Humbert, M.; Montani, D.; Jutant, E. -M.] Hop Bicetre, Assistance Publ Hop Paris AP HP, Dept Resp &amp; Intens Care Med, Pulm Hypertens Natl Referral Ctr, Le Kremlin Bicetre, France</t>
  </si>
  <si>
    <t>Institut National de la Sante et de la Recherche Medicale (Inserm); Universite d'Angers; Universite d'Angers; Centre Hospitalier Universitaire d'Angers; Universite Paris Saclay; Hopital Marie Lannelongue; Institut National de la Sante et de la Recherche Medicale (Inserm); Assistance Publique Hopitaux Paris (APHP); Hopital Universitaire Bicetre - APHP; Universite Paris Saclay; Hopital Universitaire Antoine-Beclere - APHP; Centre Hospitalier Le Mans; Assistance Publique Hopitaux Paris (APHP); Hopital Universitaire Bicetre - APHP; Universite Paris Saclay; Hopital Universitaire Antoine-Beclere - APHP</t>
  </si>
  <si>
    <t>Jutant, EM (corresponding author), Hop Bicetre, Assistance Publ Hop Paris, Serv Pneumol &amp; Soins Intensifs Thorac, Ctr Reference Hypertens Pulm,INSERM U999 Pulm Hyp, 78 Rue Gen Leclerc, F-94270 Le Kremlin Bicetre, France.</t>
  </si>
  <si>
    <t>etiennemarie.jutant@aphp.fr</t>
  </si>
  <si>
    <t>10.1016/j.resmer.2021.100835</t>
  </si>
  <si>
    <t>JUN 2021</t>
  </si>
  <si>
    <t>WA5TD</t>
  </si>
  <si>
    <t>WOS:000702946700013</t>
  </si>
  <si>
    <t>Le Pavec, J; Séverine, F; Olaf, M; Pauline, P; Gaëlle, D; Adrian, C; Valentina, F; Laurent, S; Marilyne, L; Florent, L; François, S; Dominique, F; Delphine, M; David, B; Sacha, M; Sébastien, H; Damien, B; Marc, H; Elie, F</t>
  </si>
  <si>
    <t>Le Pavec, Jerome; Severine, Feuillet; Olaf, Mercier; Pauline, Pradere; Gaelle, Dauriat; Adrian, Crutu; Valentina, Florea; Laurent, Savale; Marilyne, Levy; Florent, Laverdure; Francois, Stephan; Dominique, Fabre; Delphine, Mitilian; David, Boulate; Sacha, Mussot; Sebastien, Hascoet; Damien, Bonnet; Marc, Humbert; Elie, Fadel</t>
  </si>
  <si>
    <t>Lung and heart-lung transplantation for children with PAH: Dramatic benefits from the implementation of a high-priority allocation program in France</t>
  </si>
  <si>
    <t>children; pulmonary arterial hypertension; lung transplantation; heart-lung transplantation; high-emergency allocation program; survival; waiting-list</t>
  </si>
  <si>
    <t>PULMONARY VASCULAR-DISEASE; INTERNATIONAL SOCIETY; POTTS SHUNT; SURVIVAL; FAILURE; DEATH</t>
  </si>
  <si>
    <t>PURPOSE: Pulmonary arterial hypertension (PAH) is rare but remains fatal in infants and children despite the advance of targeted therapies. Lung transplantation (LTx), first performed in pediatric patients in the 1980s, is, with the Potts shunt, the only potentially life-extending option in patients with end-stage PAH but is possible only in tightly selected patients. Size-matching challenges severely restrict the donor organ pool, resulting-together with peculiarities of PAH in infants-in high waitlist mortality. We aimed to investigate survival when using a high-priority allocation program (HPAP) in children with PAH listed for double-LTx or heart-LTx. METHODS: We conducted a single-center, retrospective, before-after study of consecutive children with severe Group 1 PAH listed for double-LTx or heart-LTx between 1988 and 2019. The HPAP was implemented in France in 2006 and 2007 for heart-LTx and double-LTx, respectively. RESULTS: Fifty-five children with PAH were listed for transplantation. Mean age at transplantation was 15.8 +/- 2.8 years and 72% had heart-lung transplantation. PAH was usually idiopathic (65%) or due to congenital heart disease (25%). HPAP implementation resulted in the following significant benefits: Decreased cumulative incidence of waitlist death within 1 and 2 years (p &lt; 0.0001); increased cumulative incidence of transplantation within 6 months, from 44% to 67% (p &lt; 0.01); and improved survival after listing (at 1, 3, and 5 years: 61%, 50%, and 44% vs. 92%, 84%, and 72% before and after HPAP implementation, respectively; p = 0.02). CONCLUSION: HPAP implementation was associated with significant improvements in access to transplantation and in survival after listing in children with end-stage PAH. (C) 2021 International Society for Heart and Lung Transplantation. All rights reserved.</t>
  </si>
  <si>
    <t>[Le Pavec, Jerome; Severine, Feuillet; Olaf, Mercier; Pauline, Pradere; Gaelle, Dauriat; Adrian, Crutu; Valentina, Florea; Dominique, Fabre; Delphine, Mitilian; David, Boulate; Sacha, Mussot; Elie, Fadel] Grp Hosp Marie Lannelongue St Joseph, Serv Chirurg Thorac Vasculaire &amp; Transplantat Car, Le Plessis Robinson, France; [Le Pavec, Jerome; Severine, Feuillet; Olaf, Mercier; Pauline, Pradere; Gaelle, Dauriat; Adrian, Crutu; Valentina, Florea; Laurent, Savale; Dominique, Fabre; Delphine, Mitilian; David, Boulate; Sacha, Mussot; Sebastien, Hascoet; Marc, Humbert; Elie, Fadel] Univ Paris Saclay, Le Kremlin Bicetre, France; [Le Pavec, Jerome; Severine, Feuillet; Olaf, Mercier; Pauline, Pradere; Gaelle, Dauriat; Adrian, Crutu; Valentina, Florea; Laurent, Savale; Dominique, Fabre; Delphine, Mitilian; David, Boulate; Sacha, Mussot; Sebastien, Hascoet; Marc, Humbert; Elie, Fadel] Univ Paris Sud, Grp Hosp Marie Lannelongue St Joseph, UMR S 999, INSERM, Le Plessis Robinson, France; [Laurent, Savale] Hop Bicetre, AP HP, Serv Pneumol, Le Kremlin Bicetre, France; [Marilyne, Levy; Damien, Bonnet] Univ Paris, Hop Univ Necker Enfants Malades, Ctr Reference Natl Malformat Cardiaques Congenita, M3C Necker, Paris, France; [Florent, Laverdure; Francois, Stephan] Grp Hosp Marie Lannelongue St Joseph, Dept Anesthesie Reanimat, Le Plessis Robinson, France; [Sebastien, Hascoet] Grp Hosp Marie Lannelongue St Joseph, Serv Cardiopathie Congenitale Enfant &amp; Adulte, Le Plessis Robinson, France</t>
  </si>
  <si>
    <t>Universite Paris Saclay; Universite Paris Saclay; Institut National de la Sante et de la Recherche Medicale (Inserm); Assistance Publique Hopitaux Paris (APHP); Hopital Universitaire Bicetre - APHP; Hopital Universitaire Antoine-Beclere - APHP; Universite Paris Saclay; Assistance Publique Hopitaux Paris (APHP); Universite Paris Cite; Hopital Universitaire Necker-Enfants Malades - APHP</t>
  </si>
  <si>
    <t>Le Pavec, J (corresponding author), Hop Marie Lannelongue, Serv Chirurg Thorac Vasc &amp; Transplantat Cardopulm, 133 Ave Resistance, F-92350 Le Plessis Robinson, France.</t>
  </si>
  <si>
    <t>Pradere, Pauline/0000-0003-4043-4666; Mercier, Olaf/0000-0002-4760-6267; Humbert, Marc/0000-0003-0703-2892</t>
  </si>
  <si>
    <t>10.1016/j.healun.2021.03.013</t>
  </si>
  <si>
    <t>SX2FJ</t>
  </si>
  <si>
    <t>WOS:000665026100016</t>
  </si>
  <si>
    <t>Taillé, C; Devillier, P; Dusser, D; Humbert, M; Maurer, C; Roche, N</t>
  </si>
  <si>
    <t>Taille, C.; Devillier, P.; Dusser, D.; Humbert, M.; Maurer, C.; Roche, N.</t>
  </si>
  <si>
    <t>Evaluating response to biologics in severe asthma: Precision or guesstimation?</t>
  </si>
  <si>
    <t>NITRIC-OXIDE; EOSINOPHILIA</t>
  </si>
  <si>
    <t>[Taille, C.] Nord Univ Paris, Hop Bichat, AP HP, Grp Hosp Univ,Serv Pneumol, Paris, France; [Taille, C.] Nord Univ Paris, Hop Bichat, AP HP, Grp Hosp Univ,Ctr Reference Constitutif Malad Pul, Paris, France; [Taille, C.] Inserm UMR 1152, Paris, France; [Devillier, P.] Hop Foch, Dept Airway Dis, Suresnes, France; [Devillier, P.] Univ Paris Saclay, Lab Res Resp Pharmacol, VIM UMR 0092, Suresnes, France; [Dusser, D.; Roche, N.] Ctr Univ Paris, Hop Cochin, AP HP, Serv Pneumol,Grp Hosp Univ,INSERM UMR 1016,Inst C, Paris, France; [Humbert, M.] Univ Paris Saclay, Fac Med, Le Kremlin Bicetre, France; [Humbert, M.] INSERM UMR S 999, Le Kremlin Bicetre, France; [Humbert, M.] Hop Bicetre, AP HP, Serv Pneumol &amp; Soins Intensifs Resp, Le Kremlin Bicetre, France; [Maurer, C.] Grp Hosp Intercommunal Montfermeil, Serv Pneumol, 10 Rue Gen Leclerc, Montfermeil, France</t>
  </si>
  <si>
    <t>Assistance Publique Hopitaux Paris (APHP); Universite Paris Cite; Hopital Universitaire Bichat-Claude Bernard - APHP; Assistance Publique Hopitaux Paris (APHP); Universite Paris Cite; Hopital Universitaire Bichat-Claude Bernard - APHP; Institut National de la Sante et de la Recherche Medicale (Inserm); Universite Paris Cite; Hospital Foch; Universite Paris Saclay; Institut National de la Sante et de la Recherche Medicale (Inserm); Assistance Publique Hopitaux Paris (APHP); Universite Paris Cite; Hopital Universitaire Cochin - APHP; Universite Paris Saclay; Universite Paris Saclay; Institut National de la Sante et de la Recherche Medicale (Inserm); Universite Paris Saclay; Assistance Publique Hopitaux Paris (APHP); Hopital Universitaire Antoine-Beclere - APHP; Hopital Universitaire Bicetre - APHP</t>
  </si>
  <si>
    <t>Taillé, C (corresponding author), Hop Bichat Claude Bernard, 46 Rue Henri Huchard, F-75018 Paris, France.</t>
  </si>
  <si>
    <t>camille.taille@aphp.fr</t>
  </si>
  <si>
    <t>Roche, Nicolas/AAE-9206-2021; Taille, Camille/J-3751-2017; Humbert, Marc/AAC-8459-2019</t>
  </si>
  <si>
    <t>Humbert, Marc/0000-0003-0703-2892; Taille, Camille/0000-0001-9768-5728</t>
  </si>
  <si>
    <t>This work stems from a board supported by Novartis.</t>
  </si>
  <si>
    <t>10.1016/j.resmer.2021.100813</t>
  </si>
  <si>
    <t>WOS:000702946700005</t>
  </si>
  <si>
    <t>Fargeot, G; Humbert, M; Echaniz-Laguna, A</t>
  </si>
  <si>
    <t>Fargeot, G.; Humbert, M.; Echaniz-Laguna, A.</t>
  </si>
  <si>
    <t>RFC1 gene intronic repeat expansion and unexplained chronic cough: A pathophysiological conundrumDear</t>
  </si>
  <si>
    <t>NEUROPATHY</t>
  </si>
  <si>
    <t>[Fargeot, G.] Hop La Pitie Salpetriere, AP HP, Neurophysiol Dept, Paris, France; [Humbert, M.] Univ Paris Saclay, Hop Bicetre, AP HP, Inserm U999,Serv Pneumol &amp; Soins Intensifs Resp, Le Kremlin Bicetre, France; [Echaniz-Laguna, A.] CHU Bicetre, AP HP, Neurol Dept, Le Kremlin Bicetre, France; [Echaniz-Laguna, A.] French Natl Reference Ctr Rare Neuropathies NNERF, F-94276 Le Kremlin Bicetre, France; [Echaniz-Laguna, A.] Paris Saclay Univ, Inserm U1195, Le Kremlin Bicetre, France</t>
  </si>
  <si>
    <t>Assistance Publique Hopitaux Paris (APHP); Hopital Universitaire Pitie-Salpetriere - APHP; Sorbonne Universite; Assistance Publique Hopitaux Paris (APHP); Hopital Universitaire Bicetre - APHP; Institut National de la Sante et de la Recherche Medicale (Inserm); Hopital Universitaire Antoine-Beclere - APHP; Universite Paris Saclay; Assistance Publique Hopitaux Paris (APHP); Hopital Universitaire Bicetre - APHP; Institut National de la Sante et de la Recherche Medicale (Inserm); Universite Paris Saclay</t>
  </si>
  <si>
    <t>Fargeot, G (corresponding author), Hop La Pitie Salpetriere, AP HP, Neurophysiol Dept, Paris, France.</t>
  </si>
  <si>
    <t>guillaume.fargeot@aphp.fr</t>
  </si>
  <si>
    <t>Fargeot, Guillaume/HGU-8294-2022; Echaniz-Laguna, Andoni/IUN-5392-2023; Humbert, Marc/AAC-8459-2019</t>
  </si>
  <si>
    <t>10.1016/j.resmer.2021.100831</t>
  </si>
  <si>
    <t>WOS:000702946700009</t>
  </si>
  <si>
    <t>Thoré, P; Jaïs, X; Savale, L; Dorfmuller, P; Boucly, A; Devilder, M; Meyrignac, O; Pichon, J; Mankikian, J; Riou, M; Boiffard, E; Boissin, C; De Groote, P; Chabanne, C; Gagnadoux, F; Bergeron, A; Noel, N; Sitbon, O; Humbert, M; Montani, D</t>
  </si>
  <si>
    <t>Thore, Pierre; Jais, Xavier; Savale, Laurent; Dorfmuller, Peter; Boucly, Athenais; Devilder, Matthieu; Meyrignac, Olivier; Pichon, Jeremie; Mankikian, Julie; Riou, Marianne; Boiffard, Emmanuel; Boissin, Clement; De Groote, Pascal; Chabanne, Celine; Gagnadoux, Frederic; Bergeron, Anne; Noel, Nicolas; Sitbon, Olivier; Humbert, Marc; Montani, David</t>
  </si>
  <si>
    <t>Pulmonary Hypertension in Patients with Common Variable Immunodeficiency</t>
  </si>
  <si>
    <t>JOURNAL OF CLINICAL IMMUNOLOGY</t>
  </si>
  <si>
    <t>Common variable immunodeficiency; Granulomatous lymphocytic granulomas; Interstitial lung disease; Pulmonary hypertension</t>
  </si>
  <si>
    <t>ARTERIAL-HYPERTENSION; IMMUNE-DEFICIENCY; DISEASE; MANAGEMENT; DIAGNOSIS; GLILD</t>
  </si>
  <si>
    <t>Purpose Common variable immunodeficiency (CVID) is known to cause infectious, inflammatory, and autoimmune manifestations. Pulmonary hypertension (PH) is an unusual complication of CVID with largely unknown characteristics and mechanisms. Methods We report the clinical, functional, hemodynamics, radiologic and histologic characteristics, and outcomes of CVID-associated PH patients from the French PH Network. Results Ten patients were identified. The median (range) age at CVID diagnosis was 36.5 (4-49) years and the median delay between CVID and PH diagnosis was 12 (0-30) years. CVID-associated PH affected predominantly women (female-to-male ratio 9:1). Most patients were New York Heart Association functional class III with a severe hemodynamic profile and frequent portal hypertension (n = 6). Pulmonary function tests were almost normal in 70% of patients and showed a mild restrictive syndrome in 30% of patients while the diffusing capacity for carbon monoxide was decreased in all but one patient. High-resolution computed tomography found enlarged mediastinal nodes, mild interstitial infiltration with reticulations and nodules. Two patients had a CIVD-interstitial lung disease, and one presented with bronchiectasis. Pathologic assessment of lymph nodes performed in 5 patients revealed the presence of granulomas (n = 5) and follicular lymphoid hyperplasia (n = 3). At last follow-up (median 24.5 months), 9 patients were alive, and one patient died of Hodgkin disease. Conclusion PH is a possible complication of CVID whose pathophysiological mechanisms, while still unclear, would be due to the inflammatory nature of CVID. CVID-associated PH presents as precapillary PH with multiple possible causes, acting in concert in some patients: a portal hypertension, a pulmonary vascular remodeling, sometimes a pulmonary parenchymal involvement and occasionally an extrinsic compression by mediastinal lymphadenopathies, which would be consistent with its classification in group 5 of the current PH classification.</t>
  </si>
  <si>
    <t>[Thore, Pierre; Savale, Laurent; Boucly, Athenais; Pichon, Jeremie; Sitbon, Olivier; Humbert, Marc; Montani, David] Hop Bicetre, Pulm Hypertens Natl Referral Ctr, Dept Resp &amp; Intens Care Med, AP HP, Le Kremlin Bicetre, France; [Thore, Pierre] Hop Brabois, Dept Pneumol, Ctr Hosp Reg Univ CHRU Nancy, Vandoeuvre Les Nancy, France; [Thore, Pierre] Univ Lorraine, Sch Med Nancy, Defaillance Cardiovasc Aigue &amp; Chron, INSERM,UMR S 1116, Nancy, France; [Savale, Laurent; Boucly, Athenais; Devilder, Matthieu; Meyrignac, Olivier; Pichon, Jeremie; Noel, Nicolas; Sitbon, Olivier; Humbert, Marc; Montani, David] Univ Paris Saclay, Sch Med, Le Kremlin Bicetre, France; [Jais, Xavier; Savale, Laurent; Boucly, Athenais; Pichon, Jeremie; Sitbon, Olivier; Humbert, Marc; Montani, David] Hop Marie Lannelongue, Pulm Hypertens Pathophysiol &amp; Novel Therapies, INSERM, UMR S 999, Le Plessis Robinson, France; [Dorfmuller, Peter] Univ Hosp Giessen &amp; Marburg UKGM, Dept Pathol, Giessen, Germany; [Devilder, Matthieu; Meyrignac, Olivier] Hop Bicetre, Dept Radiol, AP HP, Le Kremlin Bicetre, France; [Mankikian, Julie] Hop Bretonneau, Dept Pneumol, Ctr Hosp Reg Univ CHRU Tours, Tours, France; [Riou, Marianne] Nouvel Hop Civil NHC Strasbourg, Ctr Hosp Univ CHU Strasbourg, Dept Pneumol, Strasbourg, France; [Boiffard, Emmanuel] Hop La Roche Sur Yon, Dept Cardiol, Ctr Hosp Dept CHD Vendee, La Roche Sur Yon, France; [Boissin, Clement] Hop Arnaud Villeneuve, Ctr Hosp Univ CHU Montpellier, Dept Pneumol, Montpellier, France; [De Groote, Pascal] Hop Albert Calmette, Ctr Hosp Univ CHU Lille, Dept Cardiol, Lille, France; [Chabanne, Celine] Ctr Hosp Univ CHU Rennes, Cardio Pneumol Ctr, Dept Cardiol &amp; Vasc Dis, Rennes, France; [Gagnadoux, Frederic] Ctr Hosp Univ, CHU DAngers, Dept Pneumol, Angers, France; [Gagnadoux, Frederic] INSERM, U1063, Sch Med, Angers, France; [Bergeron, Anne] Univ Paris, AP HP, Dept Pneumol, Hop St Louis, Paris, France; [Bergeron, Anne] Hop St Louis, Ctr Rech Epidemiol &amp; Stat Sorbonne Paris Cite, INSERM, UMR S 1153, Paris, France; [Noel, Nicolas] Hop Bicetre, Dept Internal Med &amp; Immunol, AP HP, Le Kremlin Bicetre, France; [Noel, Nicolas] CEA, INSERM, UMR 1184, Le Kremlin Bicetre, France; [De Groote, Pascal] Inst Pasteur, INSERM, U1167, Lille, France</t>
  </si>
  <si>
    <t>Universite Paris Saclay; Assistance Publique Hopitaux Paris (APHP); Hopital Universitaire Antoine-Beclere - APHP; Hopital Universitaire Bicetre - APHP; CHU de Nancy; Universite de Lorraine; Institut National de la Sante et de la Recherche Medicale (Inserm); Universite Paris Saclay; Universite Paris Saclay; Hopital Marie Lannelongue; Institut National de la Sante et de la Recherche Medicale (Inserm); University Hospital of Giessen &amp; Marburg; Assistance Publique Hopitaux Paris (APHP); Hopital Universitaire Bicetre - APHP; Universite Paris Saclay; Hopital Universitaire Antoine-Beclere - APHP; CHU Tours; CHD Vendee; Universite de Montpellier; CHU de Montpellier; Universite de Lille; CHU Lille; Universite de Rennes; CHU Rennes; CHU de Toulouse; Universite d'Angers; Centre Hospitalier Universitaire d'Angers; Institut National de la Sante et de la Recherche Medicale (Inserm); Universite d'Angers; Assistance Publique Hopitaux Paris (APHP); Universite Paris Cite; Hopital Universitaire Saint-Louis - APHP; Universite Paris Cite; Institut National de la Sante et de la Recherche Medicale (Inserm); Assistance Publique Hopitaux Paris (APHP); Hopital Universitaire Saint-Louis - APHP; Assistance Publique Hopitaux Paris (APHP); Hopital Universitaire Bicetre - APHP; Universite Paris Saclay; Hopital Universitaire Antoine-Beclere - APHP; CEA; Institut National de la Sante et de la Recherche Medicale (Inserm); Pasteur Network; Universite de Lille; Institut Pasteur Lille; Institut National de la Sante et de la Recherche Medicale (Inserm)</t>
  </si>
  <si>
    <t>Montani, D (corresponding author), Hop Bicetre, Pulm Hypertens Natl Referral Ctr, Dept Resp &amp; Intens Care Med, AP HP, Le Kremlin Bicetre, France.;Montani, D (corresponding author), Univ Paris Saclay, Sch Med, Le Kremlin Bicetre, France.;Montani, D (corresponding author), Hop Marie Lannelongue, Pulm Hypertens Pathophysiol &amp; Novel Therapies, INSERM, UMR S 999, Le Plessis Robinson, France.</t>
  </si>
  <si>
    <t>Humbert, Marc/AAC-8459-2019; Thoré, Pierre/HKE-8857-2023; David, Montani/I-6885-2019; Bergeron, Anne/HNS-7099-2023; DE GROOTE, Pascal/LLL-9444-2024; Savale, Laurent/AAJ-9781-2020; Noel, Nicolas/AAK-3911-2021</t>
  </si>
  <si>
    <t>Riou, marianne/0000-0001-6807-8582; de Groote, Pascal/0000-0002-6211-0147; Bergeron, Anne/0000-0003-2156-254X; Thore, Pierre/0000-0001-7378-2419; JAIS, XAVIER/0000-0002-4104-7994; Devilder, Matthieu/0000-0002-7685-5596; Savale, Laurent/0000-0002-6862-8975; Dorfmuller, Peter/0000-0003-2499-6829</t>
  </si>
  <si>
    <t>SPRINGER/PLENUM PUBLISHERS</t>
  </si>
  <si>
    <t>233 SPRING ST, NEW YORK, NY 10013 USA</t>
  </si>
  <si>
    <t>0271-9142</t>
  </si>
  <si>
    <t>1573-2592</t>
  </si>
  <si>
    <t>J CLIN IMMUNOL</t>
  </si>
  <si>
    <t>J. Clin. Immunol.</t>
  </si>
  <si>
    <t>10.1007/s10875-021-01064-w</t>
  </si>
  <si>
    <t>UT8US</t>
  </si>
  <si>
    <t>WOS:000659780700001</t>
  </si>
  <si>
    <t>Beurnier, A; Humbert, M</t>
  </si>
  <si>
    <t>Beurnier, A.; Humbert, M.</t>
  </si>
  <si>
    <t>Strategies for prescription of inhaled corticosteroids in mild-to-moderate asthma</t>
  </si>
  <si>
    <t>Asthma; Mild asthma; Moderate asthma; Inhaled corticosteroids; Asthma controller</t>
  </si>
  <si>
    <t>EXHALED NITRIC-OXIDE; BUDESONIDE-FORMOTEROL; EARLY INTERVENTION; PERSISTENT ASTHMA; CUSHINGS-SYNDROME; FOLLOW-UP; FLUTICASONE; THERAPY; ADULTS; SPUTUM</t>
  </si>
  <si>
    <t>Asthma is a common respiratory condition characterized by chronic inflammation of the airways. Most asthmatics have a mild-to-moderate form of the disease, but are still at risk of severe exacerbations and significantly impaired quality of life. This article reviews the strategies for prescription of inhaled corticosteroids in patients with mild-to-moderate asthma. The definition of asthma severity, the goals of asthma management and the adjustment of therapeutics are successively addressed. The major changes proposed by the GINA group in 2019 are also discussed. (C) 2021 SPLF. Published by Elsevier Masson SAS. All rights reserved.</t>
  </si>
  <si>
    <t>[Beurnier, A.; Humbert, M.] Univ Paris Saclay, Fac Med, Le Kremlin Bicetre, France; [Beurnier, A.; Humbert, M.] INSERM, UMR S 999, Le Kremlin Bicetre, France; [Beurnier, A.] Hop Bicetre, AP HP, Serv Physiol &amp; Explorat Fonct Resp, CRISALIS Reseau F CRIN, Le Kremlin Bicetre, France; [Humbert, M.] Hop Bicetre, AP HP, Serv Pneumol &amp; Soins Intensifs Resp, 78 Rue Gen Leclerc, F-94270 Le Kremlin Bicetre, France</t>
  </si>
  <si>
    <t>Universite Paris Saclay; Institut National de la Sante et de la Recherche Medicale (Inserm); Universite Paris Saclay; Assistance Publique Hopitaux Paris (APHP); Hopital Universitaire Antoine-Beclere - APHP; Universite Paris Saclay; Hopital Universitaire Bicetre - APHP; Assistance Publique Hopitaux Paris (APHP); Hopital Universitaire Bicetre - APHP; Hopital Universitaire Antoine-Beclere - APHP; Universite Paris Saclay</t>
  </si>
  <si>
    <t>Beurnier, A (corresponding author), Univ Paris Saclay, Fac Med, Le Kremlin Bicetre, France.;Beurnier, A (corresponding author), INSERM, UMR S 999, Le Kremlin Bicetre, France.;Beurnier, A (corresponding author), Hop Bicetre, AP HP, Serv Physiol &amp; Explorat Fonct Resp, CRISALIS Reseau F CRIN, Le Kremlin Bicetre, France.</t>
  </si>
  <si>
    <t>antoine.beurnier@aphp.fr</t>
  </si>
  <si>
    <t>10.1016/j.rmr.2021.04.008</t>
  </si>
  <si>
    <t>SR4LA</t>
  </si>
  <si>
    <t>WOS:000661011300008</t>
  </si>
  <si>
    <t>Life-threatening PPHN refractory to nitric oxide: proposal for a rational therapeutic algorithm</t>
  </si>
  <si>
    <t>Pulmonary hypertension; Prostacyclin; Prostaglandin; Endothelin; Phosphodiesterase</t>
  </si>
  <si>
    <t>PERSISTENT PULMONARY-HYPERTENSION; INTERMITTENT INTRAVENOUS SILDENAFIL; CONGENITAL DIAPHRAGMATIC-HERNIA; HYPOXEMIC RESPIRATORY-FAILURE; INHALED ILOPROST; COMBINATION THERAPY; DUCTUS-ARTERIOSUS; BERAPROST SODIUM; PRETERM INFANTS; ORAL SILDENAFIL</t>
  </si>
  <si>
    <t>Persistent pulmonary hypertension of the neonate (PPHN) refractory to inhaled nitric oxide still represents a frequent clinical challenge with negative outcomes in neonatal critical care. Several pulmonary vasodilators have become available thanks to improved understanding of pulmonary hypertension pathobiology. These drugs are commonly used in adults and there are numerous case series and small studies describing their potential usefulness in neonates, as well. New vasodilators act on different pathways, some of them can have additive effects and all have different pharmacology features. This information has never been summarized so far and no comprehensive pathobiology-driven algorithm is available to guide the treatment of refractory PPHN. Conclusion: We offer a rational clinical algorithm to guide the treatment of refractory PPHN based on expert advice and the more recent pathobiology and pharmacology knowledge.</t>
  </si>
  <si>
    <t>[Fortas, Feriel; Yousef, Nadya; De Luca, Daniele] Paris Saclay Univ Hosp, APHP, Div Pediat &amp; Neonatal Crit Care, ABeclere Med Ctr,Serv Reanimat Neonatale Hop, 157 Rue Porte Trivaux, F-92140 Paris, France; [Di Nardo, Matteo] IRCCS, Bambino Gesu Children Hosp, Pediat Intens Care Unit, Rome, Italy; [Humbert, Marc; De Luca, Daniele] Paris Saclay Univ, Physiopathol &amp; Therapeut Innovat Unit, INSERM U999, Paris, France</t>
  </si>
  <si>
    <t>Assistance Publique Hopitaux Paris (APHP); Universite Paris Cite; Hopital Universitaire Hotel-Dieu - APHP; Hopital Universitaire Bicetre - APHP; IRCCS Bambino Gesu; Institut National de la Sante et de la Recherche Medicale (Inserm); Universite Paris Saclay</t>
  </si>
  <si>
    <t>De Luca, D (corresponding author), Paris Saclay Univ Hosp, APHP, Div Pediat &amp; Neonatal Crit Care, ABeclere Med Ctr,Serv Reanimat Neonatale Hop, 157 Rue Porte Trivaux, F-92140 Paris, France.;De Luca, D (corresponding author), Paris Saclay Univ, Physiopathol &amp; Therapeut Innovat Unit, INSERM U999, Paris, France.</t>
  </si>
  <si>
    <t>feriel.fortas@aphp.fr; matteo.dinardo@opbg.net; nadya.yousef@aphp.fr; marc.humbert@aphp.fr; dm.deluca@icloud.com</t>
  </si>
  <si>
    <t>De Luca, Daniele/0000-0002-3846-4834</t>
  </si>
  <si>
    <t>10.1007/s00431-021-04138-4</t>
  </si>
  <si>
    <t>TJ2TW</t>
  </si>
  <si>
    <t>WOS:000658244800002</t>
  </si>
  <si>
    <t>Delcroix, M; Torbicki, A; Gopalan, D; Sitbon, O; Klok, FA; Lang, I; Jenkins, D; Kim, NH; Humbert, M; Jais, X; Noordegraaf, AV; Pepke-Zaba, J; Brénot, P; Dorfmuller, P; Fadel, E; Ghofrani, HA; Hoeper, MM; Jansa, P; Madani, M; Matsubara, H; Ogo, T; Grünig, E; D'Armini, A; Galie, N; Meyer, B; Corkery, P; Meszaros, G; Mayer, E; Simonneau, G</t>
  </si>
  <si>
    <t>Delcroix, Marion; Torbicki, Adam; Gopalan, Deepa; Sitbon, Olivier; Klok, Frederikus A.; Lang, Irene; Jenkins, David; Kim, Nick H.; Humbert, Marc; Jais, Xavier; Noordegraaf, Anton Vonk; Pepke-Zaba, Joanna; Brenot, Philippe; Dorfmuller, Peter; Fadel, Elie; Ghofrani, Hossein-Ardeschir; Hoeper, Marius M.; Jansa, Pavel; Madani, Michael; Matsubara, Hiromi; Ogo, Takeshi; Gruenig, Ekkehard; D'Armini, Andrea; Galie, Nazzareno; Meyer, Bernhard; Corkery, Patrick; Meszaros, Gergely; Mayer, Eckhard; Simonneau, Gerald</t>
  </si>
  <si>
    <t>ERS statement on chronic thromboembolic pulmonary hypertension</t>
  </si>
  <si>
    <t>DUAL-ENERGY CT; PERFUSED BLOOD-VOLUME; QUALITY-OF-LIFE; ARTERIAL-HYPERTENSION; COMPUTED-TOMOGRAPHY; LUNG PERFUSION; VASCULAR-RESISTANCE; VENTILATORY INEFFICIENCY; EXERCISE INTOLERANCE; ORAL ANTICOAGULANTS</t>
  </si>
  <si>
    <t>Chronic thromboembolic pulmonary hypertension (CTEPH) is a rare complication of acute pulmonary embolism, either symptomatic or not. The occlusion of proximal pulmonary arteries by fibrotic intravascular material, in combination with a secondary microvasculopathy of vessels &lt;500 mu m, leads to increased pulmonary vascular resistance and progressive right heart failure. The mechanism responsible for the transformation of red clots into fibrotic material remnants has not yet been elucidated. In patients with pulmonary hypertension, the diagnosis is suspected when a ventilation/perfusion lung scan shows mismatched perfusion defects, and confirmed by right heart catheterisation and vascular imaging. Today, in addition to lifelong anticoagulation, treatment modalities include surgery, angioplasty and medical treatment according to the localisation and characteristics of the lesions. This statement outlines a review of the literature and current practice concerning diagnosis and management of CTEPH. It covers the definitions, diagnosis, epidemiology, follow-up after acute pulmonary embolism, pathophysiology, treatment by pulmonary endarterectomy, balloon pulmonary angioplasty, drugs and their combination, rehabilitation and new lines of research in CTEPH. It represents the first collaboration of the European Respiratory Society, the International CTEPH Association and the European Reference Network-Lung in the pulmonary hypertension domain. The statement summarises current knowledge, but does not make formal recommendations for clinical practice.</t>
  </si>
  <si>
    <t>[Delcroix, Marion] UZ Leuven, Clin Dept Resp Dis, Pulm Hypertens Ctr, Leuven, Belgium; [Delcroix, Marion] Katholieke Univ Leuven, Dept CHROMETA, BREATHE, Leuven, Belgium; [Torbicki, Adam] ECZ Otwock, Dept Pulm Circulat Thromboembol Dis &amp; Cardiol, Ctr Postgrad Med Educ, Otwock, Poland; [Gopalan, Deepa] Imperial Coll Hosp NHS Trusts, Dept Radiol, London, England; [Sitbon, Olivier; Humbert, Marc; Jais, Xavier; Simonneau, Gerald] Univ Paris Saclay, Le Kremlin Bicetre, France; [Sitbon, Olivier; Humbert, Marc; Jais, Xavier; Simonneau, Gerald] Hop Bicetre, AP HP, Serv Pneumol, Inserm UMR S 999, Le Kremlin Bicetre, France; [Klok, Frederikus A.] Leiden Univ, Dept Med Thrombosis &amp; Hemostasis, Med Ctr, Leiden, Netherlands; [Lang, Irene] Med Univ Vienna, Vienna, Austria; [Jenkins, David; Pepke-Zaba, Joanna] Cambridge Univ Hosp, Royal Papworth Hosp, Cambridge, England; [Kim, Nick H.] Univ Calif San Diego, Div Pulm Crit Care &amp; Sleep Med, La Jolla, CA 92093 USA; [Noordegraaf, Anton Vonk] Vrije Univ Amsterdam, Dept Pulm Med, Amsterdam Cardiovasc Sci, Amsterdam UMC, Amsterdam, Netherlands; [Brenot, Philippe] Paris South Univ, Marie Lannelongue Hosp, Le Plessis Robinson, France; [Dorfmuller, Peter; Ghofrani, Hossein-Ardeschir] German Ctr Lung Res DZL, Univ Giessen &amp; Marburg Lung Ctr, Giessen, Germany; [Dorfmuller, Peter; Ghofrani, Hossein-Ardeschir] Imperial Coll London, Dept Med, London, England; [Dorfmuller, Peter; Ghofrani, Hossein-Ardeschir] Kerckhoff Clin Bad Nauheim, Dept Pneumol, Bad Nauheim, Germany; [Fadel, Elie; Hoeper, Marius M.] Hannover Med Sch, Hannover, Germany; [Jansa, Pavel] Charles Univ Prague, Fac Med 1, Dept Med 2, Dept Cardiovasc Med, Prague, Czech Republic; [Jansa, Pavel] Gen Univ Hosp Prague, Prague, Czech Republic; [Madani, Michael] Univ Calif San Diego, Sulpizio Cardiovasc Ctr, San Diego, CA 92103 USA; [Matsubara, Hiromi] Natl Hosp Org Okayama Med Ctr, Okayama, Japan; [Ogo, Takeshi] Natl Cerebral &amp; Cardiovasc Ctr, Osaka, Japan; [Gruenig, Ekkehard] Heidelberg Univ Hosp, Thoraxklin Heidelberg, Heidelberg, Germany; [D'Armini, Andrea] Univ Pavia, Fdn IRCCS Policlin San Matteo, Unit Cardiac Surg Intrathorac Transplantat &amp; Pulm, Sch Med, Pavia, Italy; [Galie, Nazzareno] Univ Bologna, Bologna, Italy; [Meyer, Bernhard] Hannover Med Sch, Inst Diagnost &amp; Intervent Radiol, Hannover, Germany; [Corkery, Patrick] PHA Ireland, Dublin, Ireland; [Meszaros, Gergely] PHA Europe, Szeged, Hungary; [Mayer, Eckhard] Kerckhoff Clin Bad Nauheim, Dept Thorac Surg, Bad Nauheim, Germany</t>
  </si>
  <si>
    <t>KU Leuven; University Hospital Leuven; KU Leuven; Universite Paris Saclay; Assistance Publique Hopitaux Paris (APHP); Hopital Universitaire Bicetre - APHP; Hopital Universitaire Antoine-Beclere - APHP; Universite Paris Saclay; Institut National de la Sante et de la Recherche Medicale (Inserm); Leiden University; Leiden University Medical Center (LUMC); Leiden University - Excl LUMC; Medical University of Vienna; Papworth Hospital; University of Cambridge; University of California System; University of California San Diego; University of Amsterdam; Vrije Universiteit Amsterdam; Hopital Marie Lannelongue; Imperial College London; Kerckhoff Clinic; Hannover Medical School; University Hospital Hradec Kralove; Charles University Prague; General University Hospital Prague; University of California System; University of California San Diego; National Cerebral &amp; Cardiovascular Center - Japan; Ruprecht Karls University Heidelberg; IRCCS Fondazione San Matteo; University of Pavia; University of Bologna; Hannover Medical School; Kerckhoff Clinic</t>
  </si>
  <si>
    <t>Delcroix, M (corresponding author), Univ Hosp Leuven, Dept Resp Dis, Herestr 49, B-3000 Leuven, Belgium.</t>
  </si>
  <si>
    <t>marion.delcroix@uzleuven.be</t>
  </si>
  <si>
    <t>Brenot, Philippe/HJB-1040-2022; Pepke-Zaba, Joanna/AGW-3073-2022; Ghofrani, Hossein/LPQ-1427-2024; Hoeper, Marius/Z-1546-2019; Jansa, Pavel/O-2302-2017; delcroix, marion/AAE-2712-2022; Meyer, Bernhard/Q-9413-2016; Sitbon, Olivier/I-3623-2019; Klok, Erik/U-4870-2019; Gopalan, Deepa/MEK-8678-2025; Matsubara, Hiromi/AEB-0280-2022; Humbert, Marc/AAC-8459-2019</t>
  </si>
  <si>
    <t>Hoeper, Marius/0000-0001-9086-2293; Torbicki, Adam/0000-0003-3475-8832; delcroix, marion/0000-0001-8394-9809; Klok, Erik/0000-0001-9961-0754; Matsubara, Hiromi/0000-0002-3417-7651; Vonk Noordegraaf, Anton/0000-0002-4057-758X; Ogo, Takeshi/0000-0003-1180-9262; JAIS, XAVIER/0000-0002-4104-7994; SITBON, Olivier/0000-0002-1942-1951; Dorfmuller, Peter/0000-0003-2499-6829; Humbert, Marc/0000-0003-0703-2892</t>
  </si>
  <si>
    <t>Investissement d'Avenir programme by the French National Research Agency [ANR-18-RHUS-0006]; European Respiratory Society [TF 2018-04]; Agence Nationale de la Recherche (ANR) [ANR-18-RHUS-0006] Funding Source: Agence Nationale de la Recherche (ANR)</t>
  </si>
  <si>
    <t>Investissement d'Avenir programme by the French National Research Agency(Agence Nationale de la Recherche (ANR)Agence nationale pour le developpement de la recherche en sante (ANDRS)Agence Nationale Des Plantes Medicinales Et Aromatiques, ANPMA, Morocco); European Respiratory Society; Agence Nationale de la Recherche (ANR)</t>
  </si>
  <si>
    <t>Travel support was provided by the International CTEPH Association (ICA) for its board members: M. Delcroix, E. Fadel, D. Jenkins, N. Kim, I. Lang, M. Madani, E. Mayer, H. Matsubara, J. Pepke-Zaba, and G. Simonneau. M. Humbert is supported by the Investissement d'Avenir programme managed by the French National Research Agency under the grant contract ANR-18-RHUS-0006 (DESTINATION 2024). The project was supported by European Respiratory Society grant TF 2018-04. Funding information for this article has been deposited with the Crossref Funder Registry.</t>
  </si>
  <si>
    <t>10.1183/13993003.02828-2020</t>
  </si>
  <si>
    <t>TF7PX</t>
  </si>
  <si>
    <t>Green Published, Green Accepted</t>
  </si>
  <si>
    <t>WOS:000670910500004</t>
  </si>
  <si>
    <t>Hautbergue, T; Antigny, F; Boët, A; Haddad, F; Masson, B; Lambert, M; Delaporte, A; Menager, JB; Savale, L; Le Pavec, JM; Fadel, E; Humbert, M; Junot, C; Fenaille, F; Colsch, B; Mercier, O</t>
  </si>
  <si>
    <t>Hautbergue, Thais; Antigny, Fabrice; Boet, Angele; Haddad, Francois; Masson, Bastien; Lambert, Melanie; Delaporte, Amelie; Menager, Jean-Baptiste; Savale, Laurent; Pavec, Jerome Le; Fadel, Elie; Humbert, Marc; Junot, Christophe; Fenaille, Francois; Colsch, Benoit; Mercier, Olaf</t>
  </si>
  <si>
    <t>Right Ventricle Remodeling Metabolic Signature in Experimental Pulmonary Hypertension Models of Chronic Hypoxia and Monocrotaline Exposure</t>
  </si>
  <si>
    <t>RV dysfunction; MCT; chronic-hypoxia; arginine; tryptophan; purine</t>
  </si>
  <si>
    <t>NITRIC-OXIDE PRODUCTION; SERUM URIC-ACID; ARTERIAL-HYPERTENSION; 14-3-3 PROTEINS; OROTIC-ACID; TASK-FORCE; POLYAMINES; RATS; INFLAMMATION; EXPRESSION</t>
  </si>
  <si>
    <t>Introduction: Over time and despite optimal medical management of patients with pulmonary hypertension (PH), the right ventricle (RV) function deteriorates from an adaptive to maladaptive phenotype, leading to RV failure (RVF). Although RV function is well recognized as a prognostic factor of PH, no predictive factor of RVF episodes has been elucidated so far. We hypothesized that determining RV metabolic alterations could help to understand the mechanism link to the deterioration of RV function as well as help to identify new biomarkers of RV failure. Methods: In the current study, we aimed to characterize the metabolic reprogramming associated with the RV remodeling phenotype during experimental PH induced by chronic-hypoxia-(CH) exposure or monocrotaline-(MCT) exposure in rats. Three weeks after PH initiation, we hemodynamically characterized PH (echocardiography and RV catheterization), and then we used an untargeted metabolomics approach based on liquid chromatography coupled to high-resolution mass spectrometry to analyze RV and LV tissues in addition to plasma samples from MCT-PH and CH-PH rat models. Results: CH exposure induced adaptive RV phenotype as opposed to MCT exposure which induced maladaptive RV phenotype. We found that predominant alterations of arginine, pyrimidine, purine, and tryptophan metabolic pathways were detected on the heart (LV+RV) and plasma samples regardless of the PH model. Acetylspermidine, putrescine, guanidinoacetate RV biopsy levels, and cytosine, deoxycytidine, deoxyuridine, and plasmatic thymidine levels were correlated to RV function in the CH-PH model. It was less likely correlated in the MCT model. These pathways are well described to regulate cell proliferation, cell hypertrophy, and cardioprotection. These findings open novel research perspectives to find biomarkers for early detection of RV failure in PH.</t>
  </si>
  <si>
    <t>[Hautbergue, Thais; Junot, Christophe; Fenaille, Francois; Colsch, Benoit] Univ Paris Saclay, CEA, INRAE, SPI,MetaboHUB,Dept Medicaments &amp; Technol Sante MT, F-91191 Gif Sur Yvette, France; [Antigny, Fabrice; Boet, Angele; Masson, Bastien; Lambert, Melanie; Menager, Jean-Baptiste; Savale, Laurent; Pavec, Jerome Le; Fadel, Elie; Humbert, Marc; Mercier, Olaf] Univ Paris Saclay, Fac Med, F-91191 Gif Sur Yvette, France; [Antigny, Fabrice; Boet, Angele; Masson, Bastien; Lambert, Melanie; Menager, Jean-Baptiste; Savale, Laurent; Pavec, Jerome Le; Fadel, Elie; Humbert, Marc; Mercier, Olaf] Hop Marie Lannelongue, INSERM, UMR S Hypertens Pulm Physiopathol &amp; Nouvelles The, F-92350 Le Plessis Robinson, France; [Boet, Angele] Grp Hosp Paris St Joseph, Hop Marie Lannelongue, Serv Reanimat Cardiopathies Congenit, F-92350 Le Plessis Robinson, France; [Haddad, Francois] Stanford Univ, Stanford Hosp, Cardiovasc Med, Stanford, CA 94305 USA; [Delaporte, Amelie] Grp Hosp Paris St Joseph, Hop Marie Lannelongue, Serv Anesthesie, F-92350 Le Plessis Robinson, France; [Menager, Jean-Baptiste; Pavec, Jerome Le; Fadel, Elie; Mercier, Olaf] Grp Hosp Paris St Joseph, Hop Marie Lannelongue, Serv Chirurg Thorac Vasc &amp; Transplantat Cardiopul, F-92350 Le Plessis Robinson, France; [Savale, Laurent; Humbert, Marc] Hop Bicetre, AP HP, Ctr Reference Hypertens Pulm, Serv Pneumol &amp; Soins Intensifs Resp, F-94270 Le Kremlin Bicetre, France</t>
  </si>
  <si>
    <t>CEA; Universite Paris Saclay; INRAE; Universite Paris Saclay; Hopital Marie Lannelongue; Institut National de la Sante et de la Recherche Medicale (Inserm); Universite Paris Cite; Hopital Paris Saint-Joseph; Hopital Marie Lannelongue; Stanford University; Stanford Medicine; Hopital Marie Lannelongue; Universite Paris Cite; Hopital Paris Saint-Joseph; Universite Paris Cite; Hopital Paris Saint-Joseph; Hopital Marie Lannelongue; Assistance Publique Hopitaux Paris (APHP); Hopital Universitaire Antoine-Beclere - APHP; Hopital Universitaire Bicetre - APHP; Universite Paris Saclay</t>
  </si>
  <si>
    <t>Mercier, O (corresponding author), Univ Paris Saclay, Fac Med, F-91191 Gif Sur Yvette, France.;Mercier, O (corresponding author), Hop Marie Lannelongue, INSERM, UMR S Hypertens Pulm Physiopathol &amp; Nouvelles The, F-92350 Le Plessis Robinson, France.;Mercier, O (corresponding author), Grp Hosp Paris St Joseph, Hop Marie Lannelongue, Serv Chirurg Thorac Vasc &amp; Transplantat Cardiopul, F-92350 Le Plessis Robinson, France.</t>
  </si>
  <si>
    <t>thautbergue@gmail.com; antignyfabrice@gmail.com; a.boet@ghpsj.fr; fhaddad@stanford.edu; bastienmasson999@gmail.com; melanie.lambert91@hotmail.fr; amelie-delaporte@hotmail.com; jb.menager@ghpsj.fr; laurent.savale@gmail.com; lepavec@gmail.com; fadelelie5@gmail.com; marc.humbert@aphp.fr; Christophe.JUNOT@cea.fr; Francois.FENAILLE@cea.fr; Benoit.COLSCH@cea.fr; O.MERCIER@ghpsj.fr</t>
  </si>
  <si>
    <t>Humbert, Marc/AAC-8459-2019; Savale, Laurent/AAJ-9781-2020; Antigny, Fabrice/Q-3999-2018</t>
  </si>
  <si>
    <t>COLSCH, Benoit/0000-0002-8023-504X; Boet, Angele/0000-0003-1510-3347; Fenaille, Francois/0000-0001-6787-4149; Masson, Bastien/0000-0003-2364-5269; Menager, Jean-Baptiste/0000-0002-9233-5822; Mercier, Olaf/0000-0002-4760-6267; Lambert, Melanie/0000-0002-2742-2575; Antigny, Fabrice/0000-0002-9515-6571</t>
  </si>
  <si>
    <t>French National Institute for Health and Medical Research (INSERM); Universite Paris-Saclay; French National Agency for Research (ANR) [ANR-15-RHUS-0002, ANR-18-CE14-0023]; Therapeutic Innovation Doctoral School [ED569]; Marie Lannelongue Hospital; Agence Nationale de la Recherche (ANR) [ANR-18-CE14-0023] Funding Source: Agence Nationale de la Recherche (ANR)</t>
  </si>
  <si>
    <t>French National Institute for Health and Medical Research (INSERM)(Institut National de la Sante et de la Recherche Medicale (Inserm)); Universite Paris-Saclay; French National Agency for Research (ANR)(Agence Nationale de la Recherche (ANR)); Therapeutic Innovation Doctoral School; Marie Lannelongue Hospital; Agence Nationale de la Recherche (ANR)(Agence Nationale de la Recherche (ANR))</t>
  </si>
  <si>
    <t>This study was supported by grants from the French National Institute for Health and Medical Research (INSERM), the Universite Paris-Saclay, the Marie Lannelongue Hospital, and the French National Agency for Research (ANR) (grant no. ANR-15-RHUS-0002 (BIOART-LUNG 2020) and ANR-18-CE14-0023 (KAPAH)). M.L. and B.M. were supported by the Therapeutic Innovation Doctoral School (ED569).</t>
  </si>
  <si>
    <t>10.3390/cells10061559</t>
  </si>
  <si>
    <t>SX6WX</t>
  </si>
  <si>
    <t>WOS:000665343700001</t>
  </si>
  <si>
    <t>Mitrovic, S.; Boucly, A.; Lazaro, E.; Schleinitz, N.; Bloch-Queyrat, C.; Christides, C.; Pouchot, J.; Humbert, M.; Montani, D.; Savale, L.; Jais, X.; Sitbon, O.; Fautrel, B.</t>
  </si>
  <si>
    <t>PULMONARY ARTERIAL HYPERTENSION IN ADULT-ONSET STILL'S DISEASE: A CASE SERIES OF 13 PATIENTS</t>
  </si>
  <si>
    <t>Annual European Congress of Rheumatology (EULAR)</t>
  </si>
  <si>
    <t>JUN 02-05, 2021</t>
  </si>
  <si>
    <t>[Mitrovic, S.] Hop La Pitie Salpetriere, AP HP, Dept Rheumatol, Paris, France; [Mitrovic, S.] Inst Mutualiste Montsouris, Dept Med, Paris, France; [Boucly, A.; Humbert, M.; Montani, D.; Savale, L.; Jais, X.; Sitbon, O.] Hop Bicetre, AP HP, Ctr Reference Hypertens Pulm, Serv Pneumol, Paris, France; [Boucly, A.; Humbert, M.; Sitbon, O.] Univ Paris Saclay, Univ Paris Sud, INSERM, Unite Mixte Rech Sante S 999, Le Kremlin Bicetre, France; [Lazaro, E.] CHU Bordeaux, Serv Med Interne &amp; Malad Infect, Bordeaux, France; [Schleinitz, N.] Hop La Timone, AP HM, Serv Med Interne, Marseille, France; [Bloch-Queyrat, C.] Hop Avicennes, Med Interne, Bobigny, France; [Christides, C.] Ctr Hosp Henri Duffaut, Serv Med Interne, Avignon, France; [Pouchot, J.] Hop Europeen Georges Pompidou, AP HP, Serv Med Interne, Paris, France; [Humbert, M.] Univ Paris Saclay, Univ Paris Sud, Le Kremlin Bicetre, France; [Fautrel, B.] Hop La Pitie Salpetriere, AP HP, Serv Rhumatol, Paris, France; [Fautrel, B.] Ctr Reference Malad Autoinflammatoires Rare, CeReMAIA, Paris, France; [Fautrel, B.] Pierre Louis Inst Epidemiol &amp; Publ Hlth, INSERM, UMR 1136, Paris, France; [Fautrel, B.] Sorbonne Univ, Dept Rheumatol, Paris, France</t>
  </si>
  <si>
    <t>Sorbonne Universite; Assistance Publique Hopitaux Paris (APHP); Hopital Universitaire Pitie-Salpetriere - APHP; Universite Paris Cite; Institute Mutualiste Montsouris; Sanofi-Aventis; Sanofi France; Universite Paris Saclay; Assistance Publique Hopitaux Paris (APHP); Hopital Universitaire Bicetre - APHP; Universite Paris Saclay; Institut National de la Sante et de la Recherche Medicale (Inserm); CHU Bordeaux; Universite de Bordeaux; Aix-Marseille Universite; Assistance Publique-Hopitaux de Marseille; Assistance Publique Hopitaux Paris (APHP); Hopital Universitaire Avicenne - APHP; Assistance Publique Hopitaux Paris (APHP); Universite Paris Cite; Hopital Universitaire Europeen Georges-Pompidou - APHP; Universite Paris Saclay; Sorbonne Universite; Assistance Publique Hopitaux Paris (APHP); Hopital Universitaire Pitie-Salpetriere - APHP; Institut National de la Sante et de la Recherche Medicale (Inserm); Sorbonne Universite; Sorbonne Universite</t>
  </si>
  <si>
    <t>OP0094</t>
  </si>
  <si>
    <t>10.1136/annrheumdis-2021-eular.2668</t>
  </si>
  <si>
    <t>UL4NJ</t>
  </si>
  <si>
    <t>WOS:000692629300093</t>
  </si>
  <si>
    <t>Badesch, DB; Gibbs, S; Gomberg-Maitland, M; Hoeper, MM; McLaughlin, VV; Preston, I; Souza, R; Waxman, AB; Manimaran, S; Barnes, J; Pena, JD; Humbert, M</t>
  </si>
  <si>
    <t>Badesch, D. B.; Gibbs, S.; Gomberg-Maitland, M.; Hoeper, M. M.; McLaughlin, V. V.; Preston, I; Souza, R.; Waxman, A. B.; Manimaran, S.; Barnes, J.; Pena, J. de Oliveira; Humbert, M.</t>
  </si>
  <si>
    <t>PULSAR Study Open-Label Extension: Interim Results from a Phase 2 Study of the Efficacy and Safety of Sotatercept When Added to Standard of Care for the Treatment of Pulmonary Arterial Hypertension (PAH)</t>
  </si>
  <si>
    <t>MAY 14-19, 2021</t>
  </si>
  <si>
    <t>[Badesch, D. B.] Univ Colorado, Aurora, CO USA; [Gibbs, S.] Imperial Coll, Natl Heart &amp; Lung Inst, London, England; [Gomberg-Maitland, M.] George Washington Univ, GWMFA Heart &amp; Vasc Inst, Washington, DC USA; [Hoeper, M. M.] Hannover Med Sch, Dept Resp Med, Hannover, Germany; [Hoeper, M. M.] German Ctr Lung Res, Hannover, Germany; [McLaughlin, V. V.] Univ Michigan, Ann Arbor, MI 48109 USA; [Preston, I] Tufts Med Ctr, Boston, MA 02111 USA; [Souza, R.] Univ Sao Paulo, InCor, Sao Paulo, Brazil; [Waxman, A. B.] Brigham &amp; Womans Hosp, Pulm Crit Care Med, Boston, MA USA; [Manimaran, S.; Barnes, J.; Pena, J. de Oliveira] Acceleron Pharma, Cambridge, MA USA; [Humbert, M.] Univ Paris Saclay, AP HP, Le Kremlin Bicetre, France</t>
  </si>
  <si>
    <t>University of Colorado System; University of Colorado Anschutz Medical Campus; Imperial College London; George Washington University; Hannover Medical School; University of Michigan System; University of Michigan; Tufts Medical Center; Universidade de Sao Paulo; Harvard University; Harvard University Medical Affiliates; Brigham &amp; Women's Hospital; Acceleron Pharma; Assistance Publique Hopitaux Paris (APHP); Hopital Universitaire Bicetre - APHP; Universite Paris Saclay</t>
  </si>
  <si>
    <t>Waxman, Aaron/I-8659-2019; Humbert, Marc/AAC-8459-2019; Hoeper, Marius/Z-1546-2019</t>
  </si>
  <si>
    <t>Acceleron Pharma</t>
  </si>
  <si>
    <t>This abstract is funded by: Acceleron Pharma</t>
  </si>
  <si>
    <t>A1185</t>
  </si>
  <si>
    <t>UA9IX</t>
  </si>
  <si>
    <t>WOS:000685468900186</t>
  </si>
  <si>
    <t>Berrebeh, N; Thuillet, R; Tu, L; Le Vely, B; Ottaviani, M; Jutant, E; Anegon, I; Bailly, S; Huertas, A; Humbert, M; Guignabert, C</t>
  </si>
  <si>
    <t>Berrebeh, N.; Thuillet, R.; Tu, L.; Le Vely, B.; Ottaviani, M.; Jutant, E.; Anegon, I; Bailly, S.; Huertas, A.; Humbert, M.; Guignabert, C.</t>
  </si>
  <si>
    <t>Bone Morphogenetic Protein 9 Loss Partially Attenuates Lung Vascular Remodeling in Experimental Pulmonary Hypertension</t>
  </si>
  <si>
    <t>[Berrebeh, N.; Thuillet, R.; Tu, L.; Le Vely, B.; Ottaviani, M.; Jutant, E.; Huertas, A.; Guignabert, C.] Univ Paris Saclay, UMR S 999 INSERM, Le Plessis Robinson, France; [Anegon, I] INSERM 1064, Nantes, France; [Anegon, I] CNRS UMS3556, SFR Francois Bonamy, Nantes, France; [Bailly, S.] Univ Grenoble Aloes, CEA, INSERM, Grenoble, France; [Humbert, M.] Univ Paris Saclay, AP HP, UMR S 999 INSERM, Pneumol, Le Kremlin Bicetre, France</t>
  </si>
  <si>
    <t>Universite Paris Saclay; Institut National de la Sante et de la Recherche Medicale (Inserm); Communaute Universite Grenoble Alpes; Universite Grenoble Alpes (UGA); CEA; Institut National de la Sante et de la Recherche Medicale (Inserm); Assistance Publique Hopitaux Paris (APHP); Hopital Universitaire Bicetre - APHP; Universite Paris Saclay</t>
  </si>
  <si>
    <t>Anegon, Ignacio/I-7760-2018; TU, Ly/G-4035-2013; GUIGNABERT, Christophe/G-3873-2013; Humbert, Marc/AAC-8459-2019</t>
  </si>
  <si>
    <t>RA(C)gion Ile De France</t>
  </si>
  <si>
    <t>RA (c) gion Ile De France</t>
  </si>
  <si>
    <t>A1068</t>
  </si>
  <si>
    <t>WOS:000685468900069</t>
  </si>
  <si>
    <t>Chaumais, MC; Djessas, MRA; Thuillet, R; Cumont, A; Tu, L; Hebert, G; Gaignard, P; Huertas, A; Savale, L; Humbert, M; Guignabert, C</t>
  </si>
  <si>
    <t>Chaumais, Marie-Camille; Djessas, Mohamed Reda Amar; Thuillet, Raphael; Cumont, Amelie; Ly Tu; Hebert, Guillaume; Gaignard, Pauline; Huertas, Alice; Savale, Laurent; Humbert, Marc; Guignabert, Christophe</t>
  </si>
  <si>
    <t>Additive protective effects of sacubitril/valsartan and bosentan on vascular remodelling in experimental pulmonary hypertension</t>
  </si>
  <si>
    <t>Pulmonary arterial hypertension; Pulmonary vascular remodelling; Cardiac dysfunction; Entresto</t>
  </si>
  <si>
    <t>HEART-FAILURE; INHIBITION; RATS</t>
  </si>
  <si>
    <t>Aims Although right ventricular (RV) function is an important determinant of morbidity and mortality in patients with pulmonary arterial hypertension (PAH), there is no treatment targeting directly the RV. We evaluate the efficacy of sacubitril/valsartan (LCZ 696) as add-on therapy to bosentan in rats with severe pulmonary hypertension (PH). Methods and results Combination therapy of LCZ 696 and bosentan has additive vascular protective effects against the pulmonary vascular remodelling and PH in two preclinical models of severe PH. Compared with monotherapy, co-treatment of LCZ 696 (30 or 68 mg/kg/day for 2 weeks, per os) and bosentan (100 mg/kg/day for 2 weeks, per os) started 7 days after monocrotaline (MCT) injection substantially reduces pulmonary pressures, vascular remodelling, and RV hypertrophy and fibrosis in rats. Consistent with these observations, co-treatment of rats with established PH induced by sugen/hypoxia (SuHx) with LCZ 696 (30 mg/kg/day for 3 weeks, per os) and bosentan (100 mg/kg/day for 3 weeks, per os) started 5 weeks after Sugen injection partially attenuate total pulmonary vascular resistance and cardiovascular structures. We also obtained evidence showing that LCZ 696 has anti-proliferative effect on cultured human pulmonary artery smooth muscle cells derived from patients with idiopathic PAH, an effect that is more pronounced in presence of bosentan. Finally, we found that the plasma levels of atrial natriuretic peptide (ANP) and cyclic guanosine monophosphate (cGMP) are higher in rats co-treated with LCZ 696 (30 mg/kg/day) and bosentan (100 mg/kg/day) than in MCT and SuHx rats treated with vehicle. Conclusion Dual therapy with LCZ 696 plus bosentan proved significantly superior beneficial effect to LCZ 696 or bosentan alone on vascular remodelling and severity of experimental PH. [GRAPHICS] .</t>
  </si>
  <si>
    <t>[Chaumais, Marie-Camille; Djessas, Mohamed Reda Amar; Thuillet, Raphael; Cumont, Amelie; Ly Tu; Huertas, Alice; Savale, Laurent; Humbert, Marc; Guignabert, Christophe] Hop Marie Lannelongue, UMR S Pulm Hypertens Pathophysiol &amp; Novel Therapi, INSERM, F-92350 Le Plessis Robinson, France; [Chaumais, Marie-Camille; Gaignard, Pauline] Univ Paris Saclay, Fac Pharm, F-92290 Chatenay Malabry, France; [Chaumais, Marie-Camille] Hop Bicetre, AP HP, Serv Pharm, F-94270 Le Kremlin Bicetre, France; [Djessas, Mohamed Reda Amar; Thuillet, Raphael; Cumont, Amelie; Ly Tu; Huertas, Alice; Savale, Laurent; Humbert, Marc; Guignabert, Christophe] Univ Paris Saclay, Fac Med, F-94270 Le Kremlin Bicetre, France; [Hebert, Guillaume] Hop Marie Lannelongue, Serv Pharm, F-92350 Le Plessis Robinson, France; [Gaignard, Pauline] Hop Bicetre, AP HP, Lab Biochim, F-94270 Le Kremlin Bicetre, France; [Huertas, Alice; Savale, Laurent; Humbert, Marc] Hop Bicetre, AP HP, Serv Pneumol &amp; Soins Intensifs Resp, F-94270 Le Kremlin Bicetre, France</t>
  </si>
  <si>
    <t>Hopital Marie Lannelongue; Institut National de la Sante et de la Recherche Medicale (Inserm); Universite Paris Saclay; Universite Paris Saclay; Assistance Publique Hopitaux Paris (APHP); Hopital Universitaire Antoine-Beclere - APHP; Hopital Universitaire Bicetre - APHP; Universite Paris Saclay; Hopital Marie Lannelongue; Assistance Publique Hopitaux Paris (APHP); Hopital Universitaire Bicetre - APHP; Universite Paris Saclay; Hopital Universitaire Antoine-Beclere - APHP; Universite Paris Saclay; Assistance Publique Hopitaux Paris (APHP); Hopital Universitaire Antoine-Beclere - APHP; Hopital Universitaire Bicetre - APHP</t>
  </si>
  <si>
    <t>Guignabert, C (corresponding author), Hop Marie Lannelongue, UMR S Pulm Hypertens Pathophysiol &amp; Novel Therapi, INSERM, F-92350 Le Plessis Robinson, France.;Guignabert, C (corresponding author), Univ Paris Saclay, Fac Med, F-94270 Le Kremlin Bicetre, France.</t>
  </si>
  <si>
    <t>Savale, Laurent/AAJ-9781-2020; Huertas, Alice/E-8244-2017; GUIGNABERT, Christophe/G-3873-2013; TU, Ly/G-4035-2013; Humbert, Marc/AAC-8459-2019</t>
  </si>
  <si>
    <t>Savale, Laurent/0000-0002-6862-8975; Chaumais, Marie-Camille/0000-0002-1217-8442; Huertas, Alice/0000-0001-8545-747X; GUIGNABERT, Christophe/0000-0002-8545-4452; DJESSAS, Reda/0000-0002-0853-8548; Thuillet, Raphael/0000-0002-1379-3797; TU, Ly/0000-0003-2336-5099; Hebert, Guillaume/0000-0001-6087-4146; Humbert, Marc/0000-0003-0703-2892</t>
  </si>
  <si>
    <t>French National Institute for Health and Medical Research (INSERM); University Paris-Saclay; Marie Lannelongue Hospital; French National Agency for Research (ANR) [ANR-16-CE17-0014, ANR-18-RHUS-0006]; Fondation de la Recherche Medicale (FRM) [DEQ20150331712]; Departement Hospitalo-Universitaire (DHU) Thorax Innovation (TORINO); Assistance Publique-Hospitaux de Paris (AP-HP); Service de Pneumologie; LabEx LERMIT [ANR-10-LABX-0033]; French PAH patient association (HTAP France); french Fonds de Dotation 'Recherche en Sante Respiratoire'-(FRSR)-Fondation du Souffle (FdS); Centre de Reference de l'Hypertension Pulmonaire Severe; Agence Nationale de la Recherche (ANR) [ANR-18-RHUS-0006] Funding Source: Agence Nationale de la Recherche (ANR)</t>
  </si>
  <si>
    <t>French National Institute for Health and Medical Research (INSERM)(Institut National de la Sante et de la Recherche Medicale (Inserm)); University Paris-Saclay; Marie Lannelongue Hospital; French National Agency for Research (ANR)(Agence Nationale de la Recherche (ANR)); Fondation de la Recherche Medicale (FRM)(Fondation pour la Recherche Medicale); Departement Hospitalo-Universitaire (DHU) Thorax Innovation (TORINO); Assistance Publique-Hospitaux de Paris (AP-HP); Service de Pneumologie; LabEx LERMIT; French PAH patient association (HTAP France); french Fonds de Dotation 'Recherche en Sante Respiratoire'-(FRSR)-Fondation du Souffle (FdS); Centre de Reference de l'Hypertension Pulmonaire Severe; Agence Nationale de la Recherche (ANR)(Agence Nationale de la Recherche (ANR))</t>
  </si>
  <si>
    <t>This research was supported by grants from the French National Institute for Health and Medical Research (INSERM), the University Paris-Saclay, the Marie Lannelongue Hospital, the French National Agency for Research (ANR) (ANR-16-CE17-0014) (TAMIRAH) and ANR-18-RHUS-0006 (RHU DESTINATION 2024), the Fondation de la Recherche Medicale (FRM) (DEQ20150331712) (Equipe FRM 2015), and in part by the Departement Hospitalo-Universitaire (DHU) Thorax Innovation (TORINO), the Assistance Publique-Hospitaux de Paris (AP-HP), Service de Pneumologie, Centre de Reference de l'Hypertension Pulmonaire Severe, the LabEx LERMIT (ANR-10-LABX-0033),the French PAH patient association (HTAP France) and the yfrench Fonds de Dotation 'Recherche en Sante Respiratoire'-(FRSR)-Fondation du Souffle (FdS).</t>
  </si>
  <si>
    <t>10.1093/cvr/cvaa200</t>
  </si>
  <si>
    <t>SS1PU</t>
  </si>
  <si>
    <t>WOS:000661514200022</t>
  </si>
  <si>
    <t>Godinas, L; Iyer, K; Meszaros, G; Quarck, R; Escribano-Subias, P; Noordegraaf, AV; Jansa, P; D'Alto, M; Luknar, M; Ilic, SM; Belge, C; Sitbon, O; Reis, A; Rosenkranz, S; Pepke-Zaba, J; Humbert, M; Delcroix, M</t>
  </si>
  <si>
    <t>Godinas, Laurent; Iyer, Keerthana; Meszaros, Gergely; Quarck, Rozenn; Escribano-Subias, Pilar; Noordegraaf, Anton Vonk; Jansa, Pavel; D'Alto, Michele; Luknar, Milan; Ilic, Senka Milutinov; Belge, Catharina; Sitbon, Olivier; Reis, Abilio; Rosenkranz, Stephan; Pepke-Zaba, Joanna; Humbert, Marc; Delcroix, Marion</t>
  </si>
  <si>
    <t>PH CARE COVID survey: an international patient survey on the care for pulmonary hypertension patients during the early phase of the COVID-19 pandemic</t>
  </si>
  <si>
    <t>ORPHANET JOURNAL OF RARE DISEASES</t>
  </si>
  <si>
    <t>Pulmonary hypertension; COVID-19; Patient survey; Pulmonary arterial hypertension; Chronic thromboembolic pulmonary hypertension</t>
  </si>
  <si>
    <t>ARTERIAL-HYPERTENSION; GLYCEMIC CONTROL; IMPACT; LOCKDOWN; CANCER</t>
  </si>
  <si>
    <t>Background During the COVID-19 pandemic, most of the health care systems suspended their non-urgent activities. This included the cancellation of consultations for patients with rare diseases, such as severe pulmonary hypertension (PH), resulting in potential medication shortage and loss of follow-up. Thus, the aim of the study was to evaluate PH patient health status evolution, access to health care and mental health experience during the early phase of the pandemic. Methods We conducted an online patient survey, available in 16 languages, between 22/05/2020 and 28/06/2020. The survey included questions corresponding to demographic, COVID-19 and PH related information. Results 1073 patients (or relatives, 27%) from 52 countries all over the world participated in the survey. Seventy-seven percent (77%) of responders reported a diagnosis of pulmonary arterial hypertension and 15% of chronic thromboembolic PH. The COVID-19 related events were few: only 1% of all responders reported a diagnosis of COVID-19. However, 8% of patients reported health deterioration possibly related to PH, and 4% hospitalization for PH. Besides, 11% of the patients reported difficulties to access their PH expert centre, and 3% interruption of treatment due to shortage of medication. Anxiety or depression was reported by 67% of the participants. Conclusion Although COVID-19 incidence in PH patients was low, PH related problems occurred frequently as the pandemic progressed, including difficulties to have access to specialized care. The importance of primary health care was emphasized. Further studies are needed to evaluate the long-term consequences of COVID-related PH care disruption.</t>
  </si>
  <si>
    <t>[Godinas, Laurent; Quarck, Rozenn; Belge, Catharina; Delcroix, Marion] Univ Hosp Leuven, Dept Resp Dis, Leuven, Belgium; [Godinas, Laurent; Quarck, Rozenn; Belge, Catharina; Delcroix, Marion] Univ Leuven, Dept Chron Dis &amp; Metab CHROMETA, Lab Resp Dis &amp; Thorac Surg BREATHE, KU Leuven, Leuven, Belgium; [Iyer, Keerthana; Sitbon, Olivier; Humbert, Marc] Univ Paris Saclay, Fac Med, Le Kremlin Bicetre, France; [Iyer, Keerthana; Sitbon, Olivier; Humbert, Marc] Hop Bicetre, AP HP, Serv Pneumol, Ctr Reference Hypertens Pulmonaire,ERN LUNG, Le Kremlin Bicetre, France; [Iyer, Keerthana; Sitbon, Olivier; Humbert, Marc] Hop Marie Lannelongue, Inserm UMR S 999, Le Plessis Robinson, France; [Meszaros, Gergely] European Pulm Hypertens Assoc, Vienna, Austria; [Escribano-Subias, Pilar] Hosp Univ 12 Octubre, Cardiol Dept, Madrid, Spain; [Escribano-Subias, Pilar] Hosp Univ 12 Octubre, Spanish Cardiovasc Res Network CIBER CV, Madrid, Spain; [Noordegraaf, Anton Vonk] Vrije Univ Amsterdam, Dept Pulm Med, Amsterdam UMC, De Boelelaan 1117, Amsterdam, Netherlands; [Jansa, Pavel] Charles Univ Prague, Dept Med, Dept Cardiovasc Med, Fac Med 1, Prague, Czech Republic; [Jansa, Pavel] Gen Univ Hosp, Prague, Czech Republic; [D'Alto, Michele] Monaldi Hosp, Dept Cardiol, Naples, Italy; [Luknar, Milan] Comenius Univ, Natl Cardiovasc Inst, Sch Med, Pod Krasnou Horkou 1, Bratislava, Slovakia; [Ilic, Senka Milutinov] Inst Pulm Dis Vojvodina, Sremska Kamenica, Serbia; [Reis, Abilio] Ctr Hosp Univ Porto, Med Dept, Pulm Vasc Dis Unit, Porto, Portugal; [Rosenkranz, Stephan] Cologne Univ, Dept Internal Med 3, Heart Ctr, Cologne, Germany; [Rosenkranz, Stephan] Cologne Univ, Cologne Cardiovasc Res Ctr CCRC, Heart Ctr, Cologne, Germany; [Pepke-Zaba, Joanna] Royal Papworth Hosp, Pulm Vasc Dis Unit, Cambridge, England</t>
  </si>
  <si>
    <t>KU Leuven; University Hospital Leuven; KU Leuven; Universite Paris Saclay; Assistance Publique Hopitaux Paris (APHP); Hopital Universitaire Bicetre - APHP; Hopital Universitaire Antoine-Beclere - APHP; Universite Paris Saclay; Universite Paris Saclay; Hopital Marie Lannelongue; Institut National de la Sante et de la Recherche Medicale (Inserm); Hospital Universitario 12 de Octubre; Hospital Universitario 12 de Octubre; Vrije Universiteit Amsterdam; Charles University Prague; General University Hospital Prague; Comenius University Bratislava; Universidade do Porto; University of Cologne; University of Cologne; Papworth Hospital</t>
  </si>
  <si>
    <t>Godinas, L (corresponding author), Univ Hosp Leuven, Dept Resp Dis, Leuven, Belgium.;Godinas, L (corresponding author), Univ Leuven, Dept Chron Dis &amp; Metab CHROMETA, Lab Resp Dis &amp; Thorac Surg BREATHE, KU Leuven, Leuven, Belgium.</t>
  </si>
  <si>
    <t>Laurent.Godinas@uzleuven.be</t>
  </si>
  <si>
    <t>Humbert, Marc/AAC-8459-2019; Reis, Ana Claudia/N-3124-2016; Pepke-Zaba, Joanna/AGW-3073-2022; Godinas, Laurette/AAS-1059-2021; delcroix, marion/AAE-2712-2022; Jansa, Pavel/O-2302-2017; Quarck, Rozenn/J-8067-2018; Escribano, Pilar/R-5273-2017</t>
  </si>
  <si>
    <t>Godinas, Laurent/0000-0003-2214-5879; Quarck, Rozenn/0000-0002-8293-6261; Iyer, Keerthana/0000-0002-4384-6781; Vonk Noordegraaf, Anton/0000-0002-4057-758X; Reis, Abilio/0000-0002-9932-3736; Cruz Utrilla, Alejandro/0000-0002-3851-4037; Escribano, Pilar/0000-0002-6640-4839; delcroix, marion/0000-0001-8394-9809</t>
  </si>
  <si>
    <t>1750-1172</t>
  </si>
  <si>
    <t>ORPHANET J RARE DIS</t>
  </si>
  <si>
    <t>Orphanet J. Rare Dis.</t>
  </si>
  <si>
    <t>10.1186/s13023-021-01752-1</t>
  </si>
  <si>
    <t>Genetics &amp; Heredity; Medicine, Research &amp; Experimental</t>
  </si>
  <si>
    <t>Genetics &amp; Heredity; Research &amp; Experimental Medicine</t>
  </si>
  <si>
    <t>SO4EU</t>
  </si>
  <si>
    <t>WOS:000658928600001</t>
  </si>
  <si>
    <t>Humbert, M; Liu, MC; Moore, WC; Bel, EH; Kaneko, N; Smith, SG; Martin, N; Gilson, MJ; Mavropoulou, E; Price, RG; Yancey, S; Kornmann, O</t>
  </si>
  <si>
    <t>Humbert, M.; Liu, M. C.; Moore, W. C.; Bel, E. H.; Kaneko, N.; Smith, S. G.; Martin, N.; Gilson, M. J.; Mavropoulou, E.; Price, R. G.; Yancey, S.; Kornmann, O.</t>
  </si>
  <si>
    <t>Previous Exacerbations Predict the Risk of Future Exacerbations After Stopping Versus Continuing Mepolizumab Treatment: Secondary Analysis of the COMET Trial</t>
  </si>
  <si>
    <t>[Humbert, M.] Univ Paris Saclay, Hop Bicetre, AP HP, Serv Pneumol, Le Kremlin Bicetre, France; [Liu, M. C.] Johns Hopkins Asthma &amp; Allergy Ctr, Div Allergy, Baltimore, MD USA; [Liu, M. C.] Johns Hopkins Asthma &amp; Allergy Ctr, Div Clin Immunol, 301 Bayview Blvd, Baltimore, MD 21224 USA; [Liu, M. C.] Johns Hopkins Asthma &amp; Allergy Ctr, Pulm &amp; Crit Care Med, Baltimore, MD USA; [Moore, W. C.] Wake Forest Sch Med, Dept Med, Winston Salem, NC 27101 USA; [Bel, E. H.] Univ Amsterdam, Dept Resp Med, Amsterdam UMC, Amsterdam, Netherlands; [Kaneko, N.] Kameda Med Ctr, Dept Pulm Med, Kamogawa, Japan; [Smith, S. G.; Yancey, S.] GSK, Resp Therapeut Area, Res Triangle Pk, NC USA; [Martin, N.] GSK, Global Med Affairs, Brentford, England; [Martin, N.] Univ Leicester, Inst Lung Hlth, Leicester, Leics, England; [Gilson, M. J.] GSK, Resp Res &amp; Dev, Uxbridge, Middx, England; [Mavropoulou, E.] GSK, Clin Stat, Uxbridge, Middx, England; [Price, R. G.] GSK, Biostat, Stevenage, Herts, England; [Kornmann, O.] IKF Pneumol Frankfurt, Clin Res Ctr Resp Dis, Frankfurt, Germany</t>
  </si>
  <si>
    <t>Universite Paris Saclay; Assistance Publique Hopitaux Paris (APHP); Hopital Universitaire Antoine-Beclere - APHP; Hopital Universitaire Bicetre - APHP; Institut National de la Sante et de la Recherche Medicale (Inserm); Johns Hopkins University; Johns Hopkins Medicine; Johns Hopkins University; Johns Hopkins Medicine; Johns Hopkins University; Johns Hopkins Medicine; Wake Forest University; University of Amsterdam; GlaxoSmithKline; Glaxosmithkline USA; GlaxoSmithKline; Glaxosmithkline United Kingdom; University of Leicester; GlaxoSmithKline; Glaxosmithkline United Kingdom; GlaxoSmithKline; Glaxosmithkline United Kingdom; GlaxoSmithKline; Glaxosmithkline United Kingdom</t>
  </si>
  <si>
    <t>GSK [201810/NCT02555371]</t>
  </si>
  <si>
    <t>GSK(GlaxoSmithKline)</t>
  </si>
  <si>
    <t>Funding: GSK(201810/NCT02555371)</t>
  </si>
  <si>
    <t>A1445</t>
  </si>
  <si>
    <t>WOS:000685468900445</t>
  </si>
  <si>
    <t>Jais, X; Brenot, P; Bouvaist, H; Canuet, M; Chabanne, C; Chaouat, A; Cottin, V; Degroote, P; Favrolt, N; Horeau-Langlard, D; Jevnikar, M; Magro, P; Montani, D; Parent, F; Pison, C; Prévot, G; Renard, S; Savale, L; Sitbon, O; Trésorier, R; Tromeur, C; Piedvache, C; Fadel, E; Humbert, M; Simonneau, G</t>
  </si>
  <si>
    <t>Jais, X.; Brenot, P.; Bouvaist, H.; Canuet, M.; Chabanne, C.; Chaouat, A.; Cottin, V; Degroote, P.; Favrolt, N.; Horeau-Langlard, D.; Jevnikar, M.; Magro, P.; Montani, D.; Parent, F.; Pison, C.; Prevot, G.; Renard, S.; Savale, L.; Sitbon, O.; Tresorier, R.; Tromeur, C.; Piedvache, C.; Fadel, E.; Humbert, M.; Simonneau, G.</t>
  </si>
  <si>
    <t>BPA and Riociguat for the Management of Inoperable CTEPH: Results of the Extension Study Following the RACE Randomized Controlled Trial (RCT)</t>
  </si>
  <si>
    <t>[Jais, X.; Jevnikar, M.; Montani, D.; Parent, F.; Savale, L.; Sitbon, O.; Piedvache, C.; Humbert, M.; Simonneau, G.] Hop Bicetre, Le Kremlin Bicetre, France; [Brenot, P.; Fadel, E.] Hop Marie Lannelongue, Le Plessis Robinson, France; [Bouvaist, H.; Pison, C.] CHU Grenoble Aloes, Grenoble, France; [Canuet, M.] Hop Univ Strasbourg, Strasbourg, France; [Chabanne, C.] Hop Pontchaillou, Rennes, France; [Chaouat, A.] Hop Brabois, Nancy, France; [Cottin, V] Hop Louis Pradel, Lyon, France; [Degroote, P.] CHRU Lille, Lille, France; [Favrolt, N.] CHU Dijon Bourgogne, Dijon, France; [Horeau-Langlard, D.] Hop Laennec, Nantes, France; [Magro, P.] Hop Bretonneau, Tours, France; [Prevot, G.] Hop Larrey, Toulouse, France; [Renard, S.] Hop La Timone, Marseille, France; [Tresorier, R.] Hop Gabriel Montpied, Clermont Ferrand, France; [Tromeur, C.] Hop La Cavale Blanche, Brest, France</t>
  </si>
  <si>
    <t>Assistance Publique Hopitaux Paris (APHP); Hopital Universitaire Antoine-Beclere - APHP; Universite Paris Saclay; Hopital Universitaire Bicetre - APHP; Hopital Marie Lannelongue; CHU Grenoble Alpes; CHU Strasbourg; Universites de Strasbourg Etablissements Associes; Universite de Strasbourg; Universite de Rennes; CHU Rennes; CHU de Nancy; CHU Lyon; Universite de Lille; CHU Lille; CHU Dijon Bourgogne; Nantes Universite; CHU de Nantes; CHU Tours; CHU de Toulouse; Aix-Marseille Universite; Assistance Publique-Hopitaux de Marseille; CHU Clermont Ferrand; Universite de Bretagne Occidentale; CHU Brest</t>
  </si>
  <si>
    <t>Humbert, Marc/AAC-8459-2019; Brenot, Philippe/HJB-1040-2022; DE GROOTE, Pascal/LLL-9444-2024; Chaouat, Ari/AAP-6784-2021</t>
  </si>
  <si>
    <t>de Groote, Pascal/0000-0002-6211-0147</t>
  </si>
  <si>
    <t>French Ministry of Social Affairs and Health [NCT02634203, PHRC 2014-0123]; Bayer</t>
  </si>
  <si>
    <t>French Ministry of Social Affairs and Health; Bayer(Bayer AG)</t>
  </si>
  <si>
    <t>This abstract is funded by: The RACE Study (NCT02634203) was funded by French Ministry of Social Affairs and Health (PHRC 2014-0123) and supported by an unrestricted grant from Bayer.</t>
  </si>
  <si>
    <t>A1182</t>
  </si>
  <si>
    <t>WOS:000685468900183</t>
  </si>
  <si>
    <t>Jutant, E; Tu, L; Chelgham, M; Ottaviani, M; Le Vely, B; Humbert, M; Guignabert, C; Huertas, A</t>
  </si>
  <si>
    <t>Jutant, E.; Tu, L.; Chelgham, M.; Ottaviani, M.; Le Vely, B.; Humbert, M.; Guignabert, C.; Huertas, A.</t>
  </si>
  <si>
    <t>Regulation of Type I Cytokine Receptors as a Target for Pulmonary Arterial Hypertension Treatment</t>
  </si>
  <si>
    <t>[Jutant, E.; Tu, L.; Chelgham, M.; Ottaviani, M.; Le Vely, B.; Humbert, M.; Guignabert, C.; Huertas, A.] Univ Paris Saclay, INSERM, UMR S 999, Le Plessis Robinson, France</t>
  </si>
  <si>
    <t>Humbert, Marc/AAC-8459-2019; GUIGNABERT, Christophe/G-3873-2013; TU, Ly/G-4035-2013</t>
  </si>
  <si>
    <t>ANR; INSERM</t>
  </si>
  <si>
    <t>ANR(Agence Nationale de la Recherche (ANR)); INSERM(Institut National de la Sante et de la Recherche Medicale (Inserm))</t>
  </si>
  <si>
    <t>This abstract is funded by: ANR and INSERM</t>
  </si>
  <si>
    <t>A3667</t>
  </si>
  <si>
    <t>WOS:000685468903432</t>
  </si>
  <si>
    <t>Le Vely, B; Berrebeh, N; Phan, C; Thuillet, R; Humbert, M; Huertas, A; Guignabert, C; Tu, L</t>
  </si>
  <si>
    <t>Le Vely, B.; Berrebeh, N.; Phan, C.; Thuillet, R.; Humbert, M.; Huertas, A.; Guignabert, C.; Tu, L.</t>
  </si>
  <si>
    <t>Activation of Endothelial c-Abelson Is Required for DNA Integrity in Pulmonary Arterial Hypertension</t>
  </si>
  <si>
    <t>[Le Vely, B.; Berrebeh, N.; Phan, C.; Thuillet, R.; Huertas, A.; Guignabert, C.; Tu, L.] Univ Paris Saclay, INSERM, UMR S 999, Le Plessis Robinson, France; [Humbert, M.] Univ Paris Saclay, AP HP, INSERM, UMR S 999,Pneumol, Le Kremlin Bicetre, France</t>
  </si>
  <si>
    <t>Universite Paris Saclay; Institut National de la Sante et de la Recherche Medicale (Inserm); Assistance Publique Hopitaux Paris (APHP); Hopital Universitaire Bicetre - APHP; Institut National de la Sante et de la Recherche Medicale (Inserm); Universite Paris Saclay</t>
  </si>
  <si>
    <t>benjamin.le-vely@inserm.fr</t>
  </si>
  <si>
    <t>A3665</t>
  </si>
  <si>
    <t>WOS:000685468903430</t>
  </si>
  <si>
    <t>Montani, D; Girerd, B; Jais, X; Laveneziana, P; Lau, EM; Bouchachi, A; Hascoët, S; Günther, S; Godinas, L; Parent, F; Guignabert, C; Beurnier, A; Chemla, D; Hervé, P; Eyries, M; Soubrier, F; Simonneau, G; Sitbon, O; Savale, L; Humbert, M</t>
  </si>
  <si>
    <t>Montani, D.; Girerd, B.; Jais, X.; Laveneziana, P.; Lau, E. M.; Bouchachi, A.; Hascoet, S.; Gunther, S.; Godinas, L.; Parent, F.; Guignabert, C.; Beurnier, A.; Chemla, D.; Herve, P.; Eyries, M.; Soubrier, F.; Simonneau, G.; Sitbon, O.; Savale, L.; Humbert, M.</t>
  </si>
  <si>
    <t>Screening for Pulmonary Arterial Hypertension in Adults Carrying a BMPR2 Mutation</t>
  </si>
  <si>
    <t>[Montani, D.; Girerd, B.; Jais, X.; Parent, F.; Simonneau, G.; Sitbon, O.; Savale, L.; Humbert, M.] Univ Paris Saclay, Hop Bicetre, APHP, Pulm Dept,INSERM UMR S999, Le Kremlin Bicetre, France; [Laveneziana, P.] Sorbonne Univ, Hop Univ Pitie Salpetriere, AP HP, Serv Explorat Fonct Resp Exercice &amp; Dyspnee,Tenon, Paris, France; [Lau, E. M.] Prince Alfred Hosp, Resp Dept, Sydney, NSW 2000, Australia; [Bouchachi, A.] Univ Paris Saclay, Hop Bicetre, APHP, Cardiol Dept, Le Kremlin Bicetre, France; [Hascoet, S.] Hop Marie Lannelongue, Pole Cardiol Pediat &amp; Congenitale, Le Plessis Robinson, France; [Gunther, S.] Georges Pompidou European Hosp, AH HP, Serv Physiol, Paris, France; [Godinas, L.] KU Leuven Univ Leuven, Clin Dept Resp Dis, Univ Hosp, Leuven, Belgium; [Godinas, L.] KU Leuven Univ Leuven, Lab Resp Dis &amp; Thorac Surg BREATHE, Leuven, Belgium; [Guignabert, C.] INSERM UMR S 999, Le Plessis Robinson, France; [Beurnier, A.; Chemla, D.] Univ Paris Saclay, Hop Bicetre, APHP, Serv Physiol, Le Kremlin Bicetre, France; [Herve, P.] Hop Marie Lannelongue, Serv Chirurg Thorac, Le Plessis Robinson, France; [Eyries, M.; Soubrier, F.] Sorbonne Univ, Hop Pitie Salpetriere, APHP, Dept Genet,INSERM UMR S1166, Paris, France</t>
  </si>
  <si>
    <t>Assistance Publique Hopitaux Paris (APHP); Hopital Universitaire Bicetre - APHP; Hopital Universitaire Antoine-Beclere - APHP; Universite Paris Saclay; Institut National de la Sante et de la Recherche Medicale (Inserm); Assistance Publique Hopitaux Paris (APHP); Hopital Universitaire Pitie-Salpetriere - APHP; Sorbonne Universite; Hopital Universitaire Tenon - APHP; Universite Paris Saclay; Assistance Publique Hopitaux Paris (APHP); Hopital Universitaire Antoine-Beclere - APHP; Hopital Universitaire Bicetre - APHP; Hopital Marie Lannelongue; Assistance Publique Hopitaux Paris (APHP); Universite Paris Cite; Hopital Universitaire Europeen Georges-Pompidou - APHP; KU Leuven; KU Leuven; Universite Paris Saclay; Institut National de la Sante et de la Recherche Medicale (Inserm); Universite Paris Saclay; Assistance Publique Hopitaux Paris (APHP); Hopital Universitaire Antoine-Beclere - APHP; Hopital Universitaire Bicetre - APHP; Hopital Marie Lannelongue; Sorbonne Universite; Assistance Publique Hopitaux Paris (APHP); Hopital Universitaire Pitie-Salpetriere - APHP; Institut National de la Sante et de la Recherche Medicale (Inserm); Universite Paris Cite; Hopital Universitaire Hotel-Dieu - APHP</t>
  </si>
  <si>
    <t>Günther, Sven/ACV-7191-2022; Hascoet, Sebastien/Q-3311-2018; GUIGNABERT, Christophe/G-3873-2013; Humbert, Marc/AAC-8459-2019; Godinas, Laurette/AAS-1059-2021; Laveneziana, Pierantonio/GWC-2028-2022; GUNTHER, Sven/P-4177-2017</t>
  </si>
  <si>
    <t>Godinas, Laurent/0000-0003-2214-5879; GUNTHER, Sven/0000-0001-8388-6131</t>
  </si>
  <si>
    <t>French Ministry of Social Affairs and Health [PHRC P100175]</t>
  </si>
  <si>
    <t>French Ministry of Social Affairs and Health</t>
  </si>
  <si>
    <t>French Ministry of Social Affairs and Health (PHRC P100175)</t>
  </si>
  <si>
    <t>A3619</t>
  </si>
  <si>
    <t>WOS:000685468903384</t>
  </si>
  <si>
    <t>Hong, J; Arneson, D; Umar, S; Ruffenach, G; Cunningham, CM; Ahn, IS; Diamante, G; Bhetraratana, M; Park, JF; Said, E; Huynh, C; Le, T; Medzikovic, L; Humbert, M; Soubrier, F; Montani, D; Girerd, B; Trégouët, DA; Channick, R; Saggar, R; Eghbali, M; Yang, X</t>
  </si>
  <si>
    <t>Hong, Jason; Arneson, Douglas; Umar, Soban; Ruffenach, Gregoire; Cunningham, Christine M.; Ahn, In Sook; Diamante, Graciel; Bhetraratana, May; Park, John F.; Said, Emma; Huynh, Caroline; Le, Trixie; Medzikovic, Lejla; Humbert, Marc; Soubrier, Florent; Montani, David; Girerd, Barbara; Tregouet, David-Alexandre; Channick, Richard; Saggar, Rajan; Eghbali, Mansoureh; Yang, Xia</t>
  </si>
  <si>
    <t>Single-Cell Study of Two Rat Models of Pulmonary Arterial Hypertension Reveals Connections to Human Pathobiology and Drug Repositioning</t>
  </si>
  <si>
    <t>pulmonary hypertension; single-cell RNA sequencing; drug repurposing; monocrotaline; Sugen-hypoxia</t>
  </si>
  <si>
    <t>NONCLASSICAL MONOCYTES; ANIMAL-MODELS; CYSTATIN C; HYPOXIA; GENE; INTERFERON; EXPRESSION; PROTEIN; INHIBITION; SILDENAFIL</t>
  </si>
  <si>
    <t>Rationale: The cellular and molecular landscape and translational value of commonly used models of pulmonary arterial hypertension (PAH) are poorly understood. Single-cell transcriptomics can enhance molecular understanding of preclinical models and facilitate their rational use and interpretation. Objectives: To determine and prioritize dysregulated genes, pathways, and cell types in lungs of PAH rat models to assess relevance to humanPAH and identify drug repositioning candidates. Methods: Single-cell RNA sequencing was performed on the lungs of monocrotaline (MCT), Sugen-hypoxia (SuHx), and control rats to identify altered genes and cell types, followed by validation using flow-sorted cells, RNA in situ hybridization, and immunofluorescence. Relevance to human PAH was assessed by histology of lungs from patients and via integration with human PAH genetic loci and known disease genes. Candidate drugs were predicted using Connectivity Map. Measurements and Main Results: Distinct changes in genes and pathways in numerous cell types were identified in SuHx and MCT lungs. Widespread upregulation of NF-kappa B signaling and downregulation of IFN signaling was observed across cell types. SuHx nonclassical monocytes and MCT conventional dendritic cells showed particularly strong NF-kappa B pathway activation. Genes altered in SuHx nonclassical monocytes were significantly enriched for PAH-associated genes and genetic variants, and candidate drugs predicted to reverse the changes were identified. An open-access online platform was developed to share single-cell data and drug candidates (http://mergeomics.research.idre.ucla.edu/ PVDSingleCell/). Conclusions: Our study revealed the distinct and shared dysregulation of genes and pathways in two commonly used PAH models for the first time at single-cell resolution and demonstrated their relevance to human PAH and utility for drug repositioning.</t>
  </si>
  <si>
    <t>[Hong, Jason; Channick, Richard; Saggar, Rajan] Univ Calif Los Angeles, Div Pulm &amp; Crit Care Med, Los Angeles, CA 90095 USA; [Arneson, Douglas; Ahn, In Sook; Diamante, Graciel; Huynh, Caroline; Yang, Xia] Univ Calif Los Angeles, Dept Integrat Biol &amp; Physiol, Los Angeles, CA 90095 USA; [Umar, Soban; Ruffenach, Gregoire; Cunningham, Christine M.; Park, John F.; Said, Emma; Le, Trixie; Medzikovic, Lejla; Eghbali, Mansoureh] Univ Calif Los Angeles, Dept Anesthesiol &amp; Perioperat Med, Los Angeles, CA 90095 USA; [Bhetraratana, May] Univ Calif Los Angeles, Div Cardiol, Los Angeles, CA 90095 USA; [Humbert, Marc; Montani, David; Girerd, Barbara] Univ Paris Saclay, Bicetre Hosp, Publ Assistance Hosp Paris, Natl Inst Hlth &amp; Med Res Joint Res Unit S 999,Dep, Le Kremlin Bicetre, France; [Soubrier, Florent] Inst Hosp Univ Cardiometab &amp; Nutr, Paris, France; [Tregouet, David-Alexandre] Univ Bordeaux, Bordeaux Populat Hlth Res Ctr, Natl Inst Hlth &amp; Med Res Joint Res Unit 1219, Bordeaux, France</t>
  </si>
  <si>
    <t>University of California System; University of California Los Angeles; University of California System; University of California Los Angeles; University of California System; University of California Los Angeles; University of California System; University of California Los Angeles; Assistance Publique Hopitaux Paris (APHP); Hopital Universitaire Bicetre - APHP; Universite Paris Saclay; Institut National de la Sante et de la Recherche Medicale (Inserm); Universite de Bordeaux; Institut National de la Sante et de la Recherche Medicale (Inserm)</t>
  </si>
  <si>
    <t>Hong, J (corresponding author), Univ Calif Los Angeles, David Geffen Sch Med, Div Pulm &amp; Crit Care Med, 200 UCLA Med Plaza,Suite 365-B,Box 951693, Los Angeles, CA 90095 USA.</t>
  </si>
  <si>
    <t>jasonhong@mednet.ucla.edu</t>
  </si>
  <si>
    <t>Bhetraratana, May/ABB-1451-2021; Ruffenach, gregoire/IUO-5660-2023; Humbert, Marc/AAC-8459-2019; Eghbali, Mansour/M-3165-2017; Tregouet, David-Alexandre/E-3961-2016</t>
  </si>
  <si>
    <t>Le, Trixie/0000-0003-2472-4532; Tregouet, David-Alexandre/0000-0001-9084-7800; Hong, Jason/0000-0002-5062-8926; Ruffenach, Gregoire/0000-0001-6419-4332; Arneson, Douglas/0000-0002-9464-2586; Umar, Soban/0000-0001-8036-3079</t>
  </si>
  <si>
    <t>NIH/NHLBI [T32 HL072752, R01HL129051, R01HL147586, R01HL147883]; American Lung Association Catalyst Award; National Heart Lung and Blood Institute [T32HL072752, K08HL141995, R01HL147586, R01HL147883] Funding Source: NIH RePORTER</t>
  </si>
  <si>
    <t>NIH/NHLBI(United States Department of Health &amp; Human ServicesNational Institutes of Health (NIH) - USANIH National Heart Lung &amp; Blood Institute (NHLBI)); American Lung Association Catalyst Award; National Heart Lung and Blood Institute(United States Department of Health &amp; Human ServicesNational Institutes of Health (NIH) - USANIH National Heart Lung &amp; Blood Institute (NHLBI))</t>
  </si>
  <si>
    <t>Supported by NIH/NHLBI grant T32 HL072752 (J.H.), an American Lung Association Catalyst Award (J.H.), NIH/NHLBI grant R01HL147883 (X.Y.), and NIH/NHLBI grants R01HL129051 and R01HL147586 (M.E.).</t>
  </si>
  <si>
    <t>APR 15</t>
  </si>
  <si>
    <t>10.1164/rccm.202006-2169OC</t>
  </si>
  <si>
    <t>RO6JS</t>
  </si>
  <si>
    <t>WOS:000641150300016</t>
  </si>
  <si>
    <t>Chalmers, JD; Crichton, ML; Goeminne, PC; Cao, B; Humbert, M; Shteinberg, M; Antoniou, KM; Ulrik, CS; Parks, H; Wang, C; Vandendriessche, T; Qu, J; Stolz, D; Brightling, C; Welte, T; Aliberti, S; Simonds, AK; Tonia, T; Roche, N</t>
  </si>
  <si>
    <t>Chalmers, James D.; Crichton, Megan L.; Goeminne, Pieter C.; Cao, Bin; Humbert, Marc; Shteinberg, Michal; Antoniou, Katerina M.; Ulrik, Charlotte Suppli; Parks, Helen; Wang, Chen; Vandendriessche, Thomas; Qu, Jieming; Stolz, Daiana; Brightling, Christopher; Welte, Tobias; Aliberti, Stefano; Simonds, Anita K.; Tonia, Thomy; Roche, Nicolas</t>
  </si>
  <si>
    <t>Management of hospitalised adults with coronavirus disease 2019 (COVID-19): a European Respiratory Society living guideline</t>
  </si>
  <si>
    <t>CLINICAL CHARACTERISTICS; CARE; AZITHROMYCIN; MULTICENTER; TOCILIZUMAB; OUTCOMES; QUALITY; LABEL; SARS</t>
  </si>
  <si>
    <t>Introduction: Hospitalised patients with coronavirus disease 2019 (COVID-19) as a result of SARS-CoV-2 infection have a high mortality rate and frequently require noninvasive respiratory support or invasive ventilation. Optimising and standardising management through evidence-based guidelines may improve quality of care and therefore patient outcomes. Methods: A task force from the European Respiratory Society and endorsed by the Chinese Thoracic Society identified priority interventions (pharmacological and non-pharmacological) for the initial version of this living guideline using the PICO (population, intervention, comparator, outcome) format. The GRADE approach was used for assessing the quality of evidence and strength of recommendations. Systematic literature reviews were performed, and data pooled by meta-analysis where possible. Evidence tables were presented and evidence to decision frameworks were used to formulate recommendations. Results: Based on the available evidence at the time of guideline development (20 February, 2021), the panel makes a strong recommendation in favour of the use of systemic corticostemids in patients requiring supplementary oxygen or ventilatory support, and for the use of anticoagulation in hospitalised patients. The panel makes a conditional recommendation for interleukin (IL)-6 receptor antagonist monoclonal antibody treatment and high-flow nasal oxygen or continuous positive airway pressure in patients with hypoxaemic respiratory failure. The panel make strong recommendations against the use of hydroxychloroquine and lopinavir-ritonavir. Conditional recommendations are made against the use of azithromycin, hydroxychloroquine combined with azithromycin, colchicine, and remdesivir, in the latter case specifically in patients requiring invasive mechanical ventilation. No recommendation was made for remdesivir in patients requiring supplemental oxygen. Further recommendations for research are made. Conclusion: The evidence base for management of COVID-19 now supports strong recommendations in favour and against specific interventions. These guidelines will be regularly updated as further evidence becomes available.</t>
  </si>
  <si>
    <t>[Chalmers, James D.; Crichton, Megan L.] Univ Dundee, Sch Med, Dundee, Scotland; [Goeminne, Pieter C.] AZ Nikolaas, Dept Resp Med, St Niklaas, Belgium; [Cao, Bin] Chinese Acad Med Sci, Natl Clin Res Ctr Resp Dis, Inst Resp Med,Dept Resp &amp; Crit Care Med, Natl Ctr Resp Med,China Japan Friendship Hosp,Cli, Beijing, Peoples R China; [Humbert, Marc] Univ Paris Saclay, Hop Bicetre, AP HP, Serv Pneumol &amp; Soins Intensifs,Inserm,UMR S 999, Le Kremlin Bicetre, France; [Shteinberg, Michal] Carmel Hosp, Pulmonol Inst, Haifa, Israel; [Shteinberg, Michal] Carmel Hosp, CF Ctr, Haifa, Israel; [Shteinberg, Michal] Technion Israel Inst Technol, Haifa, Israel; [Antoniou, Katerina M.] Univ Crete, Sch Med, Dept Resp Med, Lab Mol &amp; Cellular Pneumonol, Iraklion, Greece; [Ulrik, Charlotte Suppli] Copenhagen Univ Hosp, Hvidovre Hosp, Dept Resp Med, Hvidovre, Denmark; [Parks, Helen] European Lung Fdn, Sheffield, S Yorkshire, England; [Wang, Chen] Chinese Acad Med Sci &amp; Peking Union Med Coll, Natl Clin Res Ctr Resp Dis, China Japan Friendship Hosp, Ctr Resp Med,Dept Pulm &amp; Crit Care Med, Beijing, Peoples R China; [Vandendriessche, Thomas] KU Leuven Lib, 2Bergen, Learning Ctr Desire Cotten, Leuven, Belgium; [Qu, Jieming] Ruijin Hosp, Dept Pulm &amp; Crit Care Med, Shanghai, Peoples R China; [Qu, Jieming] Shanghai Jiao Tong Univ, Inst Resp Dis, Sch Med, Shanghai, Peoples R China; [Stolz, Daiana] Univ Hosp Basel, Clin Resp Med &amp; Pulm Cell Res, Basel, Switzerland; [Brightling, Christopher] Univ Leicester, Leicester NIHR BRC, Inst Lung Hlth, Leicester, Leics, England; [Welte, Tobias] Hannover Med Sch, Abt Pneumol, Hannover, Germany; [Aliberti, Stefano] Univ Milan, Fdn IRCCS Ca Granda Osped Maggiore Policlin, Dept Pathophysiol &amp; Transplantat, Milan, Italy; [Simonds, Anita K.] Royal Brompton &amp; Harefield NHS Fdn Trust, Resp &amp; Sleep Med, London, England; [Tonia, Thomy] Univ Bern, Inst Social &amp; Prevent Med, Bern, Switzerland; [Roche, Nicolas] Univ Paris, Cochin Hosp, APHP Ctr, Resp Med,Cochin Inst,INSERM,UMR10161, Paris, France</t>
  </si>
  <si>
    <t>University of Dundee; China-Japan Friendship Hospital; Chinese Academy of Medical Sciences - Peking Union Medical College; Universite Paris Saclay; Assistance Publique Hopitaux Paris (APHP); Hopital Universitaire Antoine-Beclere - APHP; Institut National de la Sante et de la Recherche Medicale (Inserm); Hopital Universitaire Bicetre - APHP; Clalit Health Services; Carmel Medical Center; Clalit Health Services; Carmel Medical Center; Technion Israel Institute of Technology; University of Crete; University of Copenhagen; Copenhagen University Hospital; China-Japan Friendship Hospital; Chinese Academy of Medical Sciences - Peking Union Medical College; Peking Union Medical College; KU Leuven; Shanghai Jiao Tong University; Shanghai Jiao Tong University; University of Basel; University of Leicester; Hannover Medical School; IRCCS Ca Granda Ospedale Maggiore Policlinico; University of Milan; Royal Brompton &amp; Harefield NHS Foundation Trust; University of Bern; Institut National de la Sante et de la Recherche Medicale (Inserm); Assistance Publique Hopitaux Paris (APHP); Universite Paris Cite; Hopital Universitaire Cochin - APHP</t>
  </si>
  <si>
    <t>Chalmers, JD (corresponding author), Univ Dundee, Ninewells Hosp &amp; Med Sch, Div Mol &amp; Clin Med, Dundee DD1 9SY, Scotland.</t>
  </si>
  <si>
    <t>Chalmers, James/JFK-7508-2023; wang, chen/GWM-9481-2022; Goeminne, Pieter/JYP-5772-2024; Roche, Nicolas/AAP-4445-2021; Aliberti, Stefano/K-9115-2016; Humbert, Marc/AAC-8459-2019; Vandendriessche, Thomas/K-2165-2016</t>
  </si>
  <si>
    <t>Aliberti, Stefano/0000-0002-0090-4531; Shteinberg, Michal/0000-0002-0432-3398; Antoniou, Katerina/0009-0006-0207-4582; Crichton, Megan/0009-0008-9277-6573; Suppli Ulrik, Charlotte/0000-0001-8689-3695; Humbert, Marc/0000-0003-0703-2892; Stolz, Daiana/0000-0003-0099-882X; brightling, chris/0000-0002-9345-4903; Vandendriessche, Thomas/0000-0001-9980-6941; Chalmers, James/0000-0001-5514-7868</t>
  </si>
  <si>
    <t>This work was funded by the European Respiratory Society. Funding information for this article has been deposited with the Crossref Funder Registry.</t>
  </si>
  <si>
    <t>10.1183/13993003.00048-2021</t>
  </si>
  <si>
    <t>SO1QB</t>
  </si>
  <si>
    <t>WOS:000658753000013</t>
  </si>
  <si>
    <t>Chemla, D; Berthelot, E; Weatherald, J; Lau, EMT; Savale, L; Beurnier, A; Montani, D; Sitbon, O; Attal, P; Boulate, D; Assayag, P; Humbert, M; Hervé, P</t>
  </si>
  <si>
    <t>Chemla, Denis; Berthelot, Emmanuelle; Weatherald, Jason; Lau, Edmund M. T.; Savale, Laurent; Beurnier, Antoine; Montani, David; Sitbon, Olivier; Attal, Pierre; Boulate, David; Assayag, Patrick; Humbert, Marc; Herve, Philippe</t>
  </si>
  <si>
    <t>The isobaric pulmonary arterial compliance in pulmonary hypertension</t>
  </si>
  <si>
    <t>HEART-FAILURE; VASCULAR-RESISTANCE; CAPACITANCE; STIFFNESS; MORTALITY; OUTCOMES</t>
  </si>
  <si>
    <t>Pulmonary hypertension is associated with stiffening of pulmonary arteries which increases right ventricular pulsatile loading. High pulmonary artery wedge pressure (PAWP) in postcapillary pulmonary hypertension (Pc-PH) further decreases pulmonary arterial compliance (PAC) at a given pulmonary vascular resistance (PVR) compared with precapillary pulmonary hypertension, thus responsible for a higher total arterial load. In all other vascular beds, arterial compliance is considered as mainly determined by the distending pressure, due to non-linear stress-strain behaviour of arteries. We tested the applicability, advantages and drawbacks of two comparison methods of PAC depending on the level of mean pulmonary arterial pressure (mPAP; isobaric PAC) or PVR. Right heart catheterisation data including PAC (stroke volume/pulse pressure) were obtained in 112 Pc-PH (of whom 61 had combined postcapillary and precapillary pulmonary hypertension) and 719 idiopathic pulmonary arterial hypertension (iPAH). PAC could be compared over the same mPAP range (25-66 mmHg) in 792 (95.3%) out of 831 patients and over the same PVR range (3-10.7 WU) in only 520 (62.6%) out of 831 patients. The main assumption underlying comparisons at a given PVR was not verified as the PVRxPAC product (RC-time) was not constant but on the contrary more variable than mPAP. In the 788/831 (94.8%) patients studied over the same PAC range (0.62-6.5 mL.mmHg(-1)), PVR and thus total arterial load tended to be higher in iPAH. Our study favours comparing PAC at fixed mPAP level (isobaric PAC) rather than at fixed PVR. A reappraisal of the effects of PAWP on the pulsatile and total arterial load put on the right heart is needed, and this point deserves further studies.</t>
  </si>
  <si>
    <t>[Chemla, Denis; Beurnier, Antoine; Attal, Pierre] GHU Paris Sud, AP HP, DMU CORREVE, Serv Explorat Fonctionnelles Multidisciplinaires, Le Kremlin Bicetre, France; [Chemla, Denis; Berthelot, Emmanuelle; Savale, Laurent; Beurnier, Antoine; Montani, David; Sitbon, Olivier; Assayag, Patrick; Humbert, Marc] Univ Paris Saclay, Univ Paris Sud, Fac Med, Le Kremlin Bicetre, France; [Chemla, Denis; Savale, Laurent; Montani, David; Sitbon, Olivier; Assayag, Patrick; Humbert, Marc; Herve, Philippe] Hop Marie Lannelongue, INSERM UMR S 999, Le Plessis Robinson, France; [Berthelot, Emmanuelle; Beurnier, Antoine; Assayag, Patrick] GHU Paris Sud, AP HP, Serv Cardiol, Le Kremlin Bicetre, France; [Weatherald, Jason] Univ Calgary, Div Respirol, Dept Med, Calgary, AB, Canada; [Lau, Edmund M. T.] Univ Sydney, Royal Prince Alfred Hosp, Dept Resp Med, Camperdown, NSW, Australia; [Savale, Laurent; Montani, David; Sitbon, Olivier; Humbert, Marc] Hop Bicetre, AP HP, Serv Pneumol, Le Kremlin Bicetre, France; [Attal, Pierre] Shaare Zedek Med Ctr, Dept Otolaryngol Head &amp; Neck Surg, Jerusalem, Israel; [Attal, Pierre] Hebrew Univ Jerusalem, Med Sch, Jerusalem, Israel; [Boulate, David; Herve, Philippe] Hop Marie Lannelongue, Dept Chirurg Thorac Vasc &amp; Transplantat Pulm, Le Plessis Robinson, France</t>
  </si>
  <si>
    <t>Assistance Publique Hopitaux Paris (APHP); Hopital Universitaire Bicetre - APHP; Universite Paris Saclay; Hopital Marie Lannelongue; Universite Paris Saclay; Institut National de la Sante et de la Recherche Medicale (Inserm); Assistance Publique Hopitaux Paris (APHP); Hopital Universitaire Bicetre - APHP; University of Calgary; NSW Health; Royal Prince Alfred Hospital; University of Sydney; Assistance Publique Hopitaux Paris (APHP); Hopital Universitaire Bicetre - APHP; Universite Paris Saclay; Hopital Universitaire Antoine-Beclere - APHP; Hebrew University of Jerusalem; Shaare Zedek Medical Center; Hebrew University of Jerusalem; Hopital Marie Lannelongue</t>
  </si>
  <si>
    <t>Chemla, D (corresponding author), Hop Bicetre, Serv Explorat Fonctionnelles, Broca 4,78 Rue Gen Leclerc, F-94275 Le Kremlin Bicetre, France.</t>
  </si>
  <si>
    <t>denis.chemla@aphp.fr</t>
  </si>
  <si>
    <t>David, Montani/I-6885-2019; Assayag, Patrick/GPS-4910-2022; Sitbon, Olivier/I-3623-2019; Humbert, Marc/AAC-8459-2019; Boulate, David/ABC-8057-2020; Savale, Laurent/AAJ-9781-2020</t>
  </si>
  <si>
    <t>Berthelot, Emmanuelle/0000-0002-0418-3110; Savale, Laurent/0000-0002-6862-8975; Attal, Pierre/0000-0002-5272-695X; SITBON, Olivier/0000-0002-1942-1951; Assayag, Patrick/0000-0001-9406-4555; Montani, David/0000-0002-9358-6922</t>
  </si>
  <si>
    <t>00941-2020</t>
  </si>
  <si>
    <t>10.1183/23120541.00941-2020</t>
  </si>
  <si>
    <t>TZ0MF</t>
  </si>
  <si>
    <t>WOS:000684169700049</t>
  </si>
  <si>
    <t>Humbert, M; McLaughlin, V; Gibbs, JSR; Gomberg-Maitland, M; Hoeper, MM; Preston, IR; Souza, R; Waxman, A; Escribano Subias, P; Feldman, J; Meyer, G; Montani, D; Olsson, KM; Manimaran, S; Barnes, J; Linde, PG; de Oliveira Pena, J; Badesch, DB</t>
  </si>
  <si>
    <t>Humbert, Marc; McLaughlin, Vallerie; Gibbs, J. Simon R.; Gomberg-Maitland, Mardi; Hoeper, Marius M.; Preston, Ioana R.; Souza, Rogerio; Waxman, Aaron; Escribano Subias, Pilar; Feldman, Jeremy; Meyer, Gisela; Montani, David; Olsson, Karen M.; Manimaran, Solaiappan; Barnes, Jennifer; Linde, Peter G.; de Oliveira Pena, Janethe; Badesch, David B.</t>
  </si>
  <si>
    <t>PULSAR Trial Investigators</t>
  </si>
  <si>
    <t>Sotatercept for the Treatment of Pulmonary Arterial Hypertension</t>
  </si>
  <si>
    <t>BackgroundPulmonary arterial hypertension is characterized by pulmonary vascular remodeling, cellular proliferation, and poor long-term outcomes. Dysfunctional bone morphogenetic protein pathway signaling is associated with both hereditary and idiopathic subtypes. Sotatercept, a novel fusion protein, binds activins and growth differentiation factors in the attempt to restore balance between growth-promoting and growth-inhibiting signaling pathways. MethodsIn this 24-week multicenter trial, we randomly assigned 106 adults who were receiving background therapy for pulmonary arterial hypertension to receive subcutaneous sotatercept at a dose of 0.3 mg per kilogram of body weight every 3 weeks or 0.7 mg per kilogram every 3 weeks or placebo. The primary end point was the change from baseline to week 24 in pulmonary vascular resistance. ResultsBaseline characteristics were similar among the three groups. The least-squares mean difference between the sotatercept 0.3-mg group and the placebo group in the change from baseline to week 24 in pulmonary vascular resistance was -145.8 dyn.sec.cm(-5) (95% confidence interval [CI], -241.0 to -50.6; P=0.003). The least-squares mean difference between the sotatercept 0.7-mg group and the placebo group was -239.5 dyn.sec.cm(-5) (95% CI, -329.3 to -149.7; P&lt;0.001). At 24 weeks, the least-squares mean difference between the sotatercept 0.3-mg group and the placebo group in the change from baseline in 6-minute walk distance was 29.4 m (95% CI, 3.8 to 55.0). The least-squares mean difference between the sotatercept 0.7-mg group and the placebo group was 21.4 m (95% CI, -2.8 to 45.7). Sotatercept was also associated with a decrease in N-terminal pro-B-type natriuretic peptide levels. Thrombocytopenia and an increased hemoglobin level were the most common hematologic adverse events. One patient in the sotatercept 0.7-mg group died from cardiac arrest. ConclusionsTreatment with sotatercept resulted in a reduction in pulmonary vascular resistance in patients receiving background therapy for pulmonary arterial hypertension. (Funded by Acceleron Pharma; PULSAR ClinicalTrials.gov number, NCT03496207.) Patients with pulmonary arterial hypertension were randomly assigned to receive sotatercept at a dose of 0.3 mg per kilogram or 0.7 mg per kilogram or placebo, in addition to standard therapy. At 24 weeks, both sotatercept groups had a greater reduction in pulmonary vascular resistance than the placebo group.</t>
  </si>
  <si>
    <t>[Humbert, Marc; Montani, David] Univ Paris Saclay, Dept Resp &amp; Intens Care Med, Hop Bicetre, Assistance Publ Hop Paris,INSERM Unite Mixte Rech, Le Kremlin Bicetre, France; [McLaughlin, Vallerie] Univ Michigan Hlth Syst, Div Cardiovasc Med, Dept Internal Med, Ann Arbor, MI USA; [Gibbs, J. Simon R.] Imperial Coll London, Natl Heart &amp; Lung Inst, London, England; [Gibbs, J. Simon R.] Imperial Coll Healthcare NHS Trust, Hammersmith Hosp, Natl Pulm Hypertens Serv, London, England; [Gomberg-Maitland, Mardi] George Washington Univ, Dept Med, Washington, DC USA; [Hoeper, Marius M.; Olsson, Karen M.] Hannover Med Sch, Dept Resp Med, Hannover, Germany; [Hoeper, Marius M.; Olsson, Karen M.] German Ctr Lung Res, Hannover, Germany; [Preston, Ioana R.] Tufts Med Ctr, Div Pulm Crit Care &amp; Sleep Med, Boston, MA 02111 USA; [Waxman, Aaron] Brigham &amp; Womens Hosp, Dept Med, Div Pulm &amp; Crit Care Med, 75 Francis St, Boston, MA 02115 USA; [Manimaran, Solaiappan; Barnes, Jennifer; Linde, Peter G.; de Oliveira Pena, Janethe] Acceleron Pharma, Cambridge, MA USA; [Souza, Rogerio] Univ Sao Paulo Med Sch, Div Pulm, Inst Heart, Sao Paulo, Brazil; [Meyer, Gisela] Complexo Hosp Santa Casa Porto Alegre, Pulm Vasc Res Inst, Porto Alegre, RS, Brazil; [Escribano Subias, Pilar] Univ Complutense, Hosp Univ Octubre 12, Ctr Invest Red Enfermedades Cardiovasc, Dept Cardiol, Madrid, Spain; [Feldman, Jeremy] Arizona Pulm Specialists, Phoenix, AZ USA; [Badesch, David B.] Univ Colorado, Div Pulm Sci &amp; Crit Care Med, Anschutz Med Campus, Aurora, CO USA; [Badesch, David B.] Univ Colorado, Div Cardiol, Anschutz Med Campus, Aurora, CO USA</t>
  </si>
  <si>
    <t>Assistance Publique Hopitaux Paris (APHP); Hopital Universitaire Antoine-Beclere - APHP; Universite Paris Saclay; Hopital Universitaire Bicetre - APHP; Universite Paris Cite; Hopital Universitaire Saint-Louis - APHP; Institut National de la Sante et de la Recherche Medicale (Inserm); University of Michigan System; University of Michigan; Imperial College London; Imperial College London; George Washington University; Hannover Medical School; Tufts Medical Center; Harvard University; Harvard University Medical Affiliates; Brigham &amp; Women's Hospital; Acceleron Pharma; Universidade de Sao Paulo; Hospital Universitario 12 de Octubre; Complutense University of Madrid; University of Colorado System; University of Colorado Anschutz Medical Campus; University of Colorado System; University of Colorado Anschutz Medical Campus</t>
  </si>
  <si>
    <t>Badesch, DB (corresponding author), Univ Colorado, Anshutz Med Campus,12401 E 17th Ave,Leprino Bldg, Aurora, CO 80045 USA.</t>
  </si>
  <si>
    <t>david.badesch@cuanschutz.edu</t>
  </si>
  <si>
    <t>David, Montani/I-6885-2019; Hoeper, Marius/Z-1546-2019; Humbert, Marc/AAC-8459-2019; Waxman, Aaron/I-8659-2019; Escribano, Pilar/R-5273-2017; Souza, Rogerio/I-3584-2013</t>
  </si>
  <si>
    <t>Barnes, Jennifer/0000-0002-9048-6694; Bourdin, Arnaud/0000-0002-4645-5209; Escribano, Pilar/0000-0002-6640-4839; Hoeper, Marius/0000-0001-9086-2293; Preston, Ioana/0000-0002-1378-7362; Montani, David/0000-0002-9358-6922; Cruz Utrilla, Alejandro/0000-0002-3851-4037; Souza, Rogerio/0000-0003-2789-9143; Cifrian, Jose Manuel/0000-0003-3682-0142; BERTOLETTI, Laurent/0000-0001-8214-3010</t>
  </si>
  <si>
    <t>Supported by Acceleron Pharma.</t>
  </si>
  <si>
    <t>10.1056/NEJMoa2024277</t>
  </si>
  <si>
    <t>RJ8KV</t>
  </si>
  <si>
    <t>WOS:000637850100007</t>
  </si>
  <si>
    <t>Jackson, D; Kent, B; Humbert, M; Heaney, L; Korn, S; Keith, M; Siddiqui, S; Cook, B; Gil, E; Miller, DA</t>
  </si>
  <si>
    <t>Jackson, Dj; Kent, B. D.; Humbert, M.; Heaney, L. G.; Korn, S.; Keith, M.; Siddiqui, S.; Cook, B.; Gil, E. G.; Miller, de Giorgio A.</t>
  </si>
  <si>
    <t>Enabling Reductions in Maintenance ICS/LABA Therapy Using As Needed Anti-Inflammatory Reliever for Patients with Severe Eosinophilic Asthma Controlled with Benralizumab: SHAMAL Phase IV Clinical Study</t>
  </si>
  <si>
    <t>PNEUMOLOGIE</t>
  </si>
  <si>
    <t>[Jackson, Dj; Kent, B. D.] Guys &amp; St Thomas NHS Trust, Guys Severe Asthma Ctr, London, England; [Humbert, M.] Hop Bicetre, Serv Pneumol, Le Kremlin Bicetre, France; [Heaney, L. G.] Queens Univ Belfast, Belfast, Antrim, North Ireland; [Korn, S.] Univ Med Mainz, Langenbeckstr, Mainz, Germany; [Keith, M.; Siddiqui, S.] AstraZeneca, Gaithersburg, MD USA; [Cook, B.] AstraZeneca, Wilmington, DE USA; [Gil, E. G.] AstraZeneca, Barcelona, Spain; [Miller, de Giorgio A.] AstraZeneca, Cambridge, England</t>
  </si>
  <si>
    <t>Guy's &amp; St Thomas' NHS Foundation Trust; Assistance Publique Hopitaux Paris (APHP); Hopital Universitaire Bicetre - APHP; Hopital Universitaire Antoine-Beclere - APHP; Universite Paris Saclay; Queens University Belfast; Johannes Gutenberg University of Mainz; AstraZeneca; AstraZeneca</t>
  </si>
  <si>
    <t>GEORG THIEME VERLAG KG</t>
  </si>
  <si>
    <t>STUTTGART</t>
  </si>
  <si>
    <t>RUDIGERSTR 14, D-70469 STUTTGART, GERMANY</t>
  </si>
  <si>
    <t>0934-8387</t>
  </si>
  <si>
    <t>1438-8790</t>
  </si>
  <si>
    <t>Pneumologie</t>
  </si>
  <si>
    <t>P680</t>
  </si>
  <si>
    <t>S32</t>
  </si>
  <si>
    <t>10.1055/s-0041-1723318</t>
  </si>
  <si>
    <t>RV4SZ</t>
  </si>
  <si>
    <t>WOS:000645825800049</t>
  </si>
  <si>
    <t>Jutant, EM; Montani, D; Sattler, C; Günther, S; Sitbon, O; Garcia, G; Arnulf, I; Humbert, M; Similowski, T; Redolfi, S</t>
  </si>
  <si>
    <t>Jutant, Etienne-Marie; Montani, David; Sattler, Caroline; Guenther, Sven; Sitbon, Olivier; Garcia, Gilles; Arnulf, Isabelle; Humbert, Marc; Similowski, Thomas; Redolfi, Stefania</t>
  </si>
  <si>
    <t>Hypoxemia during sleep and overnight rostral fluid shift in pulmonary arterial hypertension: a pilot study</t>
  </si>
  <si>
    <t>pulmonary hypertension; rostral fluid shift; sleep hypoxemia; sleep apnea; sleep-related breathing disorders</t>
  </si>
  <si>
    <t>NOCTURNAL HYPOXEMIA; APNEA; DISORDERS; OXYGEN; MEN</t>
  </si>
  <si>
    <t>Sleep-related breathing disorders, including sleep apnea and hypoxemia during sleep, are common in pulmonary arterial hypertension, but the underlying mechanisms remain unknown. Overnight fluid shift from the legs to the upper airway and to the lungs promotes obstructive and central sleep apnea, respectively, in fluid-retaining states. The main objective was to evaluate if overnight rostral fluid shift from the legs to the upper part of the body is associated with sleep-related breathing disorders in pulmonary arterial hypertension. In a prospective study, a group of stable patients with idiopathic, heritable, related to drugs, toxins, or treated congenital heart disease pulmonary arterial hypertension underwent a polysomnography and overnight fluid shift measurement by bioelectrical impedance in the month preceding or following a one-day hospitalization according to regular pulmonary arterial hypertension follow-up schedule with a right heart catheterization. Results show that among 15 patients with pulmonary arterial hypertension (women: 87%; median (25-75th percentiles); age: 40 (32-61) years; mean pulmonary arterial pressure 56 (46-68) mmHg; pulmonary vascular resistance 8.8 (6.4-10.1) Wood units), two patients had sleep apnea and eight (53%) had hypoxemia during sleep without apnea. The overnight rostral fluid shift was 168 (118-263) mL per leg. Patients with hypoxemia during sleep had a greater fluid shift (221 (141- 361) mL) than those without hypoxemia (118 (44-178) mL, p = 0.045). In conclusion, this pilot study suggests that hypoxemia during sleep is associated with overnight rostral fluid shift in pulmonary arterial hypertension.</t>
  </si>
  <si>
    <t>[Jutant, Etienne-Marie; Montani, David; Sattler, Caroline; Sitbon, Olivier; Garcia, Gilles; Humbert, Marc] Univ Paris Saclay, Sch Med, Le Kremlin Bicetre, France; [Jutant, Etienne-Marie; Montani, David; Sattler, Caroline; Sitbon, Olivier; Garcia, Gilles; Humbert, Marc] Hop Marie Lannelongue, INSERM, UMR S 999, Pulm Hypertens Pathophysiol &amp; Novel Therapies, Le Plessis Robinson, France; [Jutant, Etienne-Marie; Montani, David; Sattler, Caroline; Sitbon, Olivier; Garcia, Gilles; Humbert, Marc] Hop Bicetre, AP HP, Pulm Hypertens Natl Referral Ctr, Dept Resp &amp; Intens Care Med, Le Kremlin Bicetre, France; [Guenther, Sven] Univ Paris, INSERM 1140, Innovat Therapies Haemostasis, Paris, France; [Guenther, Sven] Georges Pompidou European Hosp, AP HP, Dept Resp Physiol, Paris, France; [Arnulf, Isabelle; Redolfi, Stefania] Sorbonne Univ, Grp Hosp Univ, AP HP, Serv Pathol Sommeil,Dept R3S, Site Pitie Salpetriere, Paris, France; [Arnulf, Isabelle; Similowski, Thomas; Redolfi, Stefania] Sorbonne Univ, INSERM, UMRS1158, Neurophysiol Resp Expt &amp; Clin, Paris, France; [Similowski, Thomas] Sorbonne Univ, Grp Hosp Univ, AP HP, Serv Pneumol Med Intens &amp; Reanimat,Dept R3S, Site Pitie Salpetriere, Paris, France</t>
  </si>
  <si>
    <t>Universite Paris Saclay; Institut National de la Sante et de la Recherche Medicale (Inserm); Hopital Marie Lannelongue; Universite Paris Saclay; Assistance Publique Hopitaux Paris (APHP); Hopital Universitaire Antoine-Beclere - APHP; Universite Paris Saclay; Hopital Universitaire Bicetre - APHP; Universite Paris Cite; Institut National de la Sante et de la Recherche Medicale (Inserm); Assistance Publique Hopitaux Paris (APHP); Universite Paris Cite; Hopital Universitaire Europeen Georges-Pompidou - APHP; Assistance Publique Hopitaux Paris (APHP); Hopital Universitaire Pitie-Salpetriere - APHP; Sorbonne Universite; Institut National de la Sante et de la Recherche Medicale (Inserm); Sorbonne Universite; Sorbonne Universite; Assistance Publique Hopitaux Paris (APHP); Hopital Universitaire Pitie-Salpetriere - APHP</t>
  </si>
  <si>
    <t>Jutant, EM (corresponding author), Hop Bicetre, AP HP, Ctr Reference Hypertens Pulm,INSERM,U999, Serv Pneumol &amp; Soins Intensifs Thorac,Pulm Hypert, 78 Rue Gen Leclerc, F-94270 Le Kremlin Bicetre, France.</t>
  </si>
  <si>
    <t>Günther, Sven/ACV-7191-2022; David, Montani/I-6885-2019; Similowski, Thomas/GQQ-9468-2022; Humbert, Marc/AAC-8459-2019; redolfi, stefania/GRY-4292-2022; GUNTHER, Sven/P-4177-2017</t>
  </si>
  <si>
    <t>REDOLFI, Stefania/0000-0002-5645-5763; Montani, David/0000-0002-9358-6922; Redolfi, Stefania/0009-0007-4865-8222; Jutant, Etienne-Marie/0000-0002-1374-1890; GUNTHER, Sven/0000-0001-8388-6131; Arnulf, Isabelle/0000-0002-2240-2516</t>
  </si>
  <si>
    <t>10.1177/2045894021996930</t>
  </si>
  <si>
    <t>RI2AF</t>
  </si>
  <si>
    <t>Green Published, Green Submitted, gold</t>
  </si>
  <si>
    <t>WOS:000636711600001</t>
  </si>
  <si>
    <t>Le Pavec, J; Feuillet, S; Mercier, O; Pradère, P; Dauriat, G; Crutu, A; Florea, V; Savale, L; Levy, M; Laverdure, F; Stephan, F; Fabre, D; Mitilian, D; Boulate, D; Mussot, S; Hascoët, S; Bonnet, D; Humbert, M; Fadel, E</t>
  </si>
  <si>
    <t>Le Pavec, J.; Feuillet, S.; Mercier, O.; Pradere, P.; Dauriat, G.; Crutu, A.; Florea, V.; Savale, L.; Levy, M.; Laverdure, F.; Stephan, F.; Fabre, D.; Mitilian, D.; Boulate, D.; Mussot, S.; Hascoet, S.; Bonnet, D.; Humbert, M.; Fadel, E.</t>
  </si>
  <si>
    <t>Lung and Heart-Lung Transplantation for Children with PAH: Dramatic Benefits from the Implementation of High-Priority Allocation Program in France</t>
  </si>
  <si>
    <t>[Le Pavec, J.; Feuillet, S.; Mercier, O.; Pradere, P.; Dauriat, G.; Crutu, A.; Florea, V.; Laverdure, F.; Stephan, F.; Fabre, D.; Mitilian, D.; Boulate, D.; Mussot, S.; Hascoet, S.; Fadel, E.] Hop Marie Lannelongue, Le Plessis Robinson, France; [Savale, L.; Humbert, M.] Hop Kremlin Bicetre, Le Kremlin Bicetre, France; [Bonnet, D.] Hop Necker Enfants Malad, Paris, France</t>
  </si>
  <si>
    <t>Hopital Marie Lannelongue; Assistance Publique Hopitaux Paris (APHP); Hopital Universitaire Bicetre - APHP; Universite Paris Saclay; Assistance Publique Hopitaux Paris (APHP); Universite Paris Cite; Hopital Universitaire Necker-Enfants Malades - APHP</t>
  </si>
  <si>
    <t>S190</t>
  </si>
  <si>
    <t>RA2NT</t>
  </si>
  <si>
    <t>WOS:000631254400430</t>
  </si>
  <si>
    <t>Ryanto, GRT; Ikeda, K; Miyagawa, K; Tu, L; Guignabert, C; Humbert, M; Fujiyama, T; Yanagisawa, M; Hirata, K; Emoto, N</t>
  </si>
  <si>
    <t>Ryanto, Gusty R. T.; Ikeda, Koji; Miyagawa, Kazuya; Tu, Ly; Guignabert, Christophe; Humbert, Marc; Fujiyama, Tomoyuki; Yanagisawa, Masashi; Hirata, Ken-ichi; Emoto, Noriaki</t>
  </si>
  <si>
    <t>An endothelial activin A-bone morphogenetic protein receptor type 2 link is overdriven in pulmonary hypertension</t>
  </si>
  <si>
    <t>Pulmonary arterial hypertension is a progressive fatal disease that is characterized by pathological pulmonary artery remodeling, in which endothelial cell dysfunction is critically involved. We herein describe a previously unknown role of endothelial angiocrine in pulmonary hypertension. By searching for genes highly expressed in lung microvascular endothelial cells, we identify inhibin-beta -A as an angiocrine factor produced by pulmonary capillaries. We find that excess production of inhibin-beta -A by endothelial cells impairs the endothelial function in an autocrine manner by functioning as activin-A. Mechanistically, activin-A induces bone morphogenetic protein receptor type 2 internalization and targeting to lysosomes for degradation, resulting in the signal deficiency in endothelial cells. Of note, endothelial cells isolated from the lung of patients with idiopathic pulmonary arterial hypertension show higher inhibin-beta -A expression and produce more activin-A compared to endothelial cells isolated from the lung of normal control subjects. When endothelial activin-A-bone morphogenetic protein receptor type 2 link is overdriven in mice, hypoxia-induced pulmonary hypertension was exacerbated, whereas conditional knockout of inhibin-beta -A in endothelial cells prevents the progression of pulmonary hypertension. These data collectively indicate a critical role for the dysregulated endothelial activin-A-bone morphogenetic protein receptor type 2 link in the progression of pulmonary hypertension, and thus endothelial inhibin-beta -A/activin-A might be a potential pharmacotherapeutic target for the treatment of pulmonary arterial hypertension. Pulmonary arterial hypertension is a progressive fatal disease characterized by pathological pulmonary artery remodeling. Here the authors show that the dysregulation of the activin A-bone morphogenetic protein receptor type 2 link in the endothelium is involved in the progression of pulmonary hypertension.</t>
  </si>
  <si>
    <t>[Ryanto, Gusty R. T.; Ikeda, Koji; Miyagawa, Kazuya; Emoto, Noriaki] Kobe Pharmaceut Univ, Lab Clin Pharmaceut Sci, Kobe, Hyogo, Japan; [Ryanto, Gusty R. T.; Hirata, Ken-ichi; Emoto, Noriaki] Kobe Univ, Dept Internal Med, Div Cardiovasc Med, Grad Sch Med, Kobe, Hyogo, Japan; [Ikeda, Koji] Kyoto Prefectural Univ Med, Dept Epidemiol Longev &amp; Reg Hlth, Kyoto, Japan; [Ikeda, Koji] Kyoto Prefectural Univ Med, Dept Cardiovasc Med, Kyoto, Japan; [Tu, Ly; Guignabert, Christophe; Humbert, Marc] INSERM UMR S 999, Le Plessis Robinson, France; [Tu, Ly; Guignabert, Christophe; Humbert, Marc] Univ Paris Saclay, Univ Paris Sud, Le Kremlin Bicetre, France; [Humbert, Marc] Hop Bicetre, AP HP, Serv Pneumol, Ctr Reference Hypertens Pulmonaire Severe,DHU Tho, Le Kremlin Bicetre, France; [Fujiyama, Tomoyuki; Yanagisawa, Masashi] Univ Tsukuba, Int Inst Integrat Sleep Med WPI IIIS, Tsukuba, Ibaraki, Japan</t>
  </si>
  <si>
    <t>Kobe Pharmaceutical University; Kobe University; Kyoto Prefectural University of Medicine; Kyoto Prefectural University of Medicine; Universite Paris Saclay; Institut National de la Sante et de la Recherche Medicale (Inserm); Universite Paris Saclay; Assistance Publique Hopitaux Paris (APHP); Hopital Universitaire Antoine-Beclere - APHP; Hopital Universitaire Bicetre - APHP; Universite Paris Saclay; University of Tsukuba</t>
  </si>
  <si>
    <t>Ikeda, K (corresponding author), Kobe Pharmaceut Univ, Lab Clin Pharmaceut Sci, Kobe, Hyogo, Japan.;Ikeda, K (corresponding author), Kyoto Prefectural Univ Med, Dept Epidemiol Longev &amp; Reg Hlth, Kyoto, Japan.</t>
  </si>
  <si>
    <t>ikedak@koto.kpu-m.ac.jp</t>
  </si>
  <si>
    <t>Fujiyama, Tomoyuki/0000-0001-6420-2283; Emoto, Noriaki/0000-0001-6673-2616; GUIGNABERT, Christophe/0000-0002-8545-4452; Ryanto, Gusty Rizky Teguh/0000-0003-0176-219X; TU, Ly/0000-0003-2336-5099; ikeda, Koji/0000-0002-9972-7255</t>
  </si>
  <si>
    <t>JSPS KAKENHI [JP16H05827]</t>
  </si>
  <si>
    <t>JSPS KAKENHI(Ministry of Education, Culture, Sports, Science and Technology, Japan (MEXT)Japan Society for the Promotion of ScienceGrants-in-Aid for Scientific Research (KAKENHI))</t>
  </si>
  <si>
    <t>This work was supported by the JSPS KAKENHI (JP16H05827). We thank Yoko Suzuki for the excellent technical assistance.</t>
  </si>
  <si>
    <t>NATURE RESEARCH</t>
  </si>
  <si>
    <t>MAR 19</t>
  </si>
  <si>
    <t>10.1038/s41467-021-21961-3</t>
  </si>
  <si>
    <t>RB2EL</t>
  </si>
  <si>
    <t>WOS:000631927600005</t>
  </si>
  <si>
    <t>Humbert, M; Lau, EMT</t>
  </si>
  <si>
    <t>Humbert, Marc; Lau, Edmund M. T.</t>
  </si>
  <si>
    <t>Risk Stratification in Pulmonary Arterial Hypertension: Do Not Forget the Patient Perspective</t>
  </si>
  <si>
    <t>QUALITY-OF-LIFE; IMPACT</t>
  </si>
  <si>
    <t>[Humbert, Marc] Hop Bicetre, AP HP, Serv Pneumol &amp; Soins Intensifs Resp, Le Kremlin Bicetre, France; [Humbert, Marc] Univ Paris Saclay, Fac Med, Le Kremlin Bicetre, France; [Lau, Edmund M. T.] Royal Prince Alfred Hosp, Dept Resp Med, Camperdown, NSW, Australia; [Lau, Edmund M. T.] Univ Sydney, Fac Hlth &amp; Med, Camperdown, NSW, Australia</t>
  </si>
  <si>
    <t>Assistance Publique Hopitaux Paris (APHP); Hopital Universitaire Antoine-Beclere - APHP; Universite Paris Saclay; Hopital Universitaire Bicetre - APHP; Universite Paris Saclay; University of Sydney; NSW Health; Royal Prince Alfred Hospital; University of Sydney</t>
  </si>
  <si>
    <t>Humbert, M (corresponding author), Hop Bicetre, AP HP, Serv Pneumol &amp; Soins Intensifs Resp, Le Kremlin Bicetre, France.;Humbert, M (corresponding author), Univ Paris Saclay, Fac Med, Le Kremlin Bicetre, France.</t>
  </si>
  <si>
    <t>MAR 15</t>
  </si>
  <si>
    <t>10.1164/rccm.202012-4350ED</t>
  </si>
  <si>
    <t>QX9GR</t>
  </si>
  <si>
    <t>WOS:000629650700012</t>
  </si>
  <si>
    <t>Ataam, JA; Amsallem, M; Guihaire, J; Haddad, F; Lamrani, L; Stephan, F; Jaïs, X; Humbert, M; Mercier, O; Fadel, E</t>
  </si>
  <si>
    <t>Ataam, Jennifer Arthur; Amsallem, Myriam; Guihaire, Julien; Haddad, Francois; Lamrani, Lilia; Stephan, Francois; Jais, Xavier; Humbert, Marc; Mercier, Olaf; Fadel, Elie</t>
  </si>
  <si>
    <t>Preoperative C-reactive protein predicts early postoperative outcomes after pulmonary endarterectomy in patients with chronic thromboembolic pulmonary hypertension</t>
  </si>
  <si>
    <t>outcomes; pulmonary hypertension; endarterectomy; inflammation; chronic thromboembolic pulmonary hypertension</t>
  </si>
  <si>
    <t>Objective: To determine whether preoperative systemic inflammation (defined by C-reactive protein [CRP] levels &gt;= 10 mg/L) is associated with worse functional and hemodynamic status and poor early outcomes postendarterectomy in patients with chronic thromboembolic pulmonary hypertension (CTEPH). Methods: This study included 159 patients who underwent pulmonary endarterectomy from 2009 to 2013 (derivation cohort) and 238 patients from 2015 to 2016 (validation cohort) with CRP data from the national CTEPH registry. The correlations between proinflammatory markers (CRP, interleukins 1 and 6, fibrinogen, and leukocytes) and hemodynamics were assessed in the derivation cohort. Pre-, perioperative characteristics, and 30-day outcomes (ie, death or lung transplant or extracorporeal membrane oxygenation need or inotropic or vasopressor need &gt;= 3 days) of patients with CRP levels &gt;= or &lt;10 mg/L were compared. Results: Median age of the derivation cohort was 63 [52-73] years with 48% female, 80% in New York Heart Association class III/IV. The validation cohort had similar demographics and disease severity. Patients with CRP &gt;= 10 mg/L had greater resistance levels and lower cardiac index than those with CRP &lt;10 mg/L in both cohorts. The primary endpoint was reached in 38% (derivation) and 42% (validation) of patients. In multivariable logistic regression analysis, CRP &gt;= 10 mg/L was associated with the primary endpoint in both the derivation cohort (odd ratio, 2.49 [1.11-5.61], independently of New York Heart class class IV and aortic clamping duration) and the validation cohort (odd ratio, 1.89 [1.09-3.61], independently of age and aortic clamping duration). Conclusions: Preoperative CRP &gt;= 10 mg/L is independently associated with adverse early outcomes postendarterectomy.</t>
  </si>
  <si>
    <t>[Ataam, Jennifer Arthur; Amsallem, Myriam; Guihaire, Julien; Lamrani, Lilia; Mercier, Olaf; Fadel, Elie] Paris Sud Univ, Res &amp; Innovat Unit, DHU Torino, INSERM U999, Paris, France; [Guihaire, Julien; Mercier, Olaf; Fadel, Elie] Marie Lannelongue Hosp, Dept Cardiothorac Surg, Le Plessis Robinson, France; [Stephan, Francois] Marie Lannelongue Hosp, Dept Intens Care Unit, Le Plessis Robinson, France; [Ataam, Jennifer Arthur; Amsallem, Myriam; Haddad, Francois] Stanford Cardiovasc Inst, Dept Cardiovasc Med, Stanford, CA USA; [Jais, Xavier; Humbert, Marc] Kremlin Bicetre Hosp, AP HP, Dept Pulm Dis, Le Kremlin Bicetre, France</t>
  </si>
  <si>
    <t>Institut National de la Sante et de la Recherche Medicale (Inserm); Universite Paris Saclay; Hopital Marie Lannelongue; Hopital Marie Lannelongue; Universite Paris Saclay; Assistance Publique Hopitaux Paris (APHP); Hopital Universitaire Bicetre - APHP</t>
  </si>
  <si>
    <t>Amsallem, M (corresponding author), Marie Lannelongue Hosp, 133 Ave Resistance, Le Plessis Robinson, France.</t>
  </si>
  <si>
    <t>mamsalle@stanford.edu</t>
  </si>
  <si>
    <t>Humbert, Marc/0000-0003-0703-2892; Mercier, Olaf/0000-0002-4760-6267; JAIS, XAVIER/0000-0002-4104-7994</t>
  </si>
  <si>
    <t>Programme Hospitalier de Recherche Clinique National 2009 of the French Ministry of Health [RCB 2009-A0098057]; French National Research Agency as part of the second Investissements d'Avenir program [ANR-15-RHUS-0002]; Actelion</t>
  </si>
  <si>
    <t>Programme Hospitalier de Recherche Clinique National 2009 of the French Ministry of Health; French National Research Agency as part of the second Investissements d'Avenir program(Agence Nationale de la Recherche (ANR)); Actelion</t>
  </si>
  <si>
    <t>The prospective endarterectomy registry was funded by the Programme Hospitalier de Recherche Clinique National 2009 of the French Ministry of Health (RCB 2009-A0098057). J. Arthur Ataam, M. Amsallem, J. Guihaire, L. Lamrani, F. Haddad, O. Mercier, and E. Fadel are supported by a public grant overseen by the French National Research Agency as part of the second Investissements d'Avenir program (ANR-15-RHUS-0002). M. Amsallem and F. Haddad received a research grant from Actelion. None of the funding organizations directly had a role in the collection of data, its analysis and interpretation, and in the right to approve or disapprove publication of the finished manuscript.</t>
  </si>
  <si>
    <t>10.1016/j.jtcvs.2019.11.133</t>
  </si>
  <si>
    <t>MAR 2021</t>
  </si>
  <si>
    <t>QY7CN</t>
  </si>
  <si>
    <t>WOS:000630194900111</t>
  </si>
  <si>
    <t>Lechartier, B; Humbert, M</t>
  </si>
  <si>
    <t>Lechartier, Benoit; Humbert, Marc</t>
  </si>
  <si>
    <t>Pulmonary arterial hypertension in systemic sclerosis</t>
  </si>
  <si>
    <t>TO-MESENCHYMAL TRANSITION; ENDOTHELIAL DYSFUNCTION; MORTALITY; METAANALYSIS; PREVALENCE; FIBROSIS; SURVIVAL; REGISTRY; THERAPY; DISEASE</t>
  </si>
  <si>
    <t>Pulmonary arterial hypertension (PAH) is a frequent and severe complication of systemic sclerosis (SSc) due to combined vasculopathy and fibrogenesis. Early diagnosis and treatment are highly challenging in SSc-PAH and require referral to an expert PAH centre. Diagnostic algorithms evolved in the last decade. Novel therapeutic options notably targeting pulmonary vascular remodeling are needed. (C) 2021 Elsevier Masson SAS. All rights reserved.</t>
  </si>
  <si>
    <t>[Lechartier, Benoit] Lausanne Univ Hosp, Dept Resp Med, Lausanne, Switzerland; [Humbert, Marc] Univ Paris Saclay, Fac Med, F-94270 Le Kremlin Bicetre, France; [Humbert, Marc] Hop Marie Lannelongue, INSERM UMR S 999, Pulm Hypertens Pathophysiol &amp; Novel Therapies, Le Plessis Robinson, France; [Humbert, Marc] Hop Bicetre, AP HP, French Pulm Hypertens Reference Ctr, Dept Resp &amp; Intens Care Med, Le Kremlin Bicetre, France</t>
  </si>
  <si>
    <t>University of Lausanne; Centre Hospitalier Universitaire Vaudois (CHUV); Universite Paris Saclay; Hopital Marie Lannelongue; Institut National de la Sante et de la Recherche Medicale (Inserm); Universite Paris Saclay; Assistance Publique Hopitaux Paris (APHP); Hopital Universitaire Antoine-Beclere - APHP; Universite Paris Saclay; Hopital Universitaire Bicetre - APHP</t>
  </si>
  <si>
    <t>Humbert, M (corresponding author), Univ Paris Saclay, Fac Med, F-94270 Le Kremlin Bicetre, France.</t>
  </si>
  <si>
    <t>Humbert, Marc/0000-0003-0703-2892; Lechartier, Benoit/0000-0001-5932-8164</t>
  </si>
  <si>
    <t>Fondation Placide Nicod</t>
  </si>
  <si>
    <t>BL is a recipient of a research grant from the Fondation Placide Nicod.</t>
  </si>
  <si>
    <t>10.1016/j.lpm.2021.104062</t>
  </si>
  <si>
    <t>XR9DD</t>
  </si>
  <si>
    <t>WOS:000732520000008</t>
  </si>
  <si>
    <t>Pepper, AN; Hanania, NA; Humbert, M; Casale, TB</t>
  </si>
  <si>
    <t>Pepper, Amber N.; Hanania, Nicola A.; Humbert, Marc; Casale, Thomas B.</t>
  </si>
  <si>
    <t>How to Assess Effectiveness of Biologics for Asthma and What Steps to Take When There Is Not Benefit</t>
  </si>
  <si>
    <t>Severe asthma; Biologics; Omalizumab; Benralizu-mab; Mepolizumab; Dupilumab; Reslizumab</t>
  </si>
  <si>
    <t>SEVERE EOSINOPHILIC ASTHMA; MONOCLONAL-ANTIBODIES; MEPOLIZUMAB TREATMENT; DOUBLE-BLIND; OMALIZUMAB; EFFICACY; THERAPY; SAFETY; BENRALIZUMAB; MULTICENTER</t>
  </si>
  <si>
    <t>Five biologic medications are approved in the United States for the treatment of asthma that is not well controlled with other therapies. All target asthma with elevated type 2 inflammatory markers, such as elevated eosinophils, fractional exhaled nitric oxide, or total and specific IgE. Asthma severity, phenotype, age, biomarkers, treatment goals/outcomes, comorbid conditions, safety, and cost should all help guide the initial biologic choice. In addition, a shared decision-making process with the patient is needed to optimize adherence, with special attention to patient preference regarding outcomes, safety concerns, and medication administration options. After a biologic agent is initiated, sufficient time is needed to monitor efficacy and response. For patients who do not respond favorably, patient-, disease-, and medication-related factors should be considered and remedied, if possible. Persistent suboptimal responders necessitate a reexamination of asthma phenotype, biomarkers, and the suspected immune response pathways. For some patients, a change in biologic therapy or other therapeutic options may be warranted. In this review, we examine the clinical approach for choosing an initial biologic for the treatment of asthma, the assessment of response to biologics, and the process of troubleshooting and adjusting biologic treatment for those patients with suboptimal responses. (C) 2020 American Academy of Allergy, Asthma &amp; Immunology (J Allergy Clin Immunol Pract 2021;9:1081-8)</t>
  </si>
  <si>
    <t>[Pepper, Amber N.] Univ S Florida, Morsani Coll Med, Dept Internal Med, Div Allergy &amp; Immunol, Tampa, FL 33620 USA; [Hanania, Nicola A.] Baylor Coll Med, Sect Pulm &amp; Crit Care Med, Houston, TX 77030 USA; [Humbert, Marc] Univ Paris Saclay, Fac Med, Le Kremlin Bicetre, France; [Humbert, Marc] Hop Bicetre, AP HP, Dept Resp &amp; Intens Care Med, Le Kremlin Bicetre, France; [Casale, Thomas B.] Univ S Florida, Food Allergy Res &amp; Educ FARE, Tampa, FL 33620 USA</t>
  </si>
  <si>
    <t>State University System of Florida; University of South Florida; Baylor College of Medicine; Universite Paris Saclay; Universite Paris Saclay; Assistance Publique Hopitaux Paris (APHP); Hopital Universitaire Antoine-Beclere - APHP; Hopital Universitaire Bicetre - APHP; State University System of Florida; University of South Florida</t>
  </si>
  <si>
    <t>Casale, TB (corresponding author), Univ S Florida, James Haley VA Med Ctr, Allergy &amp; Immunol, 13000 Bruce B Downs Blvd,111D, Tampa, FL 33612 USA.</t>
  </si>
  <si>
    <t>tbcasale@usf.edu</t>
  </si>
  <si>
    <t>Humbert, Marc/AAC-8459-2019; Hanania, Nicola/C-5875-2016; Casale, Thomas/K-4334-2013</t>
  </si>
  <si>
    <t>Casale, Thomas/0000-0002-3149-7377</t>
  </si>
  <si>
    <t>10.1016/j.jaip.2020.10.048</t>
  </si>
  <si>
    <t>RA0EN</t>
  </si>
  <si>
    <t>WOS:000631092100001</t>
  </si>
  <si>
    <t>Certain, MC; Chaumais, MC; Jaïs, X; Savale, L; Seferian, A; Parent, F; Georges, M; Favrolt, N; Bourdin, A; Boissin, C; Cottin, V; Traclet, J; Renard, S; Noel, V; Picard, F; Girerd, B; Ghigna, MR; Perros, F; Sitbon, O; Bonniaud, P; Humbert, M; Montani, D</t>
  </si>
  <si>
    <t>Certain, Marie-Caroline; Chaumais, Marie-Camille; Jais, Xavier; Savale, Laurent; Seferian, Andrei; Parent, Florence; Georges, Marjolaine; Favrolt, Nicolas; Bourdin, Arnaud; Boissin, Clement; Cottin, Vincent; Traclet, Julie; Renard, Sebastien; Noel, Violaine; Picard, Francois; Girerd, Barbara; Ghigna, Maria-Rosa; Perros, Frederic; Sitbon, Olivier; Bonniaud, Philippe; Humbert, Marc; Montani, David</t>
  </si>
  <si>
    <t>Characteristics and Long-term Outcomes of Pulmonary Venoocclusive Disease Induced by Mitomycin C</t>
  </si>
  <si>
    <t>mitomycin C; pharmacovigilance; pulmonary hypertension; pulmonary venoocclusive disease</t>
  </si>
  <si>
    <t>CHEMOTHERAPY; PROSTACYCLIN; HYPERTENSION</t>
  </si>
  <si>
    <t>BACKGROUND: Pulmonary venoocclusive disease (PVOD) is an uncommon form of pulmonary hypertension (PH) predominantly characterized by pulmonary vein and capillary involvement. An association between chemotherapy, in particular mitomycin C (MMC), and PVOD has been reported. RESEARCH QUESTION: What are the characteristics of MMC-induced PVOD, and what is the prognosis for patients with MMC-induced PVOD? STUDY DESIGN AND METHODS: We report the clinical, functional, radiologic, and hemodynamic characteristics at diagnosis and outcomes of patients with PVOD from the French PH Registry after exposure to MMC. The results are expressed as the median (minimum-maximum). RESULTS: From June 2011 to December 2018, 17 incident cases of MMC-induced PVOD were identified. At diagnosis, these patients had severe clinical and functional impairment, with 12 patients having a New York Heart Association (NYHA) functional class of III or IV and a 6-min walk distance of 220 (0-465) m. Right heart catheterization confirmed severe precapillary PH with a mean pulmonary artery pressure of 38 (30-52) mm Hg, a cardiac index of 2.2 (1.5-4) L/(min x m(2)), and pulmonary vascular resistance of 8.3 (5.1-14.5) Wood units. The diffusing capacity of the lungs for carbon monoxide was markedly decreased at 31% (20%-51%) of the theoretical values associated with severe hypoxemia. MMC was withdrawn for all patients, and 14 patients received specific pulmonary arterial hypertension (PAH) therapies. Among these patients, mild but statistically insignificant improvements were observed in NYHA functional class (P = .10), 6-min walk distance (P = .09), and pulmonary vascular resistance (-4.7 Wood units; P = .052) at reassessment (median delay of 4.8 months). Three patients experienced pulmonary edema requiring the cessation or reduction of PAH treatment. The median overall survival was 20 months, and the 6-, 12-, and 24-month survival rates were 76%, 58%, and 18%, respectively. INTERPRETATION: PVOD after MMC treatment is a rare but life-threatening complication associated with a poor prognosis despite MMC withdrawal and PAH-specific therapy.</t>
  </si>
  <si>
    <t>[Certain, Marie-Caroline; Georges, Marjolaine; Favrolt, Nicolas; Bonniaud, Philippe] Burgundy Univ Hosp, Hop Francois Mitterrand, Natl French Reference Constitut Ctr Rare Pulm Dis, Dept Resp &amp; Intens Care Med, Dijon, France; [Chaumais, Marie-Camille; Jais, Xavier; Savale, Laurent; Girerd, Barbara; Perros, Frederic; Sitbon, Olivier; Humbert, Marc; Montani, David] Hop Marie Lannelongue, INSERM UMR S 999 Pulm Hypertens Pathophysiol &amp; No, Le Plessis Robinson, France; [Chaumais, Marie-Camille] Hop Bicetre, Assistance Publ Hop Paris AP HP, Dept Pharm, Le Kremlin Bicetre, France; [Chaumais, Marie-Camille] Univ Paris Saclay, Fac Pharm, Chatenay Malabry, France; [Jais, Xavier; Savale, Laurent; Seferian, Andrei; Parent, Florence; Girerd, Barbara; Sitbon, Olivier; Humbert, Marc; Montani, David] Hop Bicetre, AP HP, Pulm Hypertens Natl Referral Ctr, Dept Resp &amp; Intens Care Med, Le Kremlin Bicetre, France; [Jais, Xavier; Savale, Laurent; Girerd, Barbara; Sitbon, Olivier; Humbert, Marc; Montani, David] Univ Paris Saclay, Sch Med, Le Kremlin Bicetre, France; [Georges, Marjolaine; Bonniaud, Philippe] Univ Bourgogne Franche Comte, Sch Med, Dijon, France; [Georges, Marjolaine; Bonniaud, Philippe] INSERM UMR 123 1, LNC Fac Med &amp; Pharm, Dijon, France; [Bourdin, Arnaud; Boissin, Clement] Montpellier Univ Hosp, Hop Arnaud Villeneuve, Dept Resp Dis, Montpellier, France; [Bourdin, Arnaud] Univ Montpellier, Sch Med, Montpellier, France; [Bourdin, Arnaud] INSERM U1046, Montpellier, France; [Cottin, Vincent; Traclet, Julie] Hop Louis Pradel, Natl Coordinating Reference Ctr Rare Pulm Dis, Dept Resp Med, Lyon, France; [Cottin, Vincent] Claude Bernard Lyon 1 Univ, Lyon, France; [Cottin, Vincent] Univ Lyon, INRAE, UMR754, Lyon, France; [Renard, Sebastien] Aix Marseille Univ, Hop Timone, Assistance Publ Hop Marseille AP HM, Dept Cardiol, Marseille, France; [Noel, Violaine] Hop Robert Debre, Internal Med Dept, Reims, France; [Picard, Francois] Univ Hosp Bordeaux, Dept Cardiol, Bordeaux, France; [Ghigna, Maria-Rosa] Hop Marie Lannelongue, Dept Pathol, Le Plessis Robinson, France</t>
  </si>
  <si>
    <t>CHU Dijon Bourgogne; Hopital Marie Lannelongue; Institut National de la Sante et de la Recherche Medicale (Inserm); Assistance Publique Hopitaux Paris (APHP); Hopital Universitaire Antoine-Beclere - APHP; Universite Paris Saclay; Hopital Universitaire Bicetre - APHP; Universite Paris Saclay; Universite Paris Saclay; Assistance Publique Hopitaux Paris (APHP); Hopital Universitaire Bicetre - APHP; Hopital Universitaire Antoine-Beclere - APHP; Universite Paris Saclay; Universite de Bourgogne; Universite de Bourgogne; Institut Agro; AgroSup Dijon; Institut National de la Sante et de la Recherche Medicale (Inserm); Universite de Montpellier; CHU de Montpellier; Universite de Montpellier; Institut National de la Sante et de la Recherche Medicale (Inserm); Universite de Montpellier; CHU Lyon; Universite Claude Bernard Lyon 1; INRAE; Aix-Marseille Universite; Assistance Publique-Hopitaux de Marseille; Universite de Reims Champagne-Ardenne; CHU de Reims; CHU Bordeaux; Universite de Bordeaux; Hopital Marie Lannelongue</t>
  </si>
  <si>
    <t>Montani, D (corresponding author), Hop Marie Lannelongue, INSERM UMR S 999 Pulm Hypertens Pathophysiol &amp; No, Le Plessis Robinson, France.;Montani, D (corresponding author), Hop Bicetre, AP HP, Pulm Hypertens Natl Referral Ctr, Dept Resp &amp; Intens Care Med, Le Kremlin Bicetre, France.;Montani, D (corresponding author), Univ Paris Saclay, Sch Med, Le Kremlin Bicetre, France.</t>
  </si>
  <si>
    <t>Savale, Laurent/AAJ-9781-2020; Bonniaud, Philippe/ITT-4660-2023; Humbert, Marc/AAC-8459-2019; Bourdin, Philippe/D-8149-2015; David, Montani/I-6885-2019; Perros, Frederic/N-6921-2017</t>
  </si>
  <si>
    <t>JAIS, XAVIER/0000-0002-4104-7994; Ghigna, Maria Rosa/0000-0001-5996-665X; Bourdin, Arnaud/0000-0002-4645-5209; Perros, Frederic/0000-0001-7730-2427</t>
  </si>
  <si>
    <t>10.1016/j.chest.2020.09.238</t>
  </si>
  <si>
    <t>RB9WT</t>
  </si>
  <si>
    <t>WOS:000632456400051</t>
  </si>
  <si>
    <t>Humbert, M; Büla, CJ; Muller, O; Krief, H; Monney, P</t>
  </si>
  <si>
    <t>Humbert, Marc; Buela, Christophe J.; Muller, Olivier; Krief, Helene; Monney, Pierre</t>
  </si>
  <si>
    <t>Delirium in older patients undergoing aortic valve replacement: incidence, predictors, and cognitive prognosis</t>
  </si>
  <si>
    <t>BMC GERIATRICS</t>
  </si>
  <si>
    <t>Aortic stenosis; Delirium; Transcatheter aortic valve replacement; Surgical aortic valve replacement; Society of thoracic surgeons risk score</t>
  </si>
  <si>
    <t>BackgroundTranscatheter aortic valve replacement is increasingly performed in frail older patients who were previously ineligible for a standard surgical procedure. The objectives of this study are to determine delirium incidence, predictors, and relationship with cognitive performance at 3-month follow-up in older patients undergoing aortic valve replacement (AVR).MethodsPatients (N =93) aged 70years and older, undergoing transcatheter (TAVR, N =66) or surgical (SAVR, N =27) aortic valve replacement in an academic medical center were enrolled in this prospective cohort study. Delirium was assessed using the Confusion Assessment Method (CAM) on postoperative days 1, 2, 3, and 7. Data on patients' socio-demographics, functional status (including instrumental activities of daily living (IADL), and surgical risk scores (including Society of Thoracic Surgeons (STS) risk score), were collected at baseline. Cognitive status was assessed with the Mini-Mental Status Exam (MMSE) and the Clock Drawing Test (CDT) at baseline and 3months after AVR.ResultsDelirium occurred in 21 (23%) patients, within the first three postoperative days in 95% (20/21) of the cases. Delirium incidence was lower in TAVR (13/66=20%) than SAVR (8/27=30%) patients, but this difference was not statistically significant (p =.298). Patients with delirium had lower baseline cognitive performance (median MMSE score 27.03.0 vs 28.0 +/- 3.0, p =.029), lower performance in IADL (7.0 vs 8.0, p =.038), and higher STS risk scores (4.7 +/- 2.7 vs 2.9 +/- 2.3, p =.020). In multivariate analyses, patients with intermediate (score&gt;3 to &lt;= 8) and high (score&gt;8) STS risk scores had 4.3 (95%CI 1.2-15.1, p =.025) and 16.5 (95%CI 2.0-138.2, p =.010), respectively, higher odds of incident delirium compared to patients with low (score &lt;= 3) STS risk scores. At 3-month follow-up (N =77), patients with delirium still had lower MMSE score (27.0 +/- 8.0 vs 28.0 +/- 2.0, p =.007) but this difference did not remain significant once adjusting for baseline MMSE (beta -coefficient 1.11, 95%CI [-3.03-0.80], p =.248).Conclusions Delirium occurred in about one in five older patients undergoing AVR, almost essentially within the first three postoperative days. Beside cognitive performance, STS risk score could enhance the identification of high-risk older patients to better target preventative interventions.</t>
  </si>
  <si>
    <t>[Humbert, Marc; Buela, Christophe J.; Krief, Helene] Univ Lausanne, Dept Med, Serv Geriatr Med &amp; Geriatr Rehabil, Med Ctr CHUV, Lausanne, Switzerland; [Muller, Olivier; Monney, Pierre] Univ Lausanne, Dept Cardiovasc Med &amp; Surg, Serv Cardiol, Med Ctr,CHUV, Lausanne, Switzerland</t>
  </si>
  <si>
    <t>University of Lausanne; University of Lausanne; Centre Hospitalier Universitaire Vaudois (CHUV)</t>
  </si>
  <si>
    <t>Humbert, M (corresponding author), Univ Lausanne, Dept Med, Serv Geriatr Med &amp; Geriatr Rehabil, Med Ctr CHUV, Lausanne, Switzerland.</t>
  </si>
  <si>
    <t>marc.humbert@chuv.ch</t>
  </si>
  <si>
    <t>Humbert, Marc/AAC-8459-2019; Bula, Christophe/ABI-1163-2020</t>
  </si>
  <si>
    <t>Bula, Christophe/0000-0002-7501-3442; Muller, Olivier/0000-0003-2441-5799</t>
  </si>
  <si>
    <t>Edwards Lifesciences</t>
  </si>
  <si>
    <t>The study was partly supported by Edwards Lifesciences. The funder had no role in the design and conduct of the study; data collection, management, analysis, and interpretation of data; preparation, review, or approval of the manuscript; and decision to submit the manuscript for publication.</t>
  </si>
  <si>
    <t>1471-2318</t>
  </si>
  <si>
    <t>BMC GERIATR</t>
  </si>
  <si>
    <t>BMC Geriatr.</t>
  </si>
  <si>
    <t>MAR 2</t>
  </si>
  <si>
    <t>10.1186/s12877-021-02100-5</t>
  </si>
  <si>
    <t>Geriatrics &amp; Gerontology; Gerontology</t>
  </si>
  <si>
    <t>Geriatrics &amp; Gerontology</t>
  </si>
  <si>
    <t>QS7YD</t>
  </si>
  <si>
    <t>WOS:000626110300003</t>
  </si>
  <si>
    <t>Maron, BA; Brittain, EL; Hess, E; Waldo, SW; Barón, AE; Huang, S; Goldstein, RH; Assad, T; Wertheim, BM; Alba, GA; Leopold, JA; Olschewski, H; Galiè, N; Simonneau, G; Kovacs, G; Tedford, RJ; Humbert, M; Choudhary, G</t>
  </si>
  <si>
    <t>Maron, Bradley A.; Brittain, Evan L.; Hess, Edward; Waldo, Stephen W.; Baron, Anna E.; Huang, Shi; Goldstein, Ronald H.; Assad, Tufik; Wertheim, Bradley M.; Alba, George A.; Leopold, Jane A.; Olschewski, Horst; Galie, Nazzareno; Simonneau, Gerald; Kovacs, Gabor; Tedford, Ryan J.; Humbert, Marc; Choudhary, Gaurav</t>
  </si>
  <si>
    <t>Pulmonary vascular resistance and clinical outcomes in patients with pulmonary hypertension: a retrospective cohort study (vol 8, pg 873, 2020)</t>
  </si>
  <si>
    <t>huang, shi/A-1406-2012; Choudhary, Gaurav/M-1643-2019; Humbert, Marc/AAC-8459-2019; Brittain, Evan/AEU-1089-2022</t>
  </si>
  <si>
    <t>E29</t>
  </si>
  <si>
    <t>10.1016/S2213-2600(21)00088-6</t>
  </si>
  <si>
    <t>RA4NE</t>
  </si>
  <si>
    <t>WOS:000631393700008</t>
  </si>
  <si>
    <t>Ghofrani, HA; Sanchez, MAG; Humbert, M; Pittrow, D; Simonneau, G; Gall, H; Grünig, E; Klose, H; Halank, M; Langleben, D; Snijder, RJ; Subias, PE; Mielniczuk, LM; Lange, TJ; Vachiéry, JL; Wirtz, H; Helmersen, DS; Tsangaris, I; Barberá, JA; Pepke-Zaba, J; Boonstra, A; Rosenkranz, S; Ulrich, S; Steringer-Mascherbauer, R; Delcroix, M; Jansa, P; Simková, I; Giannakoulas, G; Klotsche, J; Williams, E; Meier, C; Hoeper, MM</t>
  </si>
  <si>
    <t>Ghofrani, Hossein-Ardeschir; Gomez Sanchez, Miguel-Angel; Humbert, Marc; Pittrow, David; Simonneau, Gerald; Gall, Henning; Gruenig, Ekkehard; Klose, Hans; Halank, Michael; Langleben, David; Snijder, Repke J.; Subias, Pilar Escribano; Mielniczuk, Lisa M.; Lange, Tobias J.; Vachiery, Jean-Luc; Wirtz, Hubert; Helmersen, Douglas S.; Tsangaris, Iraklis; Barbera, Joan A.; Pepke-Zaba, Joanna; Boonstra, Anco; Rosenkranz, Stephan; Ulrich, Silvia; Steringer-Mascherbauer, Regina; Delcroix, Marion; Jansa, Pavel; Simkova, Iveta; Giannakoulas, George; Klotsche, Jens; Williams, Evgenia; Meier, Christian; Hoeper, Marius M.</t>
  </si>
  <si>
    <t>NEW COLLABORATORS LIST</t>
  </si>
  <si>
    <t>Riociguat treatment in patients with chronic thromboembolic pulmonary hypertension: Final safety data from the EXPERT registry</t>
  </si>
  <si>
    <t>Chronic thromboembolic pulmonary hypertension; Riociguat; Registry; Real-world; Clinical practice; Safety</t>
  </si>
  <si>
    <t>LONG-TERM EXTENSION; OUTCOMES; ENDARTERECTOMY; MANAGEMENT; DIAGNOSIS</t>
  </si>
  <si>
    <t>Objective: The soluble guanylate cyclase stimulator riociguat is approved for the treatment of adult patients with pulmonary arterial hypertension (PAH) and inoperable or persistent/recurrent chronic thromboembolic pulmonary hypertension (CTEPH) following Phase 3 randomized trials. The EXPosurE Registry RiociguaT in patients with pulmonary hypertension (EXPERT) study was designed to monitor the long-term safety of riociguat in clinical practice. Methods: EXPERT was an international, multicenter, prospective, uncontrolled, non-interventional cohort study of patients treated with riociguat. Patients were followed for at least 1 year and up to 4 years from enrollment or until 30 days after stopping riociguat treatment. Primary safety outcomes were adverse events (AEs) and serious adverse events (SAEs) coded using Medical Dictionary for Regulatory Activities preferred terms and System Organ Classes version 21.0, collected during routine clinic visits and collated via case report forms. Results: In total, 956 patients with CTEPH were included in the analysis. The most common AEs in these patients were peripheral edema/edema (11.7%), dizziness (7.5%), right ventricular (RV)/cardiac failure (7.7%), and pneumonia (5.0%). The most common SAEs were RV/cardiac failure (7.4%), pneumonia (4.1%), dyspnea (3.6%), and syncope (2.5%). Exposure-adjusted rates of hemoptysis/pulmonary hemorrhage and hypotension were low and comparable to those in the long-term extension study of riociguat (Chronic Thromboembolic Pulmonary Hypertension Soluble Guanylate Cyclase-Stimulator Trial [CHEST-2]). Conclusion: Data from EXPERT show that in patients with CTEPH, the safety of riociguat in routine practice was consistent with the known safety profile of the drug, and no new safety concerns were identified.</t>
  </si>
  <si>
    <t>[Ghofrani, Hossein-Ardeschir; Gall, Henning] Univ Giessen &amp; Marburg Lung Ctr UGMLC, D-35392 Giessen, Germany; [Ghofrani, Hossein-Ardeschir; Gall, Henning] German Ctr Lung Res DZL, Giessen, Germany; [Gomez Sanchez, Miguel-Angel] Ramon y Cajal Univ Hosp IRYCIS, Resp Dept, Madrid, Spain; [Gomez Sanchez, Miguel-Angel; Barbera, Joan A.] Biomed Res Networking Ctr Resp Dis CIBERES, Madrid, Spain; [Humbert, Marc] Univ Paris Saclay, Serv Pneumol &amp; Soins Intensifs Resp, Hop Bicetre, Inserm U999, Le Kremlin Bicetre, France; [Pittrow, David] Tech Univ, Inst Clin Pharmacol, Dresden, Germany; [Simonneau, Gerald] Univ Paris Sud, Le Kremlin Bicetre, France; [Simonneau, Gerald] DHU Thorax Innovat, Serv Pneumol, Hop Bicetre, Ctr Reference Hypertens Pulm Severe, Paris, France; [Gruenig, Ekkehard] Thoraxclin Heidelberg Univ Hosp, Ctr Pulm Hypertens, Heidelberg, Germany; [Klose, Hans] Univ Med Ctr Hamburg Eppendorf, Dept Pneumol, Hamburg, Germany; [Halank, Michael] Univ Hosp Carl Gustav Carus, Dept Pneumol, Med Clin 1, Dresden, Germany; [Langleben, David] McGill Univ, Jewish Gen Hosp, Ctr Pulm Vasc Dis, Montreal, PQ, Canada; [Snijder, Repke J.] St Antonius Hosp, Dept Pulmonol, Nieuwegein, Netherlands; [Subias, Pilar Escribano] Hosp 12 Octubre, Dept Cardiol, Madrid, Spain; [Subias, Pilar Escribano] Hosp 12 Octubre, CIBER CV GIBER Cardiovasc Dis, Madrid, Spain; [Mielniczuk, Lisa M.] Univ Ottawa, Dept Med, Div Cardiol, Heart Inst, Ottawa, ON, Canada; [Lange, Tobias J.] Univ Med Ctr, Dept Internal Med 2, Div Pneumol, Regensburg, Germany; [Vachiery, Jean-Luc] Clin Univ Bruxelles, Dept Cardiol, Hop Erasme, Brussels, Belgium; [Wirtz, Hubert] Univ Leipzig, Dept Resp Med, Leipzig, Germany; [Helmersen, Douglas S.] Univ Calgary, Alberta Hlth Serv, Calgary, AB, Canada; [Tsangaris, Iraklis] Natl &amp; Kapodistrian Univ Athens, Univ Hosp Attikon, Dept Crit Care 2, Athens, Greece; [Barbera, Joan A.] Univ Barcelona, Hosp Clin IDIBAPS, Barcelona, Spain; [Pepke-Zaba, Joanna] Royal Papworth Hosp, Pulm Vasc Dis Unit, Cambridge, England; [Boonstra, Anco] Vrije Univ Amsterdam Med Ctr, Amsterdam, Netherlands; [Rosenkranz, Stephan] Cologne Univ, Dept Internal Med 3, Heart Ctr, Cologne, Germany; [Rosenkranz, Stephan] Cologne Univ, Cologne Cardiovasc Res Ctr CCRC, Cologne, Germany; [Ulrich, Silvia] Univ Hosp Zurich, Clin Pulmonol, Zurich, Switzerland; [Steringer-Mascherbauer, Regina] Krankenhaus Elisabethinen Linz GmbH, Serv Klin Studien, Linz, Austria; [Delcroix, Marion] Univ Leuven, Dept Resp Dis, Univ Hosp Leuven, Leuven, Belgium; [Delcroix, Marion] Univ Leuven, Resp Div, Dept CHROMETA, KU Leuven, Leuven, Belgium; [Jansa, Pavel] Charles Univ Prague, Dept Cardiovasc Med, Dept Med 2, Prague, Czech Republic; [Simkova, Iveta] Slovak Med Univ, Fac Med, Dept Cardiol &amp; Angiol, Bratislava, Slovakia; [Simkova, Iveta] Natl Inst Cardiovasc Dis, Bratislava, Slovakia; [Giannakoulas, George] Aristotle Univ Thessaloniki, Dept Cardiol 1, Thessaloniki, Greece; [Klotsche, Jens] German Rheumatism Res Ctr Berlin, Leibniz Inst, Berlin, Germany; [Williams, Evgenia; Meier, Christian] Bayer AG, Global Dev, Global Med Affairs, Berlin, Germany; [Hoeper, Marius M.] Hannover Med Sch, Dept Resp Med, Hannover, Germany; [Hoeper, Marius M.] Hannover Med Sch, German Ctr Lung Res, Hannover, Germany</t>
  </si>
  <si>
    <t>CIBER - Centro de Investigacion Biomedica en Red; CIBERES; Assistance Publique Hopitaux Paris (APHP); Hopital Universitaire Antoine-Beclere - APHP; Universite Paris Saclay; Hopital Universitaire Bicetre - APHP; Institut National de la Sante et de la Recherche Medicale (Inserm); Technische Universitat Dresden; Universite Paris Saclay; Universite Paris Saclay; Assistance Publique Hopitaux Paris (APHP); Hopital Universitaire Bicetre - APHP; University of Hamburg; University Medical Center Hamburg-Eppendorf; Technische Universitat Dresden; Carl Gustav Carus University Hospital; McGill University; St. Antonius Hospital Utrecht; Hospital Universitario 12 de Octubre; Hospital Universitario 12 de Octubre; University of Ottawa; University of Ottawa Heart Institute; University of Regensburg; Universite Libre de Bruxelles; Leipzig University; University of Calgary; Alberta Health Services (AHS); University Hospital Attikon; National &amp; Kapodistrian University of Athens; University of Barcelona; Hospital Clinic de Barcelona; IDIBAPS; Papworth Hospital; Vrije Universiteit Amsterdam; VU UNIVERSITY MEDICAL CENTER; University of Cologne; University of Cologne; University of Zurich; University Zurich Hospital; Ordensklinikum Linz Elisabethinen; KU Leuven; University Hospital Leuven; KU Leuven; Charles University Prague; Slovak Medical University Bratislava; Comenius University Bratislava; Aristotle University of Thessaloniki; Leibniz Association; Deutsches Rheuma-Forschungszentrum (DRFZ); Bayer AG; Hannover Medical School; Hannover Medical School</t>
  </si>
  <si>
    <t>Ghofrani, HA (corresponding author), Univ Giessen &amp; Marburg Lung Ctr UGMLC, D-35392 Giessen, Germany.</t>
  </si>
  <si>
    <t>Ardeshchir.Ghofrani@innere.med.uni-giessen.de</t>
  </si>
  <si>
    <t>boonstra, anco/J-5446-2014; Sicilia, Miguel-Angel/F-5002-2012; Humbert, Marc/AAC-8459-2019; Vachiery, Jean-Luc/ABC-6631-2021; Giannakoulas, George/AAJ-5172-2020; Ghofrani, Hossein/LPQ-1427-2024; Pepke-Zaba, Joanna/AGW-3073-2022; Hoeper, Marius/Z-1546-2019; Jansa, Pavel/O-2302-2017; delcroix, marion/AAE-2712-2022; Pittrow, David/AAY-5042-2021; Capinha, Marta/ABG-3258-2021; vizza, carmine dario/AAC-5540-2020; Otero-Candelera, Remedios/G-7312-2016; Escribano, Pilar/R-5273-2017</t>
  </si>
  <si>
    <t>Capinha, Marta/0000-0003-2585-1357; Bartfay, Sven-Erik/0000-0002-8490-6154; Church, Alistair/0000-0002-4446-0100; Cruz Utrilla, Alejandro/0000-0002-3851-4037; delcroix, marion/0000-0001-8394-9809; Iturbe, David/0000-0002-5241-266X; PITSIOU, GEORGIA/0000-0001-7426-0890; vizza, carmine dario/0000-0002-3540-4983; Otero-Candelera, Remedios/0000-0002-2265-1221; Vonk Noordegraaf, Anton/0000-0002-4057-758X; Yotti, Raquel/0000-0002-5551-7408; Hoeper, Marius/0000-0001-9086-2293; Dwyer, Nathan/0000-0002-1583-8290; KUO, PING-HUNG/0000-0003-3756-3395; Ndreu, Rudina/0000-0003-1198-9822; Cifrian, Jose Manuel/0000-0003-3682-0142; Escribano, Pilar/0000-0002-6640-4839; Konstantinides, Stavros/0000-0001-6359-7279; Guiot, Julien/0000-0001-7800-1730; Simkova, Iveta/0000-0002-6051-2724; Schwarz, Esther Irene/0000-0001-8840-981X; Mellemkjaer, Soren/0000-0002-3422-2387; Toshner, Mark/0000-0002-3969-6143; Baptista, Rui/0000-0002-7411-7039; Grazioli, Valentina/0000-0002-3251-7659; Zvereva, Tatiana/0000-0002-2233-2095</t>
  </si>
  <si>
    <t>Bayer AG (Berlin, Germany); Merck Sharp Dohme Corp.; Bayer AG</t>
  </si>
  <si>
    <t>Bayer AG (Berlin, Germany); Merck Sharp Dohme Corp.(Merck &amp; Company); Bayer AG(Bayer AG)</t>
  </si>
  <si>
    <t>The EXPERT registry was funded by Bayer AG (Berlin, Germany) and Merck Sharp &amp; Dohme Corp., a subsidiary of Merck &amp; Co., Inc., Kenilworth, NJ, USA. Medical writing services provided by Richard Murphy PhD of Adelphi Communications Ltd, Macclesfield, UK were funded by Bayer AG in accordance with Good Publication Practice (GPP3) guidelines.</t>
  </si>
  <si>
    <t>10.1016/j.rmed.2020.106220</t>
  </si>
  <si>
    <t>QP4FK</t>
  </si>
  <si>
    <t>Green Published, Green Accepted, hybrid</t>
  </si>
  <si>
    <t>WOS:000623791800001</t>
  </si>
  <si>
    <t>Montani, D; Girerd, B; Humbert, M</t>
  </si>
  <si>
    <t>Montani, D.; Girerd, B.; Humbert, M.</t>
  </si>
  <si>
    <t>Screening for pulmonary veno-occlusive disease: A specific approach</t>
  </si>
  <si>
    <t>[Montani, D.; Girerd, B.; Humbert, M.] Hop Bicetre, Assistance Publ Hop Paris AP HP, Dept Resp &amp; Intens Care Med, Pulm Hypertens Natl Referral Ctr, Le Kremlin Bicetre, France; [Montani, D.; Girerd, B.; Humbert, M.] Univ Paris Saclay, Sch Med, Le Kremlin Bicetre, France; [Montani, D.; Girerd, B.; Humbert, M.] Hop Marie Lannelongue, INSERM, UMR S 999 Pulm Hypertens Pathophysiol &amp; Novel The, Le Plessis Robinson, France</t>
  </si>
  <si>
    <t>Assistance Publique Hopitaux Paris (APHP); Hopital Universitaire Antoine-Beclere - APHP; Hopital Universitaire Bicetre - APHP; Universite Paris Saclay; Universite Paris Saclay; Institut National de la Sante et de la Recherche Medicale (Inserm); Hopital Marie Lannelongue</t>
  </si>
  <si>
    <t>Montani, D (corresponding author), Hop Bicetre, Assistance Publ Hop Paris, Serv Pneumol &amp; Soins Intensifs Thorac, 78 Rue Gen Leclerc, F-94270 Le Kremlin Bicetre, France.</t>
  </si>
  <si>
    <t>10.1016/j.rmr.2021.01.008</t>
  </si>
  <si>
    <t>QY9AZ</t>
  </si>
  <si>
    <t>WOS:000630329500013</t>
  </si>
  <si>
    <t>Remy-Jardin, M; Ryerson, CJ; Schiebler, ML; Leung, ANC; Wild, JM; Hoeper, MM; Alderson, PO; Goodman, LR; Mayo, J; Haramati, LB; Ohno, Y; Thistlethwaite, P; van Beek, EJR; Knight, SL; Lynch, DA; Rubin, GD; Humbert, M</t>
  </si>
  <si>
    <t>Remy-Jardin, Martine; Ryerson, Christopher J.; Schiebler, Mark L.; Leung, Ann N. C.; Wild, James M.; Hoeper, Marius M.; Alderson, Philip O.; Goodman, Lawrence R.; Mayo, John; Haramati, Linda B.; Ohno, Yoshiharu; Thistlethwaite, Patricia; van Beek, Edwin J. R.; Knight, Shandra Lee; Lynch, David A.; Rubin, Geoffrey D.; Humbert, Marc</t>
  </si>
  <si>
    <t>Imaging of Pulmonary Hypertension in Adults: A Position Paper from the Fleischner Society</t>
  </si>
  <si>
    <t>RADIOLOGY</t>
  </si>
  <si>
    <t>DUAL-ENERGY CT; RIGHT-VENTRICULAR FUNCTION; VENTILATION-PERFUSION SCINTIGRAPHY; MULTIDETECTOR COMPUTED-TOMOGRAPHY; ARTERIAL-HYPERTENSION; PROGNOSTIC VALUE; BLOOD-VOLUME; VENOOCCLUSIVE DISEASE; STROKE VOLUME; ENDARTERECTOMY</t>
  </si>
  <si>
    <t>Pulmonary hypertension (PH) is defined by a mean pulmonary artery pressure greater than 20 mm Hg and classified into five different groups sharing similar pathophysiologic mechanisms, hemodynamic characteristics, and therapeutic management. Radiologists play a key role in the multidisciplinary assessment and management of PH. A working group was formed from within the Fleischner Society based on expertise in the imaging and/or management of patients with PH, as well as experience with methodologies of systematic reviews. The working group identified key questions focusing on the utility of CT, MRI, and nuclear medicine in the evaluation of PH: (a) Is noninvasive imaging capable of identifying PH? (b) What is the role of imaging in establishing the cause of PH? (c) How does imaging determine the severity and complications of PH? (d) How should imaging be used to assess chronic thromboembolic PH before treatment? (e) Should imaging be performed after treatment of PH? This systematic review and position paper highlights the key role of imaging in the recognition, work-up, treatment planning, and follow-up of PH. This article is a simultaneous joint publication in Radiology and European Respiratory Journal. The articles are identical except for stylistic changes in keeping with each journal's style. Either version may be used in citing this article. (C) 2021 RSNA and the European Respiratory Society.</t>
  </si>
  <si>
    <t>[Remy-Jardin, Martine] Hop Calmette, Dept Thorac Imaging, Blvd Jules Leclercq, F-59037 Lille, France; [Ryerson, Christopher J.] Univ British Columbia, Dept Med, Vancouver, BC, Canada; [Ryerson, Christopher J.] St Pauls Hosp, Ctr Heart Lung Innovat, Vancouver, BC, Canada; [Schiebler, Mark L.] UW Madison Sch Med &amp; Publ Hlth, Dept Radiol, Madison, WI USA; [Leung, Ann N. C.] Stanford Univ, Dept Radiol, Med Ctr, Stanford, CA USA; [Wild, James M.] Univ Sheffield, Dept Infect Immun &amp; Cardiovasc Dis, Div Imaging, Sheffield, S Yorkshire, England; [Hoeper, Marius M.] Hannover Med Sch, Dept Resp Med, Hannover, Germany; [Hoeper, Marius M.] German Ctr Lung Res DZL, Hannover, Germany; [Alderson, Philip O.] St Louis Univ, Dept Radiol, Sch Med, St Louis, MO USA; [Goodman, Lawrence R.] Med Coll Wisconsin, Dept Radiol, Milwaukee, WI USA; [Mayo, John] Vancouver Gen Hosp, Dept Radiol, Vancouver, BC, Canada; [Haramati, Linda B.] Montefiore Med Caner, Dept Radiol &amp; Med, Bronx, NY USA; [Haramati, Linda B.] Albert Einstein Coll Med, Bronx, NY 10467 USA; [Ohno, Yoshiharu] Fujita Hlth Univ, Dept Radiol, Sch Med, Toyoake, Aichi, Japan; [Thistlethwaite, Patricia] Univ Calif San Diego, Div Cardiothorac Surg, La Jolla, CA USA; [van Beek, Edwin J. R.] Univ Edinburgh, Queens Med Res Inst, Edinburgh Imaging, Edinburgh, Midlothian, Scotland; [Knight, Shandra Lee] Natl Jewish Hlth, Dept Lib &amp; Knowledge Serv, Denver, CO USA; [Lynch, David A.] Natl Jewish Hlth, Dept Radiol, Denver, CO USA; [Rubin, Geoffrey D.] Duke Univ, Dept Radiol, Sch Med, Durham, NC USA; [Humbert, Marc] Univ Paris Saclay, Hop Bicetre, AP HP, Pulm Hypertens Reference Ctr,Insems UMR S999,Dept, Le Kremlin Bicetre, France</t>
  </si>
  <si>
    <t>Universite de Lille; CHU Lille; University of British Columbia; St. Paul's Hospital; University of Wisconsin System; University of Wisconsin Madison; Stanford University; University of Sheffield; Hannover Medical School; Saint Louis University; Medical College of Wisconsin; University of British Columbia; Yeshiva University; Montefiore Medical Center; Albert Einstein College of Medicine; Fujita Health University; University of California System; University of California San Diego; University of Edinburgh; National Jewish Health; National Jewish Health; Duke University; Universite Paris Saclay; Institut National de la Sante et de la Recherche Medicale (Inserm); Assistance Publique Hopitaux Paris (APHP); Hopital Universitaire Antoine-Beclere - APHP; Hopital Universitaire Bicetre - APHP</t>
  </si>
  <si>
    <t>Remy-Jardin, M (corresponding author), Hop Calmette, Dept Thorac Imaging, Blvd Jules Leclercq, F-59037 Lille, France.</t>
  </si>
  <si>
    <t>martine.remy@chru-lille.fr</t>
  </si>
  <si>
    <t>Schiebler, Mark/V-5201-2019; Humbert, Marc/AAC-8459-2019; Ohno, Yoshiharu/AAE-2970-2020; Hoeper, Marius/Z-1546-2019; Rubin, Geoffrey/AAB-6765-2020; Rubin, Geoffrey/O-7317-2018</t>
  </si>
  <si>
    <t>Haramati, Linda/0000-0003-0365-7422; Hoeper, Marius/0000-0001-9086-2293; Knight, Shandra Lee/0000-0002-4404-3833; Leung, Ann/0000-0001-7807-2643; REMY-JARDIN, Martine/0000-0003-1944-4288; Alderson, Philip/0000-0003-3617-7433; Rubin, Geoffrey/0000-0002-3820-2500</t>
  </si>
  <si>
    <t>Investissement d'Avenir program [ANR-18-RHUS-0006]; MRC [G0701127, MR/M008894/1] Funding Source: UKRI; Agence Nationale de la Recherche (ANR) [ANR-18-RHUS-0006] Funding Source: Agence Nationale de la Recherche (ANR)</t>
  </si>
  <si>
    <t>Investissement d'Avenir program(Agence Nationale de la Recherche (ANR)); MRC(UK Research &amp; Innovation (UKRI)Medical Research Council UK (MRC)); Agence Nationale de la Recherche (ANR)(Agence Nationale de la Recherche (ANR))</t>
  </si>
  <si>
    <t>M.H. supported by the Investissement d'Avenir program managed by the French National Research Agency under the grant contract ANR-18-RHUS-0006 (DESTINATION 2024).</t>
  </si>
  <si>
    <t>RADIOLOGICAL SOC NORTH AMERICA (RSNA)</t>
  </si>
  <si>
    <t>OAK BROOK</t>
  </si>
  <si>
    <t>820 JORIE BLVD, SUITE 200, OAK BROOK, ILLINOIS, UNITED STATES</t>
  </si>
  <si>
    <t>0033-8419</t>
  </si>
  <si>
    <t>Radiology</t>
  </si>
  <si>
    <t>10.1148/radiol.2020203108</t>
  </si>
  <si>
    <t>QL9AE</t>
  </si>
  <si>
    <t>WOS:000621371200016</t>
  </si>
  <si>
    <t>Weatherald, J; Boucly, A; Savale, L; Jaïs, X; Montani, D; Humbert, M; Sitbon, O</t>
  </si>
  <si>
    <t>Weatherald, Jason; Boucly, Athenais; Savale, Laurent; Jais, Xavier; Montani, David; Humbert, Marc; Sitbon, Olivier</t>
  </si>
  <si>
    <t>Pulmonary Vascular Resistance in Pulmonary Arterial Hypertension: La Piece de Resistance?</t>
  </si>
  <si>
    <t>[Weatherald, Jason] Univ Calgary, Calgary, AB, Canada; [Weatherald, Jason] Libin Cardiovasc Inst, Calgary, AB, Canada; [Boucly, Athenais; Savale, Laurent; Jais, Xavier; Montani, David; Humbert, Marc; Sitbon, Olivier] Hop Marie Lannelongue, Le Plessis Robinson, France; [Boucly, Athenais; Savale, Laurent; Jais, Xavier; Montani, David; Humbert, Marc; Sitbon, Olivier] Hop Bicetre, Le Kremlin Bicetre, France</t>
  </si>
  <si>
    <t>University of Calgary; Libin Cardiovascular Institute Of Alberta; Hopital Marie Lannelongue; Universite Paris Saclay; Assistance Publique Hopitaux Paris (APHP); Hopital Universitaire Antoine-Beclere - APHP; Hopital Universitaire Bicetre - APHP</t>
  </si>
  <si>
    <t>Weatherald, J (corresponding author), Univ Calgary, Calgary, AB, Canada.;Weatherald, J (corresponding author), Libin Cardiovasc Inst, Calgary, AB, Canada.</t>
  </si>
  <si>
    <t>jcweathe@ucalgary.ca</t>
  </si>
  <si>
    <t>Sitbon, Olivier/I-3623-2019; Savale, Laurent/AAJ-9781-2020; David, Montani/I-6885-2019; Humbert, Marc/AAC-8459-2019</t>
  </si>
  <si>
    <t>SITBON, Olivier/0000-0002-1942-1951; JAIS, XAVIER/0000-0002-4104-7994; Weatherald, Jason/0000-0002-0615-4575; Humbert, Marc/0000-0003-0703-2892; Montani, David/0000-0002-9358-6922; Boucly, Athenais/0000-0001-6246-5557</t>
  </si>
  <si>
    <t>10.1164/rccm.202009-3664LE</t>
  </si>
  <si>
    <t>QJ4MP</t>
  </si>
  <si>
    <t>WOS:000619666200027</t>
  </si>
  <si>
    <t>D'Alto, M; Badesch, D; Bossone, E; Borlaug, BA; Brittain, E; Humbert, M; Naeije, R</t>
  </si>
  <si>
    <t>D'Alto, Michele; Badesch, David; Bossone, Eduardo; Borlaug, Barry A.; Brittain, Evan; Humbert, Marc; Naeije, Robert</t>
  </si>
  <si>
    <t>A Fluid Challenge Test for the Diagnosis of Occult Heart Failure</t>
  </si>
  <si>
    <t>dyspnea; exercise pulmonary hypertension; fluid challenge; heart failure; pulmonary artery wedge pressure; pulmonary hypertension</t>
  </si>
  <si>
    <t>PULMONARY-HYPERTENSION; HIGH PREVALENCE; WEDGE PRESSURE; EXERCISE</t>
  </si>
  <si>
    <t>A right heart catheterization with measurements of pulmonary artery wedge pressure (PAWP) may be necessary for the diagnosis of left heart failure as a cause of pulmonary hypertension or unexplained dyspnea. Diagnostic cutoff values are a PAWP of &gt;= 15mmHg at rest or a PAWP of &gt;= 25 mm Hg during exercise. However, accurate measurement of PAWP can be challenging and heart failure may be occult. Left heart catheterization, with measurement of left ventricular end-diastolic pressure, may also be indecisive. Measurements are then best repeated in stress conditions. Exercise is an option, but the equipment is not universally available, and interpretation can be difficult in patients with wide respiratory pressure swings. An alternative is offered by a fluid challenge. Studies have gathered data supporting infusion of 500 mL or 7 mL/kg saline and a PAWP of 18 mm Hg as a diagnostic cutoff. The procedure is simple and does not take much catheterization laboratory time. Combining echocardiography with invasive measurements may increase the diagnostic accuracy of diastolic dysfunction. Cardiac output after a fluid challenge may be of prognostic relevance.</t>
  </si>
  <si>
    <t>[D'Alto, Michele] Monaldi Hosp Univ L Vanvitelli, Dept Cardiol, Naples, Italy; [Badesch, David] Univ Colorado Anschutz Med Campus, Div Pulm Sci &amp; Crit Care Med, Aurora, CO USA; [Badesch, David] Univ Colorado Anschutz Med Campus, Div Cardiol, Aurora, CO USA; [Bossone, Eduardo] A Cardarelli Hosp, Dept Cardiol, Naples, Italy; [Borlaug, Barry A.] Mayo Clin, Dept Cardiovasc Med, Rochester, MN USA; [Brittain, Evan] Vanderbilt Univ, Med Ctr, Dept Med, Nashville, TN USA; [Brittain, Evan] Vanderbilt Univ, Med Ctr, Vanderbilt Translat &amp; Clin Cardiovasc Res Ctr, Nashville, TN USA; [Humbert, Marc] Univ Paris Saclay, Hop Bicetre, Assistance Publ Hop Paris, INSERM,UMR S 999,Dept Resp &amp; Intens Care Med, Le Kremlin Bicetre, France; [Naeije, Robert] Free Univ Brussels, Dept Pathophysiol, Brussels, Belgium</t>
  </si>
  <si>
    <t>University of Colorado System; University of Colorado Anschutz Medical Campus; University of Colorado System; University of Colorado Anschutz Medical Campus; Antonio Cardarelli Hospital; Mayo Clinic; Vanderbilt University; Vanderbilt University; Universite Paris Saclay; Assistance Publique Hopitaux Paris (APHP); Universite Paris Cite; Hopital Universitaire Saint-Louis - APHP; Hopital Universitaire Bicetre - APHP; Institut National de la Sante et de la Recherche Medicale (Inserm); Hopital Universitaire Antoine-Beclere - APHP; Universite Libre de Bruxelles</t>
  </si>
  <si>
    <t>Naeije, R (corresponding author), Free Univ Brussels, Sch Med, Dept Pathophysiol, Ave F Roosevelt 50, B-1050 Brussels, Belgium.</t>
  </si>
  <si>
    <t>rnaeije@ulb.ac.be</t>
  </si>
  <si>
    <t>Brittain, Evan/AEU-1089-2022; Bossone, Eduardo/Z-1305-2019; Humbert, Marc/AAC-8459-2019</t>
  </si>
  <si>
    <t>Bossone, Eduardo/0000-0003-2769-9950</t>
  </si>
  <si>
    <t>Acceleron; Actelion/Johnson Johnson; Altavant; Arena/United Therapeutics; Complexa; Liquidia; Reata; United Therapeutics; United States Pulmonary Hypertension Scientific Registry; NIH/NHLBI [R01 HL128526, U01 HL125205]; AstraZeneca; Corvia; Medtronic; Mesoblast; GlaxoSmithKline; TENAX; Actelion; Bayer; GSK</t>
  </si>
  <si>
    <t>Acceleron; Actelion/Johnson Johnson; Altavant; Arena/United Therapeutics; Complexa; Liquidia; Reata; United Therapeutics; United States Pulmonary Hypertension Scientific Registry; NIH/NHLBI(United States Department of Health &amp; Human ServicesNational Institutes of Health (NIH) - USANIH National Heart Lung &amp; Blood Institute (NHLBI)); AstraZeneca(AstraZeneca); Corvia; Medtronic(Medtronic); Mesoblast; GlaxoSmithKline(GlaxoSmithKline); TENAX; Actelion; Bayer(Bayer AG); GSK(GlaxoSmithKline)</t>
  </si>
  <si>
    <t>The authors have reported to CHEST the following: M. D. has served on the advisory board/provided consulting for Actelion/Johnson &amp; Johnson, Merck Sharp &amp; Dohme, Glaxo Smith Kline, United Therapeutics, and Ferrer. D. B. has served on the advisory or steering committees, Data Safety Monitoring Boards (DSMBs), or consulted for Acceleron, Actelion/Johnson &amp; Johnson, Arena/United Therapeutics, Complexa, Liquidia, Pfizer, United Therapeutics, and United States Pulmonary Hypertension Scientific Registry; and has received grant support from Acceleron, Actelion/Johnson &amp; Johnson, Altavant, Arena/United Therapeutics, Complexa, Liquidia, Reata, United Therapeutics, and United States Pulmonary Hypertension Scientific Registry. B. A. B. has received research funding from NIH/NHLBI [Grants R01 HL128526, U01 HL125205]; AstraZeneca, Corvia, Medtronic, Mesoblast, GlaxoSmithKline, and TENAX; and has served on the advisory board/provided consulting for Merck, Novartis, Lilly, and Novo Nordisk. M. H. reports grants and personal fees from Actelion, grants and personal fees from Bayer, grants and personal fees from GSK, personal fees from Merck, personal fees from United Therapeutics, and grants and personal fees from Acceleron. R. N. has served on DSMBs, or consulted for Actlion/Johnson &amp; Johnson, United Therapeutics, Lung Biotechnology Corp, and AOP Orphan Pharma. All the disclosures declared are outside the submitted work. None declared (E. Bossone, E. Brittain).</t>
  </si>
  <si>
    <t>10.1016/j.chest.2020.08.019</t>
  </si>
  <si>
    <t>FEB 2021</t>
  </si>
  <si>
    <t>RB9RG</t>
  </si>
  <si>
    <t>WOS:000632441600056</t>
  </si>
  <si>
    <t>Bruni, C; Guignabert, C; Manetti, M; Cerinic, MM; Humbert, M</t>
  </si>
  <si>
    <t>Bruni, Cosimo; Guignabert, Christophe; Manetti, Mirko; Cerinic, Marco Matucci; Humbert, Marc</t>
  </si>
  <si>
    <t>The multifaceted problem of pulmonary arterial hypertension in systemic sclerosis</t>
  </si>
  <si>
    <t>LANCET RHEUMATOLOGY</t>
  </si>
  <si>
    <t>ACTIVATED-RECEPTOR-GAMMA; BRAIN NATRIURETIC PEPTIDE; VENOOCCLUSIVE DISEASE; LUNG TRANSPLANTATION; SCLERODERMA PATIENTS; MOUSE MODEL; BETA; EXPRESSION; FIBROSIS; ANGIOGENESIS</t>
  </si>
  <si>
    <t>Cardiopulmonary complications are a leading cause of death in systemic sclerosis. Pulmonary hypertension in particular carries a high mortality and morbidity burden. Patients with systemic sclerosis can suffer from all of the clinical groups of pulmonary hypertension, particularly pulmonary arterial hypertension and pulmonary hypertension related to interstitial lung disease. Despite a similar pathogenetic background with idiopathic pulmonary arterial hypertension, different mechanisms determine a worse prognostic outcome for patients with systemic sclerosis. In this Viewpoint, we will consider the link between pathogenetic and potential therapeutic targets for the treatment of pulmonary hypertension in the context of systemic sclerosis, with a focus on the current unmet needs, such as the importance of early screening and detection, the absence of agreed criteria to distinguish pulmonary arterial hypertension with interstitial lung disease from pulmonary hypertension due to lung fibrosis, and the need for a holistic treatment approach to target all the vascular, immunological, and inflammatory components of the disease.</t>
  </si>
  <si>
    <t>[Bruni, Cosimo; Cerinic, Marco Matucci] Univ Florence, Div Rheumatol, Florence, Italy; [Manetti, Mirko] Univ Florence, Sect Anat &amp; Histol, Florence, Italy; [Manetti, Mirko] Univ Florence, Dept Expt &amp; Clin Med, Florence, Italy; [Guignabert, Christophe; Humbert, Marc] Univ Paris Saclay, Sch Med, Le Kremlin Bicetre, France; [Guignabert, Christophe; Humbert, Marc] Hop Marie Lannelongue, Dept Pulm Hypertens Pathophysiol &amp; Novel Therapie, Le Plessis Robinson, France; [Humbert, Marc] Hop Bicetre, AP HP, Pulm Hypertens Natl Referral Ctr, Dept Resp &amp; Intens Care Med, Le Kremlin Bicetre, France</t>
  </si>
  <si>
    <t>University of Florence; University of Florence; University of Florence; Universite Paris Saclay; Hopital Marie Lannelongue; Universite Paris Saclay; Assistance Publique Hopitaux Paris (APHP); Hopital Universitaire Antoine-Beclere - APHP; Hopital Universitaire Bicetre - APHP</t>
  </si>
  <si>
    <t>Cerinic, MM (corresponding author), Univ Florence, Dept Expt &amp; Clin Med, Div Rheumatol, I-50141 Florence, Italy.</t>
  </si>
  <si>
    <t>marco.matuccicerinic@unifi.it</t>
  </si>
  <si>
    <t>Bruni, Cosimo/AAQ-8067-2020; MATUCCI CERINIC, MARCO/AAO-2769-2020; Manetti, Mirko/AEH-9944-2022; Humbert, Marc/AAC-8459-2019; GUIGNABERT, Christophe/G-3873-2013</t>
  </si>
  <si>
    <t>Bruni, Cosimo/0000-0003-2813-2083; GUIGNABERT, Christophe/0000-0002-8545-4452</t>
  </si>
  <si>
    <t>2665-9913</t>
  </si>
  <si>
    <t>LANCET RHEUMATOL</t>
  </si>
  <si>
    <t>Lancet Rheumatol.</t>
  </si>
  <si>
    <t>e149</t>
  </si>
  <si>
    <t>e159</t>
  </si>
  <si>
    <t>10.1016/S2665-9913(20)30356-8</t>
  </si>
  <si>
    <t>RC2OJ</t>
  </si>
  <si>
    <t>WOS:000632643700004</t>
  </si>
  <si>
    <t>Camboulive, A; Jutant, EM; Savale, L; Jaïs, X; Sitbon, O; Mussini, C; Bénichou, J; Lagier, JC; Humbert, M; Montani, D</t>
  </si>
  <si>
    <t>Camboulive, Alice; Jutant, Etienne-Marie; Savale, Laurent; Jais, Xavier; Sitbon, Olivier; Mussini, Charlotte; Benichou, Jeremie; Lagier, Jean-Christophe; Humbert, Marc; Montani, David</t>
  </si>
  <si>
    <t>Reversible pulmonary hypertension associated with multivisceral Whipple's disease</t>
  </si>
  <si>
    <t>[Camboulive, Alice; Jutant, Etienne-Marie; Savale, Laurent; Jais, Xavier; Sitbon, Olivier; Humbert, Marc; Montani, David] Hop Bicetre, AP HP, Dept Resp &amp; Intens Care Med, Pulm Hypertens Natl Referral Ctr, Le Kremlin Bicetre, France; [Camboulive, Alice; Jutant, Etienne-Marie; Savale, Laurent; Jais, Xavier; Sitbon, Olivier; Humbert, Marc; Montani, David] Univ Paris Saclay, Sch Med, Le Kremlin Bicetre, France; [Camboulive, Alice; Jutant, Etienne-Marie; Savale, Laurent; Jais, Xavier; Sitbon, Olivier; Humbert, Marc; Montani, David] Hop Marie Lannelongue, INSERM, UMR S 999, Pulm Hypertens Pathophysiol &amp; Novel Therapies, Le Plessis Robinson, France; [Mussini, Charlotte] Hop Bicetre, AP HP, Serv Anat &amp; Cytol Pathol, Le Kremlin Bicetre, France; [Mussini, Charlotte; Benichou, Jeremie] Hop Univ Paris Saclay, Le Kremlin Bicetre, France; [Benichou, Jeremie] Hop Bicetre, AP HP, Serv Ophtalmol, Le Kremlin Bicetre, France; [Lagier, Jean-Christophe] Aix Marseille Univ, MEPHI, AP HM, IRD, Marseille, France; [Lagier, Jean-Christophe] IHU Mediterranee Infect, Marseille, France</t>
  </si>
  <si>
    <t>Assistance Publique Hopitaux Paris (APHP); Hopital Universitaire Bicetre - APHP; Hopital Universitaire Antoine-Beclere - APHP; Universite Paris Saclay; Universite Paris Saclay; Universite Paris Saclay; Hopital Marie Lannelongue; Institut National de la Sante et de la Recherche Medicale (Inserm); Assistance Publique Hopitaux Paris (APHP); Hopital Universitaire Antoine-Beclere - APHP; Hopital Universitaire Bicetre - APHP; Universite Paris Saclay; Assistance Publique Hopitaux Paris (APHP); Hopital Universitaire Bicetre - APHP; Hopital Universitaire Antoine-Beclere - APHP; Universite Paris Saclay; Assistance Publique Hopitaux Paris (APHP); Hopital Universitaire Bicetre - APHP; Hopital Universitaire Antoine-Beclere - APHP; Institut de Recherche pour le Developpement (IRD); Aix-Marseille Universite; Assistance Publique-Hopitaux de Marseille; Aix-Marseille Universite</t>
  </si>
  <si>
    <t>David, Montani/I-6885-2019; Sitbon, Olivier/I-3623-2019; Savale, Laurent/AAJ-9781-2020; Lagier, Jean-Christophe/AAY-3837-2021; Humbert, Marc/AAC-8459-2019</t>
  </si>
  <si>
    <t>SITBON, Olivier/0000-0002-1942-1951; Montani, David/0000-0002-9358-6922; Lagier, Jean-Christophe/0000-0003-0771-8245; JAIS, XAVIER/0000-0002-4104-7994; Jutant, Etienne-Marie/0000-0002-1374-1890; Humbert, Marc/0000-0003-0703-2892; Savale, Laurent/0000-0002-6862-8975</t>
  </si>
  <si>
    <t>10.1183/13993003.03132-2020</t>
  </si>
  <si>
    <t>RO2QS</t>
  </si>
  <si>
    <t>WOS:000640891200013</t>
  </si>
  <si>
    <t>Targeting transforming growth factor-β receptors in pulmonary hypertension</t>
  </si>
  <si>
    <t>BONE MORPHOGENETIC PROTEIN; SMOOTH-MUSCLE-CELLS; KINASE 1 ALK1; ARTERIAL-HYPERTENSION; ACTIVIN-A; DIFFERENTIATION FACTOR-15; INCREASED SUSCEPTIBILITY; ENDOTHELIAL DYSFUNCTION; ABNORMAL PROLIFERATION; SIGNALING PATHWAY</t>
  </si>
  <si>
    <t>The transforming growth factor-beta (TGF-beta) superfamily includes several groups of multifunctional proteins that form two major branches, namely the TGF-beta-activin-nodal branch and the bone morphogenetic protein (BMP)-growth differentiation factor (GDF) branch. The response to the activation of these two branches, acting through canonical (small mothers against decapentaplegic (Smad) 2/3 and Smad 1/5/8, respectively) and noncanonical signalling pathways, are diverse and vary for different environmental conditions and cell types. An extensive body of data gathered in recent years has demonstrated a central role for the cross-talk between these two branches in a number of cellular processes, which include the regulation of cell proliferation and differentiation, as well as the transduction of signalling cascades for the development and maintenance of different tissues and organs. Importantly, alterations in these pathways, which include heterozygous germline mutations and/or alterations in the expression of several constitutive members, have been identified in patients with familial/heritable pulmonary arterial hypertension (PAH) or idiopathic PAH (IPAH). Consequently, loss or dysfunction in the delicate, finely-tuned balance between the TGF-beta-activin-nodal branch and the BMP-GDF branch are currently viewed as the major molecular defect playing a critical role in PAH predisposition and disease progression. Here we review the role of the TGF-beta-activin-nodal branch in PAH and illustrate how this knowledge has not only provided insight into understanding its pathogenesis, but has also paved the way for possible novel therapeutic approaches.</t>
  </si>
  <si>
    <t>[Guignabert, Christophe; Humbert, Marc] Univ Paris Saclay, Fac Med, Le Kremlin Bicetre, France; [Guignabert, Christophe; Humbert, Marc] Hop Marie Lannelongue, Pulm Hypertens Pathophysiol &amp; Novel Therapies, INSERM UMR S 999, Le Plessis Robinson, France; [Humbert, Marc] Hop Bicetre, AP HP, French Pulm Hypertens Reference, Dept Resp &amp; Intens Care Med, Le Kremlin Bicetre, France</t>
  </si>
  <si>
    <t>Universite Paris Saclay; Universite Paris Saclay; Hopital Marie Lannelongue; Institut National de la Sante et de la Recherche Medicale (Inserm); Universite Paris Saclay; Assistance Publique Hopitaux Paris (APHP); Hopital Universitaire Bicetre - APHP; Hopital Universitaire Antoine-Beclere - APHP</t>
  </si>
  <si>
    <t>Humbert, M (corresponding author), Hop Marie Lannelongue, Pulm Hypertens Pathophysiol &amp; Novel Therapies, INSERM UMR S 999, Le Plessis Robinson, France.;Humbert, M (corresponding author), Hop Bicetre, AP HP, French Pulm Hypertens Reference, Dept Resp &amp; Intens Care Med, Le Kremlin Bicetre, France.</t>
  </si>
  <si>
    <t>10.1183/13993003.02341-2020</t>
  </si>
  <si>
    <t>QJ4SS</t>
  </si>
  <si>
    <t>WOS:000619682500002</t>
  </si>
  <si>
    <t>Hoeper, MM; Sanchez, MAG; Humbert, M; Pittrow, D; Simonneau, G; Gall, H; Grünig, E; Klose, H; Halank, M; Langleben, D; Snijder, RJ; Subias, PE; Mielniczuk, LM; Lange, TJ; Vachiéry, JL; Wirtz, H; Helmersen, DS; Tsangaris, I; Barberà, JA; Pepke-Zaba, J; Boonstra, A; Rosenkranz, S; Ulrich, S; Steringer-Mascherbauer, R; Delcroix, M; Jansa, P; Simková, I; Giannakoulas, G; Klotsche, J; Williams, E; Meier, C; Ghofrani, HA</t>
  </si>
  <si>
    <t>Hoeper, Marius M.; Gomez Sanchez, Miguel-Angel; Humbert, Marc; Pittrow, David; Simonneau, Gerald; Gall, Henning; Gruenig, Ekkehard; Klose, Hans; Halank, Michael; Langleben, David; Snijder, Repke J.; Subias, Pilar Escribano; Mielniczuk, Lisa M.; Lange, Tobias J.; Vachiery, Jean-Luc; Wirtz, Hubert; Helmersen, Douglas S.; Tsangaris, Iraklis; Barbera, Joan A.; Pepke-Zaba, Joanna; Boonstra, Anco; Rosenkranz, Stephan; Ulrich, Silvia; Steringer-Mascherbauer, Regina; Delcroix, Marion; Jansa, Pavel; Simkova, Iveta; Giannakoulas, George; Klotsche, Jens; Williams, Evgenia; Meier, Christian; Ghofrani, Hossein-Ardeschir</t>
  </si>
  <si>
    <t>Riociguat treatment in patients with pulmonary arterial hypertension: Final safety data from the EXPERT registry</t>
  </si>
  <si>
    <t>Pulmonary arterial hypertension; Pulmonary hypertension; Riociguat; Registry; Clinical practice; Safety</t>
  </si>
  <si>
    <t>LONG-TERM EXTENSION; OPEN-LABEL; OUTCOMES; PREDICTORS; SURVIVAL</t>
  </si>
  <si>
    <t>Objective: The soluble guanylate cyclase stimulator riociguat is approved for the treatment of adult patients with pulmonary arterial hypertension (PAH) and inoperable or persistent/recurrent chronic thromboembolic pulmonary hypertension following Phase 3 randomized trials. The EXPosurE Registry RiociguaT in patients with pulmonary hypertension (EXPERT) study was designed to monitor the long-term safety of riociguat in clinical practice. Methods: EXPERT was an international, multicenter, prospective, uncontrolled, non-interventional cohort study of patients treated with riociguat. Patients were followed for at least 1 year and up to 4 years from enrollment or until 30 days after stopping riociguat treatment. Primary safety outcomes were adverse events (AEs) and serious adverse events (SAEs) coded using Medical Dictionary for Regulatory Activities preferred terms and System Organ Classes version 21.0, collected during routine clinic visits (usually every 3-6 months) and collated via case report forms. Results: In total, 326 patients with PAH were included in the analysis. The most common AEs in these patients were dizziness (11.7%), right ventricular (RV)/cardiac failure (10.7%), edema/peripheral edema (10.7%), diarrhea (8.6%), dyspnea (8.0%), and cough (7.7%). The most common SAEs were RV/cardiac failure (10.1%), pneumonia (6.1%), dyspnea (4.0%), and syncope (3.4%). The exposure-adjusted rate of hemoptysis/pulmonary hemorrhage was 2.5 events per 100 patient-years. Conclusion: Final data from EXPERT show that in patients with PAH, the safety of riociguat in clinical practice was consistent with clinical trials, with no new safety concerns identified and a lower exposure-adjusted rate of hemoptysis/pulmonary hemorrhage than in the long-term extension of the Phase 3 trial in PAH.</t>
  </si>
  <si>
    <t>[Hoeper, Marius M.] Hannover Med Sch, Dept Resp Med, Hannover, Germany; [Hoeper, Marius M.] Hannover Med Sch, German Ctr Lung Res, Hannover, Germany; [Gomez Sanchez, Miguel-Angel] Ramon Y Cajal Univ Hosp IRYCIS, Biomed Res Networking Ctr Resp Dis CIBERES, Resp Dept, Madrid, Spain; [Humbert, Marc] Univ Paris Saclay, Serv Pneumol &amp; Soins Intensifs Resp, Inserm U999, Hop Bicetre, Le Kremlin Bicetre, France; [Pittrow, David] Tech Univ, Inst Clin Pharmacol, Dresden, Germany; [Simonneau, Gerald] Univ Paris Sud, Hop Bicetre, Serv Pneumol, Ctr Reference Hypertens Pulm Severe,DHU Thorax In, Paris, France; [Gall, Henning; Ghofrani, Hossein-Ardeschir] Univ Giessen &amp; Marburg Lung Ctr UGMLC, Giessen, Germany; [Gall, Henning; Ghofrani, Hossein-Ardeschir] German Ctr Lung Res DZL, Giessen, Germany; [Gruenig, Ekkehard] Thoraxclin Heidelberg Univ Hosp, Ctr Pulm Hypertens, Heidelberg, Germany; [Klose, Hans] Univ Med Ctr Hamburg Eppendorf, Dept Pneumol, Hamburg, Germany; [Halank, Michael] Univ Hosp Carl Gustav Carus, Dept Pneumol, Med Clin 1, Dresden, Germany; [Langleben, David] McGill Univ, Jewish Gen Hosp, Ctr Pulm Vasc Dis, Montreal, PQ, Canada; [Snijder, Repke J.] St Antonius Hosp, Dept Pulmonol, Nieuwegein, Netherlands; [Subias, Pilar Escribano] Hosp 12 Octubre, Dept Cardiol, CIBER CV CIBER Cardiovasc Dis, Madrid, Spain; [Mielniczuk, Lisa M.] Univ Ottawa, Dept Med, Div Cardiol, Heart Inst, Ottawa, ON, Canada; [Lange, Tobias J.] Univ Med Ctr, Dept Internal Med 2, Div Pneumol, Regensburg, Germany; [Vachiery, Jean-Luc] Clin Univ Bruxelles, Hop Erasme, Dept Cardiol, Brussels, Belgium; [Wirtz, Hubert] Univ Leipzig, Dept Resp Med, Leipzig, Germany; [Helmersen, Douglas S.] Univ Calgary, Alberta Hlth Serv, Calgary, AB, Canada; [Tsangaris, Iraklis] Natl &amp; Kapodistrian Univ Athens, Univ Hosp Attikon, Dept Crit Care 2, Athens, Greece; [Barbera, Joan A.] Univ Barcelona, Hosp Clin IDIBAPS, Barcelona, Spain; [Barbera, Joan A.] Biomed Res Networking Ctr Resp Dis CIBERES, Madrid, Spain; [Pepke-Zaba, Joanna] Royal Papworth Hosp, Pulm Vasc Dis Unit, Cambridge, England; [Boonstra, Anco] Vrije Univ Amsterdam Med Ctr, Amsterdam, Netherlands; [Rosenkranz, Stephan] Cologne Univ, Dept Internal Med 3, Heart Ctr, Cologne, Germany; [Rosenkranz, Stephan] Cologne Univ, Cologne Cardiovasc Res Ctr CCRC, Heart Ctr, Cologne, Germany; [Ulrich, Silvia] Univ Hosp Zurich, Clin Pulmonol, Zurich, Switzerland; [Steringer-Mascherbauer, Regina] Krankenhaus Elisabethinen Linz GmbH, Servicestelle Klin Studien, Linz, Austria; [Delcroix, Marion] KU Leuven Univ Leuven, Univ Hosp, Clin Dept Resp Dis, Leuven, Belgium; [Delcroix, Marion] KU Leuven Univ Leuven, Lab Resp Dis &amp; Thorac Surg BREATHE, Dept Chron Dis &amp; Metab CHROMETA, Leuven, Belgium; [Jansa, Pavel] Charles Univ Prague, Dept Med 2, Dept Cardiovasc Med, Prague, Czech Republic; [Simkova, Iveta] Slovak Med Univ, Fac Med, Dept Cardiol &amp; Angiol, Bratislava, Slovakia; [Simkova, Iveta] Natl Inst Cardiovasc Dis, Bratislava, Slovakia; [Giannakoulas, George] Aristotle Univ Thessaloniki, Dept Cardiol 1, Thessaloniki, Greece; [Klotsche, Jens] German Rheumatism Res Ctr Berlin, Leibniz Inst, Berlin, Germany; [Williams, Evgenia; Meier, Christian] Bayer AG, Global Dev, Global Med Affairs, Berlin, Germany</t>
  </si>
  <si>
    <t>Hannover Medical School; Hannover Medical School; CIBER - Centro de Investigacion Biomedica en Red; CIBERES; Assistance Publique Hopitaux Paris (APHP); Hopital Universitaire Antoine-Beclere - APHP; Hopital Universitaire Bicetre - APHP; Institut National de la Sante et de la Recherche Medicale (Inserm); Universite Paris Saclay; Technische Universitat Dresden; Assistance Publique Hopitaux Paris (APHP); Hopital Universitaire Bicetre - APHP; Universite Paris Saclay; University of Hamburg; University Medical Center Hamburg-Eppendorf; Technische Universitat Dresden; Carl Gustav Carus University Hospital; McGill University; St. Antonius Hospital Utrecht; Hospital Universitario 12 de Octubre; University of Ottawa; University of Ottawa Heart Institute; University of Regensburg; Universite Libre de Bruxelles; Leipzig University; Alberta Health Services (AHS); University of Calgary; National &amp; Kapodistrian University of Athens; University Hospital Attikon; University of Barcelona; Hospital Clinic de Barcelona; IDIBAPS; CIBER - Centro de Investigacion Biomedica en Red; CIBERES; Papworth Hospital; Vrije Universiteit Amsterdam; VU UNIVERSITY MEDICAL CENTER; University of Cologne; University of Cologne; University of Zurich; University Zurich Hospital; Ordensklinikum Linz Elisabethinen; KU Leuven; KU Leuven; Charles University Prague; Comenius University Bratislava; Slovak Medical University Bratislava; Aristotle University of Thessaloniki; Leibniz Association; Deutsches Rheuma-Forschungszentrum (DRFZ); Bayer AG</t>
  </si>
  <si>
    <t>Hoeper, MM (corresponding author), Hannover Med Sch, Dept Resp Med, Hannover, Germany.;Hoeper, MM (corresponding author), Hannover Med Sch, German Ctr Lung Res, Hannover, Germany.</t>
  </si>
  <si>
    <t>Hoeper.Marius@mh-hannover.de</t>
  </si>
  <si>
    <t>Hoeper, Marius/Z-1546-2019; Pittrow, David/AAY-5042-2021; delcroix, marion/AAE-2712-2022; Vachiery, Jean-Luc/ABC-6631-2021; Humbert, Marc/AAC-8459-2019; Jansa, Pavel/O-2302-2017; boonstra, anco/J-5446-2014; Pepke-Zaba, Joanna/AGW-3073-2022; Giannakoulas, George/AAJ-5172-2020; Sicilia, Miguel-Angel/F-5002-2012; Ghofrani, Hossein/LPQ-1427-2024; Capinha, Marta/ABG-3258-2021; Otero-Candelera, Remedios/G-7312-2016; Escribano, Pilar/R-5273-2017</t>
  </si>
  <si>
    <t>Yotti, Raquel/0000-0002-5551-7408; Cifrian, Jose Manuel/0000-0003-3682-0142; Simkova, Iveta/0000-0002-6051-2724; Capinha, Marta/0000-0003-2585-1357; Dwyer, Nathan/0000-0002-1583-8290; Mellemkjaer, Soren/0000-0002-3422-2387; Piccari, Lucilla/0000-0002-2241-7523; Cruz Utrilla, Alejandro/0000-0002-3851-4037; Otero-Candelera, Remedios/0000-0002-2265-1221; Hoeper, Marius/0000-0001-9086-2293; Baptista, Rui/0000-0002-7411-7039; Escribano, Pilar/0000-0002-6640-4839; delcroix, marion/0000-0001-8394-9809</t>
  </si>
  <si>
    <t>Bayer AG (Berlin, Germany); Merck Sharp Dohme Corp.; Bayer AG; Good Publication Practice (GPP3) guidelines</t>
  </si>
  <si>
    <t>Bayer AG (Berlin, Germany); Merck Sharp Dohme Corp.(Merck &amp; Company); Bayer AG(Bayer AG); Good Publication Practice (GPP3) guidelines</t>
  </si>
  <si>
    <t>10.1016/j.rmed.2020.106241</t>
  </si>
  <si>
    <t>QM3RY</t>
  </si>
  <si>
    <t>WOS:000621700500001</t>
  </si>
  <si>
    <t>Swietlik, EM; Greene, D; Zhu, N; Megy, K; Cogliano, M; Rajaram, S; Pandya, D; Tilly, T; Lutz, KA; Welch, CCL; Pauciulo, MW; Southgate, L; Martin, JM; Treacy, CM; Penkett, CJ; Stephens, JC; Bogaard, HJ; Church, C; Coghlan, G; Coleman, AW; Condliffe, R; Eichstaedt, CA; Eyries, M; Gall, H; Ghio, S; Girerd, B; Grünig, E; Holden, S; Howard, L; Humbert, M; Kiely, DG; Kovacs, G; Lordan, J; Machado, RD; Ross, RVM; McCabe, C; Moledina, S; Montani, D; Olschewski, H; Pepke-Zaba, J; Price, L; Rhodes, CJ; Seeger, W; Soubrier, F; Suntharalingam, J; Toshner, MR; Noordegraaf, AV; Wharton, J; Wild, JM; Wort, SJ; Lawrie, A; Wilkins, MR; Trembath, RC; Shen, YF; Chung, WK; Swift, AJ; Nichols, WC; Morrell, NW; Gräf, S</t>
  </si>
  <si>
    <t>Swietlik, Emilia M.; Greene, Daniel; Zhu, Na; Megy, Karyn; Cogliano, Marcella; Rajaram, Smitha; Pandya, Divya; Tilly, Tobias; Lutz, Katie A.; Welch, Carrie C. L.; Pauciulo, Michael W.; Southgate, Laura; Martin, Jennifer M.; Treacy, Carmen M.; Penkett, Christopher J.; Stephens, Jonathan C.; Bogaard, Harm J.; Church, Colin; Coghlan, Gerry; Coleman, Anna W.; Condliffe, Robin; Eichstaedt, Christina A.; Eyries, Melanie; Gall, Henning; Ghio, Stefano; Girerd, Barbara; Grunig, Ekkehard; Holden, Simon; Howard, Luke; Humbert, Marc; Kiely, David G.; Kovacs, Gabor; Lordan, Jim; Machado, Rajiv D.; Ross, Robert V. Mackenzie; McCabe, Colm; Moledina, Shahin; Montani, David; Olschewski, Horst; Pepke-Zaba, Joanna; Price, Laura; Rhodes, Christopher J.; Seeger, Werner; Soubrier, Florent; Suntharalingam, Jay; Toshner, Mark R.; Noordegraaf, Anton Vonk; Wharton, John; Wild, James M.; Wort, Stephen John; Lawrie, Allan; Wilkins, Martin R.; Trembath, Richard C.; Shen, Yufeng; Chung, Wendy K.; Swift, Andrew J.; Nichols, William C.; Morrell, Nicholas W.; Graf, Stefan</t>
  </si>
  <si>
    <t>Bayesian Inference Associates Rare KDR Variants With Specific Phenotypes in Pulmonary Arterial Hypertension</t>
  </si>
  <si>
    <t>CIRCULATION-GENOMIC AND PRECISION MEDICINE</t>
  </si>
  <si>
    <t>computed tomography; family history; genetic association studies; pulmonary hypertension; vascular endothelial growth factor receptor</t>
  </si>
  <si>
    <t>ENDOTHELIAL-CELL GROWTH; PLEXIFORM LESIONS; CHRONIC HYPOXIA; RECEPTOR; VEGF; INHIBITION; EXPRESSION; MUTATION; GENE; IDENTIFICATION</t>
  </si>
  <si>
    <t>Background: Approximately 25% of patients with pulmonary arterial hypertension (PAH) have been found to harbor rare mutations in disease-causing genes. To identify missing heritability in PAH, we integrated deep phenotyping with whole-genome sequencing data using Bayesian statistics. Methods: We analyzed 13 037 participants enrolled in the NBR study (NIHR BioResource-Rare Diseases), of which 1148 were recruited to the PAH domain. To test for genetic associations between genes and selected phenotypes of pulmonary hypertension, we used the Bayesian rare variant association method BeviMed. Results: Heterozygous, high impact, likely loss-of-function variants in the kinase insert domain receptor (KDR) gene were strongly associated with significantly reduced transfer coefficient for carbon monoxide (posterior probability=0.989) and older age at diagnosis (posterior probability=0.912). We also provide evidence for familial segregation of a rare nonsense KDR variant with these phenotypes. On computed tomographic imaging of the lungs, a range of parenchymal abnormalities were observed in the 5 patients harboring these predicted deleterious variants in KDR. Four additional PAH cases with rare likely loss-of-function variants in KDR were independently identified in the US PAH Biobank cohort with similar phenotypic characteristics. Conclusions: The Bayesian inference approach allowed us to independently validate KDR, which encodes for the VEGFR2 (vascular endothelial growth factor receptor 2), as a novel PAH candidate gene. Furthermore, this approach specifically associated high impact likely loss-of-function variants in the genetically constrained gene with distinct phenotypes. These findings provide evidence for KDR being a clinically actionable PAH gene and further support the central role of the vascular endothelium in the pathobiology of PAH.</t>
  </si>
  <si>
    <t>[Swietlik, Emilia M.; Pandya, Divya; Tilly, Tobias; Treacy, Carmen M.; Toshner, Mark R.; Morrell, Nicholas W.] Univ Cambridge, Dept Med, Cambridge, England; [Greene, Daniel; Megy, Karyn; Cogliano, Marcella; Penkett, Christopher J.; Stephens, Jonathan C.; Kovacs, Gabor; Olschewski, Horst; Swift, Andrew J.; Graf, Stefan] Univ Cambridge, Dept Haematol, Cambridge, England; [Zhu, Na; Welch, Carrie C. L.] Columbia Univ, Dept Pediat, New York, NY 10027 USA; [Zhu, Na; Shen, Yufeng] Columbia Univ, Dept Syst Biol, New York, NY 10027 USA; [Shen, Yufeng] Columbia Univ, Dept Biomed Informat, New York, NY USA; [Martin, Jennifer M.; Lordan, Jim; Wild, James M.; Lawrie, Allan] Univ Sheffield, Dept Infect Immun &amp; Cardiovasc Dis, Sheffield, S Yorkshire, England; [Rajaram, Smitha] Sheffield Teaching Hosp NHS Fdn Trust, Sheffield, S Yorkshire, England; [Lutz, Katie A.; Pauciulo, Michael W.; Coleman, Anna W.; Nichols, William C.] Cincinnati Childrens Hosp Med Ctr, Div Human Genet, Cincinnati, OH 45229 USA; [Pauciulo, Michael W.; Nichols, William C.] Univ Cincinnati, Coll Med, Cincinnati, OH USA; [Southgate, Laura; Machado, Rajiv D.] St Georges Univ London, Mol &amp; Clin Sci Res Inst, London, England; [Bogaard, Harm J.; Noordegraaf, Anton Vonk] Vrije Univ Amsterdam, Dept Clin Genet, Amsterdam UMC, Amsterdam, Netherlands; [Church, Colin] Golden Jubilee Natl Hosp, Glasgow, Lanark, Scotland; [Coghlan, Gerry] Royal Free Hosp, London, England; [Condliffe, Robin; Kiely, David G.] Royal Hallamshire Hosp, Sheffield Pulm Vasc Dis Unit, Sheffield, S Yorkshire, England; [Eichstaedt, Christina A.] Heidelberg Univ, Inst Human Genet, Lab Mol Genet Diagnost, Heidelberg, Germany; [Eichstaedt, Christina A.; Grunig, Ekkehard] Heidelberg Univ Hosp, Ctr Pulm Hypertens, Thoraxklin gGmbH Heidelberg, Heidelberg, Germany; [Eichstaedt, Christina A.; Grunig, Ekkehard] German Ctr Lung Res DZL, Translat Lung Res Ctr Heidelberg TLRC, Heidelberg, Germany; [Eyries, Melanie; Soubrier, Florent] UPMC Sorbonne Universites, Hop Pitie Salpetriere, AP HP, UMR S 1166 ICAN INSERM,Dept Genet, Paris, France; [Gall, Henning; Seeger, Werner] Univ Giessen &amp; Marburg Lung Ctr UGMLC, German Ctr Lung Res DZL, Excellence Cluster Cardio Pulm Inst CPI, Giessen, Germany; [Ghio, Stefano] Fdn IRCCS Policlin San Matteo, Pavia, Italy; [Girerd, Barbara; Humbert, Marc; Montani, David] Univ Paris Sud, Univ Paris Saclay, Fac Med, Paris, France; [Girerd, Barbara; Humbert, Marc; Montani, David] Hop Bicetre, INSERM, UMRS 999, Le Kremlin Bicetre, Paris, France; [Pauciulo, Michael W.; Holden, Simon; Morrell, Nicholas W.] Addenbrookes Hosp NHS Fdn Trust, Cambridge, England; [Howard, Luke; McCabe, Colm; Price, Laura; Rhodes, Christopher J.; Wharton, John; Wort, Stephen John; Wilkins, Martin R.] Imperial Coll London, Natl Heart &amp; Lung Inst, London, England; [Ross, Robert V. Mackenzie; Suntharalingam, Jay] Royal United Hosp Bath NHS Fdn Trust, Bath, Avon, England; [McCabe, Colm; Price, Laura; Wort, Stephen John] Royal Bromp Ton &amp; Harefield NHS Fdn Trust, London, England; [Moledina, Shahin] Great Ormond St Hosp Sick Children, London, England; [Pepke-Zaba, Joanna; Toshner, Mark R.; Morrell, Nicholas W.] Royal Papworth Hosp NHS Fdn Trust, London, England; [Trembath, Richard C.] Kings Coll London, Dept Med &amp; Mol Genet, London, England; [Chung, Wendy K.] Columbia Univ, Irving Med Ctr, New York, NY USA</t>
  </si>
  <si>
    <t>University of Cambridge; University of Cambridge; Columbia University; Columbia University; Columbia University; University of Sheffield; University of Sheffield; Cincinnati Children's Hospital Medical Center; University System of Ohio; University of Cincinnati; City St Georges, University of London; St Georges University London; Vrije Universiteit Amsterdam; University of Amsterdam; Golden Jubilee Hospital; University of London; University College London; UCL Medical School; Royal Free London NHS Foundation Trust; University of Sheffield; Ruprecht Karls University Heidelberg; Ruprecht Karls University Heidelberg; Sorbonne Universite; Assistance Publique Hopitaux Paris (APHP); Hopital Universitaire Pitie-Salpetriere - APHP; IRCCS Fondazione San Matteo; Universite Paris Saclay; Universite Paris Saclay; Institut National de la Sante et de la Recherche Medicale (Inserm); Assistance Publique Hopitaux Paris (APHP); Hopital Universitaire Antoine-Beclere - APHP; Hopital Universitaire Bicetre - APHP; Cambridge University Hospitals NHS Foundation Trust; Addenbrooke's Hospital; Imperial College London; University of London; University College London; Great Ormond Street Hospital for Children NHS Foundation Trust; Papworth Hospital; University of London; King's College London; NewYork-Presbyterian Hospital; Columbia University</t>
  </si>
  <si>
    <t>Morrell, NW (corresponding author), Univ Cambridge, Dept Med, Cambridge, England.;Gräf, S (corresponding author), Univ Cambridge, Dept Haematol, Cambridge, England.</t>
  </si>
  <si>
    <t>nwm23@cam.ac.uk; sg550@cam.ac.uk</t>
  </si>
  <si>
    <t>Lawrie, Allan/A-2708-2012; David, Montani/I-6885-2019; Machado, Rajiv David/AAD-7813-2019; Pepke-Zaba, Joanna/AGW-3073-2022; Wilkins, Martin/ABH-1140-2021; Howard, Luke/HJP-3415-2023; moledina, shahin/A-6466-2009; Swift, Andy/GYU-3283-2022; Yufeng, Shen/A-7490-2019; Humbert, Marc/AAC-8459-2019; Ghio, Stefano/ABH-1151-2021; Southgate, Laura/H-7924-2019</t>
  </si>
  <si>
    <t>Vonk Noordegraaf, Anton/0000-0002-4057-758X; Ghio, Stefano/0000-0002-1858-1152; Maddipati, Veeranna/0000-0003-3412-5824; Seeger, Werner/0000-0003-1946-0894; Lutz, Katie/0000-0002-9554-7679; Church, Alistair/0000-0002-4446-0100; Welch, Carrie/0000-0003-3521-4458; Swietlik, Emilia/0000-0002-4095-8489; McCabe, Colm/0000-0002-0392-8838; Stephens, Jonathan/0000-0003-2020-9330; Kovacs, Gabor/0000-0003-3709-2183; Wild, Jim/0000-0002-7246-8660; Southgate, Laura/0000-0002-2090-1450; Morrell, Nicholas/0000-0001-5700-9792; Bogaard, Harm Jan/0000-0001-5371-0346; moledina, shahin/0000-0003-0262-2340; Wharton, John/0000-0001-8110-2575; Wilkins, Martin/0000-0003-3926-1171; Rhodes, Christopher/0000-0002-4962-3204; Machado, Rajiv David/0000-0001-9247-0744; Toshner, Mark/0000-0002-3969-6143</t>
  </si>
  <si>
    <t>National Institute for Health Research (NIHR); British Heart Foundation (BHF) [SP/12/12/29836, SP/18/10/33975]; BHF Cambridge Centre of Cardiovascular Research Excellence; UK Medical Research Council [MR/K020919/1]; Dinosaur Trust; BHF Programme [RG/08/006/25302, RG/13/4/30107]; UK NIHR National Institute for Health Research Cambridge Biomedical Research Centre; BHF Senior Basic Science Research Fellowship [FS/13/48/30453]; NIH investigator-initiated resources grant [R24 HL105333]; MRC [MR/K020919/1] Funding Source: UKRI</t>
  </si>
  <si>
    <t>National Institute for Health Research (NIHR)(National Institutes of Health Research (NIHR)); British Heart Foundation (BHF)(British Heart Foundation); BHF Cambridge Centre of Cardiovascular Research Excellence; UK Medical Research Council(UK Research &amp; Innovation (UKRI)Medical Research Council UK (MRC)); Dinosaur Trust; BHF Programme; UK NIHR National Institute for Health Research Cambridge Biomedical Research Centre; BHF Senior Basic Science Research Fellowship; NIH investigator-initiated resources grant(United States Department of Health &amp; Human ServicesNational Institutes of Health (NIH) - USA); MRC(UK Research &amp; Innovation (UKRI)Medical Research Council UK (MRC))</t>
  </si>
  <si>
    <t>The UK National Cohort of Idiopathic and Heritable Pulmonary Arterial Hypertension (PAH) is supported by the National Institute for Health Research (NIHR), the British Heart Foundation (BHF; SP/12/12/29836 and SP/18/10/33975), the BHF Cambridge Centre of Cardiovascular Research Excellence, and the UK Medical Research Council (MR/K020919/1), the Dinosaur Trust, BHF Programme grants to R.C. Trembath (RG/08/006/25302) and Dr Morrell (RG/13/4/30107), and the UK NIHR National Institute for Health Research Cambridge Biomedical Research Centre. Dr Morrell is a BHF Professor and NIHR Senior Investigator.Dr Lawrie is supported by a BHF Senior Basic Science Research Fellowship (FS/13/48/30453). All research at Great Ormond Street Hospital NHS Foundation Trust and UCL Great Ormond Street Institute of Child Health is made possible by the NIHR Great Ormond Street Hospital Biomedical Research Centre. Samples and data from the National Biological Sample and Data Repository for PAH, funded by an NIH investigator-initiated resources grant (R24 HL105333 to Dr Nichols), were used in this study.</t>
  </si>
  <si>
    <t>2574-8300</t>
  </si>
  <si>
    <t>CIRC-GENOM PRECIS ME</t>
  </si>
  <si>
    <t>Circ.-Genom. Precis. Med.</t>
  </si>
  <si>
    <t>e003155</t>
  </si>
  <si>
    <t>10.1161/CIRCGEN.120.003155</t>
  </si>
  <si>
    <t>Cardiac &amp; Cardiovascular Systems; Genetics &amp; Heredity</t>
  </si>
  <si>
    <t>Cardiovascular System &amp; Cardiology; Genetics &amp; Heredity</t>
  </si>
  <si>
    <t>RL9TJ</t>
  </si>
  <si>
    <t>Green Submitted, Green Accepted, hybrid, Green Published</t>
  </si>
  <si>
    <t>WOS:000639305600017</t>
  </si>
  <si>
    <t>Lambert, M; Mendes-Ferreira, P; Ghigna, MR; LeRibeuz, H; Adao, R; Boet, A; Capuano, V; Rucker-Martin, C; Brás-Silva, C; Quarck, R; Domergue, V; Vachiéry, JL; Humbert, M; Perros, F; Montani, D; Antigny, F</t>
  </si>
  <si>
    <t>Lambert, Melanie; Mendes-Ferreira, Pedro; Ghigna, Maria-Rosa; LeRibeuz, Helene; Adao, Rui; Boet, Angele; Capuano, Veronique; Rucker-Martin, Catherine; Bras-Silva, Carmen; Quarck, Rozenn; Domergue, Valerie; Vachiery, Jean-Luc; Humbert, Marc; Perros, Frederic; Montani, David; Antigny, Fabrice</t>
  </si>
  <si>
    <t>Kcnk3 dysfunction exaggerates the development of pulmonary hypertension induced by left ventricular pressure overload</t>
  </si>
  <si>
    <t>PH due to left heart diseases; Ascending-aortic constriction; Proliferation; K2P3.1; Task-1</t>
  </si>
  <si>
    <t>PRESERVED EJECTION FRACTION; LEFT ATRIAL PRESSURE; HEART-FAILURE; VASCULAR RESISTANCE; POTASSIUM CHANNEL; EXPRESSION; PATHOPHYSIOLOGY; TASK-1; MODEL; RAT</t>
  </si>
  <si>
    <t>Aims Pulmonary hypertension (PH) is a common complication of left heart disease (LHD, Group 2 PH) leading to right ventricular (RV) failure and death. Several loss-of-function (LOF) mutations in KCNK3 were identified in pulmonary arterial hypertension (PAH, Group 1 PH). Additionally, we found that KCNK3 dysfunction is a hallmark of PAH at pulmonary vascular and RV levels. However, the role of KCNK3 in the pathobiology of PH due to LHD is unknown. Methods and results We evaluated the role of KCNK3 on PH induced by ascending aortic constriction (AAC), in WT and Kcnk3-LOF-mutated rats, by echocardiography, RV catheterization, histology analyses, and molecular biology experiments. We found that Kcnk3-LOF-mutation had no consequence on the development of left ventricular (LV) compensated concentric hypertrophy in AAC, white left atrial emptying fraction was impaired in AAC-Kcnk3-mutated rats. AAC-animals (WT and Kcnk3-mutated rats) developed PH secondary to AAC and Kcnk3-mutated rats developed more severe PH than WT. AAC-Kcnk3-mutated rats developed RV and LV fibrosis in association with an increase of Col1a1 mRNA in right ventricle and left ventricle. AAC-Kcnk3-mutated rats developed severe pulmonary vascular (pulmonary artery as welt as pulmonary veins) remodelling with intense pert-vascular and pert-bronchial inflammation, perivascular oedema, alveolar wall thickening, and exaggerated lung vascular cell proliferation compared to AAC-WT-rats. Finally, in lung, right ventricle, left ventricle, and left atrium of AAC-Kcnk3-mutated rats, we found a strong increased expression of Il-6 and periostin expression and a reduction of lung Ctnnd1 mRNA (coding for p120 catenin), contributing to the exaggerated pulmonary and heart remodelling and pulmonary vascular oedema in AAC-Kcnk3-mutated rats. Conclusions Our results indicate that Kcnk3-LOF is a key event in the pathobiology of PH due to AAC, suggesting that Kcnk3 channel dysfunction could play a potential key role in the development of PH due to LHD. [GRAPHICS] .</t>
  </si>
  <si>
    <t>[Lambert, Melanie; Ghigna, Maria-Rosa; LeRibeuz, Helene; Boet, Angele; Capuano, Veronique; Rucker-Martin, Catherine; Humbert, Marc; Perros, Frederic; Montani, David; Antigny, Fabrice] Univ Paris Saclay, Univ Paris Sud, Fac Med, Le Kremlin Bicetre, France; [Lambert, Melanie; Ghigna, Maria-Rosa; LeRibeuz, Helene; Boet, Angele; Capuano, Veronique; Rucker-Martin, Catherine; Humbert, Marc; Perros, Frederic; Montani, David; Antigny, Fabrice] Hop Bicetre, AP HP, Ctr Reference Hypertens Pulmonaire, Serv Pneumol, Le Kremlin Bicetre, France; [Lambert, Melanie; Ghigna, Maria-Rosa; LeRibeuz, Helene; Boet, Angele; Capuano, Veronique; Rucker-Martin, Catherine; Humbert, Marc; Perros, Frederic; Montani, David; Antigny, Fabrice] Hop Marie Lannelongue, Inserm UMR S 999, 133 Ave Resistance, F-92350 Le Plessis Robinson, France; [Mendes-Ferreira, Pedro; Adao, Rui; Bras-Silva, Carmen] Univ Porto, Cardiovasc R&amp;D Ctr, Fac Med, Porto, Portugal; [Mendes-Ferreira, Pedro; Quarck, Rozenn] KU Leuven Univ Leuven, Dept Chron Dis &amp; Metab CHROMETA, Lab Resp Dis &amp; Thorac Surg BREATHE, Leuven, Belgium; [Quarck, Rozenn] Univ Hosp Leuven, Clin Dept Resp Dis, Leuven, Belgium; [Domergue, Valerie] Univ Paris Saclay, Inst Paris Saclay Innovat Therapeut UMS IPSIT, Anim Facil, Chatenay Malabry, France; [Vachiery, Jean-Luc] Clin Univ Bruxelles, Hop Erasme, Dept Cardiol, Brussels, Belgium</t>
  </si>
  <si>
    <t>Universite Paris Saclay; Assistance Publique Hopitaux Paris (APHP); Hopital Universitaire Antoine-Beclere - APHP; Hopital Universitaire Bicetre - APHP; Universite Paris Saclay; Universite Paris Saclay; Hopital Marie Lannelongue; Institut National de la Sante et de la Recherche Medicale (Inserm); Universidade do Porto; KU Leuven; KU Leuven; University Hospital Leuven; Universite Paris Saclay; Universite Libre de Bruxelles</t>
  </si>
  <si>
    <t>Antigny, F (corresponding author), Univ Paris Saclay, Univ Paris Sud, Fac Med, Le Kremlin Bicetre, France.;Antigny, F (corresponding author), Hop Bicetre, AP HP, Ctr Reference Hypertens Pulmonaire, Serv Pneumol, Le Kremlin Bicetre, France.;Antigny, F (corresponding author), Hop Marie Lannelongue, Inserm UMR S 999, 133 Ave Resistance, F-92350 Le Plessis Robinson, France.</t>
  </si>
  <si>
    <t>Adão, Rui/AAQ-1345-2020; Vachiery, Jean-Luc/ABC-6631-2021; Ferreira, Pedro/JXY-5442-2024; David, Montani/I-6885-2019; Antigny, Fabrice/Q-3999-2018; Bras Silva, Carmen/J-3754-2013; Perros, Frederic/N-6921-2017; Quarck, Rozenn/J-8067-2018; Humbert, Marc/AAC-8459-2019</t>
  </si>
  <si>
    <t>Ghigna, Maria Rosa/0000-0001-5996-665X; Antigny, Fabrice/0000-0002-9515-6571; Adao, Rui/0000-0003-2203-436X; Le Ribeuz, Helene/0000-0002-6579-6076; Boet, Angele/0000-0003-1510-3347; Bras Silva, Carmen/0000-0003-1527-3776; Perros, Frederic/0000-0001-7730-2427; Lambert, Melanie/0000-0002-2742-2575; Quarck, Rozenn/0000-0002-8293-6261; Humbert, Marc/0000-0003-0703-2892; Ferreira, Pedro/0000-0003-3616-6785</t>
  </si>
  <si>
    <t>French National Institute for Health and Medical Research (INSERM); Universite Paris-Saclay; Marie Lannelongue Hospital; French National Agency for Research (ANR) [ANR-18-CE14-0023]; Fondation maladies rares; Therapeutic Innovation Doctoral School [ED569]; Portuguese Foundation for Science and Technology [UID/IC/00051/2013, PTDC/MED-FSL/31719/2017, POCI-01-0145-FEDER-031719, POCI-01-0145-FEDER-016385]; Fundação para a Ciência e a Tecnologia [PTDC/MED-FSL/31719/2017] Funding Source: FCT; Agence Nationale de la Recherche (ANR) [ANR-18-CE14-0023] Funding Source: Agence Nationale de la Recherche (ANR)</t>
  </si>
  <si>
    <t>French National Institute for Health and Medical Research (INSERM)(Institut National de la Sante et de la Recherche Medicale (Inserm)); Universite Paris-Saclay; Marie Lannelongue Hospital; French National Agency for Research (ANR)(Agence Nationale de la Recherche (ANR)); Fondation maladies rares; Therapeutic Innovation Doctoral School; Portuguese Foundation for Science and Technology(Fundacao para a Ciencia e a Tecnologia (FCT)); Fundação para a Ciência e a Tecnologia(Fundacao para a Ciencia e a Tecnologia (FCT)); Agence Nationale de la Recherche (ANR)(Agence Nationale de la Recherche (ANR))</t>
  </si>
  <si>
    <t>This study was supported by grants from the French National Institute for Health and Medical Research (INSERM), the Universite ' Paris-Saclay, the Marie Lannelongue Hospital, the French National Agency for Research (ANR) [grant no. ANR-18-CE14-0023 (KAPAH)]. F.P. received funding from Fondation maladies rares in the frame of the `Small animal models and rare diseases' programme to generate the Kcnk3-mutaed rats. M.L. is supported by Therapeutic Innovation Doctoral School (ED569). P.M.-F., R.A., and C.B.S. were funded by Portuguese Foundation for Science and Technology through Grant UID/IC/00051/2013 (COMPETE_2020, POCI) and projects IMPAcT (Ref. PTDC/MED-FSL/31719/2017; POCI-01-0145-FEDER-031719) and NETDIAMOND (Ref. POCI-01-0145-FEDER-016385).</t>
  </si>
  <si>
    <t>10.1093/cvr/cvab016</t>
  </si>
  <si>
    <t>JAN 2021</t>
  </si>
  <si>
    <t>WV8RR</t>
  </si>
  <si>
    <t>WOS:000717498300012</t>
  </si>
  <si>
    <t>Jutant, EM; Tu, L; Humbert, M; Guignabert, C; Huertas, A</t>
  </si>
  <si>
    <t>Jutant, Etienne-Marie; Tu, Ly; Humbert, Marc; Guignabert, Christophe; Huertas, Alice</t>
  </si>
  <si>
    <t>The Thousand Faces of Leptin in the Lung</t>
  </si>
  <si>
    <t>inflammation; leptin; leptin receptor ObR; pulmonary diseases; vascular remodeling</t>
  </si>
  <si>
    <t>PULMONARY ARTERIAL-HYPERTENSION; CELL-MEDIATED-IMMUNITY; PROTECTS MICE; LATE-GESTATION; PLASMA LEPTIN; BODY-WEIGHT; FETAL SHEEP; OBESE; EXPRESSION; RECEPTOR</t>
  </si>
  <si>
    <t>Leptin is a pleotropic hormone known to regulate a wide range of systemic functions, from satiety to inflammation. Increasing evidence has shown that leptin and its receptor (ObR) are not only expressed in adipose tissue but also in several organs, including the lungs. Leptin levels were first believed to be elevated only in the lungs of obese patients, and leptin was suspected to be responsible for obesity-related lung complications. Aside from obesity, leptin displays many faces in the respiratory system, independently of body weight, as this cytokine-like hormone plays important physiological roles, from the embryogenic state to maturation of the lungs and the control of ventilation. The leptin-signaling pathway is also involved in immune modulation and cell proliferation, and its dysregulation can lead to the onset of lung diseases. This review article addresses the thousand faces of leptin and its signaling in the lungs under physiological conditions and in disease.</t>
  </si>
  <si>
    <t>[Jutant, Etienne-Marie; Tu, Ly; Humbert, Marc; Guignabert, Christophe; Huertas, Alice] Univ Paris Saclay, Sch Med, Le Kremlin Bicetre, France; [Jutant, Etienne-Marie; Tu, Ly; Humbert, Marc; Guignabert, Christophe; Huertas, Alice] Hop Marie Lannelongue, Pulm Hypertens Pathophysiol &amp; Novel Therapies, INSERM UMR S 999, Le Plessis Robinson, France; [Jutant, Etienne-Marie; Humbert, Marc; Huertas, Alice] Hop Bicetre, AP HP, Dept Resp &amp; Intens Care Med, Pulm Hypertens Natl Referral Ctr, Le Kremlin Bicetre, France</t>
  </si>
  <si>
    <t>Universite Paris Saclay; Universite Paris Saclay; Institut National de la Sante et de la Recherche Medicale (Inserm); Hopital Marie Lannelongue; Assistance Publique Hopitaux Paris (APHP); Hopital Universitaire Antoine-Beclere - APHP; Universite Paris Saclay; Hopital Universitaire Bicetre - APHP</t>
  </si>
  <si>
    <t>Huertas, A (corresponding author), Hop Marie Lannelongue, INSERM UMR S 999, 133 Ave Resistance, F-92350 Le Plessis Robinson, France.</t>
  </si>
  <si>
    <t>Humbert, Marc/AAC-8459-2019; Huertas, Alice/E-8244-2017; GUIGNABERT, Christophe/G-3873-2013; TU, Ly/G-4035-2013</t>
  </si>
  <si>
    <t>GUIGNABERT, Christophe/0000-0002-8545-4452; Jutant, Etienne-Marie/0000-0002-1374-1890; TU, Ly/0000-0003-2336-5099</t>
  </si>
  <si>
    <t>French National Agency for Research (ANR) [ANR-17-CE140011, ANR-16-CE17-0014]; Aviesan ITMO (Physiopathologie, Metabolisme et Nutrition); French National Institute for Health and Medical Research (Poste d'Accueil INSERM); Agence Nationale de la Recherche (ANR) [ANR-16-CE17-0014] Funding Source: Agence Nationale de la Recherche (ANR)</t>
  </si>
  <si>
    <t>French National Agency for Research (ANR)(Agence Nationale de la Recherche (ANR)); Aviesan ITMO (Physiopathologie, Metabolisme et Nutrition); French National Institute for Health and Medical Research (Poste d'Accueil INSERM); Agence Nationale de la Recherche (ANR)(Agence Nationale de la Recherche (ANR))</t>
  </si>
  <si>
    <t>This research was supported by grants from the French National Agency for Research (ANR) [Grant ANR-17-CE140011 (COVER) and Grant ANR-16-CE17-0014 (TAMIRAH)] and from Aviesan ITMO (Physiopathologie, Metabolisme et Nutrition). E.M. J. is supported by the French National Institute for Health and Medical Research (Poste d'Accueil INSERM).</t>
  </si>
  <si>
    <t>10.1016/j.chest.2020.07.075</t>
  </si>
  <si>
    <t>PR8CL</t>
  </si>
  <si>
    <t>WOS:000607460700053</t>
  </si>
  <si>
    <t>Adir, Y; Humbert, M; Chaouat, A</t>
  </si>
  <si>
    <t>Adir, Yochai; Humbert, Marc; Chaouat, Ari</t>
  </si>
  <si>
    <t>Sleep-related breathing disorders and pulmonary hypertension</t>
  </si>
  <si>
    <t>POSITIVE AIRWAY PRESSURE; SYSTEMIC ARTERIAL-PRESSURE; NOCTURNAL OXYGEN; CHRONIC-BRONCHITIS; RANDOMIZED-TRIAL; APNEA SYNDROME; BLOOD-GASES; TIME-COURSE; HEMODYNAMICS; DESATURATION</t>
  </si>
  <si>
    <t>Sleep-related breathing disorders (SBDs) include obstructive apnoea, central apnoea and sleep-related hypoventilation. These nocturnal events have the potential to increase pulmonary arterial pressure (PAP) during sleep but also in the waking state. Pure obstructive sleep apnoea syndrome (OSAS) is responsible for a small increase in PAP whose clinical impact has not been demonstrated. By contrast, in obesity hypoventilation syndrome (OHS) or overlap syndrome (the association of chronic obstructive pulmonary disease (COPD) with obstructive sleep apnoea (OSA)), nocturnal respiratory events contribute to the development of pulmonary hypertension (PH), which is often severe. In the latter circumstances, treatment of SBDs is essential in order to improve pulmonary haemodynamics. Patients with pulmonary arterial hypertension (PAH) or chronic thromboembolic pulmonary hypertension (CTEPH) are at risk of developing SBDs. Obstructive and central apnoea, as well as a worsening of ventilation-perfusion mismatch, can be observed during sleep. There should be a strong suspicion of SBDs in such a patient population; however, the precise indications for sleep studies and the type of recording remain to be specified. The diagnosis of OSAS in patients with PAH or CTEPH should encourage treatment with continuous positive airway pressure (CPAP). The presence of isolated nocturnal hypoxaemia should also prompt the initiation of long-term oxygen therapy. These treatments are likely to avoid worsening of PH; however, it is prudent not to treat central apnoea and Cheyne Stokes respiration (CSR) with adaptive servo-ventilation in patients with chronic right-heart failure because of a potential risk of serious adverse effects from such treatment. In this review we will consider the current knowledge of the consequences of SBDs on pulmonary haemodynamics in patients with and without chronic respiratory disease (group 3 of the clinical classification of PH) and the effect of treatments of respiratory events during sleep on PH. The prevalence and consequences of SBDs in PAH and MPH (groups I and 4 of the clinical classification of PH, respectively), as well as therapeutic options, will also be discussed.</t>
  </si>
  <si>
    <t>[Adir, Yochai] Lady Davis Carmel Med Ctr, Div Pulm, Haifa, Israel; [Adir, Yochai] Technion Israel Inst Technol, Fac Med, Haifa, Israel; [Humbert, Marc] Univ Paris Saclay, Le Kremlin Bicetre, France; [Humbert, Marc] Hop Marie Lannelongue, INSERM, UMR S 999 Pulm Hypertens Pathophysiol &amp; Novel The, Le Plessis Robinson, France; [Humbert, Marc] Hop Bicetre, Assistance Publ Hop Paris AP HP, Dept Resp &amp; Intens Care Med, Le Kremlin Bicetre, France; [Humbert, Marc] Hop Bicetre, Assistance Publ Hop Paris AP HP, Pulm Hypertens Natl Referral Ctr, Le Kremlin Bicetre, France; [Chaouat, Ari] CHRU Nancy, Dept Pulmonol, Nancy, France; [Chaouat, Ari] CHRU Nancy, Multidisciplinary Sleep Disorders Ctr, Nancy, France; [Chaouat, Ari] Univ Lorraine, INSERM, UMR S 1116 Acute &amp; Chron Cardiovasc Failure, Nancy, France</t>
  </si>
  <si>
    <t>Clalit Health Services; Carmel Medical Center; Technion Israel Institute of Technology; Rappaport Faculty of Medicine; Universite Paris Saclay; Institut National de la Sante et de la Recherche Medicale (Inserm); Hopital Marie Lannelongue; Assistance Publique Hopitaux Paris (APHP); Hopital Universitaire Bicetre - APHP; Universite Paris Saclay; Hopital Universitaire Antoine-Beclere - APHP; Assistance Publique Hopitaux Paris (APHP); Hopital Universitaire Antoine-Beclere - APHP; Universite Paris Saclay; Hopital Universitaire Bicetre - APHP; CHU de Nancy; CHU de Nancy; Institut National de la Sante et de la Recherche Medicale (Inserm); Universite de Lorraine</t>
  </si>
  <si>
    <t>Chaouat, A (corresponding author), CHRU Nancy, Dept Pneumol, Hop Brabois, F-54500 Vandoeuvre Les Nancy, France.</t>
  </si>
  <si>
    <t>Chaouat, Ari/AAP-6784-2021; Humbert, Marc/AAC-8459-2019</t>
  </si>
  <si>
    <t>Humbert, Marc/0000-0003-0703-2892; Chaouat, Ari/0000-0001-6056-202X</t>
  </si>
  <si>
    <t>10.1183/13993003.02258-2020</t>
  </si>
  <si>
    <t>PT1UY</t>
  </si>
  <si>
    <t>WOS:000608406300007</t>
  </si>
  <si>
    <t>Jevnikar, M; Montani, D; Savale, L; Seferian, A; Jutant, EM; Boucly, A; Preda, M; Weatherald, J; Bulifon, S; Parent, F; Brenot, P; Fadel, E; Sitbon, O; Simonneau, G; Humbert, M; Jaïs, X</t>
  </si>
  <si>
    <t>Jevnikar, Mitja; Montani, David; Savale, Laurent; Seferian, Andrei; Jutant, Etienne-Marie; Boucly, Athenais; Preda, Mariana; Weatherald, Jason; Bulifon, Sophie; Parent, Florence; Brenot, Philippe; Fadel, Elie; Sitbon, Olivier; Simonneau, Gerald; Humbert, Marc; Jais, Xavier</t>
  </si>
  <si>
    <t>Chronic thromboembolic pulmonary hypertension and totally implantable central venous access systems</t>
  </si>
  <si>
    <t>RISK-FACTORS; MANAGEMENT</t>
  </si>
  <si>
    <t>[Jevnikar, Mitja; Montani, David; Savale, Laurent; Seferian, Andrei; Jutant, Etienne-Marie; Boucly, Athenais; Preda, Mariana; Bulifon, Sophie; Parent, Florence; Brenot, Philippe; Fadel, Elie; Sitbon, Olivier; Simonneau, Gerald; Humbert, Marc; Jais, Xavier] Univ Paris Saclay, Fac Med, Le Kremlin Bicetre, France; [Jevnikar, Mitja; Montani, David; Savale, Laurent; Seferian, Andrei; Jutant, Etienne-Marie; Boucly, Athenais; Preda, Mariana; Bulifon, Sophie; Parent, Florence; Brenot, Philippe; Fadel, Elie; Sitbon, Olivier; Simonneau, Gerald; Humbert, Marc; Jais, Xavier] Hop Marie Lannelongue, INSERM UMR S 999, Pulm Hypertens Pathophysiol &amp; Novel Therapies, Le Plessis Robinson, France; [Jevnikar, Mitja; Montani, David; Savale, Laurent; Seferian, Andrei; Jutant, Etienne-Marie; Boucly, Athenais; Preda, Mariana; Bulifon, Sophie; Parent, Florence; Sitbon, Olivier; Simonneau, Gerald; Humbert, Marc; Jais, Xavier] Hop Bicetre, AP HP, Dept Resp &amp; Intens Care Med, Pulm Hypertens Natl Referral Ctr, Le Kremlin Bicetre, France; [Weatherald, Jason] Univ Calgary, Div Respirol, Dept Med, Calgary, AB, Canada; [Weatherald, Jason] Libin Cardiovasc Inst, Calgary, AB, Canada; [Brenot, Philippe] Hop Marie Lannelongue, Dept Radiol, Le Plessis Robinson, France; [Fadel, Elie] Hop Marie Lannelongue, Dept Thorac &amp; Vasc Surg &amp; Heart Lung Transplantat, Le Plessis Robinson, France</t>
  </si>
  <si>
    <t>Universite Paris Saclay; Universite Paris Saclay; Hopital Marie Lannelongue; Institut National de la Sante et de la Recherche Medicale (Inserm); Assistance Publique Hopitaux Paris (APHP); Hopital Universitaire Bicetre - APHP; Universite Paris Saclay; Hopital Universitaire Antoine-Beclere - APHP; University of Calgary; Libin Cardiovascular Institute Of Alberta; Hopital Marie Lannelongue; Hopital Marie Lannelongue</t>
  </si>
  <si>
    <t>Jaïs, X (corresponding author), Serv Pneumol, 78 Rue Gen Leclerc, F-94270 Le Kremlin Bicetre, France.</t>
  </si>
  <si>
    <t>xavier.jais@gmail.com</t>
  </si>
  <si>
    <t>Humbert, Marc/AAC-8459-2019; David, Montani/I-6885-2019; Brenot, Philippe/HJB-1040-2022; Savale, Laurent/AAJ-9781-2020</t>
  </si>
  <si>
    <t>JAIS, XAVIER/0000-0002-4104-7994; Savale, Laurent/0000-0002-6862-8975; Montani, David/0000-0002-9358-6922; Boucly, Athenais/0000-0001-6246-5557; Jevnikar, Mitja/0000-0003-0727-6790; Jutant, Etienne-Marie/0000-0002-1374-1890; Weatherald, Jason/0000-0002-0615-4575</t>
  </si>
  <si>
    <t>10.1183/13993003.02208-2020</t>
  </si>
  <si>
    <t>QR6WC</t>
  </si>
  <si>
    <t>WOS:000625355700018</t>
  </si>
  <si>
    <t>Just, J; Thonnelier, C; Bourgoin-Heck, M; Mala, L; Molimard, M; Humbert, M</t>
  </si>
  <si>
    <t>Just, Jocelyne; Thonnelier, Celine; Bourgoin-Heck, Melisande; Mala, Laurence; Molimard, Mathieu; Humbert, Marc</t>
  </si>
  <si>
    <t>STELLAIR Investigators</t>
  </si>
  <si>
    <t>Omalizumab Effectiveness in Severe Allergic Asthma with Multiple Allergic Comorbidities: A Post-Hoc Analysis of the STELLAIR Study</t>
  </si>
  <si>
    <t>JOURNAL OF ASTHMA AND ALLERGY</t>
  </si>
  <si>
    <t>Ig-E; multiple allergic comorbidities; omalizumab; severe allergic asthma</t>
  </si>
  <si>
    <t>ATOPIC-DERMATITIS; THERAPY; PHENOTYPES; EFFICACY; RHINITIS</t>
  </si>
  <si>
    <t>Background: Immunoglobulin (Ig) E-mediated pathophysiological mechanisms are common in allergic diseases including severe allergic asthma (SAA). The anti-IgE monoclonal antibody omalizumab may be particularly beneficial for patients with SAA and multiple allergic comorbidities (AC) including perennial/seasonal rhinitis, conjunctivitis, atopic dermatitis (AD), and food allergy. Methods: We conducted a post-hoc analysis of the patients from the STELLAIR study (n=872, 149 minors and 723 adults). The patients were classified based on the presence of multiple AC (&gt;= 3 AC or &lt;3 AC) or AD as assessed by questionnaire. Response to omalizumab was assessed after 4-6 months (T4-6) and after 12 months (T-12). Asthma response at T4-6 was based on global evaluation of treatment effectiveness, reduction of &gt;= 40% in annual exacerbation rate, and a combination of both. Asthma response at T-12 was based on change in yearly exacerbation and hospitalization rates. AC improvement at T-12 was based on patient perception. Results: Patients with &gt;= 3 AC demonstrated a higher combined response to omalizumab (74.7% vs 58.3%) at T4-6 and had reduced yearly exacerbation and hospitalization rates (88.9% vs 77.4% and -94.0% vs -70.5%, respectively). Patients with &gt;= 3 AC were more likely to show an improvement in their AC (85.3% vs 51.9%) at T-12. Results were similar in minors and adults. The presence of AD was associated with greater omalizumab effectiveness at T4-6 and a greater AC improvement at T-12. Improvement of AD and food allergies at T-12 were 73.2% and 38.7%, respectively, in the population overall. Conclusion: This post-hoc analysis of the STELLAIR study shows that omalizumab is beneficial for all SAA patients and especially for patients with multiple AC or AD. In patients with &gt;= 3 AC, omalizumab also improved AC outcomes.</t>
  </si>
  <si>
    <t>[Just, Jocelyne] Grp Hosp Trousseau La Roche Guyon, Serv Allergol, 26 Ave Dr Arnold Netter, F-75012 Paris, France; [Just, Jocelyne] Univ Paris Sorbonne, Paris, France; [Just, Jocelyne] Ctr Rech Epidemiol &amp; Stat CRESS, UMR 1153, Paris, France; [Thonnelier, Celine; Mala, Laurence] Novartis Pharmaceut, Rueil Malmaison, France; [Bourgoin-Heck, Melisande] Hop Trousseau, Serv Allergol, Paris, France; [Molimard, Mathieu] CHU Bordeaux, Serv Pharmacol Med, Bordeaux, France; [Humbert, Marc] Univ Paris Saclay, Fac Med, Le Kremlin Bicetre, France; [Humbert, Marc] Hop Bicetre, AP HP, Serv Pneumol, Le Kremlin Bicetre, France; [Humbert, Marc] Hop Marie Lannelongue, INSERM UMR S 999, Le Plessis Robinson, France</t>
  </si>
  <si>
    <t>Assistance Publique Hopitaux Paris (APHP); Sorbonne Universite; Hopital Universitaire Armand-Trousseau - APHP; Sorbonne Universite; Universite Paris Cite; Novartis; Assistance Publique Hopitaux Paris (APHP); Sorbonne Universite; Hopital Universitaire Armand-Trousseau - APHP; Universite de Bordeaux; CHU Bordeaux; Universite Paris Saclay; Universite Paris Saclay; Assistance Publique Hopitaux Paris (APHP); Hopital Universitaire Antoine-Beclere - APHP; Hopital Universitaire Bicetre - APHP; Institut National de la Sante et de la Recherche Medicale (Inserm); Hopital Marie Lannelongue; Universite Paris Saclay</t>
  </si>
  <si>
    <t>Just, J (corresponding author), Grp Hosp Trousseau La Roche Guyon, Serv Allergol, 26 Ave Dr Arnold Netter, F-75012 Paris, France.</t>
  </si>
  <si>
    <t>jocelyne.just@aphp.fr</t>
  </si>
  <si>
    <t>bourgoin-heck, melisande/CAG-8613-2022; Humbert, Marc/AAC-8459-2019</t>
  </si>
  <si>
    <t>Bourgoin-Heck, Melisande/0000-0001-6497-4830; just, jocelyne/0000-0002-5646-2429; marchand-adam, sylvain/0000-0002-9522-3738</t>
  </si>
  <si>
    <t>Novartis Pharma.</t>
  </si>
  <si>
    <t>DOVE MEDICAL PRESS LTD</t>
  </si>
  <si>
    <t>ALBANY</t>
  </si>
  <si>
    <t>PO BOX 300-008, ALBANY, AUCKLAND 0752, NEW ZEALAND</t>
  </si>
  <si>
    <t>1178-6965</t>
  </si>
  <si>
    <t>J ASTHMA ALLERGY</t>
  </si>
  <si>
    <t>J. ASTHMA ALLERGY</t>
  </si>
  <si>
    <t>10.2147/JAA.S310888</t>
  </si>
  <si>
    <t>Allergy; Immunology; Respiratory System</t>
  </si>
  <si>
    <t>UY6UU</t>
  </si>
  <si>
    <t>WOS:000701657300002</t>
  </si>
  <si>
    <t>Kolb, M; Chalmers, JD; Humbert, M</t>
  </si>
  <si>
    <t>Kolb, Martin; Chalmers, James D.; Humbert, Marc</t>
  </si>
  <si>
    <t>The evolution of the European Respiratory Journal: weathering the publishing pandemic</t>
  </si>
  <si>
    <t>[Kolb, Martin] McMaster Univ, Dept Resp Med Pathol &amp; Mol Med, 50 Charlton Ave East, Hamilton, ON L8N 4A6, Canada; [Kolb, Martin] St Josephs Healthcare, Firestone Inst Resp Hlth, Hamilton, ON, Canada; [Chalmers, James D.] Univ Dundee, Ninewells Hosp &amp; Med Sch, Div Mol &amp; Clin Med, Dundee, Scotland; [Humbert, Marc] Univ Paris Saclay, Pulm Hypertens Reference Ctr, Hop Bicetre, AP HP,Inserm UMR S999,Dept Pneumol, Le Kremlin Bicetre, France</t>
  </si>
  <si>
    <t>McMaster University; McMaster University; University of Dundee; Universite Paris Saclay; Institut National de la Sante et de la Recherche Medicale (Inserm); Assistance Publique Hopitaux Paris (APHP); Hopital Universitaire Bicetre - APHP</t>
  </si>
  <si>
    <t>Kolb, M (corresponding author), McMaster Univ, Dept Resp Med Pathol &amp; Mol Med, 50 Charlton Ave East, Hamilton, ON L8N 4A6, Canada.;Kolb, M (corresponding author), St Josephs Healthcare, 50 Charlton Ave East, Hamilton, ON L8N 4A6, Canada.</t>
  </si>
  <si>
    <t>kolbm@mcmaster.ca</t>
  </si>
  <si>
    <t>Chalmers, James/JFK-7508-2023; Humbert, Marc/AAC-8459-2019</t>
  </si>
  <si>
    <t>Chalmers, James/0000-0001-5514-7868; Humbert, Marc/0000-0003-0703-2892; Kolb, Martin/0000-0003-3837-1467</t>
  </si>
  <si>
    <t>10.1183/13993003.00084-2021</t>
  </si>
  <si>
    <t>WOS:000625355700031</t>
  </si>
  <si>
    <t>Mumby, S; Perros, F; Hui, C; Xu, BL; Xu, W; Elyasigomari, V; Hautefort, A; Manaud, G; Humbert, M; Chung, KF; Wort, SJ; Adcock, IM</t>
  </si>
  <si>
    <t>Mumby, Sharon; Perros, F.; Hui, C.; Xu, B. L.; Xu, W.; Elyasigomari, V; Hautefort, A.; Manaud, G.; Humbert, M.; Chung, K. F.; Wort, S. J.; Adcock, I. M.</t>
  </si>
  <si>
    <t>Extracellular matrix degradation pathways and fatty acid metabolism regulate distinct pulmonary vascular cell types in pulmonary arterial hypertension</t>
  </si>
  <si>
    <t>endothelial cell dysfunction; pulmonary artery smooth muscle cells; RNA-sequencing</t>
  </si>
  <si>
    <t>Pulmonary arterial hypertension describes a group of diseases characterised by raised pulmonary vascular resistance, resulting from vascular remodelling in the pre-capillary resistance arterioles. Left untreated, patients die from right heart failure. Pulmonary vascular remodelling involves all cell types but to date the precise roles of the different cells is unknown. This study investigated differences in basal gene expression between pulmonary arterial hypertension and controls using both human pulmonary microvascular endothelial cells and human pulmonary artery smooth muscle cells. Human pulmonary microvascular endothelial cells and human pulmonary artery smooth muscle cells from pulmonary arterial hypertension patients and controls were cultured to confluence, harvested and RNA extracted. Whole genome sequencing was performed and after transcript quantification and normalisation, we examined differentially expressed genes and applied gene set enrichment analysis to the differentially expressed genes to identify putative activated pathways. Human pulmonary microvascular endothelial cells displayed 1008 significant (p &lt;= 0.0001) differentially expressed genes in pulmonary arterial hypertension samples compared to controls. In human pulmonary artery smooth muscle cells, there were 229 significant (p &lt;= 0.0001) differentially expressed genes between pulmonary arterial hypertension and controls. Pathway analysis revealed distinctive differences: human pulmonary microvascular endothelial cells display down-regulation of extracellular matrix organisation, collagen formation and biosynthesis, focal- and cell-adhesion molecules suggesting severe endothelial barrier dysfunction and vascular permeability in pulmonary arterial hypertension pathogenesis. In contrast, pathways in human pulmonary artery smooth muscle cells were mainly up-regulated, including those for fatty acid metabolism, biosynthesis of unsaturated fatty acids, cell-cell and adherens junction interactions suggesting a more energy-driven proliferative phenotype. This suggests that the two cell types play different mechanistic roles in pulmonary arterial hypertension pathogenesis and further studies are required to fully elucidate the role each plays and the interactions between these cell types in vascular remodelling in disease progression.</t>
  </si>
  <si>
    <t>[Mumby, Sharon; Chung, K. F.; Wort, S. J.; Adcock, I. M.] Imperial Coll London, NHLI, Resp Sci, London, England; [Perros, F.; Hautefort, A.; Manaud, G.] INSERM &amp; Paris Sud, Lab Excellence Rech Medicament &amp; Innovat Therapeu, UMRS 999, Le Plessis Robinson, France; [Perros, F.] Laval Univ, Ctr Rech Inst Univ Cardiol &amp; Pneumol Quebec, Quebec City, PQ, Canada; [Hui, C.; Xu, B. L.; Xu, W.] Univ Hong Kong, Shenzhen Hosp, Ctr Resp &amp; Crit Care Med, Shenzhen, Peoples R China; [Elyasigomari, V] Imperial Coll London, Data Sci Inst, Dept Comp, London, England; [Humbert, M.] Ctr Reference Hypertens Pulm Severe, Serv Pneumol Reanimat &amp; Resp, Dept Hosp, Univ Thorax Innovat, Le Kremlin Bicetre, France; [Wort, S. J.] Royal Brompton Hosp, Natl Pulm Hypertens Serv, London, England</t>
  </si>
  <si>
    <t>Imperial College London; Institut National de la Sante et de la Recherche Medicale (Inserm); Laval University; University of Hong Kong; Imperial College London; Royal Brompton Hospital</t>
  </si>
  <si>
    <t>Mumby, S (corresponding author), Imperial Coll London, NHLI, Resp Sci, London, England.</t>
  </si>
  <si>
    <t>Adcock, Ian/L-3217-2019; Perros, Frederic/N-6921-2017; Humbert, Marc/AAC-8459-2019</t>
  </si>
  <si>
    <t>Perros, Frederic/0000-0001-7730-2427; Adcock, Ian/0000-0003-2101-8843; Humbert, Marc/0000-0003-0703-2892</t>
  </si>
  <si>
    <t>British Heart Foundation [PG/14/27/30679]; Sanming Project of Medicine in Shenzhen Integrated Airways Disease Research Programme [SZSM201612096]</t>
  </si>
  <si>
    <t>British Heart Foundation(British Heart Foundation); Sanming Project of Medicine in Shenzhen Integrated Airways Disease Research Programme</t>
  </si>
  <si>
    <t>This work was funded by the British Heart Foundation PG/14/27/30679 and the Sanming Project of Medicine in Shenzhen Integrated Airways Disease Research Programme (Grant ID: SZSM201612096).</t>
  </si>
  <si>
    <t>10.1177/2045894021996190</t>
  </si>
  <si>
    <t>QS6UV</t>
  </si>
  <si>
    <t>WOS:000626033800001</t>
  </si>
  <si>
    <t>Remy-Jardin, M; Ryerson, CJ; Schiebler, ML; Leung, ANC; Wild, JM; Hoeper, MM; Alderson, PO; Goodman, LR; Mayo, J; Haramati, LB; Ohno, Y; Thistlethwaite, P; van Beek, EJ; Knight, SL; Lynch, DA; Rubin, GD; Humbert, M</t>
  </si>
  <si>
    <t>Imaging of pulmonary hypertension in adults: a position paper from the Fleischner Society</t>
  </si>
  <si>
    <t>Pulmonary hypertension (PH) is defined by a mean pulmonary artery pressure greater than 20 mmHg and classified into five different groups sharing similar pathophysiologic mechanisms, haemodynamic characteristics, and therapeutic management. Radiologists play a key role in the multidisciplinary assessment and management of PH. A working group was formed from within the Fleischner Society based on expertise in the imaging and/or management of patients with PH, as well as experience with methodologies of systematic reviews. The working group identified key questions focusing on the utility of CT, MRI, and nuclear medicine in the evaluation of PH: a) Is noninvasive imaging capable of identifying PH? b) What is the role of imaging in establishing the cause of PH? c) How does imaging determine the severity and complications of PH? d) How should imaging be used to assess chronic thromboembolic PH before treatment? e) Should imaging be performed after treatment of PH? This systematic review and position paper highlights the key role of imaging in the recognition, work-up, treatment planning, and follow-up of PH.</t>
  </si>
  <si>
    <t>[Remy-Jardin, Martine] Hop Calmette, Dept Thorac Imaging, Blvd Jules Leclercq, Lille, France; [Ryerson, Christopher J.] Univ British Columbia, Dept Med, Vancouver, BC, Canada; [Ryerson, Christopher J.] St Pauls Hosp, Ctr Heart Lung Innovat, Vancouver, BC, Canada; [Schiebler, Mark L.] UW Madison Sch Med &amp; Publ Hlth, Dept Radiol, Madison, WI USA; [Leung, Ann N. C.] Stanford Univ, Dept Radiol, Med Ctr, Stanford, CA 94305 USA; [Wild, James M.] Univ Sheffield, Div Imaging, Dept Infect Immun &amp; Cardiovasc Dis, Sheffield, S Yorkshire, England; [Hoeper, Marius M.] Hannover Med Sch, Dept Resp Med, Hannover, Germany; [Hoeper, Marius M.] German Ctr Lung Res DZL, Hannover, Germany; [Alderson, Philip O.] St Louis Univ, Sch Med, Dept Radiol, St Louis, MO USA; [Goodman, Lawrence R.] Med Coll Wisconsin, Dept Radiol, 8700 W Wisconsin Ave, Milwaukee, WI 53226 USA; [Mayo, John] Vancouver Gen Hosp, Dept Radiol, Vancouver, BC, Canada; [Haramati, Linda B.] Montefiore Med Ctr, Dept Radiol &amp; Med, 111 E 210th St, Bronx, NY 10467 USA; [Haramati, Linda B.] Albert Einstein Coll Med, Bronx, NY 10467 USA; [Ohno, Yoshiharu] Fujita Hlth Univ, Dept Radiol, Sch Med, Toyoake, Aichi, Japan; [Thistlethwaite, Patricia] Univ Calif San Diego, Div Cardiothorac Surg, La Jolla, CA 92093 USA; [van Beek, Edwin J. R.] Univ Edinburgh, Queens Med Res Inst, Edinburgh Imaging, Edinburgh, Midlothian, Scotland; [Knight, Shandra Lee] Natl Jewish Hlth, Dept Lib &amp; Knowledge Serv, Denver, CO USA; [Lynch, David A.] Natl Jewish Hlth, Dept Radiol, Denver, CO USA; [Rubin, Geoffrey D.] Duke Univ, Dept Radiol, Sch Med, Durham, NC 27710 USA; [Humbert, Marc] Uni Paris Saclay, Hop Bicetre, AP HP, Inserm UMR S999,Dept Pneumol,Pulm Hypertens Refer, F-BICETRE Le Kremlin Bicetre, France</t>
  </si>
  <si>
    <t>Universite de Lille; CHU Lille; University of British Columbia; St. Paul's Hospital; University of Wisconsin System; University of Wisconsin Madison; Stanford University; University of Sheffield; Hannover Medical School; Saint Louis University; Medical College of Wisconsin; University of British Columbia; Montefiore Medical Center; Albert Einstein College of Medicine; Montefiore Medical Center; Albert Einstein College of Medicine; Yeshiva University; Fujita Health University; University of California System; University of California San Diego; University of Edinburgh; National Jewish Health; National Jewish Health; Duke University; Assistance Publique Hopitaux Paris (APHP); Hopital Universitaire Bicetre - APHP; Institut National de la Sante et de la Recherche Medicale (Inserm)</t>
  </si>
  <si>
    <t>Remy-Jardin, M (corresponding author), Hop Calmette, Dept Thorac Imaging, Blvd Jules Leclercq, Lille, France.</t>
  </si>
  <si>
    <t>Rubin, Geoffrey/AAB-6765-2020; Ohno, Yoshiharu/AAE-2970-2020; Hoeper, Marius/Z-1546-2019; Humbert, Marc/AAC-8459-2019; Schiebler, Mark/V-5201-2019; Rubin, Geoffrey/O-7317-2018</t>
  </si>
  <si>
    <t>Leung, Ann/0000-0001-7807-2643; Hoeper, Marius/0000-0001-9086-2293; Rubin, Geoffrey/0000-0002-3820-2500; Haramati, Linda/0000-0003-0365-7422</t>
  </si>
  <si>
    <t>Investissement d'Avenir program [ANR-18-RHUS-0006]; Agence Nationale de la Recherche (ANR) [ANR-18-RHUS-0006] Funding Source: Agence Nationale de la Recherche (ANR); MRC [G0701127, MR/M008894/1] Funding Source: UKRI</t>
  </si>
  <si>
    <t>Investissement d'Avenir program(Agence Nationale de la Recherche (ANR)Agence nationale pour le developpement de la recherche en sante (ANDRS)); Agence Nationale de la Recherche (ANR); MRC(UK Research &amp; Innovation (UKRI)Medical Research Council UK (MRC))</t>
  </si>
  <si>
    <t>M. Humbert is supported by the Investissement d'Avenir program managed by the French National Research Agency under the grant contract ANR-18-RHUS-0006 (DESTINATION 2024).</t>
  </si>
  <si>
    <t>10.1183/13993003.04455-2020</t>
  </si>
  <si>
    <t>WOS:000608406300006</t>
  </si>
  <si>
    <t>Chauvelot, L; Gamondes, D; Berthiller, J; Nieves, A; Renard, S; Catella-Chatron, J; Ahmad, K; Bertoletti, L; Camara, B; Gomez, E; Launay, D; Montani, D; Mornex, JF; Prévot, G; Sanchez, O; Schott, AM; Subtil, F; Traclet, J; Turquier, S; Zeghmar, S; Habib, G; Reynaud-Gaubert, M; Humbert, M; Cottin, V</t>
  </si>
  <si>
    <t>Chauvelot, Louis; Gamondes, Delphine; Berthiller, Julien; Nieves, Ana; Renard, Sebastien; Catella-Chatron, Judith; Ahmad, Kais; Bertoletti, Laurent; Camara, Boubou; Gomez, Emmanuel; Launay, David; Montani, David; Mornex, Jean-Francois; Prevot, Gregoire; Sanchez, Olivier; Schott, Anne-Marie; Subtil, Fabien; Traclet, Julie; Turquier, Segolene; Zeghmar, Sabrina; Habib, Gilbert; Reynaud-Gaubert, Martine; Humbert, Marc; Cottin, Vincent</t>
  </si>
  <si>
    <t>French Network Pulm Arterial Hyper; French Network Rare Pulm Dis Orpha</t>
  </si>
  <si>
    <t>Hemodynamic Response to Treatment and Outcomes in Pulmonary Hypertension Associated With Interstitial Lung Disease Versus Pulmonary Arterial Hypertension in Systemic Sclerosis: Data From a Study Identifying Prognostic Factors in Pulmonary Hypertension Associated With Interstitial Lung Disease</t>
  </si>
  <si>
    <t>PREDICTING MORTALITY; WALK TEST; SURVIVAL; IMPACT; THERAPY; PAH</t>
  </si>
  <si>
    <t>Objective Patients with systemic sclerosis and both pulmonary hypertension and interstitial lung disease (SSc-PH-ILD) generally carry a worse prognosis than patients with SSc and pulmonary arterial hypertension (SSc-PAH) without ILD. There is no evidence of the efficacy of PAH therapies in SSc-PH-ILD. We undertook this study to compare survival of and response to treatment in patients with SSc-PH-ILD and those with SSc-PAH. Methods We analyzed 128 patients (66 with SSc-PH-ILD and 62 with SSc-PAH) from 15 centers, in whom PH was diagnosed by right-sided heart catheterization; they were prospectively included in the PH registry. All patients received PAH-specific therapy. Computed tomography of the chest was used to confirm or exclude ILD. Results At baseline, patients with SSc-PH-ILD had less severe hemodynamic impairment than those with SSc-PAH (pulmonary vascular resistance 5.7 Wood units versus 8.7 Wood units; P = 0.0005) and lower diffusing capacity for carbon monoxide (median 25% [interquartile range (IQR) 18%, 35%] versus 40% [IQR 31%, 51%]; P = 0.0005). Additionally, patients with SSc-PH-ILD had increased mortality (8.1% at 1 year, 21.2% at 2 years, and 41.5% at 3 years) compared to those with SSc-PAH (4.1%, 8.7%, and 21.4%, respectively; P = 0.04). Upon treatment with PAH-targeted therapy, no improvement in the 6-minute walk distance was observed in either group. Improvement in the World Health Organization functional class was observed less frequently in patients with SSc-ILD-PH compared to those with SSc-PAH (13.6% versus 33.3%; P = 0.02). Hemodynamics improved similarly in both groups. Conclusion ILD confers a worse prognosis to SSc-PH. Response to PAH-specific therapy is clinically poor in SSc-PH-ILD but was not found to be hemodynamically different from the response observed in SSc-PAH.</t>
  </si>
  <si>
    <t>[Chauvelot, Louis; Ahmad, Kais; Mornex, Jean-Francois; Traclet, Julie; Turquier, Segolene; Zeghmar, Sabrina; Cottin, Vincent] Univ Claude Bernard Lyon 1, Hop Louis Pradel, Hosp Civils Lyon,UMR 754,INRAE,OrphaLung,RespiFil, Ctr Reference Natl Malad Pulmonaires Rares,Ctr Co, Lyon, France; [Chauvelot, Louis; Ahmad, Kais; Mornex, Jean-Francois; Traclet, Julie; Turquier, Segolene; Zeghmar, Sabrina; Cottin, Vincent] ERN Lung, Lyon, France; [Gamondes, Delphine; Subtil, Fabien] Hosp Civils Lyon, Lyon, France; [Gamondes, Delphine] Hop Louis Pradel, Lyon, France; [Berthiller, Julien] Univ Claude Bernard Lyon 1, Hosp Civils Lyon, Lyon, France; [Berthiller, Julien] Hlth Serv &amp; Performance Res HESPER EA7425, Lyon, France; [Nieves, Ana; Schott, Anne-Marie; Reynaud-Gaubert, Martine] Hop Nord Marseille, AP HM, Ctr Competences Malad Pulmonaires Rares, Marseille, France; [Renard, Sebastien; Habib, Gilbert] Hop La Timone, AP HM, Marseille, France; [Catella-Chatron, Judith; Bertoletti, Laurent] INSERM U1059, St Etienne, France; [Catella-Chatron, Judith; Bertoletti, Laurent] CHU St Etienne, St Etienne, France; [Camara, Boubou] Clin Univ Pneumol, Grenoble, France; [Camara, Boubou] CHU Grenoble Alpes, Grenoble, France; [Gomez, Emmanuel] CHRU Nancy, Vandoeuvre Les Nancy, France; [Launay, David] Univ Lille, CHU Lille, Lille, France; [Launay, David] Ctr Reference Malad Syst &amp; Autoimmunes Rares, Lille, France; [Montani, David; Humbert, Marc] Hop Bicetre, AP HP, Ctr Reference Hypertens Pulmonaire, INSERM U999, Paris, France; [Montani, David; Humbert, Marc] Univ Paris Saclay, Paris, France; [Prevot, Gregoire] CHU Toulouse, Ctr Competences Malad Pulmonaires Rares, Toulouse, France; [Prevot, Gregoire] Hop Larrey, Toulouse, France; [Sanchez, Olivier] Univ Paris 05, AP HP, Hop Europeen Georges Pompidou, Ctr Competences Malad Pulmonaires Rares,INSERM U1, Paris, France; [Subtil, Fabien] Univ Lyon, Univ Claude Bernard Lyon 1, CNRS, UMR 5558, Villeurbanne, France</t>
  </si>
  <si>
    <t>Universite Claude Bernard Lyon 1; INRAE; CHU Lyon; CHU Lyon; CHU Lyon; CHU Lyon; Universite Claude Bernard Lyon 1; Aix-Marseille Universite; Assistance Publique-Hopitaux de Marseille; Aix-Marseille Universite; Assistance Publique-Hopitaux de Marseille; Institut National de la Sante et de la Recherche Medicale (Inserm); CHU de St Etienne; CHU Grenoble Alpes; CHU Grenoble Alpes; CHU de Nancy; Universite de Lille; CHU Lille; Institut National de la Sante et de la Recherche Medicale (Inserm); Universite Paris Saclay; Assistance Publique Hopitaux Paris (APHP); Hopital Universitaire Bicetre - APHP; Universite Paris Saclay; Universite de Toulouse; Universite Toulouse III - Paul Sabatier; CHU de Toulouse; CHU de Toulouse; Universite Paris Cite; Assistance Publique Hopitaux Paris (APHP); Hopital Universitaire Europeen Georges-Pompidou - APHP; Institut National de la Sante et de la Recherche Medicale (Inserm); Centre National de la Recherche Scientifique (CNRS); CNRS - Institute of Ecology &amp; Environment (INEE); VetAgro Sup; Universite Claude Bernard Lyon 1</t>
  </si>
  <si>
    <t>Cottin, V (corresponding author), Hop Louis Pradel, Ctr Reference Natl Malad Pulmonaires Rares, Serv Pneumol, 28 Ave Doyen Lepine, F-69677 Lyon, France.</t>
  </si>
  <si>
    <t>Sanchez-Ramon, Silvia/AAZ-7670-2020; David, Montani/I-6885-2019; Launay, David/JDM-2536-2023; Bertoletti, Laurent/X-1319-2019; Humbert, Marc/AAC-8459-2019; Schott, Anne-Marie/V-7580-2018; Launay, David/H-1674-2016</t>
  </si>
  <si>
    <t>Launay, David/0000-0003-1840-1817; Montani, David/0000-0002-9358-6922; BERTOLETTI, Laurent/0000-0001-8214-3010</t>
  </si>
  <si>
    <t>Programme Hospitalier de Recherche Clinique [27]</t>
  </si>
  <si>
    <t>Programme Hospitalier de Recherche Clinique</t>
  </si>
  <si>
    <t>The authors thank Prof. Olivier Sitbon (Paris) and Ms Laurence Rottat for extraction of data from the French PAH registry, and Ms Stephanie Polazzi for managing the database of the HYPID and HYPID-2. The HYPID and HYPID-2 studies were funded by Programme Hospitalier de Recherche Clinique number 27.</t>
  </si>
  <si>
    <t>10.1002/art.41512</t>
  </si>
  <si>
    <t>DEC 2020</t>
  </si>
  <si>
    <t>PY6HG</t>
  </si>
  <si>
    <t>WOS:000603315700001</t>
  </si>
  <si>
    <t>Borie, R; Savale, L; Dossier, A; Ghosn, J; Taillé, C; Visseaux, B; Jebreen, K; Diallo, A; Tesmoingt, C; Morer, L; Goletto, T; Faucher, N; Hajouji, L; Neukirch, C; Phillips, M; Stelianides, S; Bouadma, L; Brosseau, S; Ottaviani, S; Pluvy, J; Le Pluart, D; Debray, MP; Raynaud-Simon, A; Descamps, D; Khalil, A; Timsit, JF; Lescure, FX; Descamps, V; Papo, T; Humbert, M; Crestani, B; Dieude, P; Vicaut, E; Zalcman, G</t>
  </si>
  <si>
    <t>Borie, Raphael; Savale, Laurent; Dossier, Antoine; Ghosn, Jade; Taille, Camille; Visseaux, Benoit; Jebreen, Kamel; Diallo, Abourahmane; Tesmoingt, Chloe; Morer, Lise; Goletto, Tiphaine; Faucher, Nathalie; Hajouji, Linda; Neukirch, Catherine; Phillips, Mathilde; Stelianides, Sandrine; Bouadma, Lila; Brosseau, Solenn; Ottaviani, Sebastien; Pluvy, Johan; Le Pluart, Diane; Debray, Marie-Pierre; Raynaud-Simon, Agathe; Descamps, Diane; Khalil, Antoine; Timsit, Jean Francois; Lescure, Francois-Xavier; Descamps, Vincent; Papo, Thomas; Humbert, Marc; Crestani, Bruno; Dieude, Philippe; Vicaut, Eric; Zalcman, Gerard</t>
  </si>
  <si>
    <t>Bichat Kremlin-Bicetre AP-HP COVID</t>
  </si>
  <si>
    <t>Glucocorticoids with low-dose anti-IL1 anakinra rescue in severe non-ICU COVID-19 infection: A cohort study</t>
  </si>
  <si>
    <t>PLOS ONE</t>
  </si>
  <si>
    <t>INTERLEUKIN-1; PNEUMONIA; MORTALITY; BLOCKADE; ARDS</t>
  </si>
  <si>
    <t>Background The optimal treatment for patients with severe coronavirus-19 disease (COVID-19) and hyper-inflammation remains debated. Material and methods A cohort study was designed to evaluate whether a therapeutic algorithm using steroids with or without interleukin-1 antagonist (anakinra) could prevent death/invasive ventilation. Patients with a &gt;= 5-day evolution since symptoms onset, with hyper-inflammation (CRP &gt;= 50mg/L), requiring 3-5 L/min oxygen, received methylprednisolone alone. Patients needing &gt;= 6 L/min received methylprednisolone + subcutaneous anakinra daily either frontline or in case clinical deterioration upon corticosteroids alone. Death rate and death or intensive care unit (ICU) invasive ventilation rate at Day 15, with Odds Ratio (OR) and 95% CIs, were determined according to logistic regression and propensity scores. A Bayesian analysis estimated the treatment effects. Results Of 108 consecutive patients, 70 patients received glucocorticoids alone. The control group comprised 63 patients receiving standard of care. In the corticosteroidstanakinra group (n = 108), death rate was 20.4%, versus 30.2% in the controls, indicating a 30% relative decrease in death risk and a number of 10 patients to treat to avoid a death (p = 0.15). Using propensity scores a per-protocol analysis showed an OR for COVID-19-related death of 0.9 (95%CI [0.80-1.01], p = 0.067). On Bayesian analysis, the posterior probability of any mortality benefit with corticosteroids+/-anakinra was 87.5%, with a 7.8% probability of treatment-related harm. Pre-existing diabetes exacerbation occurred in 29 of 108 patients (26.9%). Conclusion In COVID-19 non-ICU inpatients at the cytokine release phase, corticosteroids with or without anakinra were associated with a 30% decrease of death risk on Day 15.</t>
  </si>
  <si>
    <t>[Borie, Raphael; Taille, Camille; Morer, Lise; Goletto, Tiphaine; Hajouji, Linda; Neukirch, Catherine; Phillips, Mathilde; Stelianides, Sandrine; Brosseau, Solenn; Pluvy, Johan; Crestani, Bruno; Zalcman, Gerard] Univ Paris, Univ Hosp Bichat Claude Bernard, Pulmonol &amp; Thorac Oncol Dept, AP HP, Paris, France; [Savale, Laurent; Humbert, Marc] Paris Saclay Univ, Kremlin Bicetre Univ Hosp, Pulmonol Dept, AP HP, Le Kremlin Bicetre, France; [Dossier, Antoine; Papo, Thomas] Univ Paris, Univ Hosp Bichat Claude Bernard, Internal Med Dept, AP HP, Paris, France; [Ghosn, Jade; Le Pluart, Diane; Lescure, Francois-Xavier] Univ Paris, Univ Hosp Bichat Claude Bernard, Infect Dis Dept, AP HP, Paris, France; [Visseaux, Benoit; Descamps, Diane] Univ Paris, Univ Hosp Bichat Claude Bernard, Virol Dept, AP HP, Paris, France; [Jebreen, Kamel; Diallo, Abourahmane; Vicaut, Eric] Univ Paris, Univ Hosp Lariboisiere, Biostat &amp; Clin Res Dept, AP HP, Paris, France; [Tesmoingt, Chloe; Raynaud-Simon, Agathe] Univ Paris, Univ Hosp Bichat Claude Bernard, Pharm Dept, AP HP, Paris, France; [Faucher, Nathalie] Univ Paris, Univ Hosp Bichat Claude Bernard, Geriatr Dept, AP HP, Paris, France; [Bouadma, Lila; Timsit, Jean Francois] Univ Paris, Univ Hosp Bichat Claude Bernard, Intens Care Dept, AP HP,Med &amp; Infect Dis ICU, Paris, France; [Ottaviani, Sebastien; Dieude, Philippe] Univ Paris, Univ Hosp Bichat Claude Bernard, Rheumatol Dept, AP HP, Paris, France; [Debray, Marie-Pierre; Khalil, Antoine] Univ Paris, Univ Hosp Bichat Claude Bernard, Radiol Dept, AP HP, Paris, France; [Descamps, Vincent] Univ Paris, Univ Hosp Bichat Claude Bernard, Dermatol Dept, AP HP, Paris, France</t>
  </si>
  <si>
    <t>Assistance Publique Hopitaux Paris (APHP); Universite Paris Cite; Hopital Universitaire Bichat-Claude Bernard - APHP; Universite Paris Saclay; Assistance Publique Hopitaux Paris (APHP); Hopital Universitaire Bicetre - APHP; Assistance Publique Hopitaux Paris (APHP); Universite Paris Cite; Hopital Universitaire Bichat-Claude Bernard - APHP; Assistance Publique Hopitaux Paris (APHP); Universite Paris Cite; Hopital Universitaire Bichat-Claude Bernard - APHP; Assistance Publique Hopitaux Paris (APHP); Universite Paris Cite; Hopital Universitaire Bichat-Claude Bernard - APHP; Assistance Publique Hopitaux Paris (APHP); Universite Paris Cite; Hopital Universitaire Lariboisiere-Fernand-Widal - APHP; Assistance Publique Hopitaux Paris (APHP); Universite Paris Cite; Hopital Universitaire Bichat-Claude Bernard - APHP; Assistance Publique Hopitaux Paris (APHP); Universite Paris Cite; Hopital Universitaire Bichat-Claude Bernard - APHP; Assistance Publique Hopitaux Paris (APHP); Universite Paris Cite; Hopital Universitaire Bichat-Claude Bernard - APHP; Assistance Publique Hopitaux Paris (APHP); Universite Paris Cite; Hopital Universitaire Bichat-Claude Bernard - APHP; Assistance Publique Hopitaux Paris (APHP); Universite Paris Cite; Hopital Universitaire Bichat-Claude Bernard - APHP; Assistance Publique Hopitaux Paris (APHP); Universite Paris Cite; Hopital Universitaire Bichat-Claude Bernard - APHP</t>
  </si>
  <si>
    <t>Zalcman, G (corresponding author), Univ Paris, Univ Hosp Bichat Claude Bernard, Pulmonol &amp; Thorac Oncol Dept, AP HP, Paris, France.</t>
  </si>
  <si>
    <t>gerard.zalcman@aphp.fr</t>
  </si>
  <si>
    <t>Ottaviani, Stefania/AAD-4644-2022; Ghosn, Jade/KHW-1059-2024; Lescure, Xavier/AAM-5261-2020; Taille, Camille/J-3751-2017; ZALCMAN, Gerard/M-8113-2019; Dossier, Antoine/AGG-9850-2022; Humbert, Marc/AAC-8459-2019; timsit, jean-francois/AAF-4167-2020; Borie, Raphael/J-3583-2017; ZALCMAN, Gerard/L-7809-2015</t>
  </si>
  <si>
    <t>NEUKIRCH, Catherine/0009-0004-2926-8331; Papo, Thomas/0000-0002-7481-5099; Jebreen, Kamel/0000-0003-3933-0579; Visseaux, Benoit/0000-0002-9279-5538; Borie, Raphael/0000-0002-9906-0024; ZALCMAN, Gerard/0000-0002-0343-9575; Taille, Camille/0000-0001-9768-5728</t>
  </si>
  <si>
    <t>PUBLIC LIBRARY SCIENCE</t>
  </si>
  <si>
    <t>SAN FRANCISCO</t>
  </si>
  <si>
    <t>1160 BATTERY STREET, STE 100, SAN FRANCISCO, CA 94111 USA</t>
  </si>
  <si>
    <t>1932-6203</t>
  </si>
  <si>
    <t>PLoS One</t>
  </si>
  <si>
    <t>DEC 16</t>
  </si>
  <si>
    <t>e0243961</t>
  </si>
  <si>
    <t>10.1371/journal.pone.0243961</t>
  </si>
  <si>
    <t>PH1IW</t>
  </si>
  <si>
    <t>WOS:000600176400066</t>
  </si>
  <si>
    <t>Bousquet, J; Cristol, JP; Czarlewski, W; Anto, JM; Martineau, A; Haahtela, T; Fonseca, SC; Iaccarino, G; Blain, H; Fiocchi, A; Canonica, GW; Fonseca, JA; Vidal, A; Choi, HJ; Kim, HJ; Le Moing, V; Reynes, J; Sheikh, A; Akdis, CA; Zuberbier, T; Latiff, AHA; Abdullah, B; Aberer, W; Abusada, N; Adcock, I; Afani, A; Agache, I; Aggelidis, X; Agustin, J; Akdis, M; Al-Ahmad, M; Bassam, AAZ; Alburdan, H; Aldrey-Palacios, O; Cuesta, EA; Salman, HA; Alzaabi, A; Amade, S; Ambrocio, G; Angles, R; Annesi-Maesano, I; Ansotegui, IJ; Bardajo, PA; Arasi, S; Arrais, M; Arshad, H; Artesani, MC; Asayag, E; Avolio, F; Azhari, K; Bachert, C; Bagnasco, D; Baiardini, I; Bajrovic, N; Bakakos, P; Mongono, SB; Balotro-Torres, C; Barba, S; Barbara, C; Barbosa, E; Barreto, B; Bartra, J; Basagana, X; Bateman, ED; Battur, L; Bedbrook, A; Barajas, MB; Beghé, B; Bekere, A; Bel, E; Ben Kheder, A; Benson, M; Berghea, EC; Bergmann, KC; Bernardini, R; Bernstein, D; Bewick, M; Bialek, S; Bialoszewski, A; Bieber, T; Billo, NE; Bilo, MB; Bindslev-Jensen, C; Bjermer, L; Blain, H; Bobolea, I; Marciniak, MB; Bond, C; Boner, A; Bonini, M; Bonini, S; Bosnic-Anticevich, S; Bosse, I; Botskariova, S; Bouchard, J; Boulet, LP; Bourret, R; Bousquet, P; Braido, F; Briggs, A; Brightling, CE; Brozek, J; Brussino, L; Buhl, R; Bumbacea, R; Buquicchio, R; Cabañas, MTB; Bush, A; Busse, WW; Buters, J; Caballero-Fonseca, F; Calderon, MA; Calvo, M; Camargos, P; Camuzat, T; Canevari, FR; Cano, A; Canonica, GW; Capriles-Hulett, A; Caraballo, L; Cardona, V; Carlsen, KH; Pirez, JC; Caro, J; Carr, W; Carreiro-Martins, P; Carreon-Asuncion, F; Carriazo, AM; Ribas, CCY; Casale, T; Castor, MA; Castro, E; Caviglia, AG; Cecchi, L; Sarabia, AC; Chalubinski, M; Chandrasekharan, R; Chang, YS; Chato-Andeza, V; Chatzi, L; Chatzidaki, C; Chavannes, NH; Loureiro, CC; Garcia, AAC; Chelninska, M; Chen, YZ; Cheng, L; Chinthrajah, S; Chivato, T; Chkhartishvili, E; Christoff, G; Chrystyn, H; Chu, DK; Chua, A; Chuchalin, A; Chung, KF; Ciceran, A; Cingi, C; Ciprandi, G; Cirule, I; Coelho, AC; Compalati, E; Constantinidis, J; de Sousa, JC; Costa, EM; Costa, D; Domínguez, MDC; Coste, A; Cottini, M; Cox, L; Crisci, C; Crivellaro, MA; Cruz, AA; Cullen, J; Custovic, A; Cvetkovski, B; Czarlewski, W; D'Amato, G; da Silva, J; Dahl, R; Dahlen, SE; Daniilidis, V; Nahhas, LD; Darsow, U; Davies, J; de Blay, F; De Feo, G; De Guia, E; Navarrete, JRD; de los Santos, C; Keenoy, ED; De Vries, G; Deleanu, D; Demoly, P; Denburg, J; Devillier, P; Didier, A; Janjic, SD; Dimou, M; Dinh-Xuan, AT; Djukanovic, R; Texeira, MD; Dokic, D; Silva, MGD; Douagui, H; Douladiris, N; Doulaptsi, M; Dray, G; Dubakiene, R; Dupas, E; Durham, S; Duse, M; Dykewicz, M; Ebo, D; Edelbaher, N; Eiwegger, T; Eklund, P; El-Gamal, Y; El-Sayed, ZA; El-Sayed, SS; El-Seify, M; Emuzyte, R; Enecilla, L; Erhola, M; Espinoza, H; Contreras, JGE; Farrell, J; Fernandez, L; Jimenez, PF; Wagner, AF; Fiocchi, A; Fokkens, WJ; Folletti, L; Fonseca, JA; Fontaine, JF; Forastiere, F; Pèrez, JMF; Gaerlan-Resureccion, E; Gaga, M; Romero, JLG; Gamkrelidze, A; Garcia, A; Cobas, CYG; Cruz, MDHG; Ortiz, VG; Gayraud, J; Gelardi, M; Gemicioglu, B; Gennimata, D; Genova, S; Gereda, J; van Wijk, RG; Giuliano, A; Gomez, RM; Ballester, MAG; Diaz, SG; Gotua, M; Grigoreas, C; Grisle, I; Guidacci, M; Guldemond, N; Gutter, Z; Guzman, A; Haahtela, T; Halloum, R; Halpin, D; Hamelmann, E; Hammadi, S; Harvey, R; Heffler, E; Heinrich, J; Hejjaoui, A; Hellquist-Dahl, B; Velazquez, LH; Hew, M; Hossny, E; Howarth, P; Hrubisko, M; Villalobos, YRH; Humbert, M; Husain, S; Hyland, M; Iaccarino, G; Ibrahim, M; Ilina, N; Illario, M; Incorvaia, C; Infantino, A; Irani, C; Ispayeva, Z; Ivancevich, JC; Jares, EE; Jarvis, D; Jassem, E; Jenko, K; Uscanga, RDJ; Johnston, SL; Joos, G; Jost, M; Julge, K; Jung, KS; Just, J; Jutel, M; Kaidashev, I; Kalayci, O; Kalyoncu, F; Kapsali, J; Kardas, P; Karjalainen, J; Kasala, CA; Katotomichelakis, M; Kavaliukaite, L; Bennoor, KS; Keil, T; Keith, P; Khaitov, M; Khaltaev, N; Kim, YY; Kirenga, B; Kleine-Tebbe, J; Klimek, L; Ko, FW; N'Goran, BK; Kompoti, E; Kopac, P; Koppelman, G; Jeverica, AK; Koskinen, S; Kosnik, M; Kostka, T; Kostov, KV; Kowalski, ML; Kralimarkova, T; Vrscaj, KK; Kraxner, H; Kreft, S; Kritikos, V; Kudlay, D; Kuitunen, M; Kull, I; Kuna, P; Kupczyk, M; Kvedariene, V; Kyriakakou, M; Lalek, N; Landi, M; Lane, S; Larenas-Linnemann, DE; Lau, S; Laune, D; Lavrut, J; Le, L; Lenzenhuber, M; Leo, G; Lessa, M; Levin, M; Li, J; Lieberman, P; Liotta, G; Lipworth, B; Liu, XD; Lobo, R; Carlsen, KCL; Lombardi, C; Louis, R; Loukidis, S; Lourenço, O; Pech, JLA; Madjar, B; Maggi, E; Magnan, A; Mahboub, B; Mair, A; van der Zee, AHM; Makela, M; Makris, M; Malling, HJ; Mandajieva, M; Manning, P; Manousakis, M; Maragoudakis, P; Marseglia, G; Marshall, G; Masjedi, MR; Maspero, JF; Campos, JJM; Maurer, M; Mavale-Manuel, S; Meço, C; Melén, E; Melioli, G; Melo-Gomes, E; Meltzer, EO; Menditto, E; Menzies-Gow, A; Merk, H; Michel, JP; Micheli, Y; Miculinic, N; Midao, L; Mihaltan, F; Mikos, N; Milanese, M; Milenkovic, B; Mitsias, D; Moalla, B; Moda, G; Martínez, MDM; Mohammad, Y; Moharra, FM; Moin, M; Molimard, M; Momas, I; Mommers, M; Monaco, A; Montefort, S; Montenegro, LE; Monti, R; Mora, D; Morais-Almeida, M; Mösges, R; Mostafa, BE; Mullol, J; Munter, L; Muraro, A; Murray, R; Musarra, A; Mustakov, T; Naclerio, R; Nadeau, KC; Nadif, R; Nakonechna, A; Namazova-Baranova, L; Navarro-Locsin, G; Neffen, H; Nekam, K; Neou, A; Nettis, E; Neuberger, D; Nicod, L; Nicola, S; Niederberger-Leppin, V; Niedoszytko, M; Nieto, A; Novellino, E; Nunes, E; Nyembue, D; O'Hehir, RE; Odjakova, C; Ohta, K; Okamoto, Y; Okubo, K; Oliver, B; Onorato, GL; Orru, MP; Ouédraogo, S; Ouoba, K; Padilla, FJ; Paggiaro, PL; Pagkalos, A; Pajno, G; Pala, G; Palaniappan, SP; Pali-Schöll, I; Palkonen, S; Palmer, S; Bunu, CP; Panzner, P; Papadopoulos, NG; Papanikolaou, V; Papi, A; Paralchev, B; Paraskevopoulos, G; Park, HS; Passalacqua, G; Patella, V; Pavord, I; Pawankar, R; Pedersen, S; Peleve, S; Pellegino, S; Pereira, A; Pereira, M; Pérez, T; Perna, A; Peroni, D; Pfaar, O; Pham-Thi, N; Pigearias, B; Pin, I; Piskou, K; Pitsios, C; Plavec, D; Poethig, D; Pohl, W; Susic, AP; Popov, TA; Portejoie, F; Potter, P; Poulsen, L; Prados-Torres, A; Prarros, F; Price, D; Prokopakis, E; Puggioni, F; Puig-Domenech, E; Puy, R; Rabe, K; Rabotti, S; Raciborski, F; Ramos, J; Recalcati, C; Recto, MT; Reda, SM; Regateiro, FS; Reider, N; Reitsma, S; Repka-Ramirez, S; Ridolo, E; Rimmer, J; Yeverino, DR; Rizzo, JA; Robalo-Cordeiro, C; Roberts, G; Robles, K; Roche, N; Gonzalez, MR; Zagal, ER; Rolla, G; Rolland, C; Roller-Wirnsberger, R; Rodriguez, MR; Romano, A; Romantowski, J; Rombaux, P; Romualdez, J; Rosado-Pinto, J; Rosario, N; Rosenwasser, L; Rossi, O; Rottem, M; Rouadi, PW; Rovina, N; Sinur, IR; Ruiz, M; Segura, LTR; Ryan, D; Sagara, H; Sakai, D; Sakurai, D; Saleh, W; Salimaki, J; Samitas, K; Samolinski, B; Coronel, MGS; Sanchez-Borges, M; Sanchez-Lopez, J; Sansonna, M; Sarafoleanu, C; Serpa, FS; Sastre, J; Savi, E; Savonyte, A; Sawaf, B; Scadding, GK; Scheire, S; Schmid-Grendelmeier, P; Schuhl, JF; Schunemann, H; Schvalbova, M; Schwarze, J; Scichilone, N; Senna, G; Sepúlveda, C; Serrano, E; Shamai, S; Sheikh, A; Shields, M; Shishkov, V; Siafakas, N; Simeonov, A; Simons, EF; Sisul, JC; Sitkauskiene, B; Skrindo, I; Kosak, TS; Solé, D; Sondermann, M; Sooronbaev, T; Soto-Martinez, M; Soto-Quiros, M; Pinto, BS; Sova, M; Soyka, M; Specjalski, K; Sperl, A; Spranger, O; Stamataki, S; Stefanaki, L; Stellato, C; Stelmach, R; Strandberg, T; Stute, P; Subramaniam, A; Ulrik, CS; Sutherland, M; Sylvestre, S; Syrigou, A; Barata, LT; Takovska, N; Tan, RC; Tan, FC; Tan, VC; Tang, IP; Taniguchi, M; Tannert, L; Tantilipikorn, P; Tattersall, J; Tesi, F; Thieme, U; Thijs, C; Thomas, M; To, T; Todo-Bom, AM; Togias, A; Tomazic, PV; Tomic-Spiric, V; Toppila-Salmi, S; Jaen, MJT; Toskala, E; Triggiani, M; Triller, N; Triller, K; Tsiligianni, I; Uberti, M; Ulmeanu, R; Urbancic, J; Pereira, MU; Vachova, M; Valdés, F; Valenta, R; Rostan, MV; Valero, A; Valiulis, A; Vallianatou, M; Valovirta, E; Van Eerd, M; Van Ganse, E; van Hage, M; Vandenplas, O; Vasankari, T; Vassileva, D; Munoz, CV; Ventura, MT; Vera-Munoz, C; Viart, F; Vicheva, D; Vichyanond, P; Vidgren, P; Viegi, G; Vogelmeier, C; Von Hertzen, L; Vontetsianos, T; Vourdas, D; Quan, VTT; Wagenmann, M; Walker, S; Wallace, D; De Wang, Y; Waserman, S; Wehner, K; Wickman, M; Williams, S; Williams, D; Wilson, N; Wong, G; Woo, K; Wozniak, L; Wright, J; Wroczynski, P; Xepapadaki, P; Yakovliev, P; Yamaguchi, M; Yan, K; Yap, YY; Yassin, M; Yawn, B; Yiallouros, P; Yorgancioglu, A; Yoshihara, S; Young, I; Yusuf, OB; Zaidi, A; Zaitoun, F; Zalud, P; Zar, H; Zedda, MT; Zernotti, ME; Zhang, L; Zhong, NN; Zidarn, M; Zuberbier, T; Zubrinich, C</t>
  </si>
  <si>
    <t>Bousquet, Jean; Cristol, Jean-Paul; Czarlewski, Wienczyslawa; Anto, Josep M.; Martineau, Adrian; Haahtela, Tari; Fonseca, Susana C.; Iaccarino, Guido; Blain, Hubert; Fiocchi, Alessandro; Canonica, G. Walter; Fonseca, Joao A.; Vidal, Alain; Choi, Hak-Jong; Kim, Hyun Ju; Le Moing, Vincent; Reynes, Jacques; Sheikh, Aziz; Akdis, Cezmi A.; Zuberbier, Torsten; Abdul Latiff, Amir Hamzah; Abdullah, Baharudin; Aberer, Werner; Abusada, Nancy; Adcock, Ian; Afani, Alejandro; Agache, Ioana; Aggelidis, Xenofon; Agustin, Jenifer; Akdis, Mubeccel; Al-Ahmad, Mona; Al-Zahab Bassam, Abou; Alburdan, Hussam; Aldrey-Palacios, Oscar; Alvarez Cuesta, Emilio; Alwan Salman, Hiba; Alzaabi, Ashraf; Amade, Salma; Ambrocio, Gene; Angles, Rosana; Annesi-Maesano, Isabella; Ansotegui, Ignacio J.; Ara Bardajo, Paula; Arasi, Stefania; Arrais, Margarete; Arshad, Hasan; Artesani, Maria-Cristina; Asayag, Estrella; Avolio, Francesca; Azhari, Khuzama; Bachert, Claus; Bagnasco, Diego; Baiardini, Ilaria; Bajrovic, Nissera; Bakakos, Petros; Bakeyala Mongono, Sergio; Balotro-Torres, Christine; Barba, Sergio; Barbara, Cristina; Barbosa, Elsa; Barreto, Bruno; Bartra, Joan; Basagana, Xavier; Bateman, Eric D.; Battur, Lkhagvaa; Bedbrook, Anna; Bedolla Barajas, Martin; Beghe, Bianca; Bekere, Antra; Bel, Elizabeth; Ben Kheder, Ali; Benson, Mikael; Berghea, Elena-Camelia; Bergmann, Karl-Christian; Bernardini, Roberto; Bernstein, David; Bewick, Mike; Bialek, Slawomir; Bialoszewski, Artur; Bieber, Thomas; Billo, Nils E.; Bilo, Maria-Beatrice; Bindslev-Jensen, Carsten; Bjermer, Leif; Blain, Hubert; Bobolea, Irina; Bochenska Marciniak, Malgorzata; Bond, Christine; Boner, Attilio; Bonini, Matteo; Bonini, Sergio; Bosnic-Anticevich, Sinthia; Bosse, Isabelle; Botskariova, Sofia; Bouchard, Jacques; Boulet, Louis-Philippe; Bourret, Rodolphe; Bousquet, Philippe; Braido, Fulvio; Briggs, Andrew; Brightling, Christopher E.; Brozek, Jan; Brussino, Luisa; Buhl, Roland; Bumbacea, Roxana; Buquicchio, Rosalva; Burguete Cabanas, Maria-Teresa; Bush, Andrew; Busse, William W.; Buters, Jeroen; Caballero-Fonseca, Fernan; Calderon, Moises A.; Calvo, Mario; Camargos, Paulo; Camuzat, Thierry; Canevari, F. R.; Cano, Antonio; Canonica, G. Walter; Capriles-Hulett, Arnaldo; Caraballo, Luis; Cardona, Vicky; Carlsen, Kai-Hakon; Carmona Pirez, Jonas; Caro, Jorge; Carr, Warner; Carreiro-Martins, Pedro; Carreon-Asuncion, Fredelita; Carriazo, Ana-Maria; Carrion y Ribas, Carme; Casale, Thomas; Castor, Mary-Ann; Castro, Elizabeth; Caviglia, A. G.; Cecchi, Lorenzo; Cepeda Sarabia, Alfonso; Chalubinski, Maciej; Chandrasekharan, Ramanathan; Chang, Yoon-Seok; Chato-Andeza, Victoria; Chatzi, Lida; Chatzidaki, Christina; Chavannes, Niels H.; Chaves Loureiro, Claudia; Chavez Garcia, Aurora-Alejandra; Chelninska, Marta; Chen, Yuzhi; Cheng, Lei; Chinthrajah, Sharon; Chivato, Tomas; Chkhartishvili, Ekaterine; Christoff, George; Chrystyn, Henry; Chu, Derek K.; Chua, Antonio; Chuchalin, Alexander; Chung, Kian Fan; Ciceran, Alberto; Cingi, Cemal; Ciprandi, Giorgio; Cirule, Ieva; Coelho, Ana-Carla; Compalati, Enrico; Constantinidis, Jannis; Correia de Sousa, Jaime; Costa, Elisio Manuel; Costa, David; del Carmen Costa Dominguez, Maria; Coste, Andre; Cottini, M.; Cox, Linda; Crisci, Carlos; Crivellaro, Maria Angiola; Cruz, Alvaro A.; Cullen, John; Custovic, Adnan; Cvetkovski, Biljana; Czarlewski, Wienczyslawa; D'Amato, Gennaro; da Silva, Jane; Dahl, Ronald; Dahlen, Sven-Erik; Daniilidis, Vasilis; Darjazini Nahhas, Louei; Darsow, Ulf; Davies, Janet; de Blay, Frederic; De Feo, Giulia; De Guia, Eloisa; de la Torre Navarrete, Jose-Ricardo; de los Santos, Chato; De Manuel Keenoy, Esteban; De Vries, Govert; Deleanu, Diana; Demoly, Pascal; Denburg, Judah; Devillier, Philippe; Didier, Alain; Dimic Janjic, Sanja; Dimou, Maria; Dinh-Xuan, Anh Tuan; Djukanovic, Ratko; Do Ceu Texeira, Maria; Dokic, Dejan; Dominguez Silva, Margarita Gabriela; Douagui, Habib; Douladiris, Nikolaos; Doulaptsi, Maria; Dray, Gerard; Dubakiene, Ruta; Dupas, Eve; Durham, Stephen; Duse, Marzia; Dykewicz, Mark; Ebo, Didier; Edelbaher, Natalija; Eiwegger, Thomas; Eklund, Patrik; El-Gamal, Yehia; El-Sayed, Zeinab A.; El-Sayed, Shereen S.; El-Seify, Magda; Emuzyte, Regina; Enecilla, Lourdes; Erhola, Marina; Espinoza, Heidilita; Espinoza Contreras, Jesus Guillermo; Farrell, John; Fernandez, Lenora; Fimbres Jimenez, Paola; Fink Wagner, Antje; Fiocchi, Alessandro; Fokkens, Wytske J.; Folletti, Lenia; Fonseca, Joao A.; Fontaine, Jean-Francois; Forastiere, Francesco; Fuentes Perez, Jose Miguel; Gaerlan-Resureccion, Emily; Gaga, Mina; Galvez Romero, Jose Luis; Gamkrelidze, Amiran; Garcia, Alexis; Garcia Cobas, Cecilia Yvonne; de la Luz Hortensia Garcia Cruz, Maria; Ortiz, Valeria Garcia; Gayraud, Jacques; Gelardi, Matteo; Gemicioglu, Bilun; Gennimata, Dimitra; Genova, Sonya; Gereda, Jose; Gerth van Wijk, Roy; Giuliano, Antonio; Gomez, Rene-Maximiliano; Gonzalez Ballester, Miguel-Ange; Gonzalez Diaz, Sandra; Gotua, Maia; Grigoreas, Christos; Grisle, Ineta; Guidacci, Marta; Guldemond, Nick; Gutter, Zdenek; Guzman, Antonieta; Haahtela, Tari; Halloum, Ramsa; Halpin, David; Hamelmann, Eckard; Hammadi, Suleiman; Harvey, Richard; Heffler, Enrico; Heinrich, Joachim; Hejjaoui, Adnan; Hellquist-Dahl, Birthe; Hernandez Velazquez, Luiana; Hew, Mark; Hossny, Elham; Howarth, Peter; Hrubisko, Martin; Huerta Villalobos, Yunuen Rocio; Humbert, Marc; Husain, Salina; Hyland, Michael; Iaccarino, Guido; Ibrahim, Moustafa; Ilina, Nataliya; Illario, Maddalena; Incorvaia, Cristoforo; Infantino, Antonio; Irani, Carla; Ispayeva, Zhanat; Ivancevich, Juan Carlos; Jares, Edgardo E. J.; Jarvis, Deborah; Jassem, Ewa; Jenko, Klemen; Jimeneracruz Uscanga, Ruben Dario; Johnston, Sebastian L.; Joos, Guy; Jost, Maja; Julge, Kaja; Jung, Ki-Suck; Just, Jocelyne; Jutel, Marek; Kaidashev, Igor; Kalayci, Omer; Kalyoncu, Fuat; Kapsali, Jeni; Kardas, Przemyslaw; Karjalainen, Jussi; Kasala, Carmela A.; Katotomichelakis, Michael; Kavaliukaite, Loreta; Bennoor, Kazi S.; Keil, Thomas; Keith, Paul; Khaitov, Musa; Khaltaev, Nikolai; Kim, You-Young; Kirenga, Bruce; Kleine-Tebbe, Jorg; Klimek, Ludger; Ko, Fanny W.; Koffi N'Goran, Bernard; Kompoti, Evangelia; Kopac, Peter; Koppelman, Gerard; Koren Jeverica, Anja; Koskinen, Seppo; Kosnik, Mitja; Kostka, Tomasz; Kostov, Kosta V.; Kowalski, Marek L.; Kralimarkova, Tanya; Kramer Vrscaj, Karmen; Kraxner, Helga; Kreft, Samo; Kritikos, Vicky; Kudlay, Dmitry; Kuitunen, Mikael; Kull, Inger; Kuna, Piotr; Kupczyk, Maciej; Kvedariene, Violeta; Kyriakakou, Marialena; Lalek, Nika; Landi, Massimo; Lane, Stephen; Larenas-Linnemann, Desiree E.; Lau, Susanne; Laune, Daniel; Lavrut, Jorge; Le, Lan; Lenzenhuber, Martina; Leo, Gualtiero; Lessa, Marcus; Levin, Michael; Li, Jing; Lieberman, Philip; Liotta, Giuseppe; Lipworth, Brian; Liu, Xuandao; Lobo, Rommel; Lodrup Carlsen, Karin C.; Lombardi, Carlo; Louis, Renaud; Loukidis, Stelios; Lourenco, Olga; Luna Pech, Jorge A.; Madjar, Bojan; Maggi, Enrico; Magnan, Antoine; Mahboub, Bassam; Mair, Alpana; Maitland van der Zee, Anke-Hilse; Makela, Mika; Makris, Michael; Malling, Hans-Jorgen; Mandajieva, Mariana; Manning, Patrick; Manousakis, Manolis; Maragoudakis, Pavlos; Marseglia, Gianluigi; Marshall, Gailen; Masjedi, Mohammad Reza; Maspero, Jorge F.; Matta Campos, Juan Jose; Maurer, Marcus; Mavale-Manuel, Sandra; Meco, Cem; Melen, Erik; Melioli, Giovanni; Melo-Gomes, Elisabete; Meltzer, Eli O.; Menditto, Enrica; Menzies-Gow, Andrew; Merk, Hans; Michel, Jean-Pierre; Micheli, Yann; Miculinic, Neven; Midao, Luis; Mihaltan, Florin; Mikos, Nikolaos; Milanese, Manlio; Milenkovic, Branislava; Mitsias, Dimitrios; Moalla, Bassem; Moda, Giuliana; Mogica Martinez, Maria Dolores; Mohammad, Yousser; Moharra, Frances-Montserrat; Moin, Mostafa; Molimard, Mathieu; Momas, Isabelle; Mommers, Monique; Monaco, Alessandro; Montefort, Stephen; Montenegro, Lucia-Elvira; Monti, Riccardo; Mora, Dory; Morais-Almeida, Mario; Mosges, Ralph; Mostafa, Badr Eldin; Mullol, Joaquim; Munter, Lars; Muraro, Antonella; Murray, Ruth; Musarra, Antonio; Mustakov, Tihomir; Naclerio, Robert; Nadeau, Kari C.; Nadif, Rachel; Nakonechna, Alla; Namazova-Baranova, Leyla; Navarro-Locsin, Gretchen; Neffen, Hugo; Nekam, Kristof; Neou, Angelos; Nettis, Eustachio; Neuberger, Daniel; Nicod, Laurent; Nicola, Stefania; Niederberger-Leppin, Verena; Niedoszytko, Marek; Nieto, Antonio; Novellino, Ettore; Nunes, Elizabete; Nyembue, Dieudonne; O'Hehir, Robyn E.; Odjakova, Cvetanka; Ohta, Ken; Okamoto, Yoshitaka; Okubo, Kimi; Oliver, Brian; Onorato, Gabrielle L.; Orru, Maria Pia; Ouedraogo, Solange; Ouoba, Kampadilemba; Padilla, Francisco-Javier; Paggiaro, Pier Luigi; Pagkalos, Aris; Pajno, Giovanni; Pala, Gianni; Palaniappan, S. P.; Pali-Scholl, Isabella; Palkonen, Susanna; Palmer, Stephen; Panaitescu Bunu, Carmen; Panzner, Petr; Papadopoulos, Nikos G.; Papanikolaou, Vasilis; Papi, Alberto; Paralchev, Bojidar; Paraskevopoulos, Giannis; Park, Hae-Sim; Passalacqua, Giovanni; Patella, Vincenzo; Pavord, Ian; Pawankar, Ruby; Pedersen, Soren; Peleve, Susete; Pellegino, Simona; Pereira, Ana; Pereira, Mariana; Perez, Tamara; Perna, Andrea; Peroni, Diego; Pfaar, Oliver; Pham-Thi, Nhan; Pigearias, Bernard; Pin, Isabelle; Piskou, Konstantina; Pitsios, Constantinos; Plavec, Davor; Poethig, Dagmar; Pohl, Wolfgang; Poplas Susic, Antonija; Popov, Todor A.; Portejoie, Fabienne; Potter, Paul; Poulsen, Lars; Prados-Torres, Alexandra; Prarros, Fotis; Price, David; Prokopakis, Emmanuel; Puggioni, Francesca; Puig-Domenech, Elisa; Puy, Robert; Rabe, Klaus; Rabotti, Silvia; Raciborski, Filip; Ramos, Josephine; Recalcati, Cristina; Recto, Marysia T.; Reda, Shereen M.; Regateiro, Frederico S.; Reider, Norbert; Reitsma, Sietze; Repka-Ramirez, Susana; Ridolo, Erminia; Rimmer, Janet; Rivero Yeverino, Daniela; Rizzo, Jose Angelo; Robalo-Cordeiro, Carlos; Roberts, Graham; Robles, Karen; Roche, Nicolas; Rodriguez Gonzalez, Monica; Rodriguez Zagal, Erendira; Rolla, Giovanni; Rolland, Christine; Roller-Wirnsberger, Regina; Roman Rodriguez, Miguel; Romano, Antonino; Romantowski, Jan; Rombaux, Philippe; Romualdez, Joel; Rosado-Pinto, Jose; Rosario, Nelson; Rosenwasser, Lanny; Rossi, Oliviero; Rottem, Menachem; Rouadi, Philip W.; Rovina, Nikoleta; Rozman Sinur, Irma; Ruiz, Mauricio; Ruiz Segura, Lucy Tania; Ryan, Dermot; Sagara, Hironori; Sakai, Daiki; Sakurai, Daiju; Saleh, Wafaa; Salimaki, Johanna; Samitas, Konstantinos; Samolinski, Boleslaw; Sanchez Coronel, Maria Guadalupe; Sanchez-Borges, Mario; Sanchez-Lopez, Jaime; Sansonna, Melissa; Sarafoleanu, Codrut; Sarquis Serpa, Faradiba; Sastre, Joaquin; Savi, Eleonora; Savonyte, Agne; Sawaf, Bisher; Scadding, Glenis K.; Scheire, Sophie; Schmid-Grendelmeier, Peter; Schuhl, Juan Francisco; Schunemann, Holger; Schvalbova, Maria; Schwarze, Jorgen; Scichilone, Nicola; Senna, Gianenrico; Sepulveda, Cecilia; Serrano, Elie; Shamai, Sara; Sheikh, Aziz; Shields, Mike; Shishkov, Vasil; Siafakas, Nikos; Simeonov, Alexander; Simons, Estelle F. E. R.; Sisul, Juan Carlos; Sitkauskiene, Brigita; Skrindo, Ingelbjorg; Soklic Kosak, Tanja; Sole, Dirceu; Sondermann, Martin; Sooronbaev, Talant; Soto-Martinez, Manuel; Soto-Quiros, Manuel; Pinto, Barnaro Sousa; Sova, Milan; Soyka, Michael; Specjalski, Krzysztof; Sperl, Annette; Spranger, Otto; Stamataki, Sofia; Stefanaki, Lina; Stellato, Cristiana; Stelmach, Rafael; Strandberg, Timo; Stute, Petra; Subramaniam, Abirami; Suppli Ulrik, Charlotte; Sutherland, Michael; Sylvestre, Silvia; Syrigou, Aikaterini; Taborda Barata, Luis; Takovska, Nadejda; Tan, Rachel; Tan, Frances; Tan, Vincent; Tang, Ing Ping; Taniguchi, Masami; Tannert, Line; Tantilipikorn, Pongsakorn; Tattersall, Jessica; Tesi, Filippo; Thieme, Uta; Thijs, Carel; Thomas, Mike; To, Teresa; Todo-Bom, Ana Maria; Togias, Alkis; Tomazic, Peter-Valentin; Tomic-Spiric, Vesna; Toppila-Salmi, Sanna; Torres Jaen, Maria-Jose; Toskala, Elina; Triggiani, Massimo; Triller, Nadja; Triller, Katja; Tsiligianni, Ioanna; Uberti, M.; Ulmeanu, Ruxandra; Urbancic, Jure; Urrutia Pereira, Marilyn; Vachova, Martina; Valdes, Felipe; Valenta, Rudolf; Valentin Rostan, Marylin; Valero, Antonio; Valiulis, Arunas; Vallianatou, Mina; Valovirta, Erkka; Van Eerd, Michiel; Van Ganse, Eric; van Hage, Marianne; Vandenplas, Olivier; Vasankari, Tuula; Vassileva, Dafina; Velasco Munoz, Cesar; Ventura, Maria Teresa; Vera-Munoz, Cecilia; Viart, Frederic; Vicheva, Dilyana; Vichyanond, Pakit; Vidgren, Petra; Viegi, Giovanni; Vogelmeier, Claus; Von Hertzen, Leena; Vontetsianos, Theodoros; Vourdas, Dimitris; Tran Thien Quan, Vu; Wagenmann, Martin; Walker, Samantha; Wallace, Dana; De Wang, Yun; Waserman, Susan; Wehner, Katrin; Wickman, Magnus; Williams, Sian; Williams, Dennis; Wilson, Nicola; Wong, Gary; Woo, Kent; Wozniak, Lucyna; Wright, John; Wroczynski, Piotr; Xepapadaki, Paraskevi; Yakovliev, Plamen; Yamaguchi, Masao; Yan, Kwok; Yap, Yoke Yeow; Yassin, Mais; Yawn, Barbara; Yiallouros, Panayiotis; Yorgancioglu, Arzu; Yoshihara, Shigemi; Young, Ian; Yusuf, Osman B.; Zaidi, Asghar; Zaitoun, Fares; Zalud, Petra; Zar, Heather; Zedda, M. T.; Zernotti, Mario E.; Zhang, Luo; Zhong, Nanshan; Zidarn, Mihaela; Zuberbier, Torsten; Zubrinich, Celia</t>
  </si>
  <si>
    <t>ARIA Grp; the ARIA group</t>
  </si>
  <si>
    <t>Nrf2-interacting nutrients and COVID-19: time for research to develop adaptation strategies</t>
  </si>
  <si>
    <t>CLINICAL AND TRANSLATIONAL ALLERGY</t>
  </si>
  <si>
    <t>COVID-19; Nrf2; Foods; Nutrients; Insulin resistance; Obesity; TRPA1</t>
  </si>
  <si>
    <t>ENDOPLASMIC-RETICULUM STRESS; NF-KAPPA-B; ACUTE LUNG INJURY; RESPIRATORY SYNDROME CORONAVIRUS; MUSCLE-CELL PROLIFERATION; OXIDATIVE STRESS; INSULIN-RESISTANCE; SIGNALING PATHWAY; NRF2 ACTIVATORS; GREEN TEA</t>
  </si>
  <si>
    <t>There are large between- and within-country variations in COVID-19 death rates. Some very low death rate settings such as Eastern Asia, Central Europe, the Balkans and Africa have a common feature of eating large quantities of fermented foods whose intake is associated with the activation of the Nrf2 (Nuclear factor (erythroid-derived 2)-like 2) anti-oxidant transcription factor. There are many Nrf2-interacting nutrients (berberine, curcumin, epigallocatechin gallate, genistein, quercetin, resveratrol, sulforaphane) that all act similarly to reduce insulin resistance, endothelial damage, lung injury and cytokine storm. They also act on the same mechanisms (mTOR: Mammalian target of rapamycin, PPAR gamma:Peroxisome proliferator-activated receptor, NF kappa B: Nuclear factor kappa B, ERK: Extracellular signal-regulated kinases and eIF2 alpha:Elongation initiation factor 2 alpha). They may as a result be important in mitigating the severity of COVID-19, acting through the endoplasmic reticulum stress or ACE-Angiotensin-II-AT(1)R axis (AT(1)R) pathway. Many Nrf2-interacting nutrients are also interacting with TRPA1 and/or TRPV1. Interestingly, geographical areas with very low COVID-19 mortality are those with the lowest prevalence of obesity (Sub-Saharan Africa and Asia). It is tempting to propose that Nrf2-interacting foods and nutrients can re-balance insulin resistance and have a significant effect on COVID-19 severity. It is therefore possible that the intake of these foods may restore an optimal natural balance for the Nrf2 pathway and may be of interest in the mitigation of COVID-19 severity.</t>
  </si>
  <si>
    <t>[Bousquet, Jean; Zuberbier, Torsten; Zuberbier, Torsten; Zubrinich, Celia] Charite, Dept Dermatol &amp; Allergy, Berlin, Germany; [Bousquet, Jean; Zuberbier, Torsten; Zuberbier, Torsten; Zubrinich, Celia] Humboldt Univ, Berlin, Germany; [Bousquet, Jean; Zuberbier, Torsten; Zuberbier, Torsten; Zubrinich, Celia] Berlin Inst Hlth, Berlin, Germany; [Bousquet, Jean; Zuberbier, Torsten; Zuberbier, Torsten; Zubrinich, Celia] Comprehens Allergy Ctr, Berlin, Germany; [Bousquet, Jean] Univ Hosp Montpellier, 273 Ave Occitanie, F-34090 Montpellier, France; [Bousquet, Jean] MACVIA, Montpellier, France; [Cristol, Jean-Paul] Univ Montpellier, Lab Biochim &amp; Hormonol, PhyMedExp, INSERM,CNRS,CHU, Montpellier, France; [Czarlewski, Wienczyslawa; Czarlewski, Wienczyslawa; Zubrinich, Celia] Med Consulting Czarlewski, Levallois Perret, France; [Czarlewski, Wienczyslawa; Czarlewski, Wienczyslawa; Zubrinich, Celia] MASK Air, Montpellier, France; [Anto, Josep M.] Hosp Mar Res Inst, IMIM, Barcelona, Spain; [Anto, Josep M.] Univ Pompeu Fabra, UPF, Barcelona, Spain; [Anto, Josep M.] CIBER Epidmiol &amp; Salud Publ CIBERESP, Barcelona, Spain; [Anto, Josep M.] ISGlobAL, Ctr Res Environm Epidemiol CREAL, Barcelona, Spain; [Martineau, Adrian] Queen Mary Univ London, Inst Population Hlth Sci, Barts &amp; London Sch Med &amp; Dent, London, England; [Haahtela, Tari; Haahtela, Tari; Zubrinich, Celia] Helsinki Univ Hosp, Skin &amp; Allergy Hosp, Helsinki, Finland; [Haahtela, Tari; Haahtela, Tari; Zubrinich, Celia] Univ Helsinki, Helsinki, Finland; [Fonseca, Susana C.] Univ Porto, GreenU Porto Sustainable Agrifood Prod Res Ctr, DGAOT, Fac Sci, Campus Vairao, Vila Do Conde, Portugal; [Iaccarino, Guido; Iaccarino, Guido; Zubrinich, Celia] Univ Naples Federico II, Dept Adv Biomed Sci, Naples, Italy; [Blain, Hubert; Blain, Hubert; Zubrinich, Celia] Montpellier Univ Hosp, Dept Geriatr, Montpellier, France; [Fiocchi, Alessandro; Fiocchi, Alessandro; Zubrinich, Celia] Bambino Gesu Children's Res Hosp Holy See, Dept Pediat Med, Div Allergy, Rome, Italy; [Canonica, G. Walter; Canonica, G. Walter; Zubrinich, Celia] Humanitas Univ &amp; Res Hosp, Personalized Med Asthma &amp; Allergy Clin, IRCCS, Milan, Italy; [Fonseca, Joao A.; Fonseca, Joao A.; Zubrinich, Celia] Univ Porto, Ctr Res Hlth Technol &amp; Informat Syst, CINTESIS, Fac Med, Porto, Portugal; [Vidal, Alain] WBCSD, Geneva, Switzerland; [Vidal, Alain] AgroParisTech, Paris Inst Technol Life Food &amp; Environm Sci, Paris, France; [Choi, Hak-Jong] World Inst Kimchi, Res &amp; Dev Div, Microbiol &amp; Funct Res Grp, Gwangju, South Korea; [Kim, Hyun Ju] World Inst Kimchi, SME Serv Dept, Strategy &amp; Planning Div, Gwangju, South Korea; [Le Moing, Vincent; Reynes, Jacques; Sheikh, Aziz; Zubrinich, Celia] CHU, Malad Infect Trop, Montpellier, France; [Sheikh, Aziz] Univ Edinburgh, Usher Inst Populat Hlth Sci &amp; Informat, Edinburgh, Midlothian, Scotland; [Akdis, Cezmi A.; Zubrinich, Celia] Univ Zurich, Swiss Inst Allergy &amp; Asthma Res SIAF, Davos, Switzerland</t>
  </si>
  <si>
    <t>Berlin Institute of Health; Free University of Berlin; Humboldt University of Berlin; Charite Universitatsmedizin Berlin; Humboldt University of Berlin; Berlin Institute of Health; Universite de Montpellier; CHU de Montpellier; Universite de Montpellier; Universite de Montpellier; CHU de Montpellier; Centre National de la Recherche Scientifique (CNRS); Institut National de la Sante et de la Recherche Medicale (Inserm); Hospital del Mar Research Institute; Hospital del Mar; Pompeu Fabra University; Pompeu Fabra University; Centre de Recerca en Epidemiologia Ambiental (CREAL); ISGlobal; University of London; Queen Mary University London; University of Helsinki; Helsinki University Central Hospital; University of Helsinki; Universidade do Porto; University of Naples Federico II; Universite de Montpellier; CHU de Montpellier; Humanitas University; Universidade do Porto; AgroParisTech; World Institute of Kimchi; World Institute of Kimchi; Universite de Montpellier; CHU de Montpellier; University of Edinburgh; Swiss Institute of Allergy &amp; Asthma Research; University of Zurich</t>
  </si>
  <si>
    <t>Bousquet, J (corresponding author), Charite, Dept Dermatol &amp; Allergy, Berlin, Germany.;Bousquet, J (corresponding author), Humboldt Univ, Berlin, Germany.;Bousquet, J (corresponding author), Berlin Inst Hlth, Berlin, Germany.;Bousquet, J (corresponding author), Comprehens Allergy Ctr, Berlin, Germany.;Bousquet, J (corresponding author), Univ Hosp Montpellier, 273 Ave Occitanie, F-34090 Montpellier, France.;Bousquet, J (corresponding author), MACVIA, Montpellier, France.</t>
  </si>
  <si>
    <t>Yiallouros, Panayiotis/AAF-6026-2019; Cox, Linda/AAP-1697-2021; Bateman, Eric/B-7042-2011; Sousa-Pinto, Bernardo/O-2846-2014; Tsiligianni, Ioanna/IUN-4739-2023; Košnik, Mitja/AAI-2295-2019; Choi, Hak-Jong/I-5640-2019; Bachert, Claus/J-8825-2012; Rosario Filho, Nelson/HSE-9522-2023; Peroni, Diego/K-4002-2018; Soklic, Tanja/ABI-4907-2020; Fonseca, Joao/KHW-7048-2024; Solé, Dirceu/JAO-0340-2023; Kreft, Samo/HNI-2007-2023; Djokic, Dejan/V-9813-2017; Walker, Samantha/B-9740-2013; Triggiani, Massimo/K-8271-2016; meco, cem/JBR-9349-2023; Kudlay, Dmitry/X-1344-2019; Cecchi, Lorenzo/HPF-1970-2023; Katotomichelakis, Michael/AAL-7657-2021; Plavec, Davor/HKM-7822-2023; Shields, Mike/AGG-3437-2022; Coelho, Ana Carla/JJD-5451-2023; Bindslev-Jensen, Carsten/H-1877-2011; Porta, Miquel/B-5787-2008; Barreto, Bruno/T-9252-2019; Jarvis, Deborah/E-6494-2011; Bond, Christine/ABF-5390-2020; Roberts, Gareth/H-4496-2011; stelmach, rafael/AAH-1638-2019; Chung, Kian/B-1872-2012; Kaidashev, Igor/L-2606-2019; Mullol, Joaquim/F-2951-2014; Pérez, José/IUO-1049-2023; Senna, Gianenrico/AAC-6896-2022; Hamelmann, Eckard/AAJ-9124-2021; Valiulis, Arunas/JEZ-2972-2023; Sondermann, Martin/M-7712-2017; El-Sayed, Zeinab/M-4830-2013; Carmona Pirez, Jonas/AAE-8594-2022; Chang, Yoon-Seok/J-5628-2012; Klimek, Ludger/AFJ-9880-2022; Sheikh, Aziz/D-2818-2009; Bonniaud, Philippe/ITT-4660-2023; Doulaptsi, Maria/AAH-2664-2020; Arasi, Stefania/K-2858-2018; Bagnasco, Diego/M-1264-2019; Dray, Gerard/ACO-1836-2022; Rabe, Klaus/AAW-6296-2021; Nicola, Stefania/LNQ-4428-2024; Ivancevich, Juan/AAB-4937-2020; Kvedarienė, Violeta/GON-7937-2022; Demoly, Pascal/Y-9938-2019; Koppelman, Gerard/AAG-9187-2020; Nicola, Stefania/AAT-2004-2020; Khaitov, Musa/L-3369-2017; artesani, maria/AAA-8736-2020; Thijs, Carel/H-8340-2019; Popov, Todor/M-4533-2016; Cheng, Lei/AAT-2690-2021; Canevari, Frank/R-2280-2019; PIN, Isabelle/N-3020-2013; van Hage, Marianne/A-9678-2017; Martineau, Adrian/A-3083-2010; Moyano, Juan/AAT-7676-2020; Urbancic, Jure/HGC-3054-2022; MAGNAN, ANTOINE/GVT-4308-2022; Gemicioglu, Bilun/AAH-6927-2019; Gaga, Mina/AAP-8348-2020; Yorgancioglu, Arzu/AAC-7548-2020; Loureiro, Claudia/AAW-3420-2021; Abdul Latiff, Amir Hamzah/IUP-7483-2023; ABDULLAH, BAHARUDIN/AFO-9129-2022; O'Hehir, Robyn/H-3627-2011; Maggi, Enrico/AAA-8045-2019; brussino, luisa/J-2486-2012; Lessa, Marcus/AAV-8573-2021; Sawaf, Bisher/AAM-9732-2020; Panaitescu, Carmen/ABU-2019-2022; tang, ing/N-5403-2018; Akdis, Mubeccel/JCE-1576-2023; Muraro, Antonella/AFO-2033-2022; Ryan, Dermot/GSN-9147-2022; Luna-Pech, Jorge/F-8817-2019; Kim, Joo Hyun/C-6604-2019; Roche, Nicolas/AAP-4445-2021; Valenta, Richard/K-4072-2017; LOUIS, Renaud/HMO-7349-2023; Popov, Todor/Q-9928-2016; Papi, alberto/AAC-1888-2019; Canevari, Frank Rikki/AGV-0780-2022; Makela, Mika/ADV-7407-2022; Hossny, Elham/HTN-8758-2023; Brozek, Jan/ADG-1130-2022; Sánchez-López, Jaime/L-3020-2014; Fiocchi, Alessandro/K-9235-2016; Pereira, Ana/KHY-3334-2024; Busse, William/AFR-0848-2022; Bilò, Maria Beatrice/JNS-0635-2023; Mohammad, Yousser/LTD-1984-2024; Akdis, Cezmi/AAV-4844-2020; Fonseca, César/B-7960-2015; Levin, Michael/AAT-2370-2020; Heffler, Enrico/F-9455-2010; Palmer, Stephen/AAB-4368-2021; Patella, Vincenzo/JRX-8386-2023; BOBOLEA, IRINA/AFR-1732-2022; Toppila-Salmi, Sanna/ABF-5840-2020; Rovina, Nikoletta/I-2527-2019; Compalati, Enrico/ABH-1123-2021; Fontaine, Jean-Fred/GNP-2904-2022; Zar, Heather/GZL-5350-2022; Roche, Nicolas/AAE-9206-2021; Rizzo, Jose/M-4322-2014; Stellato, Cristiana/IWU-8018-2023; de Castro Soares Regateiro, Frederico/AAR-1528-2020; Romantowski, Jan/S-8412-2018; González-Díaz, Sandra/H-3271-2018; Jung, Ki-Suck/AAN-2473-2021; Zuberbier, Torsten/AFM-9173-2022; Vicheva, Dilyana/AAI-7136-2020; Bieber, Thomas/AFM-9906-2022; MARSEGLIA, GIAN/HPF-5225-2023; Bialoszewski, Artur/G-5875-2012; Bosnic-Anticevich, Sinthia/AAD-2526-2021; Kupczyk, Maciej/S-9677-2016; Viegi, Giovanni/K-2746-2016; Kim, Jinhyun/AAK-3695-2020; Cingi, Cemal/AAA-1951-2021; Schmid, Peter/D-1717-2013; Rivero Yeverino, Daniela/IYS-3602-2023; Fokkens, Wytske/ABF-2185-2020; Arrais, Margarete/MGU-4642-2025; Giuliano, Antonio Francesco Maria/ABB-6320-2021; Lotrean, Lucia/C-2859-2011; Buters, Jeroen/JCD-7483-2023; Martins, Pedro/A-1433-2011; Gotua, Maia/ABA-1648-2021; CANEVARI, Frank Rikki/B-7172-2017; Fonseca, Joao/B-7562-2008; Arrais, Margarete/Z-1905-2019; Samitas, Konstantinos/E-6231-2015; Puggioni, Francesca/HKN-6994-2023; nettis, eustachio/P-8554-2016; Rolla, Giovanni/C-9901-2009; Basagana, Xavier/C-3901-2017; Mashiya, Nombeko Monica/AET-3950-2022; Schunemann, Holger/LRB-7016-2024; Heinrich, Joachim/N-1720-2013; Papadopoulos, Nikolaos/L-8670-2013; Ko, Fanny Wai San/B-8958-2016; Caldas-Fonseca, Susana/B-2880-2012; Yusuf, Osman/AAI-1142-2020; Pereira, Ana Margarida/K-3343-2014; Namazova-Baranova, Leyla/C-9485-2019; Dinh-Xuan, Anh Tuan/A-9691-2008; BERGHEA, ELENA CAMELIA/AAJ-2804-2021; Oliver, Brian/E-7939-2010; Al-Ahmad, Mona/IQU-2494-2023; Chavannes, Niels Henrik/F-1148-2011; Panzner, Petr/I-7034-2017; Casale, Thomas/K-4334-2013; Custovic, Adnan/A-2435-2012; Kaidashev, Igor/H-3827-2016; Tantilipikorn, Pongsakorn/D-2797-2019; Bonini, Sergio/T-6594-2019; Nadif, Rachel/R-2876-2016; Humbert, Marc/AAC-8459-2019; Sastre, Joaquin/A-4270-2008; Midao, Luis/V-2571-2017; Regateiro, Frederico/F-3914-2011; Stellato, Cristiana/P-3001-2015; Maurer, Marcus/ABG-2174-2020; Maitland-van der Zee, Anke/I-9572-2016; Costa, Elisio/K-1990-2013; Lourenco, Olga/S-6233-2016; Christoff, George/ABF-9789-2021; CANONICA, GIORGIO WALTER/ABF-2037-2020; Mostafa, Badr/H-2337-2015; Robalo Cordeiro, Carlos Manuel da Silva/I-4864-2012; Bedolla-Barajas, Martin/AFQ-5082-2022; Romano, Antonino/D-3102-2017</t>
  </si>
  <si>
    <t>CANEVARI, Frank Rikki/0000-0002-1821-7262; Fonseca, Joao/0000-0002-0887-8796; Gradauskiene, Brigita/0000-0001-5086-8893; Billo, Nils Eric/0000-0002-5735-5107; Akdis, Cezmi/0000-0001-8020-019X; Arrais, Margarete/0000-0001-6611-4260; Samitas, Konstantinos/0000-0002-9921-9859; Murray, Ruth/0000-0002-2821-978X; Puggioni, Francesca/0000-0001-6638-5626; Rabe, Klaus F./0000-0002-7020-1401; nettis, eustachio/0000-0003-1383-105X; Abdul Latiff, Amir/0000-0002-6304-0494; Bialek, Slawomir/0000-0002-0112-6786; Carmona-Pirez, Jonas/0000-0002-6268-8803; Rolla, Giovanni/0000-0001-5997-7172; Tsiligianni, Ioanna/0000-0001-7922-7491; Hyland, Michael/0000-0003-3879-0469; Basagana, Xavier/0000-0002-8457-1489; Mashiya, Nombeko Monica/0000-0003-0124-9118; Schunemann, Holger/0000-0003-3211-8479; Heinrich, Joachim/0000-0002-9620-1629; Chaves Loureiro, Claudia/0000-0003-0438-6126; Papadopoulos, Nikolaos/0000-0002-4448-3468; cox, linda/0000-0002-5258-6870; Kudlay, Dmitry/0000-0003-1878-4467; AGGELIDIS, XENOFON/0000-0003-1715-3022; Ko, Fanny Wai San/0000-0001-8454-0087; Kvedariene, Violeta/0000-0002-6119-211X; brightling, chris/0000-0002-9345-4903; Reitsma, Sietze/0000-0003-1734-2632; Caldas-Fonseca, Susana/0000-0003-4793-5965; Dimic- Janjic, Sanja/0000-0001-9989-3862; mohammad, yousser/0009-0003-0403-2747; Chu, Derek/0000-0001-8269-4496; Ciprandi, Giorgio/0000-0001-7016-8421; Adcock, Ian/0000-0003-2101-8843; Yusuf, Osman/0000-0002-8067-1204; Pereira, Ana Margarida/0000-0002-5468-0932; Ryan, Dermot/0000-0002-4115-7376; Subramaniam, Abirami/0000-0001-6715-3915; Makris, Michael/0000-0003-2713-2380; Namazova-Baranova, Leyla/0000-0002-2209-7531; Tannert, Line/0000-0003-4039-5708; Cecchi, Lorenzo/0000-0002-0658-2449; Dinh-Xuan, Anh Tuan/0000-0001-8651-5176; Stute, Petra/0000-0002-5591-1552; Raciborski, Filip/0000-0003-0562-0260; BERGHEA, ELENA CAMELIA/0000-0001-9522-8363; Buters, Jeroen/0000-0003-3581-5472; Hossny, Elham/0000-0001-6876-6318; Pitsios, Constantinos/0000-0001-8935-278X; GALVEZ ROMERO, JOSE LUIS/0000-0002-6560-3596; Bosnic-Anticevich, Sinthia/0000-0001-5077-8329; Oliver, Brian/0000-0002-7122-9262; menditto, enrica/0000-0001-8633-5650; Bilo', Maria Beatrice/0000-0002-9324-6039; momas, isabelle/0000-0003-4344-3787; Al-Ahmad, Mona/0000-0003-2950-5363; roche, nicolas/0000-0002-3162-5033; Djukanovic, Ratko/0000-0001-6039-5612; Chavannes, Niels Henrik/0000-0002-8607-9199; Valenta, Rudolf/0000-0001-5944-3365; Kardas, Przemyslaw/0000-0002-6078-2628; MARSEGLIA, GIAN LUIGI/0000-0003-3662-0159; Ivancevich, Juan Carlos/0000-0001-8713-6258; Panzner, Petr/0000-0002-1291-450X; Carreiro Martins, Pedro/0000-0002-4129-133X; Casale, Thomas/0000-0002-3149-7377; Bousquet, Jean/0000-0002-4061-4766; Jarvis, Deborah/0000-0002-1753-3896; Custovic, Adnan/0000-0001-5218-7071; Meco, Cem/0000-0001-8372-8045; Kaidashev, Igor/0000-0002-4708-0859; Tantilipikorn, Pongsakorn/0000-0003-1995-4798; Bonini, Sergio/0000-0003-0079-3031; Nadif, Rachel/0000-0003-4938-9339; Howarth, Peter/0000-0003-0619-7927; Humbert, Marc/0000-0003-0703-2892; Sastre, Joaquin/0000-0003-4689-6837; , Jean-Paul Cristol/0000-0001-8563-7278; Patella, Vincenzo/0000-0001-5640-6446; Midao, Luis/0000-0003-1981-2554; Regateiro, Frederico/0000-0002-6332-3056; Stellato, Cristiana/0000-0002-1294-8355; Maurer, Marcus/0000-0002-4121-481X; Maitland-van der Zee, Anke/0000-0002-0414-3442; Costa, Elisio/0000-0003-1158-1480; Dray, Gerard/0000-0003-1525-5682; Lourenco, Olga/0000-0002-8401-5976; Christoff, George/0000-0003-4549-7711; CANONICA, GIORGIO WALTER/0000-0001-8467-2557; Mostafa, Badr/0000-0002-6471-7188; Tomic Spiric, Vesna/0000-0002-7047-3538; Onorato, Gabrielle Laura/0000-0002-7867-5345; Fiocchi, Alessandro/0000-0002-2549-0523; Robalo Cordeiro, Carlos Manuel da Silva/0000-0002-8264-3856; Bedolla-Barajas, Martin/0000-0003-4915-1582; Soto-Martinez, Manuel/0000-0002-5509-6164; Romano, Antonino/0000-0001-9742-9898; Zar, Heather/0000-0002-9046-759X; Rottem, Menachem/0000-0002-9915-0273; Gotua, Maia/0000-0003-2497-4128; Zhang, Luo/0000-0002-0910-9884</t>
  </si>
  <si>
    <t>MASK-air, ARIA</t>
  </si>
  <si>
    <t>MASK-air, ARIA.</t>
  </si>
  <si>
    <t>2045-7022</t>
  </si>
  <si>
    <t>CLIN TRANSL ALLERGY</t>
  </si>
  <si>
    <t>Clin. Transl. Allergy</t>
  </si>
  <si>
    <t>DEC 3</t>
  </si>
  <si>
    <t>10.1186/s13601-020-00362-7</t>
  </si>
  <si>
    <t>PA3YU</t>
  </si>
  <si>
    <t>WOS:000595576200001</t>
  </si>
  <si>
    <t>Cherel, B; Humbert, M; LeBlanc, FR; Zambello, R; Hamidou, M; Lifermann, F; Montani, D; Leoncin, M; Decaux, O; Pastoret, C; Le Bourgeois, A; Dominique, S; Chabanne, C; Loughran, TP; Lamy, T</t>
  </si>
  <si>
    <t>Cherel, Brieuc; Humbert, Marc; LeBlanc, Francis R.; Zambello, Renato; Hamidou, Mohamed; Lifermann, Francois; Montani, David; Leoncin, Matteo; Decaux, Olivier; Pastoret, Cedric; Le Bourgeois, Amandine; Dominique, Stephane; Chabanne, Celine; Loughran, Thomas P., Jr.; Lamy, Thierry</t>
  </si>
  <si>
    <t>Large Granular Lymphocyte Leukemia and Precapillary Pulmonary Hypertension</t>
  </si>
  <si>
    <t>FEATURES</t>
  </si>
  <si>
    <t>[Cherel, Brieuc; Decaux, Olivier; Lamy, Thierry] Pontchaillou Univ Hosp, Dept Hematol, Paris, France; [Humbert, Marc] Paris Saclay Univ, Fac Med, Paris Sud Univ, Le Kremlin Bicetre, France; [Humbert, Marc; Montani, David] Hop Bicetre, AP HP, Dept Pulm Med, Le Kremlin Bicetre, France; [Humbert, Marc] Hop Marie Lannelongue, INSERM UMR S 999, Le Plessis Robinson, France; [LeBlanc, Francis R.; Loughran, Thomas P., Jr.] Univ Virginia, Ctr Canc, Charlottesville, VA 22903 USA; [Zambello, Renato; Leoncin, Matteo] Hotel Dieu Univ Hosp, Dept Med Hematol &amp; Clin Immunol, Padua Sch Med, Beirut, Lebanon; [Hamidou, Mohamed] Hotel Dieu Univ Hosp, Dept Internal Med, Beirut, Lebanon; [Lifermann, Francois] Dax Hosp, Dept Internal Med, Dax, France; [Decaux, Olivier] Hop Sud Univ, Dept Internal Med, Pierre Benite, France; [Pastoret, Cedric] Pontchaillou Univ Hosp, Hematol Lab, Rennes, France; [Le Bourgeois, Amandine] Hotel Dieu Univ Hosp, Dept Hematol, Beirut, Lebanon; [Dominique, Stephane] Charles Nicolle Univ Hosp, Dept Pulm Med, Tunis, Tunisia; [Chabanne, Celine] Pontchaillou Univ Hosp, Dept Cardiol &amp; Vasc Dis, Rennes, France; [Lamy, Thierry] Pontchaillou Univ Hosp, Clin Investigat Ctr CIC14 14, Rennes, France</t>
  </si>
  <si>
    <t>CHU Rennes; Universite Paris Saclay; Assistance Publique Hopitaux Paris (APHP); Hopital Universitaire Bicetre - APHP; Universite Paris Saclay; Hopital Universitaire Antoine-Beclere - APHP; Universite Paris Saclay; Institut National de la Sante et de la Recherche Medicale (Inserm); Hopital Marie Lannelongue; University of Virginia; Universite de Rennes; CHU Rennes; Universite de Tunis-El-Manar; Hopital Charles Nicolle; Universite de Rennes; CHU Rennes; CHU Rennes; Universite de Rennes</t>
  </si>
  <si>
    <t>Lamy, T (corresponding author), Pontchaillou Univ Hosp, Dept Hematol, Paris, France.;Lamy, T (corresponding author), Pontchaillou Univ Hosp, Clin Investigat Ctr CIC14 14, Rennes, France.</t>
  </si>
  <si>
    <t>thierry.lamy-de-la-chapelle@univ-rennes1.fr</t>
  </si>
  <si>
    <t>David, Montani/I-6885-2019; Humbert, Marc/AAC-8459-2019; Zambello, Renato/AAB-5280-2022</t>
  </si>
  <si>
    <t>Pastoret, Cedric/0000-0002-5675-3154; Zambello, Renato/0000-0002-8799-5324; Montani, David/0000-0002-9358-6922</t>
  </si>
  <si>
    <t>10.1016/j.chest.2020.07.094</t>
  </si>
  <si>
    <t>PH7HA</t>
  </si>
  <si>
    <t>WOS:000600577700030</t>
  </si>
  <si>
    <t>Eyries, M; Montani, D; Girerd, B; Favrolt, N; Riou, M; Faivre, L; Manaud, G; Perros, F; Gräf, S; Morrell, N; Humbert, M</t>
  </si>
  <si>
    <t>Eyries, M.; Montani, D.; Girerd, B.; Favrolt, N.; Riou, M.; Faivre, L.; Manaud, G.; Perros, F.; Graf, S.; Morrell, N.; Humbert, M.</t>
  </si>
  <si>
    <t>Familial pulmonary arterial hypertension by KDR heterozygous loss of function</t>
  </si>
  <si>
    <t>[Eyries, M.] Hop Univ Pitie Salpetriere Charles Foix, Dept Genet, Paris, France; [Montani, D.; Girerd, B.; Humbert, M.] Hop Bicetre, Serv Pneumol, Ctr Reference Hypertens Pulm, Le Kremlin Bicetre, France; [Favrolt, N.] CHU Dijon Bourgogne, Serv Pneumol &amp; Soins Intensifs Resp, Ctr Reference Constitutif Malad Pulm Rares Adulte, Ctr Competence Hypertens Pulm, Dijon, France; [Riou, M.] Nouvel Hop Civil, Serv Pneumol, Strasbourg, France; [Faivre, L.] CHU Dijon, Ctr Genet, FHU TRANSLAD, Inst GIMI, Dijon, France; [Faivre, L.] CHU Dijon, UMR 1231, INSERM, Dijon, France; [Faivre, L.] Univ Bourgogne, Dijon, France; [Manaud, G.; Perros, F.] Univ Paris Saclay, Hop Marie Lannelongue, INSERM, UMR S 999, Le Plessis Robinson, France; [Graf, S.] NIHR Bioresource Rare Dis, Dept Med, Dept Haematol, Cambridge Biomed Campus, Cambridge, England; [Morrell, N.] Univ Cambridge, Sch Clin Med, Dept Med, Addenbrookes Hosp, Cambridge, England; [Morrell, N.] Univ Cambridge, Sch Clin Med, Dept Med, Royal Papworth Hosp, Cambridge, England</t>
  </si>
  <si>
    <t>Assistance Publique Hopitaux Paris (APHP); Hopital Universitaire Pitie-Salpetriere - APHP; Sorbonne Universite; Hopital Universitaire Charles-Foix - APHP; Assistance Publique Hopitaux Paris (APHP); Hopital Universitaire Antoine-Beclere - APHP; Hopital Universitaire Bicetre - APHP; Universite Paris Saclay; CHU Dijon Bourgogne; CHU Strasbourg; CHU Dijon Bourgogne; Institut Agro; AgroSup Dijon; CHU Dijon Bourgogne; Institut National de la Sante et de la Recherche Medicale (Inserm); Universite de Bourgogne; Universite de Bourgogne; Universite Paris Saclay; Institut National de la Sante et de la Recherche Medicale (Inserm); Hopital Marie Lannelongue; University of Cambridge; Cambridge University Hospitals NHS Foundation Trust; Addenbrooke's Hospital; University of Cambridge; Papworth Hospital</t>
  </si>
  <si>
    <t>David, Montani/I-6885-2019; Perros, Frédéric/N-6921-2017; Humbert, Marc/AAC-8459-2019</t>
  </si>
  <si>
    <t>SUPPL 1</t>
  </si>
  <si>
    <t>P05.68.B</t>
  </si>
  <si>
    <t>PE6OB</t>
  </si>
  <si>
    <t>WOS:000598482601076</t>
  </si>
  <si>
    <t>Lai, C; Savale, L; Boytchev, I; Jaïs, X; Sitbon, O; Montani, D; Humbert, M; Benhamou, D</t>
  </si>
  <si>
    <t>Lai, Christopher; Savale, Laurent; Boytchev, Isabelle; Jais, Xavier; Sitbon, Olivier; Montani, David; Humbert, Marc; Benhamou, Dan</t>
  </si>
  <si>
    <t>Risks and outcomes of gastrointestinal endoscopy with anaesthesia in patients with pulmonary hypertension</t>
  </si>
  <si>
    <t>BRITISH JOURNAL OF ANAESTHESIA</t>
  </si>
  <si>
    <t>anaesthesia; endoscopy; perioperative complications; perioperative morbidity; pulmonary hypertension; right heart failure</t>
  </si>
  <si>
    <t>NONOBSTETRIC SURGERY</t>
  </si>
  <si>
    <t>[Lai, Christopher; Savale, Laurent; Boytchev, Isabelle; Jais, Xavier; Sitbon, Olivier; Montani, David; Humbert, Marc; Benhamou, Dan] Bicetre Univ Hosp, AP HP, Le Kremlin Bicetre, France</t>
  </si>
  <si>
    <t>Lai, C (corresponding author), Bicetre Univ Hosp, AP HP, Le Kremlin Bicetre, France.</t>
  </si>
  <si>
    <t>christopher.lai@aphp.fr</t>
  </si>
  <si>
    <t>Benhamou, Dan/ABG-7935-2021; David, Montani/I-6885-2019; Humbert, Marc/AAC-8459-2019; Lai, Christopher/ADS-7951-2022</t>
  </si>
  <si>
    <t>Lai, Christopher/0000-0001-5088-3364; JAIS, XAVIER/0000-0002-4104-7994; Montani, David/0000-0002-9358-6922</t>
  </si>
  <si>
    <t>0007-0912</t>
  </si>
  <si>
    <t>1471-6771</t>
  </si>
  <si>
    <t>BRIT J ANAESTH</t>
  </si>
  <si>
    <t>Br. J. Anaesth.</t>
  </si>
  <si>
    <t>E466</t>
  </si>
  <si>
    <t>E468</t>
  </si>
  <si>
    <t>10.1016/j.bja.2020.09.017</t>
  </si>
  <si>
    <t>OT5FW</t>
  </si>
  <si>
    <t>WOS:000590872800014</t>
  </si>
  <si>
    <t>Bisserier, M; Mathiyalagan, P; Abdeldjebbar, Y; Zhang, SH; Elmastour, F; Dorfmuller, P; Humbert, M; Sassi, Y; Weber, T; Perros, F; Sahoo, S; Hadri, L</t>
  </si>
  <si>
    <t>Bisserier, Malik; Mathiyalagan, Prabhu; Abdeldjebbar, Yassine; Zhang, Shihong; Elmastour, Firas; Dorfmuller, Peter; Humbert, Marc; Sassi, Yassine; Weber, Thomas; Perros, Frederic; Sahoo, Susmita; Hadri, Lahouaria</t>
  </si>
  <si>
    <t>Lung-targeted Sin3a Gene Therapy as a Promising Strategy to Restore Bmpr2 Expression in Pulmonary Arterial Hypertension</t>
  </si>
  <si>
    <t>Humbert, Marc/AAC-8459-2019; Hadri, Lahouaria/AAP-6415-2020; Perros, Frédéric/N-6921-2017; Lezoualc'h, Frank/E-5031-2016</t>
  </si>
  <si>
    <t>NOV 17</t>
  </si>
  <si>
    <t>A13932</t>
  </si>
  <si>
    <t>PR4EK</t>
  </si>
  <si>
    <t>WOS:000607190401235</t>
  </si>
  <si>
    <t>Beurnier, A; Jutant, EM; Jevnikar, M; Boucly, A; Pichon, J; Preda, M; Frank, M; Laurent, J; Richard, C; Monnet, X; Duranteau, J; Harrois, A; Chaumais, MC; Bellin, MF; Noël, N; Bulifon, S; Jaïs, X; Parent, F; Seferian, A; Savale, L; Sitbon, O; Montani, D; Humbert, M</t>
  </si>
  <si>
    <t>Beurnier, Antoine; Jutant, Etienne-Marie; Jevnikar, Mitja; Boucly, Athenais; Pichon, Jeremie; Preda, Mariana; Frank, Marie; Laurent, Jeremy; Richard, Christian; Monnet, Xavier; Duranteau, Jacques; Harrois, Anatole; Chaumais, Marie-Camille; Bellin, Marie-France; Noel, Nicolas; Bulifon, Sophie; Jais, Xavier; Parent, Florence; Seferian, Andrei; Savale, Laurent; Sitbon, Olivier; Montani, David; Humbert, Marc</t>
  </si>
  <si>
    <t>Characteristics and outcomes of asthmatic patients with COVID-19 pneumonia who require hospitalisation</t>
  </si>
  <si>
    <t>WUHAN</t>
  </si>
  <si>
    <t>Background: Viral respiratory infections are the main causes of asthma exacerbation. The susceptibility of patients with asthma to develop an exacerbation when they present with severe pneumonia due to severe acute respiratory syndrome coronavirus 2 (SARS-CoV-2) infection is unknown. The objective of this study was to investigate the characteristics and outcomes of asthmatic patients with coronavirus disease 2019 (COVID-19) pneumonia who required hospitalisation during the spring 2020 outbreak in Paris, France. Methods: A prospective cohort follow-up was carried out from 15 March to 15 April 2020 in Bicetre Hospital, University Paris-Saclay, France. All hospitalised patients with a SARS-CoV-2 infection who reported a history of asthma were included. Results: Among 768 hospitalised patients, 37 (4.8%) reported a history of asthma, which had been previously confirmed by a pulmonologist in 85% of cases. These asthmatic patients were mainly female (70%) and nonsmokers (85%), with a median age of 54 years (interquartile range (IQR) 42-67 years). None of them presented with an asthma exacerbation. 22 (59%) had major comorbidities and 31 (84%) had a body mass index &gt;= 25 kg.m(-2). The most common comorbidities were obesity (36%), hypertension (27%) and diabetes (19%). All patients had a confirmed diagnosis of COVID-19 pneumonia on computed tomography of the chest. Eosinopenia was a typical biological feature with a median count of 0 cells.mm(-3) (IQR 0-0 cells.mm(-3)). 11 patients (30%) were admitted into the intensive care unit, with three deaths (8.1%) occurring in the context of comorbidities. Conclusion: Asthma patients were not overrepresented among those with severe pneumonia due to SARS-CoV-2 infection who required hospitalisation. The worst outcomes were observed mainly in patients with major comorbidities.</t>
  </si>
  <si>
    <t>[Beurnier, Antoine; Jutant, Etienne-Marie; Jevnikar, Mitja; Boucly, Athenais; Pichon, Jeremie; Preda, Mariana; Richard, Christian; Monnet, Xavier; Duranteau, Jacques; Harrois, Anatole; Chaumais, Marie-Camille; Bellin, Marie-France; Noel, Nicolas; Bulifon, Sophie; Jais, Xavier; Parent, Florence; Seferian, Andrei; Savale, Laurent; Sitbon, Olivier; Montani, David; Humbert, Marc] Univ Paris Saclay, Fac Med, Le Kremlin Bicetre, France; [Beurnier, Antoine; Jutant, Etienne-Marie; Jevnikar, Mitja; Boucly, Athenais; Pichon, Jeremie; Preda, Mariana; Chaumais, Marie-Camille; Bulifon, Sophie; Jais, Xavier; Parent, Florence; Seferian, Andrei; Savale, Laurent; Sitbon, Olivier; Montani, David; Humbert, Marc] INSERM UMR S 999, Le Kremlin Bicetre, France; [Beurnier, Antoine] Hop Bicetre, AP HP, Serv Physiol &amp; Explorat Fonctionnelles Resp, CRISALIS,F CRIN Networkl, Le Kremlin Bicetre, France; [Jutant, Etienne-Marie; Jevnikar, Mitja; Boucly, Athenais; Pichon, Jeremie; Preda, Mariana; Bulifon, Sophie; Jais, Xavier; Parent, Florence; Seferian, Andrei; Savale, Laurent; Sitbon, Olivier; Montani, David; Humbert, Marc] Hop Bicetre, AP HP, Serv Pneumol &amp; Soins Intensifs Resp, Le Kremlin Bicetre, France; [Frank, Marie; Laurent, Jeremy] Hop Bicetre, AP HP, Dept Informat Med, Le Kremlin Bicetre, France; [Richard, Christian; Monnet, Xavier] Hop Bicetre, AP HP, Serv Med Intens Reanimat, Le Kremlin Bicetre, France; [Duranteau, Jacques; Harrois, Anatole] Hop Bicetre, AP HP, Dept Anesthesie &amp; Reanimat, Le Kremlin Bicetre, France; [Chaumais, Marie-Camille] Hop Bicetre, AP HP, Serv Pharm, Le Kremlin Bicetre, France; [Bellin, Marie-France] Hop Bicetre, AP HP, Serv Imagerie Med, Le Kremlin Bicetre, France; [Noel, Nicolas] Hop Bicetre, AP HP, Serv Med Interne, Le Kremlin Bicetre, France</t>
  </si>
  <si>
    <t>Universite Paris Saclay; Universite Paris Saclay; Institut National de la Sante et de la Recherche Medicale (Inserm); Universite Paris Saclay; Assistance Publique Hopitaux Paris (APHP); Hopital Universitaire Antoine-Beclere - APHP; Hopital Universitaire Bicetre - APHP; Assistance Publique Hopitaux Paris (APHP); Hopital Universitaire Bicetre - APHP; Universite Paris Saclay; Hopital Universitaire Antoine-Beclere - APHP; Assistance Publique Hopitaux Paris (APHP); Hopital Universitaire Antoine-Beclere - APHP; Hopital Universitaire Bicetre - APHP; Universite Paris Saclay; Assistance Publique Hopitaux Paris (APHP); Hopital Universitaire Antoine-Beclere - APHP; Universite Paris Saclay; Hopital Universitaire Bicetre - APHP; Universite Paris Saclay; Assistance Publique Hopitaux Paris (APHP); Hopital Universitaire Antoine-Beclere - APHP; Hopital Universitaire Bicetre - APHP; Assistance Publique Hopitaux Paris (APHP); Hopital Universitaire Bicetre - APHP; Hopital Universitaire Antoine-Beclere - APHP; Universite Paris Saclay; Universite Paris Saclay; Assistance Publique Hopitaux Paris (APHP); Hopital Universitaire Bicetre - APHP; Hopital Universitaire Antoine-Beclere - APHP; Universite Paris Saclay; Assistance Publique Hopitaux Paris (APHP); Hopital Universitaire Antoine-Beclere - APHP; Hopital Universitaire Bicetre - APHP</t>
  </si>
  <si>
    <t>Humbert, M (corresponding author), Univ Paris Saclay, Fac Med, Le Kremlin Bicetre, France.;Humbert, M (corresponding author), INSERM UMR S 999, Le Kremlin Bicetre, France.;Humbert, M (corresponding author), Hop Bicetre, AP HP, Serv Pneumol &amp; Soins Intensifs Resp, Le Kremlin Bicetre, France.</t>
  </si>
  <si>
    <t>Savale, Laurent/AAJ-9781-2020; David, Montani/I-6885-2019; Mariette, Xavier/N-3743-2013; Humbert, Marc/AAC-8459-2019; Noel, Nicolas/AAK-3911-2021</t>
  </si>
  <si>
    <t>Noel, Nicolas/0000-0003-4055-617X; Harrois, Anatole/0000-0002-5098-4656; Montani, David/0000-0002-9358-6922; MONNET, Xavier/0000-0001-6820-2678; Boucly, Athenais/0000-0001-6246-5557; JAIS, XAVIER/0000-0002-4104-7994; Jevnikar, Mitja/0000-0003-0727-6790; Jutant, Etienne-Marie/0000-0002-1374-1890</t>
  </si>
  <si>
    <t>10.1183/13993003.01875-2020</t>
  </si>
  <si>
    <t>PR8ZJ</t>
  </si>
  <si>
    <t>WOS:000607520600016</t>
  </si>
  <si>
    <t>D'humières, T; Savale, L; Inamo, J; Damy, T; Lionnet, F; Loko, G; Derumeaux, G; Humbert, M; Bartolucci, P</t>
  </si>
  <si>
    <t>D'humieres, T.; Savale, L.; Inamo, J.; Damy, T.; Lionnet, F.; Loko, G.; Derumeaux, G.; Humbert, M.; Bartolucci, P.</t>
  </si>
  <si>
    <t>Echocardiographic evaluation of patients with sickle cell disease. A study based on Etendar Cohort</t>
  </si>
  <si>
    <t>European-Society-of-Cardiology (ESC) Congress</t>
  </si>
  <si>
    <t>AUG 29-SEP 01, 2020</t>
  </si>
  <si>
    <t>European Soc Cardiol</t>
  </si>
  <si>
    <t>[D'humieres, T.; Derumeaux, G.] Univ Hosp Henri Mondor, Cardiac Funct Explorat, Creteil, France; [Savale, L.; Humbert, M.] Bicetre Univ Hosp, Le Kremlin Bicetre, France; [Inamo, J.; Loko, G.] Univ Hosp Ft de France, Fort De France, Martinique, France; [Damy, T.] Univ Hosp Henri Mondor, Heart Failure Unit, Amyloidosis Network, Creteil, France; [Lionnet, F.] Hosp Tenon, Paris, France; [Bartolucci, P.] Henri Mondor Univ Hosp Chenevier, AP HP, Transfus Therapy Unit, IMRB, Creteil, France</t>
  </si>
  <si>
    <t>Assistance Publique Hopitaux Paris (APHP); Universite Paris-Est-Creteil-Val-de-Marne (UPEC); Hopital Universitaire Henri-Mondor - APHP; Assistance Publique Hopitaux Paris (APHP); Hopital Universitaire Bicetre - APHP; CHU Martinique; Universite Paris-Est-Creteil-Val-de-Marne (UPEC); Assistance Publique Hopitaux Paris (APHP); Hopital Universitaire Henri-Mondor - APHP; Assistance Publique Hopitaux Paris (APHP); Sorbonne Universite; Hopital Universitaire Tenon - APHP; Universite Paris-Est-Creteil-Val-de-Marne (UPEC); Assistance Publique Hopitaux Paris (APHP); Hopital Universitaire Henri-Mondor - APHP; Institut National de la Sante et de la Recherche Medicale (Inserm)</t>
  </si>
  <si>
    <t>thomasdhumieres@hotmail.fr</t>
  </si>
  <si>
    <t>INAMO, Jocelyn/AGZ-1674-2022; Humbert, Marc/AAC-8459-2019</t>
  </si>
  <si>
    <t>French Ministry of Health; Assistance Publique-Hopitaux de Paris</t>
  </si>
  <si>
    <t>Type of funding source: Public grant(s) - National budget only. Main funding source(s): Funded by the French Ministry of Health and Assistance Publique-Hopitaux de Paris</t>
  </si>
  <si>
    <t>PP8LA</t>
  </si>
  <si>
    <t>WOS:000606106303162</t>
  </si>
  <si>
    <t>Liu, M; Bel, E; Kornmann, O; Humbert, M; Kaneko, N; Martin, N; Gilson, M; Price, R; Yancey, S; Moore, W</t>
  </si>
  <si>
    <t>Liu, M.; Bel, E.; Kornmann, O.; Humbert, M.; Kaneko, N.; Martin, N.; Gilson, M.; Price, R.; Yancey, S.; Moore, W.</t>
  </si>
  <si>
    <t>CLINICIAN/PATIENT PERCEPTION: ASTHMA SEVERITY DECREASES AND RESPONSE INCREASES WITH CONTINUING VERSUS STOPPING LONG-TERM MEPOLIZUMAB (COMET)</t>
  </si>
  <si>
    <t>P211</t>
  </si>
  <si>
    <t>S30</t>
  </si>
  <si>
    <t>OU7TC</t>
  </si>
  <si>
    <t>WOS:000591726500080</t>
  </si>
  <si>
    <t>Perros, F; Ghigna, MR; Loisel, F; Chemla, D; Decante, B; de Montpreville, V; Montani, D; Humbert, M; Fadel, E; Mercier, O; Boulate, D</t>
  </si>
  <si>
    <t>Perros, Frederic; Ghigna, Maria-Rosa; Loisel, Fanny; Chemla, Denis; Decante, Benoit; de Montpreville, Vincent; Montani, David; Humbert, Marc; Fadel, Elie; Mercier, Olaf; Boulate, David</t>
  </si>
  <si>
    <t>Description, Staging and Quantification of Pulmonary Artery Angiophagy in a Large Animal Model of Chronic Thromboembolic Pulmonary Hypertension</t>
  </si>
  <si>
    <t>BIOMEDICINES</t>
  </si>
  <si>
    <t>pulmonary embolism; angiophagy; pulmonary artery; remodeling; pathology; animal model; pulmonary hypertension</t>
  </si>
  <si>
    <t>VASCULAR-LESIONS; IN-VIVO; PHAGOCYTOSIS; CELLS</t>
  </si>
  <si>
    <t>Angiophagy has been described as a non-fibrinolytic mechanism of pulmonary artery (PA) patency restoration after distal (&lt;50 mu m in diameter) pulmonary embolism in mice. We hypothesized that angiophagy could achieve muscularized PA patency restoration after pulmonary embolism in piglets and humans. Angiophagy was defined by pathological assessment as the moving of an embolic specimen from the lumen to the interstitium according to three stages in a pig model of chronic thromboembolic pulmonary hypertension (CTEPH) 6 to 10 weeks after embolization with enbucrilate: the embolic specimen is (I) covered by endothelial cells, (II) covered by endothelial cells and smooth muscle cells, and (III) located in the adventitia. In animals, we observed the three stages of the pulmonary angiophagy of enbucrilate emboli in &lt;300 mu m PA. Stages II and III were observed in 300 to 1000 mu m PA, and only Stage I was observed in larger-diameter PA (&gt;1000 mu m). In lung samples from patients with histories of pulmonary embolisms, we observed PA angiophagy stigma for embolic specimens derived from blood clots and from bone marrow emboli. This study provides an original pathological description and staging of PA angiophagy in a large animal model of CTEPH and in humans after pulmonary embolism.</t>
  </si>
  <si>
    <t>[Perros, Frederic; Ghigna, Maria-Rosa; Chemla, Denis; Montani, David; Humbert, Marc; Fadel, Elie; Mercier, Olaf; Boulate, David] Univ Paris Saclay, Sch Med, F-94270 Le Kremlin Bicetre, France; [Perros, Frederic; Ghigna, Maria-Rosa; Montani, David; Humbert, Marc; Fadel, Elie; Mercier, Olaf; Boulate, David] Hop Marie Lannelongue, INSERM, UMR S Pulm Hypertens Pathophysiol &amp; Novel Therapi, F-92350 Le Plessis Robinson, France; [Ghigna, Maria-Rosa; Loisel, Fanny; Decante, Benoit; Fadel, Elie; Mercier, Olaf; Boulate, David] Hop Marie Lannelongue, Res &amp; Innovat Unit, F-92350 Le Plessis Robinson, France; [Ghigna, Maria-Rosa; de Montpreville, Vincent] Hop Marie Lannelongue, Dept Pathol, F-92350 Le Plessis Robinson, France; [Chemla, Denis] Univ Paris Saclay, Dept Physiol, Hop Bicetre, F-94270 Le Kremlin Bicetre, France; [Montani, David; Humbert, Marc] Hop Bicetre, AP HP, Dept Resp &amp; Intens Care Med, Pulm Hypertens Natl Referral Ctr, F-94270 Le Kremlin Bicetre, France; [Fadel, Elie; Mercier, Olaf; Boulate, David] Marie Lannelongue Hosp, Dept Thorac &amp; Vasc Surg &amp; Heart Lung Transplantat, F-92350 Le Plessis Robinson, France</t>
  </si>
  <si>
    <t>Universite Paris Saclay; Hopital Marie Lannelongue; Institut National de la Sante et de la Recherche Medicale (Inserm); Hopital Marie Lannelongue; Hopital Marie Lannelongue; Universite Paris Saclay; Assistance Publique Hopitaux Paris (APHP); Hopital Universitaire Bicetre - APHP; Hopital Universitaire Antoine-Beclere - APHP; Assistance Publique Hopitaux Paris (APHP); Hopital Universitaire Antoine-Beclere - APHP; Universite Paris Saclay; Hopital Universitaire Bicetre - APHP; Hopital Marie Lannelongue</t>
  </si>
  <si>
    <t>Boulate, D (corresponding author), Univ Paris Saclay, Sch Med, F-94270 Le Kremlin Bicetre, France.;Boulate, D (corresponding author), Hop Marie Lannelongue, INSERM, UMR S Pulm Hypertens Pathophysiol &amp; Novel Therapi, F-92350 Le Plessis Robinson, France.;Boulate, D (corresponding author), Hop Marie Lannelongue, Res &amp; Innovat Unit, F-92350 Le Plessis Robinson, France.;Boulate, D (corresponding author), Marie Lannelongue Hosp, Dept Thorac &amp; Vasc Surg &amp; Heart Lung Transplantat, F-92350 Le Plessis Robinson, France.</t>
  </si>
  <si>
    <t>frederic.perros@inserm.fr; mr.ghigna@hml.fr; fanny.loisel@outlook.fr; denis.chemla@aphp.fr; b.decante@ghpsj.fr; v.thomasdemontpreville@ghpsj.fr; david.montani@aphp.fr; marc.humbert@aphp.fr; e.fadel@ghpsj.fr; o.mercier@hml.fr; d.boulate@ghpsj.fr</t>
  </si>
  <si>
    <t>Boulate, David/ABC-8057-2020; David, Montani/I-6885-2019; Perros, Frederic/N-6921-2017; Humbert, Marc/AAC-8459-2019</t>
  </si>
  <si>
    <t>Perros, Frederic/0000-0001-7730-2427; Mercier, Olaf/0000-0002-4760-6267; DECANTE, Benoit/0000-0003-1642-7589; Montani, David/0000-0002-9358-6922; Humbert, Marc/0000-0003-0703-2892; Thomas de Montpreville, Vincent/0000-0001-7490-4000; Ghigna, Maria Rosa/0000-0001-5996-665X</t>
  </si>
  <si>
    <t>Agence Nationale de la Recherche [18-RHUS-0006]; Legs Poix, Chancellerie des Universites de Paris</t>
  </si>
  <si>
    <t>Agence Nationale de la Recherche(Agence Nationale de la Recherche (ANR)); Legs Poix, Chancellerie des Universites de Paris</t>
  </si>
  <si>
    <t>This work was funded in part by the Agence Nationale de la Recherche (18-RHUS-0006). FP is supported by the Legs Poix, Chancellerie des Universites de Paris.</t>
  </si>
  <si>
    <t>2227-9059</t>
  </si>
  <si>
    <t>Biomedicines</t>
  </si>
  <si>
    <t>10.3390/biomedicines8110493</t>
  </si>
  <si>
    <t>Biochemistry &amp; Molecular Biology; Medicine, Research &amp; Experimental; Pharmacology &amp; Pharmacy</t>
  </si>
  <si>
    <t>Biochemistry &amp; Molecular Biology; Research &amp; Experimental Medicine; Pharmacology &amp; Pharmacy</t>
  </si>
  <si>
    <t>OX5XH</t>
  </si>
  <si>
    <t>WOS:000593636700001</t>
  </si>
  <si>
    <t>Savale, L; Guimas, M; Ebstein, N; Fertin, M; Jevnikar, M; Renard, S; Horeau-Langlard, D; Tromeur, C; Chabanne, C; Prevot, G; Chaouat, A; Moceri, P; Artaud-Macari, E; Degano, B; Tresorier, R; Boissin, C; Bouvaist, H; Simon, AC; Riou, M; Favrolt, N; Palat, S; Bourlier, D; Magro, P; Cottin, V; Bergot, E; Lamblin, N; Jaïs, X; Coilly, A; Durand, F; Francoz, C; Conti, F; Hervé, P; Simonneau, G; Montani, D; Duclos-Vallée, JC; Samuel, D; Humbert, M; De Groote, P; Sitbon, O</t>
  </si>
  <si>
    <t>Savale, Laurent; Guimas, Manuel; Ebstein, Nathan; Fertin, Marie; Jevnikar, Mitja; Renard, Sebastien; Horeau-Langlard, Delphine; Tromeur, Cecile; Chabanne, Celine; Prevot, Gregoire; Chaouat, Ari; Moceri, Pamela; Artaud-Macari, Elise; Degano, Bruno; Tresorier, Romain; Boissin, Clement; Bouvaist, Helene; Simon, Anne-Claire; Riou, Marianne; Favrolt, Nicolas; Palat, Sylvain; Bourlier, Delphine; Magro, Pascal; Cottin, Vincent; Bergot, Emmanuel; Lamblin, Nicolas; Jais, Xavier; Coilly, Audrey; Durand, Francois; Francoz, Claire; Conti, Filomena; Herve, Philippe; Simonneau, Gerald; Montani, David; Duclos-Vallee, Jean-Charles; Samuel, Didier; Humbert, Marc; De Groote, Pascal; Sitbon, Olivier</t>
  </si>
  <si>
    <t>Portopulmonary hypertension in the current era of pulmonary hypertensionmanagement (vol 73, pg 130, 2020)</t>
  </si>
  <si>
    <t>JOURNAL OF HEPATOLOGY</t>
  </si>
  <si>
    <t>[Savale, Laurent; Ebstein, Nathan; Jevnikar, Mitja; Jais, Xavier; Herve, Philippe; Simonneau, Gerald; Montani, David; Humbert, Marc; Sitbon, Olivier] Univ Paris Saclay, Fac Med, Le Kremlin Bicetre, France; [Savale, Laurent; Ebstein, Nathan; Jevnikar, Mitja; Jais, Xavier; Herve, Philippe; Simonneau, Gerald; Montani, David; Humbert, Marc; Sitbon, Olivier] Hop Bicetre, AP HP, Serv Pneumol, Ctr Reference Hypertens Pulm, Le Kremlin Bicetre, France; [Savale, Laurent; Jevnikar, Mitja; Jais, Xavier; Herve, Philippe; Simonneau, Gerald; Montani, David; Humbert, Marc; Sitbon, Olivier] Hop Marie Lannelongue, INSERM, UMR S 999, Le Plessis Robinson, France; [Guimas, Manuel; Bergot, Emmanuel] CHRU Cote de Nacre, Serv Pneumol, F-14033 Caen, France; [Fertin, Marie; Lamblin, Nicolas; De Groote, Pascal] Univ Lille, CHU Lille, Inst Pasteur Lille, Serv Cardiol,Inserm,U1167, F-59000 Lille, France; [Renard, Sebastien] Aix Marseille Univ, Hop La Timone, Dept Cardiol, Marseille, France; [Horeau-Langlard, Delphine] Hop Laennec, CHU Nantes, Serv Pneumol, Nantes, France; [Tromeur, Cecile] European Brittany Univ, Brest, France; [Tromeur, Cecile] Univ Hosp Ctr La Cavale Blanche, Dept Internal Med &amp; Chest Dis, Brest, France; [Tromeur, Cecile] CIC INSERM 1412, EA 3878, GETBO, Brest, France; [Chabanne, Celine] Hop Pontchaillou, CHU Rennes, Dept Cardiol &amp; Malad Vasc, Rennes, France; [Prevot, Gregoire] CHU Toulouse, Hop Larrey, Serv Pneumol, Toulouse, France; [Chaouat, Ari] Univ Lorraine, Vandoeuvre Les Nancy, France; [Chaouat, Ari] CHRU Nancy, Dept Pneumol, Vandoeuvre Les Nancy, France; [Chaouat, Ari] INSERM, U1116, Vandoeuvre Les Nancy, France; [Moceri, Pamela] Hop Louis Pasteur, Ctr Hosp Univ Nice, Serv Cardiol, Nice, France; [Artaud-Macari, Elise] Hop Univ, Dept Pneumol, Rouen, France; [Degano, Bruno] CHRU, Serv Pneumol, Besancon, France; [Tresorier, Romain] CHU, Hop Gabriel Montpied, Serv Cardiol, Clermont Ferrand, France; [Boissin, Clement] Hop Univ, Serv Pneumol, Montpellier, France; [Bouvaist, Helene] CHU Grenoble Alpes, Hop La Tronche, Serv Cardiol, Grenoble, France; [Simon, Anne-Claire] CHU Poitiers, Serv Pneumol, Poitiers, France; [Riou, Marianne] Hop Univ, Nouvel Hop Civil, Serv Pneumol, Strasbourg, France; [Favrolt, Nicolas] CHU, Serv Pneumol, Dijon, France; [Palat, Sylvain] CHRU, Serv Pneumol, Limoges, France; [Bourlier, Delphine] CHU Bordeaux, Hop Haut Leveque, Serv Malad Resp, Pessac, France; [Magro, Pascal] CHRU Tours, Serv Pneumol, Tours, France; [Cottin, Vincent] Univ Claude Bernard Lyon 1, Hop Louis Pradel, Serv Pneumol, Ctr Reference Natl Malad Pulm Rares,UMR154, F-69677 Lyon, France; [Coilly, Audrey; Duclos-Vallee, Jean-Charles; Samuel, Didier] Hop Paul Brousse, AP HP, Ctr Hepatobiliaire, Villejuif, France; [Coilly, Audrey; Duclos-Vallee, Jean-Charles; Samuel, Didier] Univ Paris Saclay, UMR S 1193, Villejuif, France; [Coilly, Audrey; Duclos-Vallee, Jean-Charles; Samuel, Didier] DHU HEPATINOV, Villejuif, France; [Durand, Francois; Francoz, Claire] Univ Paris, Hop Beaujon, AP HP, Inserm,U1149,CRI,UMRS1149,Serv Hepatol, Clichy, France; [Conti, Filomena] Sorbonne Univ, UPMC, Ctr Rech St Antoine, Inserm,UMR S 938, Paris, France; [Conti, Filomena] Hop La Pitie Salpetriere, AP HP, Unite Med Transplantat Hepat, Paris, France</t>
  </si>
  <si>
    <t>Universite Paris Saclay; Universite Paris Saclay; Assistance Publique Hopitaux Paris (APHP); Hopital Universitaire Bicetre - APHP; Hopital Universitaire Antoine-Beclere - APHP; Universite Paris Saclay; Hopital Marie Lannelongue; Institut National de la Sante et de la Recherche Medicale (Inserm); Universite de Caen Normandie; CHU de Caen NORMANDIE; Universite de Lille; CHU Lille; Institut National de la Sante et de la Recherche Medicale (Inserm); Pasteur Network; Institut Pasteur Lille; Aix-Marseille Universite; Assistance Publique-Hopitaux de Marseille; Nantes Universite; CHU de Nantes; Universite de Bretagne Occidentale; CHU Brest; Institut National de la Sante et de la Recherche Medicale (Inserm); Universite de Bretagne Occidentale; CHU Rennes; Universite de Rennes; Universite de Toulouse; Universite Toulouse III - Paul Sabatier; CHU de Toulouse; Universite de Lorraine; CHU de Nancy; Institut National de la Sante et de la Recherche Medicale (Inserm); Universite de Lorraine; CHU Nice; Universite de Franche-Comte; CHU Besancon; CHU Clermont Ferrand; Universite de Montpellier; CHU de Montpellier; CHU Grenoble Alpes; CHU Poitiers; Universite de Poitiers; CHU Strasbourg; CHU Dijon Bourgogne; CHU Limoges; CHU Bordeaux; Universite de Bordeaux; CHU Tours; CHU Lyon; Universite Claude Bernard Lyon 1; Assistance Publique Hopitaux Paris (APHP); Hopital Universitaire Paul-Brousse - APHP; Institut National de la Sante et de la Recherche Medicale (Inserm); Universite Paris Saclay; Assistance Publique Hopitaux Paris (APHP); Universite Paris Cite; Hopital Universitaire Beaujon - APHP; Institut National de la Sante et de la Recherche Medicale (Inserm); Institut National de la Sante et de la Recherche Medicale (Inserm); Sorbonne Universite; Assistance Publique Hopitaux Paris (APHP); Hopital Universitaire Pitie-Salpetriere - APHP; Sorbonne Universite</t>
  </si>
  <si>
    <t>Savale, L (corresponding author), Hop Bicetre, Serv Pneumol &amp; Soins Intensifs Resp, 78 Rue Gen Leclerc, F-94270 Le Kremlin Bicetre, France.</t>
  </si>
  <si>
    <t>Chaouat, Ari/AAP-6784-2021; Degano, Bruno/IAQ-7289-2023; David, Montani/I-6885-2019; Paquet-Durand, Francois/G-6709-2015; Samuel, Didier/U-5265-2018; Simonneau, Gerald/ABE-6614-2020; Bergot, Emmanuel/KHZ-1685-2024; Savale, Laurent/AAJ-9781-2020; DE GROOTE, Pascal/LLL-9444-2024; Moceri, Pamela/D-3053-2014; Humbert, Marc/AAC-8459-2019</t>
  </si>
  <si>
    <t>tromeur, cecile/0000-0001-9161-7521; JAIS, XAVIER/0000-0002-4104-7994; de Groote, Pascal/0000-0002-6211-0147; Montani, David/0000-0002-9358-6922; Jevnikar, Mitja/0000-0003-0727-6790</t>
  </si>
  <si>
    <t>0168-8278</t>
  </si>
  <si>
    <t>1600-0641</t>
  </si>
  <si>
    <t>J HEPATOL</t>
  </si>
  <si>
    <t>J. Hepatol.</t>
  </si>
  <si>
    <t>10.1016/j.jhep.2020.08.023</t>
  </si>
  <si>
    <t>OD4GA</t>
  </si>
  <si>
    <t>WOS:000579809700046</t>
  </si>
  <si>
    <t>Bousquet, J; Anto, JM; Bachert, C; Haahtela, T; Zuberbier, T; Czarlewski, W; Bedbrook, A; Bosnic-Anticevich, S; Canonica, GW; Cardona, V; Costa, E; Cruz, AA; Erhola, M; Fokkens, WJ; Fonseca, JA; Illario, M; Ivancevich, JC; Jutel, M; Klimek, L; Kuna, P; Kvedariene, V; Le, L; Larenas-Linnemann, DE; Laune, D; Lourenço, OM; Melén, E; Mullol, J; Niedoszytko, M; Odemyr, M; Okamoto, Y; Papadopoulos, NG; Patella, V; Pfaar, O; Pham-Thi, N; Rolland, C; Samolinski, B; Sheikh, A; Sofiev, M; Ulrik, CS; Todo-Bom, A; Tomazic, PV; Toppila-Salmi, S; Tsiligianni, I; Valiulis, A; Valovirta, E; Ventura, MT; Walker, S; Williams, S; Yorgancioglu, A; Agache, I; Akdis, CA; Almeida, R; Ansotegui, IJ; Annesi-Maesano, I; Arnavielhe, S; Basagaña, X; Bateman, ED; Bédard, A; Bedolla-Barajas, M; Becker, S; Bennoor, KS; Benveniste, S; Bergmann, KC; Bewick, M; Bialek, S; Billo, NE; Bindslev-Jensen, C; Bjermer, L; Blain, H; Bonini, M; Bonniaud, P; Bosse, I; Bouchard, J; Boulet, LP; Bourret, R; Boussery, K; Braido, F; Briedis, V; Briggs, A; Brightling, CE; Brozek, J; Brusselle, G; Brussino, L; Buhl, R; Buonaiuto, R; Calderon, MA; Camargos, P; Camuzat, T; Caraballo, L; Carriazo, AM; Carr, W; Cartier, C; Casale, T; Cecchi, L; Sarabia, ACM; Chavannes, NH; Chkhartishvili, E; Chu, DRK; Cingi, C; de Sousa, JC; Costa, DJ; Courbis, AL; Custovic, A; Cvetkosvki, B; D'Amato, G; da Silva, J; Dantas, C; Dokic, D; Dauvilliers, Y; De Feo, G; De Vries, G; Devillier, P; Di Capua, S; Dray, G; Dubakiene, R; Durham, SR; Dykewicz, M; Ebisawa, M; Gaga, M; El-Gamal, Y; Heffler, E; Emuzyte, R; Farrell, J; Fauquert, JL; Fiocchi, A; Fink-Wagner, A; Fontaine, JF; Perez, JMF; Gemicioglu, B; Gamkrelidze, A; Garcia-Aymerich, J; Gevaert, P; Gomez, RM; Diaz, SG; Gotua, M; Guldemond, NA; Guzmán, MA; Hajjam, J; Villalobos, YHR; Humbert, M; Iaccarino, G; Ierodiakonou, D; Iinuma, T; Jassem, E; Joos, G; Jung, KS; Kaidashev, I; Kalayci, O; Kardas, P; Keil, T; Khaitov, M; Khaltaev, N; Kleine-Tebbe, J; Kouznetsov, R; Kowalski, ML; Kritikos, V; Kull, I; La Grutta, S; Leonardini, L; Ljungberg, H; Lieberman, P; Lipworth, B; Carlsen, KLC; Lopes-Pereira, C; Loureiro, CC; Louis, R; Mair, A; Mahboub, B; Makris, M; Malva, J; Manning, P; Marshall, GD; Masjedi, MR; Maspero, JF; Carreiro-Martins, P; Makela, M; Mathieu-Dupas, E; Maurer, M; Keenoy, ED; Melo-Gomes, E; Meltzer, EO; Menditto, E; Mercier, J; Micheli, Y; Miculinic, N; Mihaltan, F; Milenkovic, B; Mitsias, DI; Moda, G; Mogica-Martinez, MD; Mohammad, Y; Montefort, S; Monti, R; Morais-Almeida, M; Mösges, R; Münter, L; Muraro, A; Murray, R; Naclerio, R; Napoli, L; Namazova-Baranova, L; Neffen, H; Nekam, K; Neou, A; Nordlund, B; Novellino, E; Nyembue, D; O'Hehir, R; Ohta, K; Okubo, K; Onorato, GL; Orlando, V; Ouedraogo, S; Palamarchuk, J; Pali-Schöll, I; Panzner, P; Park, HS; Passalacqua, G; Pépin, JL; Paulino, E; Pawankar, R; Phillips, J; Picard, R; Pinnock, H; Plavec, D; Popov, TA; Portejoie, F; Price, D; Prokopakis, EP; Psarros, F; Pugin, B; Puggioni, F; Quinones-Delgado, P; Raciborski, F; Rajabian-Söderlund, R; Regateiro, FS; Reitsma, S; Rivero-Yeverino, D; Roberts, G; Roche, N; Rodriguez-Zagal, E; Rolland, C; Roller-Wirnsberger, RE; Rosario, N; Romano, A; Rottem, M; Ryan, D; Salimäki, J; Sanchez-Borges, MM; Sastre, J; Scadding, GK; Scheire, S; Schmid-Grendelmeier, P; Schünemann, HJ; Serpa, FS; Shamji, M; Sisul, JC; Sofiev, M; Solé, D; Somekh, D; Sooronbaev, T; Sova, M; Spertini, F; Spranger, O; Stellato, C; Stelmach, R; Thibaudon, M; To, T; Toumi, M; Usmani, O; Valero, AA; Valenta, R; Valentin-Rostan, M; Pereira, MU; van der Kleij, R; Van Eerd, M; Vandenplas, O; Vasankari, T; Carneiro, AV; Vezzani, G; Viart, F; Viegi, G; Wallace, D; Wagenmann, M; Wang, DY; Waserman, S; Wickman, M; Williams, DM; Wong, G; Wroczynski, P; Yiallouros, PK; Yusuf, OM; Zar, HJ; Zeng, SE; Zernotti, ME; Zhang, L; Shan Zhong, N; Zidarn, M</t>
  </si>
  <si>
    <t>Bousquet, Jean; Anto, Josep M.; Bachert, Claus; Haahtela, Tari; Zuberbier, Torsten; Czarlewski, Wienczyslawa; Bedbrook, Anna; Bosnic-Anticevich, Sinthia; Walter Canonica, G.; Cardona, Victoria; Costa, Elisio; Cruz, Alvaro A.; Erhola, Marina; Fokkens, Wytske J.; Fonseca, Joao A.; Illario, Maddalena; Ivancevich, Juan-Carlos; Jutel, Marek; Klimek, Ludger; Kuna, Piotr; Kvedariene, Violeta; Le, L. T. T.; Larenas-Linnemann, Desiree E.; Laune, Daniel; Lourenco, Olga M.; Melen, Erik; Mullol, Joaquim; Niedoszytko, Marek; Odemyr, Mikaela; Okamoto, Yoshitaka; Papadopoulos, Nikos G.; Patella, Vincenzo; Pfaar, Oliver; Pham-Thi, Nhan; Rolland, Christine; Samolinski, Boleslaw; Sheikh, Aziz; Sofiev, Mikhail; Suppli Ulrik, Charlotte; Todo-Bom, Ana; Tomazic, Peter-Valentin; Toppila-Salmi, Sanna; Tsiligianni, Ioanna; Valiulis, Arunas; Valovirta, Erkka; Ventura, Maria-Teresa; Walker, Samantha; Williams, Sian; Yorgancioglu, Arzu; Agache, Ioana; Akdis, Cezmi A.; Almeida, Rute; Ansotegui, Ignacio J.; Annesi-Maesano, Isabella; Arnavielhe, Sylvie; Basagana, Xavier; D. Bateman, Eric; Bedard, Annabelle; Bedolla-Barajas, Martin; Becker, Sven; Bennoor, Kazi S.; Benveniste, Samuel; Bergmann, Karl C.; Bewick, Michael; Bialek, Slawomir; E. Billo, Nils; Bindslev-Jensen, Carsten; Bjermer, Leif; Blain, Hubert; Bonini, Matteo; Bonniaud, Philippe; Bosse, Isabelle; Bouchard, Jacques; Boulet, Louis-Philippe; Bourret, Rodolphe; Boussery, Koen; Braido, Fluvio; Briedis, Vitalis; Briggs, Andrew; Brightling, Christopher E.; Brozek, Jan; Brusselle, Guy; Brussino, Luisa; Buhl, Roland; Buonaiuto, Roland; Calderon, Moises A.; Camargos, Paulo; Camuzat, Thierry; Caraballo, Luis; Carriazo, Ana-Maria; Carr, Warner; Cartier, Christine; Casale, Thomas; Cecchi, Lorenzo; Cepeda Sarabia, Alfonso M.; H. Chavannes, Niels; Chkhartishvili, Ekaterine; Chu, Derek K.; Cingi, Cemal; Correia de Sousa, Jaime; Costa, David J.; Courbis, Anne-Lise; Custovic, Adnan; Cvetkosvki, Biljana; D'Amato, Gennaro; da Silva, Jane; Dantas, Carina; Dokic, Dejan; Dauvilliers, Yves; De Feo, Giulia; De Vries, Govert; Devillier, Philippe; Di Capua, Stefania; Dray, Gerard; Dubakiene, Ruta; Durham, Stephen R.; Dykewicz, Marc; Ebisawa, Motohiro; Gaga, Mina; El-Gamal, Yehia; Heffler, Enrico; Emuzyte, Regina; Farrell, John; Fauquert, Jean-Luc; Fiocchi, Alessandro; Fink-Wagner, Antje; Fontaine, Jean-Francois; Fuentes Perez, Jose M.; Gemicioglu, Bilun; Gamkrelidze, Amiran; Garcia-Aymerich, Judith; Gevaert, Philippe; Gomez, Rene Maximiliano; Gonzalez Diaz, Sandra; Gotua, Maia; Guldemond, Nick A.; Guzman, Maria-Antonieta; Hajjam, Jawad; Huerta Villalobos, Yunuen R.; Humbert, Marc; Iaccarino, Guido; Ierodiakonou, Despo; Iinuma, Tomohisa; Jassem, Ewa; Joos, Guy; Jung, Ki-Suck; Kaidashev, Igor; Kalayci, Omer; Kardas, Przemyslaw; Keil, Thomas; Khaitov, Musa; Khaltaev, Nikolai; Kleine-Tebbe, Jorg; Kouznetsov, Rostislav; Kowalski, Marek L.; Kritikos, Vicky; Kull, Inger; La Grutta, Stefania; Leonardini, Lisa; Ljungberg, Henrik; Lieberman, Philip; Lipworth, Brian; Lodrup Carlsen, Karin C.; Lopes-Pereira, Catarina; Loureiro, Claudia C.; Louis, Renaud; Mair, Alpana; Mahboub, Bassam; Makris, Michael; Malva, Joao; Manning, Patrick; Marshall, Gailen D.; Masjedi, Mohamed R.; Maspero, Jorge F.; Carreiro-Martins, Pedro; Makela, Mika; Mathieu-Dupas, Eve; Maurer, Marcus; De Manuel Keenoy, Esteban; Melo-Gomes, Elisabete; Meltzer, Eli O.; Menditto, Enrica; Mercier, Jacques; Micheli, Yann; Miculinic, Neven; Mihaltan, Florin; Milenkovic, Branislava; Mitsias, Dimitirios I.; Moda, Giuliana; Mogica-Martinez, Maria-Dolores; Mohammad, Yousser; Montefort, Steve; Monti, Ricardo; Morais-Almeida, Mario; Mosges, Ralph; Munter, Lars; Muraro, Antonella; Murray, Ruth; Naclerio, Robert; Napoli, Luigi; Namazova-Baranova, Leyla; Neffen, Hugo; Nekam, Kristoff; Neou, Angelo; Nordlund, Bjorn; Novellino, Ettore; Nyembue, Dieudonne; O'Hehir, Robyn; Ohta, Ken; Okubo, Kimi; Onorato, Gabrielle L.; Orlando, Valentina; Ouedraogo, Solange; Palamarchuk, Julia; Pali-Scholl, Isabella; Panzner, Peter; Park, Hae-Sim; Passalacqua, Gianni; Pepin, Jean-Louis; Paulino, Ema; Pawankar, Ruby; Phillips, Jim; Picard, Robert; Pinnock, Hilary; Plavec, Davor; Popov, Todor A.; Portejoie, Fabienne; Price, David; Prokopakis, Emmanuel P.; Psarros, Fotis; Pugin, Benoit; Puggioni, Francesca; Quinones-Delgado, Pablo; Raciborski, Filip; Rajabian-Soderlund, Rojin; Regateiro, Frederico S.; Reitsma, Sietze; Rivero-Yeverino, Daniela; Roberts, Graham; Roche, Nicolas; Rodriguez-Zagal, Erendira; Rolland, Christine; Roller-Wirnsberger, Regina E.; Rosario, Nelson; Romano, Antonino; Rottem, Menachem; Ryan, Dermot; Salimaki, Johanna; Sanchez-Borges, Mario M.; Sastre, Joaquin; Scadding, Glenis K.; Scheire, Sophie; Schmid-Grendelmeier, Peter; Schunemann, Holger J.; Sarquis Serpa, Faradiba; Shamji, Mohamed; Sisul, Juan-Carlos; Sofiev, Mikhail; Sole, Dirceu; Somekh, David; Sooronbaev, Talant; Sova, Milan; Spertini; Spranger, Otto; Stellato, Cristiana; Stelmach, Rafael; Thibaudon, Michel; To, Teresa; Toumi, Mondher; Usmani, Omar; Valero, Antonio A.; Valenta, Rudolph; Valentin-Rostan, Marylin; Pereira, Marilyn Urrutia; van der Kleij, Rianne; Van Eerd, Michiel; Vandenplas, Olivier; Vasankari, Tuula; Vaz Carneiro, Antonio; Vezzani, Giorgio; Viart, Frederic; Viegi, Giovanni; Wallace, Dana; Wagenmann, Martin; Wang, De Yun; Waserman, Susan; Wickman, Magnus; Williams, Dennis M.; Wong, Gary; Wroczynski, Piotr; Yiallouros, Panayiotis K.; Yusuf, Osman M.; Zar, Heather J.; Zeng, Stephane; Zernotti, Mario E.; Zhang, Luo; Shan Zhong, Nan; Zidarn, Mihaela</t>
  </si>
  <si>
    <t>ARIA digital anamorphosis: Digital transformation of health and care in airway diseases from research to practice</t>
  </si>
  <si>
    <t>ALLERGY</t>
  </si>
  <si>
    <t>ARIA; asthma; CARAT; digital transformation of health and care; MASK; rhinitis</t>
  </si>
  <si>
    <t>EUROPEAN INNOVATION PARTNERSHIP; SEASONAL ALLERGIC RHINITIS; QUALITY-OF-LIFE; ASTHMA MULTIMORBIDITY; MOBILE TECHNOLOGY; WORK PRODUCTIVITY; SELF-MANAGEMENT; IMPACT; GA(2)LEN; MODEL</t>
  </si>
  <si>
    <t>Digital anamorphosis is used to define a distorted image of health and care that may be viewed correctly using digital tools and strategies. MASK digital anamorphosis represents the process used by MASK to develop the digital transformation of health and care in rhinitis. It strengthens the ARIA change management strategy in the prevention and management of airway disease. The MASK strategy is based on validated digital tools. Using the MASK digital tool and the CARAT online enhanced clinical framework, solutions for practical steps of digital enhancement of care are proposed.</t>
  </si>
  <si>
    <t>[Bousquet, Jean; Bedbrook, Anna; Onorato, Gabrielle L.; Portejoie, Fabienne] MACVIA France, Montpellier, France; [Bousquet, Jean; Bedbrook, Anna; Onorato, Gabrielle L.; Portejoie, Fabienne] CHU Montpellier, Montpellier, France; [Bousquet, Jean] INSERM, VIMA Ageing &amp; Chron Dis Epidemiol &amp; Publ Hlth App, U 1168, Villejuif, France; [Bousquet, Jean] Univ Versailles St Quentin En Yvelines, UMR S 1168, Montigny Le Bretonneux, France; [Bousquet, Jean] Humboldt Univ, Univ Med Berlin, Charite, Berlin, Germany; [Bousquet, Jean] Berlin Inst Hlth, Dept Dermatol &amp; Allergy, Comprehens Allergy Ctr, Berlin, Germany; [Anto, Josep M.; Basagana, Xavier; Bedard, Annabelle; Garcia-Aymerich, Judith] Ctr Res Environm Epidemiol CREAL, ISGlobAL, Barcelona, Spain; [Anto, Josep M.; Basagana, Xavier; Bedard, Annabelle] IMIM Hosp del Mar, Res Inst, Barcelona, Spain; [Anto, Josep M.; Basagana, Xavier; Bedard, Annabelle] CIBER Epidemiol &amp; Salud Publ CIBERESP, Barcelona, Spain; [Anto, Josep M.; Basagana, Xavier; Bedard, Annabelle] Univ Pompeu Fabra UPF, Barcelona, Spain; [Bachert, Claus; Gevaert, Philippe] Ghent Univ Hosp, ENT Dept, Upper Airways Res Lab, Ghent, Belgium; [Bachert, Claus; Gevaert, Philippe] Sun Yat Sen Univ, Affiliated Hosp Guangzou 1, Int Airway Res Ctr, Guangzhou, Peoples R China; [Bachert, Claus; Gevaert, Philippe] Karolinska Inst, Div ENT Dis, CLINTEC, Stockholm, Sweden; [Bachert, Claus; Gevaert, Philippe] Karolinska Univ Hosp, Dept ENT Dis, Stockholm, Sweden; [Haahtela, Tari; Toppila-Salmi, Sanna; Makela, Mika] Helsinki Univ Hosp, Skin &amp; Allergy Hosp, Helsinki, Finland; [Haahtela, Tari; Toppila-Salmi, Sanna; Makela, Mika] Univ Helsinki, Helsinki, Finland; [Zuberbier, Torsten; Bergmann, Karl C.; Maurer, Marcus] Charite Univ Med Berlin, Berlin, Germany; [Zuberbier, Torsten; Bergmann, Karl C.; Maurer, Marcus] Free Univ Berlin, Berlin, Germany; [Zuberbier, Torsten; Bergmann, Karl C.; Maurer, Marcus] Humboldt Uniersitat Berlin, Berlin, Germany; [Zuberbier, Torsten; Bergmann, Karl C.; Maurer, Marcus] Berlin Inst Hlth, Dept Dermatol &amp; Allergy, Comprehens Allergy Ctr, GA2LEN, Berlin, Germany; [Czarlewski, Wienczyslawa] Med Consulting Czarlewski, Levallois Perret, France; [Czarlewski, Wienczyslawa] MASK Air, Montpellier, France; [Bosnic-Anticevich, Sinthia; Cvetkosvki, Biljana; Kritikos, Vicky] Univ Sydney, Woolcock Inst Med Res, Glebe, NSW, Australia; [Bosnic-Anticevich, Sinthia; Cvetkosvki, Biljana; Kritikos, Vicky] Woolcock Emphysema Ctr, Glebe, NSW, Australia; [Bosnic-Anticevich, Sinthia; Cvetkosvki, Biljana; Kritikos, Vicky] Sydney Local Hlth Dist, Glebe, NSW, Australia; [Walter Canonica, G.; Heffler, Enrico; Puggioni, Francesca] Humanitas Clin &amp; Res Ctr IRCCS, Personalized Med Clin Asthma &amp; Allergy, Rozzano, Italy; [Walter Canonica, G.; Heffler, Enrico; Puggioni, Francesca] Humanitas Univ, Dept Biomed Sci, Pieve Emanuele, MI, Italy; [Cardona, Victoria] Hosp Valle De Hebron, Allergy Sect, Dept Internal Med, Barcelona, Spain; [Cardona, Victoria] ARADyAL Res Network, Barcelona, Spain; [Costa, Elisio] Univ Porto Porto4Ageing, Fac Pharm, REQUINTE, UCIBIO, Porto, Portugal; [Costa, Elisio] Univ Porto Porto4Ageing, Competence Ctr Active &amp; Healthy Ageing, Porto, Portugal; [Cruz, Alvaro A.] Univ Fed Bahia, ProAR Nucleo Excelencia Asma, Salvador, BA, Brazil; [Cruz, Alvaro A.] WHO GARD Planning Grp, Salvador, BA, Brazil; [Erhola, Marina] Natl Inst Hlth &amp; Welf, Helsinki, Finland; [Fokkens, Wytske J.; Reitsma, Sietze] AMC, Acad Med Ctr, Dept Otorhinolaryngol, Amsterdam, Netherlands; [Fokkens, Wytske J.; Reitsma, Sietze] Euforea, Brussels, Belgium; [Fonseca, Joao A.; Almeida, Rute] Univ Porto, Ctr Res Hlth Technol &amp; Informat Syst, CINTESIS, Fac Med, Lda Porto, Portugal; [Fonseca, Joao A.; Almeida, Rute] Medida, Lda Porto, Portugal; [Illario, Maddalena] Campania Reg, Div Hlth Innovat, Naples, Italy; [Illario, Maddalena] Federico II Univ Hosp Naples R&amp;D &amp; DISMET, Naples, Italy; [Ivancevich, Juan-Carlos] Clin Santa Isabel, Serv Alergia &amp; Immunol, Buenos Aires, DF, Argentina; [Jutel, Marek] Wroclaw Med Univ, Dept Clin Immunol, Warsaw, Poland; [Jutel, Marek] ALL MED Med Res Inst, Warsaw, Poland; [Klimek, Ludger] Ctr Rhinol &amp; Allergol, Wiesbaden, Germany; [Kuna, Piotr] Med Univ Lodz, Barlicki Univ Hosp, Div Internal Med Asthma &amp; Allergy, Lodz, Poland; [Kvedariene, Violeta] Vilnius Univ, Dept Pathol, Inst Biomed Sci, Fac Med, Vilnius, Lithuania; [Kvedariene, Violeta] Inst Clin Med Clin Chest Dis &amp; Allergol, Fac Med, Vilnius, Lithuania; [Le, L. T. T.] Univ Med &amp; Pharm, Hochiminh City, Vietnam; [Larenas-Linnemann, Desiree E.] Medica Clin Fdn &amp; Hosp, Ctr Excellence Asthma &amp; Allergy, Mexico City, DF, Mexico; [Laune, Daniel; Arnavielhe, Sylvie; Mathieu-Dupas, Eve; Micheli, Yann] KYomed INNOV, Montpellier, France; [Lourenco, Olga M.] Univ Beira Interior, Hlth Sci Res Ctr, Fac Hlth Sci, Covilha, Portugal; [Lourenco, Olga M.] Univ Beira Interior, Hlth Sci Res Ctr, CICS UBI, Covilha, Portugal; [Melen, Erik; Kull, Inger] Sachs Children &amp; Youth Hosp, Sodersjukhuset, Stockholm, Sweden; [Melen, Erik] Karolinska Inst, Inst Environm Med, Stockholm, Sweden; [Mullol, Joaquim] Hosp Clin Barcelona, ENT Dept, Rhinol Unit, Barcelona, Spain; [Mullol, Joaquim] Hosp Clin Barcelona, ENT Dept, Smell Clin, Barcelona, Spain; [Mullol, Joaquim] Univ Barcelona, Clin &amp; Expt Resp Immunoallergy, IDIBAPS, CIBERES, Barcelona, Spain; [Niedoszytko, Marek] Med Univ Gdansk, Dept Allergol, Gdansk, Poland; [Odemyr, Mikaela] EFA European Federat Allergy &amp; Airways Dis Patien, Brussels, Belgium; [Okamoto, Yoshitaka; Iinuma, Tomohisa] Chiba Univ Hosp, Dept Otorhinolaryngol, Chiba, Japan; [Papadopoulos, Nikos G.] Univ Manchester, Royal Manchester Childrens Hosp, Div Infect Immun &amp; Resp Med, Manchester, Lancs, England; [Papadopoulos, Nikos G.; Mitsias, Dimitirios I.; Ohta, Ken] Univ Athens, Athens Gen Childrens Hosp P&amp;A Kyriakou, Allergy Dept, Pediat Clin 2, Athens, Greece; [Patella, Vincenzo] Santa Maria Speranza Hosp, Agcy Hlth ASL Salerno, Dept Med, Div Allergy &amp; Clin Immunol, Salerno, Italy; [Pfaar, Oliver] Philipps Univ Marburg, Univ Hosp Marburg, Sect Rhinol &amp; Allergy, Dept Otorhinolaryngol Head &amp; Neck Surg, Marburg, Germany; [Pham-Thi, Nhan] IRBA Inst Rech Biomed Armees, Ecole Polytech, Palaiseau, Bretigny, France; [Rolland, Christine] Assoc Asthme &amp; Allergie, Paris, France; [Samolinski, Boleslaw; Pinnock, Hilary; Raciborski, Filip] Med Univ Warsaw, Dept Prevent Environm Hazards &amp; Allergol, Warsaw, Poland; [Sheikh, Aziz] Univ Edinburgh, Usher Inst Populat Hlth Sci &amp; Informat, Edinburgh, Midlothian, Scotland; [Sofiev, Mikhail; Kouznetsov, Rostislav; Palamarchuk, Julia] Finnish Meteorol Inst FMI, Helsinki, Finland; [Suppli Ulrik, Charlotte] Hvidovre Univ Hosp, Dept Resp Med, Copenhagen, Denmark; [Suppli Ulrik, Charlotte] Univ Copenhagen, Copenhagen, Denmark; [Todo-Bom, Ana; Regateiro, Frederico S.] Univ Coimbra, Allergy &amp; Clin Immunol Unit, ICBR Coimbra Inst Clin &amp; Biomed Res, Inst Immunol,Fac Med,CIBB, Coimbra, Portugal; [Tomazic, Peter-Valentin] Med Univ Graz, Dept Gen ORL, H&amp;NS, Graz, Austria; [Tsiligianni, Ioanna] Univ Crete, Dept Social Med, Hlth Planning Unit, Fac Med, Iraklion, Greece; [Tsiligianni, Ioanna; Williams, Sian] Int Primary Care Resp Grp IPCRG, Aberdeen, Scotland; [Valiulis, Arunas] Vilnius Univ, Inst Clin Med, Fac Med, Vilnius, Lithuania; [Valiulis, Arunas] Inst Hlth Sci, Vilnius, Lithuania; [Valovirta, Erkka] Univ Turku, Dept Lung Dis &amp; Clin Immunol, Turku, Finland; [Valovirta, Erkka] Terveystalo Allergy Clin, Turku, Finland; [Ventura, Maria-Teresa] Univ Bari, Unit Geriatr Immunoallergol, Med Sch, Bari, Italy; [Walker, Samantha] Asthma UK, London, England; [Yorgancioglu, Arzu] Celal Bayar Univ, Dept Pulm Dis, Fac Med, Manisa, Turkey; [Agache, Ioana] Transylvania Univ, Fac Med, Brasov, Romania; [Akdis, Cezmi A.] Univ Zurich, Swiss Inst Allergy &amp; Asthma Res SIAF, Davos, Switzerland; [Ansotegui, Ignacio J.] Hosp Quiron Bizkaia, Dept Allergy &amp; Immunol, Erandio, Spain; [Annesi-Maesano, Isabella] INSERM, Dept Inst Pierre Louis Epidemiol &amp; Publ Hlth, Epidemiol Allerg &amp; Resp Dis, Paris, France; [Annesi-Maesano, Isabella] Sorbonne Univ, Med Sch St Antoine, Paris, France; [D. Bateman, Eric] Univ Cape Town, Dept Med, Cape Town, South Africa; [Bedolla-Barajas, Martin] Hosp Civil Guadalajara Dr Juan Menchaca, Guadalarara, Mexico; [Becker, Sven] Johannes Gutenberg Univ Mainz, Dept Otolaryngol Head &amp; Neck Surg, Mainz, Germany; [Bennoor, Kazi S.] Natl Inst Dis Chest &amp; Hosp, Dept Resp Med, Dhaka, Bangladesh; [Benveniste, Samuel] Broca Hosp, Natl Ctr Expertise Cognit Stimulat CEN STIMCO, Paris, France; [Benveniste, Samuel] PSL Res Univ, Mines ParisTech CRI, Fontainebleau, France; [Bewick, Michael] IQ4U Consultants Ltd, London, England; [Bialek, Slawomir] Warsaw Med Univ, Fac Pharm, Dept Biochem &amp; Clin Chem, Div Lab Med, Warsaw, Poland; [Bindslev-Jensen, Carsten] Odense Univ Hosp, Dept Dermatol, Odense Res Ctr Anaphylaxis ORCA, Odense, Denmark; [Bindslev-Jensen, Carsten] Odense Univ Hosp, Allergy Ctr, Odense Res Ctr Anaphylaxis ORCA, Odense, Denmark; [Bjermer, Leif] Univ Hosp, Dept Resp Med &amp; Allergol, Lund, Sweden; [Blain, Hubert] Montpellier Univ Hosp, Dept Geriatr, Montpellier, France; [Blain, Hubert] Univ Montpellier, Euromov, EA 2991, Montpellier, France; [Bonini, Matteo] Univ Cattolica Sacro Cuore, F Policlin Gemelli IRCCS, UOC Pneumol, Ist Med Interna, Rome, Italy; [Bonini, Matteo] Royal Brompton Hosp, Natl Heart &amp; Lung Inst, London, England; [Bonini, Matteo] Imperial Coll London, London, England; [Bonniaud, Philippe] CHU Dijon, Dijon, France; [Bouchard, Jacques] Lavals Univ, Quebec City, PQ, Canada; [Boulet, Louis-Philippe] Laval Univ, Quebec Heart &amp; Lung Inst, Quebec City, PQ, Canada; [Bourret, Rodolphe] Ctr Hosp Valenciennes, Valenciennes, France; [Boussery, Koen; Scheire, Sophie] Univ Ghent, Fac Pharmaceut Sci, Pharmaceut Care Unit, Ghent, Belgium; [Braido, Fluvio] Univ Genoa, Dept Internal Med DiMI, Genoa, Italy; [Braido, Fluvio] IRCCS Osped Policlin San Martino, Genoa, Italy; [Briedis, Vitalis] Univ Hlth, Dept Clin Pharm Lithuanian, Kaunas, Lithuania; [Briggs, Andrew] Univ Glasgow, Inst Hlth &amp; Wellbeing, Hlth Econ &amp; Hlth Technol Assessment, Glasgow, Lanark, Scotland; [Brightling, Christopher E.] Univ Hosp Leicester NHS Trust, Resp Biomed Unit, Inst Lung Hlth, Leicester, Leics, England; [Brightling, Christopher E.] Univ Leicester, Dept Infect Immun &amp; Inflammat, Leicester, Leics, England; [Brozek, Jan; Chu, Derek K.; Schunemann, Holger J.] McMaster Univ, Div Immunol &amp; Allergy, Dept Hlth Res Methods Evidence &amp; Impact, Hamilton, ON, Canada; [Brusselle, Guy; Joos, Guy] Ghent Univ Hosp, Dept Resp Med, Ghent, Belgium; [Brussino, Luisa; Monti, Ricardo] Univ Torino, Allergy &amp; Clin Immunol Unit, Dept Med Sci, Turin, Italy; [Brussino, Luisa; Monti, Ricardo] Mauriziano Hosp, Turin, Italy; [Buhl, Roland] Johannes Gutenberg Univ Mainz, Univ Med, Mainz, Germany; [Buonaiuto, Roland] Municipal Pharm, Sarno, Italy; [Calderon, Moises A.] Imperial Coll London, Natl Heart &amp; Lung Inst, London, England; [Camargos, Paulo] Univ Fed Minas Gerais, Med Sch, Dept Pediat, Belo Horizonte, MG, Brazil; [Camuzat, Thierry] Reg Occitanie, Montpellier, France; [Caraballo, Luis] Univ Cartagena, Inst Immunol Res, Campus Zaragocilla,Edificio Biblioteca Primer Pis, Cartagena, Colombia; [Caraballo, Luis] Fdn Dev Med &amp; Biol Sci Fundemeb, Cartagena, Colombia; [Carriazo, Ana-Maria] Reg Minist Hlth Andalusia, Seville, Spain; [Carr, Warner] Allergy &amp; Asthma Associates Southern Calif, Mission Viejo, CA USA; [Cartier, Christine; Viart, Frederic] ASA Adv Solut Accelerator, Clapiers, France; [Casale, Thomas] Univ S Florida, Div Allergy Immunol, Tampa, FL 33620 USA; [Cecchi, Lorenzo] USL Toscana Centro, SOS Allergol &amp; Clin Immunol, Prato, Italy; [Cepeda Sarabia, Alfonso M.] Simon Bolivar Univ, Metropolitan Univ, Allergy &amp; Immunol Lab, Barranquilla, Colombia; [Cepeda Sarabia, Alfonso M.] SLaai, Soc Latinoamer Allergia Asma &amp; Immunol, Branquilla, Colombia; [H. Chavannes, Niels] Leiden Univ, Dept Publ Hlth &amp; Primary Care, Med Ctr, Leiden, Netherlands; [Chkhartishvili, Ekaterine] Grigol Robakidze Univ, David Tvildiani Med Univ, Chachava Clin, AIETI Med Sch, Tbilisi, Georgia; [Cingi, Cemal] Eskisehir Osmangazi Univ, ENT Dept, Eskisehir, Turkey; [Correia de Sousa, Jaime] Univ Minho, Life &amp; Hlth Sci Res Inst ICVS, Sch Med, Braga, Portugal; [Correia de Sousa, Jaime] ICVS 3Bs, PT Govt Associate Lab, Guimaraes, Portugal; [Courbis, Anne-Lise; Dray, Gerard] Univ Montpellier, IMT Mines Ales, Montpellier, France; [Custovic, Adnan] Univ Manchester, Inst Inflammat &amp; Repair, Ctr Resp Med &amp; Allergy, Manchester, Lancs, England; [Custovic, Adnan] Univ Hosp South Manchester, Manchester, Lancs, England; [D'Amato, Gennaro] High Specialty Hosp A Cardarelli, Dept Resp Dis, Div Resp &amp; Allerg Dis, Naples, Italy; [da Silva, Jane] Fed Univ Santa Catarina UFSC, Thiago Univ Hosp, Dept Internal Med, Florianopolis, SC, Brazil; [da Silva, Jane] Fed Univ Santa Catarina UFSC, Thiago Univ Hosp, Allergy Clin Prof Polydoro Ernani Sao, Florianopolis, SC, Brazil; [Dantas, Carina] Caritas Diocesana Coimbra, Coimbra, Portugal; [Dantas, Carina; Malva, Joao] Ageing Coimbra EIP AHA Reference Site, Coimbra, Portugal; [Dokic, Dejan] Univ Clin Pulmol &amp; Allergy, Med Fac Skopje, Skopje, North Macedonia; [Dauvilliers, Yves] Hop Gui de Chauliac Montpellier, Dept Neurol, Sleep Unit, INSERM,U1061, Montpellier, France; [De Feo, Giulia; Stellato, Cristiana] Univ Salerno, Dept Med Surg &amp; Dent, Scuola Med Salernitana, Salerno, Italy; [De Vries, Govert; Van Eerd, Michiel] Peercode BV, Geldermalsen, Netherlands; [Devillier, Philippe] Univ Paris Saclay, Hop Foch, Pole Malad Voies Resp, UPRES EA220, Suresnes, France; [Di Capua, Stefania] Farm Golfi Grp, Massa Lubrense, Italy; [Dubakiene, Ruta] Vilnius Univ, Clin Infect Chest Dis Dermatol &amp; Allergol, Vilnius, Lithuania; [Dykewicz, Marc] Imperial Coll London, Natl Heart &amp; Lung Inst, Allergy &amp; Clin Immunol Sect, London, England; St Louis Univ, Sch Med, Sect Allergy &amp; Immunol, St Louis, MO USA; [Ebisawa, Motohiro] Sagamihara Natl Hosp, Clin Res Ctr Allergy &amp; Rheumatol, Sagamihara, Kanagawa, Japan; [Gaga, Mina] Athens Chest Hosp, Resp Med Dept 7, Athens, Greece; [Gaga, Mina] Asthma Ctr, Athens, Greece; [El-Gamal, Yehia] Ain Shams Univ, Childrens Hosp, Pediat Allergy &amp; Immunol Unit, Cairo, Egypt; [Emuzyte, Regina] Vilnius Univ, Clin Childrens Dis, Fac Med, Vilnius, Lithuania; [Farrell, John] Dept Hlth Social Serv &amp; Publ Safety, Belfast, Antrim, North Ireland; [Fauquert, Jean-Luc] CHU Clermont Ferrand, Hop Estaing, Unite Allergol Enfant, Pole Pediatr, Clermont Ferrand, France; [Fiocchi, Alessandro] Bambino Gesu Childrens Res Hosp Holy See, Dept Pediat Med, Div Allergy, Rome, Italy; [Fink-Wagner, Antje; Spranger, Otto] Global Allergy &amp; Airways Patient Platform GAAP, Vienna, Austria; [Fuentes Perez, Jose M.] Hosp Gen Reg 1 Dr Carlos Mc Gregor Sanchez Navarr, Mexico City, DF, Mexico; [Gemicioglu, Bilun] Istanbul Univ Cerrahpasa, Cerrahpasa Fac Med, Dept Pulm Dis, Istanbul, Turkey; [Gamkrelidze, Amiran] Gamkrelidze Natl Ctr Dis Control &amp; Publ Hlth Geor, Tbilisi, Georgia; [Gomez, Rene Maximiliano] Hosp San Bernardo Salta, Allergy &amp; Asthma Unit, Salta, Argentina; [Gonzalez Diaz, Sandra] Univ Autonoma Nuevo Leon, San Nicolas De Los Garza, Nuevo Leon, Mexico; [Gotua, Maia] Georgian Assoc Allergol &amp; Clin Immunol, Ctr Allergy &amp; Immunol, Tbilisi, Georgia; [Guldemond, Nick A.] Erasmus Univ, Inst Hlth Policy &amp; Management iBMG, Rotterdam, Netherlands; [Guzman, Maria-Antonieta] Univ Chile, Immunol &amp; Allergy Div, Clin Hosp, Santiago, Chile; [Hajjam, Jawad] Ctr Expertise PartenariatEuropeen Innovat Vieilli, Conseil Reg Pays Loire, Centich Ctr Expertise Natl Technol Informat &amp; Com, Grp VyV, Nantes, France; [Huerta Villalobos, Yunuen R.] IMSS Hosp Gen Reg 1 Dr Carlos Mc Gregor Sanchez N, Mexico City, DF, Mexico; [Cardona, Victoria; Humbert, Marc] Univ Paris Sud, Hop Bicetre, INSERM, Serv Pneumol,UMR S999, Le Kremlin Bicetre, France; [Iaccarino, Guido] Univ Naples Federico II, Dept Adv Biomed Sci, Naples, Italy; [Ierodiakonou, Despo] Univ Crete, Fac Med, Dept Social Med, Iraklion, Greece; [Ierodiakonou, Despo] Int Primary Care Resp Grp, Iraklion, Greece; [Jassem, Ewa] Med Univ Gdansk, Dept Allergol, Gdansk, Poland; [Jung, Ki-Suck] Hallym Univ, Sacred Heart Hosp, Coll Med, Gyeonggi Do, South Korea; [Kaidashev, Igor] Ukrainina Med Stomatol Acad, Poltava, Ukraine; [Kalayci, Omer] Hacettepe Univ, Pediat Allergy &amp; Asthma Unit, Sch Med, Ankara, Turkey; [Kardas, Przemyslaw] Med Univ Lodz, Dept Family Med 1, Lodz, Poland; [Keil, Thomas] Charite Univ Med Berlin, Inst Social Med Epidemiol &amp; Hlth Econ, Berlin, Germany; [Keil, Thomas] Univ Wurzburg, Inst Clin Epidemiol &amp; Biometry, Bad Kissingen, Germany; [Keil, Thomas] Bavarian Hlth &amp; Food Safety Author, Inst Hlth Resort Med &amp; Hlth Promot, Bad Kissingen, Germany; [Khaitov, Musa] Fed Medicobiol Agcy, Inst Immunol, Natl Res Ctr, Lab Mol Immunol, Moscow, Russia; [Kleine-Tebbe, Jorg] Allergy &amp; Asthma Ctr Westend, Berlin, Germany; [Kowalski, Marek L.] Med Univ Lodz, Healthy Ageing Res Ctr, Dept Immunol &amp; Allergy, Lodz, Poland; [Kull, Inger] Karolinska Inst, Dept Clin Sci &amp; Educ, Sodersjukhuset, Stockholm, Sweden; [La Grutta, Stefania] Natl Res Council CNR, Inst Res &amp; Biomed Innovat IRIB, Palermo, Italy; [Leonardini, Lisa] Mattone Internazionale Program, Venise, Veneto Region, Italy; [Ljungberg, Henrik; Nordlund, Bjorn] Karolinska Univ Hosp, Astrid Lindgren Childrens Hosp, Lung Allergy Dept, Stockholm, Sweden; [Ljungberg, Henrik; Nordlund, Bjorn] Karolinska Inst, Dept Womens &amp; Childrens Hlth, Stockholm, Sweden; [Lieberman, Philip] Univ Tennessee, Coll Med, Dept Internal Med, Div Allergy &amp; Immunol, Germantown, TN USA; [Lieberman, Philip] Univ Tennessee, Coll Med, Dept Pediat, Div Allergy &amp; Immunol, Germantown, TN USA; [Lipworth, Brian] Univ Dundee, Med Res Inst, Ninewells Hosp, Scottish Ctr Resp Res Cardiovasc &amp; Diabet Med, Dundee, Scotland; [Lodrup Carlsen, Karin C.] Oslo Univ Hosp, Dept Paediat, Oslo, Norway; [Lodrup Carlsen, Karin C.] Univ Oslo, Inst Clin Med, Fac Med, Oslo, Norway; [Lopes-Pereira, Catarina] Med Europe, Brussels, Belgium; [Loureiro, Claudia C.] Ctr Hosp &amp; Univ Coimbra, Hosp Univ Coimbra, Pneumol Dept, Coimbra, Portugal; [Louis, Renaud] CHU Sart Tilman, Dept Pulm Med, Liege, Belgium; [Louis, Renaud] GIGA I3 Res Grp, Liege, Belgium; [Mair, Alpana] Scottish Govt, DG Hlth &amp; Social Care, Edinburgh, Midlothian, Scotland; [Mahboub, Bassam] Rashid Hosp, Dept Pulm Med, Dubai, U Arab Emirates; [Makris, Michael] Natl &amp; Kapodistrian Univ Athens, Attikon Univ Hosp, Dept Dermatol &amp; Venereol 2, Allergy Unit D Kalogeromitros, Chaidari, Greece; [Malva, Joao] Univ Coimbra, Coimbra Inst Clin &amp; Biomed Res iCBR, Fac Med, Coimbra, Portugal; [Manning, Patrick] Bon Secours Hosp, Dept Med RCSI, Dublin, Ireland; [Marshall, Gailen D.] Univ Mississippi, Med Ctr, Div Clin Immunol &amp; Allergy, Lab Behav Immunol Res, Jackson, MS 39216 USA; [Masjedi, Mohamed R.] Tobacco Control Res Ctr, Tehran, Iran; [Masjedi, Mohamed R.] Iranian Anti Tobacco Assoc, Tehran, Iran; [Maspero, Jorge F.] Argentine Assoc Allergy &amp; Clin Immunol, Buenos Aires, DF, Argentina; [Carreiro-Martins, Pedro] Hosp Dona Estefania, Ctr Hosp Lisboa Cent, Serv Immunol, Lisbon, Portugal; [Carreiro-Martins, Pedro] Univ Nova Lisboa, Comprehens Hlth Res Ctr CHRC, Nova Med Sch, Lisbon, Portugal; [De Manuel Keenoy, Esteban] Int Ctr Excellence Chron Res Barakaldo, Kronikgune, Bizkaia, Spain; [Melo-Gomes, Elisabete] PNDR, Portuguese Natl Programme Resp Dis, Fac Med Lisboa, Lisbon, Portugal; [Meltzer, Eli O.] Allergy &amp; Asthma Med Grp &amp; Res Ctr, San Diego, CA USA; [Menditto, Enrica] Univ Naples Federico II, CIRFF, Naples, Italy; [Mercier, Jacques] Univ Montpellier, CHRU, Dept Physiol, Montpellier, France; [Mercier, Jacques] CNRS, PhyMedExp, INSERM, Res,U1046,UMR 9214, Montpellier, France; [Miculinic, Neven] Croatian Pulm Soc, Zagreb, Croatia; [Mihaltan, Florin] Natl Inst Pneumol M Nasta, Bucharest, Romania; [Milenkovic, Branislava] Univ Belgrade, Serbian Assoc Asthma &amp; COPD, Clin Ctr Serbia, Fac Med,Clin Pulm Dis, Belgrade, Serbia; [Moda, Giuliana] Reg Piemonte, Turin, Italy; [Mohammad, Yousser] Tishreen Univ, Natl Ctr Res Chron Resp Dis, Sch Med, Latakia, Syria; [Mohammad, Yousser] Syrian Private Univ Damascus, Damascus, Syria; [Montefort, Steve] Mater Dei Hosp Malta, La Valette, Malta; [Montefort, Steve] Univ Malta, Med, La Valette, Malta; [Montefort, Steve] Univ Med, Fac Med &amp; Surg, La Valette, Malta; [Morais-Almeida, Mario] CUF Descobertas Hosp, Allergy Ctr, Lisbon, Portugal; [Mosges, Ralph] CRI Clin Res Int Ltd, Hamburg, Germany; [Munter, Lars] Danish Comm Hlth Educ, Copenhagen East, Denmark; [Muraro, Antonella] Padua Gen Univ Hosp, Dept Women &amp; Child Hlth, Food Allergy Referral Ctr Veneto Reg, Padua, Italy; [Murray, Ruth] OPC, Cambridge, England; [Murray, Ruth] Medscript, Paraparaumu, New Zealand; [Naclerio, Robert] Johns Hopkins Sch Med, Baltimore, MD USA; [Napoli, Luigi] Consortium Pharm &amp; Serv COSAFER, Salerno, Italy; [Namazova-Baranova, Leyla] Russian Natl Res Med Univ, Sci Ctr Childrens Hlth PoH, Moscow, Russia; [Neffen, Hugo] Ctr Allergy &amp; Immunol, Ctr Allergy Immunol &amp; Resp Dis, Santa Fe, Argentina; [Nekam, Kristoff] Hosp Bros Buda, Hosp Budapest, Budapest, Hungary; [Neou, Angelo] Dei Hautambulanz &amp; Rothhaar Study Ctr, Berlin, Germany; [Novellino, Ettore; Orlando, Valentina] Univ Naples Federico II, Dept Pharm, Naples, Italy; [Nyembue, Dieudonne] Univ Hosp Kinshasa, ENT Dept, Kinshasa, DEM REP CONGO; [O'Hehir, Robyn] Alfred Hosp, Dept Allergy Immunol &amp; Resp Med, Melbourne, Vic, Australia; [O'Hehir, Robyn] Monash Univ, Cent Clin Sch, Melbourne, Vic, Australia; [O'Hehir, Robyn] Monash Univ, Dept Immunol, Melbourne, Vic, Australia; [Okubo, Kimi] Nippon Med Sch, Dept Otolaryngol, Tokyo, Japan; [Ouedraogo, Solange] Ctr Hosp Univ Pediat Charles Gaulle, Ouagadougou, Burkina Faso; [Pali-Scholl, Isabella] Univ Vet Med, Messerli Res Inst, Dept Comparat Med, Vienna, Austria; [Pali-Scholl, Isabella] Med Univ, Vienna, Austria; [Panzner, Peter] Charles Univ Prague, Fac Med Pilsen, Dept Immunol &amp; Allergol, Plzen, Czech Republic; [Park, Hae-Sim] Ajou Univ, Dept Allergy &amp; Clin Immunol, Sch Med, Suwon, South Korea; [Passalacqua, Gianni] Univ Genoa, Allergy &amp; Resp Dis, Osped Policlino San Martino, Genoa, Italy; [Pepin, Jean-Louis] Univ Grenoble Alpes, Lab HP2, INSERM, U1042, Grenoble, France; [Pepin, Jean-Louis] CHU Grenoble, Grenoble, France; [Paulino, Ema] Ezfy, Lisbon, Portugal; [Pawankar, Ruby] Nippon Med Sch, Dept Pediat, Tokyo, Japan; [Phillips, Jim] Ctr Empowering Patients &amp; Commun, Faulkland, England; [Picard, Robert] Minist Econ Ind &amp; Numer, Conseil Gen Econ, Paris, France; [Plavec, Davor] Univ JJ Strossmayer, Childrens Hosp Srebrnjak, Sch Med, Zagreb, Osijek, Croatia; [Popov, Todor A.] Univ Hosp Sv Ivan Rilski, Sofia, Bulgaria; [Price, David] Observat &amp; Pragmat Res Inst Singapore, Singapore, Singapore; [Prokopakis, Emmanuel P.] Univ Crete, Dept Otorhinolaryngol, Sch Med, Iraklion, Greece; [Psarros, Fotis] Athens Naval Hosp, Allergy Dept, Athens, Greece; [Pugin, Benoit] European Forum Res &amp; Educ Allergy &amp; Airway Dis EU, Brussels, Belgium; [Quinones-Delgado, Pablo] Reg Govt Equal Social Policies &amp; Conciliat Andalu, Agency Social Serv &amp; Dependency, Seville, Spain; [Rajabian-Soderlund, Rojin] Karolinska Univ Hosp, Dept Nephrol &amp; Endocrinol, Stockholm, Sweden; [Roberts, Graham] St Marys Hosp, David Hide Ctr, Isle Of Wight, England; [Roberts, Graham] Univ Southampton, Southampton, Hants, England; [Roche, Nicolas] Hop Univ Paris, Ctr Hop Cochin, Pneumol &amp; Soins Intensifs Resp, Paris, France; [Roller-Wirnsberger, Regina E.] Med Univ Graz, Dept Internal Med, Graz, Austria; [Rosario, Nelson] Univ Parana, Hosp Clin, Curitiba, Parana, Brazil; [Romano, Antonino] Univ Cattolica Sacro Cuore, Allergy Unit, Presidio Columbus, Rome, Italy; [Romano, Antonino] IRCCS Oasi Maria SS, Troina, Italy; [Rottem, Menachem] Emek Med Ctr, Div Allergy Asthma &amp; Clin Immunol, Afula, Israel; [Ryan, Dermot] Univ Edinburgh, Allergy &amp; Resp Res Grp, Edinburgh, Midlothian, Scotland; [Salimaki, Johanna] Assoc Finnish Pharmacists, Helsinki, Finland; [Sanchez-Borges, Mario M.] Ctr Medico Docente Trinidad &amp; Clin El Avila, Allergy &amp; Clin Immunol Dept, Caracas, Venezuela; [Sastre, Joaquin] Autnonous Univ Madrid, Fac Med, Madrid, Spain; [Scadding, Glenis K.] Royal Natl TNE Hosp, Univ Coll, London, England; [Schmid-Grendelmeier, Peter] Univ Hosp Zurich, Dept Dermatol, Allergy Unit, Zurich, Switzerland; [Sarquis Serpa, Faradiba] Sch Med Santa Casa Misericordia Vitoria Esperito, Asthma Reference Ctr, Vitoria, ES, Brazil; [Shamji, Mohamed] Imperial Coll London, Immunomodulat &amp; Tolerance Grp, London, England; [Shamji, Mohamed] Imperial Coll London, Allergy &amp; Clin Immunol, London, England; [Sisul, Juan-Carlos] Soc Paraguaya Alergia Asma &amp; Inmunol, Asuncion, Paraguay; [Sole, Dirceu] Univ Fed Sao Paulo, Dept Pediat, Div Allergy Clin Immunol &amp; Rheumatol, Sao Paulo, Brazil; [Somekh, David] European Hlth Futures Forum EHFF, Dromahair, Ireland; [Sooronbaev, Talant] Euro Asian Resp Soc, Kyrgyzstan Natl Ctr Cardiol &amp; Internal Med, Bishkek, Kyrgyzstan; [Sova, Milan] Univ Hosp Olomouc, Dept Resp Med, Olomouc, Czech Republic; [Spertini] CHU Vaudois, Serv Immunol &amp; Allergie, Lausanne, Switzerland; [Stelmach, Rafael] Univ Sao Paulo, Heart Inst InCor, Hosp Clin, Pulm Div,Fac Med, Sao Paulo, Brazil; [Thibaudon, Michel] RNSA Reseau Natl Surveillance Aerobiol, Brussieu, France; [To, Teresa] Sidkkids Hosp, Toronto, ON, Canada; [To, Teresa] Inst Hlth Policy Management &amp; Evaluat, Toronto, ON, Canada; [Toumi, Mondher] Aix Marseille Univ, Publ Hlth, Marseille, France; [Usmani, Omar] Imperial Coll London, Natl Heart &amp; Lung Inst NHLI, London, England; [Usmani, Omar] Royal Brompton Hosp, Airways Dis Sect, London, England; [Valero, Antonio A.] Univ Barcelona, CIBERES, Pneumol &amp; Allergy Dept, Barcelona, Spain; [Valero, Antonio A.] Univ Barcelona, IDIBAPS, Clin &amp; Expt Resp Immunoallergy, Barcelona, Spain; [Valenta, Rudolph] Med Univ Vienna, Dept Pathophysiol &amp; Allergy Res, Ctr Pathophysiol Infectiol &amp; Immunol, Div Immunopathol, Vienna, Austria; [Valenta, Rudolph] NRC Inst Immunol FMBA Russia, Moscow, Russia; [Valenta, Rudolph] Sechenov First Moscow State Med Univ, Dept Clin Immunol &amp; Allergy, Lab Immunopathol, Moscow, Russia; [van der Kleij, Rianne] Leiden Univ Med Ctr LUMC, Dept Publ Hlth &amp; Primary Care, Leiden, Netherlands; [van der Kleij, Rianne] Erasmus MC, Univ Med Ctr, Dept Obstet &amp; Gynaecol, Rotterdam, Netherlands; [Vandenplas, Olivier] Catholic Univ Louvain, Ctr Hosp Univ UCL Namur, Dept Chest Med, Yvoir, Belgium; [Vasankari, Tuula] Finnish Lung Assoc, FILHA, Helsinki, Finland; [Vasankari, Tuula] Turku Univ, Turku, Finland; [Vaz Carneiro, Antonio] Ctr Estudos Med Baseada Evidencia, Inst Saude Ambiental, Inst Med Prevent &amp; Saude Publ, Cochrane, Portugal; [Vezzani, Giorgio] AUSL Reggio Emilia, Dept Med Specialties, Pulm Unit, Arcispedale SMaria Nuova IRCCS, Reggio Emilia, Italy; [Viegi, Giovanni] CNR Inst Clin Physiol, Pulm Environm Epidemiol Unit, Via Trieste 41, I-56126 Pisa, Italy; [Viegi, Giovanni] CNR Inst Biomed &amp; Mol Immunol Monroy, Palermo, Italy; [Wallace, Dana] Nova Southeastern Univ, Ft Lauderdale, FL 33314 USA; [Wagenmann, Martin] Univ Klinikum Dusseldorf, Dept Otorhinolaryngol, HNO Klin, Dusseldorf, Germany; [Wang, De Yun] Natl Univ Singapore, Yong Loo Lin Sch Med, Dept Otolaryngol, Singapore, Singapore; [Waserman, Susan] McMaster Univ, Dept Med Clin Immunol &amp; Allergy, Hamilton, ON, Canada; [Wickman, Magnus] Uppsala Univ, Ctr Clin Res Sormland, Eskilstuna, Sweden; [Williams, Dennis M.] Univ N Carolina, Eshelman Sch Pharm, Chapel Hill, NC 27515 USA; [Wong, Gary] Chinese Univ Hong Kong, Prince Wales Hosp, Dept Paediat, Shatin, Hong Kong, Peoples R China; [Wroczynski, Piotr] Med Univ Warsaw, Fac Pharm, Dept Phys Pharm &amp; Bioanal, Lab Med Div, Warsaw, Poland; [Yiallouros, Panayiotis K.] Cyprus Univ Technol, Cyprus Int Inst Environm &amp; Publ Hlth, Assoc Harvard Sch Publ Hlth, Limassol, Cyprus; [Yiallouros, Panayiotis K.] Hosp Archbishop Makarios III, Dept Pediat, Nicosia, Cyprus; [Yusuf, Osman M.] Allergy &amp; Asthma Inst, Islamabad, Pakistan; [Zar, Heather J.] Univ Cape Town, Red Cross Childrens Hosp, Dept Paediat &amp; Child Hlth, Cape Town, South Africa; [Zar, Heather J.] Univ Cape Town, MRC Unit Child &amp; Adolescent Hlth, Cape Town, South Africa; [Zeng, Stephane] Bull DSAS, Echirolles, France; [Zernotti, Mario E.] Univ Catolica Cordoba, Cordoba, Argentina; [Zhang, Luo] Beijing TongRen Hosp, Dept Otolaryngol Head &amp; Neck Surg, Beijing, Peoples R China; [Zhang, Luo] Beijing Inst Otolaryngol, Beijing, Peoples R China; [Shan Zhong, Nan] Guangzhou Med Univ, Guangzhou Inst Resp Dis, State Key Lab Resp Dis, Affiliated Hosp 1, Guangzhou, Peoples R China; [Zidarn, Mihaela] Univ Clin Resp &amp; Allerg Dis, Golnik, Slovenia; [Pereira, Marilyn Urrutia] PIPA Pediat Program Asthma Prevent, Uruguaiana, Brazil</t>
  </si>
  <si>
    <t>Universite de Montpellier; Universite de Montpellier; CHU de Montpellier; Universite Paris Saclay; Institut National de la Sante et de la Recherche Medicale (Inserm); Universite Paris Saclay; Berlin Institute of Health; Free University of Berlin; Humboldt University of Berlin; Charite Universitatsmedizin Berlin; Berlin Institute of Health; Pompeu Fabra University; Centre de Recerca en Epidemiologia Ambiental (CREAL); ISGlobal; Hospital del Mar Research Institute; Hospital del Mar; CIBER - Centro de Investigacion Biomedica en Red; CIBERESP; Pompeu Fabra University; Ghent University; Ghent University Hospital; Sun Yat Sen University; Karolinska Institutet; Karolinska Institutet; Karolinska University Hospital; University of Helsinki; Helsinki University Central Hospital; University of Helsinki; Berlin Institute of Health; Free University of Berlin; Humboldt University of Berlin; Charite Universitatsmedizin Berlin; Free University of Berlin; Berlin Institute of Health; University of Sydney; Woolcock Institute of Medical Research; University of Sydney; Woolcock Institute of Medical Research; Sydney Local Health District; Hospital Universitari Vall d'Hebron; Universidade do Porto; Universidade Federal da Bahia; Finland National Institute for Health &amp; Welfare; University of Amsterdam; Academic Medical Center Amsterdam; Universidade do Porto; Wroclaw Medical University; Medical University Lodz; Vilnius University; Hochiminh City University of Medicine &amp; Pharmacy; Universidade da Beira Interior; Universidade da Beira Interior; Sodersjukhuset Hospital; Karolinska Institutet; University of Barcelona; Hospital Clinic de Barcelona; University of Barcelona; Hospital Clinic de Barcelona; CIBER - Centro de Investigacion Biomedica en Red; CIBERES; University of Barcelona; Hospital Clinic de Barcelona; IDIBAPS; Fahrenheit Universities; Medical University Gdansk; Chiba University; Royal Manchester Children's Hospital; University of Manchester; National &amp; Kapodistrian University of Athens; Philipps University Marburg; University Hospital of Giessen &amp; Marburg; Institut Polytechnique de Paris; Ecole Polytechnique; Medical University of Warsaw; University of Edinburgh; Finnish Meteorological Institute; University of Copenhagen; University of Copenhagen; Universidade de Coimbra; Medical University of Graz; University of Crete; Vilnius University; University of Turku; Universita degli Studi di Bari Aldo Moro; Celal Bayar University; Transylvania University of Brasov; University of Zurich; Swiss Institute of Allergy &amp; Asthma Research; Institut National de la Sante et de la Recherche Medicale (Inserm); Sorbonne Universite; University of Cape Town; Johannes Gutenberg University of Mainz; Assistance Publique Hopitaux Paris (APHP); Universite Paris Cite; Hopital Universitaire Broca - APHP; Universite PSL; MINES ParisTech; Medical University of Warsaw; University of Southern Denmark; Odense University Hospital; University of Southern Denmark; Odense University Hospital; Lund University; Skane University Hospital; Universite de Montpellier; CHU de Montpellier; Universite de Montpellier; Catholic University of the Sacred Heart; IRCCS Policlinico Gemelli; Royal Brompton Hospital; Imperial College London; Imperial College London; CHU Dijon Bourgogne; Quebec Heart &amp; Lung Institute; Laval University; CH de Valenciennes; Ghent University; University of Genoa; University of Glasgow; University of Leicester; University Hospitals of Leicester NHS Trust; University of Leicester; McMaster University; Ghent University; Ghent University Hospital; University of Turin; A.O.U. Citta della Salute e della Scienza di Torino; AOU San Giovanni Battista-Molinette; Johannes Gutenberg University of Mainz; Imperial College London; Universidade Federal de Minas Gerais; Universidad de Cartagena; State University System of Florida; University of South Florida; Leiden University - Excl LUMC; Leiden University; Leiden University Medical Center (LUMC); Eskisehir Osmangazi University; Universidade do Minho; IMT - Institut Mines-Telecom; IMT Mines Ales; Universite de Montpellier; University of Manchester; Wythenshawe Hospital NHS Foundation Trust; Antonio Cardarelli Hospital; Universidade Federal de Santa Catarina (UFSC); Universidade Federal de Santa Catarina (UFSC); Saints Cyril &amp; Methodius University of Skopje; Institut National de la Sante et de la Recherche Medicale (Inserm); Universite de Montpellier; CHU de Montpellier; University of Salerno; Universite Paris Saclay; Hospital Foch; Vilnius University; Imperial College London; Saint Louis University; Egyptian Knowledge Bank (EKB); Ain Shams University; Vilnius University; CHU Clermont Ferrand; Istanbul University - Cerrahpasa; Universidad Autonoma de Nuevo Leon; Erasmus University Rotterdam - Excl Erasmus MC; Erasmus University Rotterdam; Universidad de Chile; Assistance Publique Hopitaux Paris (APHP); Hopital Universitaire Bicetre - APHP; Hopital Universitaire Antoine-Beclere - APHP; Institut National de la Sante et de la Recherche Medicale (Inserm); Universite Paris Saclay; University of Naples Federico II; University of Crete; Fahrenheit Universities; Medical University Gdansk; Hallym University; Poltava State Medical University; Hacettepe University; Medical University Lodz; Berlin Institute of Health; Free University of Berlin; Humboldt University of Berlin; Charite Universitatsmedizin Berlin; University of Wurzburg; Bavarian Health &amp; Food Safety Authority; NRC Institute of Immunology FMBA of Russia; Medical University Lodz; Sodersjukhuset Hospital; Karolinska Institutet; Consiglio Nazionale delle Ricerche (CNR); Istituto Ricerca l'Innovazione Biomedica (IRIB-CNR); Karolinska Institutet; Karolinska University Hospital; Karolinska Institutet; University of Tennessee System; University of Tennessee Health Science Center; University of Tennessee System; University of Tennessee Health Science Center; University of Dundee; University of Oslo; University of Oslo; Universidade de Coimbra; Centro Hospitalar e Universitario de Coimbra (CHUC); University of Liege; University Hospital Attikon; National &amp; Kapodistrian University of Athens; Universidade de Coimbra; Royal College of Surgeons - Ireland; University of Mississippi Medical Center; University of Mississippi; Universidade de Lisboa; Centro Hospitalar de Lisboa Central, EPE; Universidade Nova de Lisboa; Universidade de Lisboa; Allergy &amp; Asthma Medical Group &amp; Research Center; University of Naples Federico II; Universite de Montpellier; CHU de Montpellier; Institut National de la Sante et de la Recherche Medicale (Inserm); Centre National de la Recherche Scientifique (CNRS); CNRS - National Institute for Biology (INSB); Universite de Montpellier; Marius Nasta Pneumophtisiology Institute; University of Belgrade; Clinical Centre of Serbia; Tishreen University; University of Malta; University of Padua; Azienda Ospedaliera - Universita di Padova; Johns Hopkins University; Johns Hopkins Medicine; Pirogov Russian National Research Medical University; Semmelweis University; University of Naples Federico II; Florey Institute of Neuroscience &amp; Mental Health; Howard Florey Institute Affiliates; Monash University; Monash University; Nippon Medical School; University of Veterinary Medicine Vienna; Charles University Prague; Ajou University; University of Genoa; Communaute Universite Grenoble Alpes; Universite Grenoble Alpes (UGA); Institut National de la Sante et de la Recherche Medicale (Inserm); Communaute Universite Grenoble Alpes; Universite Grenoble Alpes (UGA); CHU Grenoble Alpes; Nippon Medical School; University of JJ Strossmayer Osijek; Medical University Sofia; University of Crete; Karolinska Institutet; Karolinska University Hospital; University of Southampton; Assistance Publique Hopitaux Paris (APHP); Universite Paris Cite; Hopital Universitaire Cochin - APHP; Medical University of Graz; Catholic University of the Sacred Heart; IRCCS Policlinico Gemelli; IRCCS - Oasi Research Institute; Emek Medical Center; University of Edinburgh; University of London; University College London; University of Zurich; University Zurich Hospital; Imperial College London; Imperial College London; Universidade Federal de Sao Paulo (UNIFESP); University Hospital Olomouc; University of Lausanne; Centre Hospitalier Universitaire Vaudois (CHUV); Universidade de Sao Paulo; Aix-Marseille Universite; Imperial College London; Royal Brompton Hospital; CIBER - Centro de Investigacion Biomedica en Red; CIBERES; University of Barcelona; University of Barcelona; Hospital Clinic de Barcelona; IDIBAPS; Medical University of Vienna; NRC Institute of Immunology FMBA of Russia; Sechenov First Moscow State Medical University; Leiden University; Leiden University Medical Center (LUMC); Erasmus University Rotterdam; Erasmus MC; Universite Catholique Louvain; University of Turku; IRCCS Arcispedale S. Maria Nuova; Consiglio Nazionale delle Ricerche (CNR); Istituto di Fisiologia Clinica (IFC-CNR); Nova Southeastern University; Heinrich Heine University Dusseldorf; Heinrich Heine University Dusseldorf Hospital; National University of Singapore; McMaster University; Uppsala University; University of North Carolina; University of North Carolina Chapel Hill; Chinese University of Hong Kong; Prince of Wales Hospital; Medical University of Warsaw; Cyprus University of Technology; Cyprus International Institute for Environmental &amp; Public Health; University of Cape Town; University of Cape Town; Catholic University of Cordoba; Capital Medical University; State Key Laboratory of Respiratory Disease; Guangzhou Medical University</t>
  </si>
  <si>
    <t>Bousquet, J (corresponding author), CHU Arnaud Villeneuve, MACVIA France, 371 Ave Doyen Gaston Giraud, F-34295 Montpellier 5, France.</t>
  </si>
  <si>
    <t>Bosnic-Anticevich, Sinthia/AAD-2526-2021; stelmach, rafael/B-4076-2013; Zuberbier, Torsten/AFM-9173-2022; Walker, Samantha/B-9740-2013; Bachert, Claus/J-8825-2012; Courbis, Anne-Lise/HLX-6019-2023; Lotrean, Lucia/C-2859-2011; Paulino, Ema/LTD-8154-2024; Schmid, Peter/D-1717-2013; Fontaine, Jean-Fred/GNP-2904-2022; Nordlund, Björn/AAF-6037-2019; Brusselle, Guy/AFU-8839-2022; Cingi, Cemal/AAA-1951-2021; Valiulis, Arunas/JEZ-2972-2023; T, E/HII-8943-2022; Djokic, Dejan/V-9813-2017; Bergmann, Karl-Christian/AAA-4104-2019; Mullol, Joaquim/F-2951-2014; Carneiro Viana, Aline/LQJ-8487-2024; Agache, Ioana/AAP-7403-2020; de Castro Soares Regateiro, Frederico/AAR-1528-2020; Cardona, Victoria/GRX-4196-2022; Orlando, Valentina/AAD-1791-2019; van der Kleij, Rianne/AAS-3130-2020; Shamji, Mohamed/AAD-1788-2019; LOUIS, Renaud/HMO-7349-2023; Briedis, Vitalis/AAY-9241-2020; Fokkens, Wytske/ABF-2185-2020; Klimek, Ludger/AFJ-9880-2022; Plavec, Davor/HKM-7822-2023; González-Díaz, Sandra/H-3271-2018; Popov, Todor/Q-9928-2016; Bonniaud, Philippe/ITT-4660-2023; Muraro, Antonella/AFO-2033-2022; Brozek, Jan/ADG-1130-2022; Valenta, Richard/K-4072-2017; Jung, Ki-Suck/AAN-2473-2021; Zar, Heather/GZL-5350-2022; Ryan, Dermot/AAJ-2329-2021; Roche, Nicolas/AAE-9206-2021; Gaga, Mina/AAP-8348-2020; Viegi, Giovanni/K-2746-2016; Patella, Vincenzo/JRX-8386-2023; Loureiro, Claudia/AAW-3420-2021; Briggs, Andrew/ABA-9009-2020; brussino, luisa/J-2486-2012; Yorgancioglu, Arzu/AAC-7548-2020; Gotua, Maia/ABA-1648-2021; Todo Bom, Ana/AHD-3630-2022; Gevaert, Philippe/AAP-1892-2020; Khaitov, Musa/L-3369-2017; Sofiev, Mikhail/F-7606-2016; Roberts, Gareth/H-4496-2011; Tsiligianni, Ioanna/IUN-4739-2023; Fiocchi, Alessandro/K-9235-2016; Reitsma, Sietze/JJP-5995-2023; Humbert, Marc/AAC-8459-2019; Bateman, Eric/B-7042-2011; Heffler, Enrico/F-9455-2010; J, Garcia-Aymerich/G-6867-2014; Sheikh, Aziz/D-2818-2009; Yiallouros, Panayiotis/AAF-6026-2019; Serpa, Faradiba/AAC-8477-2021; Bousquet, Jean/O-4221-2019; Pham-Thi, Nhan/HCH-6032-2022; PEPIN, Jean-Louis/M-6549-2014; Rabe, Klaus/AAW-6296-2021; Kvedarienė, Violeta/GON-7937-2022; Cecchi, Lorenzo/HPF-1970-2023; Martins, Pedro/A-1433-2011; La Grutta, Stefania/N-3615-2014; Gemicioglu, Bilun/AAH-6927-2019; Mohammad, Yousser/LTD-1984-2024; Ivancevich, Juan/AAB-4937-2020; Sova, Milan/AAH-3802-2020; Kouznetsov, Rostislav/ABD-3737-2020; Toppila-Salmi, Sanna/ABF-5840-2020; Stellato, Cristiana/IWU-8018-2023; Akdis, Cezmi/AAV-4844-2020; Rivero Yeverino, Daniela/IYS-3602-2023; Kaidashev, Igor/L-2606-2019; Dray, Gerard/ACO-1836-2022; Solé, Dirceu/JAO-0340-2023; Malva, Joao/L-3557-2014; Casale, Thomas/K-4334-2013; Lourenco, Olga/S-6233-2016; Pugin, Benoit/X-2984-2018; Niedoszytko, Marek/U-1250-2018; Braido, Fulvio/C-5320-2012; Correia de Sousa, Jaime/H-5607-2015; Bedolla-Barajas, Martin/AFQ-5082-2022; CANONICA, GIORGIO WALTER/ABF-2037-2020; Custovic, Adnan/A-2435-2012; Almeida, Rute/Q-1621-2019; Fonseca, Joao/B-7562-2008; Papadopoulos, Nikolaos/L-8670-2013; Romano, Antonino/D-3102-2017; Chavannes, Niels Henrik/F-1148-2011; Sastre, Joaquin/A-4270-2008; Wong, Gary/AAY-9207-2020; Regateiro, Frederico/F-3914-2011; Becker, Sven/AEN-1860-2022; Maurer, Marcus/ABG-2174-2020; Schunemann, Holger/LRB-7016-2024; Bedard, Annabelle/ABB-9803-2020; Bindslev-Jensen, Carsten/H-1877-2011; Kaidashev, Igor/H-3827-2016; O'Hehir, Robyn/H-3627-2011; Mashiya, Nombeko Monica/AET-3950-2022; Basagana, Xavier/C-3901-2017; Yusuf, Osman/AAI-1142-2020; Costa, Elisio/K-1990-2013; Stellato, Cristiana/P-3001-2015; Namazova-Baranova, Leyla/C-9485-2019; Puggioni, Francesca/HKN-6994-2023; Panzner, Petr/I-7034-2017</t>
  </si>
  <si>
    <t>Rivero Yeverino, Daniela/0000-0002-7586-2276; Fuentes Perez, Jose Miguel/0000-0002-5378-3956; Kvedariene, Violeta/0000-0002-6119-211X; Malva, Joao/0000-0002-5438-4447; Pinnock, Hilary/0000-0002-5976-8386; Carreiro Martins, Pedro/0000-0002-4129-133X; Scheire, Sophie/0000-0001-9623-4458; Casale, Thomas/0000-0002-3149-7377; Lourenco, Olga/0000-0002-8401-5976; Pugin, Benoit/0000-0001-7132-9477; Niedoszytko, Marek/0000-0003-1089-1911; Vasankari, Tuula/0000-0002-1413-8970; Makris, Michael/0000-0003-2713-2380; Braido, Fulvio/0000-0003-2460-4709; Correia de Sousa, Jaime/0000-0001-6459-7908; Bedolla-Barajas, Martin/0000-0003-4915-1582; CANONICA, GIORGIO WALTER/0000-0001-8467-2557; Custovic, Adnan/0000-0001-5218-7071; Iinuma, Tomohisa/0000-0002-9940-5520; Zar, Heather/0000-0002-9046-759X; Gevaert, Philippe/0000-0002-1629-8468; Almeida, Rute/0000-0001-7755-5002; El-Gamal, Yehia/0000-0002-8177-4520; Ierodiakonou, Despo/0000-0002-7862-2016; Paulino, Ema/0000-0002-4087-375X; Fonseca, Joao/0000-0002-0887-8796; Papadopoulos, Nikolaos/0000-0002-4448-3468; Gemicioglu, Bilun/0000-0001-5953-4881; Romano, Antonino/0000-0001-9742-9898; Tsiligianni, Ioanna/0000-0001-7922-7491; Ryan, Dermot/0000-0002-4115-7376; Bergmann, Karl-Christian/0000-0002-0306-9922; Roberts, Graham/0000-0003-2252-1248; Valenta, Rudolf/0000-0001-5944-3365; Chaves Loureiro, Claudia/0000-0003-0438-6126; Chavannes, Niels Henrik/0000-0002-8607-9199; roche, nicolas/0000-0002-3162-5033; Sastre, Joaquin/0000-0003-4689-6837; Psarros, Fotis/0000-0002-2928-150X; Monti, Riccardo/0000-0002-1003-3629; Wong, Gary/0000-0001-5939-812X; Regateiro, Frederico/0000-0002-6332-3056; Becker, Sven/0000-0003-1972-3797; brightling, chris/0000-0002-9345-4903; menditto, enrica/0000-0001-8633-5650; Dray, Gerard/0000-0003-1525-5682; mohammad, yousser/0009-0003-0403-2747; Cardona, Victoria/0000-0003-2197-9767; van der Kleij, Rianne/0000-0002-8638-4978; Fiocchi, Alessandro/0000-0002-2549-0523; Zuberbier, Torsten/0000-0002-1466-8875; Briggs, Andrew/0000-0002-0777-1997; JUTEL, MAREK/0000-0003-1555-9379; Maurer, Marcus/0000-0002-4121-481X; Reitsma, Sietze/0000-0003-1734-2632; Ebisawa, Motohiro/0000-0003-4117-558X; Schunemann, Holger/0000-0003-3211-8479; Palamarchuk, Yuliia/0000-0002-5386-6313; Raciborski, Filip/0000-0003-0562-0260; Rottem, Menachem/0000-0002-9915-0273; Bedard, Annabelle/0000-0002-7842-8889; Shamji, Mohamed/0000-0003-3425-3463; FAUQUERT, Jean-Luc/0000-0002-6929-9819; Bindslev-Jensen, Carsten/0000-0002-8940-038X; Kaidashev, Igor/0000-0002-4708-0859; Bousquet, Jean/0000-0002-4061-4766; O'Hehir, Robyn/0000-0002-3489-7595; Cecchi, Lorenzo/0000-0002-0658-2449; Toppila-Salmi, Sanna/0000-0003-0890-6686; Makela, Mika/0000-0002-2933-3111; Mashiya, Nombeko Monica/0000-0003-0124-9118; Murray, Ruth/0000-0002-2821-978X; Basagana, Xavier/0000-0002-8457-1489; Patella, Vincenzo/0000-0001-5640-6446; Yusuf, Osman/0000-0002-8067-1204; Zhang, Luo/0000-0002-0910-9884; Onorato, Gabrielle Laura/0000-0002-7867-5345; Costa, Elisio/0000-0003-1158-1480; Stellato, Cristiana/0000-0002-1294-8355; Namazova-Baranova, Leyla/0000-0002-2209-7531; Puggioni, Francesca/0000-0001-6638-5626; Kardas, Przemyslaw/0000-0002-6078-2628; La Grutta, Stefania/0000-0001-8026-0715; Ivancevich, Juan Carlos/0000-0001-8713-6258; Akdis, Cezmi/0000-0001-8020-019X; Panzner, Petr/0000-0002-1291-450X; Bosnic-Anticevich, Sinthia/0000-0001-5077-8329; Chu, Derek/0000-0001-8269-4496</t>
  </si>
  <si>
    <t>EU; Region Occitanie (France); Mylan; GSK; Meda; Novartis; Sanofi; Stallergenes; Uriach; ALK</t>
  </si>
  <si>
    <t>EU(European Union (EU)); Region Occitanie (France); Mylan; GSK(GlaxoSmithKline); Meda; Novartis(Novartis); Sanofi; Stallergenes; Uriach; ALK</t>
  </si>
  <si>
    <t>MASK funding was obtained from EU grants (SPAL, POLLAR, Sunfrail, Rhinitis and Asthma TWINNING, DHE TWINNING on severe asthma), the Region Occitanie (France), unrestricted educational grants (Meda, Mylan, ALK, GSK, Novartis, Sanofi, Stallergenes and Uriach) and private donations. Euforea provided assistance for the ARIA website and the physician's questionnaire.</t>
  </si>
  <si>
    <t>0105-4538</t>
  </si>
  <si>
    <t>1398-9995</t>
  </si>
  <si>
    <t>10.1111/all.14422</t>
  </si>
  <si>
    <t>OCT 2020</t>
  </si>
  <si>
    <t>PO7SV</t>
  </si>
  <si>
    <t>Green Published, hybrid, Green Accepted, Green Submitted</t>
  </si>
  <si>
    <t>WOS:000581175300001</t>
  </si>
  <si>
    <t>Belge, C; Quarck, R; Godinas, L; Montani, D; Subias, PE; Vachiéry, JL; Nashat, H; Pepke-Zaba, J; Humbert, M; Delcroix, M</t>
  </si>
  <si>
    <t>Belge, Catharina; Quarck, Rozenn; Godinas, Laurent; Montani, David; Subias, Pilar Escribano; Vachiery, Jean-Luc; Nashat, Heba; Pepke-Zaba, Joanna; Humbert, Marc; Delcroix, Marion</t>
  </si>
  <si>
    <t>COVID-19 in pulmonary arterial hypertension and chronic thromboembolic pulmonary hypertension: a reference centre survey</t>
  </si>
  <si>
    <t>HEART-FAILURE; OUTCOMES</t>
  </si>
  <si>
    <t>[Belge, Catharina; Quarck, Rozenn; Godinas, Laurent; Delcroix, Marion] KU Leuven Univ Leuven, Dept Chron Dis &amp; Metab CHROMETA, Clin Dept Resp Dis, Univ Hosp &amp; Lab Resp Dis &amp; Thorac Surg BREATHE, Leuven, Belgium; [Montani, David; Humbert, Marc] Univ Paris Saclay, Univ Paris Sud, Fac Med, Le Kremlin Bicetre, France; [Montani, David; Humbert, Marc] Hop Bicetre, AP HP, Serv Pneumol, Ctr Reference Hypertens Pulm, Le Kremlin Bicetre, France; [Montani, David; Humbert, Marc] Hop Marie Lannelongue, Inserm, UMR S 999, Le Plessis Robinson, France; [Subias, Pilar Escribano] Hosp Univ 12 Octubre, Cardiol Dept, Madrid, Spain; [Subias, Pilar Escribano] Hosp Univ 12 Octubre, Spanish Cardiovasc Res Network CIBER CV, Madrid, Spain; [Vachiery, Jean-Luc] Clin Univ Bruxelles, Hop Acad Erasme, Dept Cardiol, Brussels, Belgium; [Nashat, Heba] Royal Brompton &amp; Harefield NHS Trust, Nat Pulm Hypertens Serv, London, England; [Nashat, Heba] Imperial Coll London, Natl Heart &amp; Lung Inst, London, England; [Pepke-Zaba, Joanna] Royal Papworth Hosp, Pulm Vasc Dis Unit, Cambridge, England</t>
  </si>
  <si>
    <t>KU Leuven; Universite Paris Saclay; Assistance Publique Hopitaux Paris (APHP); Hopital Universitaire Bicetre - APHP; Hopital Universitaire Antoine-Beclere - APHP; Universite Paris Saclay; Universite Paris Saclay; Hopital Marie Lannelongue; Institut National de la Sante et de la Recherche Medicale (Inserm); Hospital Universitario 12 de Octubre; Hospital Universitario 12 de Octubre; Universite Libre de Bruxelles; Royal Brompton Hospital; Royal Brompton &amp; Harefield NHS Foundation Trust; Imperial College London; Papworth Hospital</t>
  </si>
  <si>
    <t>Delcroix, M (corresponding author), Univ Hosp Leuven, Clin Dept Resp Dis, Herestr 49, B-3000 Leuven, Belgium.</t>
  </si>
  <si>
    <t>delcroix, marion/AAE-2712-2022; Pepke-Zaba, Joanna/AGW-3073-2022; Vachiery, Jean-Luc/ABC-6631-2021; David, Montani/I-6885-2019; Godinas, Laurette/AAS-1059-2021; Humbert, Marc/AAC-8459-2019; Escribano, Pilar/R-5273-2017; Quarck, Rozenn/J-8067-2018</t>
  </si>
  <si>
    <t>Cruz Utrilla, Alejandro/0000-0002-3851-4037; Humbert, Marc/0000-0003-0703-2892; Escribano, Pilar/0000-0002-6640-4839; Montani, David/0000-0002-9358-6922; Quarck, Rozenn/0000-0002-8293-6261; Godinas, Laurent/0000-0003-2214-5879; delcroix, marion/0000-0001-8394-9809</t>
  </si>
  <si>
    <t>00520-2020</t>
  </si>
  <si>
    <t>10.1183/23120541.00520-2020</t>
  </si>
  <si>
    <t>PM3CV</t>
  </si>
  <si>
    <t>WOS:000603682700101</t>
  </si>
  <si>
    <t>Caliez, J; Riou, M; Manaud, G; Nakhleh, MK; Quatredeniers, M; Rucker-Martin, C; Dorfmüller, P; Lecerf, F; Vinhas, MC; Khatib, S; Haick, H; Cohen-Kaminsky, S; Humbert, M; Montani, D; Perros, F</t>
  </si>
  <si>
    <t>Caliez, Julien; Riou, Marianne; Manaud, Gregoire; Nakhleh, Morad K.; Quatredeniers, Marceau; Rucker-Martin, Catherine; Dorfmuller, Peter; Lecerf, Florence; Vinhas, Maria C.; Khatib, Salam; Haick, Hossam; Cohen-Kaminsky, Sylvia; Humbert, Marc; Montani, David; Perros, Frederic</t>
  </si>
  <si>
    <t>Trichloroethylene increases pulmonary endothelial permeability: implication for pulmonary veno-occlusive disease</t>
  </si>
  <si>
    <t>trichloroethylene; pulmonary veno-occlusive disease; endothelial permeability</t>
  </si>
  <si>
    <t>RISK</t>
  </si>
  <si>
    <t>Trichloroethylene exposure is a major risk factor for pulmonary veno-occlusive disease. We demonstrated that trichloroethylene alters the endothelial barrier integrity, at least in part, through vascular endothelial (VE)-Cadherin internalisation, and suggested that this mechanism may play a role in the development of pulmonary veno-occlusive disease.</t>
  </si>
  <si>
    <t>[Caliez, Julien; Riou, Marianne; Manaud, Gregoire; Nakhleh, Morad K.; Quatredeniers, Marceau; Rucker-Martin, Catherine; Dorfmuller, Peter; Cohen-Kaminsky, Sylvia; Humbert, Marc; Montani, David; Perros, Frederic] Univ Paris Saclay, Sch Med, Le Kremlin Bicetre, France; [Caliez, Julien; Riou, Marianne; Manaud, Gregoire; Nakhleh, Morad K.; Quatredeniers, Marceau; Rucker-Martin, Catherine; Dorfmuller, Peter; Lecerf, Florence; Vinhas, Maria C.; Cohen-Kaminsky, Sylvia; Humbert, Marc; Montani, David; Perros, Frederic] Hop Marie Lannelongue, INSERM UMR S 999 Pulm Hypertens Pathophysiol &amp; No, Le Plessis Robinson, France; [Caliez, Julien; Riou, Marianne; Humbert, Marc; Montani, David] Hop Bicetre, AP HP, Pulm Hypertens Natl Referral Ctr, Dept Resp &amp; Intens Care, Le Kremlin Bicetre, France; [Riou, Marianne] Hop Univ Strasbourg, Pneumol, Strasbourg, France; [Rucker-Martin, Catherine; Dorfmuller, Peter; Lecerf, Florence; Vinhas, Maria C.] Ctr Chirurg Marie Lannelongue, Le Plessis Robinson, France; [Khatib, Salam; Haick, Hossam] Dept Chem Engn, Haifa, Israel; [Khatib, Salam; Haick, Hossam] Russel Berrie Nanotechnol Inst, Haifa, Israel</t>
  </si>
  <si>
    <t>Universite Paris Saclay; Institut National de la Sante et de la Recherche Medicale (Inserm); Hopital Marie Lannelongue; Universite Paris Saclay; Assistance Publique Hopitaux Paris (APHP); Hopital Universitaire Bicetre - APHP; Hopital Universitaire Antoine-Beclere - APHP; Universites de Strasbourg Etablissements Associes; Universite de Strasbourg; CHU Strasbourg; Hopital Marie Lannelongue</t>
  </si>
  <si>
    <t>Caliez, J; Perros, F (corresponding author), Hop Marie Lannelongue, Inserm UMR S 999, F-92350 Le Plessis Robinson, France.</t>
  </si>
  <si>
    <t>julien.caliez@gmail.com; frederic.perros@inserm.fr</t>
  </si>
  <si>
    <t>David, Montani/I-6885-2019; Humbert, Marc/AAC-8459-2019; Cohen-Kaminsky, Sylvia/E-4837-2014; Perros, Frederic/N-6921-2017</t>
  </si>
  <si>
    <t>Montani, David/0000-0002-9358-6922; Cohen-Kaminsky, Sylvia/0000-0002-6341-7482; Perros, Frederic/0000-0001-7730-2427; Dorfmuller, Peter/0000-0003-2499-6829</t>
  </si>
  <si>
    <t>Fondation du Souffle; Fonds de Recherche en Sante Respiratoire; LabEx LERMIT, Laboratory of Excellence in Research on Medication and Innovative Therapeutics</t>
  </si>
  <si>
    <t>G.M. is 2017 Laureate of Fonds de Recherche en Sante Respiratoire et de la Fondation du Souffle. J.C. and M.R. received also grant from Fondation du Souffle and Fonds de Recherche en Sante Respiratoire. This study was supported by LabEx LERMIT, Laboratory of Excellence in Research on Medication and Innovative Therapeutics.</t>
  </si>
  <si>
    <t>10.1177/2045894020907884</t>
  </si>
  <si>
    <t>OG0YN</t>
  </si>
  <si>
    <t>WOS:000581620900001</t>
  </si>
  <si>
    <t>Howard, L; Rosenkranz, S; Frantz, R; Hemnes, A; Pfister, T; Shiraga, Y; Skaara, H; Humbert, M; Preston, I</t>
  </si>
  <si>
    <t>Howard, Luke; Rosenkranz, Stephan; Frantz, Robert; Hemnes, Anna; Pfister, Thomas; Shiraga, Yoko; Skaara, Hall; Humbert, Marc; Preston, Ioana</t>
  </si>
  <si>
    <t>ASSESSING DAILY LIFE PHYSICAL ACTIVITY BY ACTIGRAPHY IN PULMONARY ARTERIAL HYPERTENSION: INSIGHTS FROM THE RANDOMIZED CONTROLLED STUDY WITH SELEXIPAG (TRACE)</t>
  </si>
  <si>
    <t>OCT 18-21, 2020</t>
  </si>
  <si>
    <t>Humbert, Marc/AAC-8459-2019; Howard, Luke/HJP-3415-2023; Hemnes, Anna/HDN-4762-2022</t>
  </si>
  <si>
    <t>2449A</t>
  </si>
  <si>
    <t>2451A</t>
  </si>
  <si>
    <t>10.1016/j.chest.2020.09.033</t>
  </si>
  <si>
    <t>OH5LV</t>
  </si>
  <si>
    <t>WOS:000582625302434</t>
  </si>
  <si>
    <t>Le Ribeuz, H; Dumont, F; Ruellou, G; Lambert, M; Balliau, T; Quatredeniers, M; Girerd, B; Cohen-Kaminsky, S; Mercier, O; Yen-Nicolaÿ, S; Humbert, M; Montani, D; Capuano, V; Antigny, F</t>
  </si>
  <si>
    <t>Le Ribeuz, Helene; Dumont, Florent; Ruellou, Guillaume; Lambert, Melanie; Balliau, Thierry; Quatredeniers, Marceau; Girerd, Barbara; Cohen-Kaminsky, Sylvia; Mercier, Olaf; Yen-Nicolay, Stephanie; Humbert, Marc; Montani, David; Capuano, Veronique; Antigny, Fabrice</t>
  </si>
  <si>
    <t>Proteomic Analysis of KCNK3 Loss of Expression Identified Dysregulated Pathways in Pulmonary Vascular Cells</t>
  </si>
  <si>
    <t>PAH; potassium channel; proteomic</t>
  </si>
  <si>
    <t>TO-MESENCHYMAL TRANSITION; HEME OXYGENASE-1; CARBON-MONOXIDE; SMOOTH-MUSCLE; ARTERIAL-HYPERTENSION; CANCER; PROLIFERATION; RESTRICTION; STRESS; INJURY</t>
  </si>
  <si>
    <t>The physiopathology of pulmonary arterial hypertension (PAH) is characterized by pulmonary artery smooth muscle cell (PASMC) and endothelial cell (PAEC) dysfunction, contributing to pulmonary arterial obstruction and PAH progression. KCNK3 loss of function mutations are responsible for the first channelopathy identified in PAH. Loss of KCNK3 function/expression is a hallmark of PAH. However, the molecular mechanisms involved in KCNK3 dysfunction are mostly unknown. To identify the pathological molecular mechanisms downstream of KCNK3 in human PASMCs (hPASMCs) and human PAECs (hPAECs), we used a Liquid Chromatography-Tandem Mass Spectrometry-based proteomic approach to identify the molecular pathways regulated by KCNK3. KCNK3 loss of expression was induced in control hPASMCs or hPAECs by specific siRNA targeting KCNK3. We found that the loss of KCNK3 expression in hPAECs and hPASMCs leads to 326 and 222 proteins differentially expressed, respectively. Among them, 53 proteins were common to hPAECs and hPASMCs. The specific proteome remodeling in hPAECs in absence of KCNK3 was mostly related to the activation of glycolysis, the superpathway of methionine degradation, and the mTOR signaling pathways, and to a reduction in EIF2 signaling pathways. In hPASMCs, we found an activation of the PI3K/AKT signaling pathways and a reduction in EIF2 signaling and the Purine Nucleotides De Novo Biosynthesis II and IL-8 signaling pathways. Common to hPAECs and hPASMCs, we found that the loss of KCNK3 expression leads to the activation of the NRF2-mediated oxidative stress response and a reduction in the interferon pathway. In the hPAECs and hPASMCs, we found an increased expression of HO-1 (heme oxygenase-1) and a decreased IFIT3 (interferon-induced proteins with tetratricopeptide repeats 3) (confirmed by Western blotting), allowing us to identify these axes to understand the consequences of KCNK3 dysfunction. Our experiments, based on the loss of KCNK3 expression by a specific siRNA strategy in control hPAECs and hPASMCs, allow us to identify differences in the activation of several signaling pathways, indicating the key role played by KCNK3 dysfunction in the development of PAH. Altogether, these results allow us to better understand the consequences of KCNK3 dysfunction and suggest that KCNK3 loss of expression acts in favor of the proliferation and migration of hPASMCs and promotes the metabolic shift and apoptosis resistance of hPAECs.</t>
  </si>
  <si>
    <t>[Le Ribeuz, Helene; Lambert, Melanie; Quatredeniers, Marceau; Girerd, Barbara; Cohen-Kaminsky, Sylvia; Mercier, Olaf; Humbert, Marc; Montani, David; Capuano, Veronique; Antigny, Fabrice] Univ Paris Saclay, Fac Med, F-94270 Le Kremlin Bicetre, France; [Le Ribeuz, Helene; Lambert, Melanie; Quatredeniers, Marceau; Girerd, Barbara; Cohen-Kaminsky, Sylvia; Mercier, Olaf; Humbert, Marc; Montani, David; Capuano, Veronique; Antigny, Fabrice] Hop Marie Lannelongue, Hypertens Pulmonaire Physiopathol &amp; Innovat Thera, INSERM UMR S 999, X, F-92350 Le Plessis Robinson, France; [Le Ribeuz, Helene; Lambert, Melanie; Quatredeniers, Marceau; Girerd, Barbara; Cohen-Kaminsky, Sylvia; Mercier, Olaf; Humbert, Marc; Montani, David; Capuano, Veronique; Antigny, Fabrice] Assistance Publ Hopitaux Paris AP HP, Serv Pneumol &amp; Soins Intensifs Respiratoires, Hop Bicetre, Ctr Reference lHypertens Pulmonaire, F-94270 Le Kremlin Bicetre, France; [Dumont, Florent; Ruellou, Guillaume; Yen-Nicolay, Stephanie] Univ Paris Saclay, UMS Ingn &amp; Plateformes Serv Innovat Therapeut, F-92290 Chatenay Malabry, France; [Balliau, Thierry] Univ Paris Saclay, AgroParisTech, CNRS, PAPPSO GQE Le Mouton,INRAE, F-91190 Gif Sur Yvette, France</t>
  </si>
  <si>
    <t>Universite Paris Saclay; Universite Paris Saclay; Institut National de la Sante et de la Recherche Medicale (Inserm); Hopital Marie Lannelongue; Universite Paris Saclay; Assistance Publique Hopitaux Paris (APHP); Hopital Universitaire Bicetre - APHP; Hopital Universitaire Antoine-Beclere - APHP; Universite Paris Saclay; INRAE; AgroParisTech; Universite Paris Saclay; Centre National de la Recherche Scientifique (CNRS)</t>
  </si>
  <si>
    <t>Antigny, F (corresponding author), Univ Paris Saclay, Fac Med, F-94270 Le Kremlin Bicetre, France.;Antigny, F (corresponding author), Hop Marie Lannelongue, Hypertens Pulmonaire Physiopathol &amp; Innovat Thera, INSERM UMR S 999, X, F-92350 Le Plessis Robinson, France.;Antigny, F (corresponding author), Assistance Publ Hopitaux Paris AP HP, Serv Pneumol &amp; Soins Intensifs Respiratoires, Hop Bicetre, Ctr Reference lHypertens Pulmonaire, F-94270 Le Kremlin Bicetre, France.</t>
  </si>
  <si>
    <t>helene.leribeuz@aol.com; florent.dumont@universite.paris-saclay.fr; guillaume.ruellou@universite.paris-saclay.fr; melanie.lambert91@hotmail.fr; thierry.balliau@inrae.fr; quatredeniers.marceau@gmail.com; barbara.girerd19@gmail.com; sylvia.cohen-kaminsky@universite.paris-saclay.fr; olaf.mercier@gmail.com; stephanie.nicolay@universite-paris-saclay.fr; marc.humbert@bct.aphp.fr; davidmontani@gmail.com; veronique.capuano@universite.paris-saclay.fr; fabrice.antigny@universite.paris-saclay.fr</t>
  </si>
  <si>
    <t>Cohen-Kaminsky, Sylvia/0000-0002-6341-7482; Antigny, Fabrice/0000-0002-9515-6571; Montani, David/0000-0002-9358-6922; Mercier, Olaf/0000-0002-4760-6267; Le Ribeuz, Helene/0000-0002-6579-6076</t>
  </si>
  <si>
    <t>French National Institute for Health and Medical Research (INSERM); Universite Paris-Saclay; Marie Lannelongue Hospital; French National Agency for Research (ANR) [ANR-18-CE14-0023]; Therapeutic Innovation Doctoral School [ED569]; Region Ile de France [EX024607]; Agence Nationale de la Recherche (ANR) [ANR-18-CE14-0023] Funding Source: Agence Nationale de la Recherche (ANR)</t>
  </si>
  <si>
    <t>French National Institute for Health and Medical Research (INSERM)(Institut National de la Sante et de la Recherche Medicale (Inserm)); Universite Paris-Saclay; Marie Lannelongue Hospital; French National Agency for Research (ANR)(Agence Nationale de la Recherche (ANR)); Therapeutic Innovation Doctoral School; Region Ile de France(Region Ile-de-France); Agence Nationale de la Recherche (ANR)(Agence Nationale de la Recherche (ANR))</t>
  </si>
  <si>
    <t>This study was supported by grants from the French National Institute for Health and Medical Research (INSERM), the Universite Paris-Saclay, the Marie Lannelongue Hospital, and the French National Agency for Research (ANR) (grant no. ANR-18-CE14-0023 (KAPAH). H.L.R is supported by ANR-18-CE14-0023. M.L. is supported by the Therapeutic Innovation Doctoral School (ED569). The Region Ile de France has co-funded proteomic instruments (convention no EX024607).</t>
  </si>
  <si>
    <t>10.3390/ijms21197400</t>
  </si>
  <si>
    <t>ON3SM</t>
  </si>
  <si>
    <t>WOS:000586625100001</t>
  </si>
  <si>
    <t>Sanges, S; Rice, L; Tu, L; Cracowski, JL; Montani, D; Mantero, J; Ternynck, C; Marot, G; Hachulla, E; Launay, D; Humbert, M; Guignabert, C; Lafyatis, R</t>
  </si>
  <si>
    <t>Sanges, Sebastien; Rice, Lisa; Tu, Ly; Cracowski, Jean-Luc; Montani, David; Mantero, Julio; Ternynck, Camille; Marot, Guillemette; Hachulla, Eric; Launay, David; Humbert, Marc; Guignabert, Christophe; Lafyatis, Robert</t>
  </si>
  <si>
    <t>Biomarkers of Hemodynamic Severity of Systemic-Sclerosis Associated Pulmonary Arterial Hypertension by Serum Proteome Analysis</t>
  </si>
  <si>
    <t>Annual Meeting of the American-College-of-Rheumatology (ACR)</t>
  </si>
  <si>
    <t>NOV 05-09, 2020</t>
  </si>
  <si>
    <t>Amer Coll Rheumatol</t>
  </si>
  <si>
    <t>[Sanges, Sebastien; Launay, David] Med Interne CHRU Lille, Lille, France; [Rice, Lisa] E5 Arthrit Ctr, Boston, MA USA; [Tu, Ly] INSERM U1286, Le Kremlin Bicetre, France; [Cracowski, Jean-Luc] Univ Grenoble Alpes, INSERM, HP2, Grenoble, France; [Montani, David; Humbert, Marc; Guignabert, Christophe] INSERM U999 Pulm Hypertens Pathophysiol &amp; Novel T, Le Kremlin Bicetre, France; [Mantero, Julio] Boston Univ, Sch Med, Arthrit Ctr E5, Boston, MA 02118 USA; [Ternynck, Camille; Marot, Guillemette] Univ Lille, CHU Lille, METRICS ULR2694, Lille, France; [Hachulla, Eric] CHRU, Dept Internal Med, Lille, France; [Lafyatis, Robert] Univ Pittsburgh, Pittsburgh, PA USA</t>
  </si>
  <si>
    <t>Institut National de la Sante et de la Recherche Medicale (Inserm); Communaute Universite Grenoble Alpes; Universite Grenoble Alpes (UGA); Institut National de la Sante et de la Recherche Medicale (Inserm); Boston University; Universite de Lille; CHU Lille; Universite de Lille; CHU Lille; Pennsylvania Commonwealth System of Higher Education (PCSHE); University of Pittsburgh</t>
  </si>
  <si>
    <t>Launay, David/JDM-2536-2023; Marot, Guillemette/O-6525-2014; Humbert, Marc/AAC-8459-2019; GUIGNABERT, Christophe/G-3873-2013; David, Montani/I-6885-2019; TU, Ly/G-4035-2013; HACHULLA, ERIC/R-8488-2018; Sanges, Sebastien/M-4605-2018</t>
  </si>
  <si>
    <t>Montani, David/0000-0002-9358-6922</t>
  </si>
  <si>
    <t>OO7PX</t>
  </si>
  <si>
    <t>WOS:000587568505026</t>
  </si>
  <si>
    <t>Weatherald, J; Bondeelle, L; Chaumais, MC; Guignabert, C; Savale, L; Jaïs, X; Sitbon, O; Rousselot, P; Humbert, M; Bergeron, A; Montani, D</t>
  </si>
  <si>
    <t>Weatherald, Jason; Bondeelle, Louise; Chaumais, Marie-Camille; Guignabert, Christophe; Savale, Laurent; Jais, Xavier; Sitbon, Olivier; Rousselot, Philippe; Humbert, Marc; Bergeron, Anne; Montani, David</t>
  </si>
  <si>
    <t>Pulmonary complications of Bcr-Abl tyrosine kinase inhibitors</t>
  </si>
  <si>
    <t>CHRONIC MYELOID-LEUKEMIA; INTERSTITIAL LUNG-DISEASE; INDUCED PLEURAL EFFUSION; INTOLERANT CHRONIC-PHASE; ARTERIAL-HYPERTENSION; IMATINIB-RESISTANT; FOLLOW-UP; DASATINIB TREATMENT; NILOTINIB; BOSUTINIB</t>
  </si>
  <si>
    <t>Tyrosine kinase inhibitors (TKIs) targeting the Bcr-Abl oncoprotein revolutionised the treatment of chronic myelogenous leukaemia. Following the success of imatinib, second- and third-generation molecules were developed. Different profiles of kinase inhibition and off-target effects vary between TKIs, which leads to a broad spectrum of potential toxicities. Pulmonary complications are most frequently observed with dasatinib but all other Bcr-Abl TKIs have been implicated. Pleural effusions are the most frequent pulmonary complication of TKIs, usually associated with dasatinib and bosutinib. Pulmonary arterial hypertension is an uncommon but serious complication of dasatinib, which is often reversible upon discontinuation. Bosutinib and ponatinib have also been associated with pulmonary arterial hypertension, while imatinib has not. Rarely, interstitial lung disease has been associated with TKIs, predominantly with imatinib. Mechanistically, dasatinib affects maintenance of normal pulmonary endothelial integrity by generating mitochondrial oxidative stress, inducing endothelial apoptosis and impairing vascular permeability in a dose-dependent manner. The mechanisms underlying other TKI-related complications are largely unknown. Awareness and early diagnosis of the pulmonary complications of Bcr-Abl TKIs is essential given their seriousness, potential reversibility, and impact on future treatment options for the underlying chronic myelogenous leukaemia.</t>
  </si>
  <si>
    <t>[Weatherald, Jason] Univ Calgary, Dept Med, Calgary, AB, Canada; [Bondeelle, Louise; Bergeron, Anne] Libin Cardiovasc Inst Alberta, Calgary, AB, Canada; [Chaumais, Marie-Camille] Univ Paris, Hop St Louis, AP HP, Serv Pneumol, Paris, France; [Chaumais, Marie-Camille] Univ Paris Saclay, Fac Pharm, Chatenay Malabry, France; [Chaumais, Marie-Camille; Guignabert, Christophe; Savale, Laurent; Jais, Xavier; Sitbon, Olivier; Humbert, Marc; Montani, David] Hop Bicetre, Serv Pharm, AP HP, Le Kremlin Bicetre, France; [Guignabert, Christophe; Savale, Laurent; Jais, Xavier; Sitbon, Olivier; Humbert, Marc; Montani, David] Hop Marie Lannelongue, INSERM, Pulm Hypertens Pathophysiol &amp; Novel Therapies UMR, Le Plessis Robinson, France; [Savale, Laurent; Jais, Xavier; Sitbon, Olivier; Humbert, Marc; Montani, David] Univ Paris Saclay, Sch Med, Le Kremlin Bicetre, France; [Rousselot, Philippe] Hop Bicetre, AP HP, Pulm Hypertens Natl Referral Ctr, Dept Resp &amp; Intens Care Med, Le Kremlin Bicetre, France; [Weatherald, Jason; Bondeelle, Louise] Ctr Hosp Versailles Andre Mignot, Serv Hematol, Le Chesnay, France</t>
  </si>
  <si>
    <t>University of Calgary; Libin Cardiovascular Institute Of Alberta; Universite Paris Cite; Assistance Publique Hopitaux Paris (APHP); Hopital Universitaire Saint-Louis - APHP; Universite Paris Saclay; Assistance Publique Hopitaux Paris (APHP); Hopital Universitaire Antoine-Beclere - APHP; Universite Paris Saclay; Hopital Universitaire Bicetre - APHP; Institut National de la Sante et de la Recherche Medicale (Inserm); Hopital Marie Lannelongue; Universite Paris Saclay; Assistance Publique Hopitaux Paris (APHP); Hopital Universitaire Antoine-Beclere - APHP; Hopital Universitaire Bicetre - APHP; Universite Paris Saclay; Centre Hospitalier de Versailles</t>
  </si>
  <si>
    <t>Montani, D (corresponding author), Hop Bicetre, AP HP, Serv Pneumol, Ctr Reference Hypertens Pulm, F-94270 Le Kremlin Bicetre, France.</t>
  </si>
  <si>
    <t>David, Montani/I-6885-2019; Savale, Laurent/AAJ-9781-2020; Bergeron, Anne/HNS-7099-2023; Sitbon, Olivier/I-3623-2019; GUIGNABERT, Christophe/G-3873-2013; Humbert, Marc/AAC-8459-2019</t>
  </si>
  <si>
    <t>Weatherald, Jason/0000-0002-0615-4575; JAIS, XAVIER/0000-0002-4104-7994; SITBON, Olivier/0000-0002-1942-1951; GUIGNABERT, Christophe/0000-0002-8545-4452; Bergeron, Anne/0000-0003-2156-254X; Montani, David/0000-0002-9358-6922; Savale, Laurent/0000-0002-6862-8975; Humbert, Marc/0000-0003-0703-2892</t>
  </si>
  <si>
    <t>10.1183/13993003.00279-2020</t>
  </si>
  <si>
    <t>PR2GT</t>
  </si>
  <si>
    <t>WOS:000607060500010</t>
  </si>
  <si>
    <t>Roche, N; Tonia, T; Bush, A; Brightling, C; Kolb, M; Dinh-Xuan, AT; Humbert, M; Simonds, A; Adir, Y</t>
  </si>
  <si>
    <t>Roche, Nicolas; Tonia, Thomy; Bush, Andrew; Brightling, Chris; Kolb, Martin; Anh Tuan Dinh-Xuan; Humbert, Marc; Simonds, Anita; Adir, Yochai</t>
  </si>
  <si>
    <t>Guidance production before evidence generation for critical issues: the example of COVID-19</t>
  </si>
  <si>
    <t>NO ROOM; METHODOLOGY; ERROR</t>
  </si>
  <si>
    <t>[Roche, Nicolas] Ctr Univ Paris, Cochin Hosp, APHP, Resp Med,Inserm,UMR1016, Paris, France; [Tonia, Thomy] Univ Bern, Inst Social &amp; Prevent Med, Bern, Switzerland; [Bush, Andrew] Imperial Coll, Resp Paediat, London, England; [Bush, Andrew] Royal Brompton Hosp, London, England; [Brightling, Chris] Univ Leicester, Dept Resp Sci, NIHR Biomed Res Ctr, Inst Lung Hlth, Leicester, Leics, England; [Kolb, Martin] McMaster Univ, Firestone Inst Resp Hlth, Dept Pathol &amp; Med, St Josephs Healthcare, Hamilton, ON, Canada; [Kolb, Martin] McMaster Univ, Firestone Inst Resp Hlth, Dept Mol Med, St Josephs Healthcare, Hamilton, ON, Canada; [Anh Tuan Dinh-Xuan] Ctr Univ Paris, Cochin Hosp, APHP, Resp Physiol, Paris, France; [Humbert, Marc] Univ Paris Saclay, Hop Bicetre, AP HP, Dept Resp &amp; Intens Care Med,Fac Med,Inserm,UMR S, Le Kremlin Bicetre, France; [Simonds, Anita] Royal Brompton &amp; Harefield NHS Fdn Trust, Sleep &amp; Ventilat Unit, London, England; [Adir, Yochai] Technion Israel Inst Technol, Fac Med, Lady Davis Carmel Med Ctr, Div Pulm, Haifa, Israel</t>
  </si>
  <si>
    <t>Institut National de la Sante et de la Recherche Medicale (Inserm); Assistance Publique Hopitaux Paris (APHP); Universite Paris Cite; Hopital Universitaire Hotel-Dieu - APHP; Hopital Universitaire Cochin - APHP; University of Bern; Imperial College London; Royal Brompton Hospital; University of Leicester; McMaster University; McMaster University; Assistance Publique Hopitaux Paris (APHP); Universite Paris Cite; Hopital Universitaire Cochin - APHP; Hopital Universitaire Hotel-Dieu - APHP; Institut National de la Sante et de la Recherche Medicale (Inserm); Universite Paris Saclay; Assistance Publique Hopitaux Paris (APHP); Hopital Universitaire Bicetre - APHP; Hopital Universitaire Antoine-Beclere - APHP; Royal Brompton &amp; Harefield NHS Foundation Trust; Technion Israel Institute of Technology; Rappaport Faculty of Medicine; Clalit Health Services; Carmel Medical Center</t>
  </si>
  <si>
    <t>Roche, N (corresponding author), Hop Cochin, Serv Pneumol, 27 Rue Faubourg St Jacques, F-75014 Paris, France.</t>
  </si>
  <si>
    <t>nicolas.roche@aphp.fr</t>
  </si>
  <si>
    <t>Roche, Nicolas/AAE-9206-2021; Dinh-Xuan, Anh Tuan/A-9691-2008; Humbert, Marc/AAC-8459-2019</t>
  </si>
  <si>
    <t>Dinh-Xuan, Anh Tuan/0000-0001-8651-5176; Tonia, Thomy/0000-0001-7896-6188; Kolb, Martin/0000-0003-3837-1467; roche, nicolas/0000-0002-3162-5033; Humbert, Marc/0000-0003-0703-2892; brightling, chris/0000-0002-9345-4903</t>
  </si>
  <si>
    <t>10.1183/16000617.0310-2020</t>
  </si>
  <si>
    <t>OJ3EW</t>
  </si>
  <si>
    <t>WOS:000583849000029</t>
  </si>
  <si>
    <t>Bousquet, J; Jutel, M; Akdis, CA; Klimek, L; Pfaar, O; Nadeau, KC; Eiwegger, T; Bedbrook, A; Ansotegui, IJ; Anto, JM; Bachert, C; Bateman, ED; Bennoor, KS; Berghea, EC; Bergmann, KC; Blain, H; Bonini, M; Bosnic-Anticevich, S; Boulet, LP; Brussino, L; Buhl, R; Camargos, P; Canonica, GW; Cardona, V; Casale, T; Chinthrajah, S; Akdis, M; Chivato, T; Christoff, G; Cruz, AA; Czarlewski, W; Del Giacco, S; Du, H; El-Gamal, Y; Fokkens, WJ; Fonseca, JA; Gao, YD; Gaga, M; Gemicioglu, B; Gotua, M; Haahtela, T; Halpin, D; Hamelmann, E; Hoffmann-Sommergruber, K; Humbert, M; Ilina, N; Ivancevich, JC; Joos, G; Khaitov, M; Kirenga, B; Knol, EF; Ko, FW; Koskinen, S; Kowalski, ML; Kraxner, H; Kudlay, D; Kuna, P; Kupczyk, M; Kvedariene, V; Latiff, AAH; Le, LT; Levin, M; Larenas-Linnemann, D; Louis, R; Masjedi, MR; Melén, E; Mihaltan, F; Milenkovic, B; Mohammad, Y; Morais-Almeida, M; Mullol, J; Namazova, L; Neffen, H; Nunes, E; O'Byrne, P; O'Hehir, R; O'Mahony, L; Ohta, K; Okamoto, Y; Onorato, GL; Panzner, P; Papadopoulos, NG; Passalacqua, G; Patella, V; Pawankar, R; Pham-Thi, N; Pigearias, B; Popov, TA; Puggioni, F; Regateiro, FS; Rolla, G; Rottem, M; Samolinski, B; Sastre, J; Schwarze, J; Sheikh, A; Scichilone, N; Soto-Quiros, M; Soto-Martinez, M; Sova, M; Nicola, S; Stelmach, R; Suppli-Ulrik, C; Taborda-Barata, L; To, T; Tomazic, PV; Toppila-Salmi, S; Tsiligianni, I; Usmani, O; Valiulis, A; Ventura, MT; Viegi, G; Vontetsianos, T; Wang, DY; Williams, S; Wong, GWK; Yorgancioglu, A; Zernotti, M; Zidarn, M; Zuberbier, T; Agache, I</t>
  </si>
  <si>
    <t>Bousquet, Jean; Jutel, Marek; Akdis, Cezmi A.; Klimek, Ludger; Pfaar, Oliver; Nadeau, Kari C.; Eiwegger, Thomas; Bedbrook, Anna; Ansotegui, Ignacio J.; Anto, Josep M.; Bachert, Claus; Bateman, Eric D.; Bennoor, Kazi S.; Berghea, Elena Camelia; Bergmann, Karl-Christian; Blain, Hubert; Bonini, Mateo; Bosnic-Anticevich, Sinthia; Boulet, Louis-Philippe; Brussino, Luisa; Buhl, Roland; Camargos, Paulo; Canonica, Giorgio Walter; Cardona, Victoria; Casale, Thomas; Chinthrajah, Sharon; Akdis, Muebeccel; Chivato, Tomas; Christoff, George; Cruz, Alvaro A.; Czarlewski, Wienczyslawa; Del Giacco, Stefano; Du, Hui; El-Gamal, Yehia; Fokkens, Wytske J.; Fonseca, Joao A.; Gao, Yadong; Gaga, Mina; Gemicioglu, Bilun; Gotua, Maia; Haahtela, Tari; Halpin, David; Hamelmann, Eckard; Hoffmann-Sommergruber, Karin; Humbert, Marc; Ilina, Nataliya; Ivancevich, Juan-Carlos; Joos, Guy; Khaitov, Musa; Kirenga, Bruce; Knol, Edward F.; Ko, Fanny W.; Koskinen, Seppo; Kowalski, Marek L.; Kraxner, Helga; Kudlay, Dmitry; Kuna, Piotr; Kupczyk, Maciej; Kvedariene, Violeta; Abdul Latiff, Amir H.; Le, Lan T.; Levin, Michael; Larenas-Linnemann, Desiree; Louis, Renaud; Masjedi, Mohammad R.; Melen, Erik; Mihaltan, Florin; Milenkovic, Branislava; Mohammad, Yousser; Morais-Almeida, Mario; Mullol, Joaquim; Namazova, Leyla; Neffen, Hugo; Nunes, Elisabete; O'Byrne, Paul; O'Hehir, Robyn; O'Mahony, Liam; Ohta, Ken; Okamoto, Yoshitaka; Onorato, Gabrielle L.; Panzner, Petr; Papadopoulos, Nikos G.; Passalacqua, Gianni; Patella, Vincenzo; Pawankar, Ruby; Pham-Thi, Nhan; Pigearias, Bernard; Popov, Todor A.; Puggioni, Francesca; Regateiro, Frederico S.; Rolla, Giovanni; Rottem, Menachem; Samolinski, Boleslaw; Sastre, Joaquin; Schwarze, Jurgen; Sheikh, Aziz; Scichilone, Nicola; Soto-Quiros, Manuel; Soto-Martinez, Manuel; Sova, Milan; Nicola, Stefania; Stelmach, Rafael; Suppli-Ulrik, Charlotte; Taborda-Barata, Luis; To, Teresa; Tomazic, Peter-Valentin; Toppila-Salmi, Sanna; Tsiligianni, Ioanna; Usmani, Omar; Valiulis, Arunas; Ventura, Maria Teresa; Viegi, Giovanni; Vontetsianos, Theodor; Wang, De Yun; Williams, Sian; Wong, Gary W. K.; Yorgancioglu, Arzu; Zernotti, Mario; Zidarn, Mihaela; Zuberbier, Torsten; Agache, Ioana</t>
  </si>
  <si>
    <t>ARIA-EAACI statement on asthma and COVID-19 (June 2, 2020)</t>
  </si>
  <si>
    <t>[Bousquet, Jean; Bergmann, Karl-Christian; Zuberbier, Torsten] Humboldt Univ, Univ Med Berlin, Charite, Berlin, Germany; [Bousquet, Jean; Bergmann, Karl-Christian; Zuberbier, Torsten] Berlin Inst Hlth, Dept Dermatol &amp; Allergy, Comprehens Allergy Ctr, Berlin, Germany; [Bousquet, Jean] Univ Hosp Montpellier, Montpellier, France; [Bousquet, Jean; Bedbrook, Anna; Onorato, Gabrielle L.] MACVIA France, Montpellier, France; [Jutel, Marek] Wroclaw Med Univ, Dept Clin Immunol, Wroclaw, Poland; [Jutel, Marek] ALL MED Med Res Inst, Wroclaw, Poland; [Akdis, Cezmi A.; Akdis, Muebeccel] Univ Zurich, Akdis M Swiss Inst Allergy &amp; Asthma Res SIAF, Davos, Switzerland; [Klimek, Ludger] Ctr Rhinol &amp; Allergol, Wiesbaden, Germany; [Pfaar, Oliver] Philipps Univ Marburg, Sect Rhinol &amp; Allergy, Dept Otorhinolaryngol Head &amp; Neck Surg, Univ Hosp Marburg, Marburg, Germany; [Nadeau, Kari C.; Chinthrajah, Sharon] Stanford Univ, Sch Med, Sean N Parker Ctr Allergy &amp; Asthma Res, Stanford, CA 94305 USA; [Eiwegger, Thomas] Univ Toronto, Hosp Sick Children, Div Clin Immunol &amp; Allergy, Food Allergy &amp; Anaphylaxis Program,Dept Paediat, Toronto, ON, Canada; [Ansotegui, Ignacio J.] Hosp Quironsalud Bizkaia, Dept Allergy &amp; Immunol, Erandio, Spain; [Anto, Josep M.] ISGlobAL, Ctr Res Environm Epidemiol CREAL, Barcelona, Spain; [Anto, Josep M.] IMIM Hosp Mar Res Inst, Barcelona, Spain; [Anto, Josep M.] Univ Pompeu Fabra UPF, Barcelona, Spain; [Anto, Josep M.] CIBER Epidemiol &amp; Salud Publ CIBERESP, Barcelona, Spain; [Bachert, Claus] Ghent Univ Hosp, ENT Dept, Upper Airways Res Lab, Ghent, Belgium; [Bachert, Claus] Sun Yat Sen Univ, Affiliated Hosp Guangzou 1, Int Airway Res Ctr, Guangzou, Peoples R China; [Bachert, Claus] Karolinska Inst, Div ENT Dis, CLINTEC, Stockholm, Sweden; [Bachert, Claus] Karolinska Univ Hosp, Dept ENT Dis, Stockholm, Sweden; [Bateman, Eric D.] Univ Cape Town, Dept Med, Cape Town, South Africa; [Bennoor, Kazi S.] Natl Inst Dis Chest &amp; Hosp, Dept Resp Med, Dhaka, Bangladesh; [Berghea, Elena Camelia] Carol Davila Univ Med &amp; Pharm, Allergol &amp; Clin Immunol, Bucharest, Romania; [Berghea, Elena Camelia] Clin Emergency Hosp Children MS Curie, Bucharest, Romania; [Blain, Hubert] Montpellier Univ Hosp, Dept Geriatr, Montpellier, France; [Blain, Hubert] Univ Montpellier, Euromov, EA 2991, Montpellier, France; [Bonini, Mateo] Univ Cattolica Sacro Cuore, Fdn Policlin Univ A Gemelli IRCCS, Dept Cardiovasc &amp; Thorac Sci, Rome, Italy; [Bonini, Mateo] Royal Brompton Hosp, Natl Heart &amp; Lung Inst, London, England; [Bonini, Mateo] Imperial Coll London, London, England; [Bosnic-Anticevich, Sinthia] Univ Sydney, Woolcock Inst Med Res, Sydney, NSW, Australia; [Bosnic-Anticevich, Sinthia] Woolcock Emphysema Ctr &amp; Sydney Local Hlth Dist, Glebe, NSW, Australia; [Boulet, Louis-Philippe] Laval Univ, Quebec Heart &amp; Lung Inst, Quebec City, PQ, Canada; [Brussino, Luisa; Rolla, Giovanni] Univ Torino, Dept Med Sci, Allergy &amp; Clin Immunol Unit, Turin, Italy; [Brussino, Luisa; Rolla, Giovanni] Mauriziano Hosp, Turin, Italy; [Buhl, Roland] Mainz Univ Hosp, Dept Pulm Med, Mainz, Germany; [Camargos, Paulo] Univ Fed Minas Gerais, Med Sch, Dept Pediat, Belo Horizonte, MG, Brazil; [Canonica, Giorgio Walter; Puggioni, Francesca] Humanitas Univ &amp; Res Hosp, IRCCS Milano, Personalized Med Asthma &amp; Allergy Clinic, Milan, Italy; [Cardona, Victoria] Hosp Valle De Hebron, Allergy Sect, Dept Internal Med, Barcelona, Spain; [Cardona, Victoria] ARADyAL Res Network, Barcelona, Spain; [Casale, Thomas] Univ S Florida, Div Allergy Immunol, Tampa, FL 33620 USA; [Chivato, Tomas] Univ CEU San Pablo, Sch Med, Madrid, Spain; [Christoff, George] Med Univ Sofia, Fac Publ Hlth, Sofia, Bulgaria; [Cruz, Alvaro A.] Univ Fed Bahia, Fundacao ProAR, Salvador, BA, Brazil; [Cruz, Alvaro A.] WHO Planning Grp, GARD, Salvador, BA, Brazil; [Czarlewski, Wienczyslawa] Med Consulting Czarlewski, Levallois Perret, France; [Del Giacco, Stefano] Univ Cagliari, Univ Hosp Duilio Casula, Dept Med Sci &amp; Publ Hlth, Cagliari, Italy; [Del Giacco, Stefano] Univ Cagliari, Univ Hosp Duilio Casula, Unit Allergy &amp; Clin Immunol, Cagliari, Italy; [Du, Hui; Gao, Yadong] Wuhan Univ, Zhongnan Hosp, Dept Allergol, Wuhan, Peoples R China; [El-Gamal, Yehia] Ain Shams Univ, Childrens Hosp, Pediat Allergy &amp; Immunol Unit, Cairo, Egypt; [Fokkens, Wytske J.] Acad Med Ctr, Dept Otorhinolaryngol, AMC, Amsterdam, Netherlands; [Fokkens, Wytske J.] EUFOREA, Brussels, Belgium; [Fonseca, Joao A.] Univ Porto, Ctr Res Hlth Technol &amp; Informat Syst, CINTESIS, Porto, Portugal; [Fonseca, Joao A.] Inst CUF Porto, Allergy Unit, Porto, Portugal; [Fonseca, Joao A.] Hosp CUF Porto, Porto, Portugal; [Fonseca, Joao A.] Univ Porto, CIDES, Fac Med, Hlth Informat &amp; Decis Sci Dept, Porto, Portugal; [Fonseca, Joao A.] Univ Porto, Fac Med, Porto, Portugal; [Gaga, Mina] Athens Chest Hosp, Resp Med Dept 7, Athens, Greece; [Gaga, Mina] Athens Chest Hosp, Asthma Ctr, Athens, Greece; [Gemicioglu, Bilun] Istanbul Univ, Cerrahpasa Fac Med, Dept Pulm Dis, Cerrahpasa, Istanbul, Turkey; [Gotua, Maia] Georgian Assoc Allergol &amp; Clin Immunol, Ctr Allergy &amp; Immunol, Tbilisi, Georgia; [Haahtela, Tari; Toppila-Salmi, Sanna] Helsinki Univ Hosp, Skin &amp; Allergy Hosp, Helsinki, Finland; [Halpin, David] Univ Exeter, Med Sch, Coll Med &amp; Hlth, Exeter, Devon, England; [Hamelmann, Eckard] Univ Bielefeld, Klin Kinder &amp; Jugendmed, Kinderzentrum Bethel, Evangel Klinikum Bethel EvKB, Bielefeld, Germany; [Hoffmann-Sommergruber, Karin] Med Univ Vienna, Dept Pathophysiol &amp; Allergy Res, Vienna, Austria; [Humbert, Marc] Univ Paris Sud, Hop Bicetrem, Serv Pneumol, INSERM,UMR S999, Le Kremlin Bicetre, France; [Ilina, Nataliya; Khaitov, Musa; Kudlay, Dmitry] Biol Agcy Russia, Inst Immunol Fed Med, Natl Res Ctr, Moscow, Russia; [Ivancevich, Juan-Carlos] Clin Santa Isabel, Serv Alergia &amp; Immunol, Buenos Aires, DF, Argentina; [Joos, Guy] Ghent Univ Hosp, Dept Resp Med, Ghent, Belgium; [Kirenga, Bruce] Makerere Univ, Lung Inst, Kampala, Uganda; [Knol, Edward F.] Univ Med Ctr Utrecht, Dept Immunol &amp; Dermatol, Utrecht, Netherlands; [Knol, Edward F.] Univ Med Ctr Utrecht, Dept Allergol, Utrecht, Netherlands; [Ko, Fanny W.] Chinese Univ Hong Kong, Dept Med &amp; Therapeut, Hong Kong, Peoples R China; [Koskinen, Seppo] Finnish Inst Hlth &amp; Welf, Helsinki, Finland; [Kowalski, Marek L.] Med Univ Lodz, Healthy Ageing Res Ctr, Dept Immunol &amp; Allergy, Lodz, Poland; [Kraxner, Helga] Semmelweis Univ, Dept Otorhinolaryngol Head &amp; Neck Surg, Budapest, Hungary; [Kuna, Piotr; Kupczyk, Maciej] Med Univ Lodz, Barlicki Univ Hosp, Div Internal Med Asthma &amp; Allergy, Lodz, Poland; [Kvedariene, Violeta] Vilnius Univ, Inst Biomed Sci, Dept Pathol, Fac Med, Vilnius, Lithuania; [Kvedariene, Violeta] Vilnius Univ, Inst Clin Med, Clin Chest Dis &amp; Allergol, Fac Med, Vilnius, Lithuania; [Abdul Latiff, Amir H.] Pantai Hosp, Allergy &amp; Immunol Ctr, Kuala Lumpur, Malaysia; [Le, Lan T.] Univ Med &amp; Pharm, Hochiminh City, Vietnam; [Levin, Michael] Univ Cape Town, Div Paediat Allergol, Cape Town, South Africa; [Larenas-Linnemann, Desiree] Medica Clin Fdn &amp; Hosp, Ctr Excellence Asthma &amp; Allergy, Mexico City, DF, Mexico; [Louis, Renaud] CHU Sart Tilman, Dept Pulm Med, Liege, Belgium; [Louis, Renaud] GIGA I3 Res Grp, Liege, Belgium; [Masjedi, Mohammad R.] Iranian Anti Tobacco Assoc, Tobacco Control Res Ctr, Tehran, Iran; [Melen, Erik] Sachs Children &amp; Youth Hosp, Sodersjukhuset, Stockholm, Sweden; [Melen, Erik] Karolinska Inst, Inst Environm Med, Stockholm, Sweden; [Mihaltan, Florin] Natl Inst Pneumol M Nasta, Bucharest, Romania; [Milenkovic, Branislava] Univ Belgrade, Serbian Assoc Asthma &amp; COPD, Clin Ctr Serbia, Fac Med,Clin Pulm Dis, Belgrade, Serbia; [Mohammad, Yousser] Tishreen Univ, Natl Ctr Res Chron Resp Dis, Sch Med, Latakia, Syria; [Mohammad, Yousser] Syrian Private Univ Damascus, Damascus, Syria; [Morais-Almeida, Mario] CUF Descobertas Hosp, Allergy Ctr, Lisbon, Portugal; [Mullol, Joaquim] Hosp Clin Barcelona, ENT Dept, Rhinol Unit, Barcelona, Spain; [Mullol, Joaquim] Hosp Clin Barcelona, ENT Dept, Smell Clin, Barcelona, Spain; [Mullol, Joaquim] Univ Barcelona, Clin &amp; Expt Resp Immunoallergy, IDIBAPS, CIBERES, Barcelona, Spain; [Namazova, Leyla] Sci Ctr Childrens Hlth MoH, Moscow, Russia; [Namazova, Leyla] Russian Natl Res Med Univ Named Pirogov, Moscow, Russia; [Neffen, Hugo] Ctr Allergy Immunol &amp; Resp Dis, Santa Fe, Argentina; [Neffen, Hugo] Argentina Ctr Allergy &amp; Immunol, Santa Fe, Argentina; [Nunes, Elisabete] Hosp Cent, Serv Pneumol, Maputo, Mozambique; [Nunes, Elisabete] Fac Med Dr Eduardo Mondelane, Maputo, Mozambique; [O'Byrne, Paul] McMaster Univ, Dept Med, Div Respirol, Hamilton, ON, Canada; [O'Byrne, Paul] St Josephs Healthcare, Firestone Inst Resp Hlth, Hamilton, ON, Canada; [O'Hehir, Robyn] Monash Univ, Cent Clin Sch, Dept Allergy Immunol &amp; Resp Med, Melbourne, Vic, Australia; [O'Hehir, Robyn] Alfred Hlth, Melbourne, Vic, Australia; [O'Mahony, Liam] Univ Coll Cork, Dept Med, APC Microbiome Ireland, Cork, Ireland; [O'Mahony, Liam] Univ Coll Cork, Dept Microbiol, APC Microbiome Ireland, Cork, Ireland; [Ohta, Ken] Tokyo Natl Hosp, Natl Hosp Org, Tokyo, Japan; [Okamoto, Yoshitaka] Chiba Univ Hosp, Dept Otorhinolaryngol, Chiba, Japan; [Panzner, Petr] Charles Univ Prague, Fac Med, Dept Immunol &amp; Allergol, Plzen, Czech Republic; [Panzner, Petr] Charles Univ Prague, Fac Hosp Pilsen, Plzen, Czech Republic; [Papadopoulos, Nikos G.] Univ Manchester, Royal Manchester Childrens Hosp, Div Infect Immun &amp; Resp Med, Manchester, Lancs, England; [Passalacqua, Gianni] Univ Genoa, Osped Policlin San Martino, Allergy &amp; Resp Dis, Genoa, Italy; [Patella, Vincenzo] Santa Maria Speranza Hosp, Agcy Hlth ASL Salerno, Dept Med, Div Allergy &amp; Clin Immunol, Salerno, Italy; [Pawankar, Ruby] Nippon Med Sch, Dept Pediat, Tokyo, Japan; [Pham-Thi, Nhan] IRBA Inst Rech Biomed Armees, Ecole Polytechn Palaiseau, Bretigny Sur Orge, France; [Pigearias, Bernard] Espace Francophone Pneumol, Soc Pneumol Langue Francaise, Paris, France; [Popov, Todor A.] Univ Hosp Sv Ivan Rilski, Sofia, Bulgaria; [Regateiro, Frederico S.] Ctr Hosp &amp; Univ Coimbra, Allergy &amp; Clin Immunol Unit, Coimbra, Portugal; [Regateiro, Frederico S.] Univ Coimbra, Inst Immunol, Fac Med, Coimbra, Portugal; [Regateiro, Frederico S.] Univ Coimbra, ICBR Coimbra Inst Clin &amp; Biomed Res, Fac Med, CIBB, Coimbra, Portugal; [Rottem, Menachem] Emek Med Ctr, Div Allergy Asthma &amp; Clin Immunol, Afula, Israel; [Rottem, Menachem] Technion Israel Inst Technol, Rappaport Fac Med, Haifa, Israel; [Samolinski, Boleslaw] Med Univ Warsaw, Dept Prevent Envinronm Hazards &amp; Allergol, Warsaw, Poland; [Sastre, Joaquin] Univ Autonoma Madrid, Fac Med, Fdn Jimenez Diaz, CIBERES, Madrid, Spain; [Ansotegui, Ignacio J.; Schwarze, Jurgen] Univ Edinburgh, Ctr Inflammat Res Child Life &amp; Hlth, Edinburgh, Midlothian, Scotland; [Sheikh, Aziz] Univ Edinburgh, Usher Inst Populat Hlth Sci &amp; Informat, Edinburgh, Midlothian, Scotland; [Scichilone, Nicola] Univ Palermo, PROMISE Dept, Palermo, Italy; [Soto-Quiros, Manuel; Soto-Martinez, Manuel] Hosp Nacl Ninos Dr Carlos Saenz Herrera, Dept Pediat, San Jose, Costa Rica; [Sova, Milan] Univ Hosp Olomouc, Dept Resp Med, Olomouc, Czech Republic; [Nicola, Stefania] Univ Torino, Dept Med Sci, Allergy &amp; Clin Immunol Unit, Turin, Italy; [Nicola, Stefania] Mauriziano Hosp, Turin, Italy; [Stelmach, Rafael] Univ Sao Paulo, Pulm Div, Heart Inst InCor, Hosp Clin,Fac Med, Sao Paulo, Brazil; [Suppli-Ulrik, Charlotte] Hvidovre Univ Hosp, Dept Resp Med, Copenhagen, Denmark; [Suppli-Ulrik, Charlotte] Univ Copenhagen, Copenhagen, Denmark; [Taborda-Barata, Luis] Univ Beira Interior, Fac Hlth Sci, Covilha, Portugal; [Taborda-Barata, Luis] Cova Beira Univ Hosp Ctr, Dept Immunoallergol, Covilha, Portugal; [To, Teresa] Univ Toronto, Dalla Lana Sch Publ Hlth, Hosp Sick Children, Toronto, ON, Canada; [Tomazic, Peter-Valentin] Med Univ Graz, ENT Univ Hosp Graz, Dept Gen ORL, H&amp;NS, Graz, Austria; [Tsiligianni, Ioanna] Univ Crete, Dept Social Med, Hlth Planning Unit, Fac Med, Iraklion, NE, Greece; [Tsiligianni, Ioanna] Int Primary Care Resp Grp, IPCRG, Aberdeen, Scotland; [Usmani, Omar] Imperial Coll London, Natl Heart &amp; Lung Inst NHLI, Airways Dis Sect, London, England; [Usmani, Omar] Royal Brompton Hosp, London, England; [Valiulis, Arunas] Vilnius Univ, Inst Clin Med, Fac Med, Vilnius, Lithuania; [Valiulis, Arunas] Vilnius Univ, Inst Hlth Sci, Vilnius, Lithuania; [Valiulis, Arunas] European Acad Paediat EAP UEMS SP, Brussels, Belgium; [Ventura, Maria Teresa] Univ Bari, Unit Geriatr Immunoallergol, Med Sch, Bari, Italy; [Viegi, Giovanni] CNR Inst Clin Physiol, Pulm Environm Epidemiol Unit, Pisa, Italy; [Viegi, Giovanni] CNR Inst Biomed Res &amp; Innovat, Palermo, Italy; [Vontetsianos, Theodor] Sotiria Hosp, Athens, Greece; [Wang, De Yun] Natl Univ Singapore, Yong Loo Lin Sch Med, Dept Otolaryngol, Singapore, Singapore; [Williams, Sian] Int Primary Care Resp Grp IPCRG, Aberdeen, Scotland; [Wong, Gary W. K.] Chinese Univ Hong Kong, Prince Wales Hosp, Dept Paediat, Shatin, Hong Kong, Peoples R China; [Yorgancioglu, Arzu] Celal Bayar Univ, Dept Pulmonol, Manisa, Turkey; [Zernotti, Mario] Univ Catolica Cordoba, Univ Nacl Villa Maria, Cordoba, Argentina; [Zidarn, Mihaela] Univ Clin Resp &amp; Allerg Dis, Golnik, Slovenia; [Agache, Ioana] Transylvania Univ Brasov, Brasov, Romania</t>
  </si>
  <si>
    <t>Berlin Institute of Health; Free University of Berlin; Humboldt University of Berlin; Charite Universitatsmedizin Berlin; Berlin Institute of Health; Universite de Montpellier; CHU de Montpellier; Universite de Montpellier; Wroclaw Medical University; University of Zurich; University Hospital of Giessen &amp; Marburg; Philipps University Marburg; Stanford University; University of Toronto; Hospital for Sick Children (SickKids); quironsalud Group; Pompeu Fabra University; Centre de Recerca en Epidemiologia Ambiental (CREAL); ISGlobal; Hospital del Mar Research Institute; Pompeu Fabra University; CIBER - Centro de Investigacion Biomedica en Red; CIBERESP; Ghent University; Ghent University Hospital; Sun Yat Sen University; Karolinska Institutet; Karolinska Institutet; Karolinska University Hospital; University of Cape Town; Carol Davila University of Medicine &amp; Pharmacy; Universite de Montpellier; CHU de Montpellier; Universite de Montpellier; Catholic University of the Sacred Heart; IRCCS Policlinico Gemelli; Imperial College London; Royal Brompton Hospital; Imperial College London; University of Sydney; Woolcock Institute of Medical Research; Quebec Heart &amp; Lung Institute; Laval University; University of Turin; A.O.U. Citta della Salute e della Scienza di Torino; AOU San Giovanni Battista-Molinette; University Hospital Mainz; Universidade Federal de Minas Gerais; Humanitas University; Hospital Universitari Vall d'Hebron; State University System of Florida; University of South Florida; San Pablo CEU University; Medical University Sofia; Universidade Federal da Bahia; University of Cagliari; University of Cagliari; Wuhan University; Egyptian Knowledge Bank (EKB); Ain Shams University; University of Amsterdam; Academic Medical Center Amsterdam; Universidade do Porto; Universidade do Porto; Universidade do Porto; Istanbul University - Cerrahpasa; Istanbul University; University of Helsinki; Helsinki University Central Hospital; University of Exeter; University of Bielefeld; Evangelical Hospital Bethel (EvKB) - House Gilead I; Medical University of Vienna; Universite Paris Saclay; Assistance Publique Hopitaux Paris (APHP); Hopital Universitaire Bicetre - APHP; Institut National de la Sante et de la Recherche Medicale (Inserm); NRC Institute of Immunology FMBA of Russia; Ghent University; Ghent University Hospital; Makerere University; Utrecht University; Utrecht University Medical Center; Utrecht University; Utrecht University Medical Center; Chinese University of Hong Kong; Medical University Lodz; Semmelweis University; Medical University Lodz; Vilnius University; Vilnius University; Hochiminh City University of Medicine &amp; Pharmacy; University of Cape Town; University of Liege; Sodersjukhuset Hospital; Karolinska Institutet; Marius Nasta Pneumophtisiology Institute; University of Belgrade; Clinical Centre of Serbia; Tishreen University; University of Barcelona; Hospital Clinic de Barcelona; University of Barcelona; Hospital Clinic de Barcelona; CIBER - Centro de Investigacion Biomedica en Red; CIBERES; University of Barcelona; Hospital Clinic de Barcelona; IDIBAPS; McMaster University; McMaster University; Monash University; University College Cork; University College Cork; Chiba University; Charles University Prague; Charles University Prague; Royal Manchester Children's Hospital; University of Manchester; University of Genoa; Nippon Medical School; Institut Polytechnique de Paris; Ecole Polytechnique; Medical University Sofia; Universidade de Coimbra; Centro Hospitalar e Universitario de Coimbra (CHUC); Universidade de Coimbra; Universidade de Coimbra; Emek Medical Center; Technion Israel Institute of Technology; Rappaport Faculty of Medicine; Medical University of Warsaw; CIBER - Centro de Investigacion Biomedica en Red; CIBERES; Autonomous University of Madrid; University of Edinburgh; University of Edinburgh; University of Palermo; University Hospital Olomouc; University of Turin; A.O.U. Citta della Salute e della Scienza di Torino; AOU San Giovanni Battista-Molinette; Universidade de Sao Paulo; University of Copenhagen; University of Copenhagen; Universidade da Beira Interior; University of Toronto; Hospital for Sick Children (SickKids); Medical University of Graz; University of Crete; Imperial College London; Royal Brompton Hospital; Vilnius University; Vilnius University; Universita degli Studi di Bari Aldo Moro; Consiglio Nazionale delle Ricerche (CNR); Istituto di Fisiologia Clinica (IFC-CNR); Consiglio Nazionale delle Ricerche (CNR); Istituto Ricerca l'Innovazione Biomedica (IRIB-CNR); National University of Singapore; Chinese University of Hong Kong; Prince of Wales Hospital; Celal Bayar University; Catholic University of Cordoba; Transylvania University of Brasov</t>
  </si>
  <si>
    <t>Bousquet, J (corresponding author), CHU Arnaud Villeneuve, 371 Ave Doyen Gaston Giraud, F-34295 Montpellier 5, France.</t>
  </si>
  <si>
    <t>Bosnic-Anticevich, Sinthia/AAD-2526-2021; Ventura, Maria/J-8197-2017; brussino, luisa/J-2486-2012; Viegi, Giovanni/K-2746-2016; Bateman, Eric/B-7042-2011; Popov, Todor/Q-9928-2016; de Castro Soares Regateiro, Frederico/AAR-1528-2020; Gaga, Mina/AAP-8348-2020; Bonniaud, Philippe/ITT-4660-2023; Kvedarienė, Violeta/GON-7937-2022; Gemicioglu, Bilun/AAH-6927-2019; Patella, Vincenzo/JRX-8386-2023; O'Hehir, Robyn/H-3627-2011; Abdul Latiff, Amir Hamzah/IUP-7483-2023; Kudlay, Dmitry/X-1344-2019; Hamelmann, Eckard/AAJ-9124-2021; Fokkens, Wytske/ABF-2185-2020; Lotrean, Lucia/C-2859-2011; Agache, Ioana/AAP-7403-2020; Sheikh, Aziz/D-2818-2009; Humbert, Marc/AAC-8459-2019; Custovic, Adnan/A-2435-2012; LOUIS, Renaud/HMO-7349-2023; Ivancevich, Juan/AAB-4937-2020; Mullol, Joaquim/F-2951-2014; Akdis, Mubeccel/JCE-1576-2023; Toppila-Salmi, Sanna/ABF-5840-2020; Klimek, Ludger/AFJ-9880-2022; Gotua, Maia/ABA-1648-2021; Bachert, Claus/J-8825-2012; Knol, Edward/AFX-7070-2022; Yorgancioglu, Arzu/AAC-7548-2020; Bousquet, Jean/O-4221-2019; Valiulis, Arunas/JEZ-2972-2023; Akdis, Cezmi/AAV-4844-2020; Sova, Milan/AAH-3802-2020; Schwarze, Jürgen/F-7396-2011; stelmach, rafael/AAH-1638-2019; Zuberbier, Torsten/AFM-9173-2022; Kupczyk, Maciej/S-9677-2016; Nicola, Stefania/AAT-2004-2020; Pham-Thi, Nhan/HCH-6032-2022; Khaitov, Musa/L-3369-2017; Cardona, Victoria/GRX-4196-2022; Tsiligianni, Ioanna/IUN-4739-2023; Mohammad, Yousser/LTD-1984-2024; DU, HUI/JPL-4521-2023; Bergmann, Karl-Christian/AAA-4104-2019; Sastre, Joaquin/A-4270-2008; Papadopoulos, Nikolaos/L-8670-2013; BERGHEA, ELENA CAMELIA/AAJ-2804-2021; O'Mahony, Liam/AAG-5838-2019; Regateiro, Frederico/F-3914-2011; Ko, Fanny Wai San/B-8958-2016; Namazova-Baranova, Leyla/C-9485-2019; Christoff, George/ABF-9789-2021; CANONICA, GIORGIO WALTER/ABF-2037-2020; Levin, Michael/AAT-2370-2020; Fonseca, Joao/B-7562-2008; Casale, Thomas/K-4334-2013; Puggioni, Francesca/HKN-6994-2023; Rolla, Giovanni/C-9901-2009; Panzner, Petr/I-7034-2017; Wong, Gary/AAY-9207-2020</t>
  </si>
  <si>
    <t>Kudlay, Dmitry/0000-0003-1878-4467; Tsiligianni, Ioanna/0000-0001-7922-7491; JUTEL, MAREK/0000-0003-1555-9379; Sastre, Joaquin/0000-0003-4689-6837; Papadopoulos, Nikolaos/0000-0002-4448-3468; Soto-Martinez, Manuel/0000-0002-5509-6164; Rottem, Menachem/0000-0002-9915-0273; BERGHEA, ELENA CAMELIA/0000-0001-9522-8363; O'Mahony, Liam/0000-0003-4705-3583; Knol, Edward/0000-0001-7368-9820; Regateiro, Frederico/0000-0002-6332-3056; Ko, Fanny Wai San/0000-0001-8454-0087; Yadong, GAO/0000-0003-1251-7608; Bousquet, Jean/0000-0002-4061-4766; mohammad, yousser/0009-0003-0403-2747; Namazova-Baranova, Leyla/0000-0002-2209-7531; Christoff, George/0000-0003-4549-7711; Kvedariene, Violeta/0000-0002-6119-211X; Toppila-Salmi, Sanna/0000-0003-0890-6686; O'Byrne, Paul/0000-0003-0979-281X; CANONICA, GIORGIO WALTER/0000-0001-8467-2557; Onorato, Gabrielle Laura/0000-0002-7867-5345; Eiwegger, Thomas/0000-0002-2914-7829; Levin, Michael/0000-0003-2439-7981; nadeau, kari/0000-0002-2146-2955; Fonseca, Joao/0000-0002-0887-8796; Casale, Thomas/0000-0002-3149-7377; Bosnic-Anticevich, Sinthia/0000-0001-5077-8329; Kuna, Piotr/0000-0003-2401-0070; Puggioni, Francesca/0000-0001-6638-5626; Kupczyk, Maciej/0000-0003-0800-7867; Gemicioglu, Bilun/0000-0001-5953-4881; Bergmann, Karl-Christian/0000-0002-0306-9922; El-Gamal, Yehia/0000-0002-8177-4520; Chu, Derek/0000-0001-8269-4496; Rolla, Giovanni/0000-0001-5997-7172; Akdis, Cezmi/0000-0001-8020-019X; Gotua, Maia/0000-0003-2497-4128; Panzner, Petr/0000-0002-1291-450X; Patella, Vincenzo/0000-0001-5640-6446; Wong, Gary/0000-0001-5939-812X; Ivancevich, Juan Carlos/0000-0001-8713-6258; Hoffmann-Sommergruber, Karin/0000-0002-8830-058X; Nicola, Stefania/0000-0002-9955-194X</t>
  </si>
  <si>
    <t>Projekt DEAL</t>
  </si>
  <si>
    <t>Open access funding enabled and organized by Projekt DEAL.</t>
  </si>
  <si>
    <t>10.1111/all.14471</t>
  </si>
  <si>
    <t>SEP 2020</t>
  </si>
  <si>
    <t>QS0YB</t>
  </si>
  <si>
    <t>WOS:000571269800001</t>
  </si>
  <si>
    <t>Bousquet, J; Anto, JM; Czarlewski, W; Haahtela, T; Fonseca, SC; Iaccarino, G; Blain, H; Vidal, A; Sheikh, A; Akdis, CA; Zuberbier, T; Latiff, AHA; Abdullah, B; Aberer, W; Abusada, N; Adcock, I; Afani, A; Agache, I; Aggelidis, X; Agustin, J; Akdis, CA; Akdis, M; Al-Ahmad, M; Bassam, AAZ; Alburdan, H; Aldrey-Palacios, O; Cuesta, EA; Salman, HA; Alzaabi, A; Amade, S; Ambrocio, G; Angles, R; Annesi-Maesano, I; Ansotegui, IJ; Anto, JM; Bardajo, PA; Arasi, S; Arrais, M; Arshad, H; Artesani, MC; Asayag, E; Avolio, F; Azhari, K; Bachert, C; Bagnasco, D; Baiardini, I; Bajrovic, N; Bakakos, P; Mongono, SB; Balotro-Torres, C; Barba, S; Barbara, C; Barbosa, E; Barreto, B; Bartra, J; Basagana, X; Bateman, ED; Battur, L; Bedbrook, A; Barajas, MB; Beghé, B; Bekere, A; Bel, E; Ben Kheder, A; Benson, M; Berghea, EC; Bergmann, KC; Bernardini, R; Bernstein, D; Bewick, M; Bialek, S; Bialoszewski, A; Bieber, T; Billo, NE; Bilo, MB; Bindslev-Jensen, C; Bjermer, L; Blain, H; Bobolea, I; Marciniak, MB; Bond, C; Boner, A; Bonini, M; Bonini, S; Bosnic-Anticevich, S; Bosse, I; Botskariova, S; Bouchard, J; Boulet, LP; Bourret, R; Bousquet, P; Braido, F; Briggs, A; Brightling, CE; Brozek, J; Brussino, L; Buhl, R; Bumbacea, R; Buquicchio, R; Cabañas, MTB; Bush, A; Busse, WW; Buters, J; Caballero-Fonseca, F; Calderon, MA; Calvo, M; Camargos, P; Camuzat, T; Canevari, FR; Cano, A; Canonica, GW; Capriles-Hulett, A; Caraballo, L; Cardona, V; Carlsen, KH; Pirez, JC; Caro, J; Carr, W; Carreiro-Martins, P; Carreon-Asuncion, F; Carriazo, AM; Ribas, CCY; Casale, T; Castor, MA; Castro, E; Caviglia, AG; Cecchi, L; Sarabia, AC; Chalubinski, M; Chandrasekharan, R; Chang, YS; Chato-Andeza, V; Chatzi, L; Chatzidaki, C; Chavannes, NH; Loureiro, CC; Garcia, AAC; Chelninska, M; Chen, YZ; Cheng, L; Chinthrajah, S; Chivato, T; Chkhartishvili, E; Christoff, G; Chrystyn, H; Chu, DK; Chua, A; Chuchalin, A; Chung, KF; Ciceran, A; Cingi, C; Ciprandi, G; Cirule, I; Coelho, AC; Compalati, E; Constantinidis, J; de Sousa, JC; Costa, EM; Costa, D; Domínguez, MDC; Coste, A; Cottini, M; Cox, L; Crisci, C; Crivellaro, MA; Cruz, AA; Cullen, J; Custovic, A; Cvetkovski, B; Czarlewski, W; D'Amato, G; da Silva, J; Dahl, R; Dahlen, SE; Daniilidis, V; Nahhas, LD; Darsow, U; Davies, J; de Blay, F; De Feo, G; De Guia, E; Navarrete, JRD; de los Santos, C; Keenoy, ED; De Vries, G; Deleanu, D; Demoly, P; Denburg, J; Devillier, P; Didier, A; Janjic, SD; Dimou, M; Dinh-Xuan, AT; Djukanovic, R; Texeira, MD; Dokic, D; Silva, MGD; Douagui, H; Douladiris, N; Doulaptsi, M; Dray, G; Dubakiene, R; Dupas, E; Durham, S; Duse, M; Dykewicz, M; Ebo, D; Edelbaher, N; Eiwegger, T; Eklund, P; El-Gamal, Y; El-Sayed, ZA; El-Sayed, SS; El-Seify, M; Emuzyte, R; Enecilla, L; Erhola, M; Espinoza, H; Contreras, JGE; Farrell, J; Fernandez, L; Jimenez, PF; Wagner, AF; Fiocchi, A; Fokkens, WJ; Folletti, L; Fonseca, JA; Fontaine, JF; Forastiere, F; Pèrez, JMF; Gaerlan-Resureccion, E; Gaga, M; Romero, JLG; Gamkrelidze, A; Garcia, A; Cobas, CYG; Cruz, MDHG; Ortiz, VG; Gayraud, J; Gelardi, M; Gemicioglu, B; Gennimata, D; Genova, S; Gereda, J; van Wijk, RG; Giuliano, A; Gomez, RM; Ballester, MAG; Diaz, SG; Gotua, M; Grigoreas, C; Grisle, I; Guidacci, M; Guldemond, N; Gutter, Z; Guzman, A; Haahtela, T; Halloum, R; Halpin, D; Hamelmann, E; Hammadi, S; Harvey, R; Heffler, E; Heinrich, J; Hejjaoui, A; Hellquist-Dahl, B; Velazquez, LH; Hew, M; Hossny, E; Howarth, P; Hrubisko, M; Villalobos, YRH; Humbert, M; Husain, S; Hyland, M; Iaccarino, G; Ibrahim, M; Ilina, N; Illario, M; Incorvaia, C; Infantino, A; Irani, C; Ispayeva, Z; Ivancevich, JC; Jares, EE; Jarvis, D; Jassem, E; Jenko, K; Uscanga, RDJ; Johnston, SL; Joos, G; Jost, M; Julge, K; Jung, KS; Just, J; Jutel, M; Kaidashev, I; Kalayci, O; Kalyoncu, F; Kapsali, J; Kardas, P; Karjalainen, J; Kasala, CA; Katotomichelakis, M; Kavaliukaite, L; Bennoor, KS; Keil, T; Keith, P; Khaitov, M; Khaltaev, N; Kim, YY; Kirenga, B; Kleine-Tebbe, J; Klimek, L; Ko, FW; N'Goran, BK; Kompoti, E; Kopac, P; Koppelman, G; Jeverica, AK; Koskinen, S; Kosnik, M; Kostka, T; Kostov, KV; Kowalski, ML; Kralimarkova, T; Vrscaj, KK; Kraxner, H; Kreft, S; Kritikos, V; Kudlay, D; Kuitunen, M; Kull, I; Kuna, P; Kupczyk, M; Kvedariene, V; Kyriakakou, M; Lalek, N; Landi, M; Lane, S; Larenas-Linnemann, DE; Lau, S; Laune, D; Lavrut, J; Le, L; Lenzenhuber, M; Leo, G; Lessa, M; Levin, M; Li, J; Lieberman, P; Liotta, G; Lipworth, B; Liu, XD; Lobo, R; Carlsen, KCL; Lombardi, C; Louis, R; Loukidis, S; Lourenço, O; Pech, JLA; Madjar, B; Maggi, E; Magnan, A; Mahboub, B; Mair, A; van der Zee, AHM; Makela, M; Makris, M; Malling, HJ; Mandajieva, M; Manning, P; Manousakis, M; Maragoudakis, P; Marseglia, G; Marshall, G; Masjedi, MR; Maspero, JF; Campos, JJM; Maurer, M; Mavale-Manuel, S; Meço, C; Melén, E; Melioli, G; Melo-Gomes, E; Meltzer, EO; Menditto, E; Menzies-Gow, A; Merk, H; Michel, JP; Micheli, Y; Miculinic, N; Midao, L; Mihaltan, F; Mikos, N; Milanese, M; Milenkovic, B; Mitsias, D; Moalla, B; Moda, G; Martínez, MDM; Mohammad, Y; Moharra, FM; Moin, M; Molimard, M; Momas, I; Mommers, M; Monaco, A; Montefort, S; Montenegro, LE; Monti, R; Mora, D; Morais-Almeida, M; Mösges, R; Mostafa, BE; Mullol, J; Munter, L; Muraro, A; Murray, R; Musarra, A; Mustakov, T; Naclerio, R; Nadeau, KC; Nadif, R; Nakonechna, A; Namazova-Baranova, L; Navarro-Locsin, G; Neffen, H; Nekam, K; Neou, A; Nettis, E; Neuberger, D; Nicod, L; Nicola, S; Niederberger-Leppin, V; Niedoszytko, M; Nieto, A; Novellino, E; Nunes, E; Nyembue, D; O'Hehir, RE; Odjakova, C; Ohta, K; Okamoto, Y; Okubo, K; Oliver, B; Onorato, GL; Orru, MP; Ouédraogo, S; Ouoba, K; Padilla, FJ; Paggiaro, PL; Pagkalos, A; Pajno, G; Pala, G; Palaniappan, SP; Pali-Schöll, I; Palkonen, S; Palmer, S; Bunu, CP; Panzner, P; Papadopoulos, NG; Papanikolaou, V; Papi, A; Paralchev, B; Paraskevopoulos, G; Park, HS; Passalacqua, G; Patella, V; Pavord, I; Pawankar, R; Pedersen, S; Peleve, S; Pellegino, S; Pereira, A; Pereira, M; Pérez, T; Perna, A; Peroni, D; Pfaar, O; Pham-Thi, N; Pigearias, B; Pin, I; Piskou, K; Pitsios, C; Plavec, D; Poethig, D; Pohl, W; Susic, AP; Popov, TA; Portejoie, F; Potter, P; Poulsen, L; Prados-Torres, A; Prarros, F; Price, D; Prokopakis, E; Puggioni, F; Puig-Domenech, E; Puy, R; Rabe, K; Rabotti, S; Raciborski, F; Ramos, J; Recalcati, C; Recto, MT; Reda, SM; Regateiro, FS; Reider, N; Reitsma, S; Repka-Ramirez, S; Ridolo, E; Rimmer, J; Yeverino, DR; Rizzo, JA; Robalo-Cordeiro, C; Roberts, G; Robles, K; Roche, N; Gonzalez, MR; Zagal, ER; Rolla, G; Rolland, C; Roller-Wirnsberger, R; Rodriguez, MR; Romano, A; Romantowski, J; Rombaux, P; Romualdez, J; Rosado-Pinto, J; Rosario, N; Rosenwasser, L; Rossi, O; Rottem, M; Rouadi, PW; Rovina, N; Sinur, IR; Ruiz, M; Segura, LTR; Ryan, D; Sagara, H; Sakai, D; Sakurai, D; Saleh, W; Salimaki, J; Samitas, K; Samolinski, B; Coronel, MGS; Sanchez-Borges, M; Sanchez-Lopez, J; Sansonna, M; Sarafoleanu, C; Serpa, FS; Sastre, J; Savi, E; Savonyte, A; Sawaf, B; Scadding, GK; Scheire, S; Schmid-Grendelmeier, P; Schuhl, JF; Schunemann, H; Schvalbova, M; Schwarze, J; Scichilone, N; Senna, G; Sepúlveda, C; Serrano, E; Shamai, S; Sheikh, A; Shields, M; Shishkov, V; Siafakas, N; Simeonov, A; Simons, EF; Sisul, JC; Sitkauskiene, B; Skrindo, I; Kosak, TS; Solé, D; Sondermann, M; Sooronbaev, T; Soto-Martinez, M; Soto-Quiros, M; Pinto, BS; Sova, M; Soyka, M; Specjalski, K; Sperl, A; Spranger, O; Stamataki, S; Stefanaki, L; Stellato, C; Stelmach, R; Strandberg, T; Stute, P; Subramaniam, A; Ulrik, CS; Sutherland, M; Sylvestre, S; Syrigou, A; Barata, LT; Takovska, N; Tan, RC; Tan, FC; Tan, VC; Tang, IP; Taniguchi, M; Tannert, L; Tantilipikorn, P; Tattersall, J; Tesi, F; Thieme, U; Thijs, C; Thomas, M; To, T; Todo-Bom, AM; Togias, A; Tomazic, PV; Tomic-Spiric, V; Toppila-Salmi, S; Jaen, MJT; Toskala, E; Triggiani, M; Triller, N; Triller, K; Tsiligianni, I; Uberti, M; Ulmeanu, R; Urbancic, J; Pereira, MU; Vachova, M; Valdés, F; Valenta, R; Rostan, MV; Valero, A; Valiulis, A; Vallianatou, M; Valovirta, E; Van Eerd, M; Van Ganse, E; van Hage, M; Vandenplas, O; Vasankari, T; Vassileva, D; Munoz, CV; Ventura, MT; Vera-Munoz, C; Viart, F; Vicheva, D; Vichyanond, P; Vidgren, P; Viegi, G; Vogelmeier, C; Von Hertzen, L; Vontetsianos, T; Vourdas, D; Quan, VTT; Wagenmann, M; Walker, S; Wallace, D; De Wang, Y; Waserman, S; Wehner, K; Wickman, M; Williams, S; Williams, D; Wilson, N; Wong, G; Woo, K; Wozniak, L; Wright, J; Wroczynski, P; Xepapadaki, P; Yakovliev, P; Yamaguchi, M; Yan, K; Yap, YY; Yassin, M; Yawn, B; Yiallouros, P; Yorgancioglu, A; Yoshihara, S; Young, I; Yusuf, OB; Zaidi, A; Zaitoun, F; Zalud, P; Zar, H; Zedda, MT; Zernotti, ME; Zhang, L; Zhong, NN; Zidarn, M; Zuberbier, T; Zubrinich, C</t>
  </si>
  <si>
    <t>Bousquet, Jean; Anto, Josep M.; Czarlewski, Wienczyslawa; Haahtela, Tari; Fonseca, Susana C.; Iaccarino, Guido; Blain, Hubert; Vidal, Alain; Sheikh, Aziz; Akdis, Cezmi A.; Zuberbier, Torsten; Abdul Latiff, Amir Hamzah; Abdullah, Baharudin; Aberer, Werner; Abusada, Nancy; Adcock, Ian; Afani, Alejandro; Agache, Ioana; Aggelidis, Xenofon; Agustin, Jenifer; Akdis, Cezmi A.; Akdis, Mubeccel; Al-Ahmad, Mona; Al-Zahab Bassam, Abou; Alburdan, Hussam; Aldrey-Palacios, Oscar; Alvarez Cuesta, Emilio; Alwan Salman, Hiba; Alzaabi, Ashraf; Amade, Salma; Ambrocio, Gene; Angles, Rosana; Annesi-Maesano, Isabella; Ansotegui, Ignacio J.; Anto, Josep M.; Ara Bardajo, Paula; Arasi, Stefania; Arrais, Margarete; Arshad, Hasan; Artesani, Maria-Cristina; Asayag, Estrella; Avolio, Francesca; Azhari, Khuzama; Bachert, Claus; Bagnasco, Diego; Baiardini, Ilaria; Bajrovic, Nissera; Bakakos, Petros; Bakeyala Mongono, Sergio; Balotro-Torres, Christine; Barba, Sergio; Barbara, Cristina; Barbosa, Elsa; Barreto, Bruno; Bartra, Joan; Basagana, Xavier; Bateman, Eric D.; Battur, Lkhagvaa; Bedbrook, Anna; Bedolla Barajas, Martin; Beghe, Bianca; Bekere, Antra; Bel, Elizabeth; Ben Kheder, Ali; Benson, Mikael; Berghea, Elena-Camelia; Bergmann, Karl-Christian; Bernardini, Roberto; Bernstein, David; Bewick, Mike; Bialek, Slawomir; Bialoszewski, Artur; Bieber, Thomas; Billo, Nils E.; Bilo, Maria-Beatrice; Bindslev-Jensen, Carsten; Bjermer, Leif; Blain, Hubert; Bobolea, Irina; Bochenska Marciniak, Malgorzata; Bond, Christine; Boner, Attilio; Bonini, Matteo; Bonini, Sergio; Bosnic-Anticevich, Sinthia; Bosse, Isabelle; Botskariova, Sofia; Bouchard, Jacques; Boulet, Louis-Philippe; Bourret, Rodolphe; Bousquet, Philippe; Braido, Fulvio; Briggs, Andrew; Brightling, Christopher E.; Brozek, Jan; Brussino, Luisa; Buhl, Roland; Bumbacea, Roxana; Buquicchio, Rosalva; Burguete Cabanas, Maria-Teresa; Bush, Andrew; Busse, William W.; Buters, Jeroen; Caballero-Fonseca, Fernan; Calderon, Moises A.; Calvo, Mario; Camargos, Paulo; Camuzat, Thierry; Canevari, F. R.; Cano, Antonio; Canonica, G. Walter; Capriles-Hulett, Arnaldo; Caraballo, Luis; Cardona, Vicky; Carlsen, Kai-Hakon; Carmona Pirez, Jonas; Caro, Jorge; Carr, Warner; Carreiro-Martins, Pedro; Carreon-Asuncion, Fredelita; Carriazo, Ana-Maria; Carrion y Ribas, Carme; Casale, Thomas; Castor, Mary-Ann; Castro, Elizabeth; Caviglia, A. G.; Cecchi, Lorenzo; Cepeda Sarabia, Alfonso; Chalubinski, Maciej; Chandrasekharan, Ramanathan; Chang, Yoon-Seok; Chato-Andeza, Victoria; Chatzi, Lida; Chatzidaki, Christina; Chavannes, Niels H.; Chaves Loureiro, Claudia; Chavez Garcia, Aurora-Alejandra; Chelninska, Marta; Chen, Yuzhi; Cheng, Lei; Chinthrajah, Sharon; Chivato, Tomas; Chkhartishvili, Ekaterine; Christoff, George; Chrystyn, Henry; Chu, Derek K.; Chua, Antonio; Chuchalin, Alexander; Chung, Kian Fan; Ciceran, Alberto; Cingi, Cemal; Ciprandi, Giorgio; Cirule, Ieva; Coelho, Ana-Carla; Compalati, Enrico; Constantinidis, Jannis; Correia de Sousa, Jaime; Costa, Elisio Manuel; Costa, David; del Carmen Costa Dominguez, Maria; Coste, Andre; Cottini, M.; Cox, Linda; Crisci, Carlos; Crivellaro, Maria Angiola; Cruz, Alvaro A.; Cullen, John; Custovic, Adnan; Cvetkovski, Biljana; Czarlewski, Wienczyslawa; D'Amato, Gennaro; da Silva, Jane; Dahl, Ronald; Dahlen, Sven-Erik; Daniilidis, Vasilis; Darjazini Nahhas, Louei; Darsow, Ulf; Davies, Janet; de Blay, Frederic; De Feo, Giulia; De Guia, Eloisa; de la Torre Navarrete, Jose-Ricardo; de los Santos, Chato; De Manuel Keenoy, Esteban; De Vries, Govert; Deleanu, Diana; Demoly, Pascal; Denburg, Judah; Devillier, Philippe; Didier, Alain; Dimic Janjic, Sanja; Dimou, Maria; Dinh-Xuan, Anh Tuan; Djukanovic, Ratko; Do Ceu Texeira, Maria; Dokic, Dejan; Dominguez Silva, Margarita Gabriela; Douagui, Habib; Douladiris, Nikolaos; Doulaptsi, Maria; Dray, Gerard; Dubakiene, Ruta; Dupas, Eve; Durham, Stephen; Duse, Marzia; Dykewicz, Mark; Ebo, Didier; Edelbaher, Natalija; Eiwegger, Thomas; Eklund, Patrik; El-Gamal, Yehia; El-Sayed, Zeinab A.; El-Sayed, Shereen S.; El-Seify, Magda; Emuzyte, Regina; Enecilla, Lourdes; Erhola, Marina; Espinoza, Heidilita; Espinoza Contreras, Jesus Guillermo; Farrell, John; Fernandez, Lenora; Fimbres Jimenez, Paola; Fink Wagner, Antje; Fiocchi, Alessandro; Fokkens, Wytske J.; Folletti, Lenia; Fonseca, Joao A.; Fontaine, Jean-Francois; Forastiere, Francesco; Fuentes Perez, Jose Miguel; Gaerlan-Resureccion, Emily; Gaga, Mina; Galvez Romero, Jose Luis; Gamkrelidze, Amiran; Garcia, Alexis; Garcia Cobas, Cecilia Yvonne; de la Luz Hortensia Garcia Cruz, Maria; Ortiz, Valeria Garcia; Gayraud, Jacques; Gelardi, Matteo; Gemicioglu, Bilun; Gennimata, Dimitra; Genova, Sonya; Gereda, Jose; Gerth van Wijk, Roy; Giuliano, Antonio; Gomez, Rene-Maximiliano; Gonzalez Ballester, Miguel-Ange; Gonzalez Diaz, Sandra; Gotua, Maia; Grigoreas, Christos; Grisle, Ineta; Guidacci, Marta; Guldemond, Nick; Gutter, Zdenek; Guzman, Antonieta; Haahtela, Tari; Halloum, Ramsa; Halpin, David; Hamelmann, Eckard; Hammadi, Suleiman; Harvey, Richard; Heffler, Enrico; Heinrich, Joachim; Hejjaoui, Adnan; Hellquist-Dahl, Birthe; Hernandez Velazquez, Luiana; Hew, Mark; Hossny, Elham; Howarth, Peter; Hrubisko, Martin; Huerta Villalobos, Yunuen Rocio; Humbert, Marc; Husain, Salina; Hyland, Michael; Iaccarino, Guido; Ibrahim, Moustafa; Ilina, Nataliya; Illario, Maddalena; Incorvaia, Cristoforo; Infantino, Antonio; Irani, Carla; Ispayeva, Zhanat; Ivancevich, Juan Carlos; Jares, Edgardo E. J.; Jarvis, Deborah; Jassem, Ewa; Jenko, Klemen; Jimeneracruz Uscanga, Ruben Dario; Johnston, Sebastian L.; Joos, Guy; Jost, Maja; Julge, Kaja; Jung, Ki-Suck; Just, Jocelyne; Jutel, Marek; Kaidashev, Igor; Kalayci, Omer; Kalyoncu, Fuat; Kapsali, Jeni; Kardas, Przemyslaw; Karjalainen, Jussi; Kasala, Carmela A.; Katotomichelakis, Michael; Kavaliukaite, Loreta; Bennoor, Kazi S.; Keil, Thomas; Keith, Paul; Khaitov, Musa; Khaltaev, Nikolai; Kim, You-Young; Kirenga, Bruce; Kleine-Tebbe, Jorg; Klimek, Ludger; Ko, Fanny W.; Koffi N'Goran, Bernard; Kompoti, Evangelia; Kopac, Peter; Koppelman, Gerard; Koren Jeverica, Anja; Koskinen, Seppo; Kosnik, Mitja; Kostka, Tomasz; Kostov, Kosta V.; Kowalski, Marek L.; Kralimarkova, Tanya; Kramer Vrscaj, Karmen; Kraxner, Helga; Kreft, Samo; Kritikos, Vicky; Kudlay, Dmitry; Kuitunen, Mikael; Kull, Inger; Kuna, Piotr; Kupczyk, Maciej; Kvedariene, Violeta; Kyriakakou, Marialena; Lalek, Nika; Landi, Massimo; Lane, Stephen; Larenas-Linnemann, Desiree E.; Lau, Susanne; Laune, Daniel; Lavrut, Jorge; Le, Lan; Lenzenhuber, Martina; Leo, Gualtiero; Lessa, Marcus; Levin, Michael; Li, Jing; Lieberman, Philip; Liotta, Giuseppe; Lipworth, Brian; Liu, Xuandao; Lobo, Rommel; Lodrup Carlsen, Karin C.; Lombardi, Carlo; Louis, Renaud; Loukidis, Stelios; Lourenco, Olga; Luna Pech, Jorge A.; Madjar, Bojan; Maggi, Enrico; Magnan, Antoine; Mahboub, Bassam; Mair, Alpana; Maitland van der Zee, Anke-Hilse; Makela, Mika; Makris, Michael; Malling, Hans-Jorgen; Mandajieva, Mariana; Manning, Patrick; Manousakis, Manolis; Maragoudakis, Pavlos; Marseglia, Gianluigi; Marshall, Gailen; Masjedi, Mohammad Reza; Maspero, Jorge F.; Matta Campos, Juan Jose; Maurer, Marcus; Mavale-Manuel, Sandra; Meco, Cem; Melen, Erik; Melioli, Giovanni; Melo-Gomes, Elisabete; Meltzer, Eli O.; Menditto, Enrica; Menzies-Gow, Andrew; Merk, Hans; Michel, Jean-Pierre; Micheli, Yann; Miculinic, Neven; Midao, Luis; Mihaltan, Florin; Mikos, Nikolaos; Milanese, Manlio; Milenkovic, Branislava; Mitsias, Dimitrios; Moalla, Bassem; Moda, Giuliana; Mogica Martinez, Maria Dolores; Mohammad, Yousser; Moharra, Frances-Montserrat; Moin, Mostafa; Molimard, Mathieu; Momas, Isabelle; Mommers, Monique; Monaco, Alessandro; Montefort, Stephen; Montenegro, Lucia-Elvira; Monti, Riccardo; Mora, Dory; Morais-Almeida, Mario; Mosges, Ralph; Mostafa, Badr Eldin; Mullol, Joaquim; Munter, Lars; Muraro, Antonella; Murray, Ruth; Musarra, Antonio; Mustakov, Tihomir; Naclerio, Robert; Nadeau, Kari C.; Nadif, Rachel; Nakonechna, Alla; Namazova-Baranova, Leyla; Navarro-Locsin, Gretchen; Neffen, Hugo; Nekam, Kristof; Neou, Angelos; Nettis, Eustachio; Neuberger, Daniel; Nicod, Laurent; Nicola, Stefania; Niederberger-Leppin, Verena; Niedoszytko, Marek; Nieto, Antonio; Novellino, Ettore; Nunes, Elizabete; Nyembue, Dieudonne; O'Hehir, Robyn E.; Odjakova, Cvetanka; Ohta, Ken; Okamoto, Yoshitaka; Okubo, Kimi; Oliver, Brian; Onorato, Gabrielle L.; Orru, Maria Pia; Ouedraogo, Solange; Ouoba, Kampadilemba; Padilla, Francisco-Javier; Paggiaro, Pier Luigi; Pagkalos, Aris; Pajno, Giovanni; Pala, Gianni; Palaniappan, S. P.; Pali-Scholl, Isabella; Palkonen, Susanna; Palmer, Stephen; Panaitescu Bunu, Carmen; Panzner, Petr; Papadopoulos, Nikos G.; Papanikolaou, Vasilis; Papi, Alberto; Paralchev, Bojidar; Paraskevopoulos, Giannis; Park, Hae-Sim; Passalacqua, Giovanni; Patella, Vincenzo; Pavord, Ian; Pawankar, Ruby; Pedersen, Soren; Peleve, Susete; Pellegino, Simona; Pereira, Ana; Pereira, Mariana; Perez, Tamara; Perna, Andrea; Peroni, Diego; Pfaar, Oliver; Pham-Thi, Nhan; Pigearias, Bernard; Pin, Isabelle; Piskou, Konstantina; Pitsios, Constantinos; Plavec, Davor; Poethig, Dagmar; Pohl, Wolfgang; Poplas Susic, Antonija; Popov, Todor A.; Portejoie, Fabienne; Potter, Paul; Poulsen, Lars; Prados-Torres, Alexandra; Prarros, Fotis; Price, David; Prokopakis, Emmanuel; Puggioni, Francesca; Puig-Domenech, Elisa; Puy, Robert; Rabe, Klaus; Rabotti, Silvia; Raciborski, Filip; Ramos, Josephine; Recalcati, Cristina; Recto, Marysia T.; Reda, Shereen M.; Regateiro, Frederico S.; Reider, Norbert; Reitsma, Sietze; Repka-Ramirez, Susana; Ridolo, Erminia; Rimmer, Janet; Rivero Yeverino, Daniela; Rizzo, Jose Angelo; Robalo-Cordeiro, Carlos; Roberts, Graham; Robles, Karen; Roche, Nicolas; Rodriguez Gonzalez, Monica; Rodriguez Zagal, Erendira; Rolla, Giovanni; Rolland, Christine; Roller-Wirnsberger, Regina; Roman Rodriguez, Miguel; Romano, Antonino; Romantowski, Jan; Rombaux, Philippe; Romualdez, Joel; Rosado-Pinto, Jose; Rosario, Nelson; Rosenwasser, Lanny; Rossi, Oliviero; Rottem, Menachem; Rouadi, Philip W.; Rovina, Nikoleta; Rozman Sinur, Irma; Ruiz, Mauricio; Ruiz Segura, Lucy Tania; Ryan, Dermot; Sagara, Hironori; Sakai, Daiki; Sakurai, Daiju; Saleh, Wafaa; Salimaki, Johanna; Samitas, Konstantinos; Samolinski, Boleslaw; Sanchez Coronel, Maria Guadalupe; Sanchez-Borges, Mario; Sanchez-Lopez, Jaime; Sansonna, Melissa; Sarafoleanu, Codrut; Sarquis Serpa, Faradiba; Sastre, Joaquin; Savi, Eleonora; Savonyte, Agne; Sawaf, Bisher; Scadding, Glenis K.; Scheire, Sophie; Schmid-Grendelmeier, Peter; Schuhl, Juan Francisco; Schunemann, Holger; Schvalbova, Maria; Schwarze, Jorgen; Scichilone, Nicola; Senna, Gianenrico; Sepulveda, Cecilia; Serrano, Elie; Shamai, Sara; Sheikh, Aziz; Shields, Mike; Shishkov, Vasil; Siafakas, Nikos; Simeonov, Alexander; Simons, Estelle F. E. R.; Sisul, Juan Carlos; Sitkauskiene, Brigita; Skrindo, Ingelbjorg; Soklic Kosak, Tanja; Sole, Dirceu; Sondermann, Martin; Sooronbaev, Talant; Soto-Martinez, Manuel; Soto-Quiros, Manuel; Pinto, Barnaro Sousa; Sova, Milan; Soyka, Michael; Specjalski, Krzysztof; Sperl, Annette; Spranger, Otto; Stamataki, Sofia; Stefanaki, Lina; Stellato, Cristiana; Stelmach, Rafael; Strandberg, Timo; Stute, Petra; Subramaniam, Abirami; Suppli Ulrik, Charlotte; Sutherland, Michael; Sylvestre, Silvia; Syrigou, Aikaterini; Taborda Barata, Luis; Takovska, Nadejda; Tan, Rachel; Tan, Frances; Tan, Vincent; Tang, Ing Ping; Taniguchi, Masami; Tannert, Line; Tantilipikorn, Pongsakorn; Tattersall, Jessica; Tesi, Filippo; Thieme, Uta; Thijs, Carel; Thomas, Mike; To, Teresa; Todo-Bom, Ana Maria; Togias, Alkis; Tomazic, Peter-Valentin; Tomic-Spiric, Vesna; Toppila-Salmi, Sanna; Torres Jaen, Maria-Jose; Toskala, Elina; Triggiani, Massimo; Triller, Nadja; Triller, Katja; Tsiligianni, Ioanna; Uberti, M.; Ulmeanu, Ruxandra; Urbancic, Jure; Urrutia Pereira, Marilyn; Vachova, Martina; Valdes, Felipe; Valenta, Rudolf; Valentin Rostan, Marylin; Valero, Antonio; Valiulis, Arunas; Vallianatou, Mina; Valovirta, Erkka; Van Eerd, Michiel; Van Ganse, Eric; van Hage, Marianne; Vandenplas, Olivier; Vasankari, Tuula; Vassileva, Dafina; Velasco Munoz, Cesar; Ventura, Maria Teresa; Vera-Munoz, Cecilia; Viart, Frederic; Vicheva, Dilyana; Vichyanond, Pakit; Vidgren, Petra; Viegi, Giovanni; Vogelmeier, Claus; Von Hertzen, Leena; Vontetsianos, Theodoros; Vourdas, Dimitris; Tran Thien Quan, Vu; Wagenmann, Martin; Walker, Samantha; Wallace, Dana; De Wang, Yun; Waserman, Susan; Wehner, Katrin; Wickman, Magnus; Williams, Sian; Williams, Dennis; Wilson, Nicola; Wong, Gary; Woo, Kent; Wozniak, Lucyna; Wright, John; Wroczynski, Piotr; Xepapadaki, Paraskevi; Yakovliev, Plamen; Yamaguchi, Masao; Yan, Kwok; Yap, Yoke Yeow; Yassin, Mais; Yawn, Barbara; Yiallouros, Panayiotis; Yorgancioglu, Arzu; Yoshihara, Shigemi; Young, Ian; Yusuf, Osman B.; Zaidi, Asghar; Zaitoun, Fares; Zalud, Petra; Zar, Heather; Zedda, M. T.; Zernotti, Mario E.; Zhang, Luo; Zhong, Nanshan; Zidarn, Mihaela; Zuberbier, Torsten; Zubrinich, Celia</t>
  </si>
  <si>
    <t>ARIA Grp</t>
  </si>
  <si>
    <t>Cabbage and fermented vegetables: From death rate heterogeneity in countries to candidates for mitigation strategies of severe COVID-19</t>
  </si>
  <si>
    <t>angiotensin-converting enzyme 2; cabbage; COVID-19; diet; fermented vegetable; kimchi; Lactobacillus; sulforaphane</t>
  </si>
  <si>
    <t>LINKING GUT MICROBIOTA; OXIDATIVE STRESS; INTERMITTENT HYPOXIA; MEDITERRANEAN DIET; KEAP1-NRF2 SYSTEM; NRF2; FOODS; SULFORAPHANE; KIMCHI; DYSFUNCTION</t>
  </si>
  <si>
    <t>Large differences in COVID-19 death rates exist between countries and between regions of the same country. Some very low death rate countries such as Eastern Asia, Central Europe, or the Balkans have a common feature of eating large quantities of fermented foods. Although biases exist when examining ecological studies, fermented vegetables or cabbage have been associated with low death rates in European countries. SARS-CoV-2 binds to its receptor, the angiotensin-converting enzyme 2 (ACE2). As a result of SARS-CoV-2 binding, ACE2 downregulation enhances the angiotensin II receptor type 1 (AT(1)R) axis associated with oxidative stress. This leads to insulin resistance as well as lung and endothelial damage, two severe outcomes of COVID-19. The nuclear factor (erythroid-derived 2)-like 2 (Nrf2) is the most potent antioxidant in humans and can block in particular the AT(1)R axis. Cabbage contains precursors of sulforaphane, the most active natural activator of Nrf2. Fermented vegetables contain many lactobacilli, which are also potent Nrf2 activators. Three examples are: kimchi in Korea, westernized foods, and the slum paradox. It is proposed that fermented cabbage is a proof-of-concept of dietary manipulations that may enhance Nrf2-associated antioxidant effects, helpful in mitigating COVID-19 severity.</t>
  </si>
  <si>
    <t>[Bousquet, Jean; Zuberbier, Torsten; Abdul Latiff, Amir Hamzah; Abdullah, Baharudin; Aberer, Werner; Abusada, Nancy; Adcock, Ian; Afani, Alejandro; Agache, Ioana; Aggelidis, Xenofon; Agustin, Jenifer; Akdis, Cezmi A.; Akdis, Mubeccel; Al-Ahmad, Mona; Al-Zahab Bassam, Abou; Alburdan, Hussam; Aldrey-Palacios, Oscar; Alvarez Cuesta, Emilio; Alwan Salman, Hiba; Alzaabi, Ashraf; Amade, Salma; Ambrocio, Gene; Angles, Rosana; Annesi-Maesano, Isabella; Ansotegui, Ignacio J.; Anto, Josep M.; Ara Bardajo, Paula; Arasi, Stefania; Arrais, Margarete; Arshad, Hasan; Artesani, Maria-Cristina; Asayag, Estrella; Avolio, Francesca; Azhari, Khuzama; Bachert, Claus; Bagnasco, Diego; Baiardini, Ilaria; Bajrovic, Nissera; Bakakos, Petros; Bakeyala Mongono, Sergio; Balotro-Torres, Christine; Barba, Sergio; Barbara, Cristina; Barbosa, Elsa; Barreto, Bruno; Bartra, Joan; Basagana, Xavier; Bateman, Eric D.; Battur, Lkhagvaa; Bedbrook, Anna; Bedolla Barajas, Martin; Beghe, Bianca; Bekere, Antra; Bel, Elizabeth; Ben Kheder, Ali; Benson, Mikael; Berghea, Elena-Camelia; Bergmann, Karl-Christian; Bernardini, Roberto; Bernstein, David; Bewick, Mike; Bialek, Slawomir; Bialoszewski, Artur; Bieber, Thomas; Billo, Nils E.; Bilo, Maria-Beatrice; Bindslev-Jensen, Carsten; Bjermer, Leif; Blain, Hubert; Bobolea, Irina; Bochenska Marciniak, Malgorzata; Bond, Christine; Boner, Attilio; Bonini, Matteo; Bonini, Sergio; Bosnic-Anticevich, Sinthia; Bosse, Isabelle; Botskariova, Sofia; Bouchard, Jacques; Boulet, Louis-Philippe; Bourret, Rodolphe; Bousquet, Philippe; Braido, Fulvio; Briggs, Andrew; Brightling, Christopher E.; Brozek, Jan; Brussino, Luisa; Buhl, Roland; Bumbacea, Roxana; Buquicchio, Rosalva; Burguete Cabanas, Maria-Teresa; Bush, Andrew; Busse, William W.; Buters, Jeroen; Caballero-Fonseca, Fernan; Calderon, Moises A.; Calvo, Mario; Camargos, Paulo; Camuzat, Thierry; Canevari, F. R.; Cano, Antonio; Canonica, G. Walter; Capriles-Hulett, Arnaldo; Caraballo, Luis; Cardona, Vicky; Carlsen, Kai-Hakon; Carmona Pirez, Jonas; Caro, Jorge; Carr, Warner; Carreiro-Martins, Pedro; Carreon-Asuncion, Fredelita; Carriazo, Ana-Maria; Carrion y Ribas, Carme; Casale, Thomas; Castor, Mary-Ann; Castro, Elizabeth; Caviglia, A. G.; Cecchi, Lorenzo; Cepeda Sarabia, Alfonso; Chalubinski, Maciej; Chandrasekharan, Ramanathan; Chang, Yoon-Seok; Chato-Andeza, Victoria; Chatzi, Lida; Chatzidaki, Christina; Chavannes, Niels H.; Chaves Loureiro, Claudia; Chavez Garcia, Aurora-Alejandra; Chelninska, Marta; Chen, Yuzhi; Cheng, Lei; Chinthrajah, Sharon; Chivato, Tomas; Chkhartishvili, Ekaterine; Christoff, George; Chrystyn, Henry; Chu, Derek K.; Chua, Antonio; Chuchalin, Alexander; Chung, Kian Fan; Ciceran, Alberto; Cingi, Cemal; Ciprandi, Giorgio; Cirule, Ieva; Coelho, Ana-Carla; Compalati, Enrico; Constantinidis, Jannis; Correia de Sousa, Jaime; Costa, Elisio Manuel; Costa, David; del Carmen Costa Dominguez, Maria; Coste, Andre; Cottini, M.; Cox, Linda; Crisci, Carlos; Crivellaro, Maria Angiola; Cruz, Alvaro A.; Cullen, John; Custovic, Adnan; Cvetkovski, Biljana; Czarlewski, Wienczyslawa; D'Amato, Gennaro; da Silva, Jane; Dahl, Ronald; Dahlen, Sven-Erik; Daniilidis, Vasilis; Darjazini Nahhas, Louei; Darsow, Ulf; Davies, Janet; de Blay, Frederic; De Feo, Giulia; De Guia, Eloisa; de la Torre Navarrete, Jose-Ricardo; de los Santos, Chato; De Manuel Keenoy, Esteban; De Vries, Govert; Deleanu, Diana; Demoly, Pascal; Denburg, Judah; Devillier, Philippe; Didier, Alain; Dimic Janjic, Sanja; Dimou, Maria; Dinh-Xuan, Anh Tuan; Djukanovic, Ratko; Do Ceu Texeira, Maria; Dokic, Dejan; Dominguez Silva, Margarita Gabriela; Douagui, Habib; Douladiris, Nikolaos; Doulaptsi, Maria; Dray, Gerard; Dubakiene, Ruta; Dupas, Eve; Durham, Stephen; Duse, Marzia; Dykewicz, Mark; Ebo, Didier; Edelbaher, Natalija; Eiwegger, Thomas; Eklund, Patrik; El-Gamal, Yehia; El-Sayed, Zeinab A.; El-Sayed, Shereen S.; El-Seify, Magda; Emuzyte, Regina; Enecilla, Lourdes; Erhola, Marina; Espinoza, Heidilita; Espinoza Contreras, Jesus Guillermo; Farrell, John; Fernandez, Lenora; Fimbres Jimenez, Paola; Fink Wagner, Antje; Fiocchi, Alessandro; Fokkens, Wytske J.; Folletti, Lenia; Fonseca, Joao A.; Fontaine, Jean-Francois; Forastiere, Francesco; Fuentes Perez, Jose Miguel; Gaerlan-Resureccion, Emily; Gaga, Mina; Galvez Romero, Jose Luis; Gamkrelidze, Amiran; Garcia, Alexis; Garcia Cobas, Cecilia Yvonne; de la Luz Hortensia Garcia Cruz, Maria; Ortiz, Valeria Garcia; Gayraud, Jacques; Gelardi, Matteo; Gemicioglu, Bilun; Gennimata, Dimitra; Genova, Sonya; Gereda, Jose; Gerth van Wijk, Roy; Giuliano, Antonio; Gomez, Rene-Maximiliano; Gonzalez Ballester, Miguel-Ange; Gonzalez Diaz, Sandra; Gotua, Maia; Grigoreas, Christos; Grisle, Ineta; Guidacci, Marta; Guldemond, Nick; Gutter, Zdenek; Guzman, Antonieta; Haahtela, Tari; Halloum, Ramsa; Halpin, David; Hamelmann, Eckard; Hammadi, Suleiman; Harvey, Richard; Heffler, Enrico; Heinrich, Joachim; Hejjaoui, Adnan; Hellquist-Dahl, Birthe; Hernandez Velazquez, Luiana; Hew, Mark; Hossny, Elham; Howarth, Peter; Hrubisko, Martin; Huerta Villalobos, Yunuen Rocio; Humbert, Marc; Husain, Salina; Hyland, Michael; Iaccarino, Guido; Ibrahim, Moustafa; Ilina, Nataliya; Illario, Maddalena; Incorvaia, Cristoforo; Infantino, Antonio; Irani, Carla; Ispayeva, Zhanat; Ivancevich, Juan Carlos; Jares, Edgardo E. J.; Jarvis, Deborah; Jassem, Ewa; Jenko, Klemen; Jimeneracruz Uscanga, Ruben Dario; Johnston, Sebastian L.; Joos, Guy; Jost, Maja; Julge, Kaja; Jung, Ki-Suck; Just, Jocelyne; Jutel, Marek; Kaidashev, Igor; Kalayci, Omer; Kalyoncu, Fuat; Kapsali, Jeni; Kardas, Przemyslaw; Karjalainen, Jussi; Kasala, Carmela A.; Katotomichelakis, Michael; Kavaliukaite, Loreta; Bennoor, Kazi S.; Keil, Thomas; Keith, Paul; Khaitov, Musa; Khaltaev, Nikolai; Kim, You-Young; Kirenga, Bruce; Kleine-Tebbe, Jorg; Klimek, Ludger; Ko, Fanny W.; Koffi N'Goran, Bernard; Kompoti, Evangelia; Kopac, Peter; Koppelman, Gerard; Koren Jeverica, Anja; Koskinen, Seppo; Kosnik, Mitja; Kostka, Tomasz; Kostov, Kosta V.; Kowalski, Marek L.; Kralimarkova, Tanya; Kramer Vrscaj, Karmen; Kraxner, Helga; Kreft, Samo; Kritikos, Vicky; Kudlay, Dmitry; Kuitunen, Mikael; Kull, Inger; Kuna, Piotr; Kupczyk, Maciej; Kvedariene, Violeta; Kyriakakou, Marialena; Lalek, Nika; Landi, Massimo; Lane, Stephen; Larenas-Linnemann, Desiree E.; Lau, Susanne; Laune, Daniel; Lavrut, Jorge; Le, Lan; Lenzenhuber, Martina; Leo, Gualtiero; Lessa, Marcus; Levin, Michael; Li, Jing; Lieberman, Philip; Liotta, Giuseppe; Lipworth, Brian; Liu, Xuandao; Lobo, Rommel; Lodrup Carlsen, Karin C.; Lombardi, Carlo; Louis, Renaud; Loukidis, Stelios; Lourenco, Olga; Luna Pech, Jorge A.; Madjar, Bojan; Maggi, Enrico; Magnan, Antoine; Mahboub, Bassam; Mair, Alpana; Maitland van der Zee, Anke-Hilse; Makela, Mika; Makris, Michael; Malling, Hans-Jorgen; Mandajieva, Mariana; Manning, Patrick; Manousakis, Manolis; Maragoudakis, Pavlos; Marseglia, Gianluigi; Marshall, Gailen; Masjedi, Mohammad Reza; Maspero, Jorge F.; Matta Campos, Juan Jose; Maurer, Marcus; Mavale-Manuel, Sandra; Meco, Cem; Melen, Erik; Melioli, Giovanni; Melo-Gomes, Elisabete; Meltzer, Eli O.; Menditto, Enrica; Menzies-Gow, Andrew; Merk, Hans; Michel, Jean-Pierre; Micheli, Yann; Miculinic, Neven; Midao, Luis; Mihaltan, Florin; Mikos, Nikolaos; Milanese, Manlio; Milenkovic, Branislava; Mitsias, Dimitrios; Moalla, Bassem; Moda, Giuliana; Mogica Martinez, Maria Dolores; Mohammad, Yousser; Moharra, Frances-Montserrat; Moin, Mostafa; Molimard, Mathieu; Momas, Isabelle; Mommers, Monique; Monaco, Alessandro; Montefort, Stephen; Montenegro, Lucia-Elvira; Monti, Riccardo; Mora, Dory; Morais-Almeida, Mario; Mosges, Ralph; Mostafa, Badr Eldin; Mullol, Joaquim; Munter, Lars; Muraro, Antonella; Murray, Ruth; Musarra, Antonio; Mustakov, Tihomir; Naclerio, Robert; Nadeau, Kari C.; Nadif, Rachel; Nakonechna, Alla; Namazova-Baranova, Leyla; Navarro-Locsin, Gretchen; Neffen, Hugo; Nekam, Kristof; Neou, Angelos; Nettis, Eustachio; Neuberger, Daniel; Nicod, Laurent; Nicola, Stefania; Niederberger-Leppin, Verena; Niedoszytko, Marek; Nieto, Antonio; Novellino, Ettore; Nunes, Elizabete; Nyembue, Dieudonne; O'Hehir, Robyn E.; Odjakova, Cvetanka; Ohta, Ken; Okamoto, Yoshitaka; Okubo, Kimi; Oliver, Brian; Onorato, Gabrielle L.; Orru, Maria Pia; Ouedraogo, Solange; Ouoba, Kampadilemba; Padilla, Francisco-Javier; Paggiaro, Pier Luigi; Pagkalos, Aris; Pajno, Giovanni; Pala, Gianni; Palaniappan, S. P.; Pali-Scholl, Isabella; Palkonen, Susanna; Palmer, Stephen; Panaitescu Bunu, Carmen; Panzner, Petr; Papadopoulos, Nikos G.; Papanikolaou, Vasilis; Papi, Alberto; Paralchev, Bojidar; Paraskevopoulos, Giannis; Park, Hae-Sim; Passalacqua, Giovanni; Patella, Vincenzo; Pavord, Ian; Pawankar, Ruby; Pedersen, Soren; Peleve, Susete; Pellegino, Simona; Pereira, Ana; Pereira, Mariana; Perez, Tamara; Perna, Andrea; Peroni, Diego; Pfaar, Oliver; Pham-Thi, Nhan; Pigearias, Bernard; Pin, Isabelle; Piskou, Konstantina; Pitsios, Constantinos; Plavec, Davor; Poethig, Dagmar; Pohl, Wolfgang; Poplas Susic, Antonija; Popov, Todor A.; Portejoie, Fabienne; Potter, Paul; Poulsen, Lars; Prados-Torres, Alexandra; Prarros, Fotis; Price, David; Prokopakis, Emmanuel; Puggioni, Francesca; Puig-Domenech, Elisa; Puy, Robert; Rabe, Klaus; Rabotti, Silvia; Raciborski, Filip; Ramos, Josephine; Recalcati, Cristina; Recto, Marysia T.; Reda, Shereen M.; Regateiro, Frederico S.; Reider, Norbert; Reitsma, Sietze; Repka-Ramirez, Susana; Ridolo, Erminia; Rimmer, Janet; Rivero Yeverino, Daniela; Rizzo, Jose Angelo; Robalo-Cordeiro, Carlos; Roberts, Graham; Robles, Karen; Roche, Nicolas; Rodriguez Gonzalez, Monica; Rodriguez Zagal, Erendira; Rolla, Giovanni; Rolland, Christine; Roller-Wirnsberger, Regina; Roman Rodriguez, Miguel; Romano, Antonino; Romantowski, Jan; Rombaux, Philippe; Romualdez, Joel; Rosado-Pinto, Jose; Rosario, Nelson; Rosenwasser, Lanny; Rossi, Oliviero; Rottem, Menachem; Rouadi, Philip W.; Rovina, Nikoleta; Rozman Sinur, Irma; Ruiz, Mauricio; Ruiz Segura, Lucy Tania; Ryan, Dermot; Sagara, Hironori; Sakai, Daiki; Sakurai, Daiju; Saleh, Wafaa; Salimaki, Johanna; Samitas, Konstantinos; Samolinski, Boleslaw; Sanchez Coronel, Maria Guadalupe; Sanchez-Borges, Mario; Sanchez-Lopez, Jaime; Sansonna, Melissa; Sarafoleanu, Codrut; Sarquis Serpa, Faradiba; Sastre, Joaquin; Savi, Eleonora; Savonyte, Agne; Sawaf, Bisher; Scadding, Glenis K.; Scheire, Sophie; Schmid-Grendelmeier, Peter; Schuhl, Juan Francisco; Schunemann, Holger; Schvalbova, Maria; Schwarze, Jorgen; Scichilone, Nicola; Senna, Gianenrico; Sepulveda, Cecilia; Serrano, Elie; Shamai, Sara; Sheikh, Aziz; Shields, Mike; Shishkov, Vasil; Siafakas, Nikos; Simeonov, Alexander; Simons, Estelle F. E. R.; Sisul, Juan Carlos; Sitkauskiene, Brigita; Skrindo, Ingelbjorg; Soklic Kosak, Tanja; Sole, Dirceu; Sondermann, Martin; Sooronbaev, Talant; Soto-Martinez, Manuel; Soto-Quiros, Manuel; Pinto, Barnaro Sousa; Sova, Milan; Soyka, Michael; Specjalski, Krzysztof; Sperl, Annette; Spranger, Otto; Stamataki, Sofia; Stefanaki, Lina; Stellato, Cristiana; Stelmach, Rafael; Strandberg, Timo; Stute, Petra; Subramaniam, Abirami; Suppli Ulrik, Charlotte; Sutherland, Michael; Sylvestre, Silvia; Syrigou, Aikaterini; Taborda Barata, Luis; Takovska, Nadejda; Tan, Rachel; Tan, Frances; Tan, Vincent; Tang, Ing Ping; Taniguchi, Masami; Tannert, Line; Tantilipikorn, Pongsakorn; Tattersall, Jessica; Tesi, Filippo; Thieme, Uta; Thijs, Carel; Thomas, Mike; To, Teresa; Todo-Bom, Ana Maria; Togias, Alkis; Tomazic, Peter-Valentin; Tomic-Spiric, Vesna; Toppila-Salmi, Sanna; Torres Jaen, Maria-Jose; Toskala, Elina; Triggiani, Massimo; Triller, Nadja; Triller, Katja; Tsiligianni, Ioanna; Uberti, M.; Ulmeanu, Ruxandra; Urbancic, Jure; Urrutia Pereira, Marilyn; Vachova, Martina; Valdes, Felipe; Valenta, Rudolf; Valentin Rostan, Marylin; Valero, Antonio; Valiulis, Arunas; Vallianatou, Mina; Valovirta, Erkka; Van Eerd, Michiel; Van Ganse, Eric; van Hage, Marianne; Vandenplas, Olivier; Vasankari, Tuula; Vassileva, Dafina; Velasco Munoz, Cesar; Ventura, Maria Teresa; Vera-Munoz, Cecilia; Viart, Frederic; Vicheva, Dilyana; Vichyanond, Pakit; Vidgren, Petra; Viegi, Giovanni; Vogelmeier, Claus; Von Hertzen, Leena; Vontetsianos, Theodoros; Vourdas, Dimitris; Tran Thien Quan, Vu; Wagenmann, Martin; Walker, Samantha; Wallace, Dana; De Wang, Yun; Waserman, Susan; Wehner, Katrin; Wickman, Magnus; Williams, Sian; Williams, Dennis; Wilson, Nicola; Wong, Gary; Woo, Kent; Wozniak, Lucyna; Wright, John; Wroczynski, Piotr; Xepapadaki, Paraskevi; Yakovliev, Plamen; Yamaguchi, Masao; Yan, Kwok; Yap, Yoke Yeow; Yassin, Mais; Yawn, Barbara; Yiallouros, Panayiotis; Yorgancioglu, Arzu; Yoshihara, Shigemi; Young, Ian; Yusuf, Osman B.; Zaidi, Asghar; Zaitoun, Fares; Zalud, Petra; Zar, Heather; Zedda, M. T.; Zernotti, Mario E.; Zhang, Luo; Zhong, Nanshan; Zidarn, Mihaela; Zuberbier, Torsten; Zubrinich, Celia; ARIA Grp] Humboldt Univ, Charite Univ Med Berlin, Berlin, Germany; [Bousquet, Jean; Zuberbier, Torsten] Berlin Inst Hlth, Comprehens Allergy Ctr, Dept Dermatol &amp; Allergy, Berlin, Germany; [Bousquet, Jean] MACVIA France, 273 Ave Occitanie, F-34090 Montpellier, France; [Bousquet, Jean] CHU Montpellier, 273 Ave Occitanie, F-34090 Montpellier, France; [Anto, Josep M.] ISGlobAL, Ctr Res Environm Epidemiol CREAL, Barcelona, Spain; [Anto, Josep M.] IMIM Hosp del Mar Res Inst, Barcelona, Spain; [Anto, Josep M.] Univ Pompeu Fabra UPF, Barcelona, Spain; [Anto, Josep M.] CIBER Epidemiol &amp; Salud Publ CIBERESP, Barcelona, Spain; [Czarlewski, Wienczyslawa] MASK Air, Montpellier, France; [Czarlewski, Wienczyslawa] Med Consulting Czarlewski, Levallois Perret, France; [Haahtela, Tari] Univ Helsinki, Helsinki Univ Hosp, Skin &amp; Allergy Hosp, Helsinki, Finland; [Fonseca, Susana C.] Univ Porto, DGAOT, GreenUPorto Sustainable Agrifood Prod Res Ctr, Fac Sci, Porto, Portugal; [Iaccarino, Guido] Univ Naples Federico II, Dept Adv Biomed Sci, Naples, Italy; [Blain, Hubert] Montpellier Univ Hosp, Dept Geriatr, Montpellier, France; [Blain, Hubert] MUSE, Montpellier, France; [Vidal, Alain] World Business Council Sustainable Dev WBCSD, Geneva, Switzerland; [Vidal, Alain] AgroParisTech Paris Inst Technol Life Food &amp; Envi, Paris, France; [Sheikh, Aziz] Univ Edinburgh, Usher Inst, Edinburgh, Midlothian, Scotland; [Akdis, Cezmi A.] Univ Zurich, Swiss Inst Allergy &amp; Asthma Res SIAF, Davos, Switzerland</t>
  </si>
  <si>
    <t>Berlin Institute of Health; Free University of Berlin; Humboldt University of Berlin; Charite Universitatsmedizin Berlin; Berlin Institute of Health; Universite de Montpellier; Universite de Montpellier; CHU de Montpellier; ISGlobal; Pompeu Fabra University; Centre de Recerca en Epidemiologia Ambiental (CREAL); Hospital del Mar Research Institute; Hospital del Mar; Pompeu Fabra University; CIBER - Centro de Investigacion Biomedica en Red; CIBERESP; University of Helsinki; Helsinki University Central Hospital; Universidade do Porto; University of Naples Federico II; Universite de Montpellier; CHU de Montpellier; Universite de Montpellier; AgroParisTech; University of Edinburgh; Swiss Institute of Allergy &amp; Asthma Research; University of Zurich</t>
  </si>
  <si>
    <t>Bousquet, J (corresponding author), MACVIA France, 273 Ave Occitanie, F-34090 Montpellier, France.;Bousquet, J (corresponding author), CHU Montpellier, 273 Ave Occitanie, F-34090 Montpellier, France.</t>
  </si>
  <si>
    <t>Bieber, Thomas/AFM-9906-2022; Gemicioglu, Bilun/AAH-6927-2019; Katotomichelakis, Michael/AAL-7657-2021; Zubrinich, Celia/AFU-9645-2022; Briggs, Andrew/ABA-9009-2020; Triggiani, Massimo/K-8271-2016; Brozek, Jan/ADG-1130-2022; Vicheva, Dilyana/AAI-7136-2020; Fontaine, Jean-Fred/GNP-2904-2022; roche, nicolas/R-6080-2018; Anto, J/H-2676-2014; Bachert, Claus/J-8825-2012; Sondermann, Martin/M-7712-2017; Sheikh, Aziz/D-2818-2009; Briedis, Vitalis/AAY-9241-2020; Dray, Gerard/ACO-1836-2022; brussino, luisa/J-2486-2012; Ciprandi, Giorgio/G-7462-2012; Košnik, Mitja/AAI-2295-2019; Ivancevich, Juan/AAB-4937-2020; Maggi, Enrico/AAA-8045-2019; Arrais, Margarete/MGU-4642-2025; artesani, maria/AAA-8736-2020; Djokic, Dejan/V-9813-2017; Nicola, Stefania/AAT-2004-2020; Bateman, Eric/B-7042-2011; Jarvis, Deborah/E-6494-2011; Koppelman, Gerard/AAG-9187-2020; Chang, Yoon-Seok/J-5628-2012; Viegi, Giovanni/K-2746-2016; Panaitescu, Carmen/ABU-2019-2022; Khaitov, Musa/L-3369-2017; Adcock, Ian/L-3217-2019; Mullol, Joaquim/F-2951-2014; Humbert, Marc/AAC-8459-2019; Todo Bom, Ana/AHD-3630-2022; Yiallouros, Panayiotis/AAF-6026-2019; de Castro Soares Regateiro, Frederico/AAR-1528-2020; Zuberbier, Torsten/AFM-9173-2022; Kreft, Samo/HNI-2007-2023; Stellato, Cristiana/IWU-8018-2023; LOUIS, Renaud/HMO-7349-2023; Bagnasco, Diego/M-1264-2019; Hamelmann, Eckard/AAJ-9124-2021; Yorgancioglu, Arzu/AAC-7548-2020; Muraro, Antonella/AFO-2033-2022; Plavec, Davor/HKM-7822-2023; Bonniaud, Philippe/ITT-4660-2023; Kudlay, Dmitry/X-1344-2019; Jung, Ki-Suck/AAN-2473-2021; Carmona Pirez, Jonas/AAE-8594-2022; Senna, Gianenrico/AAC-6896-2022; Akdis, Mubeccel/JCE-1576-2023; Gaga, Mina/AAP-8348-2020; Bosnic-Anticevich, Sinthia/AAD-2526-2021; Arasi, Stefania/K-2858-2018; Romantowski, Jan/S-8412-2018; Patella, Vincenzo/JRX-8386-2023; T, E/HII-8943-2022; Valiulis, Arunas/JEZ-2972-2023; Solé, Dirceu/JAO-0340-2023; Bialoszewski, Artur/G-5875-2012; Cheng, Lei/AAT-2690-2021; Kupczyk, Maciej/S-9677-2016; Kaidashev, Igor/L-2606-2019; Fiocchi, Alessandro/K-9235-2016; Busse, William/AFR-0848-2022; Abdul Latiff, Amir Hamzah/IUP-7483-2023; Popov, Todor/Q-9928-2016; Cox, Linda/AAP-1697-2021; Serpa, Faradiba/AAC-8477-2021; meco, cem/JBR-9349-2023; Moyano, Juan/AAT-7676-2020; Basagaña, Xavier/C-3901-2017; Cingi, Cemal/AAA-1951-2021; Lotrean, Lucia/C-2859-2011; Gotua, Maia/ABA-1648-2021; Hossny, Elham/HTN-8758-2023; Toppila-Salmi, Sanna/ABF-5840-2020; PIN, Isabelle/N-3020-2013; O'Hehir, Robyn/H-3627-2011; stelmach, rafael/AAH-1638-2019; Loureiro, Claudia/AAW-3420-2021; Schmid, Peter/D-1717-2013; Zar, Heather/GZL-5350-2022; Compalati, Enrico/ABH-1123-2021; Luna-Pech, Jorge/F-8817-2019; Pérez, José/IUO-1049-2023; Buters, Jeroen/JCD-7483-2023; Bindslev-Jensen, Carsten/H-1877-2011; Akdis, Cezmi/AAV-4844-2020; Doulaptsi, Maria/AAH-2664-2020; Young, Ian/E-7385-2011; Sawaf, Bisher/AAM-9732-2020; Heffler, Enrico/F-9455-2010; Martins, Pedro/A-1433-2011; Valenta, Richard/K-4072-2017; Canevari, Frank/R-2280-2019; van Hage, Marianne/A-9678-2017; El-Sayed, Zeinab/M-4830-2013; Pham-Thi, Nhan/HCH-6032-2022; Rosario Filho, Nelson/HSE-9522-2023; Cecchi, Lorenzo/HPF-1970-2023; Rivero Yeverino, Daniela/IYS-3602-2023; Bilò, Maria Beatrice/JNS-0635-2023; Ryan, Dermot/GSN-9147-2022; BOBOLEA, IRINA/AFR-1732-2022; Thijs, Carel/H-8340-2019; Levin, Michael/AAT-2370-2020; Kvedarienė, Violeta/GON-7937-2022; Papi, alberto/AAC-1888-2019; Niedoszytko, Marek/U-1250-2018; Reitsma, Sietze/JJP-5995-2023; MARSEGLIA, GIAN/HPF-5225-2023; Bond, Christine/ABF-5390-2020; Fokkens, Wytske/ABF-2185-2020; MAGNAN, ANTOINE/GVT-4308-2022; Rabe, Klaus/AAW-6296-2021; Rovina, Nikoletta/I-2527-2019; Tsiligianni, Ioanna/IUN-4739-2023; Mohammad, Yousser/LTD-1984-2024; Chung, Kian/B-1872-2012; Roberts, Gareth/H-4496-2011; Klimek, Ludger/AFJ-9880-2022; Urbancic, Jure/HGC-3054-2022; Sánchez-López, Jaime/L-3020-2014; Lessa, Marcus/AAV-8573-2021; Peroni, Diego/K-4002-2018; Ko, Fanny Wai San/B-8958-2016; Soklic, Tanja Kosak/ABI-4907-2020; Namazova-Baranova, Leyla/C-9485-2019; Samitas, Konstantinos/E-6231-2015; Dinh-Xuan, Anh Tuan/A-9691-2008; Regateiro, Frederico/F-3914-2011; Custovic, Adnan/A-2435-2012; Bedolla-Barajas, Martin/AFQ-5082-2022; Tantilipikorn, Pongsakorn/D-2797-2019; Romano, Antonino/D-3102-2017; CANEVARI, Frank Rikki/B-7172-2017; Wong, Gary/AAY-9207-2020; Caldas-Fonseca, Susana/B-2880-2012; EBO, Didier/H-4894-2016; CANONICA, GIORGIO WALTER/ABF-2037-2020; Demoly, Pascal/Y-9938-2019; Correia de Sousa, Jaime/H-5607-2015; Maurer, Marcus/ABG-2174-2020; Papadopoulos, Nikolaos/L-8670-2013; Yusuf, Osman/AAI-1142-2020; Chavannes, Niels Henrik/F-1148-2011; Mostafa, Badr/H-2337-2015; Schunemann, Holger/LRB-7016-2024; Lourenco, Olga/S-6233-2016; Puggioni, Francesca/HKN-6994-2023; Braido, Fulvio/C-5320-2012; Casale, Thomas/K-4334-2013; Al-Ahmad, Mona/IQU-2494-2023; Fonseca, Joao/B-7562-2008; Stellato, Cristiana/P-3001-2015; Christoff, George/ABF-9789-2021; Costa, Elisio/K-1990-2013; Oliver, Brian/E-7939-2010; Sastre, Joaquin/A-4270-2008; Nadif, Rachel/R-2876-2016; Bonini, Sergio/T-6594-2019; Heinrich, Joachim/N-1720-2013; nettis, eustachio/P-8554-2016; Kaidashev, Igor/H-3827-2016; Robalo Cordeiro, Carlos Manuel da Silva/I-4864-2012; Sousa-Pinto, Bernardo/O-2846-2014; Maitland-van der Zee, Anke/I-9572-2016; Midao, Luis/V-2571-2017; Panzner, Petr/I-7034-2017; Pereira, Ana Margarida/K-3343-2014; BERGHEA, ELENA CAMELIA/AAJ-2804-2021; Arrais, Margarete/Z-1905-2019; Rolla, Giovanni/C-9901-2009</t>
  </si>
  <si>
    <t>Ko, Fanny Wai San/0000-0001-8454-0087; Abdul Latiff, Amir/0000-0002-6304-0494; Soklic, Tanja Kosak/0000-0002-9326-7606; Namazova-Baranova, Leyla/0000-0002-2209-7531; Samitas, Konstantinos/0000-0002-9921-9859; Koppelman, Gerard/0000-0001-8567-3252; Dimic- Janjic, Sanja/0000-0001-9989-3862; Tsiligianni, Ioanna/0000-0001-7922-7491; Kosnik, Mitja/0000-0002-4701-7374; Barbara, Cristina/0000-0003-0915-4105; Dinh-Xuan, Anh Tuan/0000-0001-8651-5176; Bialek, Slawomir/0000-0002-0112-6786; Regateiro, Frederico/0000-0002-6332-3056; Gradauskiene, Brigita/0000-0001-5086-8893; Cecchi, Lorenzo/0000-0002-0658-2449; Rottem, Menachem/0000-0002-9915-0273; MARSEGLIA, GIAN LUIGI/0000-0003-3662-0159; mohammad, yousser/0009-0003-0403-2747; Ivancevich, Juan Carlos/0000-0001-8713-6258; Custovic, Adnan/0000-0001-5218-7071; Bedolla-Barajas, Martin/0000-0003-4915-1582; Tantilipikorn, Pongsakorn/0000-0003-1995-4798; Fiocchi, Alessandro/0000-0002-2549-0523; Kvedariene, Violeta/0000-0002-6119-211X; Adcock, Ian/0000-0003-2101-8843; Romano, Antonino/0000-0001-9742-9898; Bousquet, Jean/0000-0002-4061-4766; Nicola, Stefania/0000-0002-9955-194X; CANEVARI, Frank Rikki/0000-0002-1821-7262; Wong, Gary/0000-0001-5939-812X; Bosnic-Anticevich, Sinthia/0000-0001-5077-8329; Caldas-Fonseca, Susana/0000-0003-4793-5965; EBO, Didier/0000-0003-0672-7529; CANONICA, GIORGIO WALTER/0000-0001-8467-2557; Rabe, Klaus F./0000-0002-7020-1401; Demoly, Pascal/0000-0001-7827-7964; Subramaniam, Abirami/0000-0001-6715-3915; Valenta, Rudolf/0000-0001-5944-3365; Correia de Sousa, Jaime/0000-0001-6459-7908; Maurer, Marcus/0000-0002-4121-481X; Papadopoulos, Nikolaos/0000-0002-4448-3468; Kardas, Przemyslaw/0000-0002-6078-2628; Yusuf, Osman/0000-0002-8067-1204; Chavannes, Niels Henrik/0000-0002-8607-9199; brightling, chris/0000-0002-9345-4903; Zar, Heather/0000-0002-9046-759X; momas, isabelle/0000-0003-4344-3787; Mostafa, Badr/0000-0002-6471-7188; Makris, Michael/0000-0003-2713-2380; Pitsios, Constantinos/0000-0001-8935-278X; Schunemann, Holger/0000-0003-3211-8479; Lourenco, Olga/0000-0002-8401-5976; Gemicioglu, Bilun/0000-0001-5953-4881; menditto, enrica/0000-0001-8633-5650; Hyland, Michael/0000-0003-3879-0469; Meco, Cem/0000-0001-8372-8045; Puggioni, Francesca/0000-0001-6638-5626; Braido, Fulvio/0000-0003-2460-4709; cox, linda/0000-0002-5258-6870; Tannert, Line/0000-0003-4039-5708; Casale, Thomas/0000-0002-3149-7377; Thijs, Carel/0000-0001-6646-5458; Al-Ahmad, Mona/0000-0003-2950-5363; Tomic Spiric, Vesna/0000-0002-7047-3538; Fonseca, Joao/0000-0002-0887-8796; Rouadi, philip/0000-0002-5365-9568; Stellato, Cristiana/0000-0002-1294-8355; Chaves Loureiro, Claudia/0000-0003-0438-6126; Carreiro Martins, Pedro/0000-0002-4129-133X; Chu, Derek/0000-0001-8269-4496; Djukanovic, Ratko/0000-0001-6039-5612; Howarth, Peter/0000-0003-0619-7927; Christoff, George/0000-0003-4549-7711; Costa, Elisio/0000-0003-1158-1480; Oliver, Brian/0000-0002-7122-9262; Dimou, Maria/0000-0001-8197-9895; Bialoszewski, Artur/0000-0001-5941-0483; Briggs, Andrew/0000-0002-0777-1997; Sastre, Joaquin/0000-0003-4689-6837; Nadif, Rachel/0000-0003-4938-9339; Akdis, Cezmi/0000-0001-8020-019X; GALVEZ ROMERO, JOSE LUIS/0000-0002-6560-3596; Bilo', Maria Beatrice/0000-0002-9324-6039; Bonini, Sergio/0000-0003-0079-3031; Heinrich, Joachim/0000-0002-9620-1629; AGGELIDIS, XENOFON/0000-0003-1715-3022; Onorato, Gabrielle Laura/0000-0002-7867-5345; nettis, eustachio/0000-0003-1383-105X; Ciprandi, Giorgio/0000-0001-7016-8421; Zubrinich, celia/0000-0002-3517-2035; Zhang, Luo/0000-0002-0910-9884; Kaidashev, Igor/0000-0002-4708-0859; Robalo Cordeiro, Carlos Manuel da Silva/0000-0002-8264-3856; Kudlay, Dmitry/0000-0003-1878-4467; Rovina, Nikoletta/0000-0003-0138-5582; Raciborski, Filip/0000-0003-0562-0260; Sousa-Pinto, Bernardo/0000-0002-1277-3401; Maitland-van der Zee, Anke/0000-0002-0414-3442; Buters, Jeroen/0000-0003-3581-5472; Ryan, Dermot/0000-0002-4115-7376; Midao, Luis/0000-0003-1981-2554; Panzner, Petr/0000-0002-1291-450X; El-Gamal, Yehia/0000-0002-8177-4520; Pereira, Ana Margarida/0000-0002-5468-0932; Jarvis, Deborah/0000-0002-1753-3896; Hossny, Elham/0000-0001-6876-6318; BERGHEA, ELENA CAMELIA/0000-0001-9522-8363; Stute, Petra/0000-0002-5591-1552; Arrais, Margarete/0000-0001-6611-4260; Billo, Nils Eric/0000-0002-5735-5107; Soto-Martinez, Manuel/0000-0002-5509-6164; Patella, Vincenzo/0000-0001-5640-6446; Reitsma, Sietze/0000-0003-1734-2632; Dray, Gerard/0000-0003-1525-5682; Rolla, Giovanni/0000-0001-5997-7172</t>
  </si>
  <si>
    <t>10.1111/all.14549</t>
  </si>
  <si>
    <t>Green Published, Green Submitted, Green Accepted</t>
  </si>
  <si>
    <t>WOS:000569812500001</t>
  </si>
  <si>
    <t>Jutant, EM; Jaïs, X; Girerd, B; Savale, L; Ghigna, MR; Perros, F; Mignard, X; Jevnikar, M; Bourlier, D; Prevot, G; Tromeur, C; Bauer, F; Bergot, E; Dauphin, C; Favrolt, N; Traclet, J; Soumagne, T; De Groote, P; Chabanne, C; Magro, P; Bertoletti, L; Gueffet, JP; Chaouat, A; Goupil, F; Moceri, P; Borie, R; Fadel, E; Wolkenstein, P; Brillet, PY; Simonneau, G; Sitbon, O; Humbert, M; Montani, D</t>
  </si>
  <si>
    <t>Jutant, Etienne-Marie; Jais, Xavier; Girerd, Barbara; Savale, Laurent; Ghigna, Maria-Rosa; Perros, Frederic; Mignard, Xavier; Jevnikar, Mitja; Bourlier, Delphine; Prevot, Gregoire; Tromeur, Cecile; Bauer, Fabrice; Bergot, Emmanuel; Dauphin, Claire; Favrolt, Nicolas; Traclet, Julie; Soumagne, Thibaud; De Groote, Pascal; Chabanne, Celine; Magro, Pascal; Bertoletti, Laurent; Gueffet, Jean-Pierre; Chaouat, Ari; Goupil, Francois; Moceri, Pamela; Borie, Raphael; Fadel, Elie; Wolkenstein, Pierre; Brillet, Pierre-Yves; Simonneau, Gerald; Sitbon, Olivier; Humbert, Marc; Montani, David</t>
  </si>
  <si>
    <t>Phenotype and Outcomes of Pulmonary Hypertension Associated with Neurofibromatosis Type 1</t>
  </si>
  <si>
    <t>pulmonary hypertension; neurofibromatosis type 1; interstitial lung disease; outcomes</t>
  </si>
  <si>
    <t>ARTERIAL-HYPERTENSION; SORAFENIB; PREVALENCE; KINASE; INHIBITION; MORTALITY; DISEASE</t>
  </si>
  <si>
    <t>Rationale: Pulmonary hypertension (PH) associated with neurofibromatosis type 1 (NF1) is a rare and largely unknown complication of NF1. Objectives: To describe characteristics and outcomes of PH-NF1. Methods: We reported the clinical, functional, radiologic, histologic, and hemodynamic characteristics, response to pulmonary arterial hypertension (PAH)-approved drugs, and transplant-free survival of patients with PH-NF1 from the French PH registry. Measurements and Main Results: We identified 49 PH-NF1 cases, characterized by a female/male ratio of 3.9 and a median (minimum-maximum) age at diagnosis of 62 (18-82) years. At diagnosis, 92% were in New York Heart Association functional class III or IV. The 6-minute-walk distance was 211 (0-460) m. Pulmonary function tests showed low DLCO (30% [12-79%]) and severe hypoxemia (Pa-O2 56 [38-99] mm Hg). Right heart catheterization showed severe precapillary PH with a mean pulmonary artery pressure of 45 (10) mm Hg and a pulmonary vascular resistance of 10.7 (4.2) Wood units. High-resolution computed tomography images revealed cysts (76%), ground-glass opacities (73%), emphysema (49%), and reticulations (39%). Forty patients received PAH-approved drugs with a significant improvement in functional class and hemodynamic parameters. Transplant-free survival at 1, 3, and 5 years was 87%, 54%, and 42%, respectively, and four patients were transplanted. Pathologic assessment showed nonspecific interstitial pneumonia and major pulmonary vascular remodeling. Conclusions: PH-NF1 is characterized by a female predominance, a low DLCO, and severe functional and hemodynamic impairment. Despite a potential benefit of PAH treatment, prognosis remains poor, and double-lung transplantation is an option for eligible patients.</t>
  </si>
  <si>
    <t>[Jutant, Etienne-Marie; Jais, Xavier; Girerd, Barbara; Savale, Laurent; Perros, Frederic; Mignard, Xavier; Jevnikar, Mitja; Simonneau, Gerald; Sitbon, Olivier; Humbert, Marc; Montani, David] Univ Paris Saclay, Sch Med, Le Kremlin Bicetre, France; [Jutant, Etienne-Marie; Jais, Xavier; Girerd, Barbara; Savale, Laurent; Ghigna, Maria-Rosa; Perros, Frederic; Mignard, Xavier; Jevnikar, Mitja; Fadel, Elie; Simonneau, Gerald; Sitbon, Olivier; Humbert, Marc; Montani, David] Hop Marie Lannelongue, INSERM UMR S 999 Pulm Hypertens Pathophysiol &amp; No, Le Plessis Robinson, France; [Ghigna, Maria-Rosa] Hop Marie Lannelongue, Serv Anatomopathol, Le Plessis Robinson, France; [Fadel, Elie] Hop Marie Lannelongue, Pole Chirurg Cardiaque Congenitale &amp; Pediat, Le Plessis Robinson, France; [Jutant, Etienne-Marie; Jais, Xavier; Girerd, Barbara; Savale, Laurent; Perros, Frederic; Mignard, Xavier; Jevnikar, Mitja; Simonneau, Gerald; Sitbon, Olivier; Humbert, Marc; Montani, David] Hop Bicetre, Assistance Publ Hop Paris AP HP, Dept Resp &amp; Intens Care Med, Pulm Hypertens Natl Referral Ctr, Le Kremlin Bicetre, France; [Bourlier, Delphine] CHU Bordeaux, Hop Haut Leveque, Serv Malad Resp, Pessac, France; [Prevot, Gregoire] Hop Larrey, Pneumol &amp; Malad Rares, Pole Voies Resp, Toulouse, France; [Tromeur, Cecile] Hop Cavale Blanche, Serv Pneumol, Brest, France; [Bauer, Fabrice] Heart Failure Clin &amp; Pulm Hypertens Ctr, INSERM U1096, Rouen, France; [Bauer, Fabrice] Hop Charles Nicole, Serv Chirurg Cardiaque, Rouen, France; [Bergot, Emmanuel] CHU Cote Nacre, Serv Pneumol &amp; Oncol Thorac, Caen, France; [Dauphin, Claire] Hop Gabriel Montpied, Serv Cardiol &amp; Malad Vasc, Clermont Ferrand, France; [Favrolt, Nicolas] CHU Francois Mitterrand, Serv Pneumol &amp; Soins Intensifs Resp, Dijon, France; [Traclet, Julie] Hop Louis Pradel, Serv Pneumol, Lyon, France; [Soumagne, Thibaud] Hop Jean Minjoz, Serv Pneumol, Besancon, France; [De Groote, Pascal] CHU Lille, Serv Cardiol, Lille, France; [De Groote, Pascal] Inst Pasteur, INSERM U1167, Lille, France; [Chabanne, Celine] Hop Pontchaillou, Serv Chirurg Thorac Cardiaque &amp; Vasc, Rennes, France; [Magro, Pascal] CHU Tours, Serv Pneumol, Tours, France; [Bertoletti, Laurent] CHU St Etienne, Serv Med Vasc &amp; Therapeut, St Etienne, France; [Bertoletti, Laurent] Univ St Etienne, INSERM, UMR1059, St Etienne, France; [Bertoletti, Laurent] CHU St Etienne, INSERM, CIC 1408, St Etienne, France; [Gueffet, Jean-Pierre] Hop Prive Confluent, Unite Soins &amp; Cardiol Intervent, Nantes, France; [Chaouat, Ari] Hop Brabois, Dept Pneumol, Ctr Hosp Reg Univ Nancy, Vandoeuvre Les Nancy, France; [Chaouat, Ari] Univ Lorraine, Defaillance Cardiovasc Aigue &amp; Chron, Fac Med Nancy, INSERM UMR S 1116, Nancy, France; [Goupil, Francois] CH Le Mans, Serv Pneumol, Le Mans, France; [Moceri, Pamela] CHU Nice, Serv Cardiol, Nice, France; [Borie, Raphael] Hop Bichat Claude Bernard, AP HP, Serv Pneumol, Paris, France; [Wolkenstein, Pierre] CHU Mondor, AP HP, Serv Dermatol, Creteil, France; [Wolkenstein, Pierre] Univ Paris Est Creteil, Creteil, France; [Brillet, Pierre-Yves] Hop Avicenne, AP HP, Serv Radiol, Bobigny, France; [Brillet, Pierre-Yves] Univ Paris 13, Unite INSERM 1272, Villetaneuse, France</t>
  </si>
  <si>
    <t>Universite Paris Saclay; Institut National de la Sante et de la Recherche Medicale (Inserm); Hopital Marie Lannelongue; Hopital Marie Lannelongue; Hopital Marie Lannelongue; Assistance Publique Hopitaux Paris (APHP); Hopital Universitaire Antoine-Beclere - APHP; Universite Paris Saclay; Hopital Universitaire Bicetre - APHP; CHU Bordeaux; Universite de Bordeaux; CHU de Toulouse; Universite de Bretagne Occidentale; CHU Brest; Institut National de la Sante et de la Recherche Medicale (Inserm); Universite de Rouen Normandie; Universite de Rouen Normandie; CHU de Rouen; Universite de Caen Normandie; CHU de Caen NORMANDIE; CHU Clermont Ferrand; CHU Dijon Bourgogne; CHU Lyon; Universite de Franche-Comte; CHU Besancon; Universite de Lille; CHU Lille; Pasteur Network; Universite de Lille; Institut Pasteur Lille; Institut National de la Sante et de la Recherche Medicale (Inserm); Universite de Rennes; CHU Rennes; CHU Tours; CHU de St Etienne; Universite Jean Monnet; Institut National de la Sante et de la Recherche Medicale (Inserm); Institut National de la Sante et de la Recherche Medicale (Inserm); CHU de St Etienne; CHU de Nancy; Institut National de la Sante et de la Recherche Medicale (Inserm); Universite de Lorraine; Centre Hospitalier Le Mans; CHU Nice; Assistance Publique Hopitaux Paris (APHP); Universite Paris Cite; Hopital Universitaire Bichat-Claude Bernard - APHP; Universite Paris-Est-Creteil-Val-de-Marne (UPEC); Assistance Publique Hopitaux Paris (APHP); Hopital Universitaire Henri-Mondor - APHP; Universite Paris-Est-Creteil-Val-de-Marne (UPEC); Universite Paris 13; Assistance Publique Hopitaux Paris (APHP); Hopital Universitaire Avicenne - APHP; Universite Paris 13</t>
  </si>
  <si>
    <t>Simonneau, Gerald/ABE-6614-2020; Soumagne, Thibaud/HKE-8770-2023; Moceri, Pamela/D-3053-2014; David, Montani/I-6885-2019; Humbert, Marc/AAC-8459-2019; Chaouat, Ari/AAP-6784-2021; Bergot, Emmanuel/KHZ-1685-2024; Bertoletti, Laurent/X-1319-2019; Borie, Raphael/J-3583-2017; Savale, Laurent/AAJ-9781-2020; BAUER, Fabrice/HMP-7663-2023; DE GROOTE, Pascal/LLL-9444-2024; Perros, Frederic/N-6921-2017</t>
  </si>
  <si>
    <t>Jevnikar, Mitja/0000-0003-0727-6790; Perros, Frederic/0000-0001-7730-2427; BERTOLETTI, Laurent/0000-0001-8214-3010; Jutant, Etienne-Marie/0000-0002-1374-1890; Montani, David/0000-0002-9358-6922; tromeur, cecile/0000-0001-9161-7521; JAIS, XAVIER/0000-0002-4104-7994; Ghigna, Maria Rosa/0000-0001-5996-665X; de Groote, Pascal/0000-0002-6211-0147; Brillet, Pierre-Yves/0000-0002-2411-5545</t>
  </si>
  <si>
    <t>SEP 15</t>
  </si>
  <si>
    <t>10.1164/rccm.202001-0105OC</t>
  </si>
  <si>
    <t>NS1AV</t>
  </si>
  <si>
    <t>WOS:000571994000014</t>
  </si>
  <si>
    <t>Bel, EHD; Moore, WC; Kornmann, O; Poirier, C; Kaneko, N; Smith, SG; Martin, N; Gilson, MJ; Price, RG; Bradford, ES; Humbert, M</t>
  </si>
  <si>
    <t>Bel, Elisabeth H. D.; Moore, Wendy C.; Kornmann, Oliver; Poirier, Claude; Kaneko, Nirihiro; Smith, Steven G.; Martin, Neil; Gilson, Martyn J.; Price, Robert G.; Bradford, Eric S.; Humbert, Marc</t>
  </si>
  <si>
    <t>Continued long-term mepolizumab in severe eosinophilic asthma protects from asthma worsening versus stopping mepolizumab: COMET trial</t>
  </si>
  <si>
    <t>[Bel, Elisabeth H. D.] Univ Amsterdam, Dept Resp Med, Amsterdam UMC, Amsterdam, Netherlands; [Moore, Wendy C.] Wake Forest Sch Med, Med Ctr Blvd, Winston Salem, NC 27101 USA; [Kornmann, Oliver] IKF Pneumol Frankfurt, Clin Res Ctr Resp Dis, Frankfurt, Germany; [Poirier, Claude] Ctr Hosp Univ Montreal CHUM, Dept Med, Serv Pneumol, 1051 Sanguinet, Montreal, PQ, Canada; [Kaneko, Nirihiro] Kameda Med Ctr, Dept Pulm Med, Kamogawa, Japan; [Smith, Steven G.; Bradford, Eric S.] GlaxoSmithKline, Resp Med Franchise, Res Triangle Pk, NC USA; [Martin, Neil] GlaxoSmithKline, Global Med Affairs, Brentford, Middx, England; [Martin, Neil] Univ Leicester, Inst Lung Hlth, Leicester, Leics, England; [Gilson, Martyn J.] GlaxoSmithKline, Resp Res &amp; Dev, Uxbridge, Middx, England; [Price, Robert G.] GlaxoSmithKline, Biostat, Stevenage, Herts, England; [Humbert, Marc] Univ Paris Saclay, Le Kremlin Bicetre, France; [Humbert, Marc] Hop Bicetre, AP HP, Serv Pneumol &amp; Soins Intensifs Resp, Le Kremlin Bicetre, France; [Humbert, Marc] INSERM U999, Paris, France</t>
  </si>
  <si>
    <t>University of Amsterdam; Wake Forest University; Universite de Montreal; GlaxoSmithKline; Glaxosmithkline USA; GlaxoSmithKline; Glaxosmithkline United Kingdom; University of Leicester; GlaxoSmithKline; Glaxosmithkline United Kingdom; GlaxoSmithKline; Glaxosmithkline United Kingdom; Universite Paris Saclay; Assistance Publique Hopitaux Paris (APHP); Hopital Universitaire Antoine-Beclere - APHP; Hopital Universitaire Bicetre - APHP; Universite Paris Saclay; Universite Paris Saclay; Institut National de la Sante et de la Recherche Medicale (Inserm)</t>
  </si>
  <si>
    <t>e.h.bel@amsterdamumc.nl</t>
  </si>
  <si>
    <t>Humbert, Marc/AAC-8459-2019; Smith, Steven/HDM-9496-2022</t>
  </si>
  <si>
    <t>GSK [201810/NCT02555371].</t>
  </si>
  <si>
    <t>SEP 7</t>
  </si>
  <si>
    <t>10.1183/13993003.congress-2020.5280</t>
  </si>
  <si>
    <t>PQ4FO</t>
  </si>
  <si>
    <t>WOS:000606501408178</t>
  </si>
  <si>
    <t>Berrebeh, N; Thuillet, R; Tu, L; Le Vely, B; Cumont, A; Anegon, I; Huertas, A; Humbert, M; Bailly, S; Guignabert, C</t>
  </si>
  <si>
    <t>Berrebeh, Nihel; Thuillet, Raphael; Tu, Ly; Le Vely, Benjamin; Cumont, Amelie; Anegon, Ignacio; Huertas, Alice; Humbert, Marc; Bailly, Sabine; Guignabert, Christophe</t>
  </si>
  <si>
    <t>Loss of Bmp9 does not lead to spontaneous pulmonary hypertension, but attenuates vascular remodeling in experimental models</t>
  </si>
  <si>
    <t>Animal models; Mutations; Pulmonary hypertension</t>
  </si>
  <si>
    <t>[Berrebeh, Nihel; Thuillet, Raphael; Tu, Ly; Le Vely, Benjamin; Cumont, Amelie; Huertas, Alice; Humbert, Marc; Guignabert, Christophe] Univ Paris Saclay, Hop Bicetre, AP HP, INSERM UMR S 999,Dept Resp &amp; Intens Care Med, Le Kremlin Bicetre, France; [Anegon, Ignacio] CNRS UMS3556, Plateforme Trangenese Rat &amp; ImmunoPhenom, INSERM 1064, Nantes, France; [Anegon, Ignacio] CNRS UMS3556, SFR Francois Bonamy, Nantes, France; [Bailly, Sabine] Univ Grenoble Alpes, Lab Biol Canc &amp; Infect, Inserm, CEA, Grenoble, France</t>
  </si>
  <si>
    <t>Universite Paris Saclay; Institut National de la Sante et de la Recherche Medicale (Inserm); Assistance Publique Hopitaux Paris (APHP); Hopital Universitaire Bicetre - APHP; Hopital Universitaire Antoine-Beclere - APHP; Institut National de la Sante et de la Recherche Medicale (Inserm); Institut National de la Sante et de la Recherche Medicale (Inserm); CEA; Communaute Universite Grenoble Alpes; Universite Grenoble Alpes (UGA)</t>
  </si>
  <si>
    <t>Humbert, Marc/AAC-8459-2019; TU, Ly/G-4035-2013; GUIGNABERT, Christophe/G-3873-2013; Huertas, Alice/E-8244-2017</t>
  </si>
  <si>
    <t>10.1183/13993003.congress-2020.3558</t>
  </si>
  <si>
    <t>WOS:000606501407089</t>
  </si>
  <si>
    <t>Boucly, A; Baron, A; Savale, L; Jaïs, X; Picard, F; Cottin, V; Bergot, E; Dauphin, C; Bourdin, A; Chaouat, A; Roblot, P; Chabanne, C; Prevot, G; Bertoletti, L; Montani, D; Simonneau, G; Humbert, M; Sitbon, O</t>
  </si>
  <si>
    <t>Boucly, Athenais; Baron, Audrey; Savale, Laurent; Jais, Xavier; Picard, Francois; Cottin, Vincent; Bergot, Emmanuel; Dauphin, Claire; Bourdin, Arnaud; Chaouat, Ari; Roblot, Pascal; Chabanne, Celine; Prevot, Gregoire; Bertoletti, Laurent; Montani, David; Simonneau, Gerald; Humbert, Marc; Sitbon, Olivier</t>
  </si>
  <si>
    <t>Long-term outcomes in incident pulmonary arterial hypertension (PAH) patients initiated with triple combination therapy including parenteral prostacyclin (PGI2)</t>
  </si>
  <si>
    <t>Treatments; Pulmonary hypertension</t>
  </si>
  <si>
    <t>[Boucly, Athenais; Baron, Audrey; Savale, Laurent; Jais, Xavier; Montani, David; Simonneau, Gerald; Humbert, Marc; Sitbon, Olivier] CHU Bicetre, Le Kremlin Bicetre, France; [Picard, Francois] Hop Haut Leveque, Bordeaux, France; [Cottin, Vincent] Hop Louis Pradel, Lyon, France; [Bergot, Emmanuel] Hop Cote Nacre, Caen, France; [Dauphin, Claire] Hop Gabriel Montpied, Clermont Ferrand, France; [Bourdin, Arnaud] Hop Arnaud de Villeneuve, Montpelliernt Ferrand, France; [Chaouat, Ari] CHU Nancy, Nancy, France; [Roblot, Pascal] CHU Dijon, Dijon, France; [Chabanne, Celine] CHU Pontchaillou, Rennes, France; [Prevot, Gregoire] Hop Larrey, Toulouse, France; [Bertoletti, Laurent] CHU St Etienne, St Etienne, France</t>
  </si>
  <si>
    <t>Assistance Publique Hopitaux Paris (APHP); Hopital Universitaire Bicetre - APHP; CHU Bordeaux; CHU Lyon; Universite de Caen Normandie; CHU de Caen NORMANDIE; CHU Clermont Ferrand; Universite de Montpellier; CHU de Montpellier; CHU de Nancy; CHU Dijon Bourgogne; Universite de Rennes; CHU Rennes; CHU de Toulouse; CHU de St Etienne</t>
  </si>
  <si>
    <t>Humbert, Marc/AAC-8459-2019; David, Montani/I-6885-2019; Bourdin, Philippe/D-8149-2015; Bergot, Emmanuel/KHZ-1685-2024; Chaouat, Ari/AAP-6784-2021; Savale, Laurent/AAJ-9781-2020</t>
  </si>
  <si>
    <t>10.1183/13993003.congress-2020.3970</t>
  </si>
  <si>
    <t>WOS:000606501407225</t>
  </si>
  <si>
    <t>Chaumais, Marie-Camille; Djessas, Mohamed Reda Amar; Thuillet, Raphael; Cumont, Amelie; Tu, Ly; Hebert, Guillaume; Gaignard, Pauline; Huertas, Alice; Savale, Laurent; Humbert, Marc; Guignabert, Christophe</t>
  </si>
  <si>
    <t>Additive protective effects of sacubitril/valsartan and bosentan on vascular remodeling in experimental pulmonary hypertension</t>
  </si>
  <si>
    <t>[Chaumais, Marie-Camille] Univ Paris Saclay, Hop Bicetre, AP HP, INSERM UMR S 999,Dept Pharm, Le Kremlin Bicetre, France; [Djessas, Mohamed Reda Amar; Thuillet, Raphael; Cumont, Amelie; Tu, Ly; Huertas, Alice; Savale, Laurent; Humbert, Marc; Guignabert, Christophe] Univ Paris Saclay, Hop Bicetre, AP HP, INSERM UMR S 999,Dept Resp &amp; Intens Care Med, Le Kremlin Bicetre, France; [Hebert, Guillaume] Univ Paris Saclay, Dept Pharm, Hop Marie Lannelongue, Le Plessis Robinson, France; [Gaignard, Pauline] Univ Paris Saclay, Dept Biochem, Hop Bicetre, AP HP, Le Kremlin Bicetre, France</t>
  </si>
  <si>
    <t>Assistance Publique Hopitaux Paris (APHP); Hopital Universitaire Antoine-Beclere - APHP; Hopital Universitaire Bicetre - APHP; Institut National de la Sante et de la Recherche Medicale (Inserm); Universite Paris Saclay; Assistance Publique Hopitaux Paris (APHP); Hopital Universitaire Bicetre - APHP; Universite Paris Saclay; Hopital Universitaire Antoine-Beclere - APHP; Institut National de la Sante et de la Recherche Medicale (Inserm); Hopital Marie Lannelongue; Universite Paris Saclay; Institut National de la Sante et de la Recherche Medicale (Inserm); Assistance Publique Hopitaux Paris (APHP); Hopital Universitaire Antoine-Beclere - APHP; Hopital Universitaire Bicetre - APHP; Universite Paris Saclay</t>
  </si>
  <si>
    <t>Savale, Laurent/AAJ-9781-2020; Humbert, Marc/AAC-8459-2019; GUIGNABERT, Christophe/G-3873-2013; TU, Ly/G-4035-2013; Huertas, Alice/E-8244-2017</t>
  </si>
  <si>
    <t>10.1183/13993003.congress-2020.1482</t>
  </si>
  <si>
    <t>WOS:000606501402448</t>
  </si>
  <si>
    <t>Cohen-Kaminsky, S; Sherbo, S; Wang, Z; Jutant, EM; Montani, D; Girerd, B; Lau, E; Becquemont, L; Broza, YY; Haick, H; Humbert, M</t>
  </si>
  <si>
    <t>Cohen-Kaminsky, Sylvia; Sherbo, Shay; Wang, Zhen; Jutant, Etienne Marie; Montani, David; Girerd, Barbara; Lau, Edmund; Becquemont, Laurent; Broza, Yoav Y.; Haick, Hossam; Humbert, Marc</t>
  </si>
  <si>
    <t>Exhaled breath olfactory signature of pulmonary arterial hypertension (PAH) and chronic thromboembolic pulmonary hypertension (CTEPH)</t>
  </si>
  <si>
    <t>Biomarkers; Pulmonary hypertension; Breath test</t>
  </si>
  <si>
    <t>[Cohen-Kaminsky, Sylvia; Jutant, Etienne Marie; Montani, David; Girerd, Barbara; Lau, Edmund; Humbert, Marc] Univ Paris Saclay, Sch Med, Le Kremlin Bicetre, France; [Cohen-Kaminsky, Sylvia; Jutant, Etienne Marie; Montani, David; Girerd, Barbara; Lau, Edmund; Humbert, Marc] Hop Marie Lannelongue, INSERM UMR S Pulm Hypertens Pathophysiol &amp; Novel, Le Plessis Robinson, France; [Cohen-Kaminsky, Sylvia; Jutant, Etienne Marie; Montani, David; Girerd, Barbara; Lau, Edmund; Humbert, Marc] Hop Bicetre, Assistance Publ Hop Paris AP HP, Dept Resp &amp; Intens Care Med, Pulm Hypertens Natl Referral Ctr, Le Kremlin Bicetre, France; [Sherbo, Shay; Wang, Zhen; Broza, Yoav Y.; Haick, Hossam] Technion Israel Inst Technol, Dept Chem Engn, Haifa, Israel; [Sherbo, Shay; Wang, Zhen; Broza, Yoav Y.; Haick, Hossam] Technion Israel Inst Technol, Russel Berrie Nanotechnol Inst, Haifa, Israel; [Becquemont, Laurent] Bicetre Univ Hosp, Assistance Publ Hop Paris AP HP, Clin Res Ctr CRC Paris Sud, Le Kremlin Bicetre, France</t>
  </si>
  <si>
    <t>Universite Paris Saclay; Institut National de la Sante et de la Recherche Medicale (Inserm); Hopital Marie Lannelongue; Assistance Publique Hopitaux Paris (APHP); Hopital Universitaire Antoine-Beclere - APHP; Hopital Universitaire Bicetre - APHP; Universite Paris Saclay; Technion Israel Institute of Technology; Technion Israel Institute of Technology; Assistance Publique Hopitaux Paris (APHP); Hopital Universitaire Bicetre - APHP</t>
  </si>
  <si>
    <t>sylvia.cohen-kaminsky@universite-paris-saclay.fr</t>
  </si>
  <si>
    <t>David, Montani/I-6885-2019; becquemont, laurent/KLD-8162-2024; Humbert, Marc/AAC-8459-2019; Cohen-Kaminsky, Sylvia/E-4837-2014</t>
  </si>
  <si>
    <t>Cohen-Kaminsky, Sylvia/0000-0002-6341-7482; Montani, David/0000-0002-9358-6922</t>
  </si>
  <si>
    <t>10.1183/13993003.congress-2020.3549</t>
  </si>
  <si>
    <t>WOS:000606501407080</t>
  </si>
  <si>
    <t>Fard, D; Boucly, A; Preda, M; Montani, D; Jaïs, X; Savale, L; Mignard, X; Jevnikar, M; Jutant, EM; Seferian, A; Humbert, M; Vachiéry, JL; Sitbon, O</t>
  </si>
  <si>
    <t>Fard, Damien; Boucly, Athenais; Preda, Mariana; Montani, David; Jais, Xavier; Savale, Laurent; Mignard, Xavier; Jevnikar, Mitja; Jutant, Etienne-Marie; Seferian, Andrei; Humbert, Marc; Vachiery, Jean-Luc; Sitbon, Olivier</t>
  </si>
  <si>
    <t>Predictors of a precapillary component in patients with postcapillary pulmonary hypertension</t>
  </si>
  <si>
    <t>[Fard, Damien; Boucly, Athenais; Preda, Mariana; Montani, David; Jais, Xavier; Savale, Laurent; Mignard, Xavier; Jevnikar, Mitja; Jutant, Etienne-Marie; Seferian, Andrei; Humbert, Marc; Sitbon, Olivier] Univ Paris Saclay, Hop Bicetre, Serv Pneumol, Le Kremlin Bicetre, France; [Vachiery, Jean-Luc] Univ Libre Bruxelles, Hop Erasme, Cardiol, Brussels, Belgium</t>
  </si>
  <si>
    <t>Assistance Publique Hopitaux Paris (APHP); Hopital Universitaire Antoine-Beclere - APHP; Hopital Universitaire Bicetre - APHP; Universite Paris Saclay; Universite Libre de Bruxelles</t>
  </si>
  <si>
    <t>damien.fard@gmail.com</t>
  </si>
  <si>
    <t>Savale, Laurent/AAJ-9781-2020; David, Montani/I-6885-2019; Humbert, Marc/AAC-8459-2019; Vachiery, Jean-Luc/ABC-6631-2021</t>
  </si>
  <si>
    <t>10.1183/13993003.congress-2020.1510</t>
  </si>
  <si>
    <t>WOS:000606501402476</t>
  </si>
  <si>
    <t>Jevnikar, M; Solinas, S; Brenot, P; Montani, D; Savale, L; Sitbon, O; Fadel, E; Simonneau, G; Humbert, M; Jais, X</t>
  </si>
  <si>
    <t>Jevnikar, Mitja; Solinas, Sabina; Brenot, Philippe; Montani, David; Savale, Laurent; Sitbon, Olivier; Fadel, Elie; Simonneau, Gerald; Humbert, Marc; Jais, Xavier</t>
  </si>
  <si>
    <t>Sequential multimodal therapy in patients with chronic thromboembolic pulmonary hypertension (CTEPH)</t>
  </si>
  <si>
    <t>[Jevnikar, Mitja; Solinas, Sabina; Montani, David; Savale, Laurent; Sitbon, Olivier; Simonneau, Gerald; Humbert, Marc; Jais, Xavier] Hop Bicetre, AP HP, Serv Pneumol, Ctr Reference Hypertens Pulm, Le Kremlin Bicetre, France; [Brenot, Philippe; Fadel, Elie] Hop Marie Lannelongue, Serv Chirurg Thorac, Le Plessis Robinson, France</t>
  </si>
  <si>
    <t>Assistance Publique Hopitaux Paris (APHP); Hopital Universitaire Antoine-Beclere - APHP; Hopital Universitaire Bicetre - APHP; Universite Paris Saclay; Hopital Marie Lannelongue</t>
  </si>
  <si>
    <t>Humbert, Marc/AAC-8459-2019; Savale, Laurent/AAJ-9781-2020; David, Montani/I-6885-2019; Brenot, Philippe/HJB-1040-2022</t>
  </si>
  <si>
    <t>10.1183/13993003.congress-2020.1539</t>
  </si>
  <si>
    <t>WOS:000606501403023</t>
  </si>
  <si>
    <t>Jutant, EM; Tu, L; Le Vely, B; Thuillet, R; Humbert, M; Guignabert, C; Huertas, A</t>
  </si>
  <si>
    <t>Jutant, Etienne-Marie; Tu, Ly; Le Vely, Benjamin; Thuillet, Raphael; Humbert, Marc; Guignabert, Christophe; Huertas, Alice</t>
  </si>
  <si>
    <t>Regulation of Type I cytokine receptors as a target for pulmonary arterial hypertension treatment?</t>
  </si>
  <si>
    <t>Inflammation; Pulmonary hypertension; Circulation</t>
  </si>
  <si>
    <t>[Jutant, Etienne-Marie; Tu, Ly; Le Vely, Benjamin; Thuillet, Raphael; Humbert, Marc; Guignabert, Christophe; Huertas, Alice] Hop Marie Lannelongue, INSERM UMR S 999, Le Plessis Robinson, France; [Jutant, Etienne-Marie; Tu, Ly; Le Vely, Benjamin; Thuillet, Raphael; Humbert, Marc; Guignabert, Christophe; Huertas, Alice] Univ Paris Saclay, Sch Med, Le Kremlin Bicetre, France; [Jutant, Etienne-Marie; Humbert, Marc; Huertas, Alice] Hop Bicetre, AP HP, Dept Resp &amp; Intens Care Med, Le Kremlin Bicetre, France</t>
  </si>
  <si>
    <t>Hopital Marie Lannelongue; Institut National de la Sante et de la Recherche Medicale (Inserm); Universite Paris Saclay; Universite Paris Saclay; Universite Paris Saclay; Assistance Publique Hopitaux Paris (APHP); Hopital Universitaire Antoine-Beclere - APHP; Hopital Universitaire Bicetre - APHP</t>
  </si>
  <si>
    <t>10.1183/13993003.congress-2020.3557</t>
  </si>
  <si>
    <t>WOS:000606501407088</t>
  </si>
  <si>
    <t>Jutant, EM; Ruimy, CM; Beurnier, A; Belguendouz, A; Preda, M; Jaïs, X; Savale, L; Garcia, G; Humbert, M; Sitbon, O; Montani, D</t>
  </si>
  <si>
    <t>Jutant, Etienne-Marie; Ruimy, Clara Malka; Beurnier, Antoine; Belguendouz, Abdelkader; Preda, Marianna; Jais, Xavier; Savale, Laurent; Garcia, Gilles; Humbert, Marc; Sitbon, Olivier; Montani, David</t>
  </si>
  <si>
    <t>Prevalence of hyperventilation syndrome in pulmonary arterial hypertension</t>
  </si>
  <si>
    <t>Diagnosis; Quality of life; Pulmonary hypertension</t>
  </si>
  <si>
    <t>Univ Paris Saclay, Fac Med, Le Kremlin Bicetre, France; Hop Bicetre, AP HP, Ctr Reference Hypertens Pulm, Serv Pneumol &amp; Soins Intensifs Resp, Le Kremlin Bicetre, France; Hop Marie Lannelongue, INSERM, UMR S 999, Paris, France</t>
  </si>
  <si>
    <t>Universite Paris Saclay; Assistance Publique Hopitaux Paris (APHP); Hopital Universitaire Bicetre - APHP; Hopital Universitaire Antoine-Beclere - APHP; Universite Paris Saclay; Hopital Marie Lannelongue; Institut National de la Sante et de la Recherche Medicale (Inserm)</t>
  </si>
  <si>
    <t>10.1183/13993003.congress-2020.1535</t>
  </si>
  <si>
    <t>WOS:000606501403019</t>
  </si>
  <si>
    <t>Le Ribeuz, H; Lambert, M; Boet, A; Montani, D; Chung, WK; Humbert, M; Antigny, F</t>
  </si>
  <si>
    <t>Le Ribeuz, Helene; Lambert, Melanie; Boet, Angele; Montani, David; Chung, Wendy K.; Humbert, Marc; Antigny, Fabrice</t>
  </si>
  <si>
    <t>SUR1/Kir6.2 potassium channel a new actor involved in pulmonary arterial hypertension</t>
  </si>
  <si>
    <t>Pharmacology; Pulmonary hypertension; Circulation</t>
  </si>
  <si>
    <t>[Le Ribeuz, Helene; Lambert, Melanie; Boet, Angele; Antigny, Fabrice] Univ Paris Saclay, Le Kremlin Bicetre, France; [Montani, David; Humbert, Marc] Hop Bicetre, Assistance Publ Hop Paris, Ctr Reference Hypertens Pulm, Serv Pneumol, Le Kremlin Bicetre, France; [Chung, Wendy K.] Columbia Univ, New York, NY USA</t>
  </si>
  <si>
    <t>Universite Paris Saclay; Universite Paris Saclay; Assistance Publique Hopitaux Paris (APHP); Hopital Universitaire Antoine-Beclere - APHP; Hopital Universitaire Bicetre - APHP; Universite Paris Cite; Hopital Universitaire Saint-Louis - APHP; Columbia University</t>
  </si>
  <si>
    <t>10.1183/13993003.congress-2020.3561</t>
  </si>
  <si>
    <t>WOS:000606501407092</t>
  </si>
  <si>
    <t>Le Vely, Benjamin; Berrebeh, Nihel; Phan, Carole; Thuillet, Raphael; Humbert, Marc; Huertas, Alice; Guignabert, Christophe; Tu, Ly</t>
  </si>
  <si>
    <t>Role of c-Abelson in the loss of genome integrity in endothelial cells in pulmonary arterial hypertension</t>
  </si>
  <si>
    <t>Pulmonary hypertension; Circulation</t>
  </si>
  <si>
    <t>[Le Vely, Benjamin; Berrebeh, Nihel; Phan, Carole; Thuillet, Raphael; Humbert, Marc; Huertas, Alice; Guignabert, Christophe; Tu, Ly] Univ Paris Saclay, Hop Bicetre, AP HP, INSERM,UMR S 999,Dept Resp &amp; Intens Care Med, Le Kremlin Bicetre, France</t>
  </si>
  <si>
    <t>Assistance Publique Hopitaux Paris (APHP); Hopital Universitaire Antoine-Beclere - APHP; Hopital Universitaire Bicetre - APHP; Institut National de la Sante et de la Recherche Medicale (Inserm); Universite Paris Saclay</t>
  </si>
  <si>
    <t>benjamin.levely@inserm.fr</t>
  </si>
  <si>
    <t>10.1183/13993003.congress-2020.3559</t>
  </si>
  <si>
    <t>WOS:000606501407090</t>
  </si>
  <si>
    <t>Manaud, G; Lambert, M; Soilih, B; Girerd, B; Soubrier, F; Bignard, J; Claude, O; Lecerf, F; Florio, M; Sun, BH; Nadaud, S; Verleden, S; Rémy, S; Anegon, I; Mercier, O; Fadel, E; Simmoneau, G; Humbert, M; Montani, D; Antigny, F; Perros, F</t>
  </si>
  <si>
    <t>Manaud, Gregoire; Lambert, Melanie; Soilih, Bahgat; Girerd, Barbara; Soubrier, Florent; Bignard, Juliette; Claude, Olivier; Lecerf, Florence; Florio, Monica; Sun, Banghua; Nadaud, Sophie; Verleden, Stjin; Remy, Severine; Anegon, Ignacio; Mercier, Olaf; Fadel, Elie; Simmoneau, Gerald; Humbert, Marc; Montani, David; Antigny, Fabrice; Perros, Frederic</t>
  </si>
  <si>
    <t>GCN2 regulates BMP signaling: consequence for PVOD pathobiology and therapeutic management</t>
  </si>
  <si>
    <t>[Manaud, Gregoire; Lambert, Melanie] Univ Paris Saclay, Hop Bicetre, AP HP, INSERM,UMR S 999,Serv Pneumol &amp; Soins Intensifs R, Le Kremlin Bicetressis R, France; [Soilih, Bahgat] Univ Paris Saclay, Hop Bicetre, AP HP, INSERM,UMR S 999,Serv Pneumol &amp; Soins Intensifs R, Le Kremlin Bicetresis Ro, France; [Girerd, Barbara; Lecerf, Florence; Simmoneau, Gerald; Humbert, Marc; Montani, David; Antigny, Fabrice; Perros, Frederic] Univ Paris Saclay, Hop Bicetre, AP HP, INSERM,UMR S 999,Serv Pneumol &amp; Soins Intensifs R, Le Kremlin Bicetre, France; [Soubrier, Florent; Bignard, Juliette; Claude, Olivier; Nadaud, Sophie] Univ Pierre &amp; Marie Curie Univ, INSERM, UMR S 956, Paris, France; [Florio, Monica; Sun, Banghua] Amgen Inc, Cardiometab Disorders, Amgen Res, Thousand Oaks, CA 91320 USA; [Verleden, Stjin] Katholieke Univ Leuven, BREATH, Dept CHROMETA, Leuven, Belgium; [Remy, Severine; Anegon, Ignacio] ITUN, Ctr Res Transplantat &amp; Immunol, INSERM, UMR 1064, Nantes, France; [Remy, Severine; Anegon, Ignacio] Transgen Rats &amp; Immunophen Platform, Nantes, France; [Mercier, Olaf; Fadel, Elie] Ctr Chirurg Marie Lannelongue, Serv Chirurg Thorac, Le Plessis Robinson, France</t>
  </si>
  <si>
    <t>Universite Paris Saclay; Institut National de la Sante et de la Recherche Medicale (Inserm); Assistance Publique Hopitaux Paris (APHP); Hopital Universitaire Bicetre - APHP; Universite Paris Saclay; Assistance Publique Hopitaux Paris (APHP); Hopital Universitaire Bicetre - APHP; Institut National de la Sante et de la Recherche Medicale (Inserm); Institut National de la Sante et de la Recherche Medicale (Inserm); Universite Paris Saclay; Assistance Publique Hopitaux Paris (APHP); Hopital Universitaire Antoine-Beclere - APHP; Hopital Universitaire Bicetre - APHP; Sorbonne Universite; Institut National de la Sante et de la Recherche Medicale (Inserm); Amgen; KU Leuven; Institut National de la Sante et de la Recherche Medicale (Inserm); Hopital Marie Lannelongue</t>
  </si>
  <si>
    <t>gregoire.manaud@gmail.com</t>
  </si>
  <si>
    <t>David, Montani/I-6885-2019; Humbert, Marc/AAC-8459-2019; Antigny, Fabrice/Q-3999-2018; Perros, Frédéric/N-6921-2017; Nadaud, Sophie/A-7063-2013</t>
  </si>
  <si>
    <t>Montani, David/0000-0002-9358-6922; Nadaud, Sophie/0000-0002-1452-6009; Verleden, Stijn/0000-0002-9656-5844</t>
  </si>
  <si>
    <t>10.1183/13993003.congress-2020.3551</t>
  </si>
  <si>
    <t>WOS:000606501407082</t>
  </si>
  <si>
    <t>Montani, D; Girerd, B; Jaïs, X; Savale, L; Laveneziana, P; Lau, E; Bouchachi, A; Hascoet, S; Gunther, S; Godinas, L; Parent, F; Guiganbert, C; Garcia, G; Chemla, D; Hervé, P; Eyries, M; Soubrier, F; Sitbon, O; Simonneau, G; Humbert, M</t>
  </si>
  <si>
    <t>Montani, David; Girerd, Barbara; Jais, Xavier; Savale, Laurent; Laveneziana, Pierantonio; Lau, Edmund; Bouchachi, Amir; Hascoet, Sebastien; Gunther, Sven; Godinas, Laurent; Parent, Florence; Guiganbert, Christophe; Garcia, Gilles; Chemla, Denis; Herve, Philippe; Eyries, Melanie; Soubrier, Florent; Sitbon, Olivier; Simonneau, Gerald; Humbert, Marc</t>
  </si>
  <si>
    <t>Screening of pulmonary arterial hypertension in BMPR2 mutation carriers</t>
  </si>
  <si>
    <t>Genetics; Pulmonary hypertension</t>
  </si>
  <si>
    <t>[Montani, David; Girerd, Barbara; Jais, Xavier; Savale, Laurent; Bouchachi, Amir; Godinas, Laurent; Parent, Florence; Guiganbert, Christophe; Sitbon, Olivier; Simonneau, Gerald; Humbert, Marc] Hop Bicetre, AP HP, Pulm Hypertens Natl Referral Ctr, Dept Resp &amp; Intens Care Med, Le Kremlin Bicetre, France; [Montani, David; Girerd, Barbara; Jais, Xavier; Savale, Laurent; Bouchachi, Amir; Godinas, Laurent; Parent, Florence; Guiganbert, Christophe; Sitbon, Olivier; Simonneau, Gerald; Humbert, Marc] Univ Paris Saclay, Sch Med, Le Kremlin Bicetre, France; [Montani, David; Girerd, Barbara; Jais, Xavier; Savale, Laurent; Bouchachi, Amir; Godinas, Laurent; Parent, Florence; Guiganbert, Christophe; Sitbon, Olivier; Simonneau, Gerald; Humbert, Marc] Hop Marie Lannelongue, INSERM UMR S 999 Pulm Hypertens Pathophysiol &amp; No, Le Plessis Robinson, France; [Laveneziana, Pierantonio] Sorbonne Univ, Hop Univ Pitie Salpetriere, AP HP,Dept Medicouniv APPROCHES, Serv Explorat Fonct Respirat Exercice &amp; Dyspnee,T, Paris, France; [Lau, Edmund] Royal Prince Alfred Hosp, Dept Resp Med, Missenden Rd, Camperdown, Australia; [Hascoet, Sebastien] Hop Marie Lannelongue, Ctr Reference M3C Cardiopathies Congenitales Comp, Pole Cardiol Pediat &amp; Congenitale, Le Plessis Robinson, France; [Gunther, Sven] Univ Paris, INSERM 1140, Innovat Therapies Haemostasis, F-75006 Paris, France; [Gunther, Sven] Georges Pompidou European Hosp, AH HP, Serv Physiol, Paris, France; [Garcia, Gilles; Chemla, Denis] Hop Bicetre, AP HP, Serv Physiol, Le Kremlin Bicetre, France; [Herve, Philippe] Hop Marie Lannelongue, Serv Chirurg Thorac, Le Kremlin Bicetre, France; [Eyries, Melanie; Soubrier, Florent] Hop La Pitie Salpetriere, Grp Hosp Pitie Salpetriere Charles, AP HP, UF Oncogenet &amp; Angiogenet Mol,Dept Genet, Paris, France</t>
  </si>
  <si>
    <t>Universite Paris Saclay; Assistance Publique Hopitaux Paris (APHP); Hopital Universitaire Antoine-Beclere - APHP; Hopital Universitaire Bicetre - APHP; Universite Paris Saclay; Institut National de la Sante et de la Recherche Medicale (Inserm); Hopital Marie Lannelongue; Assistance Publique Hopitaux Paris (APHP); Hopital Universitaire Pitie-Salpetriere - APHP; Sorbonne Universite; University of Sydney; NSW Health; Royal Prince Alfred Hospital; Hopital Marie Lannelongue; Universite Paris Cite; Institut National de la Sante et de la Recherche Medicale (Inserm); Assistance Publique Hopitaux Paris (APHP); Universite Paris Cite; Hopital Universitaire Europeen Georges-Pompidou - APHP; Assistance Publique Hopitaux Paris (APHP); Hopital Universitaire Antoine-Beclere - APHP; Hopital Universitaire Bicetre - APHP; Universite Paris Saclay; Hopital Marie Lannelongue; Assistance Publique Hopitaux Paris (APHP); Hopital Universitaire Pitie-Salpetriere - APHP; Sorbonne Universite</t>
  </si>
  <si>
    <t>Godinas, Laurette/AAS-1059-2021; David, Montani/I-6885-2019; Laveneziana, Pierantonio/GWC-2028-2022; Humbert, Marc/AAC-8459-2019; Hascoet, Sebastien/Q-3311-2018; Savale, Laurent/AAJ-9781-2020</t>
  </si>
  <si>
    <t>10.1183/13993003.congress-2020.4460</t>
  </si>
  <si>
    <t>WOS:000606501407394</t>
  </si>
  <si>
    <t>Otero-Núñez, P; Rhodes, C; Wharton, J; Swietlik, E; Kariotis, S; Harbaum, L; Dunning, M; Elinoff, J; Errington, N; Thomson, R; Iremonger, J; Coghlan, G; Corris, P; Howard, L; Kiely, D; Church, C; Pepke-Zaba, J; Toshner, M; Wort, S; Desai, A; Humbert, M; Nichols, W; Southgate, L; Trégouët, DA; Trembath, R; Prokopenko, I; Gräf, S; Morrell, N; Wang, DN; Lawrie, A; Wilkins, M</t>
  </si>
  <si>
    <t>Otero-Nunez, Pablo; Rhodes, Christopher; Wharton, John; Swietlik, Emilia; Kariotis, Sokratis; Harbaum, Lars; Dunning, Mark; Elinoff, Jason; Errington, Niamh; Thomson, Roger; Iremonger, James; Coghlan, Gerry; Corris, Paul; Howard, Luke; Kiely, David; Church, Colin; Pepke-Zaba, Joanna; Toshner, Mark; Wort, Stephen; Desai, Ankit; Humbert, Marc; Nichols, William; Southgate, Laura; Tregouet, David-Alexandre; Trembath, Richard; Prokopenko, Inga; Graf, Stefan; Morrell, Nicholas; Wang, Dennis; Lawrie, Allan; Wilkins, Martin</t>
  </si>
  <si>
    <t>Multi-omic profiling in pulmonary arterial hypertension</t>
  </si>
  <si>
    <t>Biomarkers; Genomics; Pulmonary hypertension</t>
  </si>
  <si>
    <t>[Otero-Nunez, Pablo; Rhodes, Christopher; Wharton, John; Harbaum, Lars; Howard, Luke; Wort, Stephen; Wilkins, Martin] Imperial Coll London, Natl Heart &amp; Lung Inst, London, England; [Swietlik, Emilia; Toshner, Mark; Graf, Stefan; Morrell, Nicholas] Univ Cambridge, Dept Med, Cambridge, England; [Kariotis, Sokratis; Errington, Niamh; Kiely, David; Wang, Dennis] Univ Sheffield, Sheffield Inst Translat Neurosci, Sheffield, S Yorkshire, England; [Dunning, Mark] Univ Sheffield, Sheffield Bioinformat Core, Sheffield, S Yorkshire, England; [Elinoff, Jason] NIH, Crit Care Med Dept, Clin Ctr, Bldg 10, Bethesda, MD 20892 USA; [Thomson, Roger; Iremonger, James; Lawrie, Allan] Univ Sheffield, Dept Infect Immun &amp; Cardiovasc Dis, Sheffield, S Yorkshire, England; [Coghlan, Gerry] UCL, London, England; [Corris, Paul] Univ Newcastle, Newcastle, England; [Church, Colin] Univ Glasgow, Glasgow, Lanark, Scotland; [Pepke-Zaba, Joanna] Papworth Hosp, Papworth Everard, Papworth, England; [Desai, Ankit] Indiana Univ, Indianapolis, IN 46204 USA; [Humbert, Marc] Univ Paris Saclay, Fac Med, Univ Paris Sud, Le Kremlin Bicetre, France; [Humbert, Marc] Hop Bicetre, AP HP, Serv Pneumol, Ctr Reference Hypertens Pulm, Le Kremlin Bicetre, France; [Humbert, Marc] Hop Marie Lannelongue, INSERM, UMR S 999, Paris, France; [Nichols, William] Univ Cincinnati, Coll Med, Div Human Genet, Dept Pediat,Cincinnati Childrens Hosp Med Ctr, Cincinnati, OH USA; [Southgate, Laura] St Georges Univ London, Mol &amp; Clin Sci Res Inst, London, England; [Tregouet, David-Alexandre] Univ Bordeaux, Bordeaux Populat Hlth Res Ctr, INSERM, UMR S 1219, Bordeaux, Bordeaux, France; [Trembath, Richard] Kings Coll London, Div Genet &amp; Mol Med, London, England; [Prokopenko, Inga] Univ Surrey, Dept Clin &amp; Expt Med, Guildford, Surrey, England</t>
  </si>
  <si>
    <t>Imperial College London; University of Cambridge; University of Sheffield; University of Sheffield; National Institutes of Health (NIH) - USA; NIH Clinical Center (CC); University of Sheffield; University of London; University College London; Newcastle University - UK; University of Glasgow; Papworth Hospital; Indiana University System; Indiana University Indianapolis; Universite Paris Saclay; Assistance Publique Hopitaux Paris (APHP); Hopital Universitaire Bicetre - APHP; Universite Paris Saclay; Hopital Universitaire Antoine-Beclere - APHP; Hopital Marie Lannelongue; Institut National de la Sante et de la Recherche Medicale (Inserm); University System of Ohio; University of Cincinnati; Cincinnati Children's Hospital Medical Center; City St Georges, University of London; St Georges University London; Institut National de la Sante et de la Recherche Medicale (Inserm); Universite de Bordeaux; University of London; King's College London; University of Surrey</t>
  </si>
  <si>
    <t>pablo.otero-nunez17@imperial.ac.uk</t>
  </si>
  <si>
    <t>Lawrie, Allan/A-2708-2012; Humbert, Marc/AAC-8459-2019; Cardoso, Paulo/C-5768-2012; wei, wei/HHR-8613-2022; Howard, Luke/HJP-3415-2023; Pepke-Zaba, Joanna/AGW-3073-2022; iremonger, james/HGU-8683-2022; Tregouet, David-Alexandre/E-3961-2016; Wang, Dennis/JQW-1371-2023; Prokopenko, Inga/AAU-9895-2020; Southgate, Laura/H-7924-2019</t>
  </si>
  <si>
    <t>Wang, Dennis/0000-0003-0068-1005; Kariotis, Sokratis/0000-0001-9993-6017; Rhodes, Christopher/0000-0002-4962-3204; Iremonger, James/0000-0003-3953-8812; Wharton, John/0000-0001-8110-2575</t>
  </si>
  <si>
    <t>MRC [MR/K020919/1] Funding Source: UKRI</t>
  </si>
  <si>
    <t>MRC(UK Research &amp; Innovation (UKRI)Medical Research Council UK (MRC))</t>
  </si>
  <si>
    <t>10.1183/13993003.congress-2020.4458</t>
  </si>
  <si>
    <t>WOS:000606501407392</t>
  </si>
  <si>
    <t>Rainone, R; Querin, B; Alioua, N; Bertoletti, L; Raspaud, S; Jaïs, X; Savale, L; Sitbon, O; Humbert, M; Montani, D; Chaumais, MC</t>
  </si>
  <si>
    <t>Rainone, Raphael; Querin, Benjamin; Alioua, Najiba; Bertoletti, Laurent; Raspaud, Sylvie; Jais, Xavier; Savale, Laurent; Sitbon, Olivier; Humbert, Marc; Montani, David; Chaumais, Marie-Camille</t>
  </si>
  <si>
    <t>Adherence to guidelines of anticoagulant prescription in pulmonary arterial hypertension and chronic thromboembolic pulmonary hypertension: an observational study</t>
  </si>
  <si>
    <t>[Rainone, Raphael; Querin, Benjamin; Alioua, Najiba; Raspaud, Sylvie; Chaumais, Marie-Camille] Pharmacy, Le Kremlin Bicetre, France; [Bertoletti, Laurent] Pneumology, St Etienne, France; [Jais, Xavier; Savale, Laurent; Sitbon, Olivier; Humbert, Marc; Montani, David] Pneumology, Le Kremlin Bicetre, France</t>
  </si>
  <si>
    <t>raphael.rainone@gmail.com</t>
  </si>
  <si>
    <t>10.1183/13993003.congress-2020.1544</t>
  </si>
  <si>
    <t>WOS:000606501403028</t>
  </si>
  <si>
    <t>Roscigno, RF; Humbert, M; Vaughn, T; Seeger, W; Savale, L</t>
  </si>
  <si>
    <t>Roscigno, Robert F.; Humbert, Marc; Vaughn, Toby; Seeger, Werner; Savale, Laurent</t>
  </si>
  <si>
    <t>LTI-201: Evaluation of the hemodynamics and safety of inhaled LIQ861 (treprostinil) in pulmonary arterial hypertension (WHO Group 1) patients</t>
  </si>
  <si>
    <t>Pharmacology; Pulmonary hypertension; Orphan diseases</t>
  </si>
  <si>
    <t>[Roscigno, Robert F.; Vaughn, Toby] Liquidia Technol, Morrisville, NY USA; [Humbert, Marc; Savale, Laurent] Univ Paris Saclay, Fac Med, Le Kremlin Bicetre, France; [Seeger, Werner] Justus Liebig Univ, Univ Giessen &amp; Marburg Lung Ctr UGMLC, Cardiopulm Inst CPI, Giessen, Germany; [Seeger, Werner] Justus Liebig Univ, German Ctr Lung Res DZL, Giessen, Germany</t>
  </si>
  <si>
    <t>Universite Paris Saclay; Justus Liebig University Giessen; Justus Liebig University Giessen</t>
  </si>
  <si>
    <t>wthomas@decileten.com</t>
  </si>
  <si>
    <t>10.1183/13993003.congress-2020.1459</t>
  </si>
  <si>
    <t>WOS:000606501402425</t>
  </si>
  <si>
    <t>Thoré, P; Girerd, B; Jaïs, X; Savale, L; Ghigna, MR; Eyries, M; Levy, M; Ovaert, C; Servettaz, A; Guillaumot, A; Dauphin, C; Chabanne, C; Boiffard, E; Cottin, V; Perros, F; Simonneau, G; Olivier, S; Soubrier, F; Bonnet, D; Jardin, MR; Chaouat, A; Humbert, M; Montani, D</t>
  </si>
  <si>
    <t>Thore, Pierre; Girerd, Barbara; Jais, Xavier; Savale, Laurent; Ghigna, Maria Rosa; Eyries, Melanie; Levy, Marilyne; Ovaert, Caroline; Servettaz, Amelie; Guillaumot, Anne; Dauphin, Claire; Chabanne, Celine; Boiffard, Emmanuel; Cottin, Vincent; Perros, Frederic; Simonneau, Gerald; Olivier, Sitbon; Soubrier, Florent; Bonnet, Damien; Jardin, Martine Remy; Chaouat, Ari; Humbert, Marc; Montani, David</t>
  </si>
  <si>
    <t>Phenotype and outcome of PAH patients carrying a TBX4 mutation</t>
  </si>
  <si>
    <t>Genetics; Pulmonary hypertension; Circulation</t>
  </si>
  <si>
    <t>[Thore, Pierre; Girerd, Barbara; Jais, Xavier; Savale, Laurent; Perros, Frederic; Simonneau, Gerald; Olivier, Sitbon; Humbert, Marc; Montani, David] Hop Bicetre, AP HP, Dept Resp &amp; Intens Care Med, Pulm Hypertens Natl Referral Ctr, Le Kremlin Bicetre, France; [Girerd, Barbara; Jais, Xavier; Savale, Laurent; Perros, Frederic; Simonneau, Gerald; Olivier, Sitbon; Humbert, Marc; Montani, David] Univ Paris Saclay, Sch Med, Le Kremlin Bicetre, France; [Girerd, Barbara; Jais, Xavier; Savale, Laurent; Simonneau, Gerald; Olivier, Sitbon; Humbert, Marc; Montani, David] Hop Marie Lannelongue, INSERM UMR S 999, Pulm Hypertens Pathophysiol &amp; Novel Therapies, Le Kremlin Bicetre, France; [Ghigna, Maria Rosa] Hop Marie Lannelongue, Serv Anatomopathol, Le Plessis Robinson, France; [Ghigna, Maria Rosa; Perros, Frederic] Hop Marie Lannelongue, INSERM UMR S 999, Pulm Hypertens Pathophysiol &amp; Novel Therapies, Le Plessis Robinson, France; [Eyries, Melanie; Soubrier, Florent] Hop La Pitie Salpetriere, AP HP, Grp Hosp Pitie Salpetriere Charles Foix, Dept Genet,UF Oncogenet &amp; Angiog &amp; League Mol, Paris, France; [Levy, Marilyne; Bonnet, Damien] Hop Necker Enfants Malad, AP HP, Serv Cardiol Pediat, Paris, France; [Ovaert, Caroline] Hop La Timone, AP HM, Serv Med Chirurg Cardiol Pediat &amp; Congenitale, Marseille, France; [Servettaz, Amelie] Ctr Hosp Univ Reims, Hop Robert Debre, Serv Med Interne Malad Infect &amp; Immunol Clin, Reims, France; [Guillaumot, Anne; Chaouat, Ari] Ctr Hosp Reg Univ Nancy, Dept Pneumol, Hop Brabois, Vandoeuvre Les Nancy, France; [Dauphin, Claire] Ctr Hosp Univ Clermont Ferrand, Serv Cardiol &amp; Malad Vasc, Hop Gabriel Montpied, Clermont Ferrand, France; [Chabanne, Celine] Ctr Hosp Univ Rennes, Serv Cardiol &amp; Malad Vasc, Ctr Cardiopneumol, Rennes, France; [Boiffard, Emmanuel] Hop La Roche sur Yon, Serv Cardiol, Ctr Hosp Dept Vendee, La Roche Sur Yon, France; [Cottin, Vincent] Ctr Hosp Univ Lyon HCL, Grp Hosp Est, Ctr Reference Malad Pulmonaires Rares, Serv Pneumol,Hop Louis Pradel, Bron, France; [Jardin, Martine Remy] Ctr Hosp Univ Lille, Serv Imagerie Thorac, Hop Albert Calmette, Lille, France; [Chaouat, Ari] Univ Lorraine, Fac Med Nancy, Inserm UMR S 1116, Defaillance Cardiovasc Aigue &amp; Chron, Nancy, France</t>
  </si>
  <si>
    <t>Universite Paris Saclay; Assistance Publique Hopitaux Paris (APHP); Hopital Universitaire Bicetre - APHP; Hopital Universitaire Antoine-Beclere - APHP; Universite Paris Saclay; Institut National de la Sante et de la Recherche Medicale (Inserm); Hopital Marie Lannelongue; Universite Paris Saclay; Hopital Marie Lannelongue; Universite Paris Saclay; Institut National de la Sante et de la Recherche Medicale (Inserm); Hopital Marie Lannelongue; Sorbonne Universite; Assistance Publique Hopitaux Paris (APHP); Hopital Universitaire Charles-Foix - APHP; Hopital Universitaire Pitie-Salpetriere - APHP; Assistance Publique Hopitaux Paris (APHP); Universite Paris Cite; Hopital Universitaire Necker-Enfants Malades - APHP; Aix-Marseille Universite; Assistance Publique-Hopitaux de Marseille; Universite de Reims Champagne-Ardenne; CHU de Reims; CHU de Nancy; CHU Clermont Ferrand; Universite de Rennes; CHU Rennes; CHD Vendee; CHU Lyon; Universite de Lille; CHU Lille; Universite de Lorraine; Institut National de la Sante et de la Recherche Medicale (Inserm)</t>
  </si>
  <si>
    <t>thore.pierrea@gmail.com</t>
  </si>
  <si>
    <t>Thoré, Pierre/HKE-8857-2023; Humbert, Marc/AAC-8459-2019; Savale, Laurent/AAJ-9781-2020; Chaouat, Ari/AAP-6784-2021; David, Montani/I-6885-2019; Perros, Frédéric/N-6921-2017</t>
  </si>
  <si>
    <t>Montani, David/0000-0002-9358-6922; Ovaert, Caroline/0000-0002-2277-2760</t>
  </si>
  <si>
    <t>10.1183/13993003.congress-2020.4464</t>
  </si>
  <si>
    <t>WOS:000606501407398</t>
  </si>
  <si>
    <t>To, L; Leribeuz, H; Ghigna, MR; Lambert, M; Martin, C; Burgel, PR; Boët, A; Becq, F; Issard, J; Pechoux, C; Manoury, B; Mercier, O; Perros, F; Humbert, M; Montani, D; Antigny, F</t>
  </si>
  <si>
    <t>To, Lucie; Leribeuz, Helene; Ghigna, Maria-Rosa; Lambert, Melanie; Martin, Clemence; Burgel, Pierre-Regis; Boet, Angele; Becq, Frederic; Issard, Justin; Pechoux, Christine; Manoury, Boris; Mercier, Olaf; Perros, Frederic; Humbert, Marc; Montani, David; Antigny, Fabrice</t>
  </si>
  <si>
    <t>CFTR involvement in the pathogenesis of pulmonary arterial hypertension</t>
  </si>
  <si>
    <t>Animal models; Pulmonary hypertension</t>
  </si>
  <si>
    <t>[To, Lucie; Leribeuz, Helene; Ghigna, Maria-Rosa; Lambert, Melanie; Boet, Angele; Becq, Frederic; Issard, Justin; Pechoux, Christine; Manoury, Boris; Mercier, Olaf; Perros, Frederic; Humbert, Marc; Montani, David; Antigny, Fabrice] INSERM U999, Le Plessis Robinson, France; [Martin, Clemence] Cochin Hosp, Le Plessis Robinson, France; [Burgel, Pierre-Regis] Cochin Hosp U999, Le Plessis Robinson, France</t>
  </si>
  <si>
    <t>Universite Paris Saclay; Institut National de la Sante et de la Recherche Medicale (Inserm); Assistance Publique Hopitaux Paris (APHP); Universite Paris Cite; Hopital Universitaire Cochin - APHP; Assistance Publique Hopitaux Paris (APHP); Universite Paris Cite; Hopital Universitaire Cochin - APHP</t>
  </si>
  <si>
    <t>vy.lucie@gmail.com</t>
  </si>
  <si>
    <t>Perros, Frédéric/N-6921-2017; Antigny, Fabrice/Q-3999-2018; David, Montani/I-6885-2019; Humbert, Marc/AAC-8459-2019; Becq, Frederic/P-9233-2016; Manoury, Boris/P-1066-2016; Clémence, Martin/AAR-1198-2021</t>
  </si>
  <si>
    <t>10.1183/13993003.congress-2020.1478</t>
  </si>
  <si>
    <t>WOS:000606501402444</t>
  </si>
  <si>
    <t>Trigui, Y; Acquati, G; Jevnikar, M; Montani, D; Savale, L; Sitbon, O; Mercier, O; Parent, F; Jutant, EM; Reynaud-Gaubert, M; Fadel, E; Simonneau, G; Humbert, M; Jais, X</t>
  </si>
  <si>
    <t>Trigui, Youssef; Acquati, Giulia; Jevnikar, Mitja; Montani, David; Savale, Laurent; Sitbon, Olivier; Mercier, Olaf; Parent, Florence; Jutant, Etienne-Marie; Reynaud-Gaubert, Martine; Fadel, Elie; Simonneau, Gerald; Humbert, Marc; Jais, Xavier</t>
  </si>
  <si>
    <t>Initial dual oral combination therapy prior to pulmonary endarterectomy (PEA) in patients with operable chronic thromboembolic pulmonary hypertension (CTEPH) and high preoperative pulmonary vascular resistance (PVR)</t>
  </si>
  <si>
    <t>[Trigui, Youssef; Reynaud-Gaubert, Martine] Hop Nord Marseille, AP HM, Serv Pneumol, Ctr Competence Hypertens Pulm &amp; Malad Pulm Rares, Marseille, France; [Acquati, Giulia; Jevnikar, Mitja; Montani, David; Savale, Laurent; Sitbon, Olivier; Parent, Florence; Jutant, Etienne-Marie; Simonneau, Gerald; Humbert, Marc; Jais, Xavier] Hop Bicetre, AP HP, Serv Pneumol, Ctr Reference Hypertens Pulm, Le Kremlin Bicetre, France; [Mercier, Olaf; Fadel, Elie] Hop Marie Lannelongue, Serv Chirurg Thorac, Le Plessis Robinson, France</t>
  </si>
  <si>
    <t>Aix-Marseille Universite; Assistance Publique-Hopitaux de Marseille; Assistance Publique Hopitaux Paris (APHP); Hopital Universitaire Antoine-Beclere - APHP; Universite Paris Saclay; Hopital Universitaire Bicetre - APHP; Hopital Marie Lannelongue</t>
  </si>
  <si>
    <t>youssef.trigui@gmail.com</t>
  </si>
  <si>
    <t>Savale, Laurent/AAJ-9781-2020; Humbert, Marc/AAC-8459-2019; David, Montani/I-6885-2019</t>
  </si>
  <si>
    <t>10.1183/13993003.congress-2020.1537</t>
  </si>
  <si>
    <t>WOS:000606501403021</t>
  </si>
  <si>
    <t>Bandyopadhyay, D; Humbert, M</t>
  </si>
  <si>
    <t>Bandyopadhyay, Debabrata; Humbert, Marc</t>
  </si>
  <si>
    <t>An update on sarcoidosis-associated pulmonary hypertension</t>
  </si>
  <si>
    <t>CURRENT OPINION IN PULMONARY MEDICINE</t>
  </si>
  <si>
    <t>corticosteroid; pulmonary hypertension; pulmonary vasodilator; sarcoidosis</t>
  </si>
  <si>
    <t>SINGLE-CENTER; POPULATION; THERAPY; TRANSPLANTATION; HEMODYNAMICS; SURVIVAL; RISK</t>
  </si>
  <si>
    <t>Purpose of review Pulmonary hypertension in sarcoidosis is a well known entity. Sarcoidosis-associated pulmonary hypertension (SAPH) incurs substantial morbidity and mortality. This review examines recent literatures published on epidemiology, prognosis and therapeutic management in SAPH. Recent findings Several registries have been published between 2017 and 2020. The consensus conclusion - SAPH is a harbinger for poor prognosis. Several factors were noted for predicting adverse outcome in SAPH like reduced 6-min walk distance and diffusing capacity for carbon monoxide. Given its adverse outcome, experts have now focused on methods for early screening of SAPH in sarcoid patients. The exploration of pulmonary vasodilator drugs in SAPH is ongoing. In recent times, trials have been published utilizing Macitentan and parenteral prostacyclin in severe SAPH. Although these trials show encouraging results, the evidence from these studies are limited to approve these agents as preferred drugs for treating SAPH. A large multicentric trial of drugs used for pulmonary arterial hypertension with meaningful, yet feasible, event driven endpoint is still lacking. Lately, interventional treatment by pulmonary artery balloon pulmonary angioplasty and stenting has gained traction for treating pulmonary artery stenosis and chronic thromboembolic pulmonary hypertension. However, the conclusion is still based on small cohorts or case series. Several registries have highlighted SAPH portends an unfavorable consequence. On the contrary, no published guideline exists to treat SAPH. The precise role of immunosuppressive agents is unclear. The limited evidence favoring use of pulmonary vasodilators arise from small retrospective case series and/or single-center nonrandomized observational studies. Further multicenter randomized research is warranted to better define patient population to treat and how best to treat them.</t>
  </si>
  <si>
    <t>[Bandyopadhyay, Debabrata] Univ S Florida, Dept Med, Tampa, FL 33620 USA; [Bandyopadhyay, Debabrata] Tampa Gen Hosp, Interstitial Lung Dis &amp; Sarcoidosis Program, Ctr Adv Lung Dis &amp; Lung Transplant, Tampa, FL 33606 USA; [Humbert, Marc] Hosp Bicetre, Assistance Publ Hop Paris, INSERM, UMR S 999, Le Kremlin Bicetre, France; [Humbert, Marc] Hosp Bicetre, Assistance Publ Hop Paris, INSERM, UMR S 999,Dept Resp &amp; Intensive Care Med, Paris, France</t>
  </si>
  <si>
    <t>State University System of Florida; University of South Florida; Tampa General Hospital; Institut National de la Sante et de la Recherche Medicale (Inserm); Assistance Publique Hopitaux Paris (APHP); Hopital Universitaire Bicetre - APHP; Universite Paris Saclay; Universite Paris Cite; Hopital Universitaire Saint-Louis - APHP; Assistance Publique Hopitaux Paris (APHP); Hopital Universitaire Bicetre - APHP; Institut National de la Sante et de la Recherche Medicale (Inserm); Universite Paris Cite; Hopital Universitaire Saint-Louis - APHP</t>
  </si>
  <si>
    <t>Bandyopadhyay, D (corresponding author), Tampa Gen Hosp, Interstitial Lung Dis &amp; Sarcoidosis Program, Ctr Adv Lung Dis &amp; Lung Transplant, HMT, 5 Tampa Gen Circle,Ste 500, Tampa, FL 33606 USA.</t>
  </si>
  <si>
    <t>debabrata@usf.edu</t>
  </si>
  <si>
    <t>1070-5287</t>
  </si>
  <si>
    <t>1531-6971</t>
  </si>
  <si>
    <t>CURR OPIN PULM MED</t>
  </si>
  <si>
    <t>Curr. Opin. Pulm. Med.</t>
  </si>
  <si>
    <t>10.1097/MCP.0000000000000701</t>
  </si>
  <si>
    <t>NP5ZE</t>
  </si>
  <si>
    <t>WOS:000570253600028</t>
  </si>
  <si>
    <t>Beshay, S; Sahay, S; Humbert, M</t>
  </si>
  <si>
    <t>Beshay, Sarah; Sahay, Sandeep; Humbert, Marc</t>
  </si>
  <si>
    <t>Evaluation and management of pulmonary arterial hypertension</t>
  </si>
  <si>
    <t>Pulmonary hypertension; Pulmonary arterial hypertension; Genetics; Risk stratification; Treatment; Patient perspectives</t>
  </si>
  <si>
    <t>CALCIUM-CHANNEL BLOCKERS; LONG-TERM RESPONSE; COMBINATION THERAPY; MUTATIONS; PRESSURE; RECEPTOR; REGISTRY; RISK; AMBRISENTAN; METABOLISM</t>
  </si>
  <si>
    <t>Pulmonary arterial hypertension is a devastating progressive disease mediated by different pathophysiologic pathways that result in progressive increase in pulmonary vascular resistance along with right ventricular failure and eventually premature death. Despite significant advances in the understanding of the underlying mechanisms and development of a number of targeted therapies, pulmonary arterial hypertension remains a challenging condition with high morbidity and mortality. New therapies are being actively sought, and early recognition remains of paramount importance. In an effort to improve the detection and management of pulmonary hypertension, the 6th World Symposium on Pulmonary Hypertension came up with most recent statements in 2018. The goal of this review is to summarize some key updates from the proceedings of the Symposium pertaining to different aspects of evaluation and management of patients with pulmonary arterial hypertension.</t>
  </si>
  <si>
    <t>[Beshay, Sarah; Sahay, Sandeep] Houston Methodist Hosp, Div Pulm &amp; Crit Care Med, Dept Med, Houston, TX 77030 USA; [Humbert, Marc] Univ Paris Saclay, Fac Med, Le Kremlin Bicetre, France; [Humbert, Marc] Hop Bicetre, AP HP, Dept Resp &amp; Intens Care Med, Pulm Hypertens Natl Referral Ctr, Le Kremlin Bicetre, France; [Humbert, Marc] Hop Marie Lannelongue, INSERM UMR S 999, Le Plessis Robinson, France</t>
  </si>
  <si>
    <t>Houston Methodist; Universite Paris Saclay; Assistance Publique Hopitaux Paris (APHP); Hopital Universitaire Bicetre - APHP; Universite Paris Saclay; Hopital Universitaire Antoine-Beclere - APHP; Institut National de la Sante et de la Recherche Medicale (Inserm); Hopital Marie Lannelongue; Universite Paris Saclay</t>
  </si>
  <si>
    <t>Sahay, S (corresponding author), Houston Methodist Hosp, Weill Cornell Med, 6550 Fannin St,Ste 1001,Smith Tower, Houston, TX 77030 USA.</t>
  </si>
  <si>
    <t>Humbert, Marc/AAC-8459-2019; Sahay, Sandeep/T-4291-2019; Beshay, Sarah/AAO-5251-2020</t>
  </si>
  <si>
    <t>Sahay, Sandeep/0000-0002-0672-1680</t>
  </si>
  <si>
    <t>10.1016/j.rmed.2020.106099</t>
  </si>
  <si>
    <t>NP0GB</t>
  </si>
  <si>
    <t>WOS:000569861100001</t>
  </si>
  <si>
    <t>Giroux-Leprieur, E; Costantini, A; Julie, C; Kamga, PT; Parent, F; Seferian, A; Dumenil, C; Dumoulin, J; Giraud, V; Ouaknine, J; Lemoine, A; Humbert, M; Chinet, T; Emile, JF</t>
  </si>
  <si>
    <t>Giroux-Leprieur, E.; Costantini, A.; Julie, C.; Kamga, P. Takam; Parent, F.; Seferian, A.; Dumenil, C.; Dumoulin, J.; Giraud, V.; Ouaknine, J.; Lemoine, A.; Humbert, M.; Chinet, T.; Emile, J. F.</t>
  </si>
  <si>
    <t>REBIMMUNE trial: A prospective study of REBiopsy at progression during IMMUNothErapy in advanced lung cancer</t>
  </si>
  <si>
    <t>ANNALS OF ONCOLOGY</t>
  </si>
  <si>
    <t>ESMO Virtual Congress</t>
  </si>
  <si>
    <t>SEP 19-OCT 18, 2020</t>
  </si>
  <si>
    <t>European Soc Med Oncol</t>
  </si>
  <si>
    <t>[Giroux-Leprieur, E.; Costantini, A.; Dumenil, C.; Dumoulin, J.; Giraud, V.; Ouaknine, J.; Chinet, T.] Hop Ambroise Pare, AP HP, Dept Resp Dis &amp; Thorac Oncol, Boulogne, France; [Julie, C.; Kamga, P. Takam; Emile, J. F.] Hop Ambroise Pare, AP HP, Dept Pathol, Boulogne, France; [Parent, F.; Seferian, A.; Humbert, M.] Hop Bicetre, AP HP, Dept Pulmonol, Le Kremlin Bicetre, France; [Lemoine, A.] Hop Paul Brousse, AP HP, Dept Biochem, Villejuif, France</t>
  </si>
  <si>
    <t>Assistance Publique Hopitaux Paris (APHP); Hopital Universitaire Ambroise-Pare - APHP; Assistance Publique Hopitaux Paris (APHP); Hopital Universitaire Ambroise-Pare - APHP; Universite Paris Saclay; Assistance Publique Hopitaux Paris (APHP); Hopital Universitaire Bicetre - APHP; Hopital Universitaire Antoine-Beclere - APHP; Assistance Publique Hopitaux Paris (APHP); Hopital Universitaire Paul-Brousse - APHP</t>
  </si>
  <si>
    <t>LEMOINE, Antoinette/R-4551-2018; Leprieur, Etienne/H-6345-2015; TAKAM KAMGA, Paul/AAR-6469-2020; Humbert, Marc/AAC-8459-2019</t>
  </si>
  <si>
    <t>0923-7534</t>
  </si>
  <si>
    <t>1569-8041</t>
  </si>
  <si>
    <t>ANN ONCOL</t>
  </si>
  <si>
    <t>Ann. Oncol.</t>
  </si>
  <si>
    <t>2014TiP</t>
  </si>
  <si>
    <t>S1122</t>
  </si>
  <si>
    <t>10.1016/j.annonc.2020.08.1320</t>
  </si>
  <si>
    <t>Oncology</t>
  </si>
  <si>
    <t>NU2JW</t>
  </si>
  <si>
    <t>WOS:000573469102597</t>
  </si>
  <si>
    <t>Kotsimbos, T; Humbert, M</t>
  </si>
  <si>
    <t>Kotsimbos, Tom; Humbert, Marc</t>
  </si>
  <si>
    <t>Pandemic treatments on trial: the bigger picture. N of many thinking in an N of one scenario</t>
  </si>
  <si>
    <t>COVID-19; LABEL</t>
  </si>
  <si>
    <t>[Kotsimbos, Tom] Monash Univ, Alfred Hosp, Cent &amp; Eastern Clin Sch, Allergy Immunol &amp; Resp Med,Dept Med, Commercial Rd Prahran, Melbourne, Vic 3004, Australia; [Humbert, Marc] Univ Paris Sud, Hop Bicetre, APHP, Serv Pneumol, Le Kremlin Bicetre, France</t>
  </si>
  <si>
    <t>Florey Institute of Neuroscience &amp; Mental Health; Howard Florey Institute Affiliates; Monash University; Assistance Publique Hopitaux Paris (APHP); Hopital Universitaire Antoine-Beclere - APHP; Hopital Universitaire Bicetre - APHP; Universite Paris Saclay</t>
  </si>
  <si>
    <t>Kotsimbos, T (corresponding author), Monash Univ, Alfred Hosp, Cent &amp; Eastern Clin Sch, Allergy Immunol &amp; Resp Med,Dept Med, Commercial Rd Prahran, Melbourne, Vic 3004, Australia.</t>
  </si>
  <si>
    <t>tom.kotsimbos@monash.edu</t>
  </si>
  <si>
    <t>10.1183/13993003.02281-2020</t>
  </si>
  <si>
    <t>OR0NN</t>
  </si>
  <si>
    <t>WOS:000589173000018</t>
  </si>
  <si>
    <t>Le Ribeuz, H; Capuano, V; Girerd, B; Humbert, M; Montani, D; Antigny, F</t>
  </si>
  <si>
    <t>Le Ribeuz, Helene; Capuano, Veronique; Girerd, Barbara; Humbert, Marc; Montani, David; Antigny, Fabrice</t>
  </si>
  <si>
    <t>Implication of Potassium Channels in the Pathophysiology of Pulmonary Arterial Hypertension</t>
  </si>
  <si>
    <t>KCNK3; ABCC8; KCNA5; ABCC9; K2P3.1; SUR1; Kv1.5; SUR2</t>
  </si>
  <si>
    <t>K-ATP CHANNELS; SMOOTH-MUSCLE-CELLS; PROTEIN-KINASE-C; KCNK3 CONTRIBUTES; TYROSINE KINASE; VASCULAR-TONE; HEART-FAILURE; TASK-1 KCNK3; OF-FUNCTION; KV1.5</t>
  </si>
  <si>
    <t>Pulmonary arterial hypertension (PAH) is a rare and severe cardiopulmonary disease without curative treatments. PAH is a multifactorial disease that involves genetic predisposition, epigenetic factors, and environmental factors (drugs, toxins, viruses, hypoxia, and inflammation), which contribute to the initiation or development of irreversible remodeling of the pulmonary vessels. The recent identification of loss-of-function mutations in KCNK3 (KCNK3 or TASK-1) and ABCC8 (SUR1), or gain-of-function mutations in ABCC9 (SUR2), as well as polymorphisms in KCNA5 (Kv1.5), which encode two potassium (K+) channels and two K+ channel regulatory subunits, has revived the interest of ion channels in PAH. This review focuses on KCNK3, SUR1, SUR2, and Kv1.5 channels in pulmonary vasculature and discusses their pathophysiological contribution to and therapeutic potential in PAH.</t>
  </si>
  <si>
    <t>[Le Ribeuz, Helene; Capuano, Veronique; Girerd, Barbara; Humbert, Marc; Montani, David; Antigny, Fabrice] Univ Paris Saclay, Fac Med, F-94270 Le Kremlin Bicetre, France; [Le Ribeuz, Helene; Capuano, Veronique; Girerd, Barbara; Humbert, Marc; Montani, David; Antigny, Fabrice] Hop Marie Lannelongue, Hypertens Pulm Physiopathol &amp; Innovat Therapeut, INSERM,UMR S 999, F-92350 Le Plessis Robinson, France; [Le Ribeuz, Helene; Capuano, Veronique; Girerd, Barbara; Humbert, Marc; Montani, David; Antigny, Fabrice] Hop Bicetre, AP HP, Ctr Reference Hypertens Pulm, Serv Pneumol &amp; Soins Intensifs Resp, F-94270 Le Kremlin Bicetre, France</t>
  </si>
  <si>
    <t>Universite Paris Saclay; Hopital Marie Lannelongue; Institut National de la Sante et de la Recherche Medicale (Inserm); Universite Paris Saclay; Universite Paris Saclay; Assistance Publique Hopitaux Paris (APHP); Hopital Universitaire Antoine-Beclere - APHP; Hopital Universitaire Bicetre - APHP</t>
  </si>
  <si>
    <t>Antigny, F (corresponding author), Univ Paris Saclay, Fac Med, F-94270 Le Kremlin Bicetre, France.;Antigny, F (corresponding author), Hop Marie Lannelongue, Hypertens Pulm Physiopathol &amp; Innovat Therapeut, INSERM,UMR S 999, F-92350 Le Plessis Robinson, France.;Antigny, F (corresponding author), Hop Bicetre, AP HP, Ctr Reference Hypertens Pulm, Serv Pneumol &amp; Soins Intensifs Resp, F-94270 Le Kremlin Bicetre, France.</t>
  </si>
  <si>
    <t>helene.leribeuz@aol.com; veronique.capuano@universite-paris-saclay.fr; barbara.girerd19@gmail.com; mjc.humbert@gmail.com; david.montani@aphp.fr; fabrice.antigny@universite.paris-saclay.fr</t>
  </si>
  <si>
    <t>Humbert, Marc/AAC-8459-2019; David, Montani/I-6885-2019; Antigny, Fabrice/Q-3999-2018</t>
  </si>
  <si>
    <t>Montani, David/0000-0002-9358-6922; Le Ribeuz, Helene/0000-0002-6579-6076; Antigny, Fabrice/0000-0002-9515-6571</t>
  </si>
  <si>
    <t>National Funding Agency for Research [ANR-18-CE14-0023]; Agence Nationale de la Recherche (ANR) [ANR-18-CE14-0023] Funding Source: Agence Nationale de la Recherche (ANR)</t>
  </si>
  <si>
    <t>National Funding Agency for Research; Agence Nationale de la Recherche (ANR)(Agence Nationale de la Recherche (ANR))</t>
  </si>
  <si>
    <t>Fabrice Antigny received funding from the National Funding Agency for Research (ANR-18-CE14-0023).</t>
  </si>
  <si>
    <t>10.3390/biom10091261</t>
  </si>
  <si>
    <t>OF8BH</t>
  </si>
  <si>
    <t>WOS:000581425300001</t>
  </si>
  <si>
    <t>Maron, BA; Brittan, EL; Hess, E; Waldo, SW; Barón, AE; Huang, S; Goldstein, RH; Assad, T; Wertheim, BM; Alba, GA; Leopold, JA; Olschewski, H; Galiè, N; Simonneau, G; Kovacs, G; Tedford, RJ; Humbert, M; Choudhary, G</t>
  </si>
  <si>
    <t>Maron, Bradley A.; Brittan, Evan L.; Hess, Edward; Waldo, Stephen W.; Baron, Anna E.; Huang, Shi; Goldstein, Ronald H.; Assad, Tufik; Wertheim, Bradley M.; Alba, George A.; Leopold, Jane A.; Olschewski, Horst; Galie, Nazzareno; Simonneau, Gerald; Kovacs, Gabor; Tedford, Ryan J.; Humbert, Marc; Choudhary, Gaurav</t>
  </si>
  <si>
    <t>Pulmonary vascular resistance and clinical outcomes in patients with pulmonary hypertension: a retrospective cohort study</t>
  </si>
  <si>
    <t>SYSTEMIC-SCLEROSIS; ARTERIAL-HYPERTENSION; DIAGNOSIS; MORTALITY; DYSFUNCTION; MANAGEMENT; EXERCISE; PRESSURE; INSIGHTS; PROGRAM</t>
  </si>
  <si>
    <t>Background In pulmonary hypertension subgroups, elevated pulmonary vascular resistance (PVR) of 3.0 Wood units or more is associated with poor prognosis. However, t h e spectrum of PVR risk in pulmonary hypertension is not known. To address this area of uncertainty, we aimed to analyse the relationship between PVR and adverse clinical outcomes in pulmonary hypertension. Methods We did a retrospective cohort study of all patients undergoing right heart catheterisation (RHC) in the US Veterans Affairs health-care system (Oct 1, 2007-Sep 30, 2016). Patients were included in the analyses if data from a complete RHC and at least 1 year of follow-up were available. Both inpatients and outpatients were included, but individuals with missing mean pulmonary artery pressure (mPAP), pulmonary artery wedge pressure, or cardiac output were excluded. The primary outcome measure was time to all-cause mortality assessed by the Veteran Affairs vital status file. Cox proportional hazards models were used to assess the association between PVR and outcomes, and the mortality hazard ratio was validated in a RHC cohort from Vanderbilt University Medical Center (Sept 24, 1998-June 1, 2016). Findings The primary cohort (N=40 082; 38 751 [96.7%] male; median age 66.5 years [IQR 61.1-73.5]; median follow-up 1153 days [IQR 570-1971]), included patients with a history of heart failure (23 201 [57.9%]) and chronic obstructive pulmonary disease (13 348 [33.3%]). We focused on patients at risk for pulmonary hypertension based on a mPAP of at least 19 mm Hg (32 725 [81.6%] of 40 082). When modelled as a continuous variable, the all-cause mortality hazard for PVR was increased at around 2.2 Wood units compared with PVR of 1.0 Wood unit. Among patients with a mPAP of at least 19 mm Hg and pulmonary artery wedge pressure of 15 mm Hg or less, the adjusted hazard ratio (HR) for mortality was 1.71 (95% CI 1.59-1.84; p&lt;0.0001) and for heart failure hospitalisation was 1.27 (1.13-1.43; p=0.0001), when comparing PVR of 2.2 Wood units or more to less than 2.2 Wood units. The validation cohort (N=3699, 1860 [50.3%] male, median age 60.4 years [49.5-69.2]; median follow-up 1752 days [IQR 1281-2999]) included 2870 patients [77.6%] with mPAP of at least 19 mm Hg (1418 [49.4%] male). The adjusted mortality HR for patients in the mPAP of 19 mm Hg or more group and with PVR of 2.2 Wood units or more and pulmonary artery wedge pressure of 15 mm or less Hg (1221 [42 . 5%] of 2870) was 1.81 (95% CI 1.33-2.47; p=0.0002). Interpretation These data widen the continu u m of clinical risk for mortality and heart failure in patients referred for RHC with elevated pulmonary artery pressure to include PVR of around 2.2 Wood units and higher. Testing the generalisability of these findings in at-risk populations with fewer cardiopulmonary comorbidities is warranted. Copyright (c) 2020 Elsevier Ltd. All rights reserved.</t>
  </si>
  <si>
    <t>[Goldstein, Ronald H.] Vet Affairs Boston Healthcare Syst, Boston, MA USA; [Maron, Bradley A.; Wertheim, Bradley M.; Leopold, Jane A.] Brigham &amp; Womens Hosp, 75 Francis St, Boston, MA 02115 USA; [Maron, Bradley A.; Wertheim, Bradley M.; Alba, George A.; Leopold, Jane A.] Harvard Med Sch, Boston, MA 02115 USA; [Brittan, Evan L.; Assad, Tufik] Vanderbilt Univ, Med Ctr, Dept Med, Nashville, TN USA; [Brittan, Evan L.; Assad, Tufik] Vanderbilt Translat &amp; Clin Cardiovasc Res Ctr, Nashville, TN USA; [Hess, Edward; Waldo, Stephen W.] Rocky Mt Reg VA Med Ctr, Aurora, CO USA; [Baron, Anna E.] Univ Colorado, Colorado Sch Publ Hlth, Dept Biostat &amp; Informat, Anschutz Med Campus, Aurora, CO USA; [Huang, Shi] Vanderbilt Univ, Med Ctr, Dept Biostat, Nashville, TN USA; [Alba, George A.] Massachusetts Gen Hosp, Dept Med, Boston, MA 02114 USA; [Olschewski, Horst; Kovacs, Gabor] Karl Franzens Univ Graz, Ludwig Boltzmann Inst Lung Vasc Res &amp; Med, Dept Internal Med, Div Pulmonol, Graz, Austria; [Galie, Nazzareno] Bologna Univ Hosp, Dept Expt Diagnost &amp; Specialty Med, Bologna, Italy; [Simonneau, Gerald; Humbert, Marc] Univ Paris Saclay, Fac Med, Le Kremlin Bicetre, France; [Simonneau, Gerald; Humbert, Marc] Hop Bicetre, Serv Pneumol, Le Kremlin Bicetre, France; [Simonneau, Gerald; Humbert, Marc] Hop Marie Lannelongue, INSERM, UMR S 999, Le Plessis Robinson, France; [Tedford, Ryan J.] Med Univ South Carolina, Dept Med, Div Cardiol, Charleston, SC USA; [Choudhary, Gaurav] Providence Vet Affairs Med Ctr, Providence, RI USA; [Choudhary, Gaurav] Brown Univ, Warren Alpert Med Sch, Div Cardiovasc Med, Providence, RI 02912 USA</t>
  </si>
  <si>
    <t>Harvard University; Harvard University Medical Affiliates; US Department of Veterans Affairs; Veterans Health Administration (VHA); VA Boston Healthcare System; Harvard University; Harvard University Medical Affiliates; Brigham &amp; Women's Hospital; Harvard University; Harvard Medical School; Vanderbilt University; University of Colorado System; University of Colorado Anschutz Medical Campus; Colorado School of Public Health; Vanderbilt University; Harvard University; Harvard University Medical Affiliates; Massachusetts General Hospital; University of Graz; IRCCS Azienda Ospedaliero-Universitaria di Bologna; Universite Paris Saclay; Assistance Publique Hopitaux Paris (APHP); Hopital Universitaire Bicetre - APHP; Universite Paris Saclay; Hopital Universitaire Antoine-Beclere - APHP; Hopital Marie Lannelongue; Institut National de la Sante et de la Recherche Medicale (Inserm); Universite Paris Saclay; Medical University of South Carolina; US Department of Veterans Affairs; Veterans Health Administration (VHA); Providence VA Medical Center; Brown University</t>
  </si>
  <si>
    <t>Maron, BA (corresponding author), Harvard Med Sch, Boston, MA 02115 USA.;Maron, BA (corresponding author), Brigham &amp; Womens Hosp, Dept Med, 75 Francis St, Boston, MA 02115 USA.</t>
  </si>
  <si>
    <t>Simonneau, Gerald/ABE-6614-2020; Humbert, Marc/AAC-8459-2019; Choudhary, Gaurav/M-1643-2019; huang, shi/A-1406-2012</t>
  </si>
  <si>
    <t>Kovacs, Gabor/0000-0003-3709-2183</t>
  </si>
  <si>
    <t>National Institutes of Health (NIH) [R56HL131787, R01HL139613-01, R21HL145420, R01HL153502]; National Scleroderma Foundation; Cardiovascular Medical Research Education Foundation; McKenzie Family Charitable Trust; NIH [S10RR025141, UL1TR002243, UL1TR000445, UL1RR024975]; Department of Veterans Affairs [I01CX001892]; National Heart, Lung, and Blood Institute [R01HL128661, R01HL148727]; Vanderbilt University Medical Center's BioVU</t>
  </si>
  <si>
    <t>National Institutes of Health (NIH)(United States Department of Health &amp; Human ServicesNational Institutes of Health (NIH) - USA); National Scleroderma Foundation; Cardiovascular Medical Research Education Foundation; McKenzie Family Charitable Trust; NIH(United States Department of Health &amp; Human ServicesNational Institutes of Health (NIH) - USA); Department of Veterans Affairs(US Department of Veterans Affairs); National Heart, Lung, and Blood Institute(United States Department of Health &amp; Human ServicesNational Institutes of Health (NIH) - USANIH National Heart Lung &amp; Blood Institute (NHLBI)); Vanderbilt University Medical Center's BioVU</t>
  </si>
  <si>
    <t>This material is the result of work supported with resources and the use of facilities at the Rocky Mountain Regional VA Medical Center, Aurora, CO, USA. The authors would like to acknowledge Mary E Plomondon (Rocky Mountain Regional VA Medical Center) for her assistance in completing this project. The views expressed are those of the authors alone and do not represent the views of the Veterans Affairs or other Federal government agencies. BAM is supported by National Institutes of Health (NIH) grants (R56HL131787, R01HL139613-01, R21HL145420, R01HL153502) the National Scleroderma Foundation, Cardiovascular Medical Research Education Foundation, and McKenzie Family Charitable Trust (provided salary support to conduct research). The NIH also supports ELB (R01 HL146588, R01 HL146588-01S1), BMW (5T32HL007633-32; provided salary support to conduct research), and GAA (5KL2TR002542-02). GC is supported by the Department of Veterans Affairs (MERIT award I01CX001892) and NIH and National Heart, Lung, and Blood Institute (R01HL128661, R01HL148727; provided salary support to conduct research). The datasets used for the analyses described were obtained from Vanderbilt University Medical Center's BioVU, which is supported by numerous sources: institutional funding, private agencies, and federal grants, including the NIH funded Shared Instrumentation Grant (S10RR025141) and CTSA grants (UL1TR002243, UL1TR000445, UL1RR024975). No funding source had any role in the writing of the manuscript or the decision to submit it for publication. No co-author was paid to write this manuscript by a pharmaceutical company or other agency. The corresponding author had access to all the data in the study and final responsibility for the decision to submit this manuscript for publication.</t>
  </si>
  <si>
    <t>10.1016/S2213-2600(20)30317-9</t>
  </si>
  <si>
    <t>NN2ZX</t>
  </si>
  <si>
    <t>WOS:000568662600019</t>
  </si>
  <si>
    <t>Montani, D; Jaïs, X; Humbert, M; Sitbon, O</t>
  </si>
  <si>
    <t>Montani, David; Jais, Xavier; Humbert, Marc; Sitbon, Oliver</t>
  </si>
  <si>
    <t>Pulmonary Hypertension Complicating Pulmonary Artery Involvement in Pseudoxanthoma Elasticum</t>
  </si>
  <si>
    <t>[Montani, David; Jais, Xavier; Humbert, Marc; Sitbon, Oliver] Univ Paris Saclay, Sch Med, Le Kremlin Bicetre, France; [Montani, David; Jais, Xavier; Humbert, Marc; Sitbon, Oliver] Hop Marie Lannelongue, INSERM UMR S 999 Pulm Hypertens Pathophysiol &amp; No, Le Plessis Robinson, France; [Montani, David; Jais, Xavier; Humbert, Marc; Sitbon, Oliver] Bicetre Hosp, Assistance Publ Hop Paris, Dept Resp &amp; Intens Care Med, Pulm Hypertens Natl Referral Ctr, Le Kremlin Bicetre, France</t>
  </si>
  <si>
    <t>Universite Paris Saclay; Institut National de la Sante et de la Recherche Medicale (Inserm); Hopital Marie Lannelongue; Assistance Publique Hopitaux Paris (APHP); Hopital Universitaire Bicetre - APHP; Universite Paris Cite; Hopital Universitaire Saint-Louis - APHP</t>
  </si>
  <si>
    <t>Montani, D (corresponding author), Univ Paris Saclay, Sch Med, Le Kremlin Bicetre, France.;Montani, D (corresponding author), Hop Marie Lannelongue, INSERM UMR S 999 Pulm Hypertens Pathophysiol &amp; No, Le Plessis Robinson, France.;Montani, D (corresponding author), Bicetre Hosp, Assistance Publ Hop Paris, Dept Resp &amp; Intens Care Med, Pulm Hypertens Natl Referral Ctr, Le Kremlin Bicetre, France.</t>
  </si>
  <si>
    <t>David, Montani/I-6885-2019; Sitbon, Olivier/I-3623-2019; Humbert, Marc/AAC-8459-2019</t>
  </si>
  <si>
    <t>JAIS, XAVIER/0000-0002-4104-7994; Montani, David/0000-0002-9358-6922; Humbert, Marc/0000-0003-0703-2892; SITBON, Olivier/0000-0002-1942-1951</t>
  </si>
  <si>
    <t>E90</t>
  </si>
  <si>
    <t>E91</t>
  </si>
  <si>
    <t>10.1164/rccm.202002-0248IM</t>
  </si>
  <si>
    <t>NM0BP</t>
  </si>
  <si>
    <t>WOS:000567771000001</t>
  </si>
  <si>
    <t>Van Nuffel, S; Quatredeniers, M; Pirkl, A; Zakel, J; Le Caer, JP; Elie, N; Vanbellingen, QP; Dumas, SJ; Nakhleh, MK; Ghigna, MR; Fadel, E; Humbert, M; Chaurand, P; Touboul, D; Cohen-Kaminsky, S; Brunelle, A</t>
  </si>
  <si>
    <t>Van Nuffel, Sebastiaan; Quatredeniers, Marceau; Pirkl, Alexander; Zakel, Julia; Le Caer, Jean-Pierre; Elie, Nicolas; Vanbellingen, Quentin P.; Dumas, Sebastien Joel; Nakhleh, Morad Kamel; Ghigna, Maria-Rosa; Fadel, Elie; Humbert, Marc; Chaurand, Pierre; Touboul, David; Cohen-Kaminsky, Sylvia; Brunelle, Alain</t>
  </si>
  <si>
    <t>Multimodal Imaging Mass Spectrometry to Identify Markers of Pulmonary Arterial Hypertension in Human Lung Tissue Using MALDI-ToF, ToF-SIMS, and Hybrid SIMS</t>
  </si>
  <si>
    <t>ANALYTICAL CHEMISTRY</t>
  </si>
  <si>
    <t>MULTIVARIATE-ANALYSIS; RESOLUTION; NANOPARTICLES; SUBLIMATION; IMAGES; CYCLE; PTEN</t>
  </si>
  <si>
    <t>Pulmonary arterial hypertension (PAH) is a rare and deadly disease affecting roughly 15-60 people per million in Europe with a poorly understood pathology. There are currently no diagnostic tools for early detection nor does a curative treatment exist. The lipid composition of arteries in lung samples from human PAH and control patients were investigated using matrix-assisted laser desorption ionization (MALDI) imaging mass spectrometry (IMS) combined with time-of-flight secondary ion mass spectrometry (TOF-SIMS) imaging. Using random forests as an IMS data analysis technique, it was possible to identify the ion at m/z 885.6 as a marker of PAH in human lung tissue. The m/z 885.6 ion intensity was shown to be significantly higher around diseased arteries and was confirmed to be a diacylglycerophosphoinositol PI(C18:0/C20:4) via MS/MS using a novel hybrid SIMS instrument. The discovery of a potential biomarker opens up new research avenues which may finally lead to a better understanding of the PAH pathology and highlights the vital role IMS can play in modern biomedical research.</t>
  </si>
  <si>
    <t>[Van Nuffel, Sebastiaan; Le Caer, Jean-Pierre; Elie, Nicolas; Vanbellingen, Quentin P.; Touboul, David; Brunelle, Alain] Univ Paris Saclay, Inst Chim Subst Nat, CNRS, UPR 2301, F-91198 Gif Sur Yvette, France; [Quatredeniers, Marceau; Dumas, Sebastien Joel; Nakhleh, Morad Kamel; Ghigna, Maria-Rosa; Fadel, Elie; Humbert, Marc; Cohen-Kaminsky, Sylvia] Univ Paris Saclay, Sch Med, Le Kremlin Bicetre, France; [Quatredeniers, Marceau; Dumas, Sebastien Joel; Nakhleh, Morad Kamel; Ghigna, Maria-Rosa; Fadel, Elie; Humbert, Marc; Cohen-Kaminsky, Sylvia] Hop Marie Lannelongue, Pulm Hypertens Pathophysiol &amp; Novel Therapies, Le Plessis Robinson, France; [Pirkl, Alexander; Zakel, Julia] IONTOF GmbH, D-48149 Munster, Germany; [Humbert, Marc] Hop Bicetre, AP HP, Pulm Hypertens Natl Referral Ctr, Dept Resp &amp; Intens Care Med, Le Kremlin Bicetre, France; [Chaurand, Pierre] Univ Montreal, Dept Chem, Montreal, PQ, Canada; [Brunelle, Alain] Sorbonne Univ, Lab Archeol Mol &amp; Struct, CNRS, LAMS UMR8220, F-75005 Paris, France</t>
  </si>
  <si>
    <t>Centre National de la Recherche Scientifique (CNRS); CNRS - Institute of Chemistry (INC); Universite Paris Saclay; Universite Paris Saclay; Hopital Marie Lannelongue; Universite Paris Saclay; Assistance Publique Hopitaux Paris (APHP); Hopital Universitaire Antoine-Beclere - APHP; Hopital Universitaire Bicetre - APHP; Universite de Montreal; Sorbonne Universite; Centre National de la Recherche Scientifique (CNRS)</t>
  </si>
  <si>
    <t>Brunelle, A (corresponding author), Univ Paris Saclay, Inst Chim Subst Nat, CNRS, UPR 2301, F-91198 Gif Sur Yvette, France.;Cohen-Kaminsky, S (corresponding author), Univ Paris Saclay, Sch Med, Le Kremlin Bicetre, France.;Cohen-Kaminsky, S (corresponding author), Hop Marie Lannelongue, Pulm Hypertens Pathophysiol &amp; Novel Therapies, Le Plessis Robinson, France.;Brunelle, A (corresponding author), Sorbonne Univ, Lab Archeol Mol &amp; Struct, CNRS, LAMS UMR8220, F-75005 Paris, France.</t>
  </si>
  <si>
    <t>sylvia.cohen-kaminsky@universite-paris-saclay.fr; alain.brunelle@cnrs.fr</t>
  </si>
  <si>
    <t>Humbert, Marc/AAC-8459-2019; Dumas, Sébastien/AAA-2056-2021; Touboul, David/LKL-5514-2024; Elie, Nicolas/M-7499-2015; Van Nuffel, Sebastiaan/L-5694-2019; Brunelle, Alain/L-3889-2013; Cohen-Kaminsky, Sylvia/E-4837-2014</t>
  </si>
  <si>
    <t>Elie, Nicolas/0000-0002-8733-0971; Van Nuffel, Sebastiaan/0000-0003-1251-3236; Ghigna, Maria Rosa/0000-0001-5996-665X; Touboul, David/0000-0003-2751-774X; Brunelle, Alain/0000-0001-6526-6481; Vanbellingen, Quentin Pierre/0000-0003-3894-638X; Dumas, Sebastien/0000-0001-9958-3485; Cohen-Kaminsky, Sylvia/0000-0002-6341-7482</t>
  </si>
  <si>
    <t>Agence Nationale de la Recherche (France) [ANR-2015-CE29-0007-01, ANR-2015-CE29-0007-02 DEFIMAGE]; Idex Paris-Saclay Jean d'Alembert fellowship program (France); LabEx LERMIT, Laboratory of Excellence in Research on Medication and Innovative Therapeutics under the Investment for the Future program Agence Nationale de la Recherche [(ANR)-11-IDEX-0003-01, ANR-10-LABX-0033]; Departement Hospitalo-Universitaire Thorax Innovation; Assistance Publique-Hopitaux de Paris; Institut National de la Sante Et de la Recherche Medicale (INSERM); Universite Paris-Sud; Hopital Marie Lannelongue</t>
  </si>
  <si>
    <t>Agence Nationale de la Recherche (France)(Agence Nationale de la Recherche (ANR)); Idex Paris-Saclay Jean d'Alembert fellowship program (France); LabEx LERMIT, Laboratory of Excellence in Research on Medication and Innovative Therapeutics under the Investment for the Future program Agence Nationale de la Recherche(Agence nationale pour le developpement de la recherche en sante (ANDRS)Agence Nationale de la Recherche (ANR)); Departement Hospitalo-Universitaire Thorax Innovation; Assistance Publique-Hopitaux de Paris; Institut National de la Sante Et de la Recherche Medicale (INSERM)(Institut National de la Sante et de la Recherche Medicale (Inserm)); Universite Paris-Sud; Hopital Marie Lannelongue</t>
  </si>
  <si>
    <t>This work was financially supported by the Agence Nationale de la Recherche (France, Grants ANR-2015-CE29-0007-01 and-02 DEFIMAGE) and by the Idex Paris-Saclay Jean d'Alembert fellowship program (France). The work was supported by LabEx LERMIT, Laboratory of Excellence in Research on Medication and Innovative Therapeutics under the Investment for the Future program Agence Nationale de la Recherche (ANR)-11-IDEX-0003-01 within the ANR-10-LABX-0033 (to S.C.-K.), Departement Hospitalo-Universitaire Thorax Innovation, and Assistance Publique-Hopitaux de Paris. This work was also funded by Institut National de la Sante Et de la Recherche Medicale (INSERM), Universite Paris-Sud, and Hopital Marie Lannelongue. The authors would also like to thank the French Pulmonary Hypertension Registry facilities and the French National Referral Center for Severe Pulmonary Hypertension for providing clinical samples and data. In particular, the authors thank Pr. Olaf Mercier, Pr. Dominique Fabre, and Dr. Sasha Mussot, surgeons in the Service de Chirurgie Thoracique &amp; Vasculaire from Hopital Marie Lannelongue for providing quality human lung tissue samples, as well as Caroline Communaux in the Service d'Anatomopathologie for providing clinical data. The authors would also like to thank Dr. Alex Henderson for the insightful discussions regarding supervised machine learning.</t>
  </si>
  <si>
    <t>AMER CHEMICAL SOC</t>
  </si>
  <si>
    <t>1155 16TH ST, NW, WASHINGTON, DC 20036 USA</t>
  </si>
  <si>
    <t>0003-2700</t>
  </si>
  <si>
    <t>1520-6882</t>
  </si>
  <si>
    <t>ANAL CHEM</t>
  </si>
  <si>
    <t>Anal. Chem.</t>
  </si>
  <si>
    <t>10.1021/acs.analchem.0c02815</t>
  </si>
  <si>
    <t>Chemistry, Analytical</t>
  </si>
  <si>
    <t>Chemistry</t>
  </si>
  <si>
    <t>NN2XZ</t>
  </si>
  <si>
    <t>WOS:000568657600077</t>
  </si>
  <si>
    <t>Weatherald, J; Boucly, A; Montani, D; Jais, X; Savale, L; Humbert, M; Sitbon, O; Garcia, G; Laveneziana, P</t>
  </si>
  <si>
    <t>Weatherald, Jason; Boucly, Athenais; Montani, David; Jais, Xavier; Savale, Laurent; Humbert, Marc; Sitbon, Olivier; Garcia, Gilles; Laveneziana, Pierantonio</t>
  </si>
  <si>
    <t>Gas Exchange and Ventilatory Efficiency During Exercise in Pulmonary Vascular Diseases</t>
  </si>
  <si>
    <t>Exercise; Pulmonary hypertension; Chemosensitivity; Ventilatory efficiency; Pathophysiology; Hypocapnia; Arterial blood gas</t>
  </si>
  <si>
    <t>DEAD SPACE VENTILATION; HEART-FAILURE; ARTERIAL; HYPERTENSION; SURVIVAL</t>
  </si>
  <si>
    <t>Background and Objective: Ventilatory inefficiency (high V'(E)/V'CO2) and resting hypocapnia are common in pulmonary vascular disease and are associated with poor prognosis. Low resting PaCO2 suggests increased chemosensitivity or an altered PaCO2 set-point. We aimed to determine the relationships between exercise gas exchange variables reflecting the PaCO2 set-point, exercise capacity, hemodynamics and V'(E)/V'CO2. Methods: Pulmonary arterial hypertension (n=34), chronic thromboembolic pulmonary hypertension (CTEPH, n=19) and pulmonary veno-occlusive disease (PVOD, n = 6) patients underwent rest and peak exercise arterial blood gas measurements during cardiopulmonary exercise testing. Patients were grouped according to resting PaCO2: hypocapnic (PaCO2 &lt;= 34 mmHg) or normocapnic (PaCO2 35-45 mmHg). The PaCO2 set-point was estimated by the maximal value of end-tidal PCO2 (maximal PETCO2) between the anaerobic threshold and respiratory compensation point. Results: The hypocapnic group (n=39) had lower resting cardiac index (3.1 +/- 0.8 vs. 3.7 +/- 0.7 L/min/m(2), p&lt;0.01), lower peak V'O-2 (15.8 +/- 3.5 vs. 20.7 +/- 4.3 mL/kg/min, p&lt;0.01), and higher V'(E)/V'CO2 slope (60.6 +/- 17.6 vs. 38.2 +/- 8.0, p&lt;0.01). At peak exercise, hypocapic patients had lower PaO2, higher V-D/V-T and higher P(a-ET)CO2. Maximal PETCO2 (r = 0.59) and V-D/V-T (r = -0.59) were more related to cardiac index than PaO2 or PaCO2 at rest or peak exercise. Maximal PETCO2 was the strongest correlate of V'(E)/V'CO2 slope (r = -0.86), peak V'O-2 (r = 0.64) and peak work rate (r = 0.49). Conclusions: Resting hypocapnia is associated with worse cardiac function, more ventilatory inefficiency and reduced exercise capacity. This could be explained by elevated chemosensitivity and lower PaCO2 set-point. Maximal PETCO2 may be a useful non-invasive marker of PaCO2 setpoint and disease severity even with submaximal effort. (C) 2020 Published by Elsevier Espana, S.L.U. on behalf of SEPAR.</t>
  </si>
  <si>
    <t>[Weatherald, Jason] Univ Calgary, Dept Med, Div Respirol, Calgary, AB, Canada; [Weatherald, Jason] Univ Calgary, Libin Cardiovasc Inst Alberta, Calgary, AB, Canada; [Weatherald, Jason; Boucly, Athenais; Montani, David; Jais, Xavier; Savale, Laurent; Humbert, Marc; Sitbon, Olivier; Garcia, Gilles] Univ Paris Saclay, Univ Paris Sud, Fac Med, Le Kremlin Bicetre, France; [Weatherald, Jason; Boucly, Athenais; Montani, David; Jais, Xavier; Savale, Laurent; Humbert, Marc; Sitbon, Olivier] Hop Bicetre, AP HP, Serv Pneumol, Le Kremlin Bicetre, France; [Weatherald, Jason; Boucly, Athenais; Montani, David; Jais, Xavier; Savale, Laurent; Humbert, Marc; Sitbon, Olivier; Garcia, Gilles] Ctr Chirurg Marie Lannelongue, INSERM, LabEx LERMIT, U999, Le Plessis Robinson, France; [Garcia, Gilles] Hop Bicetre, AP HP, Serv Physiol, Le Kremlin Bicetre, France; [Laveneziana, Pierantonio] Sorbonne Univ, INSERM, Neurophysiol Resp Experimentale &amp; Clin, UMRS1158, F-75005 Paris, France; [Laveneziana, Pierantonio] Sorbonne Univ, Serv Explorat Fonct Respirat Exercice &amp; Dyspnee, Grp Hosp Pitie Salpetriere Charles Foix,APHP,Teno, Hop Univ Pitie Salpetriere,Dept Medico Univ APPRO, F-75013 Paris, France</t>
  </si>
  <si>
    <t>University of Calgary; University of Calgary; Libin Cardiovascular Institute Of Alberta; Universite Paris Saclay; Assistance Publique Hopitaux Paris (APHP); Hopital Universitaire Bicetre - APHP; Hopital Universitaire Antoine-Beclere - APHP; Universite Paris Saclay; Hopital Marie Lannelongue; Universite Paris Saclay; Institut National de la Sante et de la Recherche Medicale (Inserm); Assistance Publique Hopitaux Paris (APHP); Hopital Universitaire Antoine-Beclere - APHP; Hopital Universitaire Bicetre - APHP; Universite Paris Saclay; Institut National de la Sante et de la Recherche Medicale (Inserm); Sorbonne Universite; Assistance Publique Hopitaux Paris (APHP); Hopital Universitaire Charles-Foix - APHP; Universite Paris Cite; Hopital Universitaire Hotel-Dieu - APHP; Hopital Universitaire Pitie-Salpetriere - APHP; Sorbonne Universite</t>
  </si>
  <si>
    <t>Laveneziana, P (corresponding author), Sorbonne Univ, INSERM, Neurophysiol Resp Experimentale &amp; Clin, UMRS1158, F-75005 Paris, France.;Laveneziana, P (corresponding author), Sorbonne Univ, Serv Explorat Fonct Respirat Exercice &amp; Dyspnee, Grp Hosp Pitie Salpetriere Charles Foix,APHP,Teno, Hop Univ Pitie Salpetriere,Dept Medico Univ APPRO, F-75013 Paris, France.</t>
  </si>
  <si>
    <t>pierantonio.laveneziana@aphp.fr</t>
  </si>
  <si>
    <t>Laveneziana, Pierantonio/GWC-2028-2022; Savale, Laurent/AAJ-9781-2020; David, Montani/I-6885-2019; Humbert, Marc/AAC-8459-2019</t>
  </si>
  <si>
    <t>Weatherald, Jason/0000-0002-0615-4575; Montani, David/0000-0002-9358-6922; JAIS, XAVIER/0000-0002-4104-7994; Humbert, Marc/0000-0003-0703-2892; Boucly, Athenais/0000-0001-6246-5557</t>
  </si>
  <si>
    <t>European Respiratory Society/Canadian Thoracic Society Long-Term Research Fellowship [LTRF 2015 - 4780]</t>
  </si>
  <si>
    <t>European Respiratory Society/Canadian Thoracic Society Long-Term Research Fellowship</t>
  </si>
  <si>
    <t>JW was the recipient of a joint European Respiratory Society/Canadian Thoracic Society Long-Term Research Fellowship (LTRF 2015 - 4780) which funded this research. These organizations had no role in the design, collection or publication of this manuscript.</t>
  </si>
  <si>
    <t>10.1016/j.arbres.2019.12.030</t>
  </si>
  <si>
    <t>NM1WL</t>
  </si>
  <si>
    <t>WOS:000567894400009</t>
  </si>
  <si>
    <t>Rhodes, CJ; Otero-Núñez, P; Wharton, J; Swietlik, EM; Kariotis, S; Harbaum, L; Dunning, MJ; Elinoff, JM; Errington, N; Thompson, AAR; Iremonger, J; Coghlan, JG; Corris, PA; Howard, LS; Kiely, DG; Church, C; Pepke-Zaba, J; Toshner, M; Wort, SJ; Desai, AA; Humbert, M; Nichols, WC; Southgate, L; Trégouët, DA; Trembath, RC; Prokopenko, I; Gräf, S; Morrell, NW; Wang, D; Lawrie, A; Wilkins, MR</t>
  </si>
  <si>
    <t>Rhodes, Christopher J.; Otero-Nunez, Pablo; Wharton, John; Swietlik, Emilia M.; Kariotis, Sokratis; Harbaum, Lars; Dunning, Mark J.; Elinoff, Jason M.; Errington, Niamh; Thompson, A. A. Roger; Iremonger, James; Coghlan, J. Gerry; Corris, Paul A.; Howard, Luke S.; Kiely, David G.; Church, Colin; Pepke-Zaba, Joanna; Toshner, Mark; Wort, Stephen J.; Desai, Ankit A.; Humbert, Marc; Nichols, William C.; Southgate, Laura; Tregouet, David-Alexandre; Trembath, Richard C.; Prokopenko, Inga; Graf, Stefan; Morrell, Nicholas W.; Wang, Dennis; Lawrie, Allan; Wilkins, Martin R.</t>
  </si>
  <si>
    <t>NIHR BioResource-Rare Dis PAH Cons; UK Natl PAH Cohort Study Consortiu</t>
  </si>
  <si>
    <t>Whole-Blood RNA Profiles Associated with Pulmonary Arterial Hypertension and Clinical Outcome</t>
  </si>
  <si>
    <t>pulmonary arterial hypertension; RNAseq; whole-blood RNA</t>
  </si>
  <si>
    <t>HEPCIDIN</t>
  </si>
  <si>
    <t>Rationale: Idiopathic and heritable pulmonary arterial hypertension (PAH) are rare but comprise a genetically heterogeneous patient group. RNA sequencing linked to the underlying genetic architecture can be used to better understand the underlying pathology by identifying key signaling pathways and stratify patients more robustly according to clinical risk. Objectives: To use a three-stage design of RNA discovery, RNA validation and model construction, and model validation to define a set of PAH-associated RNAs and a single summarizing RNA model score. To define genes most likely to be involved in disease development, we performed Mendelian randomization (MR) analysis. Methods: RNA sequencing was performed on whole-blood samples from 359 patients with idiopathic, heritable, and drug-induced PAH and 72 age- and sex-matched healthy volunteers. The score was evaluated against disease severity markers including survival analysis using all-cause mortality from diagnosis. MR used known expression quantitative trait loci and summary statistics from a PAH genome-wide association study. Measurements and Main Results: We identified 507 genes with differential RNA expression in patients with PAH compared with control subjects. A model of 25 RNAs distinguished PAH with 87% accuracy (area under the curve 95% confidence interval: 0.791-0.945) in model validation. The RNA model score was associated with disease severity and long-term survival (P= 4.66 X 10(-6)) in PAH. MR detected an association between SMAD5 levels and PAH disease susceptibility (odds ratio, 0.317; 95% confidence interval, 0.129-0.776; P = 0.012). Conclusions: A whole-blood RNA signature of PAH, which includes RNAs relevant to disease pathogenesis, associates with disease severity and identifies patients with poor clinical outcomes. Genetic variants associated with lower SMAD5 expression may increase susceptibility to PAH.</t>
  </si>
  <si>
    <t>[Rhodes, Christopher J.; Otero-Nunez, Pablo; Wharton, John; Harbaum, Lars; Howard, Luke S.; Wort, Stephen J.; Wilkins, Martin R.] Imperial Coll London, Natl Heart &amp; Lung Inst, London, England; [Swietlik, Emilia M.; Toshner, Mark; Graf, Stefan; Morrell, Nicholas W.] Univ Cambridge, Dept Med, Cambridge, England; [Kariotis, Sokratis; Errington, Niamh; Wang, Dennis] Univ Sheffield, Sheffield Inst Translat Neurosci, Sheffield, S Yorkshire, England; [Kariotis, Sokratis; Errington, Niamh; Thompson, A. A. Roger; Iremonger, James; Kiely, David G.; Lawrie, Allan] Univ Sheffield, Dept Infect Immun &amp; Cardiovasc Dis, Sheffield, S Yorkshire, England; [Dunning, Mark J.; Wang, Dennis] Univ Sheffield, Sheffield Bioinformat Core, Sheffield, S Yorkshire, England; [Elinoff, Jason M.] NIH, Dept Crit Care Med, Clin Ctr, Bethesda, MD 20892 USA; [Coghlan, J. Gerry] UCL, London, England; [Corris, Paul A.] Newcastle Univ, Newcastle, NSW, Australia; [Church, Colin] Univ Glasgow, Glasgow, Lanark, Scotland; [Pepke-Zaba, Joanna; Toshner, Mark] Royal Papworth Hosp, Cambridge, England; [Desai, Ankit A.] Indiana Univ, Indianapolis, IN 46204 USA; [Humbert, Marc] Univ Paris Saclay, Fac Med, Univ Paris Sud, Le Kremlin Bicetre, France; [Humbert, Marc] Hop Bicetre, AP HP, Serv Pneumol, Le Kremlin Bicetre, France; [Humbert, Marc] Hop Marie Lannelongue, INSERM, UMR S 999, Le Plessis Robinson, France; [Nichols, William C.] Univ Cincinnati, Coll Med, Cincinnati Childrens Hosp Med Ctr, Div Human Genet,Dept Pediat, Cincinnati, OH USA; [Southgate, Laura] St Georges Univ London, Mol &amp; Clin Sci Res Inst, London, England; [Tregouet, David-Alexandre] Univ Bordeaux, Bordeaux Populat Hlth Res Ctr, INSERM, UMR S 1219, Bordeaux, France; [Trembath, Richard C.] Kings Coll London, Div Genet &amp; Mol Med, London, England; [Prokopenko, Inga] Univ Surrey, Dept Clin &amp; Expt Med, Guildford, Surrey, England; [Graf, Stefan] NIHR BioResource Translat Res, Cambridge, England</t>
  </si>
  <si>
    <t>Imperial College London; University of Cambridge; University of Sheffield; University of Sheffield; University of Sheffield; National Institutes of Health (NIH) - USA; NIH Clinical Center (CC); University of London; University College London; University of Newcastle; University of Glasgow; Papworth Hospital; Indiana University System; Indiana University Indianapolis; Universite Paris Saclay; Assistance Publique Hopitaux Paris (APHP); Hopital Universitaire Antoine-Beclere - APHP; Hopital Universitaire Bicetre - APHP; Universite Paris Saclay; Universite Paris Saclay; Institut National de la Sante et de la Recherche Medicale (Inserm); Hopital Marie Lannelongue; Cincinnati Children's Hospital Medical Center; University System of Ohio; University of Cincinnati; City St Georges, University of London; St Georges University London; Institut National de la Sante et de la Recherche Medicale (Inserm); Universite de Bordeaux; University of London; King's College London; University of Surrey</t>
  </si>
  <si>
    <t>Prokopenko, Inga/AAU-9895-2020; Pepke-Zaba, Joanna/AGW-3073-2022; Wilkins, Martin/ABH-1140-2021; Humbert, Marc/AAC-8459-2019; iremonger, james/HGU-8683-2022; Thompson, Roger/G-7397-2018; Wang, Dennis/JQW-1371-2023; Lawrie, Allan/A-2708-2012; Cardoso, Paulo/C-5768-2012; Tregouet, David-Alexandre/E-3961-2016; Howard, Luke/HJP-3415-2023; Southgate, Laura/H-7924-2019; Prokopenko, Inga/H-3241-2014</t>
  </si>
  <si>
    <t>Morrell, Nicholas/0000-0001-5700-9792; Kariotis, Sokratis/0000-0001-9993-6017; Errington, Niamh/0000-0001-6768-7394; Toshner, Mark/0000-0002-3969-6143; Church, Alistair/0000-0002-4446-0100; Tregouet, David-Alexandre/0000-0001-9084-7800; Rhodes, Christopher/0000-0002-4962-3204; Wharton, John/0000-0001-8110-2575; Dunning, Mark/0000-0002-8853-9435; Thompson, Roger/0000-0002-0717-4551; Otero-Nunez, Pablo/0000-0003-0972-7268; Southgate, Laura/0000-0002-2090-1450; Wang, Dennis/0000-0003-0068-1005; Iremonger, James/0000-0003-3953-8812; Prokopenko, Inga/0000-0003-1624-7457; Wilkins, Martin/0000-0003-3926-1171</t>
  </si>
  <si>
    <t>U.S. NIH/NHLBI; MRC [MR/K020919/1] Funding Source: UKRI</t>
  </si>
  <si>
    <t>U.S. NIH/NHLBI; MRC(UK Research &amp; Innovation (UKRI)Medical Research Council UK (MRC))</t>
  </si>
  <si>
    <t>The authors thank Dr. Robert L. Danner and Dr. Junfeng Sun at the NIH Clinical Center for their discussions and for sharing results from the blood transcriptome meta-analysis and Prof. Winston Hide at Beth Israel Deaconess Medical Center for his insights into analysis of RNAseq data sets. The authors thank National Institute for Health Research NIHR) BioResource volunteers for their participation and thank NIHR Biomedical Research centers and National Health Service (NHS) Trusts and staff for their contribution. The authors thank the NIHR Imperial Clinical Research Facility, NIHR Sheffield Biomedical Research Centre, and NHS Blood and Transplant. The authors also gratefully acknowledge the participation of patients recruited to the U.S. NIH/NHLBI-sponsored National Biological Sample and Data Repository for PAH (also known as PAH Biobank).</t>
  </si>
  <si>
    <t>AUG 15</t>
  </si>
  <si>
    <t>10.1164/rccm.202003-0510OC</t>
  </si>
  <si>
    <t>NE9UU</t>
  </si>
  <si>
    <t>Green Published, hybrid, Green Accepted</t>
  </si>
  <si>
    <t>WOS:000562950200021</t>
  </si>
  <si>
    <t>Combet, M; Pavot, A; Savale, L; Humbert, M; Monnet, X</t>
  </si>
  <si>
    <t>Combet, Margot; Pavot, Arthur; Savale, Laurent; Humbert, Marc; Monnet, Xavier</t>
  </si>
  <si>
    <t>Rapid onset honeycombing fibrosis in spontaneously breathing patient with COVID-19</t>
  </si>
  <si>
    <t>[Combet, Margot; Pavot, Arthur; Monnet, Xavier] Hop Bicetre, AP HP, Serv Med Intens Reanimat, 63 Rue Gabriel Peri, F-94275 Le Kremlin Bicetre, France; [Pavot, Arthur; Savale, Laurent; Humbert, Marc; Monnet, Xavier] Univ Paris Saclay, Fac Med, Le Kremlin Bicetre, France; [Savale, Laurent; Humbert, Marc] Hop Bicetre, AP HP, Ctr Reference Hypertens Pulm, Le Kremlin Bicetre, France; [Savale, Laurent; Humbert, Marc; Monnet, Xavier] Hop Marie Lannelongue, INSERM, UMR S 999, Le Plessis Robinson, France</t>
  </si>
  <si>
    <t>Assistance Publique Hopitaux Paris (APHP); Hopital Universitaire Antoine-Beclere - APHP; Universite Paris Saclay; Hopital Universitaire Bicetre - APHP; Universite Paris Saclay; Universite Paris Saclay; Assistance Publique Hopitaux Paris (APHP); Hopital Universitaire Bicetre - APHP; Hopital Universitaire Antoine-Beclere - APHP; Institut National de la Sante et de la Recherche Medicale (Inserm); Universite Paris Saclay; Hopital Marie Lannelongue</t>
  </si>
  <si>
    <t>Pavot, A (corresponding author), Hop Bicetre, AP HP, Serv Med Intens Reanimat, 63 Rue Gabriel Peri, F-94275 Le Kremlin Bicetre, France.</t>
  </si>
  <si>
    <t>pavot.arthur@gmail.com</t>
  </si>
  <si>
    <t>Mariette, Xavier/N-3743-2013; Savale, Laurent/AAJ-9781-2020; Humbert, Marc/AAC-8459-2019</t>
  </si>
  <si>
    <t>MONNET, Xavier/0000-0001-6820-2678; Humbert, Marc/0000-0003-0703-2892; PAVOT, Arthur/0000-0001-9602-1815; Combet, Margot/0000-0001-6956-8874; Savale, Laurent/0000-0002-6862-8975</t>
  </si>
  <si>
    <t>10.1183/13993003.01808-2020</t>
  </si>
  <si>
    <t>NW4AM</t>
  </si>
  <si>
    <t>WOS:000574951300026</t>
  </si>
  <si>
    <t>De Luca, D; Tissieres, P; Kneyber, MCJ; Humbert, M; Mercier, O</t>
  </si>
  <si>
    <t>De Luca, Daniele; Tissieres, Pierre; Kneyber, Martin C. J.; Humbert, Marc; Mercier, Olaf</t>
  </si>
  <si>
    <t>Lung transplantation in neonates and infants: ESPNIC survey of European neonatologists and pediatric intensivists</t>
  </si>
  <si>
    <t>Lung; Transplantation; Neonate; Infant</t>
  </si>
  <si>
    <t>Lung and heart &amp; lung transplantations in neonates and infants are extreme treatments offered for some life-threatening conditions especially in some North-American centers with promising results. These transplantations are rarely performed in Europe, and we set up a continent-based survey to describe the attitude of European neonatologists and pediatric intensivists on the subject and identify the main indications for this transplantation and the obstacles for the realization of a European lung transplantation program. Conclusion: The main indications for lung transplantation program for neonates and infants are represented by congenital disorders, and physicians indicate as main obstacles the donors' availability. European neonatologists and pediatric intensivists are interested to create a European network to overcome this problem and realize a lung transplantation program for neonates and infants.</t>
  </si>
  <si>
    <t>[De Luca, Daniele] Paris Saclay Univ Hosp, AP HP, A Beclere Med Ctr, Div Pediat &amp; Neonatal Crit Care, Paris, France; [De Luca, Daniele; Humbert, Marc; Mercier, Olaf] Paris Saclay Univ, INSERM U999, Physiopathol &amp; Therapeut Innovat Unit, Paris, France; [Tissieres, Pierre] Paris Saclay Univ Hosp, AP HP, Kremlin Bicetre Med Ctr, Div Pediat Crit Care, Paris, France; [Kneyber, Martin C. J.] Univ Groningen, Univ Med Ctr Groningen, Beatrix Childrens Hosp, Div Paediat Intens Care,Dept Paediat, Groningen, Netherlands; [Humbert, Marc] Paris Saclay Univ Hosp, AP HP, Kremlin Bicetre Med Ctr, Div Pneumol, Paris, France; [Mercier, Olaf] Marie Lannelongue Hosp, Dept Thorac &amp; Vasc Surg &amp; Heart &amp; Lung Transplant, Paris, France</t>
  </si>
  <si>
    <t>Assistance Publique Hopitaux Paris (APHP); Hopital Universitaire Antoine-Beclere - APHP; Hopital Universitaire Bicetre - APHP; Institut National de la Sante et de la Recherche Medicale (Inserm); Universite Paris Saclay; Assistance Publique Hopitaux Paris (APHP); Hopital Universitaire Bicetre - APHP; University of Groningen; Assistance Publique Hopitaux Paris (APHP); Hopital Universitaire Bicetre - APHP; Hopital Marie Lannelongue</t>
  </si>
  <si>
    <t>De Luca, D (corresponding author), Paris Saclay Univ Hosp, AP HP, A Beclere Med Ctr, Div Pediat &amp; Neonatal Crit Care, Paris, France.;De Luca, D (corresponding author), Paris Saclay Univ, INSERM U999, Physiopathol &amp; Therapeut Innovat Unit, Paris, France.</t>
  </si>
  <si>
    <t>dm.deluca@icloud.com; pierre.tissiems@aphp.fr; m.c.j.kneyber@umcg.nl; mjc.humbert@gmail.com; olaf.mercier@gmail.com</t>
  </si>
  <si>
    <t>Kneyber, Martin/AAV-8437-2020; Humbert, Marc/AAC-8459-2019</t>
  </si>
  <si>
    <t>Kneyber, Martin/0000-0002-6008-3376; De Luca, Daniele/0000-0002-3846-4834</t>
  </si>
  <si>
    <t>10.1007/s00431-020-03742-0</t>
  </si>
  <si>
    <t>JUL 2020</t>
  </si>
  <si>
    <t>PO2DL</t>
  </si>
  <si>
    <t>WOS:000550607400001</t>
  </si>
  <si>
    <t>Le Ribeuz, H; Courboulin, A; Ghigna, MR; Lambert, M; Hautefort, A; Humbert, M; Montani, D; Cohen-Kaminsky, S; Perros, F; Antigny, F</t>
  </si>
  <si>
    <t>Le Ribeuz, Helene; Courboulin, Audrey; Ghigna, Maria-Rosa; Lambert, Melanie; Hautefort, Aurelie; Humbert, Marc; Montani, David; Cohen-Kaminsky, Sylvia; Perros, Frederic; Antigny, Fabrice</t>
  </si>
  <si>
    <t>In vivo miR-138-5p inhibition alleviates monocrotaline-induced pulmonary hypertension and normalizes pulmonary KCNK3 and SLC45A3 expression</t>
  </si>
  <si>
    <t>miR-138; PAH; KCNK3; Proliferation; SLC45A3</t>
  </si>
  <si>
    <t>SMOOTH-MUSCLE-CELLS; DOWN-REGULATION; UP-REGULATION; MICRORNA-138; PROLIFERATION; CONTRIBUTES; CHANNEL</t>
  </si>
  <si>
    <t>BackgroundThe pathogenesis of pulmonary arterial hypertension (PAH) involves many signalling pathways. MicroRNAs are potential candidates involved in simultaneously coordinating multiple genes under such multifactorial conditions.Methods and resultsMiR-138-5p is overexpressed in pulmonary arterial smooth muscle cells (PASMCs) from PAH patients and in lungs from rats with monocrotaline-induced pulmonary hypertension (MCT-PH). MiR-138-5p is predicted to regulate the expression of the potassium channel KCNK3, whose loss is associated with the development and progression of PAH. We hypothesized that, in vivo, miR-138-5p inhibition would restore KCNK3 lung expression and subsequently alleviate PAH.Nebulization-based delivery of anti-miR-138-5p to rats with established MCT-PH significantly reduced the right ventricular systolic pressure and significantly improved the pulmonary arterial acceleration time (PAAT). These haemodynamic improvements were related to decrease pulmonary vascular remodelling, lung inflammation and pulmonary vascular cell proliferation in situ. In vivo inhibition of miR-138-5p restored KCNK3 mRNA expression and SLC45A3 protein expression in the lungs.ConclusionsWe confirmed that in vivo inhibition of miR-138-5p reduces the development of PH in experimental MCT-PH. The possible curative mechanisms involve at least the normalization of lung KCNK3 as well as SLC45A3 expression.</t>
  </si>
  <si>
    <t>[Le Ribeuz, Helene; Courboulin, Audrey; Ghigna, Maria-Rosa; Lambert, Melanie; Hautefort, Aurelie; Humbert, Marc; Montani, David; Cohen-Kaminsky, Sylvia; Perros, Frederic; Antigny, Fabrice] Univ Paris Saclay, Fac Med, Le Kremlin Bicetre, France; [Le Ribeuz, Helene; Courboulin, Audrey; Ghigna, Maria-Rosa; Lambert, Melanie; Hautefort, Aurelie; Humbert, Marc; Montani, David; Cohen-Kaminsky, Sylvia; Perros, Frederic; Antigny, Fabrice] Hop Marie Lannelongue, INSERM, UMR S 999, Hypertens Pulmonaire Physiopathol &amp; Innovat Thera, Le Plessis Robinson, France; [Le Ribeuz, Helene; Courboulin, Audrey; Ghigna, Maria-Rosa; Lambert, Melanie; Hautefort, Aurelie; Humbert, Marc; Montani, David; Cohen-Kaminsky, Sylvia; Perros, Frederic; Antigny, Fabrice] Hop Bicetre, AP HP, Ctr Reference Hypertens Pulmonaire, Serv Pneumol &amp; Soins Intensifs Resp, Le Kremlin Bicetre, France</t>
  </si>
  <si>
    <t>Universite Paris Saclay; Hopital Marie Lannelongue; Institut National de la Sante et de la Recherche Medicale (Inserm); Universite Paris Saclay; Assistance Publique Hopitaux Paris (APHP); Hopital Universitaire Bicetre - APHP; Hopital Universitaire Antoine-Beclere - APHP; Universite Paris Saclay</t>
  </si>
  <si>
    <t>Antigny, F (corresponding author), Univ Paris Saclay, Fac Med, Le Kremlin Bicetre, France.;Antigny, F (corresponding author), Hop Marie Lannelongue, INSERM, UMR S 999, Hypertens Pulmonaire Physiopathol &amp; Innovat Thera, Le Plessis Robinson, France.;Antigny, F (corresponding author), Hop Bicetre, AP HP, Ctr Reference Hypertens Pulmonaire, Serv Pneumol &amp; Soins Intensifs Resp, Le Kremlin Bicetre, France.</t>
  </si>
  <si>
    <t>antignyfabrice@gmail.com</t>
  </si>
  <si>
    <t>Humbert, Marc/AAC-8459-2019; David, Montani/I-6885-2019; Antigny, Fabrice/Q-3999-2018; Perros, Frederic/N-6921-2017; Cohen-Kaminsky, Sylvia/E-4837-2014</t>
  </si>
  <si>
    <t>Antigny, Fabrice/0000-0002-9515-6571; Montani, David/0000-0002-9358-6922; Perros, Frederic/0000-0001-7730-2427; Le Ribeuz, Helene/0000-0002-6579-6076; Cohen-Kaminsky, Sylvia/0000-0002-6341-7482; Ghigna, Maria Rosa/0000-0001-5996-665X</t>
  </si>
  <si>
    <t>Fondation du Souffle et Fonds de Dotation Recherche en Sante Respiratoire; Fondation Lefoulon-Delalande; Fondation Legs Poix; National Funding Agency for Research [ANR-18-CE14-0023]; Therapeutic Innovation Doctoral School [ED569]; Agence Nationale de la Recherche (ANR) [ANR-18-CE14-0023] Funding Source: Agence Nationale de la Recherche (ANR)</t>
  </si>
  <si>
    <t>Fondation du Souffle et Fonds de Dotation Recherche en Sante Respiratoire; Fondation Lefoulon-Delalande; Fondation Legs Poix; National Funding Agency for Research; Therapeutic Innovation Doctoral School; Agence Nationale de la Recherche (ANR)(Agence Nationale de la Recherche (ANR))</t>
  </si>
  <si>
    <t>F.A. receives funding from the Fondation du Souffle et Fonds de Dotation Recherche en Sante Respiratoire, from the Fondation Lefoulon-Delalande and from the Fondation Legs Poix. F.A. also received funding from the National Funding Agency for Research: ANR-18-CE14-0023. H.L.R. is supported by ANR-18-CE14-0023. M.L. is supported by Therapeutic Innovation Doctoral School (ED569).</t>
  </si>
  <si>
    <t>10.1186/s12931-020-01444-7</t>
  </si>
  <si>
    <t>MP7JZ</t>
  </si>
  <si>
    <t>WOS:000552379000002</t>
  </si>
  <si>
    <t>Ghofrani, Hossein-Ardeschir; Gruenig, Ekkehard; Jansa, Pavel; Langleben, David; Rosenkranz, Stephan; Preston, Ioana R.; Rahaghi, Franck; Sood, Namita; Busse, Dennis; Meier, Christian; Humbert, Marc</t>
  </si>
  <si>
    <t>Efficacy and safety of riociguat in combination therapy for patients with pulmonary arterial hypertension (PATENT studies)</t>
  </si>
  <si>
    <t>hypertension; pulmonary; hemodynamics; soluble guanylyl cyclase; prostaglandins; endothelin receptor antagonists</t>
  </si>
  <si>
    <t>LONG-TERM EXTENSION; SURVIVAL</t>
  </si>
  <si>
    <t>Many patients with pulmonary arterial hypertension do not achieve treatment goals with monotherapy, and therefore combination therapy is becoming the standard of care. The soluble guanylate cyclase stimulator riociguat is licensed for the treatment of pulmonary arterial hypertension; here we present findings from patients who were receiving combined riociguat plus endothelin receptor antagonists or non-intravenous prostanoids in the randomized, placebo-controlled PATENT-1 study and its open-label extension (PATENT-2). Moreover, we include new data from patients receiving early sequential combination therapy (three to six months of endothelin receptor antagonist treatment) or long-term background endothelin receptor antagonist therapy (&gt;6 months). Patients were randomized to riociguat 2.5 mg-maximum (N = 131 pretreated patients) and placebo (N = 60 pretreated patients). Riociguat improved 6-min walking distance (PATENT-1 primary endpoint), functional capacity, and hemodynamics after 12 weeks in pretreated patients. The placebo-corrected changes in 6-min walking distance were +24 m in endothelin receptor antagonist-pretreated patients and +106 m in the small group of prostanoid-pretreated patients. In the early sequential combination and long-term background endothelin receptor antagonist groups, the placebo-corrected changes in 6-min walking distance were +65 m (95% CI: 17 to 113 m) and +13 m (95% CI: -8 to 33 m), respectively. In conclusion, these data suggest that early sequential combination of an endothelin receptor antagonist plus riociguat is a feasible treatment option. Both early sequential therapy and long-term background endothelin receptor antagonist plus riociguat were well tolerated in the PATENT studies.</t>
  </si>
  <si>
    <t>[Ghofrani, Hossein-Ardeschir] Univ Giessen, Giessen, Germany; [Ghofrani, Hossein-Ardeschir] Marburg Lung Ctr, Giessen, Germany; [Ghofrani, Hossein-Ardeschir] German Ctr Lung Res, Giessen, Germany; [Ghofrani, Hossein-Ardeschir] Imperial Coll London, Dept Med, London, England; [Gruenig, Ekkehard] Univ Hosp Heidelberg, Ctr Pulm Hypertens, Thoraxklin, Heidelberg, Germany; [Gruenig, Ekkehard] German Ctr Lung Res DZL, Heidelberg, Germany; [Jansa, Pavel] Charles Univ Prague, Fac Med 1, Prague, Czech Republic; [Jansa, Pavel] Charles Univ Prague, Gen Teaching Hosp, Prague, Czech Republic; [Langleben, David] McGill Univ, Ctr Pulm Vasc Dis, Jewish Gen Hosp, Montreal, PQ, Canada; [Langleben, David] McGill Univ, Lady Davis Inst, Jewish Gen Hosp, Montreal, PQ, Canada; [Rosenkranz, Stephan] Univ Cologne, Klin Innere Med 3, Cologne, Germany; [Preston, Ioana R.] Tufts Univ, Sch Med, Tufts Med Ctr, Pulm Crit Care &amp; Sleep Div, Boston, MA 02111 USA; [Rahaghi, Franck] Cleveland Clin Florida, Dept Pulm &amp; Crit Care Med, Weston, FL USA; [Sood, Namita] Ohio State Univ, Lung Ctr, Columbus, OH 43210 USA; [Busse, Dennis] Chrestos Concept GmbH &amp; Co KG, Essen, Germany; [Meier, Christian] Bayer AG, Berlin, Germany; [Humbert, Marc] Univ Paris Sud, Hop Bicetre, Assistance Publ Hop Paris, Serv Pneumol,Lab Excellence Rech Med &amp; Innovat Th, Le Kremlin Bicetre, France; [Humbert, Marc] INSERM, Unite 999, Le Kremlin Bicetre, France</t>
  </si>
  <si>
    <t>Justus Liebig University Giessen; Imperial College London; Ruprecht Karls University Heidelberg; Charles University Prague; Charles University Prague; General University Hospital Prague; McGill University; Lady Davis Institute; McGill University; University of Cologne; Tufts Medical Center; Tufts University; Cleveland Clinic Foundation; University System of Ohio; Ohio State University; Bayer AG; Assistance Publique Hopitaux Paris (APHP); Universite Paris Cite; Hopital Universitaire Saint-Louis - APHP; Hopital Universitaire Antoine-Beclere - APHP; Hopital Universitaire Bicetre - APHP; Universite Paris Saclay; Institut National de la Sante et de la Recherche Medicale (Inserm)</t>
  </si>
  <si>
    <t>Ghofrani, HA (corresponding author), Univ Hosp Giessen &amp; Marburg, Dept Internal Med, Med Clin 2 5, Klin Str 33, D-35392 Giessen, Germany.</t>
  </si>
  <si>
    <t>Ardeschir.Ghofrani@innere.med.uni-giessen.de</t>
  </si>
  <si>
    <t>Ghofrani, Hossein/LPQ-1427-2024; Rahaghi, Franck/AAK-1584-2021; Sood, Namita/E-4124-2011; Jansa, Pavel/O-2302-2017; Humbert, Marc/AAC-8459-2019</t>
  </si>
  <si>
    <t>Preston, Ioana/0000-0002-1378-7362</t>
  </si>
  <si>
    <t>10.1177/2045894020942121</t>
  </si>
  <si>
    <t>MR8DG</t>
  </si>
  <si>
    <t>WOS:000553820800001</t>
  </si>
  <si>
    <t>Huertas, A; Montani, D; Savale, L; Pichon, J; Tu, L; Parent, F; Guignabert, C; Humbert, M</t>
  </si>
  <si>
    <t>Huertas, Alice; Montani, David; Savale, Laurent; Pichon, Jeremie; Tu, Ly; Parent, Florence; Guignabert, Christophe; Humbert, Marc</t>
  </si>
  <si>
    <t>Endothelial cell dysfunction: a major player in SARS-CoV-2 infection (COVID-19)?</t>
  </si>
  <si>
    <t>FUNCTIONAL RECEPTOR; AMINOPEPTIDASE-N; CORONAVIRUS; ANTIBODIES; PNEUMONIA</t>
  </si>
  <si>
    <t>[Huertas, Alice; Montani, David; Savale, Laurent; Pichon, Jeremie; Tu, Ly; Parent, Florence; Guignabert, Christophe; Humbert, Marc] Univ Paris Saclay, Sch Med, Le Kremlin Bicetre, France; [Huertas, Alice; Montani, David; Savale, Laurent; Pichon, Jeremie; Tu, Ly; Parent, Florence; Guignabert, Christophe; Humbert, Marc] Hop Marie Lannelongue, INSERM, UMR S 999, Pulm Hypertens Pathophysiol &amp; Novel Therapies, Le Plessis Robinson, France; [Huertas, Alice; Montani, David; Savale, Laurent; Pichon, Jeremie; Parent, Florence; Humbert, Marc] Hop Bicetre, AP HP, Pulm Hypertens Natl Referral Ctr, Dept Resp &amp; Intens Care Med, Le Kremlin Bicetre, France</t>
  </si>
  <si>
    <t>Universite Paris Saclay; Institut National de la Sante et de la Recherche Medicale (Inserm); Universite Paris Saclay; Hopital Marie Lannelongue; Universite Paris Saclay; Assistance Publique Hopitaux Paris (APHP); Hopital Universitaire Bicetre - APHP; Hopital Universitaire Antoine-Beclere - APHP</t>
  </si>
  <si>
    <t>Huertas, A (corresponding author), Hop Marie Lannelongue, INSERM, UMR S 999, 133 Ave Resistance, F-92350 Le Plessis Robinson, France.</t>
  </si>
  <si>
    <t>David, Montani/I-6885-2019; Savale, Laurent/AAJ-9781-2020; GUIGNABERT, Christophe/G-3873-2013; Humbert, Marc/AAC-8459-2019; TU, Ly/G-4035-2013; Huertas, Alice/E-8244-2017</t>
  </si>
  <si>
    <t>Montani, David/0000-0002-9358-6922; GUIGNABERT, Christophe/0000-0002-8545-4452; Humbert, Marc/0000-0003-0703-2892; TU, Ly/0000-0003-2336-5099; Savale, Laurent/0000-0002-6862-8975; Huertas, Alice/0000-0001-8545-747X</t>
  </si>
  <si>
    <t>10.1183/13993003.01634-2020</t>
  </si>
  <si>
    <t>NW3XZ</t>
  </si>
  <si>
    <t>WOS:000574944800048</t>
  </si>
  <si>
    <t>Jones, C; Bisserier, M; Bueno-Beti, C; Bonnet, G; Neves-Zaph, S; Lee, SY; Milara, J; Dorfmüller, P; Humbert, M; Leopold, JA; Hadri, L; Hajjar, RJ; Sassi, Y</t>
  </si>
  <si>
    <t>Jones, Carly; Bisserier, Malik; Bueno-Beti, Carlos; Bonnet, Guillaume; Neves-Zaph, Susana; Lee, Sang-Yong; Milara, Javier; Dorfmuller, Peter; Humbert, Marc; Leopold, Jane A.; Hadri, Lahouaria; Hajjar, Roger J.; Sassi, Yassine</t>
  </si>
  <si>
    <t>A novel secreted-cAMP pathway inhibits pulmonary hypertension via a feed-forward mechanism</t>
  </si>
  <si>
    <t>Pulmonary hypertension; Cyclic nucleotides; Extracellular cAMP; Vascular signalling</t>
  </si>
  <si>
    <t>AMP-ADENOSINE PATHWAY; CYCLIC-AMP; PHOSPHORYLATED CREB; EXTRACELLULAR CAMP; ACTIVATION; PHOSPHODIESTERASE; PROLIFERATION; GMP; P53; ACCUMULATION</t>
  </si>
  <si>
    <t>Aims Cyclic adenosine monophosphate (cAMP) is the predominant intracellular second messenger that transduces signals from Gs-coupled receptors. Intriguingly, there is evidence from various cell types that an extracellular cAMP pathway is active in the extracellular space. Herein, we investigated the role of extracellular cAMP in the lung and examined whether it may act on pulmonary vascular cell proliferation and pulmonary vasculature remodelling in the pathogenesis of pulmonary hypertension (PH). Methods and results The expression of cyclic AMP-metabolizing enzymes was increased in lungs from patients with PH as well as in rats treated with monocrotaline and mice exposed to Sugen/hypoxia. We report that inhibition of the endogenous extracellular cAMP pathway exacerbated Sugen/hypoxia-induced lung remodelling. We found that application of extracellular cAMP induced an increase in intracellular cAMP levels and inhibited proliferation and migration of pulmonary vascular cells in vitro. Extracellular cAMP infusion in two in vivo PH models prevented and reversed pulmonary and cardiac remodelling associated with PH. Using protein expression analysis along with luciferase assays, we found that extracellular cAMP acts via the A(2)R/PKA/CREB/p53/Cyclin D1 pathway. Conclusions Taken together, our data reveal the presence of an extracellular cAMP pathway in pulmonary arteries that attempts to protect the lung during PH, and suggest targeting of the extracellular cAMP signalling pathway to limit pulmonary vascular remodelling and PH.</t>
  </si>
  <si>
    <t>[Jones, Carly; Bisserier, Malik; Bueno-Beti, Carlos; Bonnet, Guillaume; Hadri, Lahouaria; Sassi, Yassine] Icahn Sch Med Mt Sinai, Cardiovasc Res Ctr, One Gustave L Levy Pl,Box 1030, New York, NY 10029 USA; [Neves-Zaph, Susana] Icahn Sch Med Mt Sinai, Dept Pharmacol Sci, One Gustave Levy Pl, New York, NY 10029 USA; [Neves-Zaph, Susana] Icahn Sch Med Mt Sinai, Syst Biol Ctr, One Gustave Levy Pl, New York, NY 10029 USA; [Lee, Sang-Yong] Univ Bonn, Pharmazeut Chem 1, Pharmazeut Inst, Pharma Zentrum Bonn, Bonn, Germany; [Milara, Javier] Hlth Res Inst INCLIVA, Valencia, Spain; [Milara, Javier] Univ Clin Hosp, Pharm Unit, Valencia, Spain; [Milara, Javier] Hlth Inst Carlos III, CIBERES, Valencia, Spain; [Dorfmuller, Peter; Humbert, Marc] Univ Paris Sud, Univ Paris Saclay, Fac Med, Le Kremlin Bicetre, France; [Dorfmuller, Peter; Humbert, Marc] Hop Bicetre, AP HP, Serv Pneumol, Le Kremlin Bicetre, France; [Dorfmuller, Peter; Humbert, Marc] Hop Marie Lannelongue, INSERM UMR S 999, Le Plessis Robinson, France; [Leopold, Jane A.] Harvard Med Sch, Brigham &amp; Womens Hosp, Boston, MA 02115 USA; [Hajjar, Roger J.] Phospholamban Fdn, Amsterdam, Netherlands</t>
  </si>
  <si>
    <t>Icahn School of Medicine at Mount Sinai; Icahn School of Medicine at Mount Sinai; Icahn School of Medicine at Mount Sinai; University of Bonn; CIBER - Centro de Investigacion Biomedica en Red; CIBERES; Universite Paris Saclay; Assistance Publique Hopitaux Paris (APHP); Hopital Universitaire Antoine-Beclere - APHP; Hopital Universitaire Bicetre - APHP; Universite Paris Saclay; Universite Paris Saclay; Institut National de la Sante et de la Recherche Medicale (Inserm); Hopital Marie Lannelongue; Harvard University; Harvard University Medical Affiliates; Brigham &amp; Women's Hospital; Harvard Medical School</t>
  </si>
  <si>
    <t>Sassi, Y (corresponding author), Icahn Sch Med Mt Sinai, Cardiovasc Res Ctr, One Gustave L Levy Pl,Box 1030, New York, NY 10029 USA.</t>
  </si>
  <si>
    <t>yassine.sassi@mssm.edu</t>
  </si>
  <si>
    <t>Hadri, Lahouaria/AAP-6415-2020; Beti, Carlos/AAP-2082-2020; Bisserier, Malik/AAI-3730-2021; Humbert, Marc/AAC-8459-2019</t>
  </si>
  <si>
    <t>Sassi, Yassine/0000-0002-7807-1728; Humbert, Marc/0000-0003-0703-2892; Hadri, Lahouaria/0000-0001-8108-7993; Bueno-Beti, Carlos/0000-0003-4626-1276; Dorfmuller, Peter/0000-0003-2499-6829; Bisserier, Malik/0000-0001-8826-4649; MILARA, JAVIER/0000-0001-6033-4211</t>
  </si>
  <si>
    <t>American Heart Association [17SDG33370112, 18IPA34170258]; National Institutes of Health [K01 HL135474, R01HL133554]; Spanish funding FIS [PI17/02158, CIBERES-CB06/06/0027, JR18/00050]; French Federation of Cardiology; American Heart Association (AHA) [17SDG33370112, 18IPA34170258] Funding Source: American Heart Association (AHA)</t>
  </si>
  <si>
    <t>American Heart Association(American Heart Association); National Institutes of Health(United States Department of Health &amp; Human ServicesNational Institutes of Health (NIH) - USA); Spanish funding FIS; French Federation of Cardiology; American Heart Association (AHA)(American Heart Association)</t>
  </si>
  <si>
    <t>This work was supported by grants from the American Heart Association (17SDG33370112, 18IPA34170258 to Y.S.), from the National Institutes of Health (K01 HL135474 to Y.S., R01HL133554 to L.H.), and from Spanish funding FIS (PI17/02158, CIBERES-CB06/06/0027, and JR18/00050 to J.M.). G.B. was supported by the French Federation of Cardiology.</t>
  </si>
  <si>
    <t>10.1093/cvr/cvz244</t>
  </si>
  <si>
    <t>MN8FW</t>
  </si>
  <si>
    <t>Bronze, Green Accepted, Green Published</t>
  </si>
  <si>
    <t>WOS:000551078800019</t>
  </si>
  <si>
    <t>Manaud, G; Nossent, EJ; Lambert, M; Ghigna, MR; Boët, A; Vinhas, MC; Ranchoux, B; Dumas, SJ; Courboulin, A; Girerd, B; Soubrier, F; Bignard, J; Claude, O; Lecerf, F; Hautefort, A; Florio, M; Sun, BH; Nadaud, S; Verleden, SE; Remy, S; Anegon, I; Bogaard, HJ; Mercier, O; Fadel, E; Simonneau, G; Noordegraaf, AV; Grünberg, K; Humbert, M; Montani, D; Dorfmüller, P; Antigny, F; Perros, F</t>
  </si>
  <si>
    <t>Manaud, Gregoire; Nossent, Esther J.; Lambert, Melanie; Ghigna, Maria-Rosa; Boet, Angele; Vinhas, Maria-Candida; Ranchoux, Benoit; Dumas, Sebastien J.; Courboulin, Audrey; Girerd, Barbara; Soubrier, Florent; Bignard, Juliette; Claude, Olivier; Lecerf, Florence; Hautefort, Aurelie; Florio, Monica; Sun, Banghua; Nadaud, Sophie; Verleden, Stijn E.; Remy, Severine; Anegon, Ignacio; Bogaard, Harm Jan; Mercier, Olaf; Fadel, Elie; Simonneau, Gerald; Noordegraaf, Anton Vonk; Grunberg, Katrien; Humbert, Marc; Montani, David; Dorfmueller, Peter; Antigny, Fabrice; Perros, Frederic</t>
  </si>
  <si>
    <t>Comparison of Human and Experimental Pulmonary Veno-Occlusive Disease</t>
  </si>
  <si>
    <t>pulmonary hypertension; pulmonary veno-occlusive disease; GCN2; SMAD signaling; BMPR-II</t>
  </si>
  <si>
    <t>NONDEREPRESSIBLE 2 GCN2; HEME OXYGENASE; CELL-PROLIFERATION; ACTIVATION; HYPERTENSION; INHIBITION; ERG; PHOSPHORYLATION; INDUCTION; RESPONSES</t>
  </si>
  <si>
    <t>Pulmonary veno-occlusive disease (PVOD) occurs in humans either as a heritable form (hPVOD) due to biallelic inactivating mutations of EIF2AK4 (encoding GCN2) or as a sporadic form in older age (sPVOD). The chemotherapeutic agent mitomycin C (MMC) is a potent inducer of PVOD in humans and in rats (MMC-PVOD). Here, we compared human hPVOD and sPVOD, and MMC-PVOD pathophysiology at the histological, cellular, and molecular levels to unravel common altered pathomechanisms. MMC exposure in rats was associated primarily with arterial and microvessel remodeling, and secondarily by venous remodeling, when PVOD became symptomatic. In all forms of PVOD tested, there was convergent GCN2-dependent but eIF2 alpha-independent pulmonary protein overexpression of HO-1 (heme oxygenase 1) and CHOP (CCAAT-enhancer-binding protein [C/EBP] homologous protein), two downstream effectors of GCN2 signaling and endoplasmic reticulum stress. In human PVOD samples, CHOP immunohistochemical staining mainly labeled endothelial cells in remodeled veins and arteries. Strong HO-1 staining was observed only within capillary hemangiomatosis foci, where intense microvascular proliferation occurs. HO-1 and CHOP stainings were not observed in control and pulmonary arterial hypertension lung tissues, supporting the specificity for CHOP and HO-1 involvement in PVOD pathobiology. In vivo loss of GCN2 (EIF2AK4 mutations carriers and Eif2ak4(-/-) rats) or in vitro GCN2 inhibition in cultured pulmonary artery endothelial cells using pharmacological and siRNA approaches demonstrated that GCN2 loss of function negatively regulates BMP (bone morphogenetic protein)dependent SMAD1/5/9 signaling. Exogenous BMP9 was still able to reverse GCN2 inhibition-induced proliferation of pulmonary artery endothelial cells. In conclusion, we identified CHOP and HO-1 inhibition, and BMP9, as potential therapeutic options for PVOD.</t>
  </si>
  <si>
    <t>[Manaud, Gregoire; Lambert, Melanie; Ranchoux, Benoit; Dumas, Sebastien J.; Courboulin, Audrey; Girerd, Barbara; Lecerf, Florence; Hautefort, Aurelie; Mercier, Olaf; Fadel, Elie; Simonneau, Gerald; Humbert, Marc; Montani, David; Dorfmueller, Peter; Antigny, Fabrice; Perros, Frederic] Univ Paris Saclay, Fac Med, Le Kremlin Bicetre, France; [Manaud, Gregoire; Lambert, Melanie; Ranchoux, Benoit; Dumas, Sebastien J.; Courboulin, Audrey; Girerd, Barbara; Lecerf, Florence; Hautefort, Aurelie; Mercier, Olaf; Fadel, Elie; Simonneau, Gerald; Humbert, Marc; Montani, David; Dorfmueller, Peter; Antigny, Fabrice; Perros, Frederic] Hop Bicetre, AP HP, Ctr Reference Hypertens Pulm, Serv Pneumol &amp; Reanimat Resp, Le Kremlin Bicetre, France; [Manaud, Gregoire; Lambert, Melanie; Ranchoux, Benoit; Dumas, Sebastien J.; Courboulin, Audrey; Girerd, Barbara; Lecerf, Florence; Hautefort, Aurelie; Mercier, Olaf; Fadel, Elie; Simonneau, Gerald; Humbert, Marc; Montani, David; Dorfmueller, Peter; Antigny, Fabrice; Perros, Frederic] INSERM, UMRS 999, Le Plessis Robinson, France; [Manaud, Gregoire; Lambert, Melanie; Ranchoux, Benoit; Dumas, Sebastien J.; Courboulin, Audrey; Girerd, Barbara; Lecerf, Florence; Hautefort, Aurelie; Mercier, Olaf; Fadel, Elie; Simonneau, Gerald; Humbert, Marc; Montani, David; Dorfmueller, Peter; Antigny, Fabrice; Perros, Frederic] Univ Paris Saclay, Lab Excellence Rech Medicament &amp; Innovat Therapeu, Le Plessis Robinson, France; [Mercier, Olaf; Fadel, Elie] Hop Marie Lannelongue, Serv Chirurg Thorac, Le Plessis Robinson, France; [Nossent, Esther J.; Bogaard, Harm Jan; Noordegraaf, Anton Vonk; Grunberg, Katrien] Vrije Univ Amsterdam, Amsterdam Cardiovasc Sci, Pulm Med, Amsterdam UMC, Amsterdam, Netherlands; [Ghigna, Maria-Rosa; Dorfmueller, Peter] Hop Marie Lannelongue, Dept Pathol, Le Plessis Robinson, France; [Boet, Angele; Vinhas, Maria-Candida] Hop Marie Lannelongue, Dept Res, Le Plessis Robinson, France; [Soubrier, Florent; Bignard, Juliette; Claude, Olivier; Nadaud, Sophie] Pierre &amp; Marie Curie Univ Paris 06, INSERM, UMR S 956, Paris, France; [Florio, Monica; Sun, Banghua] Amgen Inc, Amgen Res, Cardiometab Disorders, Thousand Oaks, CA 91320 USA; [Verleden, Stijn E.] Katholieke Univ Leuven, Lab Resp Dis &amp; Thorac Surg, Dept Chron Dis Metab &amp; Ageing, Leuven, Belgium; [Remy, Severine; Anegon, Ignacio] INSERM, UMR 1064, Ctr Res Transplantat &amp; Immunol ITUN, Nantes, France; [Remy, Severine; Anegon, Ignacio] INSERM, UMR 1064, Transgen Rats &amp; Immunophen Platform, Nantes, France; [Dorfmueller, Peter] Univ Giessen, Dept Pathol, Giessen, Germany; [Dorfmueller, Peter] Justus Liebig Univ Giessen, Marburg Lung Ctr, German Ctr Lung Res, Giessen, Germany</t>
  </si>
  <si>
    <t>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 University of Amsterdam; Vrije Universiteit Amsterdam; Hopital Marie Lannelongue; Hopital Marie Lannelongue; Institut National de la Sante et de la Recherche Medicale (Inserm); Sorbonne Universite; Amgen; KU Leuven; Institut National de la Sante et de la Recherche Medicale (Inserm); Institut National de la Sante et de la Recherche Medicale (Inserm); Justus Liebig University Giessen; Justus Liebig University Giessen</t>
  </si>
  <si>
    <t>Perros, F (corresponding author), Hop Marie Lannelongue, INSERM, U999, 133 Ave Resistance, F-92350 Le Plessis Robinson, France.</t>
  </si>
  <si>
    <t>Anegon, Ignacio/I-7760-2018; Dumas, Sébastien/AAA-2056-2021; Ranchoux, Benoît/AAX-6037-2020; Humbert, Marc/AAC-8459-2019; David, Montani/I-6885-2019; Simonneau, Gerald/ABE-6614-2020; Nadaud, Sophie/A-7063-2013; Grunberg, Katrien/M-9715-2015; Perros, Frederic/N-6921-2017; Antigny, Fabrice/Q-3999-2018</t>
  </si>
  <si>
    <t>Montani, David/0000-0002-9358-6922; Boet, Angele/0000-0003-1510-3347; claude, olivier/0000-0001-7692-3395; Dumas, Sebastien/0000-0001-9958-3485; Nadaud, Sophie/0000-0002-1452-6009; Manaud, Gregoire/0000-0002-5553-0442; Grunberg, Katrien/0000-0003-1164-4365; Ghigna, Maria Rosa/0000-0001-5996-665X; Dorfmuller, Peter/0000-0003-2499-6829; Bogaard, Harm Jan/0000-0001-5371-0346; Verleden, Stijn/0000-0002-9656-5844; Perros, Frederic/0000-0001-7730-2427; Mercier, Olaf/0000-0002-4760-6267; Antigny, Fabrice/0000-0002-9515-6571; Vonk Noordegraaf, Anton/0000-0002-4057-758X</t>
  </si>
  <si>
    <t>French National Research Agency [ANR-13-JSV1-0011-01]; Pulmonary Vascular Research Institute BMPR2 Research Grant - Dinosaur Trust; Departement Hospitalo-Universitaire Thorax Innovation and Assistance Publique-Hopitaux de Paris; INSERM; Hopital Marie Lannelongue; Fondation du Souffle et Fonds de Dotation Recherche en Sante Respiratoire; Fondation Lefoulon-Delalande; Fondation Legs Poix; National Funding Agency for Research [ANR-18-CE14-0023]; Therapeutic Innovation Doctoral School [ED569]; European Respiratory Society PAH Long-Term Research Fellowship; FWO [12G8718N]; KU Leuven [C24/18/073]; Universite Paris-Sud; Universite Paris-Saclay; Agence Nationale de la Recherche (ANR) [ANR-13-JSV1-0011] Funding Source: Agence Nationale de la Recherche (ANR)</t>
  </si>
  <si>
    <t>French National Research Agency(Agence Nationale de la Recherche (ANR)); Pulmonary Vascular Research Institute BMPR2 Research Grant - Dinosaur Trust; Departement Hospitalo-Universitaire Thorax Innovation and Assistance Publique-Hopitaux de Paris; INSERM(Institut National de la Sante et de la Recherche Medicale (Inserm)); Hopital Marie Lannelongue; Fondation du Souffle et Fonds de Dotation Recherche en Sante Respiratoire; Fondation Lefoulon-Delalande; Fondation Legs Poix; National Funding Agency for Research; Therapeutic Innovation Doctoral School; European Respiratory Society PAH Long-Term Research Fellowship; FWO(FWO); KU Leuven(KU Leuven); Universite Paris-Sud; Universite Paris-Saclay; Agence Nationale de la Recherche (ANR)(Agence Nationale de la Recherche (ANR))</t>
  </si>
  <si>
    <t>Supported by the French National Research Agency (ANR-13-JSV1-0011-01); a Pulmonary Vascular Research Institute BMPR2 Research Grant supported by the Dinosaur Trust (F.P.); Departement Hospitalo-Universitaire Thorax Innovation and Assistance Publique-Hopitaux de Paris; INSERM, Universite Paris-Sud, Universite Paris-Saclay; and Hopital Marie Lannelongue. G.M. is a 2017 Laureate of Fonds de Recherche en Sante ' Respiratoire et de la Fondation du Souffle. F.A. received funding from the Fondation du Souffle et Fonds de Dotation Recherche en Sante Respiratoire, the Fondation Lefoulon-Delalande, and the Fondation Legs Poix. F.A. also received funding from the National Funding Agency for Research (ANR-18-CE14-0023). M.L. was supported by the Therapeutic Innovation Doctoral School (ED569). E.J.N. was supported by a European Respiratory Society PAH Long-Term Research Fellowship. S.E.V. was supported by a postdoctoral fellowship from FWO (12G8718N) and a grant from KU Leuven (C24/18/073).</t>
  </si>
  <si>
    <t>10.1165/rcmb.2019-0015OC</t>
  </si>
  <si>
    <t>MH3GA</t>
  </si>
  <si>
    <t>WOS:000546618300016</t>
  </si>
  <si>
    <t>Adding an important piece to the pulmonary vascular resistance puzzle in pulmonary arterial hypertension</t>
  </si>
  <si>
    <t>[Maron, Bradley A.] Brigham &amp; Womens Hosp, Div Cardiovasc Med, 75 Francis St, Boston, MA 02115 USA; [Maron, Bradley A.] Harvard Med Sch, Boston, MA 02115 USA; [Maron, Bradley A.] Boston VA Healthcare Syst, Dept Cardiol, Boston, MA USA; [Humbert, Marc] Univ Paris Saclay, Hop Bicetre, AP HP, Serv Pneumol,INSERM,UMR S 999, Le Kremlin Bicetre, France</t>
  </si>
  <si>
    <t>Harvard University; Harvard University Medical Affiliates; Brigham &amp; Women's Hospital; Harvard University; Harvard Medical School; Harvard University; Harvard University Medical Affiliates; US Department of Veterans Affairs; Veterans Health Administration (VHA); VA Boston Healthcare System; Universite Paris Saclay; Assistance Publique Hopitaux Paris (APHP); Hopital Universitaire Bicetre - APHP; Institut National de la Sante et de la Recherche Medicale (Inserm); Hopital Universitaire Antoine-Beclere - APHP</t>
  </si>
  <si>
    <t>Maron, BA (corresponding author), 77 Ave Louis Pasteur,NRB Rm 0630-N, Boston, MA 02115 USA.</t>
  </si>
  <si>
    <t>NIH [NIH U01HL125215-01, R21HL134320, 1R01HL139613-01, U54HL119145, R01HL153502]; Cardiovascular Medical Research Education Foundation; Boston Biomedical Innovation Center</t>
  </si>
  <si>
    <t>NIH(United States Department of Health &amp; Human ServicesNational Institutes of Health (NIH) - USA); Cardiovascular Medical Research Education Foundation; Boston Biomedical Innovation Center</t>
  </si>
  <si>
    <t>B.A. Maron receives research funding from the NIH (NIH U01HL125215-01; R21HL134320; 1R01HL139613-01; U54HL119145; R01HL153502), Cardiovascular Medical Research Education Foundation, and Boston Biomedical Innovation Center. Funding information for this article has been deposited with the Crossref Funder Registry.</t>
  </si>
  <si>
    <t>10.1183/13993003.00962-2020</t>
  </si>
  <si>
    <t>WOS:000574944800024</t>
  </si>
  <si>
    <t>Rubin, GD; Ryerson, CJ; Haramati, LB; Sverzellati, N; Kanne, JP; Raoof, S; Schluger, NW; Volpi, A; Yim, JJ; Martin, IBK; Anderson, DJ; Kong, C; Altes, T; Bush, A; Desai, SR; Goldin, J; Goo, JM; Humbert, M; Inoue, Y; Kauczor, HU; Luo, FM; Mazzone, PJ; Prokop, M; Remy-Jardin, M; Richeldi, L; Schaefer-Prokop, CM; Tomiyama, N; Wells, AU; Leung, AN</t>
  </si>
  <si>
    <t>Rubin, Geoffrey D.; Ryerson, Christopher J.; Haramati, Linda B.; Sverzellati, Nicola; Kanne, Jeffrey P.; Raoof, Suhail; Schluger, Neil W.; Volpi, Annalisa; Yim, Jae-Joon; Martin, Ian B. K.; Anderson, Deverick J.; Kong, Christina; Altes, Talissa; Bush, Andrew; Desai, Sujal R.; Goldin, Jonathan; Goo, Jin Mo; Humbert, Marc; Inoue, Yoshikazu; Kauczor, Hans -Ulrich; Luo, Fengming; Mazzone, Peter J.; Prokop, Mathias; Remy-Jardin, Martine; Richeldi, Luca; Schaefer-Prokop, Cornelia M.; Tomiyama, Noriyuki; Wells, Athol U.; Leung, Ann N.</t>
  </si>
  <si>
    <t>The Role of Chest Imaging in Patient Management During the COVID-19 Pandemic A Multinational Consensus Statement From the Fleischner Society</t>
  </si>
  <si>
    <t>SARS-COV-2</t>
  </si>
  <si>
    <t>With more than 900,000 confirmed cases worldwide and nearly 50,000 deaths during the first 3 months of 2020, the coronavirus disease 2019 (COVID-19) pandemic has emerged as an unprecedented health care crisis. The spread of COVID-19 has been heterogeneous, resulting in some regions having sporadic transmission and relatively few hospitalized patients with COVID-19 and others having community transmission that has led to overwhelming numbers of severe cases. For these regions, health care delivery has been disrupted and compromised by critical resource constraints in diagnostic testing, hospital beds, ventilators, and health care workers who have fallen ill to the virus exacerbated by shortages of personal protective equipment. Although mild cases mimic common upper respiratory viral infections, respiratory dysfunction becomes the principal source of morbidity and mortality as the disease advances. Thoracic imaging with chest radiography and CT are key tools for pulmonary disease diagnosis and management, but their role in the management of COVID-19 has not been considered within the multivariable context of the severity of respiratory disease, pretest probability, risk factors for disease progression, and critical resource constraints. To address this deficit, a multidisci-plinary panel comprised principally of radiologists and pulmonologists from 10 countries with experience managing patients with COVID-19 across a spectrum of health care environments evaluated the utility of imaging within three scenarios representing varying risk factors, com-munity conditions, and resource constraints. Fourteen key questions, corresponding to 11 decision points within the three scenarios and three additional clinical situations, were rated by the panel based on the anticipated value of the information that thoracic imaging would be expected to provide. The results were aggregated, resulting in five main and three additional recommendations intended to guide medical practitioners in the use of chest radiography and CT in the management of COVID-19.</t>
  </si>
  <si>
    <t>[Rubin, Geoffrey D.] Duke Univ, Sch Med, Dept Radiol, Box 3808, Durham, NC 27705 USA; [Ryerson, Christopher J.] Univ British Columbia, Dept Med, Vancouver, BC, Canada; [Haramati, Linda B.] Montefiore Med Ctr, Albert Einstein Coll Med, Dept Radiol, Bronx, NY 10467 USA; [Sverzellati, Nicola] Univ Parma, Dept Med &amp; Surg, Dept Sci Radiol, Parma, Italy; [Kanne, Jeffrey P.] Univ Wisconsin, Dept Radiol, Sch Med &amp; Publ Hlth, Madison, WI 53706 USA; [Raoof, Suhail] Lenox Hill Hosp, Div Pulm Crit Care &amp; Sleep Med, New York, NY USA; [Schluger, Neil W.] Columbia Univ, Irving Med Ctr, Div Pulm Allergy &amp; Crit Care Med, New York, NY USA; [Volpi, Annalisa] Univ Hosp Parma, Anesthesia &amp; Intens Care Unit 1, Parma, Italy; [Yim, Jae-Joon] Seoul Natl Univ, Coll Med, Div Pulm &amp; Crit Med, Seoul, South Korea; [Martin, Ian B. K.] Med Coll Wisconsin, Sch Med, Dept Emergency Med, Milwaukee, WI 53226 USA; [Anderson, Deverick J.] Duke Univ, Med Ctr, Duke Ctr Antimicrobial Stewardship &amp; Infect Preve, Durham, NC USA; [Kong, Christina] Stanford Univ, Dept Pathol &amp; Clin Lab Med, Med Ctr, Stanford, CA 94305 USA; [Altes, Talissa] Univ Missouri, Dept Radiol, Columbia, MO USA; [Bush, Andrew] Royal Brompton Hosp, Dept Paediat &amp; Paediat Respirol, London, England; [Desai, Sujal R.] Royal Brompton &amp; Harefield NHS Fdn Trust, Dept Radiol, London, England; [Desai, Sujal R.] Imperial Coll, Natl Heart &amp; Lung Inst, London, England; [Goldin, Jonathan] Univ Calif Los Angeles, David Geffen Sch Med, Dept Radiol, Los Angeles, CA 90095 USA; [Goo, Jin Mo] Seoul Natl Univ, Coll Med, Dept Radiol, Seoul, South Korea; [Humbert, Marc] Univ Paris Saclay, Hop Bicetre, Dept Resp &amp; Intens Care Med, Le Kremlin Bicetre, France; [Inoue, Yoshikazu] Natl Hosp Org Kinki Chuo Chest Med Ctr, Dept Pathol, Osaka, Japan; [Kauczor, Hans -Ulrich] Univ Hosp Heidelberg, Dept Diagnost &amp; Intervent Radiol, Heidelberg, Germany; [Luo, Fengming] Sichuan Univ, West China Hosp, Dept Pulm &amp; Crit Care Med, Chengdu, Sichuan, Peoples R China; [Mazzone, Peter J.] Cleveland Clin, Resp Inst, Cleveland, OH 44106 USA; [Prokop, Mathias] Radboud Univ Nijmegen, Med Ctr, Dept Radiol &amp; Nucl Med, Nijmegen, Netherlands; [Remy-Jardin, Martine] Univ Ctr Lille, Dept Thorac Imaging Hosp Calmette, Lille, France; [Richeldi, Luca] Univ Cattolica Sacro Cuore, Div Pulm Med, Rome, Italy; [Schaefer-Prokop, Cornelia M.] Meander Med Ctr, Dept Radiol &amp; Nucl Med, Amersfoort, Netherlands; [Tomiyama, Noriyuki] Osaka Univ, Grad Sch Med, Dept Radiol, Osaka, Japan; [Wells, Athol U.] Royal Brompton Hosp, Dept Pulm Med, London, England; [Leung, Ann N.] Stanford Univ, Sch Med, Dept Radiol, Stanford, CA 94305 USA</t>
  </si>
  <si>
    <t>Duke University; University of British Columbia; Montefiore Medical Center; Albert Einstein College of Medicine; Yeshiva University; University of Parma; University of Wisconsin System; University of Wisconsin Madison; Northwell Health; Columbia University; NewYork-Presbyterian Hospital; University of Parma; University Hospital of Parma; Seoul National University (SNU); Medical College of Wisconsin; Duke University; Stanford University; University of Missouri System; University of Missouri Columbia; Royal Brompton Hospital; Royal Brompton &amp; Harefield NHS Foundation Trust; Imperial College London; University of California System; University of California Los Angeles; University of California Los Angeles Medical Center; David Geffen School of Medicine at UCLA; Seoul National University (SNU); Assistance Publique Hopitaux Paris (APHP); Hopital Universitaire Bicetre - APHP; Universite Paris Saclay; Hopital Universitaire Antoine-Beclere - APHP; Ruprecht Karls University Heidelberg; Sichuan University; Cleveland Clinic Foundation; Radboud University Nijmegen; Catholic University of the Sacred Heart; IRCCS Policlinico Gemelli; Meander Medisch Centrum; Osaka University; Royal Brompton Hospital; Stanford University</t>
  </si>
  <si>
    <t>Rubin, GD (corresponding author), Duke Univ, Sch Med, Dept Radiol, Box 3808, Durham, NC 27705 USA.</t>
  </si>
  <si>
    <t>grubin@duke.edu</t>
  </si>
  <si>
    <t>Raoof, Samaa/G-3434-2019; Inoue, Yoshikazu/ABE-9772-2020; Richeldi, Luca/B-6243-2019; Rubin, Geoffrey/AAB-6765-2020; Sverzellati, Nicola/AIC-5706-2022; Kanne, Jeffrey/AAF-5331-2020; Kauczor, Hans-Ulrich/AAU-5955-2021; Goo, Jin Mo/AFT-4543-2022; Yim, Jae/J-2783-2012; Volpi, Annalisa/AHH-5394-2022; Schluger, Neil/ABA-1793-2021; Humbert, Marc/AAC-8459-2019; Mazzone, Peter/AAW-5401-2021; Prokop, W./H-8081-2014</t>
  </si>
  <si>
    <t>Prokop, Mathias/0000-0001-8157-8055</t>
  </si>
  <si>
    <t>10.1016/j.chest.2020.04.003</t>
  </si>
  <si>
    <t>MF9LR</t>
  </si>
  <si>
    <t>WOS:000545659700038</t>
  </si>
  <si>
    <t>Rubin, GD; Ryerson, CJ; Haramati, LB; Sverzellati, N; Kanne, JP; Raoof, S; Schluger, NW; Volpi, A; Yim, JJ; Martin, IBK; Anderson, DJ; Kong, C; Altes, T; Bush, A; Desai, SR; Goldin, O; Goo, JM; Humbert, M; Inour, Y; Kauczor, HU; Luo, FM; Mazzone, PJ; Prokop, M; Remy-Jardin, M; Richeldi, L; Schaefer-Prokop, CM; Tomiyama, N; Wells, AU; Leung, AN</t>
  </si>
  <si>
    <t>Rubin, Geoffrey D.; Ryerson, Christopher J.; Haramati, Linda B.; Sverzellati, Nicola; Kanne, Jeffrey P.; Raoof, Suhail; Schluger, Neil W.; Volpi, Annalisa; Yim, Jae-Joon; Martin, Ian B. K.; Anderson, Deverick J.; Kong, Christina; Altes, Talissa; Bush, Andrew; Desai, Sujal R.; Goldin, Onathan; Goo, Jin Mo; Humbert, Marc; Inour, Yoshikazu; Kauczor, Hans-Ulrich; Luo, Fengming; Mazzone, Peter J.; Prokop, Mathias; Remy-Jardin, Martine; Richeldi, Luca; Schaefer-Prokop, Cornelia M.; Tomiyama, Noriyuki; Wells, Athol U.; Leung, Ann N.</t>
  </si>
  <si>
    <t>The Role of Chest Imaging in Patient Management during the COVID-19 Pandemic: A Multinational Consensus Statement from the Fleischner Society</t>
  </si>
  <si>
    <t>With more than 900 000 confirmed cases worldwide and nearly 50 000 deaths during the first 3 months of 2020, the coronavirus disease 2019 (COVID-19) pandemic has emerged as an unprecedented health care crisis. The spread of COVID-19 has been heterogeneous,resulting in some regions having sporadic transmission and relatively few hospitalized patients with COVID-19 and others having community transmission that has led to overwhelming numbers of severe cases. For these regions, health care delivery has been disrupted and compromised by critical resource constraints in diagnostic testing, hospital beds, ventilators, and healthcare workers who have fallen ill to the virus exacerbated by shortages of personal protective equipment. Although mild cases mimic common upper respiratory viral infections, respiratory dysfunction becomes the principal source of morbidity and mortality as the disease advances. Thoracic imaging with chest radiography and CT are key tools for pulmonary disease diagnosis and management,but their role in the management of COVID-19 has not been considered within the multivariable context of the severity of respiratory disease, pretest probability, risk factors for disease progression, and critical resource constraints. To address this deficit, a multidisciplinary panel comprised principally of radiologists and pulmonologists from 10 countries with experience managing patients with COVID-19 across a spectrum of health care environments evaluated the utility of imaging within three scenarios representing varying risk factors, community conditions, and resource constraints. Fourteen key questions, corresponding to 11 decision points within the three scenarios and three additional clinical situations, were rated by the panel based on the anticipated value of the information that thoracic imaging would be expected to provide. The results were aggregated, resulting in five main and three additional recommendations intended to guide medical practitioners in the use of chest radiography and CT in the management ofCOVID-19. (C) RSNA, 2020; American College of Chest Physicians, published by Elsevier Inc.</t>
  </si>
  <si>
    <t>[Rubin, Geoffrey D.] Duke Univ, Dept Radiol, Sch Med, Box 3808, Durham, NC 27705 USA; [Ryerson, Christopher J.] Univ British Columbia, Dept Med, Vancouver, BC, Canada; [Haramati, Linda B.] Montefiore Med Ctr, Albert Einstein Coll Med, Dept Radiol, Bronx, NY 10467 USA; [Sverzellati, Nicola] Univ Parma, Dept Sci Radiol, Dept Med &amp; Surg, Parma, Italy; [Kanne, Jeffrey P.] Univ Wisconsin, Dept Radiol, Sch Med &amp; Publ Hlth, Madison, WI 53706 USA; [Raoof, Suhail] Lenox Hill Hosp, Div Pulm Crit Care &amp; Sleep Med, New York, NY 10021 USA; [Schluger, Neil W.] Columbia Univ, Irving Med Ctr, Div Pulm Allergy &amp; Crit Care Med, New York, NY USA; [Volpi, Annalisa] Univ Hosp Parma, Anesthesia &amp; Intens Care Unit 1, Parma, Italy; [Yim, Jae-Joon] Seoul Natl Univ, Coll Med, Div Pulm &amp; Crit Med, Seoul, South Korea; [Martin, Ian B. K.] Med Coll Wisconsin, Sch Med, Dept Emergency Med, Milwaukee, WI 53226 USA; [Anderson, Deverick J.] Duke Univ, Med Ctr, Duke Ctr Antimicrobial Stewardship &amp; Infect Prev, Durham, NC USA; [Kong, Christina] Stanford Univ, Med Ctr, Pathol &amp; Clin Lab Med, Stanford, CA 94305 USA; [Altes, Talissa] Univ Missouri, Dept Radiol, Columbia, MO USA; [Bush, Andrew] Royal Brompton Hosp, Dept Paediat &amp; Paediat Respirol, London, England; [Desai, Sujal R.] Royal Brampton &amp; Harefield NHS Fdn Trust, Dept Radiol, London, England; [Desai, Sujal R.] Imperial Coll, Natl Heart &amp; Lung Inst, London, England; [Goo, Jin Mo] Univ Calif Los Angeles, David Geffen Sch Med, Dept Radiol, Los Angeles, CA 90095 USA; [Goo, Jin Mo] Seoul Natl Univ, Dept Radiol, Coll Med, Seoul, South Korea; [Humbert, Marc] Univ Paris Saday, Dept Resp &amp; Intens Care Med, Hop Bicetere, Le Kremlin Bicetre, France; [Inour, Yoshikazu] Natl Hosp Org Kinki Chuo Chest Med Ctr, Dept Pathol, Osaka, Japan; [Kauczor, Hans-Ulrich] Univ Hosp Heidelberg, Diagnost &amp; Intervent Radiol, Heidelberg, Germany; [Luo, Fengming] Sichuan Univ, West China Hosp, Dept Pulm &amp; Crit Care Med, Chengdu, Sichuan, Peoples R China; [Mazzone, Peter J.] Cleveland Clin, Resp Inst, Cleveland, OH 44106 USA; [Prokop, Mathias] Radboud Univ Nijmegen, Dept Radiol &amp; Nucl Med, Med Ctr, Nijmegen, Netherlands; [Remy-Jardin, Martine] Univ Ctr Lille, Dept Thorac Imaging, Hosp Calmette, Lille, France; [Richeldi, Luca] Univ Cattolica Sacro Cuore, Div Pulm Med, Rome, Italy; [Schaefer-Prokop, Cornelia M.] Meander Med Ctr, Dept Radiol &amp; Nucl Med, Amersfoort, Netherlands; [Tomiyama, Noriyuki] Osaka Univ, Dept Radiol, Grad Sch Med, Osaka, Japan; [Wells, Athol U.] Royal Brompton Hosp, Dept Pulm Med, London, England; [Leung, Ann N.] Stanford Univ, Dept Radiol, Sch Med, Stanford, CA 94305 USA</t>
  </si>
  <si>
    <t>Duke University; University of British Columbia; Montefiore Medical Center; Albert Einstein College of Medicine; Yeshiva University; University of Parma; University of Wisconsin System; University of Wisconsin Madison; Northwell Health; NewYork-Presbyterian Hospital; Columbia University; University of Parma; University Hospital of Parma; Seoul National University (SNU); Medical College of Wisconsin; Duke University; Stanford University; University of Missouri System; University of Missouri Columbia; Royal Brompton Hospital; Royal Brompton &amp; Harefield NHS Foundation Trust; Imperial College London; University of California System; University of California Los Angeles; University of California Los Angeles Medical Center; David Geffen School of Medicine at UCLA; Seoul National University (SNU); Assistance Publique Hopitaux Paris (APHP); Hopital Universitaire Bicetre - APHP; Ruprecht Karls University Heidelberg; Sichuan University; Cleveland Clinic Foundation; Radboud University Nijmegen; Universite de Lille; CHU Lille; Catholic University of the Sacred Heart; IRCCS Policlinico Gemelli; Meander Medisch Centrum; Osaka University; Royal Brompton Hospital; Stanford University</t>
  </si>
  <si>
    <t>Rubin, GD (corresponding author), Duke Univ, Dept Radiol, Sch Med, Box 3808, Durham, NC 27705 USA.</t>
  </si>
  <si>
    <t>Rubin, Geoffrey/AAB-6765-2020; Richeldi, Luca/B-6243-2019; Yim, Jae/J-2783-2012; Raoof, Samaa/G-3434-2019; Kanne, Jeffrey/AAF-5331-2020; Goo, Jin Mo/AFT-4543-2022; Prokop, W./H-8081-2014; Kauczor, Hans-Ulrich/AAU-5955-2021; Volpi, Annalisa/AHH-5394-2022; Humbert, Marc/AAC-8459-2019; Mazzone, Peter/AAW-5401-2021; Inoue, Yoshikazu/ABE-9772-2020; Schluger, Neil/ABA-1793-2021; Sverzellati, Nicola/AIC-5706-2022; Rubin, Geoffrey/O-7317-2018</t>
  </si>
  <si>
    <t>Kanne, Jeffrey/0000-0002-4224-8536; Anderson, Deverick/0000-0001-6882-5496; Leung, Ann/0000-0001-7807-2643; Rubin, Geoffrey/0000-0002-3820-2500; SVERZELLATI, Nicola/0000-0002-4820-3785; Inoue, Yoshikazu/0000-0003-3994-874X; Haramati, Linda/0000-0003-0365-7422; Volpi, Annalisa/0000-0001-5337-9155; Yim, Jae-Joon/0000-0002-9605-0074; Prokop, Mathias/0000-0001-8157-8055</t>
  </si>
  <si>
    <t>10.1148/radiol.2020201365</t>
  </si>
  <si>
    <t>MA2VN</t>
  </si>
  <si>
    <t>WOS:000541776100030</t>
  </si>
  <si>
    <t>Savale, L; Guimas, M; Ebstein, N; Fertin, M; Jevnikar, M; Renard, S; Horeau-Langlard, D; Tromeur, C; Chabanne, C; Prevot, G; Chaouat, A; Moceri, P; Artaud-Macari, É; Degano, B; Tresorier, R; Boissin, C; Bouvaist, H; Simon, AC; Riou, M; Favrolt, N; Palat, S; Bourlier, D; Magro, P; Cottin, V; Bergot, E; Lamblin, N; Jais, X; Coilly, A; Durand, F; Francoz, C; Conti, F; Hervé, P; Simonneau, G; Montani, D; Duclos-Vallée, JC; Samuel, D; Humbert, M; De Groote, P; Sitbon, O</t>
  </si>
  <si>
    <t>Portopulmonary hypertension in the current era of pulmonary hypertension management</t>
  </si>
  <si>
    <t>Hypertension; Pulmonary; Pulmonary arterial hypertension; Portopulmonary hypertension; Survival; Prognostic factors; Cirrhosis; Liver transplantation</t>
  </si>
  <si>
    <t>ARTERIAL-HYPERTENSION; UNITED-KINGDOM; FOLLOW-UP; SURVIVAL; GUIDELINES; DIAGNOSIS; PRESSURE; OUTCOMES</t>
  </si>
  <si>
    <t>Background &amp; Aims: Long-term outcomes in portopulmonary hypertension (PoPH) are poorly studied in the current era of pulmonary hypertension management. We analysed the effect of pulmonary arterial hypertension (PAH)-targeted therapies, survival and predictors of death in a large contemporary cohort of patients with PoPH. Methods: Data from patients with PoPH consecutively enrolled in the French Pulmonary Hypertension Registry between 2007 and 2017 were collected. The effect of initial treatment strategies on functional class, exercise capacity and cardiopulmonary haemodynamics were analysed. Survival and its association with PAH- and hepatic-related characteristics were also examined. Results: Six hundred and thirty-seven patients (mean age 55 +/- 10 years; 58% male) were included. Fifty-seven percent had mild cirrhosis, i.e. Child-Pugh stage A. The median model for end-stage liver disease (MELD) score was 11 (IQR 9-15). Most patients (n = 474; 74%) were initiated on monotherapy, either with a phosphodiesterase-5 inhibitor (n = 336) or with an endothelin-receptor antagonist (n = 128); 95 (15%) were initiated on double oral combination therapy and 5 (1%) on triple therapy. After a median treatment time of 4.5 months, there were significant improvements in functional class (p&lt;0.001), 6-minute walk distance (6MWD) (p&lt;0.0001) and pulmonary vascular resistance (p&lt;0.0001). Overall survival rates were 84%, 69% and 51% at 1, 3 and 5 years, respectively. Baseline 6MWD, sex, age and MELD score or Child-Pugh stage were identified as independent prognostic factors. Survival from PoPH diagnosis was significantly better in the subgroup of patients who underwent liver transplantation (92%, 83% and 81% at 1, 3 and 5 years, respectively). Conclusion: Survival of patients with PoPH is strongly associated with the severity of liver disease. Patients who underwent liver transplantation had the best long-term outcomes. Lay summary: Portopulmonary hypertension is defined by the presence of pulmonary arterial hypertension in the context of chronic liver disease and is characterized by progressive shortness of breath and exercise limitation. The presence of severe pulmonary arterial hypertension in liver transplant candidates represents a contraindication for such a surgery; however, treatments targeting pulmonary arterial hypertension are efficacious, allowing for safe transplantation and conferring good survival outcomes in those who undergo liver transplantation. (C) 2020 European Association for the Study of the Liver. Published by Elsevier B.V. All rights reserved.</t>
  </si>
  <si>
    <t>[Savale, Laurent; Ebstein, Nathan; Jevnikar, Mitja; Jais, Xavier; Herve, Philippe; Simonneau, Gerald; Montani, David; Humbert, Marc; Sitbon, Olivier] Univ Paris Saclay, Fac Med, Le Kremlin Bicetre, France; [Savale, Laurent; Ebstein, Nathan; Jevnikar, Mitja; Jais, Xavier; Herve, Philippe; Simonneau, Gerald; Montani, David; Humbert, Marc; Sitbon, Olivier] Hop Bicetre, AP HP, Serv Pneumol, Ctr Reference Hypertens Pulm, Le Kremlin Bicetre, France; [Savale, Laurent; Jevnikar, Mitja; Jais, Xavier; Herve, Philippe; Simonneau, Gerald; Montani, David; Humbert, Marc; Sitbon, Olivier] Hop Marie Lannelongue, INSERM UMR S 999, Le Plessis Robinson, France; [Guimas, Manuel; Bergot, Emmanuel] CHR Univ Caen, Serv Pneumol, F-14033 Caen, France; [Fertin, Marie; Lamblin, Nicolas; De Groote, Pascal] Univ Lille, Serv Cardiol, CHU Lille, Inst Pasteur Lille,Inserm U1167, F-59000 Lille, France; [Renard, Sebastien] Aix Marseille Univ, Dept Cardiol, Hop Timone, Marseille, France; [Horeau-Langlard, Delphine] CHU Nantes, Hop Laennec, Serv Pneumol, Nantes, France; [Tromeur, Cecile] European Brittany Univ, Brest, France; [Tromeur, Cecile] Univ Hosp Ctr La Cavale Blanche, Dept Internal Med &amp; Chest Dis, Brest, France; [Tromeur, Cecile] CIC INSERM 1412, Grp Etud Thrombose Bretagne Occident GETBO, EA 3878, Brest, France; [Chabanne, Celine] CHU Rennes, Dept Cardiol &amp; Malad Vasc, Hop Pontchaillou, Rennes, France; [Prevot, Gregoire] CHU Toulouse, Hop Larrey, Serv Pneumol, Toulouse, France; [Chaouat, Ari] Univ Lorraine, Vandoeuvre Les Nancy, France; [Chaouat, Ari] CHRU Nancy, Dept Pneumol, Vandoeuvre Les Nancy, France; [Chaouat, Ari] Inserm U1116, Vandoeuvre Les Nancy, France; [Moceri, Pamela] CHU Nice, Serv Cardiol, Hop Pasteur, Nice, France; [Artaud-Macari, Elise] Hop Univ, Dept Pneumol, Rouen, France; [Degano, Bruno] CHRU, Serv Pneumol, Besancon, France; [Tresorier, Romain] CHU, Serv Cardiol, Hop Gabriel Montpied, Clermont Ferrand, France; [Boissin, Clement] Hop Univ, Serv Pneumol, Montpellier, France; [Bouvaist, Helene] CHU Grenoble Alpes, Serv Cardiol, Hop La Tronche, Grenoble, France; [Simon, Anne-Claire] CHU Poitiers, Serv Pneumol, Poitiers, France; [Riou, Marianne] Hop Univ, Serv Pneumol, Nouvel Hop Civil, Strasbourg, France; [Favrolt, Nicolas] CHU, Serv Pneumol, Dijon, France; [Palat, Sylvain] CHRU, Serv Pneumol, Limoges, France; [Bourlier, Delphine] CHU Bordeaux, Serv Malad Respiratoires, Hop Haut Leveque, Pessac, France; [Magro, Pascal] CHRU Tours, Serv Pneumol, Tours, France; [Cottin, Vincent] Univ Claude Bernard Lyon 1, Ctr Reference Natl Malad Pulmonaires Rares, Serv Pneumol, UMR154,Hop Louis Pradel, F-69677 Lyon, France; [Coilly, Audrey; Duclos-Vallee, Jean-Charles; Samuel, Didier] Hop Paul Brousse, AP HP, Ctr Hepatobiliaire, Villejuif, France; [Coilly, Audrey; Duclos-Vallee, Jean-Charles; Samuel, Didier] Univ Paris Saclay, UMR S 1193, Villejuif, France; [Coilly, Audrey; Duclos-Vallee, Jean-Charles; Samuel, Didier] DHU HEPATINOV, Villejuif, France; [Durand, Francois; Francoz, Claire] Univ Paris, Hop Beaujon, AP HP, INSERM,U1149,Ctr Rech Inflammat CRI,UMRS1149,Serv, Clichy, France; [Conti, Filomena] Sorbonne Univ, UPMC, INSERM, UMR S Ctr Rech St Antoine 938, Paris, France; [Conti, Filomena] Hop La Pitie Salpetriere, AP HP, Unite Medicate Transplantat Hepat, Paris, France</t>
  </si>
  <si>
    <t>Universite Paris Saclay; Assistance Publique Hopitaux Paris (APHP); Hopital Universitaire Antoine-Beclere - APHP; Hopital Universitaire Bicetre - APHP; Universite Paris Saclay; Universite Paris Saclay; Hopital Marie Lannelongue; Institut National de la Sante et de la Recherche Medicale (Inserm); Universite de Caen Normandie; CHU de Caen NORMANDIE; Institut National de la Sante et de la Recherche Medicale (Inserm); Universite de Lille; Pasteur Network; Institut Pasteur Lille; CHU Lille; Aix-Marseille Universite; Assistance Publique-Hopitaux de Marseille; Nantes Universite; CHU de Nantes; Universite de Bretagne Occidentale; CHU Brest; Institut National de la Sante et de la Recherche Medicale (Inserm); CHU Rennes; Universite de Rennes; CHU de Toulouse; Universite de Toulouse; Universite Toulouse III - Paul Sabatier; Universite de Lorraine; CHU de Nancy; Institut National de la Sante et de la Recherche Medicale (Inserm); CHU Nice; Universite de Franche-Comte; CHU Besancon; CHU Clermont Ferrand; Universite de Montpellier; CHU de Montpellier; CHU Grenoble Alpes; Universite de Poitiers; CHU Poitiers; CHU Strasbourg; CHU Dijon Bourgogne; CHU Limoges; CHU Bordeaux; Universite de Bordeaux; CHU Tours; Universite Claude Bernard Lyon 1; CHU Lyon; Assistance Publique Hopitaux Paris (APHP); Hopital Universitaire Paul-Brousse - APHP; Universite Paris Saclay; Institut National de la Sante et de la Recherche Medicale (Inserm); Universite Paris Cite; Assistance Publique Hopitaux Paris (APHP); Hopital Universitaire Beaujon - APHP; Institut National de la Sante et de la Recherche Medicale (Inserm); Institut National de la Sante et de la Recherche Medicale (Inserm); Sorbonne Universite; Assistance Publique Hopitaux Paris (APHP); Hopital Universitaire Pitie-Salpetriere - APHP; Sorbonne Universite</t>
  </si>
  <si>
    <t>Savale, Laurent/AAJ-9781-2020; Chaouat, Ari/AAP-6784-2021; Bergot, Emmanuel/KHZ-1685-2024; Samuel, Didier/U-5265-2018; David, Montani/I-6885-2019; Simonneau, Gerald/ABE-6614-2020; DE GROOTE, Pascal/LLL-9444-2024; Paquet-Durand, Francois/G-6709-2015; Moceri, Pamela/D-3053-2014; Degano, Bruno/IAQ-7289-2023; Humbert, Marc/AAC-8459-2019</t>
  </si>
  <si>
    <t>JAIS, XAVIER/0000-0002-4104-7994; de Groote, Pascal/0000-0002-6211-0147; tromeur, cecile/0000-0001-9161-7521; Humbert, Marc/0000-0003-0703-2892; Montani, David/0000-0002-9358-6922; Jevnikar, Mitja/0000-0003-0727-6790</t>
  </si>
  <si>
    <t>RADARWEG 29a, 1043 NX AMSTERDAM, NETHERLANDS</t>
  </si>
  <si>
    <t>10.1016/j.jhep.2020.02.021</t>
  </si>
  <si>
    <t>NF7SO</t>
  </si>
  <si>
    <t>WOS:000563494500017</t>
  </si>
  <si>
    <t>Harari, S; Humbert, M</t>
  </si>
  <si>
    <t>Harari, Sergio; Humbert, Marc</t>
  </si>
  <si>
    <t>Ultra-rare disease: an European perspective</t>
  </si>
  <si>
    <t>CARE</t>
  </si>
  <si>
    <t>[Harari, Sergio] Osped San Giuseppe Hosp MultiMed IRCCS, UO Pneumol &amp; Terapia Semiintens Resp, Serv Fisiopatol Resp &amp; Emodinam Polmonare, Milan, Italy; [Humbert, Marc] Univ Paris Saclay, Sch Med, Le Kremlin Bicetre, France; [Humbert, Marc] Hop Bicetre, AP HP, Dept Resp &amp; Intens Care Med, Pulm Hypertens Natl Referral Ctr, Le Kremlin Bicetre, France; [Humbert, Marc] Hop Marie Lannelongue, INSERM UMR S 999 Pulm Hypertens Pathophysiol &amp; No, Le Plessis Robinson, France</t>
  </si>
  <si>
    <t>Universite Paris Saclay; Assistance Publique Hopitaux Paris (APHP); Hopital Universitaire Antoine-Beclere - APHP; Universite Paris Saclay; Hopital Universitaire Bicetre - APHP; Hopital Marie Lannelongue; Institut National de la Sante et de la Recherche Medicale (Inserm)</t>
  </si>
  <si>
    <t>Harari, S (corresponding author), Osped San Giuseppe, MultiMed IRCCS, UO Pneumol &amp; Terapia Semiintens Resp, Serv Fisiopatol Resp &amp; Emodinam Polmonare, Via San Vittore 12, I-20123 Milan, Italy.</t>
  </si>
  <si>
    <t>JUN 30</t>
  </si>
  <si>
    <t>10.1183/16000617.0195-2020</t>
  </si>
  <si>
    <t>MP9BP</t>
  </si>
  <si>
    <t>WOS:000552492900027</t>
  </si>
  <si>
    <t>Weatherald, J; Dorfmüller, P; Perros, F; Ghigna, MR; Girerd, B; Humbert, M; Montani, D</t>
  </si>
  <si>
    <t>Weatherald, Jason; Dorfmuller, Peter; Perros, Frederic; Ghigna, Maria-Rosa; Girerd, Barbara; Humbert, Marc; Montani, David</t>
  </si>
  <si>
    <t>Pulmonary capillary haemangiomatosis: a distinct entity?</t>
  </si>
  <si>
    <t>VENOOCCLUSIVE-DISEASE; ARTERIAL-HYPERTENSION; PROSTACYCLIN THERAPY; GERMLINE MUTATIONS; EIF2AK4 MUTATIONS; CREST SYNDROME; GROWTH-FACTOR; IMATINIB; EXPRESSION; RECEPTOR</t>
  </si>
  <si>
    <t>Pulmonary capillary haemangiomatosis (PCH) is a rare and incompletely understood histopathological finding characterised by abnormal capillary proliferation within the alveolar interstitium, which has long been noted to share many overlapping features with pulmonary veno-occlusive disease (PVOD). But are PCH and PVOD distinct entities that occur in isolation, or are they closely intertwined manifestations along a spectrum of the same disease? The classic clinical features of both PCH and PVOD include signs and symptoms related to pulmonary hypertension, hypoxaemia, markedly impaired diffusion capacity of the lung and abnormal chest imaging with ground glass opacities, septal lines and lymphadenopathy. In recent years, increasing evidence suggests that the clinical presentation, histopathological features, genetic substrate and pathobiological mechanisms of PCH and PVOD are overlapping and usually indistinguishable. The discovery of biallelic mutations in the eukaryotic translation initiation factor 2 alpha kinase 4 (EIF2AK4) gene in heritable PCH and PVOD greatly advanced our understanding of the overlapping nature of these conditions. Furthermore, recognition of PCH and PVOD-like changes in other pulmonary vascular diseases and in conditions that cause chronic pulmonary venous hyper-perfusion or hypertension suggests that PCH/PVOD may develop as a reactive process to various insults or injuries to the pulmonary vasculature, rather than being primary angiogenic disorders.</t>
  </si>
  <si>
    <t>[Weatherald, Jason] Univ Calgary, Dept Med, Calgary, AB, Canada; [Weatherald, Jason] Libin Cardiovasc Inst Alberta, Calgary, AB, Canada; [Dorfmuller, Peter; Perros, Frederic; Ghigna, Maria-Rosa; Girerd, Barbara; Humbert, Marc; Montani, David] Hop Marie Lannelongue, Inserm UMR S 999, Le Plessis Robinson, France; [Dorfmuller, Peter; Perros, Frederic; Ghigna, Maria-Rosa; Girerd, Barbara; Humbert, Marc; Montani, David] Univ Paris Saclay, Univ Paris Sud, Fac Med, Le Kremlin Bicetre, France; [Girerd, Barbara; Humbert, Marc; Montani, David] Hop Bicetre, AP HP, Serv Pneumol, Ctr Reference Hypertens Pulmonaire, Le Kremlin Bicetre, France</t>
  </si>
  <si>
    <t>University of Calgary; Libin Cardiovascular Institute Of Alberta; Institut National de la Sante et de la Recherche Medicale (Inserm); Hopital Marie Lannelongue; Universite Paris Saclay; Universite Paris Saclay; Universite Paris Saclay; Assistance Publique Hopitaux Paris (APHP); Hopital Universitaire Antoine-Beclere - APHP; Hopital Universitaire Bicetre - APHP</t>
  </si>
  <si>
    <t>David, Montani/I-6885-2019; Perros, Frederic/N-6921-2017; Humbert, Marc/AAC-8459-2019</t>
  </si>
  <si>
    <t>Montani, David/0000-0002-9358-6922; Dorfmuller, Peter/0000-0003-2499-6829; Perros, Frederic/0000-0001-7730-2427; Ghigna, Maria Rosa/0000-0001-5996-665X; Weatherald, Jason/0000-0002-0615-4575; Humbert, Marc/0000-0003-0703-2892</t>
  </si>
  <si>
    <t>10.1183/16000617.0168-2019</t>
  </si>
  <si>
    <t>WOS:000552492900014</t>
  </si>
  <si>
    <t>Klok, FA; Couturaud, F; Delcroix, M; Humbert, M</t>
  </si>
  <si>
    <t>Klok, Fredrikus A.; Couturaud, Francis; Delcroix, Marion; Humbert, Marc</t>
  </si>
  <si>
    <t>Diagnosis of chronic thromboembolic pulmonary hypertension after acute pulmonary embolism</t>
  </si>
  <si>
    <t>QUALITY-OF-LIFE; ARTERIAL-HYPERTENSION; PERSISTENT; LIMITATIONS; EPISODE; DISEASE; CTEPH; RISK</t>
  </si>
  <si>
    <t>Chronic thromboembolic pulmonary hypertension (CTEPH) is the most severe long-term complication of acute pulmonary embolism (PE). Untreated CTEPH is fatal, but, if diagnosed in time, successful surgical (pulmonary endarterectomy), medical (pulmonary hypertension drugs) and/or interventional (balloon pulmonary angioplasty) therapies have been shown to improve clinical outcomes, especially in case of successful pulmonary endarterectomy. Early diagnosis has however been demonstrated to be challenging. Poor awareness of the disease by patients and physicians, high prevalence of the post-PE syndrome (i.e. persistent dyspnoea, functional limitations and/or decreased quality of life following an acute PE diagnosis), lack of clear guideline recommendations as well as inefficient application of diagnostic tests in clinical practice lead to a reported staggering diagnostic delay 1 year. Hence, there is a great need to improve current clinical practice and diagnose CTEPH earlier. In this review, we will focus on the clinical presentation of and risk factors for CTEPH, and provide best practices for PE follow-up programmes from expert centres, based on a clinical case.</t>
  </si>
  <si>
    <t>[Klok, Fredrikus A.] Leiden Univ, Med Ctr, Dept Thrombosis &amp; Hemostasis, Albinusdreef 2, NL-2300 RC Leiden, Netherlands; [Couturaud, Francis] Univ Brest, CHU Brest, Dept Med Interne &amp; Pneumol, Brest, France; [Delcroix, Marion] Univ Leuven, KU Leuven, Univ Hosp, Dept Resp Dis, Leuven, Belgium; [Delcroix, Marion] Univ Leuven, KU Leuven, Dept Chron Dis Metab &amp; Aging, Resp Div, Leuven, Belgium; [Humbert, Marc] Univ Paris Saclay, Fac Med, Le Kremlin Bicetre, France; [Humbert, Marc] Hop Bicetre, AP HP, Serv Pneumol &amp; Soins Intensifs Resp, Le Kremlin Bicetre, France; [Humbert, Marc] Hop Marie Lannelongue, INSERM, UMR S 999, Le Plessis Robinson, France</t>
  </si>
  <si>
    <t>Leiden University - Excl LUMC; Leiden University; Leiden University Medical Center (LUMC); Universite de Bretagne Occidentale; CHU Brest; KU Leuven; KU Leuven; Universite Paris Saclay; Universite Paris Saclay; Assistance Publique Hopitaux Paris (APHP); Hopital Universitaire Antoine-Beclere - APHP; Hopital Universitaire Bicetre - APHP; Universite Paris Saclay; Institut National de la Sante et de la Recherche Medicale (Inserm); Hopital Marie Lannelongue</t>
  </si>
  <si>
    <t>Klok, FA (corresponding author), Leiden Univ, Med Ctr, Dept Thrombosis &amp; Hemostasis, Albinusdreef 2, NL-2300 RC Leiden, Netherlands.</t>
  </si>
  <si>
    <t>f.a.klok@LUMC.nl</t>
  </si>
  <si>
    <t>delcroix, marion/AAE-2712-2022; Klok, Erik/JDC-5567-2023; Humbert, Marc/AAC-8459-2019</t>
  </si>
  <si>
    <t>Couturaud, Francis/0000-0002-1855-8032; delcroix, marion/0000-0001-8394-9809; Klok, Erik/0000-0001-9961-0754; Humbert, Marc/0000-0003-0703-2892</t>
  </si>
  <si>
    <t>Actelion Pharmaceuticals Ltd.</t>
  </si>
  <si>
    <t>The concept of this narrative review was developed with the support of Actelion Pharmaceuticals Ltd. The current paper was drafted, critically reviewed, and edited solely by the authors. All authors contributed to manuscript writing and provided final approval for submission.</t>
  </si>
  <si>
    <t>10.1183/13993003.00189-2020</t>
  </si>
  <si>
    <t>MJ5WJ</t>
  </si>
  <si>
    <t>Green Accepted, Green Published, Bronze</t>
  </si>
  <si>
    <t>WOS:000548160000011</t>
  </si>
  <si>
    <t>Konstantinides, SV; Meyer, G; Becattini, C; Bueno, H; Geersing, GJ; Harjola, VP; Huisman, MV; Humbert, M; Jennings, CS; Jiménez, D; Kucher, N; Lang, IM; Lankeit, M; Lorusso, R; Mazzolai, L; Meneveau, N; Ainle, FN; Prandoni, P; Pruszczyk, P; Righini, M; Torbicki, A; Van Belle, E; Zamorano, JL</t>
  </si>
  <si>
    <t>Konstantinides, Stavros, V; Meyer, Guy; Becattini, Cecilia; Bueno, Hector; Geersing, Geert-Jan; Harjola, Veli-Pekka; Huisman, Menno, V; Humbert, Marc; Jennings, Catriona Sian; Jimenez, David; Kucher, Nils; Lang, Irene Marthe; Lankeit, Mareike; Lorusso, Roberto; Mazzolai, Lucia; Meneveau, Nicolas; Ainle, Fionnuala Ni; Prandoni, Paolo; Pruszczyk, Piotr; Righini, Marc; Torbicki, Adam; Van Belle, Eric; Luis Zamorano, Jose</t>
  </si>
  <si>
    <t>Soc Europea Cardiologi ESC</t>
  </si>
  <si>
    <t>ESC 2019 guide for the diagnosis and treatment of acute pulmonary embolism</t>
  </si>
  <si>
    <t>Spanish</t>
  </si>
  <si>
    <t>MOLECULAR-WEIGHT HEPARIN; RECURRENT VENOUS THROMBOEMBOLISM; INFERIOR VENA-CAVA; VENTILATION-PERFUSION SCINTIGRAPHY; DEEP-VEIN THROMBOSIS; RIGHT HEART THROMBI; EXTRACORPOREAL MEMBRANE-OXYGENATION; MULTIDETECTOR COMPUTED-TOMOGRAPHY; RESUSCITATION COUNCIL GUIDELINES; HEMODYNAMICALLY STABLE PATIENTS</t>
  </si>
  <si>
    <t>[Becattini, Cecilia] Univ Perugia, Internal &amp; Cardiovasc Med, Perugia, Italy; [Bueno, Hector] Ctr Nacl Invest Cardiovasc, Madrid, Spain; [Bueno, Hector] Hosp Univ 12 Octubre, Serv Cardiol, Madrid, Spain; [Geersing, Geert-Jan] Univ Utrecht, Univ Med Ctr Utrecht, Julius Ctr Hlth Sci &amp; Primary Care, Utrecht, Netherlands; [Harjola, Veli-Pekka] Univ Helsinki, Helsinki Univ Hosp, Dept Emergency Med &amp; Serv, Emergency Med, Helsinki, Finland; [Huisman, Menno, V] Leiden Univ, Thrombosis &amp; Hemostasis, Med Ctr, Leiden, Netherlands; [Humbert, Marc] Univ Paris Saclay, Univ Paris Sud, Serv Pneumol, Hop Bicerre,Assistance Publ H6pitaux Paris, Le Kremlin Bicetre, France; [Jennings, Catriona Sian] Imperial Coll London, Natl Heart &amp; Lung Inst NHLI, London, England; [Jimenez, David] Univ Alcala, Dept Neumol, IRYCIS, Hosp Ramon y Cajal, Madrid, Spain; [Kucher, Nils] Univ Hosp, Angiol, Zurich, Switzerland; [Lang, Irene Marthe] Med Univ Vienna, Cardiol, Viena, Austria; [Lankeit, Mareike] Charite Univ Med Berlin, Dept Internal Med &amp; Cardiol, Campus Virchow Klinikum, Berlin, Germany; [Lankeit, Mareike] Univ Med Ctr Mainz, Ctr Thrombosis &amp; Hemostasis, Mainz, Germany; [Lankeit, Mareike] Univ Med Ctr Gottingen, Clin Cardiol &amp; Pneumol, Gotinga, Germany; [Lorusso, Roberto] Maastricht Univ Med Ctr MUMC, Heart &amp; Vasc Ctr, Cardiovasc Res Inst Maastricht CARIM, Cardiothorac Surg Dept, Maastricht, Netherlands; [Mazzolai, Lucia] CHUV, Dept Angiol, Lausana, Switzerland; [Meneveau, Nicolas] Univ Hosp Jean Minjoz, Dept Cardiol, Besancon, France; [Meneveau, Nicolas] Univ Franche Comte, EA3920, Besancon, France; [Ainle, Fionnuala Ni] Univ Coll Dublin, Rotunda &amp; Mater Univ Hosp, Haematol, Dublin, Ireland; [Prandoni, Paolo] Arianna Fdn Anticoagulat, Bolonia, Italy; [Pruszczyk, Piotr] Med Univ Warsaw, Dept Internal Med &amp; Cardiol, Warsaw, Poland; [Righini, Marc] Geneva Univ Hosp, Div Angiol &amp; Hemostasis, Geneva, Switzerland; [Righini, Marc] Fac Med, Geneva, Switzerland; [Torbicki, Adam] Ctr Postgrad Med Educ, Dept Pulm Circulat Thromboembol Dis &amp; Cardiol, Warsaw, Ecz Otwock, Poland; [Van Belle, Eric] CHU Lille, Inst Coeur Poumon, Cardiol, Lille, France; [Van Belle, Eric] INSERM U1011 Lille, Lille, France; [Luis Zamorano, Jose] Hosp Ramon &amp; Cajal, Serv Cardiol, Madrid, Spain</t>
  </si>
  <si>
    <t>University of Perugia; Centro Nacional de Investigaciones Cardiovasculares (CNIC); Hospital Universitario 12 de Octubre; Utrecht University; Utrecht University Medical Center; University of Helsinki; Helsinki University Central Hospital; Leiden University - Excl LUMC; Leiden University; Leiden University Medical Center (LUMC); Assistance Publique Hopitaux Paris (APHP); Hopital Universitaire Bicetre - APHP; Universite Paris Saclay; Imperial College London; Universidad de Alcala; Hospital Universitario Ramon y Cajal; University of Zurich; University Zurich Hospital; Medical University of Vienna; Berlin Institute of Health; Free University of Berlin; Humboldt University of Berlin; Charite Universitatsmedizin Berlin; Johannes Gutenberg University of Mainz; Maastricht University; Maastricht University Medical Centre (MUMC); Universite de Franche-Comte; CHU Besancon; Universite de Franche-Comte; University College Dublin; Medical University of Warsaw; University of Geneva; University of Geneva; Centre of Postgraduate Medical Education - Poland; Universite de Lille; CHU Lille; Institut National de la Sante et de la Recherche Medicale (Inserm); Universite de Lille; Hospital Universitario Ramon y Cajal</t>
  </si>
  <si>
    <t>Konstantinides, SV (corresponding author), Johannes Gutenberg Univ Mainz, Ctr Thrombosis &amp; Hemostasis, Bldg 403,Langenbeckstr 1, D-55131 Mainz, Germany.;Konstantinides, SV (corresponding author), Democritus Univ Thrace, Dept Cardiol, Alexandroupolis 68100, Greece.;Meyer, G (corresponding author), Hop Europeen Georges Pompidou, Resp Med Dept, 20 Rue Leblanc, F-75015 Paris, France.;Meyer, G (corresponding author), Univ Paris 05, 15 Rue Ecole Med, F-75006 Paris, France.</t>
  </si>
  <si>
    <t>stavros.konstantinides@unimedizin-mainz.de; guy.meyer@aphp.fr</t>
  </si>
  <si>
    <t>Konstantinides, Stavros/AAL-3174-2021; huisman, menno/AGL-2654-2022; Pruszczyk, Piotr/AAA-3523-2019; Becattini, Cecilia/L-1739-2018; Bueno, Hector/I-3910-2015; David Jimenez, DL/N-6460-2013; Righini, Marc/AAX-8731-2020; Geersing, Geert-Jan/AAY-1119-2021; Lorusso, Roberto/ABB-9275-2020; Mora, Josep/A-9355-2013; Harjola, Veli-Pekka/AFK-2561-2022; Humbert, Marc/AAC-8459-2019</t>
  </si>
  <si>
    <t>Righini, Marc/0000-0003-1211-2969</t>
  </si>
  <si>
    <t>1579-2242</t>
  </si>
  <si>
    <t>10.1016/j.recesp.2019.12.030</t>
  </si>
  <si>
    <t>OL4JB</t>
  </si>
  <si>
    <t>WOS:000585307400012</t>
  </si>
  <si>
    <t>Sanges, S; Rice, L; Tu, L; Cracowski, JL; Montani, D; Mantero, J; Ternynck, C; Marot, G; Hachlla, E; Launay, D; Humbert, M; Guignabert, C; Lafyatis, R</t>
  </si>
  <si>
    <t>Sanges, S.; Rice, L.; Tu, L.; Cracowski, J. L.; Montani, D.; Mantero, J.; Ternynck, C.; Marot, G.; Hachlla, E.; Launay, D.; Humbert, M.; Guignabert, C.; Lafyatis, R.</t>
  </si>
  <si>
    <t>BIOMARKERS OF HEMODYNAMIC SEVERITY OF SYSTEMIC-SCLEROSIS ASSOCIATED PULMONARY ARTERIAL HYPERTENSION BY SERUM PROTEOME ANALYSIS</t>
  </si>
  <si>
    <t>JUN 03, 2020</t>
  </si>
  <si>
    <t>[Sanges, S.; Rice, L.; Mantero, J.] Boston Univ, Sch Med, E5 Arthrit Ctr, Boston, MA 02118 USA; [Sanges, S.; Hachlla, E.; Launay, D.] Univ Lille, U1286, INFINITE, Inst Translat Res Inflammat, Lille, France; [Sanges, S.; Hachlla, E.; Launay, D.] INSERM, U1286, Lille, France; [Sanges, S.; Hachlla, E.; Launay, D.] CHU Lille, Dept Med Interne &amp; Immunol Clin, Lille, France; [Sanges, S.; Hachlla, E.; Launay, D.] Ctr Natl Reference Malad Syst &amp; Autoimmunes Rares, Lille, France; [Sanges, S.; Hachlla, E.; Launay, D.] European Reference Network Rare Connect Tissue &amp;, Lille, France; [Tu, L.; Montani, D.; Humbert, M.; Guignabert, C.] Univ Paris Saclay, Sch Med, Le Kremlin Bicetre, France; [Tu, L.; Montani, D.; Humbert, M.; Guignabert, C.] Hop Marie Lannelongue, INSERM, UMR S 999, Le Plessis Robinson, France; [Cracowski, J. L.] Univ Grenoble Alpes, INSERM, HP2, Grenoble, France; [Montani, D.; Humbert, M.] Hop Bicetre, AP HP, Dept Resp &amp; Intens Care Med, Le Kremlin Bicetre, France; [Ternynck, C.; Marot, G.] Univ Lille, CHU Lille, ULR 2694, METRICS Evaluat Technol Sante &amp; Prat Med, Lille, France; [Marot, G.] Inria Lille Nord Europe MODAL MOdels Data Anal &amp;, Lille, France; [Marot, G.] Univ Lille, Inst Francais Bioinformat Billille Plateforme Bio, Lille, France; [Lafyatis, R.] Univ Pittsburgh, Dept Med, Div Rheumatol &amp; Clin Rheumatol, Pittsburgh, France</t>
  </si>
  <si>
    <t>Boston University; Institut National de la Sante et de la Recherche Medicale (Inserm); Universite de Lille; Institut National de la Sante et de la Recherche Medicale (Inserm); Universite de Lille; Universite de Lille; CHU Lille; Universite Paris Saclay; Institut National de la Sante et de la Recherche Medicale (Inserm); Hopital Marie Lannelongue; Universite Paris Saclay; Communaute Universite Grenoble Alpes; Universite Grenoble Alpes (UGA); Institut National de la Sante et de la Recherche Medicale (Inserm); Universite Paris Saclay; Assistance Publique Hopitaux Paris (APHP); Hopital Universitaire Bicetre - APHP; Hopital Universitaire Antoine-Beclere - APHP; Universite de Lille; CHU Lille; Universite de Lille</t>
  </si>
  <si>
    <t>David, Montani/I-6885-2019; GUIGNABERT, Christophe/G-3873-2013; Sanges, Sebastien/M-4605-2018; TU, Ly/G-4035-2013; Launay, David/JDM-2536-2023; Humbert, Marc/AAC-8459-2019</t>
  </si>
  <si>
    <t>Humbert, Marc/0000-0003-0703-2892; Montani, David/0000-0002-9358-6922</t>
  </si>
  <si>
    <t>FRI0590</t>
  </si>
  <si>
    <t>10.1136/annrheumdis-2020-eular.3367</t>
  </si>
  <si>
    <t>MU8GE</t>
  </si>
  <si>
    <t>WOS:000555905003011</t>
  </si>
  <si>
    <t>Taillé, C; Chanez, P; Devouassoux, G; Didier, A; Pison, C; Garcia, G; Charriot, J; Bouée, S; Gruber, A; Pribil, C; Bourdin, A; Humbert, M</t>
  </si>
  <si>
    <t>Taille, Camille; Chanez, Pascal; Devouassoux, Gilles; Didier, Alain; Pison, Christophe; Garcia, Gilles; Charriot, Jeremy; Bouee, Stephane; Gruber, Alina; Pribil, Celine; Bourdin, Arnaud; Humbert, Marc</t>
  </si>
  <si>
    <t>Mepolizumab in a population with severe eosinophilic asthma and corticosteroid dependence: results from a French early access programme</t>
  </si>
  <si>
    <t>DOUBLE-BLIND; LIFE; MULTICENTER; PREVALENCE</t>
  </si>
  <si>
    <t>Background: Mepolizumab was available in France as part of an early access programme for patients with severe eosinophilic asthma (nominative autorisation temporaire d'utilisation [temporary use authorisation] (nATU)) before its commercialisation. This study aimed to characterise patients who received mepolizumab in the nATU. Methods: This retrospective, observational study analysed data from the hospital medical records of patients up to 24 months after treatment initiation. Study objectives were to describe patient baseline characteristics, the evolution of disease severity and treatment modifications during follow-up; safety was also investigated. Findings: Overall, 146 patients who received &gt;= 1 dose of mepolizumab were included. At inclusion, patients had a mean age of 58.2 years with a mean severe asthma duration of 13.4 years, and 37.0% had respiratory allergies. Patients experienced, on average, 5.8 exacerbations per patient per year at baseline, 0.6 and 0.5 of which required hospitalisation and emergency department visits, respectively. These values improved to 0.6, 0.1 and 0.1 exacerbations per patient per year, respectively, at 24 months of follow-up. Most patients (92.8%) were using oral corticosteroids at baseline, compared with 34.7% by 24 months of follow-up. Moreover, mean blood eosinophil counts improved from 722 cells.mu L-1 at baseline to 92 cells.mu L-1 at 24 months of follow-up; lung function and asthma control followed a similar trend. Interpretation: Results confirm findings from clinical trials, demonstrating that mepolizumab is associated with important improvements in several clinically meaningful outcomes and has a favourable safety profile in a population with severe eosinophilic asthma, outside of the controlled environment of a clinical trial.</t>
  </si>
  <si>
    <t>[Taille, Camille] Hop Bichat Claude Bernard, AP HP Nord, Serv Pneumol, Paris, France; [Taille, Camille] Univ Paris, INSERM, U1152, Paris, France; [Taille, Camille; Chanez, Pascal; Devouassoux, Gilles; Didier, Alain; Pison, Christophe; Garcia, Gilles; Bourdin, Arnaud; Humbert, Marc] F CRIN, Clin Res Initiat Severe Asthma Lever Innovat &amp; Sc, Toulouse, France; [Chanez, Pascal] C2VN Marseille, CIC Nord, Clin Bronches Allergies &amp; Sommeil, Marseille, France; [Chanez, Pascal] Aix Marseille Univ, Dept Resp Dis, INSERM, U1062, Marseille, France; [Devouassoux, Gilles] Hosp Civils Lyon, Hop Croix Rousse, Serv Pneumol, Lyon, France; [Devouassoux, Gilles] Univ Claude Bernard Lyon 1, Villeurbanne, France; [Didier, Alain] CHU Toulouse, Serv Pneumol, Hop Larrey, Toulouse, France; [Pison, Christophe] Univ Grenoble Alpes, Serv Hosp Univ Pneumol Physiol, Pole Thorax &amp; Vaisseaux, CHU Grenoble Alpes, Grenoble, France; [Pison, Christophe] Univ Grenoble Alpes, INSERM, U1055, La Tronche, France; [Garcia, Gilles; Humbert, Marc] Univ Paris Sud, Paris, France; [Garcia, Gilles; Humbert, Marc] Univ Paris Saclay, Hop Bicetre, Paris, France; [Garcia, Gilles; Humbert, Marc] Hop Bicetre, AP HP, Serv Pneumol &amp; Soins Intensifs Resp, Le Kremlin Bicetre, France; [Garcia, Gilles; Humbert, Marc] Hop Bicetre, AP HP, INSERM, U999, Le Kremlin Bicetre, France; [Charriot, Jeremy; Bourdin, Arnaud] Univ Montpellier, CHU Montpellier, Serv Pneumol, Montpellier, France; [Charriot, Jeremy; Bourdin, Arnaud] Univ Montpellier, CHU Montpellier, CNRS, INSERM, Montpellier, France; [Bouee, Stephane] CEMKA, Real World Evidence, Bourg La Reine, France; [Gruber, Alina; Pribil, Celine] Lab GSK France, Rueil Malmaison, France</t>
  </si>
  <si>
    <t>Universite Paris Cite; Assistance Publique Hopitaux Paris (APHP); Hopital Universitaire Bichat-Claude Bernard - APHP; Institut National de la Sante et de la Recherche Medicale (Inserm); Universite Paris Cite; Institut National de la Sante et de la Recherche Medicale (Inserm); Institut National de la Sante et de la Recherche Medicale (Inserm); Aix-Marseille Universite; Institut National de la Sante et de la Recherche Medicale (Inserm); CHU Lyon; Universite Claude Bernard Lyon 1; CHU de Toulouse; Universite de Toulouse; Universite Toulouse III - Paul Sabatier; Communaute Universite Grenoble Alpes; Universite Grenoble Alpes (UGA); CHU Grenoble Alpes; Communaute Universite Grenoble Alpes; Universite Grenoble Alpes (UGA); Institut National de la Sante et de la Recherche Medicale (Inserm); Universite Paris Saclay; Universite Paris Saclay; Assistance Publique Hopitaux Paris (APHP); Hopital Universitaire Bicetre - APHP; Assistance Publique Hopitaux Paris (APHP); Hopital Universitaire Antoine-Beclere - APHP; Universite Paris Saclay; Hopital Universitaire Bicetre - APHP; Universite Paris Saclay; Assistance Publique Hopitaux Paris (APHP); Hopital Universitaire Bicetre - APHP; Hopital Universitaire Antoine-Beclere - APHP; Institut National de la Sante et de la Recherche Medicale (Inserm); Universite de Montpellier; CHU de Montpellier; Institut National de la Sante et de la Recherche Medicale (Inserm); Universite de Montpellier; CHU de Montpellier; Centre National de la Recherche Scientifique (CNRS)</t>
  </si>
  <si>
    <t>Humbert, M (corresponding author), Hop Bicetre, Serv Pneumol &amp; Soins Intensifs Resp, 78 Rue Gen Leclerc, F-94270 Paris, France.</t>
  </si>
  <si>
    <t>Bourdin, Philippe/D-8149-2015; Taille, Camille/J-3751-2017; Charriot, Jeremy/AFK-0302-2022; Humbert, Marc/AAC-8459-2019</t>
  </si>
  <si>
    <t>Charriot, Jeremy/0000-0002-1420-5774; Bourdin, Arnaud/0000-0002-4645-5209; Taille, Camille/0000-0001-9768-5728; chanez, pascal/0000-0003-4059-0917</t>
  </si>
  <si>
    <t>GSK [207943, HO-17-18317]</t>
  </si>
  <si>
    <t>This study (GSK ID: 207943; HO-17-18317) was funded by GSK. Editorial support was funded by GSK. Funding information for this article has been deposited with the Crossref Funder Registry.</t>
  </si>
  <si>
    <t>10.1183/13993003.02345-2019</t>
  </si>
  <si>
    <t>Green Submitted, Green Published, hybrid</t>
  </si>
  <si>
    <t>WOS:000548160000004</t>
  </si>
  <si>
    <t>Valeyre, D; Humbert, M</t>
  </si>
  <si>
    <t>Valeyre, Dominique; Humbert, Marc</t>
  </si>
  <si>
    <t>Interstitial lung diseases in the 2020s</t>
  </si>
  <si>
    <t>[Valeyre, Dominique] Univ Sorbonne Paris Nord, INSERM, UMR 1272, Bobigny, France; [Valeyre, Dominique] Hop Avicenne, AP HP, Serv Pneumol, Bobigny, France; [Humbert, Marc] Univ Paris Saclay, Sch Med, Le Kremlin Bicetre, France; [Humbert, Marc] Hop Bicetre, Pulm Hypertens Natl Referral Ctr, Dept Resp &amp; Intens Care Med, AP HP, Le Kremlin Bicetre, France; [Humbert, Marc] Hop Marie Lannelongue, INSERM, Pulm Hypertens Pathophysiol &amp; Novel Therapies, UMR S 999, Le Plessis Robinson, France</t>
  </si>
  <si>
    <t>Institut National de la Sante et de la Recherche Medicale (Inserm); Universite Paris 13; Assistance Publique Hopitaux Paris (APHP); Hopital Universitaire Avicenne - APHP; Universite Paris Saclay; Assistance Publique Hopitaux Paris (APHP); Hopital Universitaire Antoine-Beclere - APHP; Hopital Universitaire Bicetre - APHP; Universite Paris Saclay; Institut National de la Sante et de la Recherche Medicale (Inserm); Universite Paris Saclay; Hopital Marie Lannelongue</t>
  </si>
  <si>
    <t>Valeyre, D (corresponding author), Univ Sorbonne Paris Nord, INSERM, UMR 1272, Bobigny, France.</t>
  </si>
  <si>
    <t>Valeyre, dominique/0000-0003-4470-1776</t>
  </si>
  <si>
    <t>10.1016/j.lpm.2020.104022</t>
  </si>
  <si>
    <t>MV5HB</t>
  </si>
  <si>
    <t>WOS:000556387800003</t>
  </si>
  <si>
    <t>Humbert, M; Bourdin, A; Papadopoulos, NG; Holgate, ST; Hanania, NA; Halpin, DMG; Chapman, KR; Gavornikova, M; Price, DB; Kaplan, A; Heaney, LG</t>
  </si>
  <si>
    <t>Humbert, Marc; Bourdin, Arnaud; Papadopoulos, Nikolaos G.; Holgate, Stephen T.; Hanania, Nicola A.; Halpin, David M. G.; Chapman, Kenneth R.; Gavornikova, Marcela; Price, David B.; Kaplan, Alan; Heaney, Liam G.</t>
  </si>
  <si>
    <t>Reducing the hidden burden of severe asthma: recognition and referrals from primary practice</t>
  </si>
  <si>
    <t>JOURNAL OF ASTHMA</t>
  </si>
  <si>
    <t>Systemic corticosteroids; referral; specialist; primary care; general practitioner; decision step process; non-corticosteroid therapy</t>
  </si>
  <si>
    <t>INHALED CORTICOSTEROIDS; DOUBLE-BLIND; EFFICACY; EXACERBATIONS; BENRALIZUMAB; MULTICENTER; MEPOLIZUMAB; MANAGEMENT; SAFETY</t>
  </si>
  <si>
    <t>Since their introduction many decades ago, systemic corticosteroids have become a mainstay treatment for asthma. Despite being a highly effective therapy, corticosteroids can cause significant adverse effects in patients. This results in a double hit for some patients as they suffer the burden of disease as well as the burden of treatment-induced morbidity. This article aims to raise awareness of the potential, harmful side effects of prolonged or repeated exposure to systemic corticosteroids in asthma. It also highlights the importance of referral of the appropriate patients with asthma from primary care for specialist assessment once other considerations such as adherence, inhaler technique and co-morbidity have been evaluated. We propose a simple decision step that may help busy primary care physicians and general practitioners to identify patients who could benefit from specialist assessment. Our decision step suggests that a patient with asthma should be reviewed at least once by an asthma specialist if he/she (i) has received &gt;= 2 courses of oral corticosteroids in the previous year; asthma remains uncontrolled despite good adherence and inhaler technique; or (ii) has attended an emergency department or was hospitalized for asthma care. Such referral could facilitate wider access to diagnostic tools, in-depth assessment of confounding comorbidities, and non-corticosteroid-based therapies as needed, which may be unavailable in primary practice.</t>
  </si>
  <si>
    <t>[Humbert, Marc] Univ Paris Saclay, Fac Med, Le Kremlin Bicetre, France; [Humbert, Marc] Hop Bicetre, Serv Pneumol, Le Kremlin Bicetre, France; [Bourdin, Arnaud] Univ Montpellier, CHU Montpellier, INSERM, PhyMedExp,CNRS,Dept Resp Dis, Montpellier, France; [Papadopoulos, Nikolaos G.] Univ Manchester, Div Infect Inflammat &amp; Resp Med, Manchester, Lancs, England; [Papadopoulos, Nikolaos G.] Natl &amp; Kapodistrian Univ Athens, Allergy Dept, Athens, Greece; [Holgate, Stephen T.] Univ Southampton, Fac Med, Southampton, Hants, England; [Hanania, Nicola A.] Baylor Coll Med, Sect Pulm Crit Care &amp; Sleep Med, Houston, TX 77030 USA; [Halpin, David M. G.] Royal Devon &amp; Exeter Hosp, Exeter, Devon, England; [Chapman, Kenneth R.] Univ Hlth Network, Asthma &amp; Airway Ctr, Toronto, ON, Canada; [Chapman, Kenneth R.] Univ Toronto, Toronto, ON, Canada; [Gavornikova, Marcela] Novartis Pharma AG, Basel, Switzerland; [Price, David B.] Observat &amp; Pragmat Res Inst, Singapore, Singapore; [Price, David B.] Univ Aberdeen, Aberdeen, Scotland; [Kaplan, Alan] Univ Toronto, Family Phys Airways Grp Canada, Toronto, ON, Canada; [Heaney, Liam G.] Queens Univ Belfast, Sch Med Dent &amp; Biomed Sci, Ctr Expt Med, Belfast, Antrim, North Ireland</t>
  </si>
  <si>
    <t>Universite Paris Saclay; Assistance Publique Hopitaux Paris (APHP); Hopital Universitaire Bicetre - APHP; Hopital Universitaire Antoine-Beclere - APHP; Universite Paris Saclay; Centre National de la Recherche Scientifique (CNRS); Universite de Montpellier; CHU de Montpellier; Institut National de la Sante et de la Recherche Medicale (Inserm); University of Manchester; National &amp; Kapodistrian University of Athens; University of Southampton; Baylor College of Medicine; University of Exeter; University of Toronto; University Health Network Toronto; University of Toronto; Novartis; University of Aberdeen; University of Toronto; Queens University Belfast</t>
  </si>
  <si>
    <t>Humbert, M (corresponding author), Univ Paris Saclay, Hop Bicetre, Fac Med, Serv Pneumol, 78 Rue Gen Leclerc, F-94270 Le Kremlin Bicetre, France.</t>
  </si>
  <si>
    <t>Price, David/H-2837-2019; holgate, stephen/JOZ-4882-2023; Bourdin, Philippe/D-8149-2015; Hanania, Nicola/C-5875-2016; Humbert, Marc/AAC-8459-2019; Papadopoulos, Nikolaos/L-8670-2013</t>
  </si>
  <si>
    <t>Heaney, Liam/0000-0002-9176-5564; Humbert, Marc/0000-0003-0703-2892; holgate, stephen/0000-0003-2658-4617; Papadopoulos, Nikolaos/0000-0002-4448-3468; Kaplan, Alan/0000-0001-8795-5528; Price, David/0000-0002-9728-9992; Bourdin, Arnaud/0000-0002-4645-5209</t>
  </si>
  <si>
    <t>Novartis Pharma AG, Basel, Switzerland; MRC [G0800766] Funding Source: UKRI; UKRI [NE/T002069/1] Funding Source: UKRI</t>
  </si>
  <si>
    <t>Novartis Pharma AG, Basel, Switzerland; MRC(UK Research &amp; Innovation (UKRI)Medical Research Council UK (MRC)); UKRI(UK Research &amp; Innovation (UKRI))</t>
  </si>
  <si>
    <t>Medical writing support was provided by Gillian Lavelle, PhD, and Ian Wright, PhD, of Novartis Product Lifecycle Services, Dublin, Ireland, funded by Novartis Pharma AG, Basel, Switzerland, in accordance with Good Publication Practice (GPP3) guidelines (http://www.ismpp.org/gpp3).</t>
  </si>
  <si>
    <t>0277-0903</t>
  </si>
  <si>
    <t>1532-4303</t>
  </si>
  <si>
    <t>J ASTHMA</t>
  </si>
  <si>
    <t>J. Asthma</t>
  </si>
  <si>
    <t>JUL 3</t>
  </si>
  <si>
    <t>10.1080/02770903.2020.1759084</t>
  </si>
  <si>
    <t>MAY 2020</t>
  </si>
  <si>
    <t>Allergy; Respiratory System</t>
  </si>
  <si>
    <t>SW2EJ</t>
  </si>
  <si>
    <t>WOS:000533753100001</t>
  </si>
  <si>
    <t>Bernstein, JA; Virchow, JC; Murphy, K; Maspero, JF; Jacobs, J; Adir, Y; Humbert, M; Castro, M; Marsteller, DA; McElhattan, J; Hickey, L; Garin, M; Vanlandingham, R; Brusselle, G</t>
  </si>
  <si>
    <t>Bernstein, Jonathan A.; Virchow, J. Christian; Murphy, Kevin; Maspero, Jorge Fernando; Jacobs, Joshua; Adir, Yochai; Humbert, Marc; Castro, Mario; Marsteller, Douglas A.; McElhattan, Jennifer; Hickey, Lisa; Garin, Margaret; Vanlandingham, Rebecca; Brusselle, Guy</t>
  </si>
  <si>
    <t>Effect of fixed-dose subcutaneous reslizumab on asthma exacerbations in patients with severe uncontrolled asthma and corticosteroid sparing in patients with oral corticosteroid-dependent asthma: results from two phase 3, randomised, double-blind, placebo-controlled trials</t>
  </si>
  <si>
    <t>BENRALIZUMAB; EFFICACY; ANTIBODY; SAFETY</t>
  </si>
  <si>
    <t>Background Reslizumab 3 mg/kg administered intravenously is approved for the treatment of severe eosinophilic asthma. We assessed the safety and efficacy of subcutaneous reslizumab 110 mg in two trials in patients with uncontrolled severe asthma and increased blood eosinophils. The aim was to establish whether subcutaneous reslizumab 110 mg can reduce exacerbation rates in these patients (study 1) or reduce maintenance oral corticosteroid dose in patients with corticosteroid-dependent asthma (study 2). Methods Both studies were randomised, double-blind, placebo-controlled, phase 3 studies. Entry criteria for study 1 were uncontrolled severe asthma, two or more asthma exacerbations in the previous year, a blood eosinophil count of 300 cells per pL or more (including no more than 30% patients with an eosinophil count &lt;400 cells/mu L), and at least a medium dose of inhaled corticosteroids with one or more additional asthma controllers. Patients in study 2 had severe asthma, a blood eosinophil count of 300 cells per pL or more, daily maintenance oral corticosteroid (prednisone 5-40 mg, or equivalent), and high-dose inhaled corticosteroids plus another controller. Patients were randomly assigned (1:1) to subcutaneous reslizumab (110 mg) or placebo once every 4 weeks for 52 weeks in study 1 and 24 weeks in study 2. Patients and investigators were masked to treatment assignment. Primary efficacy outcomes were frequency of exacerbations during 52 weeks in study 1 and categorised percentage reduction in daily oral corticosteroid dose from baseline to weeks 20-24 in study 2. Primary efficacy analyses were by intention to treat, and safety analyses included all patients who received at least one dose of study treatment. These studies are registered with ClinicalTrials.gov, NCT02452190 (study 1) and NCT02501629 (study 2). Findings Between Aug 12, 2015, and Jan 31, 2018, 468 patients in study 1 were randomly assigned to placebo (n=232) or subcutaneous reslizumab (n=236), and 177 in study 2 to placebo (n=89) or subcutaneous reslizumab (n=88). In study 1, we found no significant difference in the exacerbation rate between reslizumab and placebo in the intention-to-treat population (rate ratio 0.79, 95% CI 0.56-1.12; p=0.19). Subcutaneous reslizumab reduced exacerbation frequency compared with placebo in the subgroup of patients with blood eosinophil counts of 400 cells per pL or more (0.64, 95% CI O. 43-0. 95). Greater reductions in annual exacerbation risk (p=0.0035) and longer time to first exacerbation were observed for patients with higher trough serum reslizumab concentrations. In study 2, we found no difference between placebo and fixed-dose subcutaneous reslizumab in categorised percentage reduction in daily oral corticosteroid dose (odds ratio for a lower category of oral corticosteroid use in the reslizumab group vs the placebo group, 1. 23, 95% CI 0.70-2.16; p=0.47). The frequency of adverse events and serious adverse events with reslizumab were similar to those with placebo in both studies. Interpretation Fixed-dose (110 mg) subcutaneous reslizumab was not effective in reducing exacerbation frequency in patients with uncontrolled asthma and increased blood eosinophils (&gt;= 300 cells/mu L), or in reducing the daily maintenance oral corticosteroid dose in patients with oral corticosteroid-dependent severe eosinophilic asthma. Higher exposures than those observed with 110 mg subcutaneous reslizumab are required to achieve maximal efficacy. Copyright (C) 2020 Elsevier Ltd. All rights reserved.</t>
  </si>
  <si>
    <t>[Bernstein, Jonathan A.] Univ Cincinnati, Dept Internal Med, Div Immunol Allergy Sect, Coll Med, Cincinnati, OH 45267 USA; [Bernstein, Jonathan A.] Bernstein Clin Res Ctr, Cincinnati, OH USA; [Virchow, J. Christian] Univ Med Rostock, Dept Pulm Med &amp; Intens Care Med, Rostock, Germany; [Murphy, Kevin] Boys Town Natl Res Hosp, Allergy Asthma &amp; Pulm Res, Boys Town, NE USA; [Maspero, Jorge Fernando] Fdn CIDEA, Allergy &amp; Resp Res Unit, Buenos Aires, DF, Argentina; [Jacobs, Joshua] Allergy &amp; Asthma Clin Res, Walnut Creek, CA USA; [Adir, Yochai] Technion, Lady Davis Carmel Med Ctr, Inst Technol, Pulm Div,Fac Med, Haifa, Israel; [Humbert, Marc] Univ Paris Saclay, Serv Pneumol, Hop Bicetre, AP HP, Le Kremlin Bicetre, France; [Castro, Mario] Univ Kansas, Div Pulm Crit Care &amp; Sleep Med, Sch Med, Kansas City, KS USA; [Marsteller, Douglas A.; McElhattan, Jennifer; Hickey, Lisa; Garin, Margaret; Vanlandingham, Rebecca] Teva Branded Pharmaceut Prod, W Chester, PA USA; [Brusselle, Guy] Ghent Univ Hosp, Dept Resp Med, Ghent, Belgium; [Brusselle, Guy] Erasmus MC, Dept Epidemiol &amp; Resp Med, Univ Med Ctr Rotterdam, Rotterdam, Netherlands</t>
  </si>
  <si>
    <t>University System of Ohio; University of Cincinnati; University of Rostock; Boys Town National Research Hospital; Clalit Health Services; Carmel Medical Center; Technion Israel Institute of Technology; Rappaport Faculty of Medicine; Assistance Publique Hopitaux Paris (APHP); Hopital Universitaire Bicetre - APHP; Universite Paris Saclay; Hopital Universitaire Antoine-Beclere - APHP; Institut National de la Sante et de la Recherche Medicale (Inserm); University of Kansas; University of Kansas Medical Center; Ghent University; Ghent University Hospital; Erasmus University Rotterdam; Erasmus MC</t>
  </si>
  <si>
    <t>Bernstein, JA (corresponding author), Univ Cincinnati, Coll Med, Cincinnati, OH 45267 USA.</t>
  </si>
  <si>
    <t>bernstja@ucmail.uc.edu</t>
  </si>
  <si>
    <t>Castro, Mario/ABD-7776-2021; Brusselle, Guy/AFU-8839-2022; Humbert, Marc/AAC-8459-2019</t>
  </si>
  <si>
    <t>Humbert, Marc/0000-0003-0703-2892; Brusselle, Guy/0000-0001-7021-8505; Bernstein, Jonathan/0000-0002-3476-1196; MARSTELLER, DOUGLAS/0009-0004-6096-3930</t>
  </si>
  <si>
    <t>Teva Branded Pharmaceutical Products RD</t>
  </si>
  <si>
    <t>Teva Branded Pharmaceutical Products RD(Teva Pharmaceutical Industries)</t>
  </si>
  <si>
    <t>Teva Branded Pharmaceutical Products R&amp;D.</t>
  </si>
  <si>
    <t>10.1016/S2213-2600(19)30372-8</t>
  </si>
  <si>
    <t>LK7VL</t>
  </si>
  <si>
    <t>WOS:000531069600034</t>
  </si>
  <si>
    <t>Sitbon, O; Reis, A; Humbert, M; Noordegraaf, AV; Delcroix, M</t>
  </si>
  <si>
    <t>Sitbon, Olivier; Reis, Abilio; Humbert, Marc; Noordegraaf, Anton Vonk; Delcroix, Marion</t>
  </si>
  <si>
    <t>PHAROS Clinical Res Collaboration</t>
  </si>
  <si>
    <t>Severe Pulmonary Hypertension Management Across Europe (PHAROS): an ERS Clinical Research Collaboration</t>
  </si>
  <si>
    <t>ARTERIAL-HYPERTENSION; SURVIVAL; INCIDENT; REGISTRY</t>
  </si>
  <si>
    <t>[Sitbon, Olivier] Hop Bicetre, APHP, GH Paris Saclay, Serv Pneumol,Ctr Reference Hypertens Pulm, Le Kremlin Bicetre, France; [Sitbon, Olivier] Univ Paris Saclay, Fac Med, Le Kremlin Bicetre, France; [Sitbon, Olivier; Humbert, Marc] Hop Marie Lannelongue, INSERM, UMR S999, Pulm Hypertens Pathophysiol &amp; Innovat Therapies, Le Plessis Robinson, France; [Reis, Abilio] Ctr Hosp Univ Porto, Pulm Vasc Dis Unit, Dept Med, Porto, Portugal; [Noordegraaf, Anton Vonk] Amsterdam UMC, Dept Pulm Med, Amsterdam, Netherlands; [Delcroix, Marion] UZ Leuven, Pulm Hypertens Ctr, Clin Dept Resp Dis, Leuven, Belgium; [Delcroix, Marion] Katholieke Univ Leuven, BREATHE, Dept CHROMETA, Leuven, Belgium</t>
  </si>
  <si>
    <t>Assistance Publique Hopitaux Paris (APHP); Hopital Universitaire Antoine-Beclere - APHP; Universite Paris Saclay; Hopital Universitaire Bicetre - APHP; Universite Paris Saclay; Universite Paris Saclay; Hopital Marie Lannelongue; Institut National de la Sante et de la Recherche Medicale (Inserm); Universidade do Porto; University of Amsterdam; KU Leuven; University Hospital Leuven; KU Leuven</t>
  </si>
  <si>
    <t>Sitbon, O (corresponding author), Hop Bicetre, Serv Pneumol, 78 Rue Gen Leclerc, Le Kremlin Bicetre 94275, France.</t>
  </si>
  <si>
    <t>Reis, Ana Claudia/N-3124-2016; delcroix, marion/AAE-2712-2022; Sitbon, Olivier/I-3623-2019; Humbert, Marc/AAC-8459-2019</t>
  </si>
  <si>
    <t>SITBON, Olivier/0000-0002-1942-1951; Humbert, Marc/0000-0003-0703-2892; Vonk Noordegraaf, Anton/0000-0002-4057-758X; delcroix, marion/0000-0001-8394-9809; Reis, Abilio/0000-0002-9932-3736; Reis, AlessanRSS/0000-0001-8486-7469</t>
  </si>
  <si>
    <t>10.1183/13993003.01047-2020</t>
  </si>
  <si>
    <t>LK8HL</t>
  </si>
  <si>
    <t>WOS:000531100800026</t>
  </si>
  <si>
    <t>Thoré, P; Girerd, B; Jaïs, X; Savale, L; Ghigna, MR; Eyries, M; Levy, M; Ovaert, C; Servettaz, A; Guillaumot, A; Dauphin, C; Chabanne, C; Boiffard, E; Cottin, V; Perros, F; Simonneau, G; Sitbon, O; Soubrier, F; Bonnet, D; Remy-Jardin, M; Chaouat, A; Humbert, M; Montani, D</t>
  </si>
  <si>
    <t>Thore, Pierre; Girerd, Barbara; Jais, Xavier; Savale, Laurent; Ghigna, Maria-Rosa; Eyries, Melanie; Levy, Marilyne; Ovaert, Caroline; Servettaz, Amelie; Guillaumot, Anne; Dauphin, Claire; Chabanne, Celine; Boiffard, Emmanuel; Cottin, Vincent; Perros, Frederic; Simonneau, Gerald; Sitbon, Olivier; Soubrier, Florent; Bonnet, Damien; Remy-Jardin, Martine; Chaouat, Ari; Humbert, Marc; Montani, David</t>
  </si>
  <si>
    <t>Phenotype and outcome of pulmonary arterial hypertension patients carrying a TBX4 mutation</t>
  </si>
  <si>
    <t>CLINICAL-OUTCOMES; BMPR2; GRANULOMAS; ROLES</t>
  </si>
  <si>
    <t>Introduction: TBX4 mutation causes small patella syndrome (SPS) and/or pulmonary arterial hypertension (PAH). The characteristics and outcomes of PAH associated with TBX4 mutations are largely unknown. Methods: We report the clinical, functional, radiologic, histologic and haemodynamic characteristics and outcomes of heritable PAH patients carrying a TBX4 mutation from the French pulmonary hypertension (PH) network. Results: 20 patients were identified in 17 families. They were characterised by a median age at diagnosis of 29 years (0-76 years) and a female to male ratio of three. Most of the patients (70%) were in New York Heart Association (NYHA) functional class III or IV with a severe haemodynamic impairment (median pulmonary vascular resistance (PVR) of 13.6 (6.2-41.8) Wood units). Skeletal signs of SPS were present in 80% of cases. Half of the patients had mild restrictive or obstructive limitation and diffusing capacity of the lung for carbon monoxide (D-LCO) was decreased in all patients. High-resolution computed tomography (HRCT) showed bronchial abnormalities, peri-bronchial cysts, mosaic distribution and mediastinal lymphadenopathies. PAH therapy was associated with significant clinical improvement. At follow-up (median 76 months), two patients had died and two had undergone lung transplantation. One-year, three-year and five-year event-free survival rates were 100%, 99% and 83%, respectively. Histologic examination of explanted lungs revealed alveolar growth abnormalities, major pulmonary vascular remodelling similar to that observed in idiopathic pulmonary arterial hypertension (IPAH) and accumulation of cholesterol crystals within the lung parenchyma. Conclusion: PAH due to TBX4 mutations may occur with or without skeletal abnormalities across a broad age range from birth to late adulthood. PAH is usually severe and associated with bronchial and parenchymal abnormalities.</t>
  </si>
  <si>
    <t>[Thore, Pierre; Girerd, Barbara; Jais, Xavier; Perros, Frederic; Simonneau, Gerald; Sitbon, Olivier; Humbert, Marc; Montani, David] Hop Bicetre, Assistance Publ Hop Paris, Dept Resp &amp; Intens Care Med, Pulm Hypertens Natl Referral Ctr, Le Kremlin Bicetre, France; [Thore, Pierre; Guillaumot, Anne; Chaouat, Ari] Hop Brabois, Dept Pneumol, Ctr Hosp Reg Univ Nancy, Vandoeuvre Les Nancy, France; [Thore, Pierre; Chaouat, Ari] Univ Lorraine, Fac Med Nancy, Defaillance Cardiovasc Aigue &amp; Chron, Inserm,UMR S 1116, Nancy, France; [Girerd, Barbara; Jais, Xavier; Savale, Laurent; Perros, Frederic; Simonneau, Gerald; Sitbon, Olivier; Humbert, Marc; Montani, David] Univ Paris Saclay, Sch Med, Le Kremlin Bicetre, France; [Girerd, Barbara; Jais, Xavier; Savale, Laurent; Ghigna, Maria-Rosa; Perros, Frederic; Simonneau, Gerald; Sitbon, Olivier; Humbert, Marc; Montani, David] Hop Marie Lannelongue, INSERM, Pulm Hypertens Pathophysiol &amp; Novel Therapies, UMR S 999, Le Plessis Robinson, France; [Ghigna, Maria-Rosa; Soubrier, Florent] Hop Marie Lannelongue, Serv Anatomopathol, Le Plessis Robinson, France; [Eyries, Melanie] Hop La Pitie Salpetriere, Assistance Publ Hop Paris, Grp Hosp Pitie Salpetriere Charles Foix, UF Oncogenet &amp; Angiogenet Mol,Dept Genet, Paris, France; [Levy, Marilyne; Bonnet, Damien] Hop Necker Enfants Malad, Assistance Publ Hop Paris, Serv Cardiol Pediat, Paris, France; [Ovaert, Caroline] Hop La Timone, Assistance Publ Hop Marseille, Serv Medicochirurg Cardiol Pediat &amp; Congenitale, Marseille, France; [Servettaz, Amelie] Hop Robert Debre, Ctr Hosp Univ Reims, Serv Med Interne Malad Infect &amp; Immunol Clin, Reims, France; [Dauphin, Claire] Hop Gabriel Montpied, Ctr Hosp Univ Clermont Ferrand, Serv Cardiol &amp; Malad Vasc, Clermont Ferrand, France; [Chabanne, Celine] Ctr Hosp Univ Rennes, Ctr Cardiopneumol, Serv Cardiol &amp; Malad Vasc, Rennes, France; [Boiffard, Emmanuel] Hop La Roche Yon, Ctr Hosp Dept Vendee, Serv Cardiol, La Roche Sur Yon, France; [Cottin, Vincent] Hop Louis Pradel, Ctr Hosp Univ Lyon HCL, Grp Hosp Est, Ctr Reference Malad Pulm Rares,Serv Pneumol, Bron, France; [Remy-Jardin, Martine] Hop Albert Calmette, Ctr Hosp Univ Lille, Serv Imagerie Thorac, Lille, France</t>
  </si>
  <si>
    <t>Assistance Publique Hopitaux Paris (APHP); Hopital Universitaire Bicetre - APHP; Hopital Universitaire Antoine-Beclere - APHP; Universite Paris Saclay; Universite Paris Cite; Hopital Universitaire Saint-Louis - APHP; CHU de Nancy; Universite de Lorraine; Institut National de la Sante et de la Recherche Medicale (Inserm); Universite Paris Saclay; Hopital Marie Lannelongue; Institut National de la Sante et de la Recherche Medicale (Inserm); Universite Paris Saclay; Hopital Marie Lannelongue; Assistance Publique Hopitaux Paris (APHP); Universite Paris Cite; Hopital Universitaire Saint-Louis - APHP; Hopital Universitaire Pitie-Salpetriere - APHP; Hopital Universitaire Charles-Foix - APHP; Sorbonne Universite; Assistance Publique Hopitaux Paris (APHP); Universite Paris Cite; Hopital Universitaire Necker-Enfants Malades - APHP; Hopital Universitaire Saint-Louis - APHP; Aix-Marseille Universite; Assistance Publique-Hopitaux de Marseille; Universite de Reims Champagne-Ardenne; CHU de Reims; CHU Clermont Ferrand; Universite de Rennes; CHU Rennes; CHD Vendee; CHU Lyon; Universite de Lille; CHU Lille</t>
  </si>
  <si>
    <t>Chaouat, Ari/AAP-6784-2021; EYRIES, melanie/ABF-1034-2020; Simonneau, Gerald/ABE-6614-2020; Savale, Laurent/AAJ-9781-2020; Thoré, Pierre/HKE-8857-2023; David, Montani/I-6885-2019; Humbert, Marc/AAC-8459-2019; Perros, Frederic/N-6921-2017</t>
  </si>
  <si>
    <t>Thore, Pierre/0000-0001-7378-2419; Ovaert, Caroline/0000-0002-2277-2760; Montani, David/0000-0002-9358-6922; Savale, Laurent/0000-0002-6862-8975; Humbert, Marc/0000-0003-0703-2892; Ghigna, Maria Rosa/0000-0001-5996-665X; Bonnet, Damien/0000-0002-8722-5805; Perros, Frederic/0000-0001-7730-2427; JAIS, XAVIER/0000-0002-4104-7994</t>
  </si>
  <si>
    <t>10.1183/13993003.02340-2019</t>
  </si>
  <si>
    <t>MJ5VS</t>
  </si>
  <si>
    <t>WOS:000548158300029</t>
  </si>
  <si>
    <t>Vis, D; Boucly, A; Humbert, M; Weatherald, J</t>
  </si>
  <si>
    <t>Vis, Daniel; Boucly, Athenais; Humbert, Marc; Weatherald, Jason</t>
  </si>
  <si>
    <t>Which patients are SaPHe in sarcoidosis-associated pulmonary hypertension?</t>
  </si>
  <si>
    <t>[Vis, Daniel; Weatherald, Jason] Univ Calgary, Div Respirol, Dept Med, Calgary, AB, Canada; [Vis, Daniel] Royal Brompton Hosp, London, England; [Boucly, Athenais; Humbert, Marc] Univ Paris Saclay, Fac Med, Le Kremlin Bicetre, France; [Boucly, Athenais; Humbert, Marc] Hop Bicetre, AP HP, Dept Resp &amp; Intens Care Med, Pulm Hypertens Natl Referral Ctr, Le Kremlin Bicetre, France; Hop Marie Lannelongue, UMR S 999, INSERM, Le Plessis Robinson, France; [Weatherald, Jason] Libin Cardiovasc Inst Alberta, Calgary, AB, Canada</t>
  </si>
  <si>
    <t>University of Calgary; Royal Brompton Hospital; Universite Paris Saclay; Assistance Publique Hopitaux Paris (APHP); Hopital Universitaire Antoine-Beclere - APHP; Hopital Universitaire Bicetre - APHP; Universite Paris Saclay; Institut National de la Sante et de la Recherche Medicale (Inserm); Hopital Marie Lannelongue; Universite Paris Saclay; Libin Cardiovascular Institute Of Alberta</t>
  </si>
  <si>
    <t>Weatherald, J (corresponding author), Peter Lougheed Ctr, 3500 26 Ave NE, Calgary, AB T1Y 6J4, Canada.</t>
  </si>
  <si>
    <t>Boucly, Athenais/0000-0001-6246-5557; Weatherald, Jason/0000-0002-0615-4575; Humbert, Marc/0000-0003-0703-2892</t>
  </si>
  <si>
    <t>10.1183/13993003.00700-2020</t>
  </si>
  <si>
    <t>WOS:000548158300009</t>
  </si>
  <si>
    <t>Albers, FC; Hozawa, S; Bratton, DJ; Yancey, SW; Prazma, CM; Humbert, M; Liu, MC</t>
  </si>
  <si>
    <t>Albers, Frank C.; Hozawa, Soichiro; Bratton, Daniel J.; Yancey, Steven W.; Prazma, Charlene M.; Humbert, Marc; Liu, Mark C.</t>
  </si>
  <si>
    <t>Update: Mepolizumab treatment in patients with severe eosinophilic asthma and prior omalizumab use</t>
  </si>
  <si>
    <t>asthma; asthma treatment; biologics; eosinophils</t>
  </si>
  <si>
    <t>DOUBLE-BLIND; MULTICENTER; EFFICACY</t>
  </si>
  <si>
    <t>[Albers, Frank C.] GSK, Resp Med Franchise, Res Triangle Pk, NC 27709 USA; [Hozawa, Soichiro] Hiroshima Allergy &amp; Resp Clin, Hiroshima, Japan; [Bratton, Daniel J.] GSK, Clin Stat, Uxbridge, Middx, England; [Yancey, Steven W.; Prazma, Charlene M.] GSK, Resp Therapeut Area, Res Triangle Pk, NC USA; [Humbert, Marc] Univ Paris Sud, Hop Bicetre, AP HP,Serv Pneumol, INSERM,UMR 999,Dept Hosp Univ Thorax Innovat, Le Kremlin Bicetre, France; [Liu, Mark C.] Johns Hopkins Asthma &amp; Allergy Ctr, Baltimore, MD USA; [Albers, Frank C.] Avillion US Inc, Northbrook, IL 60062 USA</t>
  </si>
  <si>
    <t>GlaxoSmithKline; Glaxosmithkline USA; GlaxoSmithKline; Glaxosmithkline United Kingdom; GlaxoSmithKline; Glaxosmithkline USA; Assistance Publique Hopitaux Paris (APHP); Hopital Universitaire Bicetre - APHP; Institut National de la Sante et de la Recherche Medicale (Inserm); Hopital Universitaire Antoine-Beclere - APHP; Universite Paris Saclay; Johns Hopkins University; Johns Hopkins Medicine</t>
  </si>
  <si>
    <t>Albers, FC (corresponding author), GSK, Resp Med Franchise, Res Triangle Pk, NC 27709 USA.;Albers, FC (corresponding author), Avillion US Inc, Northbrook, IL 60062 USA.;Albers, FC (corresponding author), 103 Glade St, Chapel Hill, NC 27516 USA.</t>
  </si>
  <si>
    <t>frank-c.albers@t-online.de</t>
  </si>
  <si>
    <t>Albers, Frank/0000-0001-7039-4621; Humbert, Marc/0000-0003-0703-2892</t>
  </si>
  <si>
    <t>10.1111/all.14048</t>
  </si>
  <si>
    <t>LH9WE</t>
  </si>
  <si>
    <t>WOS:000529134100021</t>
  </si>
  <si>
    <t>Amedro, P; Gavotto, A; Abassi, H; Picot, MC; Matecki, S; Malekzadeh-Milani, S; Levy, M; Ladouceur, M; Ovaert, C; Aldebert, P; Thambo, JB; Fraisse, A; Humbert, M; Cohen, S; Baruteau, AE; Karsenty, C; Bonnet, D; Hascoet, S</t>
  </si>
  <si>
    <t>Amedro, Pascal; Gavotto, Arthur; Abassi, Hamouda; Picot, Marie-Christine; Matecki, Stefan; Malekzadeh-Milani, Sophie; Levy, Marilyne; Ladouceur, Magalie; Ovaert, Caroline; Aldebert, Philippe; Thambo, Jean-Benoit; Fraisse, Alain; Humbert, Marc; Cohen, Sarah; Baruteau, Alban-Elouen; Karsenty, Clement; Bonnet, Damien; Hascoet, Sebastien</t>
  </si>
  <si>
    <t>SV-INHIBITION Study Investigators</t>
  </si>
  <si>
    <t>Efficacy of phosphodiesterase type 5 inhibitors in univentricular congenital heart disease: the SV-INHIBITION study design</t>
  </si>
  <si>
    <t>ESC HEART FAILURE</t>
  </si>
  <si>
    <t>Congenital heart defect; Single ventricle; Pulmonary hypertension; Sildenafil; Pulmonary vasodilator; Exercise capacity</t>
  </si>
  <si>
    <t>PULMONARY VASCULAR-RESISTANCE; QUALITY-OF-LIFE; FONTAN PATIENTS; SILDENAFIL EXPOSURE; EXERCISE CAPACITY; CIRCULATION; BOSENTAN; ADULTS; MANAGEMENT; OPERATION</t>
  </si>
  <si>
    <t>Aims In univentricular hearts, selective lung vasodilators such as phosphodiesterase type 5 (PDE5) inhibitors would decrease pulmonary resistance and improve exercise tolerance. However, the level of evidence for the use of PDE5 inhibitors in patients with a single ventricle (SV) remains limited. We present the SV-INHIBITION study rationale, design, and methods. Methods and results The SV-INHIBITION trial is a nationwide multicentre, randomized, double blind, placebo-controlled, Phase III study, aiming to evaluate the efficacy of sildenafil on the ventilatory efficiency during exercise, in teenagers and adult patients (&gt;15 years old) with an SV. Patients with a mean pulmonary arterial pressure &gt;15 mmHg and a trans-pulmonary gradient &gt;5 mmHg, measured by cardiac catheterization, will be eligible. The primary outcome is the variation of the VE/VCO2 slope, measured by a cardiopulmonary exercise test, between baseline and 6 months of treatment. A total of 50 patients are required to observe a decrease of 5 +/- 5 points in the VE/VCO2 slope, with a power of 90% and an alpha risk of 5%. The secondary outcomes are clinical outcomes, oxygen saturation, 6 min walk test, SV function, NT-proBNP, peak VO2, stroke volume, mean pulmonary arterial pressure, trans-pulmonary gradient, SF36 quality of life score, safety, and acceptability. Conclusions The SV-INHIBITION study aims to answer the question whether PDE5 inhibitors should be prescribed in patients with an SV. This trial has been built focusing on the three levels of research defined by the World Health Organization: disability (exercise tolerance), deficit (SV function), and handicap (quality of life).</t>
  </si>
  <si>
    <t>[Amedro, Pascal; Gavotto, Arthur; Abassi, Hamouda; Matecki, Stefan] CHU Montpellier, Reg Reference CHD Ctr M3C, Paediat &amp; Congenital Cardiol Dept, Montpellier, France; [Amedro, Pascal; Matecki, Stefan] Univ Montpellier, CHU Montpellier, INSERM, PhyMedExp,CNRS, Montpellier, France; [Picot, Marie-Christine] CHU Montpellier, Dept Epidemiol &amp; Biostat, Montpellier, France; [Malekzadeh-Milani, Sophie; Levy, Marilyne; Bonnet, Damien] Paris Descartes Univ, Necker Enfants Malades, AP HP, Natl Reference Ctr M3C,Sorbonne Paris Cite,Paedia, Paris, France; [Ladouceur, Magalie] Hop Europeen Georges Pompidou, Natl Reference Ctr M3C, Dept Cardiol, Adult Congenital Heart Dis Unit, Paris, France; [Ovaert, Caroline; Aldebert, Philippe] La Timone Univ Hosp, AP HM, Reg Reference Ctr M3C, Paediat &amp; Congenital Medicosurg Cardiol Dept, Marseille, France; [Ovaert, Caroline] Aix Marseille Univ, INSERM UMR 1251, Lab Med Genet, Marseille, France; [Thambo, Jean-Benoit] CHU Bordeaux, Hop Cardiol Haut Leveque, Natl Reference Ctr M3C, Paediat &amp; Adult Congenital Heart Dis Dept, Bordeaux, France; [Fraisse, Alain] Royal Brompton &amp; Harefield Hosp Trust, Pediat Cardiol Serv, London, England; [Humbert, Marc] Kremlin Bicetre, AP HP, PH Natl Reference Ctr, Dept Pulmonol, Paris, France; [Humbert, Marc; Cohen, Sarah; Hascoet, Sebastien] Paris Sud Univ, Paris Sud Fac Med, Marie Lannelongue Hosp, INSERM U999,Natl Reference Ctr M3C, Paris, France; [Baruteau, Alban-Elouen] CHU Nantes, Reg Reference CHD Ctr M3C, Paediat &amp; Congenital Cardiol Dept, Nantes, France; [Karsenty, Clement] CHU Toulouse, Reg Reference CHD Ctr M3C, Paediat &amp; Congenital Cardiol Dept, Toulouse, France</t>
  </si>
  <si>
    <t>Universite de Montpellier; CHU de Montpellier; Institut National de la Sante et de la Recherche Medicale (Inserm); Universite de Montpellier; CHU de Montpellier; Centre National de la Recherche Scientifique (CNRS); Universite de Montpellier; CHU de Montpellier; Assistance Publique Hopitaux Paris (APHP); Universite Paris Cite; Hopital Universitaire Necker-Enfants Malades - APHP; Institut National de la Sante et de la Recherche Medicale (Inserm); Assistance Publique Hopitaux Paris (APHP); Universite Paris Cite; Hopital Universitaire Europeen Georges-Pompidou - APHP; Aix-Marseille Universite; Assistance Publique-Hopitaux de Marseille; Aix-Marseille Universite; Institut National de la Sante et de la Recherche Medicale (Inserm); Universite de Bordeaux; CHU Bordeaux; Royal Brompton &amp; Harefield NHS Foundation Trust; Harefield Hospital; Assistance Publique Hopitaux Paris (APHP); Hopital Universitaire Bicetre - APHP; Institut National de la Sante et de la Recherche Medicale (Inserm); Universite Paris Saclay; Hopital Marie Lannelongue; Nantes Universite; CHU de Nantes; Universite de Toulouse; Universite Toulouse III - Paul Sabatier; CHU de Toulouse</t>
  </si>
  <si>
    <t>Amedro, P (corresponding author), Montpellier Univ Hosp, Paediat &amp; Congenital Cardiol Dept, 371 Ave Doyen Giraud, F-34295 Montpellier, France.</t>
  </si>
  <si>
    <t>p-amedro@chu-montpellier.fr</t>
  </si>
  <si>
    <t>Thambo, Jean-benoit/HKN-0596-2023; AMEDRO, Pascal/L-7610-2018; PICOT, Marie-Christine/AAK-4802-2020; Baruteau, Alban-Elouen/LDF-8902-2024; Karsenty, Clément/ABG-8662-2020; Hascoet, Sebastien/Q-3311-2018; Matecki, Stephan/K-2107-2017; Humbert, Marc/AAC-8459-2019</t>
  </si>
  <si>
    <t>Bonnet, Damien/0000-0002-8722-5805; Ovaert, Caroline/0000-0002-2277-2760; Hascoet, Sebastien/0000-0002-8695-0503; Matecki, Stephan/0000-0002-1878-0936; GAVOTTO, Arthur/0000-0001-6485-7634; Humbert, Marc/0000-0003-0703-2892</t>
  </si>
  <si>
    <t>French Department of Health [DGOS-PHRC-N-2017]</t>
  </si>
  <si>
    <t>French Department of Health</t>
  </si>
  <si>
    <t>This work was supported by a national grant from the French Department of Health (DGOS-PHRC-N-2017).</t>
  </si>
  <si>
    <t>WILEY PERIODICALS, INC</t>
  </si>
  <si>
    <t>ONE MONTGOMERY ST, SUITE 1200, SAN FRANCISCO, CA 94104 USA</t>
  </si>
  <si>
    <t>2055-5822</t>
  </si>
  <si>
    <t>ESC HEART FAIL</t>
  </si>
  <si>
    <t>ESC Heart Fail.</t>
  </si>
  <si>
    <t>10.1002/ehf2.12630</t>
  </si>
  <si>
    <t>LE8YR</t>
  </si>
  <si>
    <t>WOS:000527015000041</t>
  </si>
  <si>
    <t>Bachert, C; Humbert, M; Hanania, NA; Zhang, N; Holgate, S; Buhl, R; Bröker, BM</t>
  </si>
  <si>
    <t>Bachert, Claus; Humbert, Marc; Hanania, Nicola A.; Zhang, Nan; Holgate, Stephen; Buhl, Roland; Broeker, Barbara M.</t>
  </si>
  <si>
    <t>Staphylococcus aureus and its IgE-inducing enterotoxins in asthma: current knowledge</t>
  </si>
  <si>
    <t>TRANSCRIPTION FACTOR GATA3; B-CELL SUPERANTIGENS; CHRONIC RHINOSINUSITIS; INTRINSIC ASTHMA; NONATOPIC ASTHMA; NASAL POLYPS; PROTEIN; SENSITIZATION; ASSOCIATION; ANTIBODIES</t>
  </si>
  <si>
    <t>While immunoglobulin (Ig) E is a prominent biomarker for early-onset, its levels are often elevated in non-allergic late-onset asthma. However, the pattern of IgE expression in the latter is mostly polyclonal, with specific IgEs low or below detection level albeit with an increased total IgE. In late-onset severe asthma patients, specific IgE to Staphylococcal enterotoxins (SE-IgE) can frequently be detected in serum, and has been associated with asthma, with severe asthma defined by hospitalisations, oral steroid use and decrease in lung function. Recently, SE-IgE was demonstrated to even predict the development into severe asthma with exacerbations over the next decade. Staphylococcus aureus manipulates the airway mucosal immunology at various levels via its proteins, including superantigens, serine-protease-like proteins (Spls), or protein A (SpA) and possibly others. Release of IL-33 from respiratory epithelium and activation of innate lymphoid cells (ILCs) via its receptor ST2, type 2 cytokine release from those ILCs and T helper (Th) 2 cells, mast cell degranulation, massive local B-cell activation and IgE formation, and finally eosinophil attraction with consequent release of extracellular traps, adding to the epithelial damage and contributing to disease persistence via formation of Charcot-Leyden crystals are the most prominent hallmarks of the manipulation of the mucosal immunity by S. aureus. In summary, S. aureus claims a prominent role in the orchestration of severe airway inflammation and in current and future disease severity. In this review, we discuss current knowledge in this field and outline the needs for future research to fully understand the impact of S. aureus and its proteins on asthma.</t>
  </si>
  <si>
    <t>[Bachert, Claus; Zhang, Nan] Univ Ghent, Upper Airways Res Lab, C Heymanslaan 10, Ghent 9000, Belgium; [Bachert, Claus] Univ Stockholm, Karolinska Inst, Div ENT Dis, CLINTEC, Stockholm, Sweden; [Humbert, Marc] Hop Bicetre, Serv Pneumol, Le Kremlin Bicetre, France; [Hanania, Nicola A.] Baylor Coll Med, Sect Pulm &amp; Crit Care Med, Houston, TX 77030 USA; [Holgate, Stephen] Univ Southampton, Southampton Gen Hosp, Clin &amp; Expt Sci, Sir Henry Wellcome Res Labs,Fac Med, Southampton, Hants, England; [Buhl, Roland] Mainz Univ Hosp, Pulm Dept, Mainz, Germany; [Broeker, Barbara M.] Univ Med Greifswald, Dept Immunol, Greifswald, Germany</t>
  </si>
  <si>
    <t>Ghent University; Ghent University Hospital; Karolinska Institutet; Stockholm University; Universite Paris Saclay; Assistance Publique Hopitaux Paris (APHP); Hopital Universitaire Antoine-Beclere - APHP; Hopital Universitaire Bicetre - APHP; Baylor College of Medicine; Wellcome Research Laboratories; University of Southampton; University Hospital Mainz; Universitat Greifswald; Greifswald Medical School</t>
  </si>
  <si>
    <t>Bachert, C (corresponding author), Univ Ghent, Upper Airways Res Lab, C Heymanslaan 10, Ghent 9000, Belgium.</t>
  </si>
  <si>
    <t>claus.bachert@ugent.be</t>
  </si>
  <si>
    <t>Bachert, Claus/J-8825-2012; Hanania, Nicola/C-5875-2016; holgate, stephen/JOZ-4882-2023; Broker, Barbara/O-4850-2015; Humbert, Marc/AAC-8459-2019</t>
  </si>
  <si>
    <t>Broker, Barbara/0000-0002-5020-8542; Humbert, Marc/0000-0003-0703-2892</t>
  </si>
  <si>
    <t>EOS project [GOG2318N]; FWO Flanders [G065319N, 1506218N, 1507118N, G051918N, G065319N 1515516N, 1841713N, G.039412N, G.067512N, FWO/PDO/108]; Interuniversity Attraction Poles Grant [P7/30]; Ghent University [BOF 14-GOA-019, BOF 01/03618]; European Commission's Seventh Framework Programme [260895]; German Research Foundation [CRC-TRR 34, RTG 1870]; Federal Ministry of Research and Education; EU (IMI-Combacte); State of Mecklenburg Western Pomerania; European Social Fund (ESF); MRC [G0800766, G19/34] Funding Source: UKRI</t>
  </si>
  <si>
    <t>EOS project; FWO Flanders(FWO); Interuniversity Attraction Poles Grant; Ghent University(Ghent University); European Commission's Seventh Framework Programme(European Union (EU)); German Research Foundation(German Research Foundation (DFG)); Federal Ministry of Research and Education; EU (IMI-Combacte)(European Union (EU)); State of Mecklenburg Western Pomerania; European Social Fund (ESF)(European Social Fund (ESF)); MRC(UK Research &amp; Innovation (UKRI)Medical Research Council UK (MRC))</t>
  </si>
  <si>
    <t>C. Bachert: this work was supported by FWO Flanders, EOS project GOG2318N, and grants from FWO Flanders (G065319N, 1506218N, 1507118N, G051918N, G065319N 1515516N, 1841713N, G.039412N, G.067512N and FWO/PDO/108), the Interuniversity Attraction Poles Grant P7/30, from Ghent University BOF 14-GOA-019 and BOF 01/03618, and the European Commission's Seventh Framework Programme number 260895 (PREDICTA). B.M. Broker: this work was supported by the German Research Foundation (CRC-TRR 34, RTG 1870), the Federal Ministry of Research and Education (InfectControl 2020), the EU (IMI-Combacte) as well as the State of Mecklenburg Western Pomerania and the European Social Fund (ESF; Card-ii-Omics, KoInfekt). Funding information for this article has been deposited with the Crossref Funder Registry.</t>
  </si>
  <si>
    <t>10.1183/13993003.01592-2019</t>
  </si>
  <si>
    <t>LK8HC</t>
  </si>
  <si>
    <t>WOS:000531099900010</t>
  </si>
  <si>
    <t>Eyries, M; Montani, D; Girerd, B; Favrolt, N; Riou, M; Faivre, L; Manaud, G; Perros, F; Gräf, S; Morrell, NW; Humbert, M; Soubrier, F</t>
  </si>
  <si>
    <t>Eyries, Melanie; Montani, David; Girerd, Barbara; Favrolt, Nicolas; Riou, Marianne; Faivre, Laurence; Manaud, Gregoire; Perros, Frederic; Graf, Stefan; Morrell, Nicholas W.; Humbert, Marc; Soubrier, Florent</t>
  </si>
  <si>
    <t>ENDOTHELIAL GROWTH-FACTOR; RECEPTOR; VEGF; INHIBITION; ASSOCIATION; EXPRESSION; APOPTOSIS; KINASE</t>
  </si>
  <si>
    <t>Beyond the major gene BMPR2, several new genes predisposing to PAH have been identified during the last decade. Recently, preliminary evidence of the involvement of the KDR gene was found in a large genetic association study. We prospectively analysed the KDR gene by targeted panel sequencing in a series of 311 PAH patients referred to a clinical molecular laboratory for genetic diagnosis of PAH. Two index cases with severe PAH from two different families were found to carry a loss-of-function mutation in the KDR gene. These two index cases were clinically characterised by low diffusing capacity for carbon monoxide adjusted for haemoglobin (D(LCO)c) and interstitial lung disease. In one family, segregation analysis revealed that variant carriers are either presenting with PAH associated with low D(LCO)c, or have only decreased D(LCO)c, whereas non-carrier relatives have normal D(LCO)c. In the second family, a single affected carrier was alive. His carrier mother was unaffected with normal D(LCO)c. We provided genetic evidence for considering KDR as a newly identified PAH-causing gene by describing the segregation of KDR mutations with PAH in two families. In our study, KDR mutations are associated with a particular form of PAH characterised by low D(LCO)c and radiological evidence of parenchymal lung disease including interstitial lung disease and emphysema.</t>
  </si>
  <si>
    <t>[Eyries, Melanie; Soubrier, Florent] Hop La Pitie Salpetriere, AP HP, Dept Genet, Paris, France; [Eyries, Melanie; Soubrier, Florent] Sorbonne Univ, INSERM, UMR ICAN S1166, Paris, France; [Montani, David; Girerd, Barbara; Humbert, Marc] Univ Paris Saclay, Univ Paris Sud, Fac Med, Le Kremlin Bicetre, France; [Montani, David; Girerd, Barbara; Humbert, Marc] Hop Bicetre, AP HP, Serv Pneumol, Ctr Reference Hypertens Pulm, Le Kremlin Bicetre, France; [Montani, David; Manaud, Gregoire; Perros, Frederic; Humbert, Marc] Univ Paris Sud, Hop Marie Lannelongue, INSERM, UMR S 999, Le Plessis Robinson, France; [Favrolt, Nicolas; Faivre, Laurence] CHU Dijon Bourgogne, Serv Pneumol &amp; Soins Intensifs Resp, Ctr Reference Constitutif Malad Pulm Rares Adulte, Ctr Competence Hypertens Pulm, Dijon, France; [Riou, Marianne] Nouvel Hop Civil, Serv Pneumol, Strasbourg, France; [Faivre, Laurence] CHU Dijon, Ctr Genet FHU TRANSLAD, Inst GIMI, Dijon, France; [Faivre, Laurence] CHU Dijon, INSERM, UMR 1231, Dijon, France; [Faivre, Laurence] Univ Bourgogne, Dijon, France; [Graf, Stefan; Morrell, Nicholas W.] NIHR Bioresource Rare Dis, Cambridge Biomed Campus, Cambridge, England; [Graf, Stefan] Univ Cambridge, Dept Med, Cambridge Biomed Campus, Cambridge, England; [Graf, Stefan] Univ Cambridge, Dept Haematol, Cambridge Biomed Campus, Cambridge, England; [Morrell, Nicholas W.] Univ Cambridge, Dept Med, Sch Clin Med, Addenbrookes Hosp, Cambridge, England; [Morrell, Nicholas W.] Univ Cambridge, Dept Med, Sch Clin Med, Royal Papworth Hosp, Cambridge, England</t>
  </si>
  <si>
    <t>Assistance Publique Hopitaux Paris (APHP); Hopital Universitaire Pitie-Salpetriere - APHP; Sorbonne Universite; Sorbonne Universite; Institut National de la Sante et de la Recherche Medicale (Inserm); Universite Paris Saclay; Assistance Publique Hopitaux Paris (APHP); Hopital Universitaire Antoine-Beclere - APHP; Universite Paris Saclay; Hopital Universitaire Bicetre - APHP; Universite Paris Saclay; Institut National de la Sante et de la Recherche Medicale (Inserm); Hopital Marie Lannelongue; CHU Dijon Bourgogne; CHU Strasbourg; CHU Dijon Bourgogne; Universite de Bourgogne; Institut National de la Sante et de la Recherche Medicale (Inserm); CHU Dijon Bourgogne; Institut Agro; AgroSup Dijon; Universite de Bourgogne; University of Cambridge; University of Cambridge; University of Cambridge; Cambridge University Hospitals NHS Foundation Trust; Addenbrooke's Hospital; Papworth Hospital; University of Cambridge</t>
  </si>
  <si>
    <t>Soubrier, F (corresponding author), ICAN, UMR S 1166, F-75634 Paris, France.</t>
  </si>
  <si>
    <t>florent.soubrier@sorbonne-universite.fr</t>
  </si>
  <si>
    <t>David, Montani/I-6885-2019; EYRIES, melanie/ABF-1034-2020; Humbert, Marc/AAC-8459-2019; Perros, Frederic/N-6921-2017</t>
  </si>
  <si>
    <t>Montani, David/0000-0002-9358-6922; Faivre, Laurence/0000-0001-9770-444X; Humbert, Marc/0000-0003-0703-2892; Perros, Frederic/0000-0001-7730-2427; Morrell, Nicholas/0000-0001-5700-9792; Graf, Stefan/0000-0002-1315-8873</t>
  </si>
  <si>
    <t>Wellcome Trust</t>
  </si>
  <si>
    <t>Wellcome Trust(Wellcome Trust)</t>
  </si>
  <si>
    <t>Funding for the project was provided by the Wellcome Trust. Funding information for this article has been deposited with the Crossref Funder Registry.</t>
  </si>
  <si>
    <t>10.1183/13993003.02165-2019</t>
  </si>
  <si>
    <t>WOS:000531099900029</t>
  </si>
  <si>
    <t>Gazengel, P; Le Pavec, J; Mercier, O; Fabre, D; Mussot, S; Petit, J; Savale, L; Humbert, M; Feuillet, S; Fadel, E; Hascoet, S</t>
  </si>
  <si>
    <t>Gazengel, P.; Le Pavec, J.; Mercier, O.; Fabre, D.; Mussot, S.; Petit, J.; Savale, L.; Humbert, M.; Feuillet, S.; Fadel, E.; Hascoet, S.</t>
  </si>
  <si>
    <t>Combined Double-Lung Transplantation and Percutaneous Septal Defect Closure for End-Stage Atrial Septal Defect-Associated Pulmonary Arterial Hypertension</t>
  </si>
  <si>
    <t>40th Annual Meeting and Scientific Sessions of the International-Society-for-Heart-and-Lung-Transplantation (ISHLT)</t>
  </si>
  <si>
    <t>APR 22-25, 2020</t>
  </si>
  <si>
    <t>Montreal, CANADA</t>
  </si>
  <si>
    <t>[Gazengel, P.; Le Pavec, J.; Mercier, O.; Fabre, D.; Mussot, S.; Petit, J.; Feuillet, S.; Fadel, E.; Hascoet, S.] Hop Marie Lannelongue, Le Plessis Robinson, France; [Savale, L.; Humbert, M.] Hop Kremlin Bicetre, Le Kremlin Bicetre, France</t>
  </si>
  <si>
    <t>Hopital Marie Lannelongue; Assistance Publique Hopitaux Paris (APHP); Hopital Universitaire Bicetre - APHP; Universite Paris Saclay</t>
  </si>
  <si>
    <t>S168</t>
  </si>
  <si>
    <t>KY5UD</t>
  </si>
  <si>
    <t>WOS:000522637201089</t>
  </si>
  <si>
    <t>Hachulla, E; Launay, D; Boucly, A; Mouthon, L; de Groote, P; Cottin, V; Pugnet, G; Prévôt, G; Bourlier, D; Dauphin, C; Chaouat, A; Weatherald, J; Simonneau, G; Montani, D; Humbert, M; Sitbon, O; Giovannelli, J</t>
  </si>
  <si>
    <t>Hachulla, Eric; Launay, David; Boucly, Athenais; Mouthon, Luc; de Groote, Pascal; Cottin, Vincent; Pugnet, Gregory; Prevot, Gregoire; Bourlier, Delphine; Dauphin, Claire; Chaouat, Ari; Weatherald, Jason; Simonneau, Gerald; Montani, David; Humbert, Marc; Sitbon, Olivier; Giovannelli, Jonathan</t>
  </si>
  <si>
    <t>Survival Improved in Patients Aged ≤ 70 Years With Systemic Sclerosis-Associated Pulmonary Arterial Hypertension During the Period 2006 to 2017 in France</t>
  </si>
  <si>
    <t>evolution; pulmonary arterial hypertension; survival; systemic sclerosis; treatment</t>
  </si>
  <si>
    <t>INITIAL COMBINATION THERAPY; CLINICAL CHARACTERISTICS; AMBRISENTAN; TADALAFIL; DIAGNOSIS</t>
  </si>
  <si>
    <t>BACKGROUND: To date, nothing is known about the evolution of survival in systemic sclerosis-associated pulmonary arterial hypertension (PAH) over the last decade. METHODS: This study used a multivariate Cox regression model adjusted for clinically relevant baseline confounders to assess the association between the occurrence of death and date of PAH diagnosis comparing two periods of the same duration (2006-2011 vs 2012-2017). Interactions between the two diagnosis periods and baseline variables were tested. RESULTS: A total of 306 incident patients were included, 167 (54.6%) with a PAH diagnosis occurring in 2006 to 2011 and 139 (45.4%) in 2012 to 2017. No significant difference in survival was observed between patients diagnosed with PAH in 2012 to 2017 compared with those diagnosed in 2006 to 2011 (hazard ratio [HR], 0.76 [0.46-1.26]; P = .29). A significant interaction was observed between PAH diagnosis periods and age (P = .05). When stratifying according to age (based on the median age of 70 years), a significant increase was observed in survival in patients aged &lt;= 70 years between the 2006 to 2011 period and the 2012 to 2017 period (HR, 0.40 [0.17-0.99]; P = .046) but not in older patients (HR, 1.29 [0.67-2.51]; P = .44). A significantly higher proportion of initial (ie, within the first 4 months) endothelin receptor antagonist/phosphodiesterase type 5 inhibitor combination therapy was observed in younger patients diagnosed from 2012 to 2017 vs those diagnosed from 2006 to 2011 (42.9% vs 19.5%; P = .002) but not in older patients. CONCLUSIONS: Over the period 2006 to 2017, survival in systemic sclerosis-associated PAH improved over time in patients aged &lt;= 70 years but not in older patients. Further investigations are needed to confirm this relation, as general improvement in medical care and management may also be a possible explanation.</t>
  </si>
  <si>
    <t>[Hachulla, Eric; Launay, David] Claude Huriez Hosp, Referral Ctr Rare Syst Autoimmune Dis North &amp; Nor, Dept Internal Med &amp; Clin Immunol, Lille, France; [Hachulla, Eric; Launay, David; Giovannelli, Jonathan] Univ Lille, LIRIC, CHU Lille, INSERM,U995, F-59000 Lille, France; [Boucly, Athenais; Weatherald, Jason; Simonneau, Gerald; Montani, David; Humbert, Marc; Sitbon, Olivier] Univ Paris Saclay, Univ Paris Sud, Fac Med, Serv Pneumol,Hop Bicetre,AP HP,INSERM UMR S 999, Le Kremlin Bicetre, France; [Mouthon, Luc] Univ Paris 05, Ctr Reference Malad Autoimmunes Syst Rares Ile Fr, Serv Med Interne, Hop Cochin,AP HP, Paris, France; [de Groote, Pascal] CHU Lille, Hop Cardiol Lille, Ctr Competences Hypertens Pulm, Lille, France; [Cottin, Vincent] Univ Claude Bernard Lyon 1, Hosp Civils Lyon, Louis Pradel Hosp, Dept Resp Med,Univ Lyon,UMR 754, Lyon, France; [Pugnet, Gregory] Hop Larrey Toulouse, Toulouse, France; [Prevot, Gregoire] CHU Toulouse, Hop Larrey, Serv Pneumol, Toulouse, France; [Bourlier, Delphine] Univ Bordeaux, Serv Malad Resp, Hop Haut Leveque, CHU Bordeaux, Pessac, France; [Dauphin, Claire] Univ Auvergne, Cardiol Dept, CHU Clermont Ferrand, Clermont Ferrand, France; [Chaouat, Ari] Univ Lorraine, Dept Pneumol, INGRES, CHU Nancy,Pole Specialites Med,EA 7298, Vandoeuvre Les Nancy, France; [Weatherald, Jason] Univ Calgary, Dept Med, Sect Resp Med, Calgary, AB, Canada; [Weatherald, Jason] Univ Calgary, Libin Cardiovasc Inst Alberta, Calgary, AB, Canada</t>
  </si>
  <si>
    <t>Universite de Lille; CHU Lille; Universite de Lille; Institut National de la Sante et de la Recherche Medicale (Inserm); CHU Lille; Universite Paris Saclay; Institut National de la Sante et de la Recherche Medicale (Inserm); Assistance Publique Hopitaux Paris (APHP); Hopital Universitaire Antoine-Beclere - APHP; Hopital Universitaire Bicetre - APHP; Universite Paris Cite; Assistance Publique Hopitaux Paris (APHP); Hopital Universitaire Cochin - APHP; Universite de Lille; CHU Lille; Universite Claude Bernard Lyon 1; CHU Lyon; CHU de Toulouse; CHU de Toulouse; Universite de Toulouse; Universite Toulouse III - Paul Sabatier; Universite de Bordeaux; CHU Bordeaux; CHU Clermont Ferrand; Universite Clermont Auvergne (UCA); CHU de Nancy; Universite de Lorraine; University of Calgary; Libin Cardiovascular Institute Of Alberta; University of Calgary</t>
  </si>
  <si>
    <t>Hachulla, E (corresponding author), Lille Univ, Dept Internal Med &amp; Clin Immunol, F-59037 Lille, France.</t>
  </si>
  <si>
    <t>eric.hachulla@chru-lille.fr</t>
  </si>
  <si>
    <t>HACHULLA, ERIC/R-8488-2018; Launay, David/JDM-2536-2023; DE GROOTE, Pascal/LLL-9444-2024; Chaouat, Ari/AAP-6784-2021; meroni, pier/K-8473-2016; Simonneau, Gerald/ABE-6614-2020; Humbert, Marc/AAC-8459-2019; David, Montani/I-6885-2019; giovannelli, jonathan/I-5307-2018; Launay, David/H-1674-2016</t>
  </si>
  <si>
    <t>Boucly, Athenais/0000-0001-6246-5557; giovannelli, jonathan/0000-0002-7516-4670; HACHULLA, ERIC/0000-0001-7432-847X; de Groote, Pascal/0000-0002-6211-0147; Launay, David/0000-0003-1840-1817; Weatherald, Jason/0000-0002-0615-4575; Montani, David/0000-0002-9358-6922</t>
  </si>
  <si>
    <t>French National Research Agency as part of the second Investissements d'Avenir Program [ANR-15-RHUS-0002]; French Sector on Auto-immune and Auto-inflammatory Diseases (FAI2R)</t>
  </si>
  <si>
    <t>French National Research Agency as part of the second Investissements d'Avenir Program(Agence Nationale de la Recherche (ANR)); French Sector on Auto-immune and Auto-inflammatory Diseases (FAI2R)</t>
  </si>
  <si>
    <t>The French Pulmonary Hypertension Network is supported by a public grant overseen by the French National Research Agency as part of the second Investissements d'Avenir Program [Reference ANR-15-RHUS-0002]. The French National Systemic Sclerosis Cohort received additional support from the French Sector on Auto-immune and Auto-inflammatory Diseases (FAI2R: http://www.fai2r.org).</t>
  </si>
  <si>
    <t>10.1016/j.chest.2019.10.045</t>
  </si>
  <si>
    <t>KZ9ZB</t>
  </si>
  <si>
    <t>WOS:000523616200042</t>
  </si>
  <si>
    <t>Hascoet, S; Le Pavec, J; De Lemos, A; Pontailler, M; Savale, L; Mercier, O; Mussot, S; Feuillet, S; Stephan, F; Humbert, M; Bonnet, D; Fadel, E</t>
  </si>
  <si>
    <t>Hascoet, S.; Le Pavec, J.; De Lemos, A.; Pontailler, M.; Savale, L.; Mercier, O.; Mussot, S.; Feuillet, S.; Stephan, F.; Humbert, M.; Bonnet, D.; Fadel, E.</t>
  </si>
  <si>
    <t>Outcome of Heart-Lung and Double Lung Transplantation in Pulmonary Arterial Hypertension Due to Congenital Heart Disease is Related to the Complexity of the Defects</t>
  </si>
  <si>
    <t>[Hascoet, S.] Hop Marie Lannelongue, Congenital Heart Dis, Le Plessis Robinson, France; [Le Pavec, J.; Mercier, O.; Mussot, S.; Feuillet, S.; Fadel, E.] Hop Marie Lannelongue, Thorac Surg, Le Plessis Robinson, France; [De Lemos, A.] Hop Marie Lannelongue, Clin Res Unit, Le Plessis Robinson, France; [Pontailler, M.; Bonnet, D.] Hop Necker Enfants Malad, Congenital Heart Dis, Paris, France; [Savale, L.; Humbert, M.] Hop Bicetre, Pneumol, Le Kremlin Bicetre, France; [Stephan, F.] Hop Marie Lannelongue, Intens Care Unit, Le Plessis Robinson, France</t>
  </si>
  <si>
    <t>Hopital Marie Lannelongue; Hopital Marie Lannelongue; Hopital Marie Lannelongue; Assistance Publique Hopitaux Paris (APHP); Universite Paris Cite; Hopital Universitaire Necker-Enfants Malades - APHP; Universite Paris Saclay; Assistance Publique Hopitaux Paris (APHP); Hopital Universitaire Bicetre - APHP; Hopital Universitaire Antoine-Beclere - APHP; Hopital Marie Lannelongue</t>
  </si>
  <si>
    <t>S510</t>
  </si>
  <si>
    <t>WOS:000522637203298</t>
  </si>
  <si>
    <t>Huertas, A; Tu, L; Humbert, M; Guignabert, C</t>
  </si>
  <si>
    <t>Huertas, Alice; Tu, Ly; Humbert, Marc; Guignabert, Christophe</t>
  </si>
  <si>
    <t>Chronic inflammation within the vascular wall in pulmonary arterial hypertension: more than a spectator</t>
  </si>
  <si>
    <t>Pulmonary hypertension; Pulmonary vascular remodelling; Endothelial cells; Smooth muscle cells; Adventitial fibroblasts; Innate and adaptive immunity</t>
  </si>
  <si>
    <t>ANTIENDOTHELIAL CELL ANTIBODIES; FIBROBLAST GROWTH FACTOR-2; NLRP3 INFLAMMASOME; ADVENTITIAL FIBROBLASTS; MACROPHAGE RECRUITMENT; IMMUNE-RESPONSE; ACTIVATION; HYPOXIA; RECEPTOR; INTERLEUKIN-6</t>
  </si>
  <si>
    <t>This review seeks to provide an update of preclinical findings and available clinical data on the chronic persistent inflammation and its direct rote on the pulmonary arterial hypertension (PAH) progression. We reviewed the different mechanisms by which the inflammatory and immune pathways contribute to the structural and functional changes occurring in the three vascular compartments: the tunica intima, tunica media, and tunica adventitia. We also discussed how these inflammatory mediator changes may serve as a biomarker of the PAH progression and summarize unanswered questions and opportunities for future studies in this area. [GRAPHICS] .</t>
  </si>
  <si>
    <t>[Huertas, Alice; Tu, Ly; Humbert, Marc; Guignabert, Christophe] Hop Marie Lannelongue, INSERM, UMR S 999, 133 Ave Resistance, F-92350 Le Plessis Robinson, France; [Huertas, Alice; Tu, Ly; Humbert, Marc; Guignabert, Christophe] Univ Paris Sud, Fac Med, F-94270 Le Kremlin Bicetre, France; [Huertas, Alice; Tu, Ly; Humbert, Marc; Guignabert, Christophe] Univ Paris Saclay, F-94270 Le Kremlin Bicetre, France; [Huertas, Alice; Humbert, Marc] Hop Bicetre, AP HP, DHU Thorax Innovat, Serv Pneumol,Ctr Reference Hypertens Pulm Severe, F-94270 Le Kremlin Bicetre, France</t>
  </si>
  <si>
    <t>Institut National de la Sante et de la Recherche Medicale (Inserm); Universite Paris Saclay; Hopital Marie Lannelongue; Universite Paris Saclay; Universite Paris Saclay; Assistance Publique Hopitaux Paris (APHP); Hopital Universitaire Bicetre - APHP; Universite Paris Saclay; Hopital Universitaire Antoine-Beclere - APHP</t>
  </si>
  <si>
    <t>Huertas, A (corresponding author), Hop Marie Lannelongue, INSERM, UMR S 999, 133 Ave Resistance, F-92350 Le Plessis Robinson, France.;Huertas, A (corresponding author), Univ Paris Sud, Fac Med, F-94270 Le Kremlin Bicetre, France.;Huertas, A (corresponding author), Univ Paris Saclay, F-94270 Le Kremlin Bicetre, France.;Huertas, A (corresponding author), Hop Bicetre, AP HP, DHU Thorax Innovat, Serv Pneumol,Ctr Reference Hypertens Pulm Severe, F-94270 Le Kremlin Bicetre, France.</t>
  </si>
  <si>
    <t>TU, Ly/AAK-4996-2020; TU, Ly/G-4035-2013; Humbert, Marc/AAC-8459-2019; GUIGNABERT, Christophe/G-3873-2013; Huertas, Alice/E-8244-2017</t>
  </si>
  <si>
    <t>TU, Ly/0000-0003-2336-5099; Humbert, Marc/0000-0003-0703-2892; GUIGNABERT, Christophe/0000-0002-8545-4452; Huertas, Alice/0000-0001-8545-747X</t>
  </si>
  <si>
    <t>10.1093/cvr/cvz308</t>
  </si>
  <si>
    <t>LS6LL</t>
  </si>
  <si>
    <t>WOS:000536493000010</t>
  </si>
  <si>
    <t>Le Pavec, J; Feuillet, S; Mercier, O; Pradère, P; Crutu, A; Florea, V; Savale, L; Bonnet, D; Fabre, D; Mussot, S; Hascoet, S; Humbert, M; Fadel, E</t>
  </si>
  <si>
    <t>Le Pavec, J.; Feuillet, S.; Mercier, O.; Pradere, P.; Crutu, A.; Florea, V.; Savale, L.; Bonnet, D.; Fabre, D.; Mussot, S.; Hascoet, S.; Humbert, M.; Fadel, E.</t>
  </si>
  <si>
    <t>Lung and Heart-Lung Transplantation for Children with PAH: Dramatic Benefits from the Implementation of High Priority Allocation Program in France</t>
  </si>
  <si>
    <t>[Le Pavec, J.; Feuillet, S.; Mercier, O.; Pradere, P.; Crutu, A.; Florea, V.; Savale, L.; Fabre, D.; Mussot, S.; Fadel, E.] Hop Marie Lannelongue, Lung &amp; Heart Lung Transplantat, Le Plessis Robinson, France; [Bonnet, D.] Hop Necker Enfants Malad, M3C Pediat Cardiol, Paris, France; [Hascoet, S.] Hop Marie Lannelongue, Le Plessis Robinson, France; [Humbert, M.] Hop Kremlin Bicetre, Le Kremlin Bicetre, France</t>
  </si>
  <si>
    <t>Hopital Marie Lannelongue; Assistance Publique Hopitaux Paris (APHP); Universite Paris Cite; Hopital Universitaire Necker-Enfants Malades - APHP; Hopital Marie Lannelongue; Assistance Publique Hopitaux Paris (APHP); Hopital Universitaire Bicetre - APHP; Universite Paris Saclay</t>
  </si>
  <si>
    <t>Humbert, Marc/AAC-8459-2019; Hascoet, Sebastien/Q-3311-2018</t>
  </si>
  <si>
    <t>S68</t>
  </si>
  <si>
    <t>WOS:000522637200144</t>
  </si>
  <si>
    <t>The 'great wait' for diagnosis in pulmonary arterial hypertension</t>
  </si>
  <si>
    <t>early diagnosis; pulmonary arterial hypertension</t>
  </si>
  <si>
    <t>[Weatherald, Jason] Univ Calgary, Sect Respirol, Dept Med, Calgary, AB, Canada; [Weatherald, Jason] Libin Cardiovasc Inst Alberta, Calgary, AB, Canada; [Humbert, Marc] Univ Paris Saclay, Fac Med, Le Kremlin Bicetre, France; [Humbert, Marc] Hop Bicetre, AP HP, Dept Resp &amp; Intens Care Med, Pulm Hypertens Natl Referral Ctr, Le Kremlin Bicetre, France; [Humbert, Marc] Hop Marie Lannelongue, INSERM, UMR S 999, Le Plessis Robinson, France</t>
  </si>
  <si>
    <t>University of Calgary; Libin Cardiovascular Institute Of Alberta; Universite Paris Saclay; Assistance Publique Hopitaux Paris (APHP); Hopital Universitaire Bicetre - APHP; Universite Paris Saclay; Hopital Universitaire Antoine-Beclere - APHP; Universite Paris Saclay; Hopital Marie Lannelongue; Institut National de la Sante et de la Recherche Medicale (Inserm)</t>
  </si>
  <si>
    <t>Weatherald, J (corresponding author), Univ Calgary, Sect Respirol, Dept Med, Calgary, AB, Canada.;Weatherald, J (corresponding author), Libin Cardiovasc Inst Alberta, Calgary, AB, Canada.</t>
  </si>
  <si>
    <t>Weatherald, Jason/0000-0002-0615-4575</t>
  </si>
  <si>
    <t>10.1111/resp.13814</t>
  </si>
  <si>
    <t>APR 2020</t>
  </si>
  <si>
    <t>MJ7YW</t>
  </si>
  <si>
    <t>WOS:000522748900001</t>
  </si>
  <si>
    <t>Knafl, D; Gerges, C; King, CH; Humbert, M; Bustinduy, AL</t>
  </si>
  <si>
    <t>Knafl, Daniela; Gerges, Christian; King, Charles H.; Humbert, Marc; Bustinduy, Amaya L.</t>
  </si>
  <si>
    <t>Schistosomiasis-associated pulmonary arterial hypertension: a systematic review</t>
  </si>
  <si>
    <t>ENDOTHELIAL GROWTH-FACTOR; TGF-BETA RECEPTOR; MATRIX METALLOPROTEINASES; PLEXIFORM LESIONS; MUSCLE-CELLS; K+ CHANNELS; EXPRESSION; SURVIVAL; SMOOTH; REGISTRY</t>
  </si>
  <si>
    <t>Schistosomiasis-associated pulmonary arterial hypertension (Sch-PAH) is a life-threatening complication of chronic hepatosplenic schistosomiasis. It is suggested to be the leading cause of pulmonary arterial hypertension (PAH) worldwide. However, pathophysiological data on Sch-PAH are scarce. We examined the hypothesis that there are pronounced similarities in pathophysiology, haemodynamics, and survival of Sch-PAH and idiopathic PAH (iPAH). This systematic review and meta-analysis was registered in the PROSPERO database (identifier CRD42018104066). A systematic search and review of the literature was performed according to PRISMA guidelines for studies published between 01 January 1990 and 29 June 2018. For Sch-PAH, 18 studies evaluating pathophysiological mechanisms, eight studies on haemodynamics (n=277), and three studies on survival (n=191) were identified. 16 clinical registries reporting data on haemodynamics and survival including a total of 5792 patients with iPAH were included for comparison. Proinflammatory molecular pathways are involved in both Sch-PAH and iPAH. The transforming growth factor (TGF)-beta signalling pathway is upregulated in Sch-PAH and iPAH. While there was no difference in mean pulmonary artery pressure (54 +/- 17 mmHg versus 55 +/- 15 mmHg, p=0.29), cardiac output (4.4 +/- 1.3 L.min(-1) versus 4.1 +/- 1.4 L.min(-1), p=0.046), and cardiac index (2.6 +/- 0.7 L.min(-1).m(-2) versus 2.3 +/- 0.8 L.min(-1).m(-2), p&lt;0.001) were significantly higher in Sch-PAH compared to iPAH, resulting in a lower pulmonary vascular resistance in Sch-PAH (10 +/- 6 Woods units versus 13 +/- 7 Woods units, p&lt;0.001). 1- and 3-year survival were significantly better in the Sch-PAH group ( p&lt;0.001). Sch-PAH and iPAH share common pathophysiological mechanisms related to inflammation and the TGF-beta signalling pathway. Patients with Sch-PAH show a significantly better haemodynamic profile and survival than patients with iPAH.</t>
  </si>
  <si>
    <t>[Knafl, Daniela] Med Univ Vienna, Div Nephrol &amp; Dialysis, Dept Internal Med 3, Vienna, Austria; [Gerges, Christian] Med Univ Vienna, Div Cardiol, Dept Internal Med 2, Vienna, Austria; [King, Charles H.] Case Western Reserve Univ, Sch Med, Ctr Global Hlth &amp; Dis, PAHO WHO Collaborating Ctr Res &amp; Training Schisto, Cleveland, OH USA; [Humbert, Marc] Univ Paris Sud, Fac Med, Le Kremlin Bicetre, France; [Humbert, Marc] Univ Paris Saclay, Le Kremlin Bicetre, France; [Humbert, Marc] INSERM, UMR S 999, Le Plessis Robinson, France; [Humbert, Marc] Hop Bicetre, AP HP, Serv Pneumol, Ctr Reference Hypertens Pulm Severe,DHU Thorax In, Le Kremlin Bicetre, France; [Bustinduy, Amaya L.] London Sch Hyg &amp; Trop Med, Dept Clin Res, London, England</t>
  </si>
  <si>
    <t>Medical University of Vienna; Medical University of Vienna; University System of Ohio; Case Western Reserve University; Universite Paris Saclay; Universite Paris Saclay; Universite Paris Saclay; Institut National de la Sante et de la Recherche Medicale (Inserm); Assistance Publique Hopitaux Paris (APHP); Hopital Universitaire Bicetre - APHP; Hopital Universitaire Antoine-Beclere - APHP; Universite Paris Saclay; University of London; London School of Hygiene &amp; Tropical Medicine</t>
  </si>
  <si>
    <t>Gerges, C (corresponding author), Med Univ Vienna, Dept Med 2, Div Cardiol, Wahringer Gurtel 18-20, A-1090 Vienna, Austria.</t>
  </si>
  <si>
    <t>King, Charlotte/E-7031-2012; Bustinduy, Amaya/AFP-3516-2022; Humbert, Marc/AAC-8459-2019; Gerges, Christian/K-7362-2013</t>
  </si>
  <si>
    <t>Gerges, Daniela/0000-0001-6810-615X; Bustinduy, Amaya/0000-0001-6131-4159; King, Charles/0000-0001-8349-9270; Humbert, Marc/0000-0003-0703-2892; Gerges, Christian/0000-0002-6777-0996</t>
  </si>
  <si>
    <t>10.1183/16000617.0089-2019</t>
  </si>
  <si>
    <t>LG6WL</t>
  </si>
  <si>
    <t>Green Accepted, gold, Green Published</t>
  </si>
  <si>
    <t>WOS:000528238600006</t>
  </si>
  <si>
    <t>Albers, FC; Khurana, S; Bradford, E; Gilson, M; Price, R; Brusselle, G; Bel, E; FitzGerald, JM; Masoli, M; Korn, S; Humbert, M</t>
  </si>
  <si>
    <t>Albers, F. C.; Khurana, S.; Bradford, E.; Gilson, M.; Price, R.; Brusselle, G.; Bel, E.; FitzGerald, J. M.; Masoli, M.; Korn, S.; Humbert, M.</t>
  </si>
  <si>
    <t>Long-term safety and durability of mepolizumab in life-threatening/seriously debilitating severe eosinophilic asthma (SEA): COSMEX</t>
  </si>
  <si>
    <t>[Albers, F. C.] Gsk, Resp Med Franchise, Res Triangle Pk, NC USA; [Khurana, S.] Univ Rochester, Med Ctr, Dept Med Pulm, Rochester, NY 14642 USA; [Bradford, E.] Gsk, Resp Therapeut Area, Res Triangle Pk, NC USA; [Gilson, M.] Gsk, Resp Res &amp; Dev, Stockley Pk, Uxbridge, Middx, England; [Price, R.] Gsk, Clin Stat, Stevenage, Herts, England; [Brusselle, G.] Ghent Univ Hosp, Dept Resp Med, Ghent, Belgium; [Bel, E.] Univ Amsterdam, Acad Med Ctr, Dept Resp Med, Amsterdam, Netherlands; [FitzGerald, J. M.] Univ British Columbia, Dept Med, Vancouver, BC, Canada; [Masoli, M.] Plymouth Hosp NHS Trust, Dept Resp Med, Plymouth, Devon, England; [Korn, S.] Univ Med Mainz, Mainz, Germany; [Humbert, M.] Univ Paris Sud, Hop Bicetre, AP HP, Serv Pneumol, Le Kremlin Bicetre, France; [Humbert, M.] INSERM, U999, Le Kremlin Bicetre, France</t>
  </si>
  <si>
    <t>GlaxoSmithKline; Glaxosmithkline USA; University of Rochester; GlaxoSmithKline; Glaxosmithkline USA; GlaxoSmithKline; Glaxosmithkline United Kingdom; GlaxoSmithKline; Glaxosmithkline United Kingdom; Ghent University; Ghent University Hospital; University of Amsterdam; Academic Medical Center Amsterdam; University of British Columbia; University of Plymouth; Johannes Gutenberg University of Mainz; Assistance Publique Hopitaux Paris (APHP); Hopital Universitaire Bicetre - APHP; Hopital Universitaire Antoine-Beclere - APHP; Universite Paris Saclay; Institut National de la Sante et de la Recherche Medicale (Inserm)</t>
  </si>
  <si>
    <t>Khurana, Sandhya/HKO-2966-2023; Humbert, Marc/AAC-8459-2019; Brusselle, Guy/AFU-8839-2022</t>
  </si>
  <si>
    <t>P385</t>
  </si>
  <si>
    <t>S24</t>
  </si>
  <si>
    <t>10.1055/s-0039-3403113</t>
  </si>
  <si>
    <t>OQ2PN</t>
  </si>
  <si>
    <t>WOS:000588631500056</t>
  </si>
  <si>
    <t>Bordenave, J; Tu, L; Berrebeh, N; Thuillet, R; Cumont, A; Le Vely, B; Fadel, E; Nadaud, S; Savale, L; Humbert, M; Huertas, A; Guignabert, C</t>
  </si>
  <si>
    <t>Bordenave, Jennifer; Tu, Ly; Berrebeh, Nihel; Thuillet, Raphael; Cumont, Amelie; Le Vely, Benjamin; Fadel, Elie; Nadaud, Sophie; Savale, Laurent; Humbert, Marc; Huertas, Alice; Guignabert, Christophe</t>
  </si>
  <si>
    <t>Lineage Tracing Reveals the Dynamic Contribution of Pericytes to the Blood Vessel Remodeling in Pulmonary Hypertension</t>
  </si>
  <si>
    <t>ARTERIOSCLEROSIS THROMBOSIS AND VASCULAR BIOLOGY</t>
  </si>
  <si>
    <t>arterioles; mesenchymal stem cells; pericytes; pulmonary hypertension; vascular remodeling</t>
  </si>
  <si>
    <t>FIBROBLAST GROWTH FACTOR-2; PDGF-B; NG2 PROTEOGLYCAN; BETA; RECEPTOR; CELLS; ENDOTHELIUM; RECRUITMENT; PROGENITORS; MECHANISMS</t>
  </si>
  <si>
    <t>Objective: Excessive accumulation of resident cells within the pulmonary vascular wall represents the hallmark feature of the remodeling occurring in pulmonary arterial hypertension (PAH). Furthermore, we have previously demonstrated that pulmonary arterioles are excessively covered by pericytes in PAH, but this process is not fully understood. The aim of our study was to investigate the dynamic contribution of pericytes in PAH vascular remodeling. Approach and Results: In this study, we performed in situ, in vivo, and in vitro experiments. We isolated primary cultures of human pericytes from controls and PAH lung specimens then performed functional studies (cell migration, proliferation, and differentiation). In addition, to follow up pericyte number and fate, a genetic fate-mapping approach was used with an NG2CreER;mT/mG transgenic mice in a model of pulmonary arteriole muscularization occurring during chronic hypoxia. We identified phenotypic and functional abnormalities of PAH pericytes in vitro, as they overexpress CXCR (C-X-C motif chemokine receptor)-7 and TGF (transforming growth factor)-beta RII and, thereby, display a higher capacity to migrate, proliferate, and differentiate into smooth muscle-like cells than controls. In an in vivo model of chronic hypoxia, we found an early increase in pericyte number in a CXCL (C-X-C motif chemokine ligand)-12-dependent manner whereas later, from day 7, activation of the canonical TGF-beta signaling pathway induces pericytes to differentiate into smooth muscle-like cells. Conclusions: Our findings reveal a pivotal role of pulmonary pericytes in PAH and identify CXCR-7 and TGF-beta RII as 2 intrinsic abnormalities in these resident progenitor vascular cells that foster the onset and maintenance of PAH structural changes in blood lung vessels.</t>
  </si>
  <si>
    <t>[Bordenave, Jennifer; Tu, Ly; Berrebeh, Nihel; Thuillet, Raphael; Cumont, Amelie; Le Vely, Benjamin; Fadel, Elie; Savale, Laurent; Humbert, Marc; Huertas, Alice; Guignabert, Christophe] Hop Marie Lannelongue, INSERM UMR S 999, 133 Ave Resistance, F-92350 Le Plessis Robinson, France; [Bordenave, Jennifer; Tu, Ly; Berrebeh, Nihel; Thuillet, Raphael; Cumont, Amelie; Le Vely, Benjamin; Fadel, Elie; Savale, Laurent; Humbert, Marc; Huertas, Alice; Guignabert, Christophe] Univ Paris Saclay, Sch Med, Le Kremlin Bicetre, France; [Savale, Laurent; Humbert, Marc; Huertas, Alice] Hop Bicetre, AP HP, Dept Resp &amp; Intens Care Med, Le Kremlin Bicetre, France; [Nadaud, Sophie] Sorbonne Univ, INSERM, Fac Med Pitie Salpetriere, ICAN,UMR S 1166, Paris, France</t>
  </si>
  <si>
    <t>Hopital Marie Lannelongue; Universite Paris Saclay; Institut National de la Sante et de la Recherche Medicale (Inserm); Universite Paris Saclay; Assistance Publique Hopitaux Paris (APHP); Hopital Universitaire Antoine-Beclere - APHP; Universite Paris Saclay; Hopital Universitaire Bicetre - APHP; Institut National de la Sante et de la Recherche Medicale (Inserm); Sorbonne Universite</t>
  </si>
  <si>
    <t>Guignabert, C (corresponding author), Hop Marie Lannelongue, INSERM UMR S 999, 133 Ave Resistance, F-92350 Le Plessis Robinson, France.</t>
  </si>
  <si>
    <t>Savale, Laurent/AAJ-9781-2020; Nadaud, Sophie/A-7063-2013; TU, Ly/AAK-4996-2020; Huertas, Alice/E-8244-2017; Humbert, Marc/AAC-8459-2019; TU, Ly/G-4035-2013; GUIGNABERT, Christophe/G-3873-2013</t>
  </si>
  <si>
    <t>Humbert, Marc/0000-0003-0703-2892; TU, Ly/0000-0003-2336-5099; Nadaud, Sophie/0000-0002-1452-6009; GUIGNABERT, Christophe/0000-0002-8545-4452; bordenave, jennifer/0000-0001-8866-3666; Thuillet, Raphael/0000-0002-1379-3797</t>
  </si>
  <si>
    <t>French National Institute for Health and Medical Research (INSERM); University of Paris-Sud; Universite Paris-Saclay; Marie Lannelongue Hospital; French National Agency for Research (ANR) [ANR-16-CE17-0014, ANR-15-CE14-0020]; Fondation pour la Recherche Medicale (FRM) [DEQ20150331712]; Departement Hospitalo-Universitaire (DHU) Thorax Innovation (TORINO); Assistance Publique-Hopitaux de Paris (AP-HP); Service de Pneumologie; Centre de Reference de l'Hypertension Pulmonaire Severe; LabEx LERMIT [ANR-10-LABX-0033]; French PAH patient association (HTAP France); french Fonds de Dotation Recherche en Sante Respiratoire-(FRSR)Fondation du Souffle (FdS); investigator-sponsored study (ISS) grant from GlaxoSmithKline (GSK); FRM; Ile-de-France Regional Council; ARDoC 2018; Agence Nationale de la Recherche (ANR) [ANR-15-CE14-0020, ANR-16-CE17-0014] Funding Source: Agence Nationale de la Recherche (ANR)</t>
  </si>
  <si>
    <t>French National Institute for Health and Medical Research (INSERM)(Institut National de la Sante et de la Recherche Medicale (Inserm)); University of Paris-Sud; Universite Paris-Saclay; Marie Lannelongue Hospital; French National Agency for Research (ANR)(Agence Nationale de la Recherche (ANR)); Fondation pour la Recherche Medicale (FRM)(Fondation pour la Recherche Medicale); Departement Hospitalo-Universitaire (DHU) Thorax Innovation (TORINO); Assistance Publique-Hopitaux de Paris (AP-HP); Service de Pneumologie; Centre de Reference de l'Hypertension Pulmonaire Severe; LabEx LERMIT; French PAH patient association (HTAP France); french Fonds de Dotation Recherche en Sante Respiratoire-(FRSR)Fondation du Souffle (FdS); investigator-sponsored study (ISS) grant from GlaxoSmithKline (GSK); FRM(Fondation pour la Recherche Medicale); Ile-de-France Regional Council(Region Ile-de-France); ARDoC 2018; Agence Nationale de la Recherche (ANR)(Agence Nationale de la Recherche (ANR))</t>
  </si>
  <si>
    <t>This research was supported by grants from the French National Institute for Health and Medical Research (INSERM), the University of Paris-Sud and the Universite Paris-Saclay, the Marie Lannelongue Hospital, the French National Agency for Research (ANR) grant no. ANR-16-CE17-0014 (TAMIRAH) and ANR-15-CE14-0020 (PAHVAP), the Fondation pour la Recherche Medicale (FRM) grant no. DEQ20150331712 (Equipe FRM 2015) and in part by the Departement Hospitalo-Universitaire (DHU) Thorax Innovation (TORINO), the Assistance Publique-Hopitaux de Paris (AP-HP), Service de Pneumologie, Centre de Reference de l'Hypertension Pulmonaire Severe, the LabEx LERMIT (grant no. ANR-10-LABX-0033), the French PAH patient association (HTAP France) and the french Fonds de Dotation Recherche en Sante Respiratoire-(FRSR)Fondation du Souffle (FdS). This research was also supported in part by an investigator-sponsored study (ISS) grant from GlaxoSmithKline (GSK). J. Bordenave is supported by the FRM. N. Berrebeh is supported The Ile-de-France Regional Council with a doctoral contract (ARDoC 2018).</t>
  </si>
  <si>
    <t>1079-5642</t>
  </si>
  <si>
    <t>1524-4636</t>
  </si>
  <si>
    <t>ARTERIOSCL THROM VAS</t>
  </si>
  <si>
    <t>Arterioscler. Thromb. Vasc. Biol.</t>
  </si>
  <si>
    <t>10.1161/ATVBAHA.119.313715</t>
  </si>
  <si>
    <t>Hematology; Peripheral Vascular Disease</t>
  </si>
  <si>
    <t>Hematology; Cardiovascular System &amp; Cardiology</t>
  </si>
  <si>
    <t>LG3QE</t>
  </si>
  <si>
    <t>WOS:000528018700027</t>
  </si>
  <si>
    <t>Bordenave, J; Thuillet, R; Tu, L; Phan, C; Cumont, A; Marsol, C; Huertas, A; Savale, L; Hibert, M; Galzi, JL; Bonnet, D; Humbert, M; Frossard, N; Guignabert, C</t>
  </si>
  <si>
    <t>Bordenave, Jennifer; Thuillet, Raphael; Tu, Ly; Phan, Carole; Cumont, Amelie; Marsol, Claire; Huertas, Alice; Savale, Laurent; Hibert, Marcel; Galzi, Jean-Luc; Bonnet, Dominique; Humbert, Marc; Frossard, Nelly; Guignabert, Christophe</t>
  </si>
  <si>
    <t>Neutralization of CXCL12 attenuates established pulmonary hypertension in rats</t>
  </si>
  <si>
    <t>Pulmonary arterial hypertension; Vascular remodelling; Animal model; Therapeutic target; Stromal cell-derived factor 1; Chemokine</t>
  </si>
  <si>
    <t>FIBROBLAST GROWTH FACTOR-2; ARTERIAL-HYPERTENSION; CHEMOKINE CXCL12; CXCR7; PATHOGENESIS; RECEPTOR; INHIBITION; AMD3100; ASTHMA; CELLS</t>
  </si>
  <si>
    <t>Aims The progressive accumulation of cells in pulmonary vascular walls is a key pathological feature of pulmonary arterial hypertension (PAH) that results in narrowing of the vessel lumen, but treatments targeting this mechanism are lacking. The C-X-C motif chemokine 12 (CXCL12) appears to be crucial in these processes. We investigated the activity of two CXCL12 neutraligands on experimental pulmonary hypertension (PH), using two complementary animal models. Methods and results Male Wistar rats were injected with monocrotaline (MCT) or were subjected to SU5416 followed by 3-week hypoxia to induce severe PH. After PH establishment, assessed by pulsed-wave Doppler echocardiography, MCT-injected or SU5416 plus chronic hypoxia (SuHx) rats were randomized to receive CXCL12 neutraligands chalcone 4 or LIT-927 (100mg/kg/day), the C-X-C motif chemokine receptor 4 (CXCR4) antagonist AMD3100 (5mg/kg/day), or vehicle, for 2 or 3weeks, respectively. At the end of these treatment periods, echocardiographic and haemodynamic measurements were performed and tissue samples were collected for protein expression and histological analysis. Daily treatment of MCT-injected or SuHx rats with established PH with chalcone 4 or LIT-927 partially reversed established PH, reducing total pulmonary vascular resistance, and remodelling of pulmonary arterioles. Consistent with these observations, we found that neutralization of CXCL12 attenuates right ventricular hypertrophy, pulmonary vascular remodelling, and decreases pulmonary artery smooth muscle cell (PA-SMC) proliferation in lungs of MCT-injected rats and SuHx rats. Importantly, CXCL12 neutralization with either chalcone 4 or LIT-927 inhibited the migration of PA-SMCs and pericytes in vitro with a better efficacy than AMD3100. Finally, we found that CXCL12 neutralization decreases vascular pericyte coverage and macrophage infiltration in lungs of both MCT-injected and SuHx rats. Conclusion We report here a greater beneficial effect of CXCL12 neutralization vs. the conventional CXCR4 blockade with AMD3100 in the MCT and SuHx rat models of severe PH, supporting a role for CXCL12 in the progression of vascular complications in PH and opening to new therapeutic options.</t>
  </si>
  <si>
    <t>[Bordenave, Jennifer; Thuillet, Raphael; Tu, Ly; Phan, Carole; Cumont, Amelie; Huertas, Alice; Savale, Laurent; Humbert, Marc; Guignabert, Christophe] Hop Marie Lannelongue, INSERM UMR S 999, 133 Ave Resistance, F-92350 Le Plessis Robinson, France; [Bordenave, Jennifer; Thuillet, Raphael; Tu, Ly; Phan, Carole; Cumont, Amelie; Huertas, Alice; Savale, Laurent; Humbert, Marc; Guignabert, Christophe] Univ Paris Sud, F-94270 Le Kremlin Bicetre, France; [Bordenave, Jennifer; Thuillet, Raphael; Tu, Ly; Phan, Carole; Cumont, Amelie; Huertas, Alice; Savale, Laurent; Humbert, Marc; Guignabert, Christophe] Univ Paris Saclay, F-94270 Le Kremlin Bicetre, France; [Marsol, Claire; Hibert, Marcel; Galzi, Jean-Luc; Bonnet, Dominique; Frossard, Nelly] Univ Strasbourg, Lab Innovat Therapeut, UMR7200, CNRS, 74 Route Rhin, F-67412 Illkirch Graffenstaden, France; [Marsol, Claire; Hibert, Marcel; Galzi, Jean-Luc; Bonnet, Dominique; Frossard, Nelly] LabEx MEDALIS, Fac Pharm, 74 Route Rhin, F-67412 Illkirch Graffenstaden, France; [Huertas, Alice; Savale, Laurent; Humbert, Marc] Hop Bicetre, AP HP, DHU Thorax Innovat, Ctr Reference Hypertens Pulm Severe,Serv Pneumol, F-94270 Le Kremlin Bicetre, France; [Galzi, Jean-Luc] Univ Strasbourg, Biotechnol &amp; Signalisat Cellulaire, UMR 7242, Ecole Super Biotechnol Strasbourg,CNRS, F-67400 Illkirch Graffenstaden, France</t>
  </si>
  <si>
    <t>Institut National de la Sante et de la Recherche Medicale (Inserm); Hopital Marie Lannelongue; Universite Paris Saclay; Universite Paris Saclay; Universite Paris Saclay; Centre National de la Recherche Scientifique (CNRS); CNRS - Institute of Chemistry (INC); Universites de Strasbourg Etablissements Associes; Universite de Strasbourg; Universites de Strasbourg Etablissements Associes; Universite de Strasbourg; Universite Paris Saclay; Assistance Publique Hopitaux Paris (APHP); Hopital Universitaire Antoine-Beclere - APHP; Hopital Universitaire Bicetre - APHP; Centre National de la Recherche Scientifique (CNRS); CNRS - National Institute for Biology (INSB); Universites de Strasbourg Etablissements Associes; Universite de Strasbourg</t>
  </si>
  <si>
    <t>TU, Ly/AAK-4996-2020; Savale, Laurent/AAJ-9781-2020; TU, Ly/G-4035-2013; GUIGNABERT, Christophe/G-3873-2013; Bonnet, Dominique/N-7275-2014; Humbert, Marc/AAC-8459-2019; Huertas, Alice/E-8244-2017</t>
  </si>
  <si>
    <t>TU, Ly/0000-0003-2336-5099; GUIGNABERT, Christophe/0000-0002-8545-4452; bordenave, jennifer/0000-0001-8866-3666; Bonnet, Dominique/0000-0002-8252-9199; Thuillet, Raphael/0000-0002-1379-3797; Humbert, Marc/0000-0003-0703-2892; GALZI, jean-luc/0000-0002-0245-3367; Huertas, Alice/0000-0001-8545-747X</t>
  </si>
  <si>
    <t>French National Institute for Health and Medical Research (INSERM); Centre National de la Recherche Scientifique (CNRS); University of Paris-Sud; Universite Paris-Saclay; Marie Lannelongue Hospital; French National Agency for Research (ANR) [ANR-16-CE17-0014]; Fondation pour la Recherche Medicale (FRM) [DEQ20150331712]; Departement Hospitalo-Universitaire (DHU) Thorax Innovation (TORINO); Assistance Publique-Hopitaux de Paris (AP-HP), Service de Pneumologie, Centrede Reference de l'Hypertension Pulmonaire Severe; LABEX Medalis [ANR-10-LABX-0034]; LabEx LERMIT [ANR-10-LABX-0033]; French Fonds de Dotation `Recherche en Sante Respiratoire' -(FRSR)-Fondation du Souffle (FdS); GlaxoSmithKline (GSK); FRM</t>
  </si>
  <si>
    <t>French National Institute for Health and Medical Research (INSERM)(Institut National de la Sante et de la Recherche Medicale (Inserm)); Centre National de la Recherche Scientifique (CNRS)(Centre National de la Recherche Scientifique (CNRS)); University of Paris-Sud; Universite Paris-Saclay; Marie Lannelongue Hospital; French National Agency for Research (ANR)(Agence Nationale de la Recherche (ANR)); Fondation pour la Recherche Medicale (FRM)(Fondation pour la Recherche Medicale); Departement Hospitalo-Universitaire (DHU) Thorax Innovation (TORINO); Assistance Publique-Hopitaux de Paris (AP-HP), Service de Pneumologie, Centrede Reference de l'Hypertension Pulmonaire Severe; LABEX Medalis; LabEx LERMIT; French Fonds de Dotation `Recherche en Sante Respiratoire' -(FRSR)-Fondation du Souffle (FdS); GlaxoSmithKline (GSK)(GlaxoSmithKline); FRM(Fondation pour la Recherche Medicale)</t>
  </si>
  <si>
    <t>This research was supported by grants from the French National Institute for Health and Medical Research (INSERM), the Centre National de la Recherche Scientifique (CNRS), the University of Paris-Sud and the Universite Paris-Saclay, the Universite de Strasbourg, the Marie Lannelongue Hospital, the French National Agency for Research (ANR) (grant no. ANR-16-CE17-0014) (TAMIRAH), the Fondation pour la Recherche Medicale (FRM) (grant no. DEQ20150331712) (Equipe FRM 2015) and in part by the Departement Hospitalo-Universitaire (DHU) Thorax Innovation (TORINO), the Assistance Publique-Hopitaux de Paris (AP-HP), Service de Pneumologie, Centrede Reference de l'Hypertension Pulmonaire Severe, the LABEX Medalis (grant no ANR-10-LABX-0034), the LabEx LERMIT (grant no ANR-10-LABX-0033), the French PAH patient association (HTAP France), and the French Fonds de Dotation `Recherche en Sante Respiratoire' -(FRSR)-Fondation du Souffle (FdS). This research was also supported in part by an investigator-sponsored study (ISS) grant from GlaxoSmithKline (GSK). J.B. is supported by the FRM and C.P. by the FRSR-FdS.</t>
  </si>
  <si>
    <t>10.1093/cvr/cvz153</t>
  </si>
  <si>
    <t>KS8HS</t>
  </si>
  <si>
    <t>WOS:000518548100025</t>
  </si>
  <si>
    <t>Gil, EG; Jackson, DJ; Humbert, M; Hirsch, I; Newbold, P</t>
  </si>
  <si>
    <t>Gil, E. G.; Jackson, D. J.; Humbert, M.; Hirsch, I; Newbold, P.</t>
  </si>
  <si>
    <t>Association of Baseline Blood Eosinophil Counts and Serum IgE Concentrations on Exacerbations and Benralizumab Efficacy for Patients with Severe, Uncontrolled Asthma</t>
  </si>
  <si>
    <t>[Gil, E. G.; Hirsch, I; Newbold, P.] Astrazeneca, Cambridge, England; [Jackson, D. J.] Kings Coll London, Asthma UK Ctr, London, England; [Humbert, M.] Hop Bicetre, Serv Pneumol, Le Kremlin Bicetre, France</t>
  </si>
  <si>
    <t>University of London; King's College London; Assistance Publique Hopitaux Paris (APHP); Hopital Universitaire Bicetre - APHP; Hopital Universitaire Antoine-Beclere - APHP; Universite Paris Saclay</t>
  </si>
  <si>
    <t>P353</t>
  </si>
  <si>
    <t>S26</t>
  </si>
  <si>
    <t>10.1055/s-0039-3403117</t>
  </si>
  <si>
    <t>WOS:000588631500060</t>
  </si>
  <si>
    <t>Hodgson, J; Swietlik, EM; Salmon, RM; Hadinnapola, C; Nikolic, I; Wharton, J; Guo, JX; Liley, J; Haimel, M; Bleda, M; Southgate, L; Machado, RD; Martin, JM; Treacy, CM; Yates, K; Daugherty, LC; Shamardina, O; Whitehorn, D; Holden, S; Bogaard, HJ; Church, C; Coghlan, G; Condliffe, R; Corris, PA; Danesino, C; Eyries, M; Gall, H; Ghio, S; Ghofrani, HA; Gibbs, JSR; Girerd, B; Houweling, AC; Howard, L; Humbert, M; Kiely, DG; Kovacs, G; Lawrie, A; Ross, RVM; Moledina, S; Montani, D; Olschewski, A; Olschewski, H; Ouwehand, WH; Peacock, AJ; Pepke-Zaba, J; Prokopenko, I; Rhodes, CJ; Scelsi, L; Seeger, W; Soubrier, F; Suntharalingam, J; Toshner, MR; Trembath, RC; Noordegraaf, AV; Wort, SJ; Wilkins, MR; Yu, PB; Li, W; Gräf, S; Upton, PD; Morrell, NW</t>
  </si>
  <si>
    <t>Hodgson, Joshua; Swietlik, Emilia M.; Salmon, Richard M.; Hadinnapola, Charaka; Nikolic, Ivana; Wharton, John; Guo, Jingxu; Liley, James; Haimel, Matthias; Bleda, Marta; Southgate, Laura; Machado, Rajiv D.; Martin, Jennifer M.; Treacy, Carmen M.; Yates, Katherine; Daugherty, Louise C.; Shamardina, Olga; Whitehorn, Deborah; Holden, Simon; Bogaard, Harm J.; Church, Colin; Coghlan, Gerry; Condliffe, Robin; Corris, Paul A.; Danesino, Cesare; Eyries, Melanie; Gall, Henning; Ghio, Stefano; Ghofrani, Hossein-Ardeschir; Gibbs, J. Simon R.; Girerd, Barbara; Houweling, Arjan C.; Howard, Luke; Humbert, Marc; Kiely, David G.; Kovacs, Gabor; Lawrie, Allan; Ross, Robert V. MacKenzie; Moledina, Shahin; Montani, David; Olschewski, Andrea; Olschewski, Horst; Ouwehand, Willem H.; Peacock, Andrew J.; Pepke-Zaba, Joanna; Prokopenko, Inga; Rhodes, Christopher J.; Scelsi, Laura; Seeger, Werner; Soubrier, Florent; Suntharalingam, Jay; Toshner, Mark R.; Trembath, Richard C.; Noordegraaf, Anton Vonk; Wort, Stephen J.; Wilkins, Martin R.; Yu, Paul B.; Li, Wei; Graef, Stefan; Upton, Paul D.; Morrell, Nicholas W.</t>
  </si>
  <si>
    <t>Characterization of GDF2 Mutations and Levels of BMP9 and BMP10 in Pulmonary Arterial Hypertension</t>
  </si>
  <si>
    <t>BMP9; BMP10; GDF2; pulmonary arterial hypertension</t>
  </si>
  <si>
    <t>Rationale: Recently, rare heterozygous mutations in GDF2 were identified in patients with pulmonary arterial hypertension (PAH). GDF2 encodes the circulating BMP (bone morphogenetic protein) type 9, which is a ligand for the BMP2 receptor. Objectives: Here we determined the functional impact of GDF2 mutations and characterized plasma BMP9 and BMP10 levels in patients with idiopathic PAH. Methods: Missense BMP9 mutant proteins were expressed in vitro and the impact on BMP9 protein processing and secretion, endothelial signaling, and functional activity was assessed. Plasma BMP9 and BMP10 levels and activity were assayed in patients with PAH with GDF2 variants and in control subjects. Levels were also measured in a larger cohort of control subjects (n = 120) and patients with idiopathic PAH (n = 260). Measurements and Main Results: We identified a novel rare variation at the GDF2 and BMP10 loci, including copy number variation. In vitro, BMP9 missense proteins demonstrated impaired cellular processing and secretion. Patients with PAH who carried these mutations exhibited reduced plasma levels of BMP9 and reduced BMP activity. Unexpectedly, plasma BMP10 levels were also markedly reduced in these individuals. Although overall BMP9 and BMP10 levels did not differ between patients with PAH and control subjects, BMP10 levels were lower in PAH females. A subset of patients with PAH had markedly reduced plasma levels of BMP9 and BMP10 in the absence of GDF2 mutations. Conclusions: Our findings demonstrate that GDF2 mutations result in BMP9 loss of function and are likely causal. These mutations lead to reduced circulating levels of both BMP9 and BMP10. These findings support therapeutic strategies to enhance BMP9 or BMP10 signaling in PAH.</t>
  </si>
  <si>
    <t>[Hodgson, Joshua; Swietlik, Emilia M.; Salmon, Richard M.; Hadinnapola, Charaka; Guo, Jingxu; Liley, James; Haimel, Matthias; Bleda, Marta; Martin, Jennifer M.; Treacy, Carmen M.; Yates, Katherine; Toshner, Mark R.; Li, Wei; Graef, Stefan; Upton, Paul D.; Morrell, Nicholas W.] Univ Cambridge, Dept Med, Level 5 Addenbrookes Hosp,Box 157,Hills Rd, Cambridge CB2 0QQ, England; [Haimel, Matthias; Martin, Jennifer M.; Yates, Katherine; Daugherty, Louise C.; Shamardina, Olga; Whitehorn, Deborah; Ouwehand, Willem H.; Graef, Stefan] Univ Cambridge, Dept Haematol, Cambridge, England; [Swietlik, Emilia M.; Treacy, Carmen M.; Pepke-Zaba, Joanna; Toshner, Mark R.] Royal Papworth Hosp, Papworth Everard, England; [Nikolic, Ivana; Yu, Paul B.] Brigham &amp; Womens Hosp, Dept Med, 75 Francis St, Boston, MA 02115 USA; [Nikolic, Ivana; Yu, Paul B.] Harvard Med Sch, Boston, MA 02115 USA; [Wharton, John; Ghofrani, Hossein-Ardeschir; Howard, Luke; Prokopenko, Inga; Rhodes, Christopher J.; Wilkins, Martin R.] Imperial Coll London, Dept Med, London, England; [Gibbs, J. Simon R.; Wort, Stephen J.] Imperial Coll London, Natl Heart &amp; Lung Inst, London, England; [Haimel, Matthias; Martin, Jennifer M.; Yates, Katherine; Daugherty, Louise C.; Shamardina, Olga; Whitehorn, Deborah; Ouwehand, Willem H.; Graef, Stefan; Morrell, Nicholas W.] Natl Inst Hlth Res BioResource Rare Dis, Cambridge, England; [Southgate, Laura; Trembath, Richard C.] Kings Coll London, Dept Med &amp; Mol Genet, London, England; [Southgate, Laura; Machado, Rajiv D.] St Georges Univ London, Mol &amp; Clin Sci Res Inst, London, England; [Holden, Simon] Addenbrookes Hosp, Cambridge, England; [Bogaard, Harm J.; Eyries, Melanie; Soubrier, Florent] UPMC Sorbonne Univ, Hop Pitie Salpetriere, AP HP, Dept Genet, Paris, France; [Bogaard, Harm J.; Eyries, Melanie; Soubrier, Florent] UPMC Sorbonne Univ, UMR S 1166 ICAN, INSERM, Paris, France; [Church, Colin; Peacock, Andrew J.] Golden Jubilee Natl Hosp, Glasgow, Lanark, Scotland; [Coghlan, Gerry] Royal Free Hosp, London, England; [Condliffe, Robin; Kiely, David G.] Royal Hallamshire Hosp, Sheffield Pulm Vasc Dis Unit, Sheffield, S Yorkshire, England; [Corris, Paul A.] Univ Newcastle, Newcastle, England; [Danesino, Cesare] Univ Pavia, Dept Mol Med, Pavia, Italy; [Danesino, Cesare; Ghio, Stefano; Scelsi, Laura] Fdn IRCCS Policlin San Matte, Pavia, Italy; [Gall, Henning; Ghofrani, Hossein-Ardeschir; Seeger, Werner] Univ Giessen, Giessen, Germany; [Gall, Henning; Ghofrani, Hossein-Ardeschir; Seeger, Werner] German Ctr Lung Res DZL, Marburg Lung Ctr, Giessen, Germany; [Gall, Henning; Ghofrani, Hossein-Ardeschir; Seeger, Werner] Excellence Cluster Cardiopulm Inst, Giessen, Germany; [Girerd, Barbara; Humbert, Marc; Montani, David] Univ Paris Saclay, Univ Paris Sud, Fac Med, Paris, France; [Girerd, Barbara; Humbert, Marc; Montani, David; Noordegraaf, Anton Vonk] Assistance Publ Hop Paris, Serv Pneumol, Ctr Reference Hypertens Pulm, Paris, France; [Girerd, Barbara; Humbert, Marc; Montani, David] Hop Bicetre Kremlin, INSERM, UMR S 999, Paris, France; [Houweling, Arjan C.] Vrije Univ Amsterdam, Amsterdam Univ Med Ctr, Dept Clin Genet, Amsterdam, Netherlands; [Kovacs, Gabor; Olschewski, Andrea; Olschewski, Horst] Ludwig Boltzmann Inst Lung Vasc Res, Graz, Austria; [Kovacs, Gabor; Olschewski, Horst] Med Univ Graz, Graz, Austria; [Lawrie, Allan] Univ Sheffield, Dept Infect Immun &amp; Cardiovasc Dis, Sheffield, S Yorkshire, England; [Ross, Robert V. MacKenzie; Suntharalingam, Jay] Royal United Hosp Bath NHS Fdn Trust, Bath, Avon, England; [Moledina, Shahin] Great Ormond St Hosp Sick Children, London, England; [Wort, Stephen J.] Royal Brompton Hosp, London, England</t>
  </si>
  <si>
    <t>Cambridge University Hospitals NHS Foundation Trust; Addenbrooke's Hospital; University of Cambridge; University of Cambridge; Papworth Hospital; Harvard University; Harvard University Medical Affiliates; Brigham &amp; Women's Hospital; Harvard University; Harvard Medical School; Imperial College London; Imperial College London; University of London; King's College London; City St Georges, University of London; St Georges University London; University of Cambridge; Cambridge University Hospitals NHS Foundation Trust; Addenbrooke's Hospital; Assistance Publique Hopitaux Paris (APHP); Hopital Universitaire Pitie-Salpetriere - APHP; Sorbonne Universite; Sorbonne Universite; Institut National de la Sante et de la Recherche Medicale (Inserm); Golden Jubilee Hospital; University of London; University College London; Royal Free London NHS Foundation Trust; UCL Medical School; University of Sheffield; Newcastle University - UK; University of Pavia; IRCCS Fondazione San Matteo; Justus Liebig University Giessen; Universite Paris Saclay; Assistance Publique Hopitaux Paris (APHP); Universite Paris Cite; Hopital Universitaire Saint-Louis - APHP; Assistance Publique Hopitaux Paris (APHP); Hopital Universitaire Bicetre - APHP; Institut National de la Sante et de la Recherche Medicale (Inserm); Vrije Universiteit Amsterdam; Ludwig Boltzmann Institute; Ludwig Boltzmann Institute for Lung Vascular Research; Medical University of Graz; University of Sheffield; University of London; University College London; Great Ormond Street Hospital for Children NHS Foundation Trust; Royal Brompton Hospital</t>
  </si>
  <si>
    <t>Morrell, NW (corresponding author), Univ Cambridge, Dept Med, Level 5 Addenbrookes Hosp,Box 157,Hills Rd, Cambridge CB2 0QQ, England.</t>
  </si>
  <si>
    <t>nwm23@cam.ac.uk</t>
  </si>
  <si>
    <t>Bleda, Marta/A-9333-2014; EYRIES, melanie/ABF-1034-2020; Liley, James/GSD-4767-2022; Wilkins, Martin/ABH-1140-2021; Lawrie, Allan/A-2708-2012; Hadinnapola, Charaka/AAW-1229-2020; David, Montani/I-6885-2019; Ghofrani, Hossein/LPQ-1427-2024; Prokopenko, Inga/AAU-9895-2020; moledina, shahin/A-6466-2009; Howard, Luke/HJP-3415-2023; Yu, Paul/J-7540-2019; Cardoso, Paulo/C-5768-2012; Machado, Rajiv David/AAD-7813-2019; Pepke-Zaba, Joanna/AGW-3073-2022; Ghio, Stefano/ABH-1151-2021; Scelsi, Laura/AAB-9729-2019; Southgate, Laura/H-7924-2019; Prokopenko, Inga/H-3241-2014; Humbert, Marc/AAC-8459-2019</t>
  </si>
  <si>
    <t>Lawrie, Allan/0000-0003-4192-9505; Morrell, Nicholas/0000-0001-5700-9792; Toshner, Mark/0000-0002-3969-6143; Bogaard, Harm Jan/0000-0001-5371-0346; moledina, shahin/0000-0003-0262-2340; Ghio, Stefano/0000-0002-1858-1152; Guo, Jingxu/0000-0002-1568-4842; Hadinnapola, Charaka/0000-0002-7794-3432; Wilkins, Martin/0000-0003-3926-1171; Hodgson, Joshua/0009-0009-5966-2627; Rhodes, Christopher/0000-0002-4962-3204; Salmon, Richard/0000-0001-6327-5341; Yu, Paul/0000-0003-2145-4944; Haimel, Matthias/0000-0002-0320-0214; Scelsi, Laura/0000-0001-9409-691X; Condliffe, Robin/0000-0002-3492-4143; Vonk Noordegraaf, Anton/0000-0002-4057-758X; Church, Alistair/0000-0002-4446-0100; Southgate, Laura/0000-0002-2090-1450; Wharton, John/0000-0001-8110-2575; Prokopenko, Inga/0000-0003-1624-7457; Kovacs, Gabor/0000-0003-3709-2183; Machado, Rajiv David/0000-0001-9247-0744; Seeger, Werner/0000-0003-1946-0894; Montani, David/0000-0002-9358-6922; Humbert, Marc/0000-0003-0703-2892; Olschewski, Andrea/0000-0002-8189-3634</t>
  </si>
  <si>
    <t>10.1164/rccm.201906-1141OC</t>
  </si>
  <si>
    <t>KS3EX</t>
  </si>
  <si>
    <t>Green Accepted, Green Submitted, Green Published</t>
  </si>
  <si>
    <t>WOS:000518194000015</t>
  </si>
  <si>
    <t>Boucly, A; Savale, L; Vuillard, C; Turpin, M; Jaïs, X; Montani, D; Humbert, M; Sitbon, O</t>
  </si>
  <si>
    <t>Boucly, A.; Savale, L.; Vuillard, C.; Turpin, M.; Jais, X.; Montani, D.; Humbert, M.; Sitbon, O.</t>
  </si>
  <si>
    <t>Management of right ventricular failure in pulmonary vascular diseases</t>
  </si>
  <si>
    <t>Right ventricular failure; Pulmonary embolism; Pulmonary hypertension; Prognosis; Management</t>
  </si>
  <si>
    <t>ACUTE HEART-FAILURE; ARTERIAL-HYPERTENSION; IMMUNOSUPPRESSIVE THERAPY; EMBOLISM; GUIDELINES; MORTALITY; DIAGNOSIS; LUPUS; INDEX</t>
  </si>
  <si>
    <t>Right ventricular failure (RVF) is a common cause of admission to the intensive care unit and its presence is a major prognostic factor in acute pulmonary embolism (PE) and chronic pulmonary hypertension (PH). RVF results from an incapacity of the RV to adapt to an increase in afterload so it can become critical in acute PE and chronic PH. The presence of RVF in cases of acute PE with haemodynamic instability is an indication for thrombolytic therapy. RVF represents the most common cause of death in chronic PH. Factors triggering RV failure in PH, such as infection, PE, arrhythmias, or unplanned withdrawal of pulmonary arterial hypertension (PAH)-targeted therapy, have to be considered and treated if identified. However, RVF may also represent progression to end-stage disease. The management of RVF in patients with PH requires expertise and consists of optimization of fluid balance (with diuretics), cardiac output (with inotropic support such as dobutamine), perfusion pressure (with norepinephrine), and reduction of RV afterload with PAH-targeted therapies. Extracorporeal life support, lung transplantation or heart-lung transplantation should be considered in cases of refractory RVF in eligible patients. (c) 2019 Published by Elsevier Masson SAS on behalf of SPLF.</t>
  </si>
  <si>
    <t>[Boucly, A.; Savale, L.; Vuillard, C.; Turpin, M.; Jais, X.; Montani, D.; Humbert, M.; Sitbon, O.] Univ Paris Saclay, Univ Paris Sud, Fac Med, F-94270 Le Kremlin Bicetre, France; [Boucly, A.; Savale, L.; Vuillard, C.; Turpin, M.; Jais, X.; Montani, D.; Humbert, M.; Sitbon, O.] Hop Bicetre, AP HP, Serv Pneumol &amp; Soins Intensifs Resp, Ctr Reference Hypertens Pulm Severe, F-94270 Le Kremlin Bicetre, France; [Boucly, A.; Savale, L.; Vuillard, C.; Turpin, M.; Jais, X.; Montani, D.; Humbert, M.; Sitbon, O.] Hop Marie Lannelongue, Inserm UMR S 999, F-92350 Le Plessis Robinson, France</t>
  </si>
  <si>
    <t>Universite Paris Saclay; Universite Paris Saclay; Assistance Publique Hopitaux Paris (APHP); Hopital Universitaire Bicetre - APHP; Hopital Universitaire Antoine-Beclere - APHP; Hopital Marie Lannelongue; Universite Paris Saclay; Institut National de la Sante et de la Recherche Medicale (Inserm)</t>
  </si>
  <si>
    <t>Sitbon, O (corresponding author), CHU Bicetre, Serv Pneumol &amp; Soins Intensifs Resp, 78 Rue Gen Leclerc, F-94275 Le Kremlin Bicetre, France.</t>
  </si>
  <si>
    <t>olivier.sitbon@bct.aphp.fr</t>
  </si>
  <si>
    <t>JAIS, XAVIER/0000-0002-4104-7994; Humbert, Marc/0000-0003-0703-2892; Boucly, Athenais/0000-0001-6246-5557; Montani, David/0000-0002-9358-6922</t>
  </si>
  <si>
    <t>10.1016/j.rmr.2019.07.012</t>
  </si>
  <si>
    <t>KR8BW</t>
  </si>
  <si>
    <t>WOS:000517841900009</t>
  </si>
  <si>
    <t>Boucly, A; Morélot-Panzini, C; Garcia, G; Weatherald, J; Jaïs, X; Savale, L; Montani, D; Humbert, M; Similowski, T; Sitbon, O; Laveneziana, P</t>
  </si>
  <si>
    <t>Boucly, Athengis; Morelot-Panzini, Capucine; Garcia, Gilles; Weatherald, Jason; Jais, Xavier; Savale, Laurent; Montani, David; Humbert, Marc; Similowski, Thomas; Sitbon, Olivier; Laveneziana, Pierantonio</t>
  </si>
  <si>
    <t>Intensity and quality of exertional dyspnoea in patients with stable pulmonary hypertension</t>
  </si>
  <si>
    <t>DYNAMIC HYPERINFLATION; INSPIRATORY CAPACITY; BREATHING PATTERN; EXERCISE; STANDARDIZATION; ANXIETY; IMPACT; COPD; REHABILITATION; MECHANISMS</t>
  </si>
  <si>
    <t>Dynamic hyperinflation is observed during exercise in 60% of patients with clinically stable pulmonary arterial hypertension (PAH) and chronic thromboembolic pulmonary hypertension (CTEPH), intensifying exertional dyspnoea. The impact of dynamic changes in respiratory mechanics during exercise on qualitative dimensions of dyspnoea in these patients has not been evaluated. 26 patients (PAH n=17; CTEPH n=9) performed an incremental symptom-limited cycle exercise test. Minute ventilation (V'(E)), breathing pattern, operating lung volumes and dyspnoea intensity were assessed throughout exercise. Dyspnoea quality was serially assessed during exercise using a three-item questionnaire (dyspnoea descriptors). The inflection point of tidal volume (V-T) relative to V'(E) was determined for each incremental test. Changes in inspiratory capacity during exercise defined two groups of patients: hyperinflators (65%) and non-hyperinflators (35%). Multidimensional characterisation of dyspnoea was performed after exercise using the Multidimensional Dyspnea Profile. In hyperinflators, inspiratory capacity decreased progressively throughout exercise by 0.36 L, while remaining stable in non-hyperinflators. The work/effort descriptor was most frequently selected throughout exercise in both types of patients (65% of all responses). At the V-T/V'(E) inflection, work/effort plateaued while unsatisfied inspiration descriptors became selected predominantly only in hyperinflators (77% of all responses). In the affective domain, the emotion most frequently associated with dyspnoea was anxiety. In pulmonary hypertension patients who develop hyperinflation during exercise, dyspnoea descriptors referring to unsatisfied inspiration become predominant following the V-T/V'(E) inflection. As these descriptors are generally associated with more negative emotional experiences, delaying or preventing the V-T/V'(E) inflection may have important implications for symptom management in patients with pulmonary hypertension.</t>
  </si>
  <si>
    <t>[Boucly, Athengis; Garcia, Gilles; Jais, Xavier; Savale, Laurent; Montani, David; Humbert, Marc; Sitbon, Olivier] Univ Paris Saclay, Univ Paris Sud, Fac Med, Le Kremlin Bicetre, France; [Boucly, Athengis; Jais, Xavier; Savale, Laurent; Montani, David; Humbert, Marc; Sitbon, Olivier] Hop Bicetre, AP HP, Serv Pneumol &amp; Soins Intensifs, Le Kremlin Bicetre, France; [Boucly, Athengis; Garcia, Gilles; Jais, Xavier; Savale, Laurent; Montani, David; Humbert, Marc; Sitbon, Olivier] Hop Marie Lannelongue, UMR S 999, INSERM, Le Plessis Robinson, France; [Morelot-Panzini, Capucine; Similowski, Thomas; Laveneziana, Pierantonio] Sorbonne Univ, INSERM, UMRS1158, Neurophysiol Resp Expt &amp; Clin, Paris, France; [Morelot-Panzini, Capucine; Similowski, Thomas] Grp Hosp Pitie Salpetriere Charles Foix, AP HP, Serv Pneumol Med Intens &amp; Reanimat, Dept R3S, Paris, France; [Garcia, Gilles] Hop Bicetre, AP HP, Serv Physiol, Le Kremlin Bicetre, France; [Weatherald, Jason] Univ Calgary, Dept Med, Div Respirol, Calgary, AB, Canada; [Weatherald, Jason] Univ Calgary, Libin Cardiovasc Inst Alberta, Calgary, AB, Canada; [Laveneziana, Pierantonio] Sorbonne Univ, Grp Hosp Pitie Salpetriere Charles Foix, AP HP, Serv Explorat Fonct Resp Exercice &amp; Dyspnee,Dept, Paris, France</t>
  </si>
  <si>
    <t>Universite Paris Saclay; Assistance Publique Hopitaux Paris (APHP); Hopital Universitaire Antoine-Beclere - APHP; Universite Paris Saclay; Hopital Universitaire Bicetre - APHP; Universite Paris Saclay; Hopital Marie Lannelongue; Institut National de la Sante et de la Recherche Medicale (Inserm); Institut National de la Sante et de la Recherche Medicale (Inserm); Sorbonne Universite; Sorbonne Universite; Assistance Publique Hopitaux Paris (APHP); Hopital Universitaire Pitie-Salpetriere - APHP; Hopital Universitaire Charles-Foix - APHP; Universite Paris Saclay; Assistance Publique Hopitaux Paris (APHP); Hopital Universitaire Bicetre - APHP; Hopital Universitaire Antoine-Beclere - APHP; University of Calgary; Libin Cardiovascular Institute Of Alberta; University of Calgary; Sorbonne Universite; Assistance Publique Hopitaux Paris (APHP); Hopital Universitaire Charles-Foix - APHP; Hopital Universitaire Pitie-Salpetriere - APHP</t>
  </si>
  <si>
    <t>Laveneziana, P (corresponding author), Sorbonne Univ, Grp Hosp Pitie Salpetriere Charles Foix, AP HP,Hop Univ Pitie Salpetriere Tenon &amp; St Antoi, Serv Explorat Fonct Resp Exercice &amp; Dyspnee,Dept, 47-83 Blvd Hop, F-75013 Paris, France.</t>
  </si>
  <si>
    <t>Savale, Laurent/AAJ-9781-2020; Laveneziana, Pierantonio/GWC-2028-2022; Similowski, Thomas/GQQ-9468-2022; David, Montani/I-6885-2019; Sitbon, Olivier/I-3623-2019; Humbert, Marc/AAC-8459-2019</t>
  </si>
  <si>
    <t>garcia, gilles/0000-0001-5383-4189; Humbert, Marc/0000-0003-0703-2892; Boucly, Athenais/0000-0001-6246-5557; Savale, Laurent/0000-0002-6862-8975; JAIS, XAVIER/0000-0002-4104-7994; Montani, David/0000-0002-9358-6922; SITBON, Olivier/0000-0002-1942-1951; Weatherald, Jason/0000-0002-0615-4575</t>
  </si>
  <si>
    <t>Fondation pour la Recherche Medicale [DEA20150633823]</t>
  </si>
  <si>
    <t>Fondation pour la Recherche Medicale(Fondation pour la Recherche Medicale)</t>
  </si>
  <si>
    <t>This study formed the basis of Athenais Boucly's Master 2 degree, which was funded by the Fondation pour la Recherche Medicale (DEA20150633823).</t>
  </si>
  <si>
    <t>10.1183/13993003.02108-2018</t>
  </si>
  <si>
    <t>KS9NA</t>
  </si>
  <si>
    <t>WOS:000518635000001</t>
  </si>
  <si>
    <t>Busse, WW; Humbert, M; Haselkorn, T; Ortiz, B; Trzaskoma, BL; Stephenson, P; Conde, LG; Kianifard, F; Holgate, ST</t>
  </si>
  <si>
    <t>Busse, William W.; Humbert, Marc; Haselkorn, Tmirah; Ortiz, Benjamin; Trzaskoma, Benjamin L.; Stephenson, Patricia; Conde, Lorena Garcia; Kianifard, Farid; Holgate, Stephen T.</t>
  </si>
  <si>
    <t>Effect of omalizumab on lung function and eosinophil levels in adolescents with moderate-to-severe allergic asthma</t>
  </si>
  <si>
    <t>ANTIIMMUNOGLOBULIN-E THERAPY; FUNCTION DECLINE; ANTIBODY OMALIZUMAB; BLOOD EOSINOPHILIA; EFFICACY; IGE; TOLERABILITY; CHILDREN; RHINITIS</t>
  </si>
  <si>
    <t>Background: Omalizumab improves clinical outcomes in patients with asthma. Several studies have shown lung function improvements with omalizumab; however, this has not been examined exclusively in adolescents. Objective: To assess the effect of omalizumab on lung function and eosinophil counts in adolescents with uncontrolled moderate-to-severe allergic asthma. Methods: In this post hoc analysis, data from adolescents aged 12 to 17 years from 8 randomized trials of omalizumab were pooled (studies 008, 009, and 011, and SOLAR, INNOVATE, ALTO, ETOPA, and EXTRA). Changes from baseline to end of study in forced expiratory volume in 1 second (FEV1), percent predicted FEV1 (ppFEV(1)), forced vital capacity (FVC), and blood eosinophil counts were assessed by fitting an analysis of covariance model and calculating least squares mean (LSM) difference for omalizumab vs placebo. Results: A total of 340 adolescents were identified (omalizumab, n = 203 [59.7%]; placebo, n = 137 [40.3%]). Omalizumab increased all baseline lung function variables more than placebo by end of study: LSM treatment differences (95% confidence interval) were 3.0% (0.2%-5.7%; P = .035), 120.9 mL (30.6- 211.2 mL; P = .009), and 101.5 mL (8.3-194.6 mL; P = .033) for ppFEV(1), absolute FEV1, and FVC, respectively. The LSM difference demonstrated a greater reduction in eosinophil counts for omalizumab vs placebo: -85.9 cells/mu L (-137.1 to -34.6 cells/mu L; P = .001). Conclusion: Omalizumab was associated with lung function improvements and circulating eosinophil counts reductions in adolescents with moderate-to-severe uncontrolled asthma. Findings emphasize the effect of omalizumab in young patients and the need to optimize treatment early in the disease course. (C) 2019 American College of Allergy, Asthma &amp; Immunology.</t>
  </si>
  <si>
    <t>[Busse, William W.] Univ Wisconsin, Sch Med &amp; Publ Hlth, Madison, WI 53706 USA; [Humbert, Marc] Univ Paris Sud, Paris, France; [Haselkorn, Tmirah] EpiMetrix Inc, Los Altos, CA USA; [Ortiz, Benjamin; Kianifard, Farid] Novartis Pharmaceut, E Hanover, NJ USA; [Trzaskoma, Benjamin L.] Genentech Inc, San Francisco, CA 94080 USA; [Stephenson, Patricia] Rho Inc, Chapel Hill, NC USA; [Conde, Lorena Garcia] Novartis Pharma AG, Basel, Switzerland; [Holgate, Stephen T.] Univ Southampton, Southampton, Hants, England</t>
  </si>
  <si>
    <t>University of Wisconsin System; University of Wisconsin Madison; Universite Paris Saclay; Novartis; Novartis USA; Roche Holding; Roche Holding USA; Genentech; Rho; Novartis; University of Southampton</t>
  </si>
  <si>
    <t>Busse, WW (corresponding author), Univ Wisconsin, Sch Med &amp; Publ Hlth, Madison, WI 53706 USA.</t>
  </si>
  <si>
    <t>wwb@medicine.wisc.edu</t>
  </si>
  <si>
    <t>Busse, William/AFR-0848-2022; Humbert, Marc/AAC-8459-2019; holgate, stephen/JOZ-4882-2023</t>
  </si>
  <si>
    <t>Genentech, Inc., a member of the Roche Group; Novartis Pharma AG; MRC [G19/34, G0800766] Funding Source: UKRI</t>
  </si>
  <si>
    <t>Genentech, Inc., a member of the Roche Group; Novartis Pharma AG; MRC(UK Research &amp; Innovation (UKRI)Medical Research Council UK (MRC))</t>
  </si>
  <si>
    <t>Included studies (studies 008, 009, and 011, and SOLAR, INNOVATE, ALTO, ETOPA, and EXTRA) and this analysis were funded by Genentech, Inc., a member of the Roche Group, and Novartis Pharma AG.</t>
  </si>
  <si>
    <t>10.1016/j.anai.2019.11.016</t>
  </si>
  <si>
    <t>KJ1RX</t>
  </si>
  <si>
    <t>WOS:000511835700014</t>
  </si>
  <si>
    <t>Jackson, DJ; Humbert, M; Hirsch, I; Newbold, P; Gil, EG</t>
  </si>
  <si>
    <t>Jackson, David J.; Humbert, Marc; Hirsch, Ian; Newbold, Paul; Garcia Gil, Esther</t>
  </si>
  <si>
    <t>Ability of Serum IgE Concentration to Predict Exacerbation Risk and Benralizumab Efficacy for Patients with Severe Eosinophilic Asthma</t>
  </si>
  <si>
    <t>ADVANCES IN THERAPY</t>
  </si>
  <si>
    <t>Asthma; Benralizumab; CALIMA; Eosinophils; Exacerbations; Immunoglobulin E; Interleukin-5 receptor; SIROCCO</t>
  </si>
  <si>
    <t>ALLERGIC-ASTHMA; DOUBLE-BLIND; OMALIZUMAB; MEPOLIZUMAB; PHENOTYPES; MULTICENTER; BIOMARKERS; ANTIBODY; RECEPTOR; THERAPY</t>
  </si>
  <si>
    <t>Introduction For patients with eosinophilic asthma with allergic characteristics, understanding the key drivers of exacerbations is important to identify optimal treatment strategies. Benralizumab is an interleukin-5 receptor alpha-directed cytolytic monoclonal antibody that significantly reduces exacerbation frequency for patients with severe, uncontrolled eosinophilic asthma. We evaluated the predictive value of baseline blood eosinophil counts vs. serum immunoglobulin E (IgE) concentrations on exacerbation risk and the association of these variables with benralizumab treatment effect. Methods Analyses were performed with data pooled from the phase III SIROCCO and CALIMA benralizumab trials. Crude annual asthma exacerbation rates (AERs) were determined for placebo as a function of baseline blood eosinophil counts and serum IgE concentrations with prespecified blood eosinophil count categories (&lt; 150, &gt;= 150 to &lt; 300, &gt;= 300 to &lt; 450, &gt;= 450 cells/mu L) and IgE concentration quartiles (&lt; 62.0, &gt;= 62.0 to &lt; 176.2, &gt;= 176.2 to &lt; 453.4, and &gt;= 453.4 kU/L). We compared AERs for patients receiving benralizumab 30 mg every 8 weeks (first three doses every 4 weeks) vs. placebo for overlapping baseline blood eosinophil count categories and serum IgE concentration quartiles via a regression approach and by continuously using locally weighted regression smoothing analysis. Results Exacerbation risk for patients with severe asthma receiving placebo increased with increasing baseline blood eosinophil counts but not with increasing serum IgE concentrations. Addition of baseline atopy status did not influence the relationship between IgE concentrations and exacerbation risk for patients receiving placebo. Patients with blood eosinophil counts &gt;= 300 cells/mu L had consistent decreases in exacerbation risk with benralizumab relative to placebo across all serum IgE concentration quartiles. Conclusion Baseline blood eosinophil counts, but not serum IgE concentrations, are an important predictor of exacerbation risk. Patients with severe eosinophilic asthma treated with benralizumab had consistent reductions in exacerbation risk, regardless of IgE concentrations. Plain Language Summary Many patients with severe asthma have elevated numbers of eosinophils (a subset of white blood cells) and raised serum concentrations of immunoglobulin E (IgE; antibodies). Elevated eosinophil counts together with IgE concentrations are associated with more frequent asthma attacks. Benralizumab is a drug that almost completely depletes eosinophils and significantly reduces asthma attacks for patients with severe, uncontrolled asthma and elevated blood eosinophil counts. The individual influence of eosinophils and IgE on benralizumab efficacy has been published. In this study, we further extend the analyses to evaluate the interrelationship of eosinophil counts and IgE concentrations with asthma attack frequency and benralizumab efficacy for patients with severe, uncontrolled asthma. We evaluated the association of blood eosinophil counts and IgE concentrations with asthma attack frequency for patients with severe asthma who received high-dosage inhaled corticosteroids plus additional controller medications but did not receive benralizumab in the benralizumab clinical trials. We observed that increased blood eosinophil counts were associated with greater asthma attack frequency, while serum IgE concentrations had no influence on asthma attack frequency. We also evaluated patients who received benralizumab and determined that benralizumab can reduce the occurrence of these attacks for patients with elevated blood eosinophil counts regardless of their serum IgE concentrations. Frequency of asthma attacks also decreased with benralizumab for patients with elevated serum IgE concentrations, but serum IgE concentrations did not influence benralizumab efficacy. Benralizumab is an efficacious treatment for patients with uncontrolled eosinophilic asthma, regardless of their IgE concentrations.</t>
  </si>
  <si>
    <t>[Jackson, David J.] Guys &amp; St Thomas NHS Trust, Guys Severe Asthma Ctr, London, England; [Jackson, David J.] Kings Coll London, Sch Immunol &amp; Microbial Sci, Asthma UK Ctr, London, England; [Humbert, Marc] Hop Bicetre, AP HP, Serv Pneumol, 78 Rue Gen Leclerc, Le Kremlin Bicetre, France; [Hirsch, Ian; Newbold, Paul] AstraZeneca, One MedImmune Way, Gaithersburg, MD USA; [Garcia Gil, Esther] AstraZeneca, Barcelona, Spain</t>
  </si>
  <si>
    <t>Guy's &amp; St Thomas' NHS Foundation Trust; University of London; King's College London; Assistance Publique Hopitaux Paris (APHP); Hopital Universitaire Bicetre - APHP; Hopital Universitaire Antoine-Beclere - APHP; Universite Paris Saclay; AstraZeneca; Medimmune</t>
  </si>
  <si>
    <t>Jackson, DJ (corresponding author), Guys &amp; St Thomas NHS Trust, Guys Severe Asthma Ctr, London, England.</t>
  </si>
  <si>
    <t>David.Jackson@gstt.nhs.uk</t>
  </si>
  <si>
    <t>Jackson, David/AAG-8818-2020; Humbert, Marc/AAC-8459-2019</t>
  </si>
  <si>
    <t>0741-238X</t>
  </si>
  <si>
    <t>1865-8652</t>
  </si>
  <si>
    <t>ADV THER</t>
  </si>
  <si>
    <t>Adv. Ther.</t>
  </si>
  <si>
    <t>10.1007/s12325-019-01191-2</t>
  </si>
  <si>
    <t>Medicine, Research &amp; Experimental; Pharmacology &amp; Pharmacy</t>
  </si>
  <si>
    <t>Research &amp; Experimental Medicine; Pharmacology &amp; Pharmacy</t>
  </si>
  <si>
    <t>KI8GA</t>
  </si>
  <si>
    <t>WOS:000511593200008</t>
  </si>
  <si>
    <t>Nair, P; Bardin, P; Humbert, M; Murphy, KR; Hickey, L; Garin, M; Vanlandingham, R; Chanez, P</t>
  </si>
  <si>
    <t>Nair, Parameswaran; Bardin, Philip; Humbert, Marc; Murphy, Kevin R.; Hickey, Lisa; Garin, Margaret; Vanlandingham, Rebecca; Chanez, Pascal</t>
  </si>
  <si>
    <t>Efficacy of Intravenous Reslizumab in Oral Corticosteroid-Dependent Asthma</t>
  </si>
  <si>
    <t>Severe asthma; Eosinophil; IL-5; Oral corticosteroid; Prednisone; Reslizumab</t>
  </si>
  <si>
    <t>BLOOD EOSINOPHIL COUNT; DISEASE</t>
  </si>
  <si>
    <t>BACKGROUND: Reslizumab displays efficacy in patients with inadequately controlled eosinophilic asthma; previous reports in oral corticosteroid-dependent asthma are limited. OBJECTIVE: To assess efficacy of reslizumab in oral corticosteroid-dependent patients and benefits on oral corticosteroid burden. METHODS: We report post hoc analyses of pooled data from duplicate, placebo-controlled phase 3 trials. Patients aged 12 to 75 years with inadequately controlled, moderate-to-severe asthma were randomized 1:1 to receive intravenous reslizumab 3.0 mg/kg or placebo every 4 weeks for 52 weeks, stratified by oral corticosteroid use at enrollment and by region. Assessments included efficacy and predictors of clinical asthma exacerbation response in oral corticosteroid-dependent patients, and systemic corticosteroids burden in the overall population. RESULTS: Patients were randomized to reslizumab (n = 477) or placebo (n = 476); 73 (15%) patients in each group were taking oral corticosteroids at baseline. Reslizumab was favored over placebo for all efficacy end points in oral corticosteroid-dependent patients, with numerically greater improvements in oral corticosteroid-dependent patients than the overall population. Having 2 or more versus 1 clinical asthma exacerbation in the previous 12 months was the strongest positive predictor of reduced exacerbation risk with reslizumab (risk reduction, 77.5% vs 15.2%; P &lt;= .02). Significantly fewer new systemic corticosteroid prescriptions were issued per patient receiving reslizumab versus placebo (mean +/- SD, 0.5 +/- 1.07 vs 1.0 +/- 1.52; P &lt; .0001). Total and per-patient systemic corticosteroid burdens were lower: 121,135 versus 290,977 mg and 254 versus 611 mg/patient, respectively (both P &lt; (.)0001). CONCLUSIONS: Oral corticosteroid-dependent patients benefited from reslizumab across asthma efficacy outcome measures. Reslizumab-treated patients required fewer new systemic corticosteroid prescriptions and had a lower systemic corticosteroid burden compared with placebo. (C) 2019 The Authors. Published by Elsevier Inc. on behalf of the American Academy of Allergy, Asthma &amp; Immunology. This is an open access article under the CC BY-NC-ND license (http://creativecommons.org/licenses/by-nc-nd/4.0/).</t>
  </si>
  <si>
    <t>[Nair, Parameswaran] McMaster Univ, Dept Med, Hamilton, ON, Canada; [Nair, Parameswaran] St Josephs Healthcare Hamilton, Hamilton, ON, Canada; [Bardin, Philip] Monash Med Ctr, Monash Lung &amp; Sleep, Melbourne, Vic, Australia; [Bardin, Philip] Univ Melbourne, Melbourne, Vic, Australia; [Humbert, Marc] Univ Paris Sud, Hop Bicetre, Serv Pneumol, Le Kremlin Bicetre, France; [Murphy, Kevin R.] Boys Town Natl Res Hosp, Boys Town, NE USA; [Hickey, Lisa; Garin, Margaret; Vanlandingham, Rebecca] Teva Branded Pharmaceut Prod R&amp;D Inc, Malvern, PA USA; [Chanez, Pascal] Aix Marseille Univ, Dept Resp Dis, Marseille, France</t>
  </si>
  <si>
    <t>McMaster University; McMaster University; Monash University; University of Melbourne; Universite Paris Saclay; Assistance Publique Hopitaux Paris (APHP); Hopital Universitaire Antoine-Beclere - APHP; Hopital Universitaire Bicetre - APHP; Boys Town National Research Hospital; Teva Pharmaceutical Industries; Teva Pharmaceutical Industries USA; Aix-Marseille Universite</t>
  </si>
  <si>
    <t>Nair, P (corresponding author), St Josephs Healthcare Hamilton, Firestone Inst Resp Hlth, Hamilton, ON L8N 4A6, Canada.</t>
  </si>
  <si>
    <t>parames@mcmaster.ca</t>
  </si>
  <si>
    <t>Nair, Parameswaran/AAK-1049-2020; Humbert, Marc/AAC-8459-2019; Bonniaud, Philippe/ITT-4660-2023</t>
  </si>
  <si>
    <t>chanez, pascal/0000-0003-4059-0917</t>
  </si>
  <si>
    <t>Teva Pharmaceuticals,Inc.</t>
  </si>
  <si>
    <t>Teva Pharmaceuticals,Inc.(Teva Pharmaceutical Industries)</t>
  </si>
  <si>
    <t>Medical writing support was provided by Ian C. Grieve, PhD, of Zoetic Science, an Ashfield company, part of UDG Healthcare plc, and was funded by Teva Pharmaceuticals,Inc. We thank members of the Teva team for providing a full review of the article.</t>
  </si>
  <si>
    <t>10.1016/j.jaip.2019.09.036</t>
  </si>
  <si>
    <t>KK8CN</t>
  </si>
  <si>
    <t>WOS:000512964500014</t>
  </si>
  <si>
    <t>Ulrich, A; Wharton, J; Thayer, TE; Swietlik, EM; Assad, TR; Desai, AA; Gräf, S; Harbaum, L; Humbert, M; Morrell, NW; Nichols, WC; Soubrier, F; Southgate, L; Trégouët, DA; Trembath, RC; Brittain, EL; Wilkins, MR; Prokopenko, I; Rhodes, CJ</t>
  </si>
  <si>
    <t>Ulrich, Anna; Wharton, John; Thayer, Timothy E.; Swietlik, Emilia M.; Assad, Tufik R.; Desai, Ankit A.; Graf, Stefan; Harbaum, Lars; Humbert, Marc; Morrell, Nicholas W.; Nichols, William C.; Soubrier, Florent; Southgate, Laura; Tregouet, David-Alexandre; Trembath, Richard C.; Brittain, Evan L.; Wilkins, Martin R.; Prokopenko, Inga; Rhodes, Christopher J.</t>
  </si>
  <si>
    <t>UK PAH Cohort Study Consortium; US PAH Biobank Consortium</t>
  </si>
  <si>
    <t>Mendelian randomisation analysis of red cell distribution width in pulmonary arterial hypertension</t>
  </si>
  <si>
    <t>IRON-DEFICIENCY; RISK; SUPPLEMENTATION; INSTRUMENTS; DISEASE; COMMON</t>
  </si>
  <si>
    <t>Pulmonary arterial hypertension (PAH) is a rare disease that leads to premature death from right heart failure. It is strongly associated with elevated red cell distribution width (RDW), a correlate of several iron status biomarkers. High RDW values can signal early-stage iron deficiency or iron deficiency anaemia. This study investigated whether elevated RDW is causally associated with PAH. A two-sample Mendelian randomisation (MR) approach was applied to investigate whether genetic predisposition to higher levels of RDW increases the odds of developing PAH. Primary and secondary MR analyses were performed using all available genome-wide significant RDW variants (n=179) and five genome-wide significant RDW variants that act via systemic iron status, respectively. We confirmed the observed association between RDW and PAH (OR 1.90, 95% CI 1.80-2.01) in a multicentre case-control study (cases n=642, disease controls n=15889). The primary MR analysis was adequately powered to detect a causal effect (odds ratio) between 1.25 and 1.52 or greater based on estimates reported in the RDW genome-wide association study or from our own data. There was no evidence for a causal association between RDW and PAH in either the primary (ORcausal 1.07, 95% CI 0.92-1.24) or the secondary (ORcausal 1.09, 95% CI 0.77-1.54) MR analysis. The results suggest that at least some of the observed association of RDW with PAH is secondary to disease progression. Results of iron therapeutic trials in PAH should be interpreted with caution, as any improvements observed may not be mechanistically linked to the development of PAH.</t>
  </si>
  <si>
    <t>[Ulrich, Anna; Wharton, John; Harbaum, Lars; Wilkins, Martin R.; Rhodes, Christopher J.] Imperial Coll London, Natl Heart &amp; Lung Inst, Hammersmith Campus, London W12 0NN, England; [Thayer, Timothy E.; Brittain, Evan L.] Vanderbilt Univ, Div Cardiovasc Med, Med Ctr, Nashville, TN USA; [Swietlik, Emilia M.; Graf, Stefan; Morrell, Nicholas W.] Univ Cambridge, Dept Med, Cambridge, England; [Swietlik, Emilia M.] Royal Papworth Hosp NHS Fdn Trust, Pulm Vasc Dis Unit, Cambridge, England; [Assad, Tufik R.] Williamson Country Med Ctr, Franklin, TN USA; [Desai, Ankit A.] Indiana Univ, Dept Med, Indianapolis, IN USA; [Graf, Stefan; Morrell, Nicholas W.] NIHR BioResource Rare Dis, Cambridge, England; [Graf, Stefan] Univ Cambridge, Dept Haematol, Cambridge, England; [Humbert, Marc] Univ Paris Saclay, Univ Paris Sud, Fac Med, Paris, France; [Humbert, Marc] Hop Bicetre, AP HP, Serv Pneumol, Ctr Reference Hypertens Pulm, Le Kremlin Bicetre, France; [Humbert, Marc] Hop Marie Lannelongue, INSERM UMR S 999, Le Plessis Robinson, France; [Nichols, William C.] Univ Cincinnati, Coll Med, Childrens Hosp Med Ctr, Div Human Genet,Dept Pediat, Cincinnati, OH USA; [Soubrier, Florent] UPMC Univ Paris 06, INSERM, Unite Mixte Rech Sante UMR S 1166, Sorbonne Univ, Paris, France; [Southgate, Laura] St Georges Univ London, Mol &amp; Clin Sci Res Inst, London, England; [Tregouet, David-Alexandre] Univ Bordeaux, Bordeaux Populat Hlth Res Ctr, INSERM UMR S 1219, Bordeaux, France; [Trembath, Richard C.] Kings Coll London, Div Genet &amp; Mol Med, London, England; [Brittain, Evan L.] Vanderbilt Translat &amp; Clin Cardiovasc Res Ctr, Nashville, TN USA; [Prokopenko, Inga] Univ Surrey, Dept Clin &amp; Expt Med, Guildford, Surrey, England; [Prokopenko, Inga] Imperial Coll London, Dept Metab Digest &amp; Reprod, London, England</t>
  </si>
  <si>
    <t>Imperial College London; Vanderbilt University; University of Cambridge; Papworth Hospital; Indiana University System; Indiana University Indianapolis; University of Cambridge; Universite Paris Saclay; Assistance Publique Hopitaux Paris (APHP); Hopital Universitaire Antoine-Beclere - APHP; Hopital Universitaire Bicetre - APHP; Universite Paris Saclay; Institut National de la Sante et de la Recherche Medicale (Inserm); Hopital Marie Lannelongue; Universite Paris Saclay; Cincinnati Children's Hospital Medical Center; University System of Ohio; University of Cincinnati; Sorbonne Universite; Institut National de la Sante et de la Recherche Medicale (Inserm); City St Georges, University of London; St Georges University London; Institut National de la Sante et de la Recherche Medicale (Inserm); Universite de Bordeaux; University of London; King's College London; University of Surrey; Imperial College London</t>
  </si>
  <si>
    <t>Rhodes, CJ (corresponding author), Imperial Coll London, Natl Heart &amp; Lung Inst, Hammersmith Campus, London W12 0NN, England.</t>
  </si>
  <si>
    <t>crhodes@imperial.ac.uk</t>
  </si>
  <si>
    <t>Prokopenko, Inga/AAU-9895-2020; Wilkins, Martin/ABH-1140-2021; Tregouet, David-Alexandre/E-3961-2016; Thayer, Timothy/AAG-5285-2021; Brittain, Evan/AEU-1089-2022; Humbert, Marc/AAC-8459-2019; Prokopenko, Inga/H-3241-2014; Southgate, Laura/H-7924-2019</t>
  </si>
  <si>
    <t>Wilkins, Martin/0000-0003-3926-1171; Rhodes, Christopher/0000-0002-4962-3204; Graf, Stefan/0000-0002-1315-8873; Humbert, Marc/0000-0003-0703-2892; Morrell, Nicholas/0000-0001-5700-9792; Desai, Ankit/0000-0001-6427-616X; Tregouet, David-Alexandre/0000-0001-9084-7800; Prokopenko, Inga/0000-0003-1624-7457; Southgate, Laura/0000-0002-2090-1450; Ulrich, Anna/0000-0003-3280-9974; Wharton, John/0000-0001-8110-2575</t>
  </si>
  <si>
    <t>NIHR BR-RD; British Heart Foundation [SP/12/12/29836]; BHF Cambridge and Imperial Centres of Cardiovascular Research Excellence [RE/18/4/34215]; UK Medical Research Council [MR/K020919/1]; BHF Programme [RG/08/006/25302, RG/13/4/30107, RG/10/16/28575]; NIH/NHLBI [HL105333]; NIH [R01 HL146588, S10RR025141]; CTSA [UL1TR002243, UL1TR000445, UL1RR024975]; MRC [MR/K020919/1] Funding Source: UKRI</t>
  </si>
  <si>
    <t>NIHR BR-RD; British Heart Foundation(British Heart Foundation); BHF Cambridge and Imperial Centres of Cardiovascular Research Excellence; UK Medical Research Council(UK Research &amp; Innovation (UKRI)Medical Research Council UK (MRC)); BHF Programme; NIH/NHLBI(United States Department of Health &amp; Human ServicesNational Institutes of Health (NIH) - USANIH National Heart Lung &amp; Blood Institute (NHLBI)); NIH(United States Department of Health &amp; Human ServicesNational Institutes of Health (NIH) - USA); CTSA(United States Department of Health &amp; Human ServicesNational Institutes of Health (NIH) - USANIH National Center for Advancing Translational Sciences (NCATS)); MRC(UK Research &amp; Innovation (UKRI)Medical Research Council UK (MRC))</t>
  </si>
  <si>
    <t>The work cited here is supported by funding from the NIHR BR-RD, the British Heart Foundation (SP/12/12/29836), the BHF Cambridge and Imperial Centres of Cardiovascular Research Excellence (RE/18/4/34215), UK Medical Research Council (MR/K020919/1), the Dinosaur Trust, and BHF Programme grants to R.C. Trembath (RG/08/006/25302), N.W. Morrell (RG/13/4/30107) and M.R. Wilkins (RG/10/16/28575). Funding for the PAH Biobank is provided by NIH/NHLBI HL105333. Vanderbilt University Medical Center's BioVU is supported by numerous sources: institutional funding, private agencies, and federal grants that include the NIH funded Shared Instrumentation Grant S10RR025141; and CTSA grants UL1TR002243, UL1TR000445, and UL1RR024975. Genomic data are also supported by investigator-led projects that include U01HG004798, R01NS032830, RC2GM092618, P50GM115305, U01HG006378, U19HL065962, R01HD074711; and additional funding sources listed at https://victr.vanderbilt.edu/pub/biovu/. E.L. Brittain receives funding from the NIH R01 HL146588, American Heart Association Fellow to Faculty Grant (13FTF16070002) and the Gilead PAH Scholars Award Program. The genotyping of the VESPA samples was supported by RC2GM092618. The authors acknowledge use of BRC Core Facilities provided by the financial support from the Department of Health via the National Institute for Health Research (NIHR) comprehensive Biomedical Research Centre award to Imperial College NHS Trust, Cambridge University Hospitals and Guy's and St Thomas' NHS Foundation Trust in partnership with King's College London and King's College Hospital NHS Foundation Trust and by NIHR funding to the Imperial NIHR Clinical Research Facility. C.J. Rhodes is supported by a British Heart Foundation Intermediate Basic Science Research Fellowship (FS/15/59/31839). L. Southgate is supported by the Wellcome Trust Institutional Strategic Support Fund (204809/Z/16/Z) awarded to St George's, University of London. I. Prokopenko is supported by the Wellcome Trust (WT205915), and the EU H2020 (DYNAhealth, project number 633595). N.W. Morrell is a British Heart Foundation Professor and National Institute of Health Research (NIHR) Senior Investigator. W.C. Nichols is supported by NIH NHLBI HL105333. A.A. Desai receives support from NIH NHLBI R01HL136603. Funding information for this article has been deposited with the Crossref Funder Registry.</t>
  </si>
  <si>
    <t>10.1183/13993003.01486-2019</t>
  </si>
  <si>
    <t>Green Accepted, hybrid, Green Published</t>
  </si>
  <si>
    <t>WOS:000518635000023</t>
  </si>
  <si>
    <t>Konstantinides, SV; Meyer, G; Becattini, C; Bueno, H; Geersing, GJ; Harjola, VP; Huisman, M; Humbert, M; Jennings, CS; Jiménez, D; Kucher, N; Lang, IM; Lankeit, M; Lorusso, R; Mazzolai, L; Meneveau, N; Ainle, FN; Prandoni, P; Pruszczyk, P; Righini, M; Torbicki, A; Van Belle, E; Zamorano, JL</t>
  </si>
  <si>
    <t>2019 ESC Guidelines for the dignosis and management of acute pulmonary embolism development Toed in colaboration with the European Respiratory Society (ERS)</t>
  </si>
  <si>
    <t>Guidelines; pulmonary embolism; venous thrombosis; shock; dyspnoea; heart failure; right ventricle; diagnosis; risk assessment; echocardiography; biomarkers; treatment; anticoagulation; thrombolysis; pregnancy; venous thromboembolism; embolectomy</t>
  </si>
  <si>
    <t>MOLECULAR-WEIGHT HEPARIN; RECURRENT VENOUS THROMBOEMBOLISM; DEEP-VEIN THROMBOSIS; RIGHT HEART THROMBI; INFERIOR VENA-CAVA; VENTILATION-PERFUSION SCINTIGRAPHY; RIGHT-VENTRICULAR DYSFUNCTION; ORAL ANTICOAGULANT-THERAPY; INHALED NITRIC-OXIDE; EXTRACORPOREAL MEMBRANE-OXYGENATION</t>
  </si>
  <si>
    <t>[Becattini, Cecilia] Univ Perugia, Internal &amp; Cardiovasc Med, Perugia, Italy; [Bueno, Hector] Ctr Nacl Invest Cardiovasc, Madrid, Spain; [Bueno, Hector] Hosp Univ 12 Octubre, Cardiol, Madrid, Spain; [Bueno, Hector] I 12 Res Inst, Madrid, Spain; [Bueno, Hector] CIBERCV, Madrid, Spain; [Geersing, Geert-Jan] Univ Utrecht, Univ Med Ctr Utrecht, Julius Ctr Hlth Sci &amp; Primary Care, Utrecht, Netherlands; [Harjola, Veli-Pekka] Univ Helsinki, Helsinki Univ Hosp, Dept Emergency Med &amp; Serv, Emergency Med, Helsinki, Finland; [Huisman, Menno, V] Leiden Univ, Thrombosis &amp; Hemostasis, Med Ctr, Leiden, Netherlands; [Humbert, Marc] Univ Paris Sud, Univ Paris Saclay, Hop Bicetre, AP HP,Serv Pneumol, Le Kremlin Bicetre, France; [Jennings, Catriona Sian] Imperial Coll London, NHLI, London, England; [Jimenez, David] Ramon &amp; Cajal Hosp, Resp Dept, Madrid, Spain; [Jimenez, David] Alcala Univ, IRYCIS, Madrid, Spain; [Kucher, Nils] Univ Hosp, Angiol, Zurich, Switzerland; [Lang, Irene Marthe] Med Univ Vienna, Cardiol, Vienna, Austria; [Lankeit, Mareike] Charite Univ Med Berlin, Campus Virchow Klinikum, Dept Internal Med &amp; Cardiol, Gottingen, Germany; [Lankeit, Mareike] Univ Med Ctr Mainz, Ctr Thrombosis &amp; Hemostasis, Mainz, Germany; [Lankeit, Mareike] Univ Med Ctr Gottingen, Clin Cardiol &amp; Pneumol, Gottingen, Germany; [Lorusso, Roberto] MUMC, Heart &amp; Vasc Ctr, Cardiovasc Res Inst Maastricht CARIM, Cardiothorac Surg Dept, Maastricht, Netherlands; [Mazzolai, Lucia] CHU Vaudois, Dept Angiol, Lausanne, Switzerland; [Meneveau, Nicolas] Univ Franche Comte, Univ Hosp Jean Minjoz, Dept Cardiol, Besancon, France; [Meneveau, Nicolas] Univ Franche Comte, EA3920, Besancon, France; [Ainle, Fionnuala Ni] Univ Coll Dublin, Rotunda &amp; Mater Univ Hosp, Haematol, Dublin, Ireland; [Prandoni, Paolo] Arianna Fdn Anticoagulat, Bologna, Italy; [Pruszczyk, Piotr] Med Univ Warsaw, Dept Internal Med &amp; Cardiol, Warsaw, Poland; [Righini, Marc] Geneva Univ Hosp, Div Angiol &amp; Hemostasis, Geneva, Switzerland; [Righini, Marc] Fac Med, Geneva, Switzerland; [Torbicki, Adam] Ctr Postgrad Med Educ, Dept Pulm Circulat Thromboembol Dis &amp; Cardiol, ECZ Otwock, Warsaw, Poland; [Van Belle, Eric] CHU Lille, Cardiol, Inst Coeur Poumon, Lille, France; [Van Belle, Eric] INSERM U1011 Lille, Lille, France; [Luis Zamorano, Jose] Hosp Ramon &amp; Cajal, Cardiol, Madrid, Spain</t>
  </si>
  <si>
    <t>University of Perugia; Centro Nacional de Investigaciones Cardiovasculares (CNIC); Hospital Universitario 12 de Octubre; CIBER - Centro de Investigacion Biomedica en Red; CIBERCV; Utrecht University; Utrecht University Medical Center; University of Helsinki; Helsinki University Central Hospital; Leiden University; Leiden University Medical Center (LUMC); Leiden University - Excl LUMC; Institut National de la Sante et de la Recherche Medicale (Inserm); Assistance Publique Hopitaux Paris (APHP); Hopital Universitaire Bicetre - APHP; Universite Paris Saclay; Hopital Universitaire Antoine-Beclere - APHP; Imperial College London; Hospital Universitario Ramon y Cajal; Universidad de Alcala; University of Zurich; University Zurich Hospital; Medical University of Vienna; Berlin Institute of Health; Free University of Berlin; Humboldt University of Berlin; Charite Universitatsmedizin Berlin; Johannes Gutenberg University of Mainz; University of Gottingen; UNIVERSITY GOTTINGEN HOSPITAL; Maastricht University; University of Lausanne; Centre Hospitalier Universitaire Vaudois (CHUV); Universite de Franche-Comte; CHU Besancon; Universite de Franche-Comte; University College Dublin; Medical University of Warsaw; University of Geneva; University of Geneva; Centre of Postgraduate Medical Education - Poland; Universite de Lille; CHU Lille; Institut National de la Sante et de la Recherche Medicale (Inserm); Universite de Lille; Hospital Universitario Ramon y Cajal</t>
  </si>
  <si>
    <t>David Jimenez, DL/N-6460-2013; Righini, Marc/AAX-8731-2020; huisman, menno/AGL-2654-2022; Konstantinides, Stavros/AAL-3174-2021; Bueno, Hector/I-3910-2015; Lorusso, Roberto/ABB-9275-2020; Harjola, Veli-Pekka/AFK-2561-2022; Pruszczyk, Piotr/AAA-3523-2019; Mora, Josep/A-9355-2013; Geersing, Geert-Jan/AAY-1119-2021; Humbert, Marc/AAC-8459-2019; Becattini, Cecilia/L-1739-2018; vizza, carmine dario/AAC-5540-2020</t>
  </si>
  <si>
    <t>Pruszczyk, Piotr/0000-0002-9768-0000; MATUTE CARRILLO, ROBERT/0009-0008-1638-800X; vizza, carmine dario/0000-0002-3540-4983; Gale, Chris/0000-0003-4732-382X; Bytyci, Ibadete/0000-0002-8996-4257; Reis, AlessanRSS/0000-0001-8486-7469; Righini, Marc/0000-0003-1211-2969</t>
  </si>
  <si>
    <t>JAN 21</t>
  </si>
  <si>
    <t>10.1093/eurheartj/ehz405</t>
  </si>
  <si>
    <t>KW6WK</t>
  </si>
  <si>
    <t>Green Published, Green Submitted, Bronze</t>
  </si>
  <si>
    <t>WOS:000521323000014</t>
  </si>
  <si>
    <t>Sanchez, O; Humbert, M</t>
  </si>
  <si>
    <t>Sanchez, Olivier; Humbert, Marc</t>
  </si>
  <si>
    <t>Outpatient management of patients with low-risk pulmonary embolism: another piece of evidence</t>
  </si>
  <si>
    <t>[Sanchez, Olivier] Univ Paris, Fac Med, F-75015 Paris, France; [Sanchez, Olivier] Hop Europeen Georges Pompidou, AP HP, Serv Pneumol &amp; Soins Intensifs, 20 Rue Leblanc, F-75015 Paris, France; [Sanchez, Olivier] INSERM, UMR S 1140, Innovat Therapies Haemostasis, F-75006 Paris, France; [Humbert, Marc] Univ Paris Saclay, Univ Paris Sud, Fac Med, Le Kremlin Bicetre, France; [Humbert, Marc] Hop Bicetre, AP HP, Serv Pneumol &amp; Soins Intensifs Resp, Ctr Reference Hypertens Pulm, Le Kremlin Bicetre, France; [Humbert, Marc] INSERM, UMR S 999, Le Plessis Robinson, France; [Humbert, Marc] Hop Marie Lannelongue, Le Plessis Robinson, France</t>
  </si>
  <si>
    <t>Universite Paris Cite; Assistance Publique Hopitaux Paris (APHP); Universite Paris Cite; Hopital Universitaire Europeen Georges-Pompidou - APHP; Institut National de la Sante et de la Recherche Medicale (Inserm); Universite Paris Cite; Universite Paris Saclay; Assistance Publique Hopitaux Paris (APHP); Hopital Universitaire Antoine-Beclere - APHP; Hopital Universitaire Bicetre - APHP; Universite Paris Saclay; Universite Paris Saclay; Institut National de la Sante et de la Recherche Medicale (Inserm); Hopital Marie Lannelongue</t>
  </si>
  <si>
    <t>Sanchez, O (corresponding author), Univ Paris, Fac Med, F-75015 Paris, France.;Sanchez, O (corresponding author), Hop Europeen Georges Pompidou, AP HP, Serv Pneumol &amp; Soins Intensifs, 20 Rue Leblanc, F-75015 Paris, France.;Sanchez, O (corresponding author), INSERM, UMR S 1140, Innovat Therapies Haemostasis, F-75006 Paris, France.</t>
  </si>
  <si>
    <t>olivier.sanchez@aphp.fr</t>
  </si>
  <si>
    <t>Humbert, Marc/0000-0003-0703-2892; SANCHEZ, Olivier/0000-0003-1633-8391</t>
  </si>
  <si>
    <t>10.1093/eurheartj/ehz484</t>
  </si>
  <si>
    <t>WOS:000521323000010</t>
  </si>
  <si>
    <t>Akoumia, F; Quatredeniers, M; Dumont, F; Vinhas, M; Delomenie, C; Nicolay, S; Humbert, M; Cohen-Kaminsky, S</t>
  </si>
  <si>
    <t>Akoumia, F.; Quatredeniers, M.; Dumont, F.; Vinhas, M.; Delomenie, C.; Nicolay, S.; Humbert, M.; Cohen-Kaminsky, S.</t>
  </si>
  <si>
    <t>Multi-Omics Analysis of the PDGF Response in Pulmonary Vascular Smooth Muscle Cells from Patients with Pulmonary Arterial Hypertension: Implication of the NMDAR</t>
  </si>
  <si>
    <t>Virtual International Conference of the American-Thoracic-Society</t>
  </si>
  <si>
    <t>AUG 05-10, 2020</t>
  </si>
  <si>
    <t>[Akoumia, F.; Quatredeniers, M.; Vinhas, M.] Univ Paris Sud, Fac Med, INSERM, UMR S 999, Le Plessis Robinson, France; [Dumont, F.; Delomenie, C.; Nicolay, S.] CNRS, INSERM, IPSIT, UMS,UMR S 999,UMS 3679,US 31, Le Plessis Robinson, France; [Humbert, M.] Univ Paris Sud, Hop Marie Lannelongue, AP HP,INSERM,LERMIT,DHU Thorax Innovat,UMR S 999, Reference Ctr Severe Pulm Hypertens,Fac Med,LabEx, Le Plessis Robinson, France; [Cohen-Kaminsky, S.] Univ Paris Sud, Hop Marie Lannelongue, AP HP,Fac Med,UMR S 999, CNRS,INSERM,LabEx,LERMIT,UMS,IPSIT,US 31,UMS 3679, Le Plessis Robinson, France</t>
  </si>
  <si>
    <t>Institut National de la Sante et de la Recherche Medicale (Inserm); Universite Paris Saclay; Universite Paris Saclay; Institut National de la Sante et de la Recherche Medicale (Inserm); Centre National de la Recherche Scientifique (CNRS); Assistance Publique Hopitaux Paris (APHP); Universite Paris Saclay; Hopital Marie Lannelongue; Institut National de la Sante et de la Recherche Medicale (Inserm); Centre National de la Recherche Scientifique (CNRS); Institut National de la Sante et de la Recherche Medicale (Inserm); Assistance Publique Hopitaux Paris (APHP); Universite Paris Saclay; Hopital Marie Lannelongue</t>
  </si>
  <si>
    <t>akoumia.firmin2211@gmail.com</t>
  </si>
  <si>
    <t>Humbert, Marc/AAC-8459-2019; Cohen-Kaminsky, Sylvia/E-4837-2014</t>
  </si>
  <si>
    <t>National Research Agency (ANR) France</t>
  </si>
  <si>
    <t>National Research Agency (ANR) France(Agence Nationale de la Recherche (ANR))</t>
  </si>
  <si>
    <t>A3872</t>
  </si>
  <si>
    <t>MV5JG</t>
  </si>
  <si>
    <t>WOS:000556393504476</t>
  </si>
  <si>
    <t>Antigny, F; Mercier, O; Humbert, M; Sabourin, J</t>
  </si>
  <si>
    <t>Antigny, Fabrice; Mercier, Olaf; Humbert, Marc; Sabourin, Jessica</t>
  </si>
  <si>
    <t>Excitation-contraction coupling and relaxation alteration in right ventricular remodelling caused by pulmonary arterial hypertension</t>
  </si>
  <si>
    <t>ARCHIVES OF CARDIOVASCULAR DISEASES</t>
  </si>
  <si>
    <t>Excitation contraction coupling; Drell; TRPC; KCNK3; PAH; Right ventricle</t>
  </si>
  <si>
    <t>ANGIOTENSIN-CONVERTING ENZYME; CA2+ HANDLING DYSFUNCTION; CHRONIC PRESSURE LOAD; HEART-FAILURE; CARDIAC-HYPERTROPHY; GENE-EXPRESSION; UP-REGULATION; SILDENAFIL PREVENTS; EXPERIMENTAL-MODEL; RECEPTOR BLOCKADE</t>
  </si>
  <si>
    <t>Pulmonary arterial hypertension is a progressive and lethal cardiopulmonary disease. The rise in right ventricular afterload leads to right ventricular hypertrophy and failure. Right ventricular failure is the most important prognostic factor for morbidity and mortality in pulmonary arterial hypertension or pulmonary hypertension caused by left heart diseases. Surprisingly, the right ventricle is not targeted by pulmonary arterial hypertension-specific therapies. The current profound lack of basic understanding of pulmonary arterial hypertension related right ventricular remodelling can explain, at least in part, this paradox. The physiology and haemodynamic function of the right ventricle in the normal state differ considerably from those of the left ventricle, and the known mechanisms of left ventricular dysfunction cannot be generalized to right ventricular dysfunction. Ion channel activities and calcium homeostasis tightly regulate cardiac function, and their dysfunction contributes to the pathogenesis of cardiac diseases. This review focuses on the ion channels (potassium, calcium) and intracellular calcium handling remodelling involved in right ventricular hypertrophy and dysfunction caused by pulmonary arterial hypertension. (C) 2019 Elsevier Masson SAS. All rights reserved.</t>
  </si>
  <si>
    <t>[Antigny, Fabrice; Mercier, Olaf; Humbert, Marc] Univ Paris Saclay, Fac Med, F-94270 Le Kremlin Bicetre, France; [Antigny, Fabrice; Mercier, Olaf; Humbert, Marc] Hop Bicetre, AP HP, Serv Pneumol, Ctr Reference Hypertens Pulmonaire, F-94270 Le Kremlin Bicetre, France; [Antigny, Fabrice; Mercier, Olaf; Humbert, Marc] Hop Marie Lannelongue, INSERM, UMR S 999, 133 Ave Resistance, F-92350 Le Plessis Robinson, France; [Sabourin, Jessica] Univ Paris Saclay, Signalisat &amp; Physiopathol Cardiovasc, INSERM, UMR S 1180, F-92296 Chatenay Malabry, France</t>
  </si>
  <si>
    <t>Universite Paris Saclay; Assistance Publique Hopitaux Paris (APHP); Hopital Universitaire Bicetre - APHP; Universite Paris Saclay; Hopital Universitaire Antoine-Beclere - APHP; Institut National de la Sante et de la Recherche Medicale (Inserm); Universite Paris Saclay; Hopital Marie Lannelongue; Institut National de la Sante et de la Recherche Medicale (Inserm); Universite Paris Saclay</t>
  </si>
  <si>
    <t>Antigny, F (corresponding author), Hop Marie Lannelongue, INSERM, UMR S 999, 133 Ave Resistance, F-92350 Le Plessis Robinson, France.;Sabourin, J (corresponding author), Univ Paris Saclay, Fac Pharm, UMR S 1180, INSERM, F-92296 Chatenay Malabry, France.</t>
  </si>
  <si>
    <t>fabrice.antigny@u-psud.fr; jessica.sabourin@u-psud.fr</t>
  </si>
  <si>
    <t>Antigny, Fabrice/0000-0002-9515-6571; Humbert, Marc/0000-0003-0703-2892; Mercier, Olaf/0000-0002-4760-6267; Sabourin, Jessica/0000-0002-2980-8455</t>
  </si>
  <si>
    <t>National Funding Agency for Research [ANR-18-CE14-0023, ANR-15-CE14-0005]; French National Research Agency (ANR) [ANR-15-RHUS-0002]; Agence Nationale de la Recherche (ANR) [ANR-15-CE14-0005] Funding Source: Agence Nationale de la Recherche (ANR)</t>
  </si>
  <si>
    <t>National Funding Agency for Research; French National Research Agency (ANR)(Agence Nationale de la Recherche (ANR)Norwegian Agency for Development Cooperation - NORAD); Agence Nationale de la Recherche (ANR)(Agence Nationale de la Recherche (ANR))</t>
  </si>
  <si>
    <t>Fabrice Antigny and Jessica Sabourin received funding from the National Funding Agency for Research: ANR-18-CE14-0023 and ANR-15-CE14-0005. Olaf Mercier received fundingfrom the French National Research Agency (ANR) as partof the second Investissement d'Avenir'' program (ANR-15-RHUS-0002).</t>
  </si>
  <si>
    <t>1875-2136</t>
  </si>
  <si>
    <t>1875-2128</t>
  </si>
  <si>
    <t>ARCH CARDIOVASC DIS</t>
  </si>
  <si>
    <t>Arch. Cardiovasc. Dis.</t>
  </si>
  <si>
    <t>10.1016/j.acvd.2019.10.009</t>
  </si>
  <si>
    <t>LG6MQ</t>
  </si>
  <si>
    <t>WOS:000528213100009</t>
  </si>
  <si>
    <t>Barbera, J; Humbert, M; Grünig, E; Jansa, P; Rosenkranz, S; Gall, H; Simonneau, G; Klotsche, J; Chang, M; Hoeper, M</t>
  </si>
  <si>
    <t>Barbera, J.; Humbert, M.; Grueig, E.; Jansa, P.; Rosenkranz, S.; Gall, H.; Simonneau, G.; Klotsche, J.; Chang, M.; Hoeper, M.</t>
  </si>
  <si>
    <t>Safety of Riociguat for the Treatment of Pulmonary Arterial Hypertension Associated with Connective Tissue Disease: Data from the EXPERT Registry</t>
  </si>
  <si>
    <t>NOV 10, 2020</t>
  </si>
  <si>
    <t>[Barbera, J.] Inst Invest Biomed August Pi i Sunyer, Hosp Clin, Barcelona, Spain; [Barbera, J.] Univ Barcelona, Barcelona, Spain; [Humbert, M.; Simonneau, G.] Univ Paris Sud, Le Kremlin Bicetre Serv Pneumol, Ctr Reference Hypertens Pulm Severe, DHU Thorax Innovat,Hop Bicetre, Paris, France; [Grueig, E.] Heidelberg Univ Hosp, Thoraxclin, Ctr Pulm Hypertens, Heidelberg, Germany; [Jansa, P.] Charles Univ Prague, Fac Med 1, Prague, Czech Republic; [Jansa, P.] Charles Univ Prague, Gen Teaching Hosp, Prague, Czech Republic; [Rosenkranz, S.] Cologne Univ, Heart Ctr, Dept Internal Med 3, Cologne, Germany; [Rosenkranz, S.] Cologne Univ, Heart Ctr, Cologne Cardiovasc Res Ctr CCRC, Cologne, Germany; [Gall, H.] Univ Giessen, Giessen, Germany; [Gall, H.] Marburg Lung Ctr UGMLC, Giessen, Germany; [Gall, H.] German Ctr Lung Res DZL, Giessen, Germany; [Klotsche, J.] German Rheumatism Res Ctr Berlin, Leibniz Inst, Berlin, Germany; [Chang, M.] Bayer AG, Global Med Affairs, Berlin, Germany; [Hoeper, M.] Hannover Med Sch, Dept Resp Med, Resp Med, Hannover, Germany; [Hoeper, M.] Hannover Med Sch, German Ctr Lung Res, Hannover, Germany</t>
  </si>
  <si>
    <t>University of Barcelona; Hospital Clinic de Barcelona; IDIBAPS; University of Barcelona; Universite Paris Saclay; Assistance Publique Hopitaux Paris (APHP); Hopital Universitaire Bicetre - APHP; Ruprecht Karls University Heidelberg; Charles University Prague; Charles University Prague; General University Hospital Prague; University of Cologne; University of Cologne; Justus Liebig University Giessen; Leibniz Association; Deutsches Rheuma-Forschungszentrum (DRFZ); Bayer AG; Hannover Medical School; Hannover Medical School</t>
  </si>
  <si>
    <t>Bayer AG</t>
  </si>
  <si>
    <t>Bayer AG(Bayer AG)</t>
  </si>
  <si>
    <t>This abstract is funded by: Bayer AG</t>
  </si>
  <si>
    <t>A6050</t>
  </si>
  <si>
    <t>MV8TI</t>
  </si>
  <si>
    <t>WOS:000556622802381</t>
  </si>
  <si>
    <t>Bisserier, M; Elmastour, F; Zhang, S; Dorfmuller, P; Humbert, M; Sassi, Y; Weber, T; Hajjar, R; Hadri, L</t>
  </si>
  <si>
    <t>Bisserier, M.; Elmastour, F.; Zhang, S.; Dorfmuller, P.; Humbert, M.; Sassi, Y.; Weber, T.; Hajjar, R.; Hadri, L.</t>
  </si>
  <si>
    <t>Intratracheal Gene Delivery of SIN3A Inhibits Pulmonary Arterial Hypertension and Restores BMPR2 Expression</t>
  </si>
  <si>
    <t>[Bisserier, M.; Elmastour, F.; Zhang, S.; Weber, T.] Icahn Sch Med Mt Sinai, Cardiol, New York, NY 10029 USA; [Dorfmuller, P.] Marie Lannelongue Hosp, Le Plessis Robinson, France; [Humbert, M.] Hop Bicetre, Pneumol, Le Kremlin Bicetre, France; [Sassi, Y.] Icahn Sch Med Mt Sinai, Cardiovasc Res Ctr, New York, NY 10029 USA; [Hajjar, R.] Phospholamban Fdn, Amsterdam, Netherlands; [Hadri, L.] Icahn Sch Med Mt Sinai, New York, NY 10029 USA</t>
  </si>
  <si>
    <t>Icahn School of Medicine at Mount Sinai; Hopital Marie Lannelongue; Assistance Publique Hopitaux Paris (APHP); Hopital Universitaire Bicetre - APHP; Universite Paris Saclay; Hopital Universitaire Antoine-Beclere - APHP; Icahn School of Medicine at Mount Sinai; Icahn School of Medicine at Mount Sinai</t>
  </si>
  <si>
    <t>Hadri, Lahouaria/AAP-6415-2020; Humbert, Marc/AAC-8459-2019; Bisserier, Malik/AAI-3730-2021</t>
  </si>
  <si>
    <t>NIH</t>
  </si>
  <si>
    <t>NIH(United States Department of Health &amp; Human ServicesNational Institutes of Health (NIH) - USA)</t>
  </si>
  <si>
    <t>This abstract is funded by: NIH</t>
  </si>
  <si>
    <t>A2494</t>
  </si>
  <si>
    <t>WOS:000556393502286</t>
  </si>
  <si>
    <t>Boucly, A; Fard, D; Preda, M; Montani, D; Jaïs, X; Savale, L; Mignard, X; Jevnikar, M; Jutant, E; Seferian, A; Humbert, M; Vachiery, J; Sitbon, O</t>
  </si>
  <si>
    <t>Boucly, A.; Fard, D.; Preda, M.; Montani, D.; Jais, X.; Savale, L.; Mignard, X.; Jevnikar, M.; Jutant, E.; Seferian, A.; Humbert, M.; Vachiery, J.; Sitbon, O.</t>
  </si>
  <si>
    <t>Predictors of A Pre-Capillary Component in Patients with Post-Capillary Pulmonary Hypertension</t>
  </si>
  <si>
    <t>[Boucly, A.; Fard, D.; Preda, M.; Montani, D.; Jais, X.; Savale, L.; Mignard, X.; Jevnikar, M.; Jutant, E.; Seferian, A.; Humbert, M.; Sitbon, O.] Hop Bicetre, Serv Pneumol, Le Kremlin Bicetre, France; [Vachiery, J.] CUB Hop Erasme, Cardiol, Brussels, Belgium</t>
  </si>
  <si>
    <t>A2921</t>
  </si>
  <si>
    <t>WOS:000556393503127</t>
  </si>
  <si>
    <t>Channick, R; Tapson, VF; Humbert, M; Deng, C; Escudero, M; Grover, R; Solum, DT; McLaughlin, VV</t>
  </si>
  <si>
    <t>Channick, R.; Tapson, V. F.; Humbert, M.; Deng, C.; Escudero, M.; Grover, R.; Solum, D. T.; McLaughlin, V. V.</t>
  </si>
  <si>
    <t>Advance Outcomes - A Phase 3, Randomized, Double-Blind, Placebo-Controlled Study to Evaluate the Efficacy and Safety of Ralinepag to Improve Treatment Outcomes in Subjects with Pulmonary Arterial Hypertension</t>
  </si>
  <si>
    <t>[Channick, R.] Univ Calif Los Angeles, David Geffen Sch Med, Los Angeles, CA 90095 USA; [Tapson, V. F.] Cedars Sinai, Pulm, West Hollywood, CA USA; [Humbert, M.] Hop Bicetre, Pneumol, Le Kremlin Bicetre, France; [Deng, C.] United Therapeut, Durham, NC USA; [Escudero, M.] United Therapeut, Clin Operat, Res Triangle Pk, NC USA; [Grover, R.; Solum, D. T.] United Therapeut, Res Triangle Pk, NC USA; [McLaughlin, V. V.] Univ Michigan Hosp, Ann Arbor, MI 48109 USA</t>
  </si>
  <si>
    <t>University of California System; University of California Los Angeles; University of California Los Angeles Medical Center; David Geffen School of Medicine at UCLA; Cedars Sinai Medical Center; Assistance Publique Hopitaux Paris (APHP); Hopital Universitaire Bicetre - APHP; Hopital Universitaire Antoine-Beclere - APHP; Universite Paris Saclay; University of Michigan System; University of Michigan</t>
  </si>
  <si>
    <t>rchannick@mednet.ucla.edu</t>
  </si>
  <si>
    <t>Humbert, Marc/AAC-8459-2019; Parthasarathy, Sairam/JFB-6298-2023</t>
  </si>
  <si>
    <t>United Therapeutics</t>
  </si>
  <si>
    <t>This abstract is funded by: United Therapeutics</t>
  </si>
  <si>
    <t>A3819</t>
  </si>
  <si>
    <t>WOS:000556393504423</t>
  </si>
  <si>
    <t>Grünig, E; Gall, H; Hoeper, M; Humbert, M; Pittrow, D; Simonneau, G; Klose, H; Snijder, RJ; Klotsche, J; Chang, M; Halank, M</t>
  </si>
  <si>
    <t>Gruenig, E.; Gall, H.; Hoeper, M.; Humbert, M.; Pittrow, D.; Simonneau, G.; Klose, H.; Snijder, R. J.; Klotsche, J.; Chang, M.; Halank, M.</t>
  </si>
  <si>
    <t>Safety of Riociguat in Patients Receiving Concomitant Prostanoids: Data from the EXPERT Registry</t>
  </si>
  <si>
    <t>[Gruenig, E.] Heidelberg Univ Hosp, Ctr Pulm Hypertens, Thoraxclin, Heidelberg, Germany; [Gall, H.] Univ Giessen &amp; Marburg Lung Ctr, German Ctr Lung Res DZL, Giessen, Germany; [Hoeper, M.] Hannover Med Sch, Dept Resp Med, Hannover, Germany; [Hoeper, M.] Hannover Med Sch, German Ctr Lung Res, Hannover, Germany; [Humbert, M.; Simonneau, G.] Univ Paris Sud, Serv Pneumol, Ctr Reference Hypertens Pulm Severe, DHU Thorax Innovat,Hop Bicetre, Le Kremlin Bicetre, France; [Pittrow, D.] Tech Univ, Inst Clin Pharmacol, Fac Med, Dresden, Germany; [Klose, H.] Univ Med Ctr Hamburg Eppendorf, Dept Pneumol, Hamburg, Germany; [Snijder, R. J.] St Antonius Hosp, Dept Pulmonol, Nieuwegein, Netherlands; [Klotsche, J.] German Rheumatism Res Ctr Berlin, Leibniz Inst, Berlin, Germany; [Chang, M.] Bayer AG, Global Dev, Global Med Affairs, Berlin, Germany; [Halank, M.] Univ Hosp Carl Gustav Carus, Dept Pneumol, Med Clin 1, Dresden, Germany</t>
  </si>
  <si>
    <t>Ruprecht Karls University Heidelberg; Hannover Medical School; Hannover Medical School; Assistance Publique Hopitaux Paris (APHP); Hopital Universitaire Bicetre - APHP; Hopital Universitaire Antoine-Beclere - APHP; Universite Paris Saclay; Technische Universitat Dresden; University of Hamburg; University Medical Center Hamburg-Eppendorf; St. Antonius Hospital Utrecht; Leibniz Association; Deutsches Rheuma-Forschungszentrum (DRFZ); Bayer AG; Technische Universitat Dresden; Carl Gustav Carus University Hospital</t>
  </si>
  <si>
    <t>Pittrow, David/AAY-5042-2021; Hoeper, Marius/Z-1546-2019; Humbert, Marc/AAC-8459-2019</t>
  </si>
  <si>
    <t>A2038</t>
  </si>
  <si>
    <t>WOS:000556393501437</t>
  </si>
  <si>
    <t>Humbert, M; Simonneau, G; Pittrow, D; Delcroix, M; Pepke-Zaba, J; Langleben, D; Mielniczuk, LM; Escribano-Subias, P; Klotsche, J; Meier, C; Hoeper, MM</t>
  </si>
  <si>
    <t>Humbert, M.; Simonneau, G.; Pittrow, D.; Delcroix, M.; Pepke-Zaba, J.; Langleben, D.; Mielniczuk, L. M.; Escribano-Subias, P.; Klotsche, J.; Meier, C.; Hoeper, M. M.</t>
  </si>
  <si>
    <t>Safety of Riociguat in Patients with Pulmonary Arterial Hypertension and Chronic Thromboembolic Pulmonary Hypertension with Concomitant Novel Oral Anticoagulants or Vitamin K Antagonist Use: Data from the EXPERT Registry</t>
  </si>
  <si>
    <t>[Humbert, M.; Simonneau, G.] Univ Paris Sud, Hop Bicetre, Ctr Reference Hypertens Pulm Severe, Serv Pneumol,DHU Thorax Innovat, Paris, France; [Pittrow, D.] Tech Univ, Med Fac, Inst Clin Pharmacol, Dresden, Germany; [Delcroix, M.] Univ Hosp Leuven, Dept Pneumol, Leuven, Belgium; [Pepke-Zaba, J.] Papworth Hosp, Pulm Vasc Dis Unit, Cambridge, England; [Langleben, D.] McGill Univ, Jewish Gen Hosp, Montreal, PQ, Canada; [Mielniczuk, L. M.] Univ Ottawa, Heart Inst, Dept Med, Div Cardiol, Ottawa, ON, Canada; [Escribano-Subias, P.] Hosp 12 Octubre, Dept Cardiol, Madrid, Spain; [Klotsche, J.] German Rheumatism Res Ctr Berlin, Leibniz Inst, Berlin, Germany; [Meier, C.] Bayer AG, Global Med Affairs, Berlin, Germany; [Hoeper, M. M.] Hannover Med Sch, Resp Med, Hannover, Germany</t>
  </si>
  <si>
    <t>Assistance Publique Hopitaux Paris (APHP); Hopital Universitaire Bicetre - APHP; Universite Paris Saclay; Technische Universitat Dresden; KU Leuven; University Hospital Leuven; Papworth Hospital; McGill University; University of Ottawa; University of Ottawa Heart Institute; Hospital Universitario 12 de Octubre; Leibniz Association; Deutsches Rheuma-Forschungszentrum (DRFZ); Bayer AG; Hannover Medical School</t>
  </si>
  <si>
    <t>delcroix, marion/AAE-2712-2022; Pepke-Zaba, Joanna/AGW-3073-2022; Pittrow, David/AAY-5042-2021; Humbert, Marc/AAC-8459-2019; Hoeper, Marius/Z-1546-2019; Escribano, Pilar/R-5273-2017</t>
  </si>
  <si>
    <t>Escribano, Pilar/0000-0002-6640-4839; delcroix, marion/0000-0001-8394-9809; Hoeper, Marius/0000-0001-9086-2293</t>
  </si>
  <si>
    <t>A6043</t>
  </si>
  <si>
    <t>WOS:000556622802374</t>
  </si>
  <si>
    <t>Jackson, DJ; Kent, BD; Humbert, M; Heaney, LG; Korn, S; Keith, M; Siddiqui, S; Cook, B; Gil, EG; Miller, AD</t>
  </si>
  <si>
    <t>Jackson, D. J.; Kent, B. D.; Humbert, M.; Heaney, L. G.; Korn, S.; Keith, M.; Siddiqui, S.; Cook, B.; Garcia Gil, E.; Miller, A. de Giorgio</t>
  </si>
  <si>
    <t>Enabling Reductions in Maintenance ICS/LABA Therapy Using as Needed Anti-Inflammatory Reliever for Patients with Severe Eosinophilic Asthma Controlled with Benralizumab: SHAMAL Phase IV Clinical Study</t>
  </si>
  <si>
    <t>[Jackson, D. J.; Kent, B. D.] Guys &amp; St Thomas NHS Trust, Guys Severe Asthma Ctr, London, England; [Humbert, M.] Hop Bicetre, Serv Pneumol, Le Kremlin Bicetre, France; [Heaney, L. G.] Queens Univ Belfast, Belfast, Antrim, North Ireland; [Korn, S.] Univ Med Mainz, Langenbeckstr, Mainz, Germany; [Keith, M.; Siddiqui, S.] AstraZeneca, Gaithersburg, MD USA; [Cook, B.] AstraZeneca, Wilmington, DE USA; [Garcia Gil, E.] AstraZeneca, Barcelona, Spain; [Miller, A. de Giorgio] AstraZeneca, Cambridge, England</t>
  </si>
  <si>
    <t>Guy's &amp; St Thomas' NHS Foundation Trust; Assistance Publique Hopitaux Paris (APHP); Hopital Universitaire Bicetre - APHP; Universite Paris Saclay; Hopital Universitaire Antoine-Beclere - APHP; Queens University Belfast; Johannes Gutenberg University of Mainz; AstraZeneca; AstraZeneca</t>
  </si>
  <si>
    <t>Humbert, Marc/AAC-8459-2019; miller, alex/KBQ-6797-2024</t>
  </si>
  <si>
    <t>This abstract is funded by: AstraZeneca</t>
  </si>
  <si>
    <t>A3020</t>
  </si>
  <si>
    <t>WOS:000556393503226</t>
  </si>
  <si>
    <t>Moore, W. C.; Kornmann, O.; Humbert, M.; Poirier, C.; Bel, E. H.; Kaneko, N.; Smith, S. G.; Martin, N.; Gilson, M. J.; Price, R. G.; Bradford, E. S.; Liu, M. C.</t>
  </si>
  <si>
    <t>Outcomes Following Continuation or Stopping Long-Term Mepolizumab Treatment in Patients with Severe Eosinophilic Asthma: The Randomized Comet Trial</t>
  </si>
  <si>
    <t>[Moore, W. C.] Wake Forest Sch Med, Winston Salem, NC USA; [Kornmann, O.] IKF Pneumol Frankfurt, Clin Res Ctr Resp Dis, Frankfurt, Germany; [Humbert, M.] Univ Paris Saclay, Paris, France; [Humbert, M.] Hop Bicetre, AP HP, Serv Pneumol &amp; Soins Intensifs Resp, Paris, France; [Humbert, M.] INSERM U999, Paris, France; [Poirier, C.] Ctr Hosp Univ Montreal CHUM, Serv Pneumol, Dept Med, Montreal, PQ, Canada; [Bel, E. H.] Univ Amsterdam, Amsterdam UMC, Dept Resp Med, Amsterdam, Netherlands; [Kaneko, N.] Kameda Med Ctr, Dept Pulm Med, Kamogawa, Japan; [Smith, S. G.; Bradford, E. S.] GlaxoSmithKline, Resp Med Franchise, Res Triangle Pk, NC USA; GlaxoSmithKline, Global Med Affairs, Brentford, Middlesex, England; [Martin, N.] Univ Leicester, Inst Lung Hlth, Leicester, Leics, England; [Gilson, M. J.] GlaxoSmithKline, Resp Res &amp; Dev, Uxbridge, Middx, England; [Price, R. G.] GlaxoSmithKline, Biostat, Stevenage, Herts, England; [Liu, M. C.] Johns Hopkins Asthma &amp; Allergy Ctr, Baltimore, MD USA</t>
  </si>
  <si>
    <t>Wake Forest University; Universite Paris Saclay; Assistance Publique Hopitaux Paris (APHP); Hopital Universitaire Bicetre - APHP; Universite Paris Saclay; Institut National de la Sante et de la Recherche Medicale (Inserm); Universite Paris Saclay; Universite de Montreal; University of Amsterdam; GlaxoSmithKline; Glaxosmithkline USA; GlaxoSmithKline; Glaxosmithkline United Kingdom; University of Leicester; GlaxoSmithKline; Glaxosmithkline United Kingdom; GlaxoSmithKline; Glaxosmithkline United Kingdom; Johns Hopkins University; Johns Hopkins Medicine</t>
  </si>
  <si>
    <t>A4211</t>
  </si>
  <si>
    <t>WOS:000556393505195</t>
  </si>
  <si>
    <t>Papi, A; Humbert, M; Kostikas, K; Domingo, C; Maspero, JF; Hosoe, M; Tanase, A; Pethe, A; Shu, X; D'Andrea, P</t>
  </si>
  <si>
    <t>Papi, A.; Humbert, M.; Kostikas, K.; Domingo, C.; Maspero, J. F.; Hosoe, M.; Tanase, A.; Pethe, A.; Shu, X.; D'Andrea, P.</t>
  </si>
  <si>
    <t>Medium-Dose Indacaterol/Glycopyrronium/Mometasone Furoate Fixed-Dose Combination Improves Lung Function Compared with High-Dose Indacaterol/Mometasone Furoate and Salmeterol Fluticasone and Reduces Exacerbation Rates Versus High-Dose Salmeterol/Fluticasone in Moderate-to-Severe Asthma: The IRIDIUM Study</t>
  </si>
  <si>
    <t>[Papi, A.] Univ Ferrara, Sect Cardioresp &amp; Internal Med, Dept Med Sci, Ferrara, Italy; [Humbert, M.] Univ Paris Saclay, Hop Bicetre, AP HP, Serv Pneumol, Le Kremlin Bicetre, France; [Kostikas, K.] Univ Hosp Ioannina, Resp Med Dept, Ioannina, Greece; [Domingo, C.] Univ Autonoma Barcelona UAB, Dept Med, Barcelona, Spain; [Maspero, J. F.] Fdn CIDEA, Allergy &amp; Resp Res Unit, Buenos Aires, DF, Argentina; [Hosoe, M.; Tanase, A.] Novartis Pharma AG, Basel, Switzerland; [Pethe, A.; Shu, X.; D'Andrea, P.] Novartis Pharmaceut, E Hanover, NJ USA</t>
  </si>
  <si>
    <t>University of Ferrara; Assistance Publique Hopitaux Paris (APHP); Hopital Universitaire Bicetre - APHP; Institut National de la Sante et de la Recherche Medicale (Inserm); Universite Paris Saclay; Hopital Universitaire Antoine-Beclere - APHP; University Hospital Ioannina; Hospital Universitari Vall d'Hebron; Autonomous University of Barcelona; Novartis; Novartis; Novartis USA</t>
  </si>
  <si>
    <t>Papi, alberto/AAC-1888-2019; Humbert, Marc/AAC-8459-2019</t>
  </si>
  <si>
    <t>A3008</t>
  </si>
  <si>
    <t>WOS:000556393503214</t>
  </si>
  <si>
    <t>Savale, L; Habibi, A; Lionnet, F; Maitre, B; Cottin, V; Jais, X; Chaouat, A; Artaud-Macari, E; Canuet, M; Prevot, G; Chantalat-Auger, C; Montani, D; Sitbon, O; Galacteros, F; Simonneau, G; Parent, F; Bartolucci, P; Humbert, M</t>
  </si>
  <si>
    <t>Savale, Laurent; Habibi, Anoosha; Lionnet, Francois; Maitre, Bernard; Cottin, Vincent; Jais, Xavier; Chaouat, Ari; Artaud-Macari, Elise; Canuet, Matthieu; Prevot, Gregoire; Chantalat-Auger, Christelle; Montani, David; Sitbon, Olivier; Galacteros, Frederic; Simonneau, Gerald; Parent, Florence; Bartolucci, Pablo; Humbert, Marc</t>
  </si>
  <si>
    <t>Clinical phenotypes and outcomes of precapillary pulmonary hypertension of sickle cell disease (vol 54, 1900585, 2019)</t>
  </si>
  <si>
    <t>Humbert, Marc/AAC-8459-2019; Savale, Laurent/AAJ-9781-2020; Simonneau, Gerald/ABE-6614-2020; David, Montani/I-6885-2019; Chaouat, Ari/AAP-6784-2021</t>
  </si>
  <si>
    <t>10.1183/13993003.50585-2019</t>
  </si>
  <si>
    <t>KK7WD</t>
  </si>
  <si>
    <t>WOS:000512947900039</t>
  </si>
  <si>
    <t>Simonneau, G; Delcroix, M; Pepke-Zaba, J; Hoeper, M; Jansa, P; Pittrow, D; Humbert, M; Ulrich, S; Klotsche, J; Meier, C; Gall, H</t>
  </si>
  <si>
    <t>Simonneau, G.; Delcroix, M.; Pepke-Zaba, J.; Hoeper, M.; Jansa, P.; Pittrow, D.; Humbert, M.; Ulrich, S.; Klotsche, J.; Meier, C.; Gall, H.</t>
  </si>
  <si>
    <t>Safety of Riociguat in Patients with Inoperable CTEPH and Persistent/Recurrent CTEPH: Data from the EXPERT Registry</t>
  </si>
  <si>
    <t>[Simonneau, G.; Humbert, M.] Univ Paris Sud, Hop Bicetre, Ctr Reference Hypertens Pulm Severe, Serv Pneumol,DHU Thorax Innovat, Paris, France; [Delcroix, M.] Univ Hosp Leuven, Resp Dis, Leuven, Belgium; [Pepke-Zaba, J.] Royal Papworth Hosp, Pulm Vasc Dis Unit, Cambridge, England; [Hoeper, M.] Hannover Med Sch, Resp Med, Hannover, Germany; [Jansa, P.] Charles Univ Prague, Dept Cardiovasc Med, Dept Med, Prague, Czech Republic; [Pittrow, D.] GWT TUD GmbH, Dresden, Germany; [Ulrich, S.] Univ Hosp Zurich, Clin Pulmonol, Zurich, Switzerland; [Klotsche, J.] German Rheumatism Res Ctr Berlin, Leibniz Inst, Berlin, Germany; [Meier, C.] Bayer AG, Berlin, Germany; [Gall, H.] Univ Giessen &amp; Marburg Lung Ctr, Berlin, Germany</t>
  </si>
  <si>
    <t>Assistance Publique Hopitaux Paris (APHP); Hopital Universitaire Bicetre - APHP; Universite Paris Saclay; KU Leuven; University Hospital Leuven; Papworth Hospital; Hannover Medical School; Charles University Prague; Technische Universitat Dresden; University of Zurich; University Zurich Hospital; Leibniz Association; Deutsches Rheuma-Forschungszentrum (DRFZ); Bayer AG</t>
  </si>
  <si>
    <t>delcroix, marion/AAE-2712-2022; Pittrow, David/AAY-5042-2021; Hoeper, Marius/Z-1546-2019; Humbert, Marc/AAC-8459-2019; Pepke-Zaba, Joanna/AGW-3073-2022</t>
  </si>
  <si>
    <t>delcroix, marion/0000-0001-8394-9809; Hoeper, Marius/0000-0001-9086-2293</t>
  </si>
  <si>
    <t>A6049</t>
  </si>
  <si>
    <t>WOS:000556622802380</t>
  </si>
  <si>
    <t>van Bragt, JJMH; Adcock, IM; Bel, EHD; Braunstahl, GJ; ten Brinke, A; Busby, J; Canonica, GW; Cao, H; Chung, KF; Csoma, Z; Dahlén, B; Davin, E; Hansen, S; Heffler, E; Horvath, I; Korn, S; Kots, M; Kuna, P; Kwon, N; Louis, R; Plaza, V; Porsbjerg, C; Ramos-Barbon, D; Richards, LB; Skrgat, S; Sont, JK; Vijverberg, SJH; Weersink, EJM; Yasinska, V; Wagers, SS; Djukanovic, R; Maitland-van der Zee, AH; Abenhardt, B; Adcock, IM; Adler, J; Alfonso, R; Ali, R; Alkameh, S; Sánchez, CA; Alvares, L; Anderson, G; Assing, K; Ayre, S; Becker, J; Bel, EHD; Bergmann, K; Bieksiene, K; Bjerring, N; Blasi, F; Bloemen, P; Blum, H; Böing, S; Bonavia, M; Bossios, A; Bourdin, A; Braunstahl, GJ; Brons, A; Brusselle, G; Buis, J; Busby, J; Caiaffa, M; Calabrese, C; Camiciottoli, G; Canonica, GW; Cao, H; Caruso, C; Martínez, MC; Centanni, S; Chung, KF; Serrano, CC; Corsico, A; Cosmi, L; Costantino, M; Costello, R; Crimi, N; Csoma, Z; Dahlen, S; Dahlén, B; D'Amato, M; Davies, D; Davin, E; Piqueras, FDGC; Decarlo, G; Deimling, A; Del Giacco, S; Campos, RD; Djandji, M; Djukanovic, R; Doberer, D; Dupont, L; Dyett, K; Edelbaher, N; Edelmann, M; Ehmann, R; Ekberg-Jansson, A; Farsi, A; Favero, E; Feimer, J; Fletcher, M; Foschino, B; Frankemölle, B; Gaga, M; Gappa, M; de Pedro, JG; Rivero, JG; Gasplmayr, M; Gebhardt, R; Geldmacher, H; Geltner, C; Gerstlauer, M; Gibson, T; Giuseppe, G; Gogoll, C; Grimm-Sachs, V; Grisle, I; Grün, B; Grünewaldt, A; Guarnieri, G; Blanco, JG; Hamelmann, E; Hamerlijnck, D; Hammers-Reinhard, A; Hanon, S; Hansen, S; Harzheim, D; Heaney, L; Heffler, E; Hellmich, S; Herden, M; Hering, T; Herth, F; Hilberg, O; Horvath, I; Howarth, P; Hubatsch, M; Humbert, M; Husemann, K; Idzko, M; Jackson, D; Jandl, M; Jaumont, X; Joos, G; Jöst, M; Jüch, M; Kabesch, M; Kaiser-Labusch, P; Kardos, P; Kässner, F; Keeley, T; Kerr, W; Kirschner, J; Klimek, L; Koca, M; Koczulla, R; Koerner-Rettberg, C; Kopac, P; Korn, S; Kots, M; Kronsbein, J; Kuna, P; Lipinska, IK; Kwon, N; Langer, M; Langeveld, B; Lantz, A; Lazarinis, N; Lazic, Z; Lehtimäki, L; Leuppi, J; Lombardi, C; Lommatzsch, M; López-Viña, A; Louis, R; Luca, R; Lúdvíksdóttir, D; Lüttecke-Hecht, C; Macchia, L; Magni, T; Maitland-van der Zee, AH; Rivera, CM; Mastoridis, P; Mazza, F; Menzella, F; Menzies-Gow, A; Michils, A; Mihaltan, F; Milanese, M; Milger-Kneidinger, K; Molinska, J; Montagna, I; Montuschi, P; Mülleneisen, N; Esquerre, MM; Nanzer-Kelly, A; Nenasheva, N; Neurohr, C; Nucera, E; Otker, J; Oud, K; Paggiaro, P; Parente, R; Parkinson, J; Passalacqua, G; Patberg, N; Patella, V; Patino, O; Paulsson, T; Peche, R; Pelaia, G; Peress, E; de Llano, LP; Pfeffer, P; Pfister, P; Pilette, C; Sierra, CP; Pini, L; Plaza, V; Porsbjerg, C; Powitz, F; Ramos-Barbon, D; Ranger, T; Rasmussen, L; Rasmussen, K; Rezelj, M; Ricciardi, L; Ricciardolo, F; Richards, LB; Ridolo, E; Rijssenbeek-Nouwens, L; Rolla, G; Ribate, DR; Rüdiger, S; Safioti, G; Sandström, T; Santus, P; Sauer, R; Schauerte, G; Schipmann, R; Schleich, F; Schmid, J; Schmidt, F; Schmidt, O; Schmitz, M; Schrag, T; Schröer, S; Schultz, K; Schulz, C; Scichilone, N; Sedlak, V; Selb, J; Senna, G; Sergejeva, S; Pariente, JS; Sichau, M; Simona, D; Singer, A; Skowasch, D; Skrgat, S; Smeenk, F; Smith, S; Solidoro, P; Sont, JK; Spadaro, G; Spanevello, A; Stefansdottir, M; Steinmetz, K; Steiss, J; Stephan, M; Stieglitz, S; Suhling, H; Taube, C; ten Brinke, A; Yavuz, ST; Tudoric, N; Ulrik, C; van Bragt, JJMH; van de Ven, M; van den Elshout, F; Van Dyke, M; Van Nederveen-Bendien, S; van Veen, I; Vandenplas, O; Velthove, K; Vianello, A; Vijverberg, SJH; Vogelberg, C; Wagers, SS; Wallén-Nielsen, E; Weersink, EJ; Wisskirchen, T; Yacoub, M; Yancey, S; Yasinska, V; Zappa, M; Zielen, S; Zimmermann, C; Zimmermann, R</t>
  </si>
  <si>
    <t>van Bragt, Job J. M. H.; Adcock, Ian M.; Bel, Elisabeth H. D.; Braunstahl, Gert-Jan; ten Brinke, Anneke; Busby, John; Canonica, Giorgio W.; Cao, Hui; Chung, Kian Fan; Csoma, Zsuzsanna; Dahlen, Barbro; Davin, Elizabeth; Hansen, Susanne; Heffler, Enrico; Horvath, Ildiko; Korn, Stephanie; Kots, Maxim; Kuna, Piotr; Kwon, Namhee; Louis, Renaud; Plaza, Vicente; Porsbjerg, Celeste; Ramos-Barbon, David; Richards, Levi B.; Skrgat, Sabina; Sont, Jacob K.; Vijverberg, Susanne J. H.; Weersink, Els J. M.; Yasinska, Valentyna; Wagers, Scott S.; Djukanovic, Ratko; Maitland-van der Zee, Anke H.; Abenhardt, B.; Adcock, I. M.; Adler, J.; Alfonso, R.; Ali, R.; Alkameh, S.; Almonacid Sanchez, C.; Alvares, L.; Anderson, G.; Assing, K.; Ayre, S.; Becker, J.; Bel, E. H. D.; Bergmann, K.; Bieksiene, K.; Bjerring, N.; Blasi, F.; Bloemen, P.; Blum, H.; Boeing, S.; Bonavia, M.; Bossios, A.; Bourdin, A.; Braunstahl, G-J; Brons, A.; Brusselle, G.; Buis, J.; Busby, J.; Caiaffa, M.; Calabrese, C.; Camiciottoli, G.; Canonica, G. W.; Cao, H.; Caruso, C.; Castilla Martinez, M.; Centanni, S.; Chung, K. F.; Cisneros Serrano, C.; Corsico, A.; Cosmi, L.; Costantino, M.; Costello, R.; Crimi, N.; Csoma, Z.; Dahlen, S.; Dahlen, B.; D'Amato, M.; Davies, D.; Davin, E.; Garcia-Cosio Piqueras, F. de Borja; Decarlo, G.; Deimling, A.; Del Giacco, S.; Diaz Campos, R.; Djandji, M.; Djukanovic, R.; Doberer, D.; Dupont, L.; Dyett, K.; Edelbaher, N.; Edelmann, M.; Ehmann, R.; Ekberg-Jansson, A.; Farsi, A.; Favero, E.; Feimer, J.; Fletcher, M.; Foschino, B.; Frankemolle, B.; Gaga, M.; Gappa, M.; Garcia de Pedro, J.; Garcia Rivero, J.; Gasplmayr, M.; Gebhardt, R.; Geldmacher, H.; Geltner, C.; Gerstlauer, M.; Gibson, T.; Giuseppe, G.; Gogoll, C.; Grimm-Sachs, V; Grisle, I; Gruen, B.; Gruenewaldt, A.; Guarnieri, G.; Gullon Blanco, J.; Hamelmann, E.; Hamerlijnck, D.; Hammers-Reinhard, A.; Hanon, S.; Hansen, S.; Harzheim, D.; Heaney, L.; Heffler, E.; Hellmich, S.; Herden, M.; Hering, T.; Herth, F.; Hilberg, O.; Horvath, I; Howarth, P.; Hubatsch, M.; Humbert, M.; Husemann, K.; Idzko, M.; Jackson, D.; Jandl, M.; Jaumont, X.; Joos, G.; Joest, M.; Juech, M.; Kabesch, M.; Kaiser-Labusch, P.; Kardos, P.; Kaessner, F.; Keeley, T.; Kerr, W.; Kirschner, J.; Klimek, L.; Koca, M.; Koczulla, R.; Koerner-Rettberg, C.; Kopac, P.; Korn, S.; Kots, M.; Kronsbein, J.; Kuna, P.; Lipinska, I. Kuprys; Kwon, N.; Langer, M.; Langeveld, B.; Lantz, A.; Lazarinis, N.; Lazic, Z.; Lehtimaki, L.; Leuppi, J.; Lombardi, C.; Lommatzsch, M.; Lopez-Vina, A.; Louis, R.; Luca, R.; Ludviksdottir, D.; Luettecke-Hecht, C.; Macchia, L.; Magni, T.; Maitland-van der Zee, A. H.; Martinez Rivera, C.; Mastoridis, P.; Mazza, F.; Menzella, F.; Menzies-Gow, A.; Michils, A.; Mihaltan, F.; Milanese, M.; Milger-Kneidinger, K.; Molinska, J.; Montagna, I; Montuschi, P.; Muelleneisen, N.; Munoz Esquerre, M.; Nanzer-Kelly, A.; Nenasheva, N.; Neurohr, C.; Nucera, E.; Otker, J.; Oud, K.; Paggiaro, P.; Parente, R.; Parkinson, J.; Passalacqua, G.; Patberg, N.; Patella, V; Patino, O.; Paulsson, T.; Peche, R.; Pelaia, G.; Peress, E.; Perez de Llano, L.; Pfeffer, P.; Pfister, P.; Pilette, C.; Pinedo Sierra, C.; Pini, L.; Plaza, V; Porsbjerg, C.; Powitz, F.; Ramos-Barbon, D.; Ranger, T.; Rasmussen, L.; Rasmussen, K.; Rezelj, M.; Ricciardi, L.; Ricciardolo, F.; Richards, L. B.; Ridolo, E.; Rijssenbeek-Nouwens, L.; Rolla, G.; Romero Ribate, D.; Ruediger, S.; Safioti, G.; Sandstrom, T.; Santus, P.; Sauer, R.; Schauerte, G.; Schipmann, R.; Schleich, F.; Schmid, J.; Schmidt, F.; Schmidt, O.; Schmitz, M.; Schrag, T.; Schroeer, S.; Schultz, K.; Schulz, C.; Scichilone, N.; Sedlak, V; Selb, J.; Senna, G.; Sergejeva, S.; Serrano Pariente, J.; Sichau, M.; Simona, D.; Singer, A.; Skowasch, D.; Skrgat, S.; Smeenk, F.; Smith, S.; Solidoro, P.; Sont, J. K.; Spadaro, G.; Spanevello, A.; Stefansdottir, M.; Steinmetz, K.; Steiss, J.; Stephan, M.; Stieglitz, S.; Suhling, H.; Taube, C.; ten Brinke, A.; Yavuz, S. Tolga; Tudoric, N.; Ulrik, C.; van Bragt, J. J. M. H.; van de Ven, M.; van den Elshout, F.; Van Dyke, M.; Van Nederveen-Bendien, S.; van Veen, I; Vandenplas, O.; Velthove, K.; Vianello, A.; Vijverberg, S. J. H.; Vogelberg, C.; Wagers, S. S.; Wallen-Nielsen, E.; Weersink, E. J.; Wisskirchen, T.; Yacoub, M.; Yancey, S.; Yasinska, V; Zappa, M.; Zielen, S.; Zimmermann, C.; Zimmermann, R.</t>
  </si>
  <si>
    <t>SHARP Clinical Res Collaboration</t>
  </si>
  <si>
    <t>Characteristics and treatment regimens across ERS SHARP severe asthma registries</t>
  </si>
  <si>
    <t>HETEROGENEITY; MULTICENTER; MEPOLIZUMAB</t>
  </si>
  <si>
    <t>Little is known about the characteristics and treatments of patients with severe asthma across Europe, but both are likely to vary. This is the first study in the European Respiratory Society Severe Heterogeneous Asthma Research collaboration, Patient-centred (SHARP) Clinical Research Collaboration and it is designed to explore these variations. Therefore, we aimed to compare characteristics of patients in European severe asthma registries and treatments before starting biologicals. This was a cross-sectional retrospective analysis of aggregated data from 11 national severe asthma registries that joined SHARP with established patient databases. Analysis of data from 3236 patients showed many differences in characteristics and lifestyle factors. Current smokers ranged from 0% (Poland and Sweden) to 9.5% (Belgium), mean body mass index ranged from 26.2 (Italy) to 30.6 kg.m(-2) (the UK) and the largest difference in mean pre-bronchodilator forced expiratory volume in 1 s % predicted was 20.9% (the Netherlands versus Hungary). Before starting biologicals patients were treated differently between countries: mean inhaled corticosteroid dose ranged from 700 to 1335 mu g.day(-1) between those from Slovenia versus Poland when starting anti-interleukin (IL)5 antibody and from 772 to 1344 mu g.day(-1) in those starting anti-IgE (Slovenia versus Spain). Maintenance oral corticosteroid use ranged from 21.0% (Belgium) to 63.0% (Sweden) and from 9.1% (Denmark) to 56.1% (the UK) in patients starting anti-IL-5 and anti-IgE, respectively. The severe asthmatic population in Europe is heterogeneous and differs in both clinical characteristics and treatment, often appearing not to comply with the current European Respiratory Society/American Thoracic Society guidelines definition of severe asthma. Treatment regimens before starting biologicals were different from inclusion criteria in clinical trials and varied between countries.</t>
  </si>
  <si>
    <t>[van Bragt, Job J. M. H.; Bel, Elisabeth H. D.; Richards, Levi B.; Vijverberg, Susanne J. H.; Weersink, Els J. M.; Maitland-van der Zee, Anke H.] Univ Amsterdam, Dept Resp Med, Amsterdam UMC, Amsterdam, Netherlands; [Adcock, Ian M.] Imperial Coll London, Natl Heart &amp; Lung Inst, Mol Cell Biol Grp, London, England; [Braunstahl, Gert-Jan] Franciscus Gasthuis &amp; Vlietland, Rotterdam, Netherlands; [ten Brinke, Anneke; ten Brinke, A.] Med Ctr Leeuwarden, Leeuwarden, Netherlands; [Busby, John] Queens Univ Belfast, Ctr Publ Hlth, Sch Med Dent &amp; Biomed Sci, Belfast, Antrim, North Ireland; [Canonica, Giorgio W.; Heffler, Enrico] Humanitas Univ, Humanitas Clin &amp; Res Ctr, Asthma &amp; Allergy Humanitas Clin &amp; Res Ctr, Personalised Med Clin, Rozzano, Italy; [Canonica, Giorgio W.; Heffler, Enrico; Canonica, G. W.; Heffler, E.] SANI, Milan, Italy; [Cao, Hui] Novartis Pharmaceut, E Hanover, NJ USA; [Chung, Kian Fan] Imperial Coll London, Natl Heart &amp; Lung Inst, Expt Studies Med, London, England; [Csoma, Zsuzsanna; Horvath, Ildiko; Csoma, Z.; Horvath, I] Natl Koranyi Inst Pulmonol, Budapest, Hungary; [Dahlen, Barbro; Yasinska, Valentyna] Karolinska Univ Hosp, Dept Med, Div Resp Med &amp; Allergy, Huddinge, Sweden; [Davin, Elizabeth; Adler, J.; Ayre, S.; Brons, A.; Davin, E.; Dyett, K.; Frankemolle, B.; Gibson, T.; Hamerlijnck, D.; Otker, J.; Ranger, T.; Stefansdottir, M.] European Lung Fdn, Sheffield, S Yorkshire, England; [Hansen, Susanne] Bispebjerg &amp; Frederiksberg Hosp, Ctr Clin Res &amp; Dis Prevent, Copenhagen, Denmark; [Korn, Stephanie; Korn, S.] Univ Med Mainz, Mainz, Germany; [Kots, Maxim] Chiesi Farmaceut, Global Clin Dev, Parma, Italy; [Kuna, Piotr] Med Univ Lodz, Dept Internal Med Asthma &amp; Allergy, Lodz, Poland; [Kwon, Namhee] GSK, Resp Med Franchise, Brentford, England; [Louis, Renaud] Univ Liege, Ctr Hosp Univ, Dept Pulm Med, GIGA I3 Res Grp, Liege, Belgium; [Plaza, Vicente; Ramos-Barbon, David] Univ Autonoma Barcelona, Hosp Santa Creu &amp; St Pau, Resp Med Dept, Barcelona, Spain; [Plaza, Vicente; Ramos-Barbon, David] Univ Autonoma Barcelona, Hosp Santa Creu &amp; St Pau, Biomed Res Inst, Barcelona, Spain; [Porsbjerg, Celeste] Bispebjerg Hosp, Dept Resp Med, Resp Res Unit, Copenhagen, Denmark; [Skrgat, Sabina; Kopac, P.; Rezelj, M.; Selb, J.; Skrgat, S.] Univ Clin Resp &amp; Allerg Dis, Golnik, Slovenia; [Sont, Jacob K.] Leiden Univ, Dept Biomed Data Sci, Sect Med Decis Making, Med Ctr, Leiden, Netherlands; [Wagers, Scott S.; Wagers, S. S.] BioSciConsulting, Maasmechelen, Belgium; [Djukanovic, Ratko] Univ Southampton, Fac Med, NIHR Southampton Resp Biomed Res Unit, Southampton, Hants, England; [Abenhardt, B.] Praxis Dr Abenhardt &amp; Jochen Hinrichs Pavlik, Heidelberg, Germany; [Adcock, I. M.; Chung, K. F.] Imperial Coll London, Natl Heart &amp; Lung Inst, London, England; [Alfonso, R.; Smith, S.; Yancey, S.] GSK, Durham, NC USA; [Ali, R.; Pfeffer, P.; Singer, A.] Barts Hlth NHS Trust, London, England; [Alkameh, S.] Lungenfachpraxis Backnang, Backnang, Germany; [Almonacid Sanchez, C.] Hosp Ramon &amp; Cajal, Madrid, Spain; [Alvares, L.; Jaumont, X.; Peress, E.; Pfister, P.] Novartis Pharma AG, Basel, Switzerland; [Anderson, G.] Univ Melbourne, Melbourne, Vic, Australia; [Assing, K.] Aalborg Univ Hosp, Aalborg, Denmark; [Becker, J.] Facharztpraxis Pneumol, Lubeck, Germany; [Bel, E. H. D.; Maitland-van der Zee, A. H.; Richards, L. B.; van Bragt, J. J. M. H.; Vijverberg, S. J. H.; Weersink, E. J.] Univ Amsterdam, Amsterdam UMC, Amsterdam, Netherlands; [Bergmann, K.] Charite Berlin Allergie Ctr, Berlin, Germany; [Bieksiene, K.] Lithuanian Univ Hlth Sci, Kaunas, Lithuania; [Bjerring, N.] Odense Univ Hosp, Odense, Denmark; [Blasi, F.] Milano Resp Unit, Milan, Italy; [Blasi, F.] Adult Cyst Fibrosis Ctr, Milan, Italy; [Blasi, F.] Univ Milan, Milan, Italy; [Bloemen, P.; Velthove, K.] GSK, Zeist, Netherlands; [Blum, H.] MECS Dortmund GmbH, Dortmund, Germany; [Boeing, S.] Pneumoplus Lungen &amp; Allergiezentrum, Neuss, Germany; [Bonavia, M.] ASL3, Resp Rehabil, Genoa, Italy; [Bossios, A.; Dahlen, B.; Lantz, A.; Lazarinis, N.; Wallen-Nielsen, E.; Yasinska, V] Karolinska Univ Hosp, Huddinge, Sweden; [Bourdin, A.] Univ Montpellier, CHU Montpellier, EFS, INSERM,PhyMedExp, Montpellier, France; [Braunstahl, G-J] St Franciscus Gasthuis &amp; Vlietland, Rotterdam, Netherlands; [Brusselle, G.] Univ Ghent, UZ Ghent, Ghent, Belgium; [Buis, J.; Patino, O.; Safioti, G.] Teva Pharmaceut, Amsterdam, Netherlands; [Busby, J.; Heaney, L.] Queens Univ Belfast, Belfast, Antrim, North Ireland; [Caiaffa, M.; Foschino, B.] Univ Foggia, Foggia, Italy; [Calabrese, C.] Univ Campania L Vanvitelli, Caserta, Italy; [Camiciottoli, G.] Careggi Univ Hosp, Florence, Italy; [Canonica, G. W.; Heffler, E.] Humanitas Univ, Rozzano, Italy; [Cao, H.; Mastoridis, P.] Novartis Pharmaceut, E Hanover, NJ USA; [Caruso, C.] Fdn Policlin Univ A Gemelli, IRCCS, Rome, Italy; [Castilla Martinez, M.] Hosp Los Arcos del Mar Menor, Murcia, Spain; [Centanni, S.] Univ Milan, Resp Unit, ASST St Paolo &amp; Carlo, Milan, Italy; [Cisneros Serrano, C.] Hosp La Princesa, Madrid, Spain; [Corsico, A.] IRCCS Policlin San Matteo Fdn, Pavia, Italy; [Corsico, A.] Univ Pavia, Pavia, Italy; [Cosmi, L.] Univ Florence, Florence, Italy; [Costantino, M.] Carlo Poma Hosp Mantova, Mantua, Italy; [Costello, R.] Royal Coll Surgeons Ireland, Beaumont Hosp, Dublin, Ireland; [Crimi, N.] Univ Catania, Catania, Italy; [Dahlen, S.] Karolinska Inst, Stockholm, Sweden; [D'Amato, M.] Univ Naples Federico II, AO Dei Colli, Naples, Italy; [Davies, D.] Southampton Univ Hosp, Southampton, Hants, England; [Garcia-Cosio Piqueras, F. de Borja] Hosp Son Espases Palma Mallorca, Islas Baleares, Spain; [Decarlo, G.] European Federat Allergy &amp; Airways Dis EFA, Brussels, Belgium; [Deimling, A.] Lungenpraxis Schleswig, Schleswig, Germany; [Del Giacco, S.] Univ Cagliari, Cagliari, Italy; [Diaz Campos, R.] Hosp 12 Octubre, Madrid, Spain; [Djandji, M.] Sanofi Genzyme, Med Affairs, Cambridge, MA USA; [Djukanovic, R.] Univ Southampton, Southampton, Hants, England; [Doberer, D.] Vienna Gen Hosp, Vienna, Austria; [Dupont, L.] Univ Leuven, UZ Gasthuisberg Leuven, Leuven, Belgium; [Edelbaher, N.] Univ Clin Ctr Maribor, Maribor, Slovenia; [Edelmann, M.] Lungenpraxis Aalen, Aalen, Germany; [Ehmann, R.] Gemeinschaftspraxis Ambulante Pneumol Mit Allergi, Stuttgart, Germany; [Ekberg-Jansson, A.] Reg Halland, Dept Res &amp; Dev, Gothenburg, Sweden; [Ekberg-Jansson, A.] Univ Gothenburg, Gothenburg, Sweden; [Farsi, A.] Azienda USL Toscana Ctr, SOS Allergol &amp; Clin Immunol, Prato, Italy; [Favero, E.] Vittorio Veneto Hosp, Treviso, Italy; [Feimer, J.] Pneumol Odeonspl, Munich, Germany; [Fletcher, M.; Howarth, P.; Keeley, T.; Kerr, W.; Kwon, N.; Paulsson, T.] GSK, Brentford, England; [Gaga, M.] Athens Chest Hosp Sotiria, Athens, Greece; [Gappa, M.] Marien Hosp, Klin Kinder &amp; Jugendmed, Wesel, Germany; [Garcia de Pedro, J.] Hosp Gregorio Maranon, Madrid, Spain; [Garcia Rivero, J.] Hosp Laredo, Laredo, Spain; [Gasplmayr, M.] Kardiol &amp; Fachinternist UBAG Dr Sandrock &amp; Partne, Altdorf, Germany; [Gebhardt, R.] Facharzt Lungen &amp; Brochialheilkunde, Allergol &amp; Umweltmed, Berlin, Germany; [Geldmacher, H.] Pneumologicum, Hannover, Germany; [Geltner, C.] Kreisklin Bad Reichenhall, Bad Reichenhall, Germany; [Gerstlauer, M.] Klinikum Augsburg, Kinderklin 2, Augsburg, Germany; [Giuseppe, G.] AO S Croce &amp; Carle, Cuneo, Italy; [Gogoll, C.] Evangel Elisabeth Klin, Berlin, Germany; [Grimm-Sachs, V] Praxis Dr Grimm Sachs, Bruchsal, Germany; [Grisle, I] Riga Eastern Clin Univ Hosp, Riga, Latvia; [Gruen, B.] Praxis Dr Grun, Bad Windsheim, Germany; [Gruenewaldt, A.; Zielen, S.] Univ Klinikum Frankfurt, Frankfurt, Germany; [Guarnieri, G.] Univ Padua, Padua, Italy; [Gullon Blanco, J.] Hosp San Agustin, Aviles, Asturias, Spain; [Hamelmann, E.] Kinderzentrum Bethel, Klin Kinder &amp; Jugendmed, Bielefeld, Germany; [Hammers-Reinhard, A.] Praxis Hammers Reinhard, Homburg, Germany; [Hanon, S.] Free Univ Brussel, Acad Ziekenhuis, Jette, Belgium; [Hansen, S.; Porsbjerg, C.] Bispebjerg Hosp, Copenhagen, Denmark; [Harzheim, D.] Waldburg Zeil Kliniken Fachkliniken Wangen, Wangen Im Allgau, Germany; [Heaney, L.] Belfast Hlth &amp; Social Care Trust, Belfast, Antrim, North Ireland; [Hellmich, S.] Pneumol Schelztor Esslingen, Esslingen, Germany; [Herden, M.] Lungenfacharztlich Internist Schwerpunktpraxis, Freising Weihenstephan, Germany; [Hering, T.] Arzt Pneumol Allergol Schlafmed, Berlin, Germany; [Herth, F.] Thoraxklin Heidelberg gGmbH, Heidelberg, Germany; [Hilberg, O.] Vejle Hosp, Vejle, Denmark; [Hubatsch, M.] Lungenarztpraxis Dr Hubatsch, Heilbronn, Germany; [Humbert, M.] Univ Paris Sud, Le Kremlin Bicetre, France; [Husemann, K.] MVZ Klinikum Kempten, Praxis Pneumol &amp; Allergol, Kempten, Germany; [Idzko, M.] Univ Klinikum Freiburg, Klin Pneumol, Freiburg, Germany; [Jackson, D.; Nanzer-Kelly, A.] Guys &amp; St Thomas NHS Trust, London, England; [Jackson, D.; Nanzer-Kelly, A.] Kings Coll London, London, England; [Jandl, M.] Hamburger Inst Therapieforsch GmbH, Hamburg, Germany; [Joos, G.] Univ Ghent, UZ Gent, Ghent, Belgium; [Joest, M.] Malteser Lungen &amp; Allergiezentrum Bonn, Bonn, Germany; [Juech, M.] Pneumol Praxis Ulrichpl, Magdeburg, Germany; [Kabesch, M.] Krankenhaus Barmherzige Bruder Regensburg, Regensburg, Germany; [Kaiser-Labusch, P.] Klinikum Bremen Mitte, Bremen, Germany; [Kardos, P.] Studienzentrum Maingau, Frankfurt, Germany; [Kaessner, F.] MECS Cottbus, Cottbus, Germany; [Kirschner, J.] CIMS Studienzentrum Bamberg GmbH, Bamberg, Germany; [Klimek, L.] Zentrum Rhinol &amp; Allergol, Wiesbaden, Germany; [Koca, M.] Lungenpraxis Offenbach, Offenbach, Germany; [Koczulla, R.] Schonklin Berchtesgadener Land, Schonau, Germany; [Koerner-Rettberg, C.] RUB St Josef Hosp, Klin Kinder &amp; Jugendmed, Bochum, Germany; [Korn, S.] Univ Med Mainz, Schwerpunkt Pneumol, Mainz, Germany; [Kots, M.; Magni, T.; Montagna, I] Chiesi Farmaceut, Parma, Italy; [Kronsbein, J.] Berufsgenossenschaftliches Univ Klinikum Bergmann, Bochum, Germany; [Kuna, P.; Lipinska, I. Kuprys; Molinska, J.] Med Univ Lodz, Lodz, Poland; [Langer, M.] Lungenpraxis Dr Langer Tubingen, Tubingen, Germany; [Langeveld, B.] Deventer Hosp, Deventer, Netherlands; [Lazic, Z.] Univ Clin Ctr Kragujevac, Kragujevac, Serbia; [Lehtimaki, L.] Univ Tampere, Tampere, Finland; [Leuppi, J.] Univ Clin Internal Med, Basel, Switzerland; [Lombardi, C.] Hosp Inst Fdn Poliambulanza, Brescia, Italy; [Lommatzsch, M.] Univ Rostock, Abt Pneumol, Rostock, Germany; [Lopez-Vina, A.] Hosp Puerta Hierro, Madrid, Spain; [Louis, R.] Univ Liege, GIGA I3 Res Grp, CHU Liege, Liege, Belgium; [Luca, R.; Montuschi, P.; Nucera, E.] Univ Cattolica Sacro Cuore, Fdn Policlin Univ A Gemelli, IRCCS, Rome, Italy; [Ludviksdottir, D.] Landspitali Univ Hosp, Reykjavik, Iceland; [Luettecke-Hecht, C.] Lungenfacharztpraxis Dr C Luttecke Hecht, Mainz, Germany; [Macchia, L.] Univ Bari Aldo Moro, Bari, Italy; [Martinez Rivera, C.] Hosp Badalona Germans Trias &amp; Pujol, Barcelona, Spain; [Mazza, F.] Presidio Osped Pordenone, Pordenone, Italy; [Menzella, F.] Azienda USL Reggio Emilia IRCCS, Santa Maria Nuova Hosp, Reggio Emilia, Italy; [Menzies-Gow, A.] Royal Brompton Hosp, London, England; [Menzies-Gow, A.] Imperial Coll London, London, England; [Michils, A.] Hop Erasme, Brussels, Belgium; [Mihaltan, F.] Univ Med &amp; Pharm Carol Davila, Bucharest, Romania; [Milanese, M.] ASL2 Savonese, Pulmonol Unit, Pietra Ligure, Savona, Italy; [Milger-Kneidinger, K.] Klinikum Univ Munchen, Munich, Germany; [Muelleneisen, N.] Asthma &amp; Allergiezentrum, Leverskusen, Germany; [Munoz Esquerre, M.] Hosp Bellvitge Princeps Espanya, Barcelona, Spain; [Nenasheva, N.] Russian Med Acad Postgrad Educ, Moscow, Russia; [Neurohr, C.] Klin Schillerhohe, Abt Pneumol &amp; Beatmungsmed, Gerlingen, Germany; [Oud, K.] Hosp Gelderse Vallei, Ede, Netherlands; [Paggiaro, P.] Univ Pisa, Pisa, Italy; [Parente, R.] Univ Salerno, Salerno, Italy; [Parkinson, J.] Asthma, London, England; [Passalacqua, G.] Univ Genoa, IRCCS Policlin San Martino, Genoa, Italy; [Patberg, N.] Isala Hosp, Zwolle, Netherlands; [Patella, V] Santa Maria della Speranza Hosp, Salerno, Italy; [Peche, R.] Hop Vesale, Charleroi, Belgium; [Pelaia, G.] Magna Graecia Univ Catanzaro, Catanzaro, Italy; [Perez de Llano, L.] Hosp Lucus Augusti, Lugo, Spain; [Pfeffer, P.] Queen Mary Univ London, Barts &amp; London Sch Med &amp; Dent, London, England; [Pilette, C.] Catholic Univ Louvain, CHU St Luc, Louvain La Neuve, Belgium; [Pinedo Sierra, C.] Hosp San Carlos, Madrid, Spain; [Pini, L.] Univ Brescia, Spedali Civili Brescia, Brescia, Italy; [Plaza, V; Ramos-Barbon, D.] Univ Autonoma Barcelona, Hosp Santa Creu &amp; St Pau, Barcelona, Spain; [Powitz, F.] Pneumol Elisenhof Munchen, Munich, Germany; [Rasmussen, L.] Copenhagen Univ Hosp Gentofte, Gentofte, Denmark; [Rasmussen, K.] Zealand Univ Hosp, Roskilde, Denmark; [Ricciardi, L.] Univ Messina, Univ Hosp G Martino, Messina, Italy; [Ricciardolo, F.] Univ Torino, San Luigi Hosp, Turin, Italy; [Ridolo, E.] Univ Parma, Parma, Italy; [Rijssenbeek-Nouwens, L.] Dutch Asthma Ctr Davos, Davos, Switzerland; [Rolla, G.] Univ Torino, AO Mauriziano Hosp, Turin, Italy; [Romero Ribate, D.] Hosp La Paz, Madrid, Spain; [Ruediger, S.] Univ Klinikum Ulm, Ulm, Germany; [Sandstrom, T.] Umea Univ, Umea, Sweden; [Santus, P.] Univ Milan, Sacco Univ Hosp, ASST Fatebenefratelli Sacco, Milan, Italy; [Sauer, R.] Lungenzentrum Ulm, Ulm, Germany; [Schauerte, G.] CJD Berchtesgaden, Asthmazentrum, Berchtesgaden, Germany; [Schauerte, G.] CJD Berchtesgaden, Diabet Zentrum, Berchtesgaden, Germany; [Schipmann, R.] Klin Martinusquelle, Bad Lippspringe, Germany; [Schleich, F.] Univ Liege, CHU Liege, Liege, Belgium; [Schmid, J.] Aarhus Univ Hosp, Aarhus, Denmark; [Schmidt, F.] Pneumol Gemeinschaftspraxis Dr Schmidt &amp; Weeg, Munich, Germany; [Schmidt, O.] Lungenfacharzte KSS, Koblenz, Germany; [Schmitz, M.] Pneumo Westpfalz, Kaiserslautern, Germany; [Schrag, T.] Praxis Dr Med Till Schrag, Bad Reichenhall, Germany; [Schroeer, S.] Internist Schwerpunktpraxis, Villingen Schwenningen, Germany; [Schultz, K.] Klin Bad Reichenhall, Bad Reichenhall, Germany; [Schulz, C.] Univ Klinikum Regensburg, Regensburg, Germany; [Scichilone, N.] Univ Palermo, Palermo, Italy; [Sedlak, V] Czech Pneumol &amp; Phthiseol Soc, Prague, Czech Republic; [Senna, G.] Univ Hosp Verona, Verona, Italy; [Sergejeva, S.] Univ Tartu, Tartu, Estonia; [Serrano Pariente, J.] Hosp Inca, Islas Baleares, Spain; [Sichau, M.] MVZ Diagnost &amp; Therapie, Herne, Germany; [Simona, D.] Hosp Civitanova Marche, AV3 ASUR Marche, Macerata, Italy; [Skowasch, D.; Yavuz, S. Tolga] Univ Klinikum Bonn, Bonn, Germany; [Smeenk, F.] Catharina Hosp, Eindhoven, Netherlands; [Solidoro, P.] Univ Turin, Turin, Italy; [Sont, J. K.] Leiden Univ, Med Ctr, Leiden, Netherlands; [Spadaro, G.] AO Univ Federico II, Naples, Italy; [Spanevello, A.] Ist Clin Sci Maugeri IRCCS, Tradate, Italy; [Spanevello, A.] Univ Insubria, Varese, Italy; [Steinmetz, K.] Gemeinschaftspraxis, Darmstadt, Germany; [Steiss, J.] Univ Klinikum Giessen, Giessen, Germany; [Stephan, M.] Klin Lowenstein, Lowenstein, Germany; [Stieglitz, S.] Wuppertaler Lungenzentrum, Wuppertal, Germany; [Suhling, H.] MH Hannover, Hannover, Germany; [Taube, C.] Univ Med Essen, Westdeutsch Lungenzentrum, Univ Klinikum Essen gGmbH, Essen, Germany; [Tudoric, N.] Dubrava Univ Hosp, Zagreb, Croatia; [Ulrik, C.] Hvidovre Univ Hosp, Copenhagen, Denmark; [van de Ven, M.; van den Elshout, F.] Rijnstate Hosp, Arnhem, Netherlands; [Van Dyke, M.] GSK, Collegeville, PA USA; [Van Nederveen-Bendien, S.] Haga Hosp, The Hague, Netherlands; [van Veen, I] Med Spectrum Twente, Enschede, Netherlands; [Vandenplas, O.] CHU Godine Namur, Godinne, Belgium; [Vianello, A.] Univ Padua, Padua, Italy; [Vogelberg, C.] Univ Klinikum Carl Gustav Carus, Klin &amp; Poliklin Kinder &amp; Jugendmed, Dresden, Germany; [Wisskirchen, T.] Aeroprax, Wuppertal, Germany; [Yacoub, M.] San Raffaele Hosp Milano, Milan, Italy; [Zappa, M.] Sandro Pertini Hosp, Rome, Italy; [Zimmermann, C.] Pneumol Praxis Reutlingen, Reutlingen, Germany; [Zimmermann, R.] Klinikum Landshut, Med Klin 2, Landshut, Germany</t>
  </si>
  <si>
    <t>University of Amsterdam; Imperial College London; Franciscus Gasthuis; Medical Center Leeuwarden; Queens University Belfast; IRCCS Humanitas Research Hospital; Humanitas University; Novartis; Novartis USA; Imperial College London; Karolinska Institutet; Karolinska University Hospital; University of Copenhagen; Bispebjerg Hospital; Johannes Gutenberg University of Mainz; Chiesi Pharmaceuticals Inc; Medical University Lodz; GlaxoSmithKline; Glaxosmithkline United Kingdom; University of Liege; Hospital of Santa Creu i Sant Pau; Autonomous University of Barcelona; Barcelona Institute of Science &amp; Technology; Institute for Research in Biomedicine - IRB Barcelona; Hospital of Santa Creu i Sant Pau; Autonomous University of Barcelona; University of Copenhagen; Bispebjerg Hospital; Copenhagen University Hospital; Leiden University - Excl LUMC; Leiden University; Leiden University Medical Center (LUMC); University of Southampton; Imperial College London; GlaxoSmithKline; Barts Health NHS Trust; Hospital Universitario Ramon y Cajal; Novartis; University of Melbourne; Aalborg University; Aalborg University Hospital; University of Amsterdam; Lithuanian University of Health Sciences; University of Southern Denmark; Odense University Hospital; University of Milan; GlaxoSmithKline; GlaxoSmithKline Netherlands; Karolinska Institutet; Karolinska University Hospital; Universite de Montpellier; CHU de Montpellier; Institut National de la Sante et de la Recherche Medicale (Inserm); Ghent University; Ghent University Hospital; Queens University Belfast; University of Foggia; Universita della Campania Vanvitelli; University of Florence; Azienda Ospedaliero Universitaria Careggi; IRCCS Humanitas Research Hospital; Humanitas University; Novartis; Novartis USA; Catholic University of the Sacred Heart; IRCCS Policlinico Gemelli; University of Milan; Hospital de La Princesa; IRCCS Fondazione San Matteo; University of Pavia; University of Florence; Hospital Carlo Poma; Royal College of Surgeons - Ireland; University of Catania; Karolinska Institutet; University of Naples Federico II; University of Southampton; Hospital Universitari Son Espases; University of Cagliari; Hospital Universitario 12 de Octubre; Sanofi-Aventis; Genzyme Corporation; University of Southampton; KU Leuven; University Hospital Leuven; University of Maribor; University of Gothenburg; ULSS 2 Marca TV; Ospedale Vittorio Veneto; GlaxoSmithKline; Glaxosmithkline United Kingdom; St. Marien Hospital; General University Gregorio Maranon Hospital; Klinikum Augsburg; Riga East University Hospital; Goethe University Frankfurt; Goethe University Frankfurt Hospital; University of Padua; Hospital San Agustin; University of Copenhagen; Copenhagen University Hospital; Bispebjerg Hospital; Ruprecht Karls University Heidelberg; University of Southern Denmark; Lillebaelt Hospital; Universite Paris Saclay; University of Freiburg; Guy's &amp; St Thomas' NHS Foundation Trust; University of London; King's College London; Ghent University; Ghent University Hospital; Klinikum Bremen-Mitte; Ruhr University Bochum; Johannes Gutenberg University of Mainz; Chiesi Pharmaceuticals Inc; Ruhr University Bochum; Medical University Lodz; Deventer Hospital; University of Rostock; Hospital Puerta de Hierro-Majadahonda; University of Liege; Catholic University of the Sacred Heart; IRCCS Policlinico Gemelli; Landspitali National University Hospital; Universita degli Studi di Bari Aldo Moro; Hospital Germans Trias i Pujol; IRCCS Arcispedale S. Maria Nuova; Royal Brompton Hospital; Imperial College London; Universite Libre de Bruxelles; Carol Davila University of Medicine &amp; Pharmacy; University of Munich; Ministry of Health of the Russian Federation; Gelderse Vallei Hospital; University of Pisa; University of Salerno; University of Genoa; Magna Graecia University of Catanzaro; Hospital Universitario Lucus Augusti-Lugo; University of London; Queen Mary University London; Universite Catholique Louvain; Hospital Clinico San Carlos; University of Brescia; Autonomous University of Barcelona; Hospital of Santa Creu i Sant Pau; University of Copenhagen; Herlev &amp; Gentofte Hospital; AOU Policlinico Gaetano Martino; University of Messina; University of Turin; University of Parma; University of Turin; Hospital Universitario La Paz; Ulm University; Umea University; University of Milan; Luigi Sacco Hospital; University of Liege; Aarhus University; University of Regensburg; University of Palermo; University of Tartu; Hospital Comarcal Inca; University of Bonn; Catharina Hospital; University of Turin; Leiden University; Leiden University Medical Center (LUMC); Leiden University - Excl LUMC; University of Insubria; University Hospital of Giessen &amp; Marburg; University of Zagreb; University of Copenhagen; Rijnstate Hospital; GlaxoSmithKline; Glaxosmithkline USA; Haga Hospital; Medical Spectrum Twente; University of Padua; Technische Universitat Dresden; Carl Gustav Carus University Hospital; Vita-Salute San Raffaele University; IRCCS Ospedale San Raffaele; Ospedale Sandro Pertini</t>
  </si>
  <si>
    <t>van Bragt, JJMH (corresponding author), Amsterdam UMC, Dept Resp Med, F5-260,Meibergdreef 9, NL-1105 AZ Amsterdam, Netherlands.</t>
  </si>
  <si>
    <t>j.j.vanbragt@amsterdamumc.nl</t>
  </si>
  <si>
    <t>Yacoub, Mona/AAP-6227-2020; Klimek, Ludger/AFJ-9880-2022; Leuppi, Jörg/W-6798-2019; MartinezRivera, Carlos/MSX-0130-2025; Schauerte, Gerd/ABD-6135-2020; Prieto, Cristina/Y-9015-2019; Bourdin, Philippe/D-8149-2015; costello, richard/C-3777-2012; Milger, Katrin/AFI-3881-2022; De Summa, Simona/K-2582-2018; Horvath, Ildiko/M-7874-2019; Vianello, Andrea/C-3647-2017; Hamelmann, Eckard/AAJ-9124-2021; Senna, Gianenrico/AAC-5201-2022; Pini, Laura/O-1706-2016; Montuschi, Paolo/AFR-6551-2022; Corsico, Angelo/AAC-8138-2019; Plaza Moral, Vicente/IQV-5603-2023; caruso, cristiano/AAR-9502-2020; Yavuz, S.Tolga/K-7578-2012; Crimi, Nunzio/AAL-2994-2020; Ненашева, Наталья/AAI-1333-2020; Heffler, Enrico/F-9455-2010; Chung, Kian/B-1872-2012; Almonacid, Carlos/HLH-8427-2023; Bossios, Apostolos/ABH-8262-2020; Ricciardolo, F./K-5330-2018; Hansen, Susanne/AAE-7275-2021; Yasinska, Valentyna/AEI-7779-2022; Gerstlauer, Michael/JVO-5811-2024; Kabesch, Michael/GZM-1583-2022; Davies, Donna/H-2993-2012; Munoz-Esquerre, Mariana/F-7386-2012; Zappa, Marco/AAD-3112-2021; Farsi, Alessandro/GPG-0010-2022; Alvares, Luisa/GQA-5353-2022; Patella, Vincenzo/AAJ-6232-2020; Canevari, Frank/R-2280-2019; Adcock, Ian/L-3217-2019; SOLIDORO, PAOLO/AAI-3040-2020; Zielen, Stefan/AAD-7243-2020; Serrano, Javier/N-2626-2015; Brusselle, Guy/AFU-8839-2022; Herth, Felix/IZE-1794-2023; Sont, Jacob/J-8071-2015; LOUIS, Renaud/HMO-7349-2023; Neurohr, Claus/MFK-0920-2025; Parente, Roberta/AAB-7340-2019; Molińska, Joanna/W-3473-2018; Gaga, Mina/AAP-8348-2020; SPANEVELLO, ANTONIO/AAB-9503-2020; Maitland-van der Zee, Anke/I-9572-2016; Rolla, Giovanni/C-9901-2009; CANONICA, GIORGIO WALTER/ABF-2037-2020; Hansen, Susanne/F-1657-2017; RICCIARDI, Luisa/CAJ-1526-2022; Guarnieri, Gabriella/O-2537-2016; Blasi, Francesco/O-5885-2017; Humbert, Marc/AAC-8459-2019; Menzella, Francesco/AAK-3075-2021; Braunstahl, Gerrit/AAA-3047-2020; RAMOS-BARBON, DAVID/C-6624-2009</t>
  </si>
  <si>
    <t>Howarth, Peter/0000-0003-0619-7927; SPANEVELLO, ANTONIO/0000-0002-3595-9903; Heaney, Liam/0000-0002-9176-5564; Dupont, Lieven/0000-0003-3961-1522; Koerner-Rettberg, Cordula/0000-0003-0946-1009; Anderson, Gary P./0000-0001-6580-3398; Martinez Rivera, Carlos/0000-0003-1031-2561; Maitland-van der Zee, Anke/0000-0002-0414-3442; Kots, Maxim/0000-0003-3466-4641; Rolla, Giovanni/0000-0001-5997-7172; CANONICA, GIORGIO WALTER/0000-0001-8467-2557; Patella, Vincenzo/0000-0001-5640-6446; Bossios, Apostolos/0000-0002-0494-2690; Hansen, Susanne/0000-0002-9550-6703; Pfeffer, Paul/0000-0003-0369-2885; Yacoub, Mona-Rita/0000-0003-2417-0410; Pini, Laura/0000-0001-6563-4942; RICCIARDI, Luisa/0000-0003-3105-8347; van Bragt, Job/0000-0002-7133-955X; Gullon, Jose Antonio/0000-0002-3007-0873; caruso, cristiano/0000-0001-7631-029X; Macchia, Luigi/0000-0002-5896-086X; Gerstlauer, Michael/0000-0001-5094-0664; Vianello, Andrea/0000-0002-8790-6029; Porsbjerg, Celeste/0000-0003-4825-9436; Busby, John/0000-0003-4831-7464; Kuna, Piotr/0000-0003-2401-0070; Dahlen, Barbro/0000-0003-3803-9034; Corsico, Angelo Guido/0000-0002-8716-4694; Serrano-Pariente, Jose/0000-0002-6583-655X; GARCIA RIVERO, JUAN LUIS/0000-0002-6407-5832; Yasinska, Valentyna/0000-0002-1379-1265; Guarnieri, Gabriella/0000-0003-3664-2024; Blasi, Francesco/0000-0002-2285-9970; Humbert, Marc/0000-0003-0703-2892; Menzella, Francesco/0000-0003-3950-5789; Fletcher, Monica/0000-0002-9700-3552; Alvares, Luisa/0009-0006-0500-3317; Costello, Richard/0000-0003-1179-6692; Adcock, Ian/0000-0003-2101-8843; Milger, Katrin/0000-0003-2914-8773; Herth, Felix/0000-0002-7638-2506; Farsi, Alessandro/0000-0001-6036-9094; Bourdin, Arnaud/0000-0002-4645-5209; Djukanovic, Ratko/0000-0001-6039-5612; Braunstahl, Gerrit/0000-0001-7671-3742; Lehtimaki, Lauri/0000-0003-1586-4998; Leuppi, Jorg/0000-0002-5554-0675; RAMOS-BARBON, DAVID/0000-0002-9615-6557; Schmid, Johannes/0000-0002-4558-2943; Vijverberg, Susanne/0000-0002-4579-4081</t>
  </si>
  <si>
    <t>10.1183/13993003.01163-2019</t>
  </si>
  <si>
    <t>Green Accepted, Green Published, Green Submitted</t>
  </si>
  <si>
    <t>WOS:000512947900012</t>
  </si>
  <si>
    <t>Weatherald, J; Reis, A; Sitbon, O; Humbert, M</t>
  </si>
  <si>
    <t>Weatherald, Jason; Reis, Abilio; Sitbon, Olivier; Humbert, Marc</t>
  </si>
  <si>
    <t>Pulmonary arterial hypertension registries: past, present and into the future</t>
  </si>
  <si>
    <t>[Weatherald, Jason] Univ Calgary, Div Resp Med, Dept Med, Calgary, AB, Canada; [Weatherald, Jason] Libin Cardiovasc Inst Alberta, Calgary, AB, Canada; [Reis, Abilio] Hosp Santo Antonio, Ctr Hosp Univ Porto, Pulm Vasc Dis Unit, Dept Med, Porto, Portugal; [Sitbon, Olivier; Humbert, Marc] Univ Paris Saclay, Univ Paris Sud, Fac Med, Le Kremlin Bicetre, France; [Sitbon, Olivier; Humbert, Marc] Hop Bicetre, AP HP, Serv Pneumol, Le Kremlin Bicetre, France; [Sitbon, Olivier; Humbert, Marc] Hop Marie Lannelongue, INSERM, UMR S 999, Le Plessis Robinson, France</t>
  </si>
  <si>
    <t>University of Calgary; Libin Cardiovascular Institute Of Alberta; Universidade do Porto; Universite Paris Saclay; Universite Paris Saclay; Assistance Publique Hopitaux Paris (APHP); Hopital Universitaire Bicetre - APHP; Hopital Universitaire Antoine-Beclere - APHP; Hopital Marie Lannelongue; Universite Paris Saclay; Institut National de la Sante et de la Recherche Medicale (Inserm)</t>
  </si>
  <si>
    <t>Weatherald, J (corresponding author), Univ Calgary, Cumming Sch Med, Dept Med, Div Respirol,Peter Lougheed Ctr, 3500 16 Ave NE, Calgary, AB T1Y 6J4, Canada.</t>
  </si>
  <si>
    <t>Sitbon, Olivier/I-3623-2019; Reis, Ana Claudia/N-3124-2016; Humbert, Marc/AAC-8459-2019</t>
  </si>
  <si>
    <t>Weatherald, Jason/0000-0002-0615-4575; Reis, AlessanRSS/0000-0001-8486-7469; SITBON, Olivier/0000-0002-1942-1951; Reis, Abilio/0000-0002-9932-3736; Humbert, Marc/0000-0003-0703-2892</t>
  </si>
  <si>
    <t>10.1183/16000617.0128-2019</t>
  </si>
  <si>
    <t>KG7YD</t>
  </si>
  <si>
    <t>WOS:000510163500014</t>
  </si>
  <si>
    <t>POINT: Should Initial Combination Therapy Be the Standard of Care in Pulmonary Arterial Hypertension? Yes</t>
  </si>
  <si>
    <t>RISK SCORE CALCULATOR; SYSTEMIC-SCLEROSIS; SURVIVAL; DIAGNOSIS; BOSENTAN</t>
  </si>
  <si>
    <t>[Humbert, Marc] Univ Paris Saclay, Univ Paris Sud, Fac Med, St Aubin, France; [Humbert, Marc] Hop Bicetre, AP HP, Ctr Reference Hypertens Pulm, Serv Pneumol, Le Kremlin Bicetre, France; [Humbert, Marc] Hop Marie Lannelongue, INSERM, UMR S 999, Le Plessis Robinson, France; [Lau, Edmund M. T.] Univ Sydney, Sydney Med Sch, Sydney, NSW, Australia; [Lau, Edmund M. T.] Royal Prince Alfred Hosp, Dept Resp Med, Camperdown, NSW, Australia</t>
  </si>
  <si>
    <t>Universite Paris Saclay; Assistance Publique Hopitaux Paris (APHP); Hopital Universitaire Bicetre - APHP; Hopital Universitaire Antoine-Beclere - APHP; Universite Paris Saclay; Universite Paris Saclay; Hopital Marie Lannelongue; Institut National de la Sante et de la Recherche Medicale (Inserm); University of Sydney; University of Sydney; NSW Health; Royal Prince Alfred Hospital</t>
  </si>
  <si>
    <t>Humbert, M (corresponding author), Hop Bicetre, Serv Pneumol, F-94270 Le Kremlin Bicetre, France.</t>
  </si>
  <si>
    <t>10.1016/j.chest.2019.07.005</t>
  </si>
  <si>
    <t>JT3WO</t>
  </si>
  <si>
    <t>WOS:000500923700009</t>
  </si>
  <si>
    <t>Rebuttal From Drs Humbert and Lau</t>
  </si>
  <si>
    <t>[Humbert, Marc] Univ Paris Saclay, Univ Paris Sud, Fac Med, Le Kremlin Bicetre, France; [Humbert, Marc] Hop Bicetre, AP HP, Serv Pneumol, Ctr Reference Hypertens Pulm, Le Kremlin Bicetre, France; [Humbert, Marc] Hop Marie Lannelongue, INSERM, UMR S 999, Le Plessis Robinson, France; [Lau, Edmund M. T.] Univ Sydney, Sydney Med Sch, Sydney, NSW, Australia; [Lau, Edmund M. T.] Royal Prince Alfred Hosp, Dept Resp Med, Camperdown, NSW, Australia</t>
  </si>
  <si>
    <t>Universite Paris Saclay; Assistance Publique Hopitaux Paris (APHP); Hopital Universitaire Antoine-Beclere - APHP; Hopital Universitaire Bicetre - APHP; Universite Paris Saclay; Institut National de la Sante et de la Recherche Medicale (Inserm); Universite Paris Saclay; Hopital Marie Lannelongue; University of Sydney; University of Sydney; NSW Health; Royal Prince Alfred Hospital</t>
  </si>
  <si>
    <t>10.1016/j.chest.2019.07.003</t>
  </si>
  <si>
    <t>WOS:000500923700011</t>
  </si>
  <si>
    <t>Jackson, D. J.; Humbert, M.; Hirsch, I.; Newbold, P.; Gil, E. Garcia</t>
  </si>
  <si>
    <t>ASSOCIATION OF BASELINE BLOOD EOSINOPHIL COUNTS AND SERUM IGE CONCENTRATIONS ON EXACERBATIONS AND BENRALIZUMAB EFFICACY FOR PATIENTS WITH SEVERE, UNCONTROLLED ASTHMA</t>
  </si>
  <si>
    <t>THORAX</t>
  </si>
  <si>
    <t>Winter Meeting of the British-Thoracic-Society</t>
  </si>
  <si>
    <t>DEC 04-06, 2019</t>
  </si>
  <si>
    <t>London, ENGLAND</t>
  </si>
  <si>
    <t>British Thorac Soc</t>
  </si>
  <si>
    <t>[Jackson, D. J.] Guys &amp; St Thomas NHS Trust, Kings Coll London, Asthma UK Ctr, London, England; [Humbert, M.] Hop Bicetre, Serv Pneumol, Le Kremlin Bicetre, France; [Hirsch, I.; Newbold, P.] AstraZeneca, Gaithersburg, MD USA; [Gil, E. Garcia] AstraZeneca, Barcelona, Spain</t>
  </si>
  <si>
    <t>Guy's &amp; St Thomas' NHS Foundation Trust; University of London; King's College London; Assistance Publique Hopitaux Paris (APHP); Hopital Universitaire Antoine-Beclere - APHP; Hopital Universitaire Bicetre - APHP; Universite Paris Saclay; AstraZeneca</t>
  </si>
  <si>
    <t>0040-6376</t>
  </si>
  <si>
    <t>1468-3296</t>
  </si>
  <si>
    <t>Thorax</t>
  </si>
  <si>
    <t>S50</t>
  </si>
  <si>
    <t>A34</t>
  </si>
  <si>
    <t>A35</t>
  </si>
  <si>
    <t>10.1136/thorax-2019-BTSabstracts2019.56</t>
  </si>
  <si>
    <t>NS7YM</t>
  </si>
  <si>
    <t>WOS:000572473500056</t>
  </si>
  <si>
    <t>Kiely, DG; Lawrie, A; Humbert, M</t>
  </si>
  <si>
    <t>Kiely, David G.; Lawrie, Allan; Humbert, Marc</t>
  </si>
  <si>
    <t>Screening strategies for pulmonary arterial hypertension</t>
  </si>
  <si>
    <t>EUROPEAN HEART JOURNAL SUPPLEMENTS</t>
  </si>
  <si>
    <t>Pulmonary arterial hypertension; Screening; Diagnosis</t>
  </si>
  <si>
    <t>RISK SCORE CALCULATOR; URIC-ACID LEVELS; SYSTEMIC-SCLEROSIS; PREDICTING SURVIVAL; EXERCISE; DIAGNOSIS; ECHOCARDIOGRAPHY; PREVALENCE; MANAGEMENT; REGISTRY</t>
  </si>
  <si>
    <t>Pulmonary arterial hypertension (PAH) is rare and, if untreated, has a median survival of 2-3 years. Pulmonary arterial hypertension may be idiopathic (IPAH) but is frequently associated with other conditions. Despite increased awareness, therapeutic advances, and improved outcomes, the time from symptom onset to diagnosis remains unchanged. The commonest symptoms of PAH (breathlessness and fatigue) are non-specific and clinical signs are usually subtle, frequently preventing early diagnosis where therapies may be more effective. The failure to improve the time to diagnosis largely reflects an inability to identify patients at increased risk of PAH using current approaches. To date, strategies to improve the time to diagnosis have focused on screening patients with a high prevalence [systemic sclerosis (10%), patients with portal hypertension assessed for liver transplantation (2-6%), carriers of mutations of the gene encoding bone morphogenetic protein receptor type II, and first-degree relatives of patients with heritable PAH]. In systemic sclerosis, screening algorithms have demonstrated that patients can be identified earlier, however, current approaches are resource intensive. Until, recently, it has not been considered possible to screen populations for rare conditions such as IPAH (prevalence 5-15/million/year). However, there is interest in the use of artificial intelligence approaches in medicine and the application of diagnostic algorithms to large healthcare data sets, to identify patients at risk of rare conditions. In this article, we review current approaches and challenges in screening for PAH and explore novel population-based approaches to improve detection.</t>
  </si>
  <si>
    <t>[Kiely, David G.] Royal Hallamshire Hosp, Sheffield Pulm Vasc Dis Unit, Sheffield S10 2JF, S Yorkshire, England; [Kiely, David G.; Lawrie, Allan] Univ Sheffield, Dept Infect Immun &amp; Cardiovasc Dis, Sheffield S10 2RX, S Yorkshire, England; [Kiely, David G.; Lawrie, Allan] Insigneo Inst In Silico Med, Sheffield S1 3JD, S Yorkshire, England; [Humbert, Marc] Univ Paris Sud, Univ Paris Saclay, Fac Med, Le Kremlin Bicetre, France; [Humbert, Marc] Hop Bicetre, AP HP, Ctr Reference Hypertens Pulm, Serv Pneumol, Le Kremlin Bicetre, France; [Humbert, Marc] Hop Marie Lannelongue, INSERM UMR S 999, Le Plessis Robinson, France</t>
  </si>
  <si>
    <t>University of Sheffield; University of Sheffield; Universite Paris Saclay; Universite Paris Saclay; Assistance Publique Hopitaux Paris (APHP); Hopital Universitaire Antoine-Beclere - APHP; Hopital Universitaire Bicetre - APHP; Institut National de la Sante et de la Recherche Medicale (Inserm); Hopital Marie Lannelongue; Universite Paris Saclay</t>
  </si>
  <si>
    <t>Kiely, DG (corresponding author), Royal Hallamshire Hosp, Sheffield Pulm Vasc Dis Unit, Sheffield S10 2JF, S Yorkshire, England.;Kiely, DG (corresponding author), Univ Sheffield, Dept Infect Immun &amp; Cardiovasc Dis, Sheffield S10 2RX, S Yorkshire, England.;Kiely, DG (corresponding author), Insigneo Inst In Silico Med, Sheffield S1 3JD, S Yorkshire, England.</t>
  </si>
  <si>
    <t>David.Kiely@sth.nhs.uk</t>
  </si>
  <si>
    <t>Humbert, Marc/AAC-8459-2019; Lawrie, Allan/A-2708-2012</t>
  </si>
  <si>
    <t>Actelion Pharmaceuticals Ltd (Allschwil, Switzerland)</t>
  </si>
  <si>
    <t>Medical writing and editorial support were provided by Victoria Atess and Richard McDonald of Watermeadow Medical, an Ashfield Company, funded by Actelion Pharmaceuticals Ltd (Allschwil, Switzerland).</t>
  </si>
  <si>
    <t>1520-765X</t>
  </si>
  <si>
    <t>1554-2815</t>
  </si>
  <si>
    <t>EUR HEART J SUPPL</t>
  </si>
  <si>
    <t>Eur. Heart J. Suppl.</t>
  </si>
  <si>
    <t>K</t>
  </si>
  <si>
    <t>10.1093/eurheartj/suz204</t>
  </si>
  <si>
    <t>KN5HE</t>
  </si>
  <si>
    <t>Green Accepted, Green Published, hybrid</t>
  </si>
  <si>
    <t>WOS:000514867100003</t>
  </si>
  <si>
    <t>Clinical phenotypes and outcomes of precapillary pulmonary hypertension of sickle cell disease</t>
  </si>
  <si>
    <t>RISK; ENDARTERECTOMY; COMPLICATIONS; DIAGNOSIS; DEATH</t>
  </si>
  <si>
    <t>Rationale: Precapillary pulmonary hypertension (PH) is a devastating complication of sickle cell disease (SCD). Little is known about the influence of the SCD genotype on PH characteristics. Objectives: To describe clinical phenotypes and outcomes of precapillary PH due to SCD according to disease genotype. Methods: A nationwide multicentre retrospective study including all patients with SCD-related precapillary PH from the French PH Registry was conducted. Clinical characteristics and outcomes according to SCD genotype were analysed. Results: 58 consecutive SCD patients with precapillary PH were identified, of whom 41 had homozygous for haemoglobin S (SS) SCD, three had S-beta(0) thalassaemia (S-(beta)0 thal) and 14 had haemoglobin SC disease (SC). Compared to SC patients, SS/S-beta(0) thal patients were characterised by lower 6-min walk distance (p=0.01) and lower pulmonary vascular resistance (p=0.04). Mismatched segmental perfusion defects on lung scintigraphy were detected in 85% of SC patients and 9% of SS/S-beta(0) thal patients, respectively, and 50% of SS/S-beta(0) thal patients had heterogeneous lung perfusion without segmental defects. After PH diagnosis, 31 patients (53%) received medical therapies approved for pulmonary arterial hypertension, and chronic red blood cell exchange was initiated in 23 patients (40%). Four patients were managed for chronic thromboembolic PH by pulmonary endarterectomy (n=1) or balloon pulmonary angioplasty (n=3). Overall survival was 91%, 80% and 60% at 1, 3 and 5 years, respectively, without influence of genotype on prognosis. Conclusions: Patients with precapillary PH related to SCD have a poor prognosis. Thrombotic lesions appear as a major component of PH related to SCD, more frequently in SC patients.</t>
  </si>
  <si>
    <t>[Savale, Laurent; Jais, Xavier; Montani, David; Sitbon, Olivier; Simonneau, Gerald; Parent, Florence; Humbert, Marc] Univ Paris Saclay, Univ Paris Sud, Fac Med, Le Kremlin Bicetre, France; [Savale, Laurent; Jais, Xavier; Montani, David; Sitbon, Olivier; Simonneau, Gerald; Parent, Florence; Humbert, Marc] Hop Bicetre, AP HP, Ctr Reference Hypertens Pulm, Serv Pneumol, Le Kremlin Bicetre, France; [Savale, Laurent; Jais, Xavier; Montani, David; Sitbon, Olivier; Simonneau, Gerald; Parent, Florence; Humbert, Marc] Hop Marie Lannelongue, INSERM UMR S 999, Le Plessis Robinson, France; [Habibi, Anoosha; Galacteros, Frederic; Bartolucci, Pablo] Hop Univ Henri Mondor, AP HP, Ctr Reference Pathol Globule Rouge, Unite Malad Genet Globule Rouge, Creteil, France; [Habibi, Anoosha; Bartolucci, Pablo] UPEC, DHU A TVB, INSERM, IMRB,U955, Creteil, France; [Lionnet, Francois] Hop Tenon, AP HP, Serv Med Interne, Paris, France; [Maitre, Bernard] Hop Univ Henri Mondor, AP HP, Unite Pneumol, Creteil, France; [Cottin, Vincent] Univ Claude Bernard Lyon 1, Hop Louis Pradel, Ctr Reference Natl Malad Pulm Rares, Serv Pneumol,UMR154, Lyon, France; [Chaouat, Ari] CHRU Nancy, Dept Pneumol, Rue Morvan, Vandoeuvre Les Nancy, France; [Chaouat, Ari] Univ Lorraine, INSERM U1116, Nancy, France; [Artaud-Macari, Elise] Rouen Univ Hosp, Pneumol Dept, Rouen, France; [Canuet, Matthieu] Hop Univ Strasbourg, Nouvel Hop Civil, Serv Pneumol, Strasbourg, France; [Prevot, Gregoire] Hop Larrey, Serv Pneumol, Toulouse, France; [Chantalat-Auger, Christelle] Hop Bicetre, AP HP, Serv Med Interne, Le Kremlin Bicetre, France</t>
  </si>
  <si>
    <t>Universite Paris Saclay; Assistance Publique Hopitaux Paris (APHP); Hopital Universitaire Antoine-Beclere - APHP; Hopital Universitaire Bicetre - APHP; Universite Paris Saclay; Hopital Marie Lannelongue; Universite Paris Saclay; Institut National de la Sante et de la Recherche Medicale (Inserm); Assistance Publique Hopitaux Paris (APHP); Universite Paris-Est-Creteil-Val-de-Marne (UPEC); Hopital Universitaire Henri-Mondor - APHP; Institut National de la Sante et de la Recherche Medicale (Inserm); Universite Paris-Est-Creteil-Val-de-Marne (UPEC); Assistance Publique Hopitaux Paris (APHP); Sorbonne Universite; Hopital Universitaire Tenon - APHP; Universite Paris-Est-Creteil-Val-de-Marne (UPEC); Assistance Publique Hopitaux Paris (APHP); Hopital Universitaire Henri-Mondor - APHP; CHU Lyon; Universite Claude Bernard Lyon 1; CHU de Nancy; Universite de Lorraine; Institut National de la Sante et de la Recherche Medicale (Inserm); Universite de Rouen Normandie; CHU de Rouen; CHU Strasbourg; Universites de Strasbourg Etablissements Associes; Universite de Strasbourg; CHU de Toulouse; Universite Paris Saclay; Assistance Publique Hopitaux Paris (APHP); Hopital Universitaire Antoine-Beclere - APHP; Hopital Universitaire Bicetre - APHP</t>
  </si>
  <si>
    <t>Savale, L (corresponding author), Univ Paris Sud, Hop Bicetre, Ctr Reference Hypertens Pulm, Serv Pneumol &amp; Soins Intensifs Resp, 78 Rue Gen Leclerc, F-94270 Le Kremlin Bicetre, France.</t>
  </si>
  <si>
    <t>Simonneau, Gerald/ABE-6614-2020; David, Montani/I-6885-2019; Savale, Laurent/AAJ-9781-2020; Chaouat, Ari/AAP-6784-2021; Humbert, Marc/AAC-8459-2019</t>
  </si>
  <si>
    <t>Bartolucci, Pablo/0000-0002-7007-1344; Humbert, Marc/0000-0003-0703-2892; Chaouat, Ari/0000-0001-6056-202X; JAIS, XAVIER/0000-0002-4104-7994; Cottin, Vincent/0000-0002-5591-0955; Montani, David/0000-0002-9358-6922; Savale, Laurent/0000-0002-6862-8975</t>
  </si>
  <si>
    <t>10.1183/13993003.00585-2019</t>
  </si>
  <si>
    <t>JZ6PK</t>
  </si>
  <si>
    <t>WOS:000505226200008</t>
  </si>
  <si>
    <t>Le Ribeuz, H; Boët, A; Lambert, M; Chung, WK; Montani, D; Humbert, M; Antigny, F</t>
  </si>
  <si>
    <t>Le Ribeuz, Helene; Boet, Angele; Lambert, Melanie; Chung, Wendy K.; Montani, David; Humbert, Marc; Antigny, Fabrice</t>
  </si>
  <si>
    <t>Sur1/kir6.2 Potassium Channel a New Actor Involved in Pulmonary Arterial Hypertension</t>
  </si>
  <si>
    <t>Scientific Sessions of the American-Heart-Association</t>
  </si>
  <si>
    <t>NOV 16-18, 2019</t>
  </si>
  <si>
    <t>A10804</t>
  </si>
  <si>
    <t>LJ2KE</t>
  </si>
  <si>
    <t>WOS:000529998000363</t>
  </si>
  <si>
    <t>Maron, BA; Hess, E; Tedford, RJ; Kovacs, G; Olschewski, H; Leopold, JA; Galie, N; Simonneau, G; Humbert, M; Baron, A; Brittain, E; Choudhary, G</t>
  </si>
  <si>
    <t>Maron, Bradley A.; Hess, Edward; Tedford, Ryan J.; Kovacs, Gabor; Olschewski, Horst; Leopold, Jane A.; Galie, Nazzareno; Simonneau, Gerald; Humbert, Marc; Baron, Anna; Brittain, Evan; Choudhary, Gaurav</t>
  </si>
  <si>
    <t>The Association Between Vascular Resistance and Mortality in Patients With Pulmonary Hypertension</t>
  </si>
  <si>
    <t>Choudhary, Gaurav/M-1643-2019; Humbert, Marc/AAC-8459-2019; Brittain, Evan/AEU-1089-2022; Simonneau, Gerald/ABE-6614-2020</t>
  </si>
  <si>
    <t>A12017</t>
  </si>
  <si>
    <t>WOS:000529998002079</t>
  </si>
  <si>
    <t>Bertoletti, L; Bouvaist, H; Tromeur, C; Bezzeghoud, S; Dauphin, C; Enache, I; Bourdin, A; Seronde, MF; Montani, D; Turquier, S; Pison, C; Degano, B; Ballereau, SC; Accassat, S; De Magalhaes, E; Hupin, D; Labeix, P; Croisille, P; Pison, C; Noirclerc, M; Dauphin, C; Tresorier, R; Costes, F; Tromeur, C; Couturaud, F; Gut-Gobert, C; Turquier, S; Cottin, V; Traclet, J; Lamoureux, S; Strasbourg, CD; Enache, I; Riou, M; Canuet, M; Schuller, A; Lonsdorfer, E; Seronde, MF; Roux, PM; Bourdin, A; Boissin, C; Gamez-Dubuis, AS; Montani, D; Garcia, G; Laveneziana, P; Guerder, A; Humbert, M</t>
  </si>
  <si>
    <t>Bertoletti, Laurent; Bouvaist, Helene; Tromeur, Cecile; Bezzeghoud, Souad; Dauphin, Claire; Enache, Irina; Bourdin, Arnaud; Seronde, Marie-France; Montani, David; Turquier, Segolene; Pison, Christophe; Degano, Bruno; Ballereau, Stephanie Chomette; Accassat, Sandrine; De Magalhaes, Elodie; Hupin, David; Labeix, Pierre; Croisille, Pierre; Pison, Christophe; Noirclerc, Marianne; Dauphin, Claire; Tresorier, Romain; Costes, Frederic; Tromeur, Cecile; Couturaud, Francis; Gut-Gobert, Christophe; Turquier, Segolene; Cottin, Vincent; Traclet, Julie; Lamoureux, Sophie; Strasbourg, Clement Deudon.; Enache, Irina; Riou, Marianne; Canuet, Mathieu; Schuller, Armelle; Lonsdorfer, Evelyne; Seronde, Marie-France; Roux, Pauline Marie; Bourdin, Arnaud; Boissin, Clement; Gamez-Dubuis, Anne-Sophie; Montani, David; Garcia, Gilles; Laveneziana, Pierantonio; Guerder, Antoine; Humbert, Marc</t>
  </si>
  <si>
    <t>Fonce-Htap Investigators</t>
  </si>
  <si>
    <t>Rehab for all! Is it too early in pulmonary arterial hypertension?</t>
  </si>
  <si>
    <t>[Bertoletti, Laurent; Bezzeghoud, Souad] CHU St Etienne, Serv Med Vascu &amp; Therapeut, St Etienne, France; [Bertoletti, Laurent] Univ Jean Monnet, INSERM, UMR1059 Equipe Dysfonct Vasc &amp; Hemostase, St Etienne, France; [Bertoletti, Laurent; Bezzeghoud, Souad] CHU St Etienne, INSERM, CIC 1408, St Etienne, France; [Bouvaist, Helene] CHU Grenoble, Serv Cardiol, Grenoble, France; [Tromeur, Cecile] CHRU Brest, Hop Cavale Blanche, Dept Med Vasc Interne &amp; Pneumol, EA 3878,GETBO, Brest, France; [Dauphin, Claire] CHU Clermont Ferrand, Serv Cardiol, Clermont Ferrand, France; [Enache, Irina] CHU Strasbourg, Serv Physiol, Strasbourg, France; [Bourdin, Arnaud] CHU Montpellier, Serv Pneumol, Montpellier, France; [Seronde, Marie-France] CHU Besancon, Serv Cardiol, Besancon, France; [Montani, David] Hop Kremlin Bicetre, AP HP, Serv Pneumol, Paris, France; [Turquier, Segolene] Hosp Civils Lyon, Serv Physiol, Lyon, France; [Pison, Christophe] CHU Grenoble, Serv Pneumol, Grenoble, France</t>
  </si>
  <si>
    <t>CHU de St Etienne; Institut National de la Sante et de la Recherche Medicale (Inserm); CHU de St Etienne; Institut National de la Sante et de la Recherche Medicale (Inserm); CHU Grenoble Alpes; Communaute Universite Grenoble Alpes; Universite Grenoble Alpes (UGA); Institut National de la Sante et de la Recherche Medicale (Inserm); CHU Brest; Universite de Bretagne Occidentale; CHU Clermont Ferrand; CHU Strasbourg; Universites de Strasbourg Etablissements Associes; Universite de Strasbourg; Universite de Montpellier; CHU de Montpellier; Universite de Franche-Comte; CHU Besancon; Assistance Publique Hopitaux Paris (APHP); Hopital Universitaire Bicetre - APHP; CHU Lyon; CHU Grenoble Alpes; Communaute Universite Grenoble Alpes; Universite Grenoble Alpes (UGA)</t>
  </si>
  <si>
    <t>Bertoletti, L (corresponding author), CHU St Etienne, Hop Nord, Dept Vasc Med &amp; Therapeut, F-42000 St Etienne, France.</t>
  </si>
  <si>
    <t>laurent.bertoletti@gmail.com</t>
  </si>
  <si>
    <t>Humbert, Marc/AAC-8459-2019; Croisille, Pierre/H-4928-2014; BEZZEGHOUD, Souad/AAE-2354-2019; Montani, Daniela/P-6688-2018; labeix, pierre/IZP-5700-2023; Bertoletti, Laurent/X-1319-2019; David, Montani/I-6885-2019; Laveneziana, Pierantonio/GWC-2028-2022; Bourdin, Philippe/D-8149-2015</t>
  </si>
  <si>
    <t>BERTOLETTI, Laurent/0000-0001-8214-3010; Gut Gobert, christophe/0000-0002-2253-7568; Couturaud, Francis/0000-0002-1855-8032; BEZZEGHOUD, Souad/0000-0002-7900-8245; tromeur, cecile/0000-0001-9161-7521; Bourdin, Arnaud/0000-0002-4645-5209; Montani, David/0000-0002-9358-6922</t>
  </si>
  <si>
    <t>Ministere des Affaires Sociales et de la Sante, grant PHRCi 2013; AIRE (AIde a la REcherche medicale de proximite)</t>
  </si>
  <si>
    <t>Support was received from the Ministere des Affaires Sociales et de la Sante, grant PHRCi 2013, and AIRE (AIde a la REcherche medicale de proximite; https://aire-loire.fr/).Funding information for this article has been deposited with the Crossref Funder Registry.</t>
  </si>
  <si>
    <t>10.1183/13993003.01558-2019</t>
  </si>
  <si>
    <t>JM3QE</t>
  </si>
  <si>
    <t>WOS:000496132300010</t>
  </si>
  <si>
    <t>Seferian, A; Jaïs, X; Savale, L; Jevnikar, M; Ghigna, MR; Weatherald, J; Assoun, S; Fadel, E; Simonneau, G; Sitbon, O; Humbert, M; Montani, D</t>
  </si>
  <si>
    <t>Seferian, A.; Jais, X.; Savale, L.; Jevnikar, M.; Ghigna, M. -R.; Weatherald, J.; Assoun, S.; Fadel, E.; Simonneau, G.; Sitbon, O.; Humbert, M.; Montani, D.</t>
  </si>
  <si>
    <t>Klippel-Trenaunay syndrome as a rare cause of chronic thromboemboembolic pulmonary hypertension</t>
  </si>
  <si>
    <t>MALFORMATIONS; MUTATIONS; PATIENT</t>
  </si>
  <si>
    <t>Klippel-Trenaunay syndrome (KTS) is a congenital disorder characterized by cutaneous capillary malformations, soft tissue and bone hypertrophy, and multiple capillary, venous or lymphatic malformations. KTS is associated with recurrent thromboembolic events. We reported herein five cases of chronic thromboembolic pulmonary hypertension (CTEPH) associated with KTS (age minimum-maximum 2650 years old, 3 males/2 females). Hemodynamics showed severe pulmonary hypertension (PH) with pulmonary vascular resistance ranging from 5.6 to 18.3 Wood units (WU), associated with marked clinical impairment (NYHA functional class III or IV in 4 patients). Computed tomography (CT) of the chest and pulmonary angiography confirmed proximal CTEPH accessible to surgical intervention in one patient and distal forms of CTEPH in 4 patients. Evolution after pulmonary endarterectomy showed hemodynamic normalization, while the patients with distal CTEPH had severe outcomes with 2 early deaths after PH diagnosis (44 and 35 months respectively). One patient with distal CTEPH was still alive 16 years after diagnosis on specific PH therapy and one was transplanted after 15 years because of right heart failure (death after 12 months). Histological analysis of the lung explants showed typical chronic thromboembolic material specific for CTEPH. In conclusion, KTS may be complicated by severe CTEPH requiring careful anticoagulation and multi disciplinary follow-up in expert centers to screen for disease potentially accessible to endarterectomy. In the modern management era of CTEPH, balloon pulmonary angioplasty will certainly be an interesting option in patients with inoperable disease.</t>
  </si>
  <si>
    <t>[Seferian, A.; Jais, X.; Savale, L.; Jevnikar, M.; Assoun, S.; Simonneau, G.; Sitbon, O.; Humbert, M.; Montani, D.] Univ Paris Saclay, Univ Paris Sud, Fac Med, F-94270 Le Kremlin Bicetre, France; [Seferian, A.; Jais, X.; Savale, L.; Jevnikar, M.; Assoun, S.; Fadel, E.; Simonneau, G.; Sitbon, O.; Humbert, M.; Montani, D.] Hop Marie Lannelongue, INSERM, UMR S 999, F-92350 Le Plessis Robinson, France; [Seferian, A.; Jais, X.; Savale, L.; Jevnikar, M.; Assoun, S.; Simonneau, G.; Sitbon, O.; Humbert, M.; Montani, D.] Hop Bicetre, AP HP, Serv Pneumol, Ctr Reference Hypertens Pulm, 78 Rue Gen Leclerc, F-94270 Le Kremlin Bicetre, France; [Ghigna, M. -R.] Hop Marie Lannelongue, Serv Anatomopathol, F-92350 Le Plessis Robinson, France; [Weatherald, J.] Univ Calgary, Dept Med, Calgary, AB, Canada; [Weatherald, J.] Univ Calgary, Libin Cardiovasc Inst Alberta, Calgary, AB, Canada; [Ghigna, M. -R.; Fadel, E.] Hop Marie Lannelongue, Serv Chirurg Thorac, F-92350 Le Plessis Robinson, France</t>
  </si>
  <si>
    <t>Universite Paris Saclay; Universite Paris Saclay; Hopital Marie Lannelongue; Institut National de la Sante et de la Recherche Medicale (Inserm); Universite Paris Saclay; Assistance Publique Hopitaux Paris (APHP); Hopital Universitaire Antoine-Beclere - APHP; Hopital Universitaire Bicetre - APHP; Hopital Marie Lannelongue; University of Calgary; Libin Cardiovascular Institute Of Alberta; University of Calgary; Hopital Marie Lannelongue</t>
  </si>
  <si>
    <t>Montani, D (corresponding author), Hop Bicetre, AP HP, Serv Pneumol, Ctr Reference Hypertens Pulm, 78 Rue Gen Leclerc, F-94270 Le Kremlin Bicetre, France.</t>
  </si>
  <si>
    <t>Humbert, Marc/AAC-8459-2019; David, Montani/I-6885-2019; Savale, Laurent/AAJ-9781-2020</t>
  </si>
  <si>
    <t>Weatherald, Jason/0000-0002-0615-4575; Montani, David/0000-0002-9358-6922; JAIS, XAVIER/0000-0002-4104-7994</t>
  </si>
  <si>
    <t>10.1016/j.resmer.2019.06.002</t>
  </si>
  <si>
    <t>NY8SD</t>
  </si>
  <si>
    <t>WOS:000576652500011</t>
  </si>
  <si>
    <t>Tian, W; Jiang, XG; Sung, YK; Shuffle, E; Wu, TH; Kao, PN; Tu, AB; Dorfmüller, P; Cao, AQ; Wang, LL; Peng, GY; Kim, Y; Zhang, P; Chappell, J; Pasupneti, S; Dahms, P; Maguire, P; Chaib, H; Zamanian, R; Peters-Golden, M; Snyder, MP; Voelkel, NF; Humbert, M; Rabinovitch, M; Nicolls, MR</t>
  </si>
  <si>
    <t>Tian, Wen; Jiang, Xinguo; Sung, Yon K.; Shuffle, Eric; Wu, Ting-Hsuan; Kao, Peter N.; Tu, Allen B.; Dorfmueller, Peter; Cao, Aiqin; Wang, Lingli; Peng, Gongyong; Kim, Yesl; Zhang, Patrick; Chappell, James; Pasupneti, Shravani; Dahms, Petra; Maguire, Peter; Chaib, Hassan; Zamanian, Roham; Peters-Golden, Marc; Snyder, Michael P.; Voelkel, Norbert F.; Humbert, Marc; Rabinovitch, Marlene; Nicolls, Mark R.</t>
  </si>
  <si>
    <t>Phenotypically Silent Bone Morphogenetic Protein Receptor 2 Mutations Predispose Rats to Inflammation-Induced Pulmonary Arterial Hypertension by Enhancing the Risk for Neointimal Transformation</t>
  </si>
  <si>
    <t>bmpr2 receptor; endothelial cells; inflammation; lung</t>
  </si>
  <si>
    <t>TO-MESENCHYMAL TRANSITION; 5-LIPOXYGENASE; EXPRESSION; CELLS; SUSCEPTIBILITY; PROLIFERATION; INHIBITION; PATHWAY; MODELS; LUNGS</t>
  </si>
  <si>
    <t>Background: Bmpr2 (bone morphogenetic protein receptor 2) mutations are critical risk factors for hereditary pulmonary arterial hypertension (PAH) with approximately 20% of carriers developing disease. There is an unmet medical need to understand how environmental factors, such as inflammation, render Bmpr2 mutants susceptible to PAH. Overexpressing 5-LO (5-lipoxygenase) provokes lung inflammation and transient PAH in Bmpr2(+/-) mice. Accordingly, 5-LO and its metabolite, leukotriene B-4, are candidates for the second hit. The purpose of this study was to determine how 5-LO-mediated pulmonary inflammation synergized with phenotypically silent Bmpr2 defects to elicit significant pulmonary vascular disease in rats. Methods: Monoallelic Bmpr2 mutant rats were generated and found phenotypically normal for up to 1 year of observation. To evaluate whether a second hit would elicit disease, animals were exposed to 5-LO-expressing adenovirus, monocrotaline, SU5416, SU5416 with chronic hypoxia, or chronic hypoxia alone. Bmpr2-mutant hereditary PAH patient samples were assessed for neointimal 5-LO expression. Pulmonary artery endothelial cells with impaired BMPR2 signaling were exposed to increased 5-LO-mediated inflammation and were assessed for phenotypic and transcriptomic changes. Results: Lung inflammation, induced by intratracheal delivery of 5-LO-expressing adenovirus, elicited severe PAH with intimal remodeling in Bmpr2(+/-) rats but not in their wild-type littermates. Neointimal lesions in the diseased Bmpr2(+/-) rats gained endogenous 5-LO expression associated with elevated leukotriene B-4 biosynthesis. Bmpr2-mutant hereditary PAH patients similarly expressed 5-LO in the neointimal cells. In vitro, BMPR2 deficiency, compounded by 5-LO-mediated inflammation, generated apoptosis-resistant and proliferative pulmonary artery endothelial cells with mesenchymal characteristics. These transformed cells expressed nuclear envelope-localized 5-LO consistent with induced leukotriene B-4 production, as well as a transcriptomic signature similar to clinical disease, including upregulated nuclear factor Kappa B subunit (NF-kappa B), interleukin-6, and transforming growth factor beta (TGF-beta) signaling pathways. The reversal of PAH and vasculopathy in Bmpr2 mutants by TGF-beta antagonism suggests that TGF-beta is critical for neointimal transformation. Conclusions: In a new 2-hit model of disease, lung inflammation induced severe PAH pathology in Bmpr2(+/-) rats. Endothelial transformation required the activation of canonical and noncanonical TGF-beta signaling pathways and was characterized by 5-LO nuclear envelope translocation with enhanced leukotriene B-4 production. This study offers an explanation of how an environmental injury unleashes the destructive potential of an otherwise silent genetic mutation.</t>
  </si>
  <si>
    <t>[Tian, Wen; Jiang, Xinguo; Sung, Yon K.; Shuffle, Eric; Tu, Allen B.; Peng, Gongyong; Kim, Yesl; Zhang, Patrick; Pasupneti, Shravani; Dahms, Petra; Nicolls, Mark R.] Vet Affairs Palo Alto Hlth Care Syst, Palo Alto, CA USA; [Tian, Wen; Jiang, Xinguo; Sung, Yon K.; Shuffle, Eric; Wu, Ting-Hsuan; Kao, Peter N.; Tu, Allen B.; Cao, Aiqin; Wang, Lingli; Peng, Gongyong; Kim, Yesl; Zhang, Patrick; Chappell, James; Pasupneti, Shravani; Maguire, Peter; Chaib, Hassan; Zamanian, Roham; Peters-Golden, Marc; Snyder, Michael P.; Rabinovitch, Marlene; Nicolls, Mark R.] Stanford Univ, Sch Med, Palo Alto, CA 94304 USA; [Dorfmueller, Peter; Humbert, Marc] Univ Paris Sud, Fac Med, Le Kremlin Bicetre, France; [Dorfmueller, Peter; Humbert, Marc] Univ Paris Saclay, Le Kremlin Bicetre, France; [Dorfmueller, Peter; Humbert, Marc] INSERM, UMR S 999, Le Plessis Robinson, France; [Dorfmueller, Peter] Hop Marie Lannelongue, Dept Pathol, Paris, France; [Peng, Gongyong] Guangzhou Med Univ, Affiliated Hosp 1, Guangzhou Inst Resp Hlth, State Key Lab Resp Dis, Guangzhou, Guangdong, Peoples R China; [Peters-Golden, Marc] Univ Michigan Hlth Syst, Ann Arbor, MI USA; [Voelkel, Norbert F.] Free Univ Med Ctr Amsterdam, Amsterdam, Netherlands; [Humbert, Marc] Hop Bicetre, AP HP, Ctr Reference Hypertens Pulm Severe, Serv Pneumol,Dept Hosp Univ Thorax Innovat, Le Kremlin Bicetre, France</t>
  </si>
  <si>
    <t>US Department of Veterans Affairs; Veterans Health Administration (VHA); VA Palo Alto Health Care System; Stanford University; Universite Paris Saclay; Universite Paris Saclay; Universite Paris Saclay; Institut National de la Sante et de la Recherche Medicale (Inserm); Hopital Marie Lannelongue; State Key Laboratory of Respiratory Disease; Guangzhou Medical University; University of Michigan System; University of Michigan; University of Amsterdam; Academic Medical Center Amsterdam; Vrije Universiteit Amsterdam; Assistance Publique Hopitaux Paris (APHP); Hopital Universitaire Antoine-Beclere - APHP; Hopital Universitaire Bicetre - APHP; Universite Paris Saclay</t>
  </si>
  <si>
    <t>Tian, W; Nicolls, MR (corresponding author), Stanford Univ, Sch Med, VA Palo Alto Hlth Care Syst, 3801 Miranda Ave,Bldg 101,A4-151, Palo Alto, CA 94304 USA.</t>
  </si>
  <si>
    <t>amytian@stanford.edu; mnicolls@stanford.edu</t>
  </si>
  <si>
    <t>Peng, Gongyong/K-8470-2017; Wu, Timothy/AAQ-8510-2020; Nicolls, Mark/K-6085-2019; Humbert, Marc/AAC-8459-2019</t>
  </si>
  <si>
    <t>Humbert, Marc/0000-0003-0703-2892; Snyder, Michael/0000-0003-0784-7987; Maguire, Peter/0000-0002-1051-3921; Dorfmuller, Peter/0000-0003-2499-6829; Wu, Timothy/0000-0002-6869-362X; Pasupneti, Shravani/0000-0002-7112-601X; Zhang, Patrick/0000-0003-3796-6880</t>
  </si>
  <si>
    <t>National Institutes of Health [HL014985, HL122887, HL138473, S10OD020141]; K12 training grant [HL120001]; Vera Moulton Wall Center Seed Grant</t>
  </si>
  <si>
    <t>National Institutes of Health(United States Department of Health &amp; Human ServicesNational Institutes of Health (NIH) - USA); K12 training grant; Vera Moulton Wall Center Seed Grant</t>
  </si>
  <si>
    <t>This study was supported by National Institutes of Health grants HL014985, HL122887, and HL138473 to Dr Nicolls. Dr Jiang was partially supported by K12 training grant HL120001. RNAseq and data analysis was supported by National Institutes of Health grant S10OD020141. Additional funding provided by a Vera Moulton Wall Center Seed Grant.</t>
  </si>
  <si>
    <t>OCT 22</t>
  </si>
  <si>
    <t>10.1161/CIRCULATIONAHA.119.040629</t>
  </si>
  <si>
    <t>JF4GL</t>
  </si>
  <si>
    <t>WOS:000491345700012</t>
  </si>
  <si>
    <t>Chemla, D; Berthelot, E; Weatherald, J; Lau, E; Attal, P; Boulate, D; Montani, D; Jourdain, P; Humbert, M; Assayag, P; Herve, P</t>
  </si>
  <si>
    <t>Chemla, D.; Berthelot, E.; Weatherald, J.; Lau, E.; Attal, P.; Boulate, D.; Montani, D.; Jourdain, P.; Humbert, M.; Assayag, P.; Herve, P.</t>
  </si>
  <si>
    <t>Effects of pulmonary artery wedge pressure on right ventricular pulsatile loading in pulmonary hypertension: a reappraisal based on pulmonary arterial isobaric stiffness</t>
  </si>
  <si>
    <t>Congress of the European-Society-of-Cardiology (ESC) / World Congress of Cardiology</t>
  </si>
  <si>
    <t>AUG 31-SEP 04, 2019</t>
  </si>
  <si>
    <t>Paris, FRANCE</t>
  </si>
  <si>
    <t>[Chemla, D.; Berthelot, E.; Lau, E.; Montani, D.; Jourdain, P.; Humbert, M.; Assayag, P.] Paris South Fac Med, Le Kremlin Bicetre, France; [Weatherald, J.] Univ Calgary, Calgary, AB, Canada; [Attal, P.] Shaare Zedek Med Ctr, Jerusalem, Israel; [Boulate, D.; Herve, P.] Surg Ctr Marie Lannelongue, Le Plessis Robinson, France</t>
  </si>
  <si>
    <t>University of Calgary; Hebrew University of Jerusalem; Shaare Zedek Medical Center</t>
  </si>
  <si>
    <t>David, Montani/I-6885-2019; Assayag, Patrick/GPS-4910-2022; Humbert, Marc/AAC-8459-2019</t>
  </si>
  <si>
    <t>Assayag, Patrick/0000-0001-9406-4555; Montani, David/0000-0002-9358-6922</t>
  </si>
  <si>
    <t>P4690</t>
  </si>
  <si>
    <t>KC6VN</t>
  </si>
  <si>
    <t>WOS:000507313002648</t>
  </si>
  <si>
    <t>Jaïs, X; Brenot, P; Montani, D; Fadel, E; Humbert, M; Simonneau, G</t>
  </si>
  <si>
    <t>Jais, Xavier; Brenot, Philippe; Montani, David; Fadel, Elie; Humbert, Marc; Simonneau, Gerald</t>
  </si>
  <si>
    <t>Y A roadmap for management of chronic thromboembolic pulmonary hypertension</t>
  </si>
  <si>
    <t>[Jais, Xavier; Brenot, Philippe; Montani, David; Fadel, Elie; Humbert, Marc; Simonneau, Gerald] Univ Paris Saclay, Univ Paris Sud, Fac Med, Le Kremlin Bicetre, France; [Jais, Xavier; Montani, David; Humbert, Marc; Simonneau, Gerald] Hop Marie Lannelongue, Inserm, UMR S 999, Le Plessis Robinson, France; [Jais, Xavier; Brenot, Philippe; Montani, David; Fadel, Elie; Humbert, Marc; Simonneau, Gerald] Hop Bicetre, AP HP, Serv Pneumol Ctr, Ctr Reference Hypertens Pulm, Le Kremlin Bicetre, France; [Brenot, Philippe] Hop Marie Lannelongue, Serv Radiol, Le Plessis Robinson, France; [Fadel, Elie] Hop Marie Lannelongue, Serv Chirurg Thorac, Le Plessis Robinson, France</t>
  </si>
  <si>
    <t>Universite Paris Saclay; Hopital Marie Lannelongue; Universite Paris Saclay; Institut National de la Sante et de la Recherche Medicale (Inserm); Assistance Publique Hopitaux Paris (APHP); Hopital Universitaire Bicetre - APHP; Hopital Universitaire Antoine-Beclere - APHP; Universite Paris Saclay; Hopital Marie Lannelongue; Hopital Marie Lannelongue</t>
  </si>
  <si>
    <t>Jaïs, X (corresponding author), Hop Bicetre, Serv Pneumol, 78 Rue Gen Leclerc, F-94275 Le Kremlin Bicetre, France.</t>
  </si>
  <si>
    <t>David, Montani/I-6885-2019; Humbert, Marc/AAC-8459-2019; Brenot, Philippe/HJB-1040-2022; Simonneau, Gerald/ABE-6614-2020</t>
  </si>
  <si>
    <t>NZ7NC</t>
  </si>
  <si>
    <t>WOS:000577289300031</t>
  </si>
  <si>
    <t>A roadmap for management of chronic thromboembolic pulmonary hypertension</t>
  </si>
  <si>
    <t>[Jais, Xavier; Brenot, Philippe; Montani, David; Fadel, Elie; Humbert, Marc; Simonneau, Gerald] Univ Paris Saclay, Univ Paris Sud, Fac Med, Le Kremlin Bicetre, France; [Jais, Xavier; Montani, David; Humbert, Marc; Simonneau, Gerald] Hop Marie Lannelongue, INSERM, UMR S 999, Le Plessis Robinson, France; [Jais, Xavier; Brenot, Philippe; Montani, David; Fadel, Elie; Humbert, Marc; Simonneau, Gerald] Hop Bicetre, AP HP, Ctr Reference Hypertens Pulm, Serv Pneumol, Le Kremlin Bicetre, France; [Brenot, Philippe] Hop Marie Lannelongue, Serv Radiol, Le Plessis Robinson, France; [Fadel, Elie] Hop Marie Lannelongue, Serv Chirurg Thorac, Le Plessis Robinson, France</t>
  </si>
  <si>
    <t>Universite Paris Saclay; Universite Paris Saclay; Hopital Marie Lannelongue; Institut National de la Sante et de la Recherche Medicale (Inserm); Assistance Publique Hopitaux Paris (APHP); Hopital Universitaire Bicetre - APHP; Hopital Universitaire Antoine-Beclere - APHP; Universite Paris Saclay; Hopital Marie Lannelongue; Hopital Marie Lannelongue</t>
  </si>
  <si>
    <t>Simonneau, Gerald/ABE-6614-2020; Brenot, Philippe/HJB-1040-2022; David, Montani/I-6885-2019; Humbert, Marc/AAC-8459-2019</t>
  </si>
  <si>
    <t>JAIS, XAVIER/0000-0002-4104-7994; Humbert, Marc/0000-0003-0703-2892; Montani, David/0000-0002-9358-6922</t>
  </si>
  <si>
    <t>Austrian Science Foundation [F54]; Austrian Science Fund (FWF) [F54] Funding Source: Austrian Science Fund (FWF)</t>
  </si>
  <si>
    <t>Austrian Science Foundation(Austrian Science Fund (FWF)); Austrian Science Fund (FWF)(Austrian Science Fund (FWF))</t>
  </si>
  <si>
    <t>This work was supported by the Austrian Science Foundation, grant F54 (to I.M. Lang). Funding information for this article has been deposited with the Crossref Funder Registry.</t>
  </si>
  <si>
    <t>10.1183/13993003.01295-2019</t>
  </si>
  <si>
    <t>WOS:000577289300024</t>
  </si>
  <si>
    <t>Khurana, S; Brusselle, GG; Bel, EH; FitzGerald, JM; Masoli, M; Korn, S; Kato, M; Albers, FC; Bradford, ES; Gilson, MJ; Price, RG; Humbert, M</t>
  </si>
  <si>
    <t>Khurana, Sandhya; Brusselle, Guy G.; Bel, Elisabeth H.; FitzGerald, J. Mark; Masoli, Matthew; Korn, Stephanie; Kato, Motokazu; Albers, Frank C.; Bradford, Eric S.; Gilson, Martyn J.; Price, Robert G.; Humbert, Marc</t>
  </si>
  <si>
    <t>Long-term Safety and Clinical Benefit of Mepolizumab in Patients With the Most Severe Eosinophilic Asthma: The COSMEX Study</t>
  </si>
  <si>
    <t>CLINICAL THERAPEUTICS</t>
  </si>
  <si>
    <t>asthma exacerbations; corticosteroids; long-term safety; mepolizumab; severe eosinophilic asthma</t>
  </si>
  <si>
    <t>LUNG-FUNCTION; DOUBLE-BLIND; EXACERBATIONS; MULTICENTER; THERAPY; EFFICACY; LIFE</t>
  </si>
  <si>
    <t>Purpose: The goal of this study was to assess the long-term safety and efficacy of mepolizumab in patients with the most severe eosinophilic asthma. Methods: This multicenter, open-label, long-term, Phase IIIb study (COSMEX [COSMOS Extension]; 201312/NCT02135692) enrolled patients from the 52-week, open-label extension study COSMOS (A Study to Determine Long-term Safety of Mepolizumab in Asthmatic Subjects) that previously enrolled patients from the double-blinded, placebo-controlled Phase III studies MENSA (Mepolizumab as Adjunctive Therapy in Patients with Severe Asthma) and SIRIUS (Steroid Reduction with Mepolizumab Study). To enter COSMEX, patients had to have life-threatening/seriously debilitating asthma before entering MENSA or SIRIUS and to have completed these previous studies with demonstrated improvement while receiving mepolizumab. In COSMEX, patients received mepolizumab 100 mg subcutaneously every 4 weeks as add-on therapy for up to 172 weeks. Primary endpoints were adverse event frequency and exacerbation rate per year; also assessed were forced expiratory volume in 1 s, Asthma Control Questionnaire-5 score, and daily oral corticosteroid (OCS) use. Findings: Of the 340 patients enrolled, 339 received mepolizumab; median treatment duration within this extension study was 2.2 years, equating to 718 patient-years of additional exposure. No new safety signals were identified. Patients receiving mepolizumab throughout this study and previous studies had lasting reductions in exacerbation rate and daily OCS use and improvements in forced expiratory volume in 1 s and Asthma Control Questionnaire-5 score. In COSMEX, the on-treatment exacerbation rate (95% CI) was 0.93 (0.81-1.06) event/year for clinically significant exacerbations, 0.13 (0.10-0.18) event/year for exacerbations requiring hospitalization/emergency department visit, and 0.07 (0.05-0.10) event/year for exacerbations requiring hospitalization. In patients requiring systemic/oral corticosteroids with &gt;= 128 weeks of continuous enrollment across SIRIUS, COSMOS, and COSMEX, mepolizumab maintained the median daily OCS dose at 1.3-2.8 mg during COSMEX, with additional patients no longer requiring OCS after extended mepolizumab treatment. (C) 2019 The Authors. 'Published by Elsevier Inc.</t>
  </si>
  <si>
    <t>[Khurana, Sandhya] Univ Rochester, Sch Med &amp; Dent, Dept Med Pulm, Rochester, NY USA; [Brusselle, Guy G.] Ghent Univ Hosp, Dept Resp Med, Ghent, Belgium; [Bel, Elisabeth H.] Univ Amsterdam, Dept Resp Med, Amsterdam UMC, Amsterdam, Netherlands; [FitzGerald, J. Mark] Univ British Columbia, Dept Med, Vancouver, BC, Canada; [Masoli, Matthew] Univ Hosp Plymouth NHS Trust, Dept Resp Med, Plymouth, Devon, England; [Korn, Stephanie] Univ Med Mainz, Pulm Dept, Mainz, Germany; [Kato, Motokazu] Kishiwada City Hosp, Chest Dis Clin &amp; Res Inst, Osaka, Japan; [Albers, Frank C.] GlaxoSmithKline, Resp Med Franchise, Res Triangle Pk, NC USA; [Bradford, Eric S.] GlaxoSmithKline, Resp Therapeut Area, Res Triangle Pk, NC USA; [Gilson, Martyn J.] GlaxoSmithKline, Resp Res &amp; Dev, Stockley Pk, Uxbridge, Middx, England; [Price, Robert G.] GlaxoSmithKline, Clin Stat, Stevenage, Herts, England; [Humbert, Marc] Hop Bicetre, AP HP, Serv Pneumol, Paris, France; [Humbert, Marc] Univ Paris Sud, Univ Paris Saclay, Paris, France; [Humbert, Marc] INSERM U999, Paris, France; [Albers, Frank C.] Avill US Inc, Northbrook, IL 60062 USA</t>
  </si>
  <si>
    <t>University of Rochester; Ghent University; Ghent University Hospital; University of Amsterdam; University of British Columbia; Johannes Gutenberg University of Mainz; GlaxoSmithKline; Glaxosmithkline USA; GlaxoSmithKline; Glaxosmithkline USA; GlaxoSmithKline; Glaxosmithkline United Kingdom; GlaxoSmithKline; Glaxosmithkline United Kingdom; Universite Paris Saclay; Assistance Publique Hopitaux Paris (APHP); Hopital Universitaire Bicetre - APHP; Universite Paris Saclay; Universite Paris Saclay; Institut National de la Sante et de la Recherche Medicale (Inserm)</t>
  </si>
  <si>
    <t>Albers, FC (corresponding author), Avill US Inc, Northbrook, IL 60062 USA.;Albers, FC (corresponding author), 103 Glade St, Chapel Hill, NC 27516 USA.</t>
  </si>
  <si>
    <t>Khurana, Sandhya/HKO-2966-2023; Brusselle, Guy/AFU-8839-2022; Humbert, Marc/AAC-8459-2019</t>
  </si>
  <si>
    <t>Brusselle, Guy/0000-0001-7021-8505; Price, Robert/0000-0001-6418-6818; Humbert, Marc/0000-0003-0703-2892; , Sandhya/0000-0002-3167-1152</t>
  </si>
  <si>
    <t>GlaxoSmithKline</t>
  </si>
  <si>
    <t>This study (201312/NCT02135692) and the original studies (SIRIUS, MEA115575/NCT01691508; MENSA, MEA115588/NCT01691521; and COSMOS, MEA115661/NCT01842607) were funded by GlaxoSmithKline. Editorial support (in the form of writing assistance, including development of the initial draft from the study report, assembling tables and figures, collating authors' comments, grammatical editing, and referencing) was provided by Roisin McCorkell, MSc, and Susan Parker, PhD, at Fishawack Indicia Ltd and was funded by GlaxoSmithKline.</t>
  </si>
  <si>
    <t>0149-2918</t>
  </si>
  <si>
    <t>1879-114X</t>
  </si>
  <si>
    <t>CLIN THER</t>
  </si>
  <si>
    <t>Clin. Ther.</t>
  </si>
  <si>
    <t>10.1016/j.clinthera.2019.07.007</t>
  </si>
  <si>
    <t>JP7XO</t>
  </si>
  <si>
    <t>WOS:000498474000013</t>
  </si>
  <si>
    <t>Rare pulmonary disease and orphan drugs: a path to the future</t>
  </si>
  <si>
    <t>[Harari, Sergio] MultiMed IRCCS, Osped San Giuseppe, UO Pneumol &amp; Terapia Semiintens Resp, Serv Fisiopatol Resp &amp; Emodinam Polm, Via San Vittore 12, I-20123 Milan, Italy; [Adir, Yochai] Technion Israel Inst Technol, Fac Med, Lady Davis Carmel Med Ctr, Pulm Div, Haifa, Israel; [Humbert, Marc] Hop Bicetre, AP HP, Serv Pneumol, Le Kremlin Bicetre, France; [Humbert, Marc] Hop Marie Lannelongue, INSERM, UMR S 999, Le Plessis Robinson, France; [Humbert, Marc] Univ Paris Saclay, Fac Med, Univ Paris Sud, Le Kremlin Bicetre, France</t>
  </si>
  <si>
    <t>IRCCS Multimedica; Technion Israel Institute of Technology; Rappaport Faculty of Medicine; Clalit Health Services; Carmel Medical Center; Assistance Publique Hopitaux Paris (APHP); Hopital Universitaire Bicetre - APHP; Hopital Universitaire Antoine-Beclere - APHP; Universite Paris Saclay; Hopital Marie Lannelongue; Institut National de la Sante et de la Recherche Medicale (Inserm); Universite Paris Saclay; Universite Paris Saclay</t>
  </si>
  <si>
    <t>Harari, S (corresponding author), MultiMed IRCCS, Osped San Giuseppe, UO Pneumol &amp; Terapia Semiintens Resp, Serv Fisiopatol Resp &amp; Emodinam Polm, Via San Vittore 12, I-20123 Milan, Italy.</t>
  </si>
  <si>
    <t>10.1183/16000617.0115-2019</t>
  </si>
  <si>
    <t>JC4GL</t>
  </si>
  <si>
    <t>WOS:000489235300018</t>
  </si>
  <si>
    <t>Weatherald, J; Montani, D; Jevnikar, M; Jaïs, X; Savale, L; Humbert, M</t>
  </si>
  <si>
    <t>Weatherald, Jason; Montani, David; Jevnikar, Mitja; Jais, Xavier; Savale, Laurent; Humbert, Marc</t>
  </si>
  <si>
    <t>Screening for pulmonary arterial hypertension in systemic sclerosis</t>
  </si>
  <si>
    <t>BRAIN NATRIURETIC PEPTIDE; STRESS DOPPLER-ECHOCARDIOGRAPHY; RIGHT HEART CATHETERIZATION; LONG-TERM SURVIVAL; DIFFUSING-CAPACITY; DIAGNOSIS; EXERCISE; DISEASE; PRESSURE; PREDICTORS</t>
  </si>
  <si>
    <t>Pulmonary arterial hypertension (PAH) is a dreaded complication of systemic sclerosis (SSc) that occurs in similar to 40% of patients. Most individuals present with severe symptoms, significant functional impairment and severe haemodynamics at diagnosis, and survival after PAH diagnosis is poor. Therefore, early diagnosis through systematic screening of asymptomatic patients has the potential to identify PAH at an early stage. Current evidence suggests that early diagnosis and treatment of PAH in patients with SSc may lead to better clinical outcomes. Annual screening may include echocardiography, but this can miss some patients due to suboptimal visualisation or insufficient tricuspid regurgitation. Other options for screening include the DETECT algorithm or the use of a combination of pulmonary function testing (forced vital capacity/diffusing capacity of the lung for carbon monoxide ratio) and N-terminal-pro-brain natriuretic peptide levels. Symptomatic patients, those with an elevated tricuspid regurgitation velocity on echocardiogram with or without secondary echocardiographic features of PAH, and those who screen positive on the DETECT or other pulmonary function test algorithms should undergo right heart catheterisation. Exercise echocardiography or cardiopulmonary exercise testing, nailfold capillaroscopy and molecular biomarkers are promising but, as yet, unproven potential options. Future screening studies should employ systematic catheterisation to define the true predictive values for PAH.</t>
  </si>
  <si>
    <t>[Weatherald, Jason] Univ Calgary, Dept Med, Div Respirol, Calgary, AB, Canada; [Weatherald, Jason] Univ Calgary, Libin Cardiovasc Inst Alberta, Calgary, AB, Canada; [Montani, David; Jevnikar, Mitja; Jais, Xavier; Savale, Laurent; Humbert, Marc] Univ Paris Saclay, Univ Paris Sud, Fac Med, Le Kremlin Bicetre, France; [Montani, David; Jevnikar, Mitja; Jais, Xavier; Savale, Laurent; Humbert, Marc] Hop Bicetre, AP HP, Serv Pneumol, Le Kremlin Bicetre, France; [Montani, David; Jevnikar, Mitja; Jais, Xavier; Savale, Laurent; Humbert, Marc] Hop Marie Lannelongue, INSERM, UMR S 999, Le Plessis Robinson, France</t>
  </si>
  <si>
    <t>University of Calgary; Libin Cardiovascular Institute Of Alberta; University of Calgary; Universite Paris Saclay; Assistance Publique Hopitaux Paris (APHP); Hopital Universitaire Bicetre - APHP; Universite Paris Saclay; Hopital Universitaire Antoine-Beclere - APHP; Institut National de la Sante et de la Recherche Medicale (Inserm); Universite Paris Saclay; Hopital Marie Lannelongue</t>
  </si>
  <si>
    <t>Humbert, M (corresponding author), Univ Paris Sud, Hop Bicetre, Ctr Reference Hypertens Pulm, Serv Pneumol, 78 Rue Gen Leclerc, F-94270 Le Kremlin Bicetre, France.</t>
  </si>
  <si>
    <t>Weatherald, Jason/0000-0002-0615-4575; Jevnikar, Mitja/0000-0003-0727-6790; JAIS, XAVIER/0000-0002-4104-7994; Savale, Laurent/0000-0002-6862-8975; Montani, David/0000-0002-9358-6922; Humbert, Marc/0000-0003-0703-2892</t>
  </si>
  <si>
    <t>Boehringer Ingelheim, Germany</t>
  </si>
  <si>
    <t>Boehringer Ingelheim, Germany(Boehringer Ingelheim)</t>
  </si>
  <si>
    <t>Publication of this peer-reviewed article was sponsored by Boehringer Ingelheim, Germany (principal sponsor European Respiratory Review issue 153).</t>
  </si>
  <si>
    <t>10.1183/16000617.0023-2019</t>
  </si>
  <si>
    <t>WOS:000489235300005</t>
  </si>
  <si>
    <t>Badesch, D; Gibbs, S; Gomberg-Maitland, M; Humbert, M; Mclaughlin, V; Preston, I; Souza, R; Waxman, A; Pena, JD; Barnes, J; Zhang, XS; Zeldin, RK</t>
  </si>
  <si>
    <t>Badesch, David; Gibbs, Simon; Gomberg-Maitland, Mardi; Humbert, Marc; Mclaughlin, Vallerie; Preston, Ioana; Souza, Rogerio; Waxman, Aaron; Pena, Janethe De Oliveira; Barnes, Jennifer; Zhang, Xioasha; Zeldin, Robert K.</t>
  </si>
  <si>
    <t>PULSAR: phase 2, randomized, double-blind, placebo-controlled study to assess the efficacy and safety of sotatercept (ACE-on) when added to standard of care (SOC) for treatment of pulmonary arterial hypertension (PAH)</t>
  </si>
  <si>
    <t>SEP 28-OCT 02, 2019</t>
  </si>
  <si>
    <t>Madrid, SPAIN</t>
  </si>
  <si>
    <t>[Badesch, David] Univ Colorado, Aurora, CO USA; [Gibbs, Simon] Imperial Coll London, Natl Heart &amp; Lung Inst, London, England; [Gomberg-Maitland, Mardi] George Washington Univ, Washington, DC USA; [Humbert, Marc] Univ Paris Sud, AP HP, INSERM, U999, Le Kremlin Bicetre, France; [Mclaughlin, Vallerie] Univ Michigan, Ann Arbor, MI 48109 USA; [Preston, Ioana] Tufts Med Ctr, Boston, MA 02111 USA; [Souza, Rogerio] Univ Sao Paulo, Sao Paulo, Brazil; [Waxman, Aaron] Brigham &amp; Womens Hosp, 75 Francis St, Boston, MA 02115 USA; [Pena, Janethe De Oliveira; Barnes, Jennifer; Zhang, Xioasha; Zeldin, Robert K.] Acceleron Pharma, Cambridge, England</t>
  </si>
  <si>
    <t>University of Colorado System; University of Colorado Anschutz Medical Campus; Imperial College London; George Washington University; Assistance Publique Hopitaux Paris (APHP); Hopital Universitaire Bicetre - APHP; Universite Paris Saclay; Institut National de la Sante et de la Recherche Medicale (Inserm); University of Michigan System; University of Michigan; Tufts Medical Center; Universidade de Sao Paulo; Harvard University; Harvard University Medical Affiliates; Brigham &amp; Women's Hospital; Acceleron Pharma</t>
  </si>
  <si>
    <t>David.Badesch@ucdenver.edu</t>
  </si>
  <si>
    <t>Humbert, Marc/AAC-8459-2019; Waxman, Aaron/I-8659-2019; Souza, Rogerio/I-3584-2013</t>
  </si>
  <si>
    <t>SEP 28</t>
  </si>
  <si>
    <t>PA4750</t>
  </si>
  <si>
    <t>10.1183/13993003.congress-2019.PA4750</t>
  </si>
  <si>
    <t>KC7SG</t>
  </si>
  <si>
    <t>WOS:000507372406243</t>
  </si>
  <si>
    <t>Gruber, A; Taillé, C; Chanez, P; Devouassoux, G; Didier, A; Pison, C; Garcia, G; Bourdin, A; Pribil, C; Humbert, M</t>
  </si>
  <si>
    <t>Gruber, Alina; Taille, Camille; Chanez, Pascal; Devouassoux, Gilles; Didier, Alain; Pison, Christophe; Garcia, Gilles; Bourdin, Arnaud; Pribil, Celine; Humbert, Marc</t>
  </si>
  <si>
    <t>Real-life experience with mepolizumab in the French early access program for severe eosinophilic asthma</t>
  </si>
  <si>
    <t>Treatments; Severe asthma; Exacerbation</t>
  </si>
  <si>
    <t>[Gruber, Alina; Pribil, Celine] Lab GSK France, Rueil Malmaison, France; [Taille, Camille] Hop Bichat Claude Bernard, APHP, Pneumol 1Serv, Paris, France; [Chanez, Pascal] Aix Marseille, Clin Bronches Allergies &amp; Sommeil, Marseille, France; [Devouassoux, Gilles] Hosp Civils Lyon, Hop Croix Rousse, Serv Pneumol, Lyon, France; [Didier, Alain] CHU Toulouse, Hop Larrey, Serv Pneumol, Toulouse, France; [Pison, Christophe] Univ Grenoble Alpes, CHU Grenoble Alpes, Pole Thorax &amp; Vaisseaux, Clin Univ Pneumol, Grenoble, France; [Garcia, Gilles; Humbert, Marc] Hop Kremlin Bicetre, APHP, Serv Pneumol, Paris, France; [Bourdin, Arnaud] CHRU Montpellier, Hop Arnaud de Villeneuve, Serv Pneumol, Montpellier, France</t>
  </si>
  <si>
    <t>Universite Paris Cite; Assistance Publique Hopitaux Paris (APHP); Hopital Universitaire Bichat-Claude Bernard - APHP; Hopital Universitaire Hotel-Dieu - APHP; Aix-Marseille Universite; CHU Lyon; Universite de Toulouse; Universite Toulouse III - Paul Sabatier; CHU de Toulouse; CHU Grenoble Alpes; Communaute Universite Grenoble Alpes; Universite Grenoble Alpes (UGA); Assistance Publique Hopitaux Paris (APHP); Universite Paris Cite; Hopital Universitaire Hotel-Dieu - APHP; Hopital Universitaire Bicetre - APHP; Universite de Montpellier; CHU de Montpellier</t>
  </si>
  <si>
    <t>alina.a.gruber@gsk.com</t>
  </si>
  <si>
    <t>GSK [207943]</t>
  </si>
  <si>
    <t>PA1654</t>
  </si>
  <si>
    <t>10.1183/13993003.congress-2019.PA1654</t>
  </si>
  <si>
    <t>WOS:000507372402029</t>
  </si>
  <si>
    <t>Jais, X; Brenot, P; Bouvaist, H; Canuet, M; Chabanne, C; Chaouat, A; Cottin, V; De Groote, P; Dromer, C; Favrolt, N; Alonso, CG; Gérardin, B; Horeau-Langlard, D; Jevnikar, M; Magro, P; Montani, D; Parent, F; Pison, C; Prévot, G; Renard, S; Savale, L; Simon, AC; Sitbon, O; Tresorier, R; Tromeur, C; Agostini, H; Piedvache, C; Fadel, E; Humbert, M; Simonneau, G</t>
  </si>
  <si>
    <t>Jais, Xavier; Brenot, Philippe; Bouvaist, Helene; Canuet, Matthieu; Chabanne, Celine; Chaouat, Ari; Cottin, Vincent; De Groote, Pascal; Dromer, Claire; Favrolt, Nicolas; Alonso, Carlos Garcia; Gerardin, Benoit; Horeau-Langlard, Delphine; Jevnikar, Mitja; Magro, Pascal; Montani, David; Parent, Florence; Pison, Christophe; Prevot, Gregoire; Renard, Sebastien; Savale, Laurent; Simon, Anne Claire; Sitbon, Olivier; Tresorier, Romain; Tromeur, Cecile; Agostini, Helene; Piedvache, Celine; Fadel, Elie; Humbert, Marc; Simonneau, Gerald</t>
  </si>
  <si>
    <t>Late Breaking Abstract - Balloon pulmonary angioplasty versus riociguat for the treatment of inoperable chronic thromboembolic pulmonary hypertension: results from the randomised controlled RACE study</t>
  </si>
  <si>
    <t>Pulmonary hypertension; RCT (Randomized Controlled Trial)</t>
  </si>
  <si>
    <t>[Jais, Xavier; Jevnikar, Mitja; Montani, David; Parent, Florence; Savale, Laurent; Sitbon, Olivier; Agostini, Helene; Piedvache, Celine; Humbert, Marc; Simonneau, Gerald] Hop Bicetre, Le Kremlin Bicetre, France; [Brenot, Philippe; Alonso, Carlos Garcia; Gerardin, Benoit; Fadel, Elie] Hop Marie Lannelongue, Le Plessis Robinson, France; [Bouvaist, Helene; Pison, Christophe] CHU Grenoble Alpes, Grenoble, France; [Canuet, Matthieu] Hop Univ Strasbourg, Strasbourg, France; [Chabanne, Celine] Hop Pontchaillou, Rennes, France; [Chaouat, Ari] Hop Brabois, Nancy, France; [Cottin, Vincent] Hop Louis Pradel, Bron, France; [De Groote, Pascal] CHRU Lille, Lille, France; [Dromer, Claire] Hop Haut Leveque, Bordeaux, France; [Favrolt, Nicolas] CHU Dijon Bourgogne, Dijon, France; [Horeau-Langlard, Delphine] Hop Laennec, Nantes, France; [Magro, Pascal] Hop Bretonneau, Tours, France; [Prevot, Gregoire] Hop Larrey, Toulouse, France; [Renard, Sebastien] Hop La Timone, Marseille, France; [Simon, Anne Claire] Hop Miletrie, Poitiers, France; [Tresorier, Romain] Hop Gabriel Montpied, Clermont Ferrand, France; [Tromeur, Cecile] Hop La Cavale Blanche, Brest, France</t>
  </si>
  <si>
    <t>Universite Paris Saclay; Assistance Publique Hopitaux Paris (APHP); Hopital Universitaire Antoine-Beclere - APHP; Hopital Universitaire Bicetre - APHP; Hopital Marie Lannelongue; CHU Grenoble Alpes; Universites de Strasbourg Etablissements Associes; Universite de Strasbourg; CHU Strasbourg; CHU Rennes; Universite de Rennes; CHU de Nancy; CHU Lyon; Universite de Lille; CHU Lille; CHU Bordeaux; CHU Dijon Bourgogne; Nantes Universite; CHU de Nantes; CHU Tours; CHU de Toulouse; Aix-Marseille Universite; Assistance Publique-Hopitaux de Marseille; CHU Poitiers; Universite de Poitiers; CHU Clermont Ferrand; CHU Brest; Universite de Bretagne Occidentale</t>
  </si>
  <si>
    <t>DE GROOTE, Pascal/LLL-9444-2024; Chaouat, Ari/AAP-6784-2021; Savale, Laurent/AAJ-9781-2020; Brenot, Philippe/HJB-1040-2022; Humbert, Marc/AAC-8459-2019; Simonneau, Gerald/ABE-6614-2020</t>
  </si>
  <si>
    <t>RCT1885</t>
  </si>
  <si>
    <t>10.1183/13993003.congress-2019.RCT1885</t>
  </si>
  <si>
    <t>WOS:000507372408096</t>
  </si>
  <si>
    <t>Just, J; Thonnelier, C; Lecocq, B; Molimard, M; Humbert, M</t>
  </si>
  <si>
    <t>Just, Jocelyne; Thonnelier, Celine; Lecocq, Brigitte; Molimard, Mathieu; Humbert, Marc</t>
  </si>
  <si>
    <t>Efficacy of Omalizumab in adult and pediatric severe allergic asthma according to presence of multiple allergic comorbidities: evidence from the STELLAIR study</t>
  </si>
  <si>
    <t>Asthma; Treatments; Allergy</t>
  </si>
  <si>
    <t>[Just, Jocelyne] Hop Trousseau, Serv Allergol Pediat, Paris, France; [Thonnelier, Celine; Lecocq, Brigitte] Novartis Pharmaceut, Rueil Malmaison, France; [Molimard, Mathieu] CHU Bordeaux, Serv Pharmacol Med, Bordeaux, France; [Humbert, Marc] Hop Bicetre, Pneumol, Le Kremlin Bicetre, France</t>
  </si>
  <si>
    <t>Assistance Publique Hopitaux Paris (APHP); Sorbonne Universite; Hopital Universitaire Armand-Trousseau - APHP; Novartis; CHU Bordeaux; Universite de Bordeaux; Universite Paris Saclay; Assistance Publique Hopitaux Paris (APHP); Hopital Universitaire Bicetre - APHP; Hopital Universitaire Antoine-Beclere - APHP</t>
  </si>
  <si>
    <t>PA543</t>
  </si>
  <si>
    <t>10.1183/13993003.congress-2019.PA543</t>
  </si>
  <si>
    <t>WOS:000507372407140</t>
  </si>
  <si>
    <t>Jutant, EM; Jaïs, X; Girerd, B; Mignard, X; Ghigna, MR; Bourlier, D; Tromeur, C; Bergot, E; Prévot, G; Dauphin, C; Favrolt, N; Traclet, J; Moceri, P; Soumagne, T; Bauer, F; Degroote, P; Chabanne, C; Magro, P; Bertoletti, L; Savale, L; Soubrier, F; Simonneau, G; Sitbon, O; Brillet, PY; Humbert, M; Montani, D</t>
  </si>
  <si>
    <t>Jutant, Etienne-Marie; Jais, Xavier; Girerd, Barbara; Mignard, Xavier; Ghigna, Maria-Rosa; Bourlier, Delphine; Tromeur, Cecile; Bergot, Emmanuel; Prevot, Gregoire; Dauphin, Claire; Favrolt, Nicolas; Traclet, Julie; Moceri, Pamela; Soumagne, Thibaud; Bauer, Fabrice; Degroote, Pascal; Chabanne, Cecile; Magro, Pascal; Bertoletti, Laurent; Savale, Laurent; Soubrier, Florent; Simonneau, Gerald; Sitbon, Olivier; Brillet, Pierre-Yves; Humbert, Marc; Montani, David</t>
  </si>
  <si>
    <t>Pulmonary hypertension associated with neurofibromatosis type 1: data from the French Pulmonary Hypertension Registry</t>
  </si>
  <si>
    <t>[Jutant, Etienne-Marie; Jais, Xavier; Mignard, Xavier; Savale, Laurent; Simonneau, Gerald; Sitbon, Olivier; Humbert, Marc; Montani, David] Hop Bicetre, AP HP, Le Kremlin Bicetre, France; [Girerd, Barbara] Filiere RespiFil, Paris, France; [Ghigna, Maria-Rosa] Hop Marie Lannelongue, Le Plessis Robinson, France; [Bourlier, Delphine] Hop Haut Leveque, Bordeaux, France; [Tromeur, Cecile] Hop Cavale Blanche, Brest, France; [Bergot, Emmanuel] CHU Cote Nacre, Caen, France; [Prevot, Gregoire] Hop Larrey, Toulouse, France; [Dauphin, Claire] Hop Gabriel Montpied, Clermont Ferrand, France; [Favrolt, Nicolas] CHU Dijon Bourgogne, Dijon, France; [Traclet, Julie] Hop Louis Pradel, Lyon, France; [Moceri, Pamela] CHU Nice, Nice, France; [Soumagne, Thibaud] Hop Minjoz, Besancon, France; [Bauer, Fabrice] Hop Charles Nicolle, Rouen, France; [Degroote, Pascal] CHU Lille, Lille, France; [Chabanne, Cecile] Hop Pontchaillou, Rennes, France; [Magro, Pascal] CHU Tours, Tours, France; [Bertoletti, Laurent] CHU St Etienne, St Etienne, France; [Soubrier, Florent] Hop La Pitie Salpetriere, Paris, France; [Brillet, Pierre-Yves] Hop Avicenne, Bobigny, France</t>
  </si>
  <si>
    <t>Assistance Publique Hopitaux Paris (APHP); Hopital Universitaire Bicetre - APHP; Universite Paris Saclay; Hopital Universitaire Antoine-Beclere - APHP; Hopital Marie Lannelongue; CHU Bordeaux; Universite de Bretagne Occidentale; CHU Brest; CHU de Caen NORMANDIE; Universite de Caen Normandie; CHU de Toulouse; CHU Clermont Ferrand; CHU Dijon Bourgogne; CHU Lyon; CHU Nice; Universite de Franche-Comte; CHU Besancon; Universite de Rouen Normandie; CHU de Rouen; Universite de Lille; CHU Lille; CHU Rennes; Universite de Rennes; CHU Tours; CHU de St Etienne; Sorbonne Universite; Assistance Publique Hopitaux Paris (APHP); Hopital Universitaire Pitie-Salpetriere - APHP; Universite Paris 13; Assistance Publique Hopitaux Paris (APHP); Hopital Universitaire Avicenne - APHP</t>
  </si>
  <si>
    <t>DE GROOTE, Pascal/LLL-9444-2024; Simonneau, Gerald/ABE-6614-2020; BAUER, Fabrice/HMP-7663-2023; Soumagne, Thibaud/HKE-8770-2023; Savale, Laurent/AAJ-9781-2020; David, Montani/I-6885-2019; Bergot, Emmanuel/KHZ-1685-2024; Bertoletti, Laurent/X-1319-2019; Moceri, Pamela/D-3053-2014; Humbert, Marc/AAC-8459-2019</t>
  </si>
  <si>
    <t>Montani, David/0000-0002-9358-6922; de Groote, Pascal/0000-0002-6211-0147</t>
  </si>
  <si>
    <t>PA5456</t>
  </si>
  <si>
    <t>10.1183/13993003.congress-2019.PA5456</t>
  </si>
  <si>
    <t>WOS:000507372407166</t>
  </si>
  <si>
    <t>Montani, D; Girerd, B; Jais, X; Savale, L; Laveneziana, P; Bouchachi, A; Hascoet, S; Gunther, S; Godinas, L; Parent, F; Guignabert, C; Herve, P; Garcia, G; Simonneau, G; Sitbon, O; Humbert, M</t>
  </si>
  <si>
    <t>Montani, David; Girerd, Barbara; Jais, Xavier; Savale, Laurent; Laveneziana, Pierantonio; Bouchachi, Amir; Hascoet, Sebastien; Gunther, Sven; Godinas, Laurent; Parent, Florence; Guignabert, Christophe; Herve, Philippe; Garcia, Gilles; Simonneau, Gerald; Sitbon, Olivier; Humbert, Marc</t>
  </si>
  <si>
    <t>Late Breaking Abstract - Screening of pulmonary arterial hypertension in asymptomatic BMPR2 mutation carriers (DELPHI-2 Study)</t>
  </si>
  <si>
    <t>Pulmonary hypertension; Adults; Genetics</t>
  </si>
  <si>
    <t>[Montani, David; Girerd, Barbara; Jais, Xavier; Savale, Laurent; Gunther, Sven; Godinas, Laurent; Parent, Florence; Guignabert, Christophe; Simonneau, Gerald; Sitbon, Olivier; Humbert, Marc] Univ Paris Sud, Univ Paris Saclay, AP HP,Inserm UMR S 999, Fac Med,Serv Pneumol,Ctr Reference Hypertens Pulm, Le Kremlin Bicetre, France; [Laveneziana, Pierantonio] Grp Hosp Pitie Salpetriere, AP HP, Serv Physiol Resp, Paris, France; [Bouchachi, Amir] Univ Paris Sud, Univ Paris Saclay, AP HP, Fac Med,Serv Cardiol, Le Kremlin Bicetre, France; [Hascoet, Sebastien] Hop Marie Lannelongue, Serv Cardiopediat, Le Plessis Robinson, France; [Herve, Philippe] Hop Marie Lannelongue, Serv Chirurg Thorac, Le Plessis Robinson, France; [Garcia, Gilles] Univ Paris Sud, Univ Paris Saclay, AP HP, Fac Med,Serv Physiol Resp,Inserm UMR S 999, Le Kremlin Bicetre, France</t>
  </si>
  <si>
    <t>Assistance Publique Hopitaux Paris (APHP); Hopital Universitaire Bicetre - APHP; Institut National de la Sante et de la Recherche Medicale (Inserm); Universite Paris Saclay; Sorbonne Universite; Assistance Publique Hopitaux Paris (APHP); Hopital Universitaire Pitie-Salpetriere - APHP; Universite Paris Saclay; Assistance Publique Hopitaux Paris (APHP); Hopital Universitaire Bicetre - APHP; Hopital Marie Lannelongue; Hopital Marie Lannelongue; Institut National de la Sante et de la Recherche Medicale (Inserm); Universite Paris Saclay; Assistance Publique Hopitaux Paris (APHP); Hopital Universitaire Bicetre - APHP</t>
  </si>
  <si>
    <t>Humbert, Marc/AAC-8459-2019; GUIGNABERT, Christophe/G-3873-2013; Hascoet, Sebastien/Q-3311-2018; Simonneau, Gerald/ABE-6614-2020; Godinas, Laurette/AAS-1059-2021; Laveneziana, Pierantonio/GWC-2028-2022; Savale, Laurent/AAJ-9781-2020</t>
  </si>
  <si>
    <t>Godinas, Laurent/0000-0003-2214-5879</t>
  </si>
  <si>
    <t>PA3951</t>
  </si>
  <si>
    <t>10.1183/13993003.congress-2019.PA3951</t>
  </si>
  <si>
    <t>WOS:000507372405005</t>
  </si>
  <si>
    <t>Nissen, F; Humbert, M; Gibson, P; Kostikas, K; Jaumont, X; Olsson, P; Alvares, L; Bousquet, J</t>
  </si>
  <si>
    <t>Nissen, Francis; Humbert, Marc; Gibson, Peter; Kostikas, Konstantinos; Jaumont, Xavier; Olsson, Petter; Alvares, Luisa; Bousquet, Jean</t>
  </si>
  <si>
    <t>Omalizumab in the real-world: systematic review of asthma control outcomes reported by patients</t>
  </si>
  <si>
    <t>Asthma - management; Quality of life; Severe asthma</t>
  </si>
  <si>
    <t>[Nissen, Francis; Jaumont, Xavier; Alvares, Luisa] Novartis Pharma AG, Basel, Switzerland; [Humbert, Marc] Univ Paris Sud, Paris, France; [Humbert, Marc] Hop Kremlin Bicetre, Serv Pneumol, Paris, France; [Humbert, Marc] INSERM, UMR S999, Paris, France; [Gibson, Peter] Univ Newcastle, Prior Res Ctr Asthma &amp; Resp Dis, Newcastle, NSW, Australia; [Kostikas, Konstantinos] Univ Ioannina, Sch Med, Dept Resp Med, Ioannina, Greece; [Olsson, Petter] Novartis Sverige AB, Kista, Sweden; [Bousquet, Jean] INSERM, U1168, VIMA Ageing &amp; Chron Dis Epidemiol &amp; Publ Hlth App, Villejuif, France; [Bousquet, Jean] Univ Versailles St Quentin En Yvelines, UMR S 1168, Montigny Le Bretonneux, France</t>
  </si>
  <si>
    <t>Novartis; Universite Paris Saclay; Assistance Publique Hopitaux Paris (APHP); Hopital Universitaire Bicetre - APHP; Universite Paris Saclay; Institut National de la Sante et de la Recherche Medicale (Inserm); University of Newcastle; University of Ioannina; Novartis; Novartis Sweden; Institut National de la Sante et de la Recherche Medicale (Inserm); Universite Paris Saclay; Universite Paris Saclay</t>
  </si>
  <si>
    <t>francisnissen@gmail.com</t>
  </si>
  <si>
    <t>Bousquet, Jean/O-4221-2019; Humbert, Marc/AAC-8459-2019; Alvares, Luisa/GQA-5353-2022</t>
  </si>
  <si>
    <t>Olsson, Petter/0000-0002-3913-3914</t>
  </si>
  <si>
    <t>PA2546</t>
  </si>
  <si>
    <t>10.1183/13993003.congress-2019.PA2546</t>
  </si>
  <si>
    <t>WOS:000507372403073</t>
  </si>
  <si>
    <t>Nissen, F; Humbert, M; Gibson, P; Kostikas, K; Jaumont, X; Tassinari, P; Pfister, P; Bousquet, J</t>
  </si>
  <si>
    <t>Nissen, Francis; Humbert, Marc; Gibson, Peter; Kostikas, Konstantinos; Jaumont, Xavier; Tassinari, Paolo; Pfister, Pascal; Bousquet, Jean</t>
  </si>
  <si>
    <t>Omalizumab reduces asthma exacerbations and oral corticosteroid use in patients with severe allergic asthma: a systematic review of observational studies</t>
  </si>
  <si>
    <t>Asthma - management; Severe asthma; Exacerbation</t>
  </si>
  <si>
    <t>[Nissen, Francis; Jaumont, Xavier; Tassinari, Paolo; Pfister, Pascal] Novartis Pharma AG, Basel, Switzerland; [Humbert, Marc] Univ Paris Sud, Paris, France; [Humbert, Marc] Hop Kremlin Bicetre, Serv Pneumol, Paris, France; [Humbert, Marc] INSERM, UMR S999, Paris, France; [Gibson, Peter] Univ Newcastle, Prior Res Ctr Asthma &amp; Resp Dis, Newcastle, NSW, Australia; [Kostikas, Konstantinos] Univ Ioannina, Sch Med, Dept Resp Med, Ioannina, Greece; [Bousquet, Jean] INSERM, U1168, VIMA Ageing &amp; Chron Dis Epidemiol &amp; Publ Hlth App, Villejuif, France; [Bousquet, Jean] Univ Versailles St Quentin En Yvelines, UMR S 1168, Montigny Le Bretonneux, France</t>
  </si>
  <si>
    <t>Novartis; Universite Paris Saclay; Assistance Publique Hopitaux Paris (APHP); Hopital Universitaire Bicetre - APHP; Universite Paris Saclay; Institut National de la Sante et de la Recherche Medicale (Inserm); University of Newcastle; University of Ioannina; Universite Paris Saclay; Institut National de la Sante et de la Recherche Medicale (Inserm); Universite Paris Saclay</t>
  </si>
  <si>
    <t>Bousquet, Jean/O-4221-2019; Humbert, Marc/AAC-8459-2019</t>
  </si>
  <si>
    <t>PA2549</t>
  </si>
  <si>
    <t>10.1183/13993003.congress-2019.PA2549</t>
  </si>
  <si>
    <t>WOS:000507372403076</t>
  </si>
  <si>
    <t>Savale, L; Humbert, M; Wells, AU; Nathan, SD; Gupta, R; Huitema, M; Jais, X; Grutters, J; Kouranos, V; Montani, D; Shlobin, O; Sitbon, O; Baughman, RP</t>
  </si>
  <si>
    <t>Savale, Laurent; Humbert, Marc; Wells, Athol U.; Nathan, Steven D.; Gupta, Rohit; Huitema, Marloes; Jais, Xavier; Grutters, Jan; Kouranos, Vasilis; Montani, David; Shlobin, Oksana; Sitbon, Olivier; Baughman, Robert P.</t>
  </si>
  <si>
    <t>Algorithm for pulmonary hypertension screening in sarcoidosis: A Delphi Consensus</t>
  </si>
  <si>
    <t>Pulmonary hypertension; Diagnosis; Sarcoidosis</t>
  </si>
  <si>
    <t>[Savale, Laurent; Humbert, Marc; Jais, Xavier; Montani, David; Sitbon, Olivier] CHU Bicetre, Le Kremlin Bicetre, France; [Wells, Athol U.; Kouranos, Vasilis] Royal Brompton Hosp, London, England; [Nathan, Steven D.] Inova Fairfax Hosp, Falls Church, VA USA; [Gupta, Rohit] Temple Univ Hosp &amp; Med Sch, Philadelphia, PA 19140 USA; [Huitema, Marloes; Grutters, Jan] St Antonius Hosp, Nieuwegein, Netherlands; [Shlobin, Oksana] Inova Fairfax Heart &amp; Lung Inst, Falls Church, VA USA; [Baughman, Robert P.] Univ Cincinnati, Cincinnati, OH USA</t>
  </si>
  <si>
    <t>Assistance Publique Hopitaux Paris (APHP); Hopital Universitaire Bicetre - APHP; Royal Brompton Hospital; Inova Fairfax Hospital; Pennsylvania Commonwealth System of Higher Education (PCSHE); Temple University; St. Antonius Hospital Utrecht; Inova Fairfax Hospital; University System of Ohio; University of Cincinnati</t>
  </si>
  <si>
    <t>Humbert, Marc/AAC-8459-2019; GUPTA, ROHIT/W-4685-2019; David, Montani/I-6885-2019; Savale, Laurent/AAJ-9781-2020</t>
  </si>
  <si>
    <t>PA1954</t>
  </si>
  <si>
    <t>10.1183/13993003.congress-2019.PA1954</t>
  </si>
  <si>
    <t>WOS:000507372402114</t>
  </si>
  <si>
    <t>Sekine, A; Jais, X; Taniguchi, Y; Jevnikar, M; Boucly, A; Savale, L; Montani, D; Sitbon, O; Tanabe, N; Humbert, M; Simonneau, G</t>
  </si>
  <si>
    <t>Sekine, Ayumi; Jais, Xavierr; Taniguchi, Yu; Jevnikar, Mitja; Boucly, Athenais; Savale, Laurent; Montani, David; Sitbon, Olivier; Tanabe, Nobuhiro; Humbert, Marc; Simonneau, Gerald</t>
  </si>
  <si>
    <t>The total cross-sectional area of bronchial arteries predicts the extent of persistent PH after endarterectomy</t>
  </si>
  <si>
    <t>[Sekine, Ayumi; Jais, Xavierr; Taniguchi, Yu; Jevnikar, Mitja; Boucly, Athenais; Savale, Laurent; Montani, David; Sitbon, Olivier; Humbert, Marc; Simonneau, Gerald] Univ Paris Saclay, Univ Paris Sud, Le Kremlin Bicetre, France; [Tanabe, Nobuhiro] Chiba Univ, Grad Sch Med, Respirol, Chiba, Japan</t>
  </si>
  <si>
    <t>Universite Paris Saclay; Chiba University</t>
  </si>
  <si>
    <t>ayumiskn@gmail.com</t>
  </si>
  <si>
    <t>Savale, Laurent/AAJ-9781-2020; Simonneau, Gerald/ABE-6614-2020; David, Montani/I-6885-2019; Humbert, Marc/AAC-8459-2019</t>
  </si>
  <si>
    <t>OA5162</t>
  </si>
  <si>
    <t>10.1183/13993003.congress-2019.OA5162</t>
  </si>
  <si>
    <t>WOS:000507372400446</t>
  </si>
  <si>
    <t>Sitbon, O; Clerson, P; Cottin, V; Degroote, P; Prevot, G; Savale, L; Jaïs, X; Chaouat, A; Dromer, C; Bourdin, A; Renard, S; Bergot, E; Pison, C; Bauer, F; Dauphin, C; Gaubert, MR; Montani, D; Simonneau, G; Humbert, M</t>
  </si>
  <si>
    <t>Sitbon, Olivier; Clerson, Pierre; Cottin, Vincent; Degroote, Pascal; Prevot, Gregoire; Savale, Laurent; Jais, Xavier; Chaouat, Ari; Dromer, Claire; Bourdin, Arnaud; Renard, Sebastien; Bergot, Emmanuel; Pison, Christophe; Bauer, Fabrice; Dauphin, Claire; Gaubert, Martine Reynaud; Montani, David; Simonneau, Gerald; Humbert, Marc</t>
  </si>
  <si>
    <t>A dynamic prognostic model to predict survival and determine treatment goals in pulmonary arterial hypertension (PAH): the EFORT study</t>
  </si>
  <si>
    <t>Pulmonary hypertension; Biomarkers; Circulation</t>
  </si>
  <si>
    <t>[Sitbon, Olivier; Savale, Laurent; Jais, Xavier; Montani, David; Simonneau, Gerald; Humbert, Marc] Univ Paris Sud, Le Kremlin Bicetre, France; [Clerson, Pierre] Soladis, Roubaix, France; [Cottin, Vincent] Hop Louis Pradel, Lyon, France; [Degroote, Pascal] Hop Cardiol, Lille, France; [Prevot, Gregoire] Hop Larrey, Toulouse, France; [Chaouat, Ari] Univ Lorraine, Nancy, France; [Dromer, Claire] Hop Haut Leveque, Bordeaux, France; [Bourdin, Arnaud] Hop Arnaud de Villeneuve, Montpellier, France; [Renard, Sebastien] Hop La Timone, Marseille, France; [Bergot, Emmanuel] CHU Cote Nacre, Caen, France; [Pison, Christophe] Univ Grenoble Alpes, Grenoble, France; [Bauer, Fabrice] Hop Charles Nicolle, Rouen, France; [Dauphin, Claire] CHU Gabriel Montpied, Clermont Ferrand, France; [Gaubert, Martine Reynaud] Hop Nord Marseille, Marseille, France</t>
  </si>
  <si>
    <t>Universite Paris Saclay; CHU Lyon; Universite de Lille; CHU Lille; CHU de Toulouse; Universite de Lorraine; CHU Bordeaux; Universite de Montpellier; CHU de Montpellier; Aix-Marseille Universite; Assistance Publique-Hopitaux de Marseille; CHU de Caen NORMANDIE; Universite de Caen Normandie; Communaute Universite Grenoble Alpes; Universite Grenoble Alpes (UGA); Universite de Rouen Normandie; CHU de Rouen; CHU Clermont Ferrand; Aix-Marseille Universite; Assistance Publique-Hopitaux de Marseille</t>
  </si>
  <si>
    <t>Bergot, Emmanuel/KHZ-1685-2024; BAUER, Fabrice/HMP-7663-2023; Simonneau, Gerald/ABE-6614-2020; David, Montani/I-6885-2019; Humbert, Marc/AAC-8459-2019; Savale, Laurent/AAJ-9781-2020; DE GROOTE, Pascal/LLL-9444-2024; Chaouat, Ari/AAP-6784-2021; Bourdin, Philippe/D-8149-2015</t>
  </si>
  <si>
    <t>OA497</t>
  </si>
  <si>
    <t>10.1183/13993003.congress-2019.OA497</t>
  </si>
  <si>
    <t>WOS:000507372400401</t>
  </si>
  <si>
    <t>Bergot, E; De Leotoing, L; Bendjenana, H; Tournier, C; Vainchtock, A; Nachbaur, G; Humbert, M</t>
  </si>
  <si>
    <t>Bergot, Emmanuel; De Leotoing, Lucie; Bendjenana, Hakim; Tournier, Charlene; Vainchtock, Alexandre; Nachbaur, Gaelle; Humbert, Marc</t>
  </si>
  <si>
    <t>Hospital burden of pulmonary arterial hypertension in France</t>
  </si>
  <si>
    <t>ECONOMIC BURDEN; COSTS; CARE; EPIDEMIOLOGY; GUIDELINES; DIAGNOSIS; OUTCOMES; US</t>
  </si>
  <si>
    <t>Background &amp; aims Pulmonary arterial hypertension is a severe disease associated with frequent hospitalisations. This retrospective analysis of the French medical information PMSI-MSO database aimed to describe incident cases of patients with pulmonary arterial hypertension hospitalised in France in 2013 and to document associated hospitalisation costs from the national health insurance perspective. Methods Cases of pulmonary arterial hypertension were identified using a diagnostic algorithm. All cases hospitalised in 2013 with no hospitalisation the previous two years were retained. All hospital stays during the year following the index hospitalisation were extracted, and classified as incident stays, monitoring stays or stays due to disease worsening. Costs were attributed from French national tariffs. Results 384 patients in France were hospitalised with incident pulmonary arterial hypertension in 2013. Over the following twelve months, patients made 1,271 stays related to pulmonary arterial hypertension (415 incident stays, 604 monitoring stays and 252 worsening stays). Mean age was 59.6 years and 241 (62.8%) patients were women. Liver disease and connective tissue diseases were documented in 62 patients (16.1%) each. Thirty-one patients (8.1%) died during hospitalisation and four (1.0%) received a lung/heart-lung transplantation. The total annual cost of these hospitalisations was (sic) 3,640,382. (sic) 2,985,936 was attributable to standard tariffs (82.0%), (sic) 463,325 to additional ICU stays (12.7%) and (sic) 191,118 to expensive drugs (5.2%). The mean cost/stay was (sic) 2,864, ranging from (sic) 1,282 for monitoring stays to (sic) 7,285 for worsening stays. Conclusions Although pulmonary arterial hypertension is rare, it carries a high economic burden.</t>
  </si>
  <si>
    <t>[Bergot, Emmanuel] CHU Caen, Serv Pneumol &amp; Oncol Thorac, Caen, France; [Bergot, Emmanuel] Unicaen, UFR Sante, Caen, France; [De Leotoing, Lucie; Tournier, Charlene; Vainchtock, Alexandre] HEVA, Lyon, France; [Bendjenana, Hakim; Nachbaur, Gaelle] GlaxoSmithKline, Rueil Malmaison, France; [Humbert, Marc] Univ Paris Sud, Univ Paris Saclay, Fac Med, Le Kremlin Bicetre, France; [Humbert, Marc] Hop Bicetre, AP HP, Serv Pneumol, Le Kremlin Bicetre, France; [Humbert, Marc] INSERM, UMR S 999, Le Kremlin Bicetre, France</t>
  </si>
  <si>
    <t>CHU de Caen NORMANDIE; Universite de Caen Normandie; Universite de Caen Normandie; GlaxoSmithKline; Universite Paris Saclay; Assistance Publique Hopitaux Paris (APHP); Hopital Universitaire Antoine-Beclere - APHP; Universite Paris Saclay; Hopital Universitaire Bicetre - APHP; Universite Paris Saclay; Institut National de la Sante et de la Recherche Medicale (Inserm)</t>
  </si>
  <si>
    <t>Bergot, E (corresponding author), CHU Caen, Serv Pneumol &amp; Oncol Thorac, Caen, France.;Bergot, E (corresponding author), Unicaen, UFR Sante, Caen, France.</t>
  </si>
  <si>
    <t>bergot.e@gmail.com</t>
  </si>
  <si>
    <t>Bergot, Emmanuel/KHZ-1685-2024; Humbert, Marc/AAC-8459-2019</t>
  </si>
  <si>
    <t>This study was initiated and funded by GlaxoSmithKline. The sponsor delegated management of the study and data analysis to HEVA (Lyon, France). Representatives of the funders (listed as authors of the study) were involved in study design, the decision to publish, and reviewed the final manuscript before submission. They had no role in data collection or analysis.The writing and preparation of this manuscript was funded by GlaxoSmithKline. Initial data analyses were undertaken by CT, who is employee of HEVA (Lyon, France) and received funding from GlaxoSmithKline. Editorial support in drafting this manuscript was provided by Adam Doble of Foxymed (Paris, France), and was funded by GlaxoSmithKline. All authors had complete access to the data that supports this publication and have contributed to a draft and approved the manuscript for publication. The corresponding author had the final responsibility to submit for publication.</t>
  </si>
  <si>
    <t>SEP 19</t>
  </si>
  <si>
    <t>e0221211</t>
  </si>
  <si>
    <t>10.1371/journal.pone.0221211</t>
  </si>
  <si>
    <t>LM5BF</t>
  </si>
  <si>
    <t>WOS:000532262800015</t>
  </si>
  <si>
    <t>Sanges, S; Savale, L; Lamblin, N; Rémy-Jardin, M; Humbert, M; Sobanski, V</t>
  </si>
  <si>
    <t>Sanges, Sebastien; Savale, Laurent; Lamblin, Nicolas; Remy-Jardin, Martine; Humbert, Marc; Sobanski, Vincent</t>
  </si>
  <si>
    <t>Efficacy of immunosuppressants with bridge vasodilator therapy in severe lupus erythematosus-associated pulmonary arterial hypertension</t>
  </si>
  <si>
    <t>Pulmonary arterial hypertension; Systemic lupus erythematosus; Immunosuppressants</t>
  </si>
  <si>
    <t>Optimal management of systemic lupus erythematosus (SLE)-associated pulmonary arterial hypertension (PAH) remains unclear. Our observation describes the case of a 31-year-old SLE patient presenting with cardiogenic shock revealing severe PAH, in which a therapeutic scheme combining immunosuppressants (pulse cyclophosphamide and corticosteroids) and PAH-specific drugs (bosentan, tadalafil, and epoprostenol) led to a complete normalization of pulmonary haemodynamics and allowed a progressive weaning of PAH vasodilators. This case report supports the efficacy of immunosuppressants and use of PAH-specific therapy as a bridge therapy in severe SLE-PAH. Further studies on larger population are required to confirm these findings.</t>
  </si>
  <si>
    <t>[Sanges, Sebastien; Sobanski, Vincent] Univ Lille, UFR Med, F-59000 Lille, France; [Sanges, Sebastien; Sobanski, Vincent] INSERM, LIRIC, L1995, Lille, France; [Sanges, Sebastien; Sobanski, Vincent] CHU Lille, Dept Med Interne &amp; Immunol Clin, Lille, France; [Sanges, Sebastien; Sobanski, Vincent] Ctr Natl Reference Malad Syst &amp; Autoimmunes Rares, Lille, France; [Sanges, Sebastien; Sobanski, Vincent] Hlth Care Provider European Reference Network Rar, Lille, France; [Savale, Laurent; Humbert, Marc] Univ Paris Saclay, Univ Paris Sud, Fac Mededne, Paris, France; [Savale, Laurent; Humbert, Marc] Hop Bicetre, AP HP, Serv Pneumol, DHU Thorax Innovat, Paris, France; [Savale, Laurent; Humbert, Marc] Ctr Chirurg Marie Lannelongue, INSERM U999, LabEx LERMIT, Le Plessis Robinson, France; [Lamblin, Nicolas] Univ Lille, Inst Pasteur, CHU Lille, Serv Cardiol, Lille, France; [Remy-Jardin, Martine] CHU Lille, Serv Imagerie Thorac, Lille, France</t>
  </si>
  <si>
    <t>Universite de Lille; Universite de Lille; Institut National de la Sante et de la Recherche Medicale (Inserm); Universite de Lille; CHU Lille; Universite Paris Saclay; Assistance Publique Hopitaux Paris (APHP); Hopital Universitaire Bicetre - APHP; Universite Paris Saclay; Institut National de la Sante et de la Recherche Medicale (Inserm); Universite Paris Saclay; Hopital Marie Lannelongue; Universite de Lille; CHU Lille; Pasteur Network; Institut Pasteur Lille; Universite de Lille; CHU Lille</t>
  </si>
  <si>
    <t>Sobanski, V (corresponding author), CHRU Lille, Hop Claude Huriez, Serv Med Interne &amp; Immunol Clin, Rue Michel Polonovski, F-59037 Lille, France.</t>
  </si>
  <si>
    <t>vincent.sobanski@univ-lille.fr</t>
  </si>
  <si>
    <t>Savale, Laurent/AAJ-9781-2020; Sanges, Sebastien/M-4605-2018; Humbert, Marc/AAC-8459-2019; Sobanski, Vincent/Q-6411-2016</t>
  </si>
  <si>
    <t>Sanges, Sebastien/0000-0003-0280-411X; Humbert, Marc/0000-0003-0703-2892; Sobanski, Vincent/0000-0003-3083-2441</t>
  </si>
  <si>
    <t>10.1002/ehf2.12507</t>
  </si>
  <si>
    <t>SEP 2019</t>
  </si>
  <si>
    <t>KG3WV</t>
  </si>
  <si>
    <t>WOS:000487460700001</t>
  </si>
  <si>
    <t>Lambert, M; Capuano, V; Boet, A; Tesson, L; Bertero, T; Nakhleh, MK; Remy, S; Anegon, I; Pechoux, C; Hautefort, A; Rucker-Martin, C; Manoury, B; Domergue, V; Mercier, O; Girerd, B; Montani, D; Perros, F; Humbert, M; Antigny, F</t>
  </si>
  <si>
    <t>Lambert, Melanie; Capuano, Veronique; Boet, Angele; Tesson, Laurent; Bertero, Thomas; Nakhleh, Morad K.; Remy, Severine; Anegon, Ignacio; Pechoux, Christine; Hautefort, Aurelie; Rucker-Martin, Catherine; Manoury, Boris; Domergue, Valrie; Mercier, Olaf; Girerd, Barbara; Montani, David; Perros, Frederic; Humbert, Marc; Antigny, Fabrice</t>
  </si>
  <si>
    <t>Characterization of Kcnk3-Mutated Rat, a Novel Model of Pulmonary Hypertension</t>
  </si>
  <si>
    <t>echocardiography; exon; extracellular matrix; hypoxia; rats</t>
  </si>
  <si>
    <t>TO-MESENCHYMAL TRANSITION; ARTERIAL-HYPERTENSION; SMOOTH-MUSCLE; KCNK3 CONTRIBUTES; UP-REGULATION; MITOCHONDRIAL; CHANNELS; ACTIVATION; HYPOXIA; LEADS</t>
  </si>
  <si>
    <t>Rationale: Pulmonary arterial hypertension is a severe lethal cardiopulmonary disease. Loss of function mutations in KCNK3 (potassium channel subfamily K member 3) gene, which encodes an outward rectifier K+ channel, have been identified in pulmonary arterial hypertension patients. Objective: We have demonstrated that KCNK3 dysfunction is common to heritable and nonheritable pulmonary arterial hypertension and to experimental pulmonary hypertension (PH). Finally, KCNK3 is not functional in mouse pulmonary vasculature. Methods and Results: Using CRISPR/Cas9 technology, we generated a 94 bp out of frame deletion in exon 1 of Kcnk3 gene and characterized these rats at the electrophysiological, echocardiographic, hemodynamic, morphological, cellular, and molecular levels to decipher the cellular mechanisms associated with loss of KCNK3. Using patch-clamp technique, we validated our transgenic strategy by demonstrating the absence of KCNK3 current in freshly isolated pulmonary arterial smooth muscle cells from Kcnk3-mutated rats. At 4 months of age, echocardiographic parameters revealed shortening of the pulmonary artery acceleration time associated with elevation of the right ventricular systolic pressure. Kcnk3-mutated rats developed more severe PH than wild-type rats after monocrotaline exposure or chronic hypoxia exposure. Kcnk3-mutation induced a lung distal neomuscularization and perivascular extracellular matrix activation. Lungs of Kcnk3-mutated rats were characterized by overactivation of ERK1/2 (extracellular signal-regulated kinase1-/2), AKT (protein kinase B), SRC, and overexpression of HIF1-alpha (hypoxia-inducible factor-1 alpha), survivin, and VWF (Von Willebrand factor). Linked with plasma membrane depolarization, reduced endothelial-NOS expression and desensitization of endothelial-derived hyperpolarizing factor, Kcnk3-mutated rats presented predisposition to vasoconstriction of pulmonary arteries and a severe loss of sildenafil-induced pulmonary arteries relaxation. Moreover, we showed strong alteration of right ventricular cardiomyocyte excitability. Finally, Kcnk3-mutated rats developed age-dependent PH associated with low serum-albumin concentration. Conclusions: We established the first Kcnk3-mutated rat model of PH. Our results confirm that KCNK3 loss of function is a key event in pulmonary arterial hypertension pathogenesis. This model presents new opportunities for understanding the initiating mechanisms of PH and testing biologically relevant therapeutic molecules in the context of PH.</t>
  </si>
  <si>
    <t>[Lambert, Melanie; Capuano, Veronique; Boet, Angele; Nakhleh, Morad K.; Hautefort, Aurelie; Rucker-Martin, Catherine; Mercier, Olaf; Girerd, Barbara; Montani, David; Perros, Frederic; Humbert, Marc; Antigny, Fabrice] Univ Paris Saclay, Fac Med, Univ Paris Sud, Le Kremlin Bicetre, France; [Lambert, Melanie; Capuano, Veronique; Boet, Angele; Nakhleh, Morad K.; Hautefort, Aurelie; Rucker-Martin, Catherine; Mercier, Olaf; Girerd, Barbara; Montani, David; Perros, Frederic; Humbert, Marc; Antigny, Fabrice] Hop Bicetre, AP HP, Ctr Reference Hypertens Pulmonaire, Serv Pneumol, Le Kremlin Bicetre, France; [Bertero, Thomas] Univ Cote dAzur, CNRS, IPMC, Valbonne, France; [Tesson, Laurent; Remy, Severine; Anegon, Ignacio] Univ Nantes, INSERM, Ctr Rech Transplantat &amp; Immunol, UMR 1064, Nantes, France; [Tesson, Laurent; Remy, Severine; Anegon, Ignacio] PTransgen Rat ImmunoPhen Trip Facil Nantes, Nantes, France; [Pechoux, Christine] Univ Paris Saclay, AgroParis Tech, INRA, GABI, F-78350 Jouy En Josas, France; [Manoury, Boris] Univ Paris Saclay, INSERM, Univ Paris Sud, Signalisat &amp; Physiopathol Cardiovasc UMR S 1180, Chatenay Malabry, France; [Domergue, Valrie] Univ Paris Saclay, Univ Paris Sud, Inst Paris Saclay Innovat Therapeutigue UMS IPSIT, Anim Facil, Chatenay Malabry, France; [Perros, Frederic] Laval Univ, Ctr Rech Inst Univ Cardiol &amp; Pneumol Quebec, Laval, PQ, Canada</t>
  </si>
  <si>
    <t>Universite Paris Saclay; Universite Paris Saclay; Assistance Publique Hopitaux Paris (APHP); Hopital Universitaire Antoine-Beclere - APHP; Hopital Universitaire Bicetre - APHP; Universite Cote d'Azur; Centre National de la Recherche Scientifique (CNRS); Nantes Universite; Institut National de la Sante et de la Recherche Medicale (Inserm); Universite Paris Saclay; AgroParisTech; INRAE; Institut National de la Sante et de la Recherche Medicale (Inserm); Universite Paris Saclay; Universite Paris Saclay; Laval University</t>
  </si>
  <si>
    <t>fabrice.antigny@u-psud.fr</t>
  </si>
  <si>
    <t>Anegon, Ignacio/I-7760-2018; David, Montani/I-6885-2019; Manoury, Boris/P-1066-2016; Antigny, Fabrice/Q-3999-2018; Humbert, Marc/AAC-8459-2019; Perros, Frederic/N-6921-2017</t>
  </si>
  <si>
    <t>Mercier, Olaf/0000-0002-4760-6267; Antigny, Fabrice/0000-0002-9515-6571; Humbert, Marc/0000-0003-0703-2892; Montani, David/0000-0002-9358-6922; BERTERO, Thomas/0000-0002-4801-9902; Perros, Frederic/0000-0001-7730-2427; Boet, Angele/0000-0003-1510-3347</t>
  </si>
  <si>
    <t>Fondation du Souffle et Fonds de Dotation Recherche en Sante Respiratoire from the Fondation Lefoulon-Delalande; Fondation Legs Poix; National Funding Agency for Research [ANR-18-CE14-0023]; Fondation maladies rares; Therapeutic Innovation Doctoral School [ED569]</t>
  </si>
  <si>
    <t>Fondation du Souffle et Fonds de Dotation Recherche en Sante Respiratoire from the Fondation Lefoulon-Delalande; Fondation Legs Poix; National Funding Agency for Research; Fondation maladies rares; Therapeutic Innovation Doctoral School</t>
  </si>
  <si>
    <t>F. Antigny receives funding from the Fondation du Souffle et Fonds de Dotation Recherche en Sante Respiratoire from the Fondation Lefoulon-Delalande and from the Fondation Legs Poix. He also received funding from the National Funding Agency for Research: ANR-18-CE14-0023. F. Perros received funding from Fondation maladies rares in the frame of the small-animal models and rare diseases program to generate the Kcnk3-mutant rats. M. Lambert is supported by Therapeutic Innovation Doctoral School (ED569).</t>
  </si>
  <si>
    <t>SEP 13</t>
  </si>
  <si>
    <t>10.1161/CIRCRESAHA.119.314793</t>
  </si>
  <si>
    <t>IY1QY</t>
  </si>
  <si>
    <t>WOS:000486168000003</t>
  </si>
  <si>
    <t>Bousquet, JJ; Schünemann, HJ; Togias, A; Erhola, M; Hellings, PW; Zuberbier, T; Agache, I; Ansotegui, IJ; Anto, JM; Bachert, C; Becker, S; Bedolla-Barajas, M; Bewick, M; Bosnic-Anticevich, S; Bosse, I; Boulet, LP; Bourrez, JM; Brusselle, G; Chavannes, N; Costa, E; Cruz, AA; Czarlewski, W; Fokkens, WJ; Fonseca, JA; Gaga, M; Haahtela, T; Illario, M; Klimek, L; Kuna, P; Kvedariene, V; Le, LTT; Larenas-Linnemann, D; Laune, D; Lourenço, OM; Menditto, E; Mullo, J; Okamoto, Y; Papadopoulos, N; Nhân, PT; Picard, R; Pinnock, H; Roche, N; Roller-Wirnsberger, RE; Rolland, C; Samolinski, B; Sheikh, A; Toppila-Salmi, S; Tsiligianni, I; Valiulis, A; Valovirta, E; Vasankari, T; Ventura, MT; Walker, S; Williams, S; Akdis, CA; Annesi-Maesano, I; Arnavielhe, S; Basagana, X; Bateman, E; Bedbrook, A; Bennoor, KS; Benveniste, S; Bergmann, KC; Bia, S; Billo, N; Bindslev-Jensen, C; Bjermer, L; Blain, H; Bonini, M; Bonniaud, P; Bouchard, J; Briedis, V; Brightling, CE; Brozek, J; Buhl, R; Buonaiuto, R; Canonica, GW; Cardona, V; Carriazo, AM; Carr, W; Cartier, C; Casale, T; Cecchi, L; Sarabia, AMC; Chkhartishvili, E; Chu, DK; Cingi, C; Colgan, E; de Sousa, JC; Courbis, AL; Custovic, A; Cvetkosvki, B; D'Amato, G; da Silva, J; Dantas, C; Dokic, D; Dauvilliers, Y; Dedeu, A; De Feo, G; Devillier, P; Di Capua, S; Dykewickz, M; Dubakiene, R; Ebisawa, M; El-Gamal, Y; Eller, E; Emuzyte, R; Farrell, J; Fink-Wagner, A; Fiocchi, A; Fontaine, JF; Gemicioglu, B; Schmid-Grendelmeir, P; Gamkrelidze, A; Garcia-Aymerich, J; Gomez, M; Diaz, SG; Gotua, M; Guldemond, NA; Guzmán, MA; Hajjam, J; Hourihane, JO; Humbert, M; Iaccarino, G; Ierodiakonou, D; Ivancevich, JC; Joos, G; Jung, KS; Jutel, M; Kaidashev, I; Kalayci, O; Kardas, P; Keil, T; Khaitov, M; Khaltaev, N; Kleine-Tebbe, J; Kowalski, ML; Kritikos, V; Kull, I; Leonardini, L; Lieberman, P; Lipworth, B; Carlsen, KCL; Loureiro, CC; Louis, R; Mair, A; Marien, G; Mahboub, B; Malva, J; Manning, P; Keenoy, ED; Marshall, GD; Masjedi, MR; Maspero, JF; Mathieu-Dupas, E; Matricardi, PM; Melén, E; Melo-Gomes, E; Meltzer, EO; Mercier, J; Miculinic, N; Mihaltan, F; Milenkovic, B; Moda, G; Mogica-Martinezl, MD; Mohammad, Y; Montefort, S; Monti, R; Morais-Almeida, M; Mösges, R; Münter, L; Muraro, A; Murray, R; Naclerio, R; Napoli, L; Namazova-Baranova, L; Neffen, H; Nekam, K; Neou, A; Novellino, E; Nyembue, D; O'Hehir, R; Ohta, K; Okubo, K; Onorato, G; Ouedraogo, S; Pali-Schöll, I; Palkonen, S; Panzner, P; Park, HS; Pépin, JL; Pereira, AM; Pfaar, O; Paulino, E; Phillips, J; Plavec, D; Popov, TA; Portejoie, F; Price, D; Prokopakis, EP; Pugin, B; Raciborski, F; Rajabian-Söderlund, R; Reitsma, S; Rodo, X; Romano, A; Rosario, N; Rottem, M; Ryan, D; Salimäki, J; Sanchez-Borges, MM; Sisul, JC; Solé, D; Somekh, D; Sooronbaev, T; Sova, M; Spranger, O; Stellato, C; Stelmach, R; Ulrik, CS; Thibaudon, M; To, T; Todo-Bom, A; Tomazic, PV; Valero, AA; Valenta, R; Valentin-Rostan, M; van der Kleij, R; Vandenplas, O; Vezzani, G; Viart, F; Vieg, G; Wallace, D; Wagenmann, M; Wang, DY; Waserman, S; Wickman, M; Williams, DM; Wong, G; Wroczynski, P; Yiallouros, PK; Yorgancioglu, A; Yusuf, OM; Zar, HJ; Zeng, S; Zernotti, M; Zhang, L; Zhong, NS; Zidarn, M</t>
  </si>
  <si>
    <t>Bousquet, J. Jean; Schunemann, Holger J.; Togias, Alkis; Erhola, Marina; Hellings, Peter W.; Zuberbier, Torsten; Agache, Ioana; Ansotegui, Ignacio J.; Anto, Josep M.; Bachert, Claus; Becker, Sven; Bedolla-Barajas, Martin; Bewick, Michael; Bosnic-Anticevich, Sinthia; Bosse, Isabelle; Boulet, Louis P.; Bourrez, Jean Marc; Brusselle, Guy; Chavannes, Niels; Costa, Elisio; Cruz, Alvaro A.; Czarlewski, Wienczyslawa; Fokkens, Wytske J.; Fonseca, Joao A.; Gaga, Mina; Haahtela, Tari; Illario, Maddalena; Klimek, Ludger; Kuna, Piotr; Kvedariene, Violeta; Le, L. T. T.; Larenas-Linnemann, Desiree; Laune, Daniel; Lourenco, Olga M.; Menditto, Enrica; Mullo, Joaquin; Okamoto, Yashitaka; Papadopoulos, Nikos; Nhan Pham-Thi; Picard, Robert; Pinnock, Hilary; Roche, Nicolas; Roller-Wirnsberger, Regina E.; Rolland, Christine; Samolinski, Boleslaw; Sheikh, Aziz; Toppila-Salmi, Sanna; Tsiligianni, Ioanna; Valiulis, Arunas; Valovirta, Erkka; Vasankari, Tuula; Ventura, Maria-Teresa; Walker, Samantha; Williams, Sian; Akdis, Cezmi A.; Annesi-Maesano, Isabella; Arnavielhe, Sylvie; Basagana, Xavier; Bateman, Eric; Bedbrook, Anna; Bennoor, K. S.; Benveniste, Samuel; Bergmann, Karl C.; Bia, Slawomir; Billo, Nils; Bindslev-Jensen, Carsten; Bjermer, Leif; Blain, Hubert; Bonini, Mateo; Bonniaud, Philippe; Bouchard, Jacques; Briedis, Vitalis; Brightling, Christofer E.; Brozek, Jan; Buhl, Roland; Buonaiuto, Roland; Canonica, Giorgo W.; Cardona, Victoria; Carriazo, Ana M.; Carr, Warner; Cartier, Christine; Casale, Thomas; Cecchi, Lorenzo; Cepeda Sarabia, Alfonso M.; Chkhartishvili, Eka; Chu, Derek K.; Cingi, Cemal; Colgan, Elaine; de Sousa, Jaime Correia; Courbis, Anne Lise; Custovic, Adnan; Cvetkosvki, Biljana; D'Amato, Gennaro; da Silva, Jane; Dantas, Carina; Dokic, Dejand; Dauvilliers, Yves; Dedeu, Antoni; De Feo, Giulia; Devillier, Philippe; Di Capua, Stefania; Dykewickz, Marc; Dubakiene, Ruta; Ebisawa, Motohiro; El-Gamal, Yaya; Eller, Esben; Emuzyte, Regina; Farrell, John; Fink-Wagner, Antjie; Fiocchi, Alessandro; Fontaine, Jean F.; Gemicioglu, Bilun; Schmid-Grendelmeir, Peter; Gamkrelidze, Amiran; Garcia-Aymerich, Judith; Gomez, Maximiliano; Gonzalez Diaz, Sandra; Gotua, Maia; Guldemond, Nick A.; Guzman, Maria-Antonieta; Hajjam, Jawad; Hourihane, John O'B; Humbert, Marc; Iaccarino, Guido; Ierodiakonou, Despo; Ivancevich, Juan C.; Joos, Guy; Jung, Ki-Suck; Jutel, Marek; Kaidashev, Igor; Kalayci, Omer; Kardas, Przemyslaw; Keil, Thomas; Khaitov, Mussa; Khaltaev, Nikolai; Kleine-Tebbe, Jorg; Kowalski, Marek L.; Kritikos, Vicky; Kull, Inger; Leonardini, Lisa; Lieberman, Philip; Lipworth, Brian; Carlsen, Karin C. Lodrup; Loureiro, Claudia C.; Louis, Renaud; Mair, Alpana; Marien, Gert; Mahboub, Bassam; Malva, Joao; Manning, Patrick; Keenoy, Esteban De Manuel; Marshall, Gallen D.; Masjedi, Mohamed R.; Maspero, Jorge F.; Mathieu-Dupas, Eve; Matricardi, Poalo M.; Melen, Eric; Melo-Gomes, Elisabete; Meltzer, Eli O.; Mercier, Jacques; Miculinic, Neven; Mihaltan, Florin; Milenkovic, Branislava; Moda, Giuliana; Mogica-Martinezl, Maria-Dolores; Mohammad, Yousser; Montefort, Steve; Monti, Ricardo; Morais-Almeida, Mario; Moesges, Raft; Munter, Lars; Muraro, Antonella; Murray, Ruth; Naclerio, Robert; Napoli, Luigi; Namazova-Baranova, Leila; Neffen, Hugo; Nekam, Kristoff; Neou, Angelo; Novellino, Enrico; Nyembue, Dieudonne; O'Hehir, Robin; Ohta, Ken; Okubo, Kimi; Onorato, Gabrielle; Ouedraogo, Solange; Pali-Schoell, Isabella; Palkonen, Susanna; Panzner, Peter; Park, Hae-Sim; Pepin, Jean-Louis; Pereira, Ana-Maria; Pfaar, Oliver; Paulino, Ema; Phillips, Jim; Plavec, Davor; Popov, Ted A.; Portejoie, Fabienne; Price, David; Prokopakis, Emmanuel P.; Pugin, Benoit; Raciborski, Filip; Rajabian-Soderlund, Rojin; Reitsma, Sietze; Rodo, Xavier; Romano, Antonino; Rosario, Nelson; Rottem, Menahenm; Ryan, Dermot; Salimaki, Johanna; Sanchez-Borges, Mario M.; Sisul, Juan-Carlos; Sole, Dirceu; Somekh, David; Sooronbaev, Talant; Sova, Milan; Spranger, Otto; Stellato, Cristina; Stelmach, Rafael; Ulrik, Charlotte Suppli; Thibaudon, Michel; To, Teresa; Todo-Bom, Ana; Tomazic, Peter, V; Valero, Antonio A.; Valenta, Rudolph; Valentin-Rostan, Marylin; van der Kleij, Rianne; Vandenplas, Olivier; Vezzani, Giorgio; Viart, Frederic; Vieg, Giovanni; Wallace, Dana; Wagenmann, Martin; Wang, De Y.; Waserman, Susan; Wickman, Magnus; Williams, Dennis M.; Wong, Gary; Wroczynski, Piotr; Yiallouros, Panayiotis K.; Yorgancioglu, Arzu; Yusuf, Osman M.; Zar, Heahter J.; Zeng, Stephane; Zernotti, Mario; Zhang, Luo; Zhong, Nan S.; Zidarn, Mihaela</t>
  </si>
  <si>
    <t>ARIA Study Grp; MASK Study Grp</t>
  </si>
  <si>
    <t>Next-generation ARIA care pathways for rhinitis and asthma: a model for multimorbid chronic diseases</t>
  </si>
  <si>
    <t>Health care transformation; Care pathways; Rhinitis; ARIA; MASK; POLLAR</t>
  </si>
  <si>
    <t>EUROPEAN INNOVATION PARTNERSHIP; CHRONIC RESPIRATORY-DISEASES; SEASONAL ALLERGIC RHINITIS; SELF-MANAGEMENT; BUDESONIDE-FORMOTEROL; PATIENT-CARE; HEALTH; IMPACT; INTERMITTENT; GUIDELINES</t>
  </si>
  <si>
    <t>Background In all societies, the burden and cost of allergic and chronic respiratory diseases are increasing rapidly. Most economies are struggling to deliver modern health care effectively. There is a need to support the transformation of the health care system into integrated care with organizational health literacy. Main body As an example for chronic disease care, MASK (Mobile Airways Sentinel NetworK), a new project of the ARIA (Allergic Rhinitis and its Impact on Asthma) initiative, and POLLAR (Impact of Air POLLution on Asthma and Rhinitis, EIT Health), in collaboration with professional and patient organizations in the field of allergy and airway diseases, are proposing real-life ICPs centred around the patient with rhinitis, and using mHealth to monitor environmental exposure. Three aspects of care pathways are being developed: (i) Patient participation, health literacy and self-care through technology-assisted patient activation, (ii) Implementation of care pathways by pharmacists and (iii) Next-generation guidelines assessing the recommendations of GRADE guidelines in rhinitis and asthma using real-world evidence (RWE) obtained through mobile technology. The EU and global political agendas are of great importance in supporting the digital transformation of health and care, and MASK has been recognized by DG Sante as a Good Practice in the field of digitally-enabled, integrated, person-centred care. Conclusion In 20 years, ARIA has considerably evolved from the first multimorbidity guideline in respiratory diseases to the digital transformation of health and care with a strong political involvement.</t>
  </si>
  <si>
    <t>[Bousquet, J. Jean; Bedbrook, Anna; Onorato, Gabrielle; Portejoie, Fabienne] CHU, Fondat Partenariale FMC VIA LR, MACVIA France, F-34295 Montpellier 5, France; [Bousquet, J. Jean] Villejuif Univ Versailles St Quentin En Yvelines, VIMA Ageing &amp; Chron Dis Epidemiol &amp; Publ Hlth App, INSERM U 1168, UMR S 1168, Montigny Le Bretonneux, France; [Bousquet, J. Jean; Hellings, Peter W.; Fokkens, Wytske J.; Chu, Derek K.; Marien, Gert; Pugin, Benoit; Reitsma, Sietze] European Forum Res &amp; Educ Allergy &amp; Airway Dis EU, Brussels, Belgium; [Bousquet, J. Jean; Zuberbier, Torsten; Bergmann, Karl C.] Charite Univ Med Berlin, Berlin, Germany; [Bousquet, J. Jean; Zuberbier, Torsten; Bergmann, Karl C.] Free Univ Berlin, Berlin, Germany; [Bousquet, J. Jean; Zuberbier, Torsten; Bergmann, Karl C.] Humboldt Uniersitat Berlin, Berlin, Germany; [Zuberbier, Torsten; Bergmann, Karl C.] Berlin Inst Hlth, Comprehens Allergy Ctr, GA2LEN, Dept Dermatol &amp; Allergy, Berlin, Germany; [Schunemann, Holger J.; Brozek, Jan] McMaster Univ, Dept Clin Epidemiol &amp; Biostat, Hamilton, ON, Canada; [Togias, Alkis] NIAID, DAIT, NIH, 9000 Rockville Pike, Bethesda, MD 20892 USA; [Erhola, Marina] Natl Inst Hlth &amp; Welf, Helsinki, Finland; [Hellings, Peter W.] Univ Hosp Leuven, Dept Otorhinolaryngol, Louvain, Belgium; [Hellings, Peter W.] Univ Amsterdam, Acad Med Ctr, Amsterdam, Netherlands; [Agache, Ioana] Transylvania Univ, Fac Med, Brasov, Romania; [Ansotegui, Ignacio J.] Hosp Quironsalud Bizkaia, Dept Allergy &amp; Immunol, Erandio, Spain; [Anto, Josep M.; Basagana, Xavier; Garcia-Aymerich, Judith; Rodo, Xavier] Ctr Res Environm Epidemiol CREAL, ISGlobAL, Barcelona, Spain; [Anto, Josep M.; Basagana, Xavier] Hosp del Mar, Res Inst, IMIM, Barcelona, Spain; [Anto, Josep M.; Basagana, Xavier] CIBERESP, Barcelona, Spain; [Anto, Josep M.; Basagana, Xavier] UPF, Barcelona, Spain; [Bachert, Claus] Ghent Univ Hosp, ENT Dept, Upper Airways Res Lab, Ghent, Belgium; [Becker, Sven] Johannes Gutenberg Univ Mainz, Dept Otolaryngol Head &amp; Neck Surg, Mainz, Germany; [Bedolla-Barajas, Martin] Hosp Civil Guadalajara Dr Juan I Menchaca, Guadalarara, Mexico; [Bewick, Michael] iQ4U Consultants Ltd, London, England; [Bosnic-Anticevich, Sinthia; Cvetkosvki, Biljana; Kritikos, Vicky] Univ Sydney, Woolcock Inst Med Res, Sydney, NSW, Australia; [Bosnic-Anticevich, Sinthia; Cvetkosvki, Biljana; Kritikos, Vicky] Woolcock Emphysema Ctr, Sydney, NSW, Australia; [Bosnic-Anticevich, Sinthia; Cvetkosvki, Biljana; Kritikos, Vicky] Sydney Local Hlth Dist, Glebe, NSW, Australia; [Boulet, Louis P.; Joos, Guy] Laval Univ, Quebec Heart &amp; Lung Inst, Quebec City, PQ, Canada; [Bourrez, Jean Marc] EFT Hlth France, Paris, France; [Brusselle, Guy] Ghent Univ Hosp, Dept Resp Med, Ghent, Belgium; [Chavannes, Niels; van der Kleij, Rianne] Leiden Univ, Dept Publ Hlth &amp; Primary Care, Med Ctr, Leiden, Netherlands; [Costa, Elisio] Univ Porto, Porto4Ageing, Fac Pharm, UCIBIO,REQUINTE, Porto, Portugal; [Costa, Elisio] Univ Porto, Porto4Ageing, Competence Ctr Act &amp; Hlth Ageing, Porto, Portugal; [Cruz, Alvaro A.] Univ Fed Bahia, ProAR Nucleo Excelencia Asma, Salvador, BA, Brazil; [Cruz, Alvaro A.] WHO GARD Planning Grp, Salvador, BA, Brazil; [Czarlewski, Wienczyslawa] Med Consulting Czarlewski, Levallois Perret, France; [Fokkens, Wytske J.; Reitsma, Sietze] Amsterdam Univ Med Ctr, Dept Otorhinolaryngol, AMC, Amsterdam, Netherlands; [Fonseca, Joao A.] Univ Porto, Fac Med, Ctr Res Hlth Technol &amp; Informat Syst, CINITESIS, Porto, Portugal; [Fonseca, Joao A.; Illario, Maddalena] Medida Lda, Porto, Portugal; [Gaga, Mina] Athens Chest Hosp, Resp Med Dept 7, Athens, Greece; [Gaga, Mina] Athens Chest Hosp, Asthma Ctr, Athens, Greece; [Haahtela, Tari; Toppila-Salmi, Sanna] Helsinki Univ Hosp, Skin &amp; Allergy Hosp, Helsinki, Finland; [Haahtela, Tari; Toppila-Salmi, Sanna] Univ Helsinki, Helsinki, Finland; [Illario, Maddalena] Campania Reg, Div Hlth Innovat, Naples, Italy; [Illario, Maddalena] Federico II Univ Hosp Naples, R&amp;D, Naples, Italy; [Illario, Maddalena] Federico II Univ Hosp Naples, DISMET, Naples, Italy; [Klimek, Ludger] Ctr Rhinol &amp; Allergol, Wiesbaden, Germany; [Kuna, Piotr] Med Univ Lodz, Barlicki Univ Hosp, Div Internal Med Asthma &amp; Allergy, Lodz, Poland; [Kvedariene, Violeta] Vilnius Univ, Fac Med, Vilnius, Lithuania; [Le, L. T. T.] Univ Med &amp; Pharm, Hochiminh City, Vietnam; [Larenas-Linnemann, Desiree] Med Sur Clin Fdn &amp; Hosp, Ctr Excellence Asthma &amp; Allergy, Mexico City, DF, Mexico; [Laune, Daniel; Arnavielhe, Sylvie; Mathieu-Dupas, Eve] KYomed INNOV, Montpellier, France; [Lourenco, Olga M.] Univ Beira Interior, Fac Hlth Sci, Covilha, Portugal; [Lourenco, Olga M.] Univ Beira Interior, Hlth Sci Res Ctr, CICS UBI, Covilha, Portugal; [Menditto, Enrica] Univ Naples Federico II, CIRFF, Naples, Italy; [Mullo, Joaquin] Hosp Clin Barcelona, ENT Dept, Rhinol Unit, Barcelona, Spain; [Mullo, Joaquin] Hosp Clin Barcelona, ENT Dept, Smell Clin, Barcelona, Spain; [Mullo, Joaquin] Univ Barcelona, CIBERES, IDIBAPS, Clin &amp; Expt Resp Immunoallergy, Barcelona, Spain; [Okamoto, Yashitaka] Chiba Univ Hosp, Dept Otorhinolaryngol, Chiba, Japan; [Papadopoulos, Nikos] Univ Manchester, Royal Manchester Childrens Hosp, Div Infect Immun &amp; Resp Med, Manchester, Lancs, England; [Papadopoulos, Nikos] Univ Athens, Athens Gen Childrens Hosp P&amp;A Kyriakou, Pediat Clin 2, Allergy Dept, Athens, Greece; [Nhan Pham-Thi] Pasteur Inst, Allergy Dept, Paris, France; [Picard, Robert] Minist Econ Ind &amp; Numer, Conseil Gen Econ, Paris, France; [Pinnock, Hilary; Sheikh, Aziz] Univ Edinburgh, Usher Inst Populat Hlth Sci &amp; Informat, Edinburgh, Midlothian, Scotland; [Roche, Nicolas] Hop Univ Paris, Ctr Hop Cochin, Pneumol &amp; Soins Intensifs Resp, Paris, France; [Roller-Wirnsberger, Regina E.] Med Univ Graz, Dept Internal Med, Graz, Austria; [Rolland, Christine] Assoc Asthme &amp; Allergie, Paris, France; [Samolinski, Boleslaw; Raciborski, Filip] Med Univ Warsaw, Dept Prevent Environm Hazards &amp; Allergol, Warsaw, Poland; [Tsiligianni, Ioanna; Ierodiakonou, Despo] Univ Crete, Fac Med, Dept Social Med, Hlth Planning Unit, Iraklion, Greece; [Tsiligianni, Ioanna] IPCRG, Aberdeen, Scotland; [Valiulis, Arunas] Vilnius Univ, Fac Med, Inst Clin Med, Vilnius, Lithuania; [Valiulis, Arunas] Vilnius Univ, Fac Med, Inst Hlth Sci, Vilnius, Lithuania; [Valovirta, Erkka; Williams, Sian; Ierodiakonou, Despo] Univ Turku, Dept Lung Dis &amp; Clin Immunol, Turku, Finland; [Valovirta, Erkka; Williams, Sian; Ierodiakonou, Despo] Terveystalo Allergy Clin, Turku, Finland; [Vasankari, Tuula] Finnish Lung Assoc, FILHA, Helsinki, Finland; [Ventura, Maria-Teresa; Walker, Samantha] Univ Bari, Med Sch, Unit Geriatr Immunoallergol, Bari, Italy; [Akdis, Cezmi A.] Univ Zurich, Swiss Inst Allergy &amp; Asthma Res SIAF, Davos, Switzerland; [Annesi-Maesano, Isabella] INSERM, Dept Inst Pierre Louis Epidemiol &amp; Publ Hlth, Epidemiol Allerg &amp; Resp Dis, Paris, France; [Annesi-Maesano, Isabella] Sorbonne Univ, Med Sch St Antoine, Paris, France; [Bateman, Eric] Univ Cape Town, Dept Med, Cape Town, South Africa; [Bennoor, K. S.] Natl Inst Dis Chest &amp; Hosp, Dept Resp Med, Dhaka, Bangladesh; [Benveniste, Samuel] Broca Hosp, Natl Ctr Expertise Cognit Stimulat CEN STIMCO, Paris, France; [Bia, Slawomir; Wroczynski, Piotr] Warsaw Med Univ, Div Lab Med, Fac Pharm, Dept Biochem &amp; Clin Chem, Warsaw, Poland; [Billo, Nils] Global Alliance Chron Resp Dis WHO GARD, Joensuu, Finland; [Bindslev-Jensen, Carsten; Eller, Esben] Odense Univ Hosp, Odense Res Ctr Anaphylaxis, Dept Dermatol, Odense, Denmark; [Bindslev-Jensen, Carsten; Eller, Esben] Odense Univ Hosp, Odense Res Ctr Anaphylaxis, Allergy Ctr, Odense, Denmark; [Bindslev-Jensen, Carsten; Eller, Esben] Termofischer Sci, Uppsala, Sweden; [Bjermer, Leif] Univ Hosp, Dept Resp Med &amp; Allergol, Lund, Sweden; [Blain, Hubert] Montpellier Univ Hosp, Dept Geriatr, Montpellier, France; [Blain, Hubert] Univ Montpellier, EA Euromov 2991, Montpellier, France; [Bonini, Mateo] Univ Cattolica Sacro Cuore, F Policlin Gemelli IRCCS, UOC Pneumol, Ist Med Interna, Rome, Italy; [Bonini, Mateo] Royal Brompton Hosp, Natl Heart &amp; Lung Inst, London, England; [Bonini, Mateo] Imperial Coll, London, England; [Bonniaud, Philippe] CHU, Dijon, France; [Bouchard, Jacques] Lavals Univ, Clin Med, Quebec City, PQ, Canada; [Bouchard, Jacques] Hop Malbaie, Med Dept, Quebec City, PQ, Canada; [Briedis, Vitalis] Univ Hlth, Dept Clin Pharm Lithuanian, Kaunas, Lithuania; [Brightling, Christofer E.] Univ Hosp Leicester NHS Trust, Inst Lung Hlth, Resp Biomed Unit, Leicester, Leics, England; [Brightling, Christofer E.] Univ Leicester, Dept Infect Immun &amp; Inflammat, Leicester, Leics, England; [Buhl, Roland] Johannes Gutenberg Univ Mainz, Univ Med, Mainz, Germany; [Buonaiuto, Roland] Municipal Pharm, Sarno, Italy; [Canonica, Giorgo W.] Humanitas Univ, Humanitas Res Hosp, Personalized Med Clin Asthma &amp; Allergy, Milan, Italy; [Cardona, Victoria] Hosp Valle De Hebron, Dept Internal Med, Allergy Sect, Barcelona, Spain; [Cardona, Victoria] ARADyAL Res Network, Barcelona, Spain; [Carriazo, Ana M.] Reg Minist Hlth Andalusia, Seville, Spain; [Carr, Warner] Allergy &amp; Asthma Associates Southern Calif, Mission Viejo, CA USA; [Cartier, Christine; Viart, Frederic] Adv Solut Accelerator, Clapiers, France; [Casale, Thomas] Univ S Florida, Div Allergy Immunol, Tampa, FL USA; [Cecchi, Lorenzo] USL Toscana Ctr, SOS Allergol &amp; Clin Immunol, Prato, Italy; [Cepeda Sarabia, Alfonso M.] Simon Bolivar Univ, Metropolitan Univ, Allergy &amp; Immunol Lab, Barranquilla, Colombia; [Cepeda Sarabia, Alfonso M.] SLaai, Barranquilla, Colombia; [Chkhartishvili, Eka] Grigol Robakidze Univ, David Tvildiani Med Univ, AIETI Med Sch, Chachava Clin, Tbilisi, Georgia; [Cingi, Cemal] Eskisehir Osmangazi Univ, Med Fac, ENT Dept, Eskisehir, Turkey; [Colgan, Elaine] Dept Hlth Social Serv &amp; Publ Safety, Belfast, Antrim, North Ireland; [de Sousa, Jaime Correia] Univ Minho, Sch Med, Life &amp; Hlth Sci Res Inst ICVS, Braga, Portugal; [de Sousa, Jaime Correia; Farrell, John] ICVS 3Bs, PT Govt Associate Lab, Braga, Portugal; [Courbis, Anne Lise] Ecole Mines, Ales, France; [Custovic, Adnan] Univ Manchester, Ctr Resp Med &amp; Allergy, Inst Inflammat &amp; Repair, Manchester, Lancs, England; [Custovic, Adnan] Univ Hosp South Manchester, Manchester, Lancs, England; [D'Amato, Gennaro] High Specialty Hosp A Cardarelli, Dept Resp Dis, Div Resp &amp; Allerg Dis, Naples, Italy; [da Silva, Jane] Univ Hosp Fed Univ Santa Catarina HU UFSQ, Allergy Serv, Florianopolis, SC, Brazil; [Dantas, Carina] Caritas Diocesana Coimbra, Coimbra, Portugal; [Dantas, Carina; Malva, Joao] Ageing Coimbra EIP AHA Reference Site, Coimbra, Portugal; [Dokic, Dejand] Univ Clin Pulmonol &amp; Allergy, Med Fac Skopje, Skopje, North Macedonia; [Dauvilliers, Yves] Hop Gui de Chauliac Montpellier, Sleep Unit, Dept Neurol, Inserm U1061, Montpellier, France; [Dedeu, Antoni] AQuAS, Barcelna, Spain; [Dedeu, Antoni] European Reg &amp; Local Hlth Assoc, EUREGHA, Brussels, Belgium; [De Feo, Giulia; Stellato, Cristina] Univ Salerno, Scuola Med Salernitana, Dept Med Surg &amp; Dent, Salerno, Italy; [Devillier, Philippe] Univ Paris Saclay, Hop Foch, Pole Malad Voies Resp, UPRES EA220, Suresnes, France; [Di Capua, Stefania] Farmacie Golfi Grp, Massa Lubrense, Italy; [Dykewickz, Marc] St Louis Univ, Sch Med, Sect Allergy &amp; Immunol, St Louis, MO USA; [Dubakiene, Ruta] Vilnius Univ, Clin Infect Chest Dis Dermatol &amp; Allergol, Vilnius, Lithuania; [Ebisawa, Motohiro] Sagamihara Natl Hosp, Clin Res Ctr Allergy &amp; Rheumatol, Sagamihara, Kanagawa, Japan; [El-Gamal, Yaya] Ain Shams Univ, Childrens Hosp, Pediat Allergy &amp; Immunol Unit, Cairo, Egypt; [Emuzyte, Regina] Vilnius Univ, Fac Med, Clin Childrens Dis, Vilnius, Lithuania; [Fink-Wagner, Antjie; Spranger, Otto] Global Allergy &amp; Asthma Platform GAAPP, Vienna, Austria; [Fiocchi, Alessandro] Bambino Gesu Childrens Res Hosp Holy See, Dept Pediat Med, Div Allergy, Rome, Italy; [Gemicioglu, Bilun] Istanbul Univ Cerrahpasa, Cerrahpasa Fac Med, Dept Pulm Dis, Istanbul, Turkey; [Schmid-Grendelmeir, Peter] Univ Hosp Zurich, Dept Dermatol, Allergy Unit, Zurich, Switzerland; [Gamkrelidze, Amiran] Natl Ctr Dis Control &amp; Publ Hlth Georgia, Tbilisi, Georgia; [Gomez, Maximiliano] Hosp San Bernardo Salta, Allergy &amp; Asthma Unit, Salta, Argentina; [Gonzalez Diaz, Sandra] Univ Autonoma Nuevo Leon, San Nicolas De Los Garza, Mexico; [Gotua, Maia] Georgian Assoc Allergol &amp; Clin Immunol, Ctr Allergy &amp; Immunol, Tbilisi, Georgia; [Guldemond, Nick A.] Erasmus Univ, Inst Hlth Policy &amp; Management iBMG, Rotterdam, Netherlands; [Guzman, Maria-Antonieta] Univ Chile, Clin Hosp, Immunol &amp; Allergy Div, Santiago, Chile; [Hajjam, Jawad] Conseil Reg Pays Loire, Ctr Expertise Partenariat Europeen Innovat Vieill, Gerontopole Auton Longevite Pays Loire, Centich Ctr Expertise Natl Technol Informat &amp; Com, Nantes, France; [Hourihane, John O'B] Univ Coll Cork, Dept Paediat &amp; Child Hlth, Cork, Ireland; [Humbert, Marc] Univ Paris Sud, Le Kremlin Bicetre, France; [Humbert, Marc] Hop Bicetre, Serv Pneumol, Inserm UMR 5999, Le Kremlin Bicetre, France; [Iaccarino, Guido] Univ Salerno, Dept Med &amp; Surg, Baronissi, Italy; [Ivancevich, Juan C.] Clin Santa Isabel, Serv Alergia &amp; Immunol, Buenos Aires, DF, Argentina; [Jung, Ki-Suck] Hallym Univ, Coll Med, Sacred Heart Hosp, Anyang, Gyeonggi Do, South Korea; [Jutel, Marek] Wroclaw Med Univ, Dept Clin Immunol, Wroclaw, Poland; [Kaidashev, Igor] Ukrainian Med Stomatol Acad, Poltava, Ukraine; [Kalayci, Omer] Hacettepe Univ, Pediat Allergy &amp; Asthma Unit, Sch Med, Ankara, Turkey; [Kardas, Przemyslaw] Med Univ Lodz, Dept Family Med 1, Lodz, Poland; [Keil, Thomas] Charite Univ Med Berlin, Inst Social Med Epidemiol &amp; Hlth Econ, Berlin, Germany; [Keil, Thomas] Univ Wurzburg, Inst Clin Epidemiol &amp; Biometry, Wurzburg, Germany; [Khaitov, Mussa] Fed Med Biol Agcy, Natl Res Ctr, Inst Immunol, Lab Mol Immunol, Moscow, Russia; [Khaltaev, Nikolai] GARD Chairman, Geneva, Switzerland; [Kleine-Tebbe, Jorg] Allergy &amp; Asthma Ctr Westend, Berlin, Germany; [Kowalski, Marek L.] Med Univ Lodz, Hlth Ageing Res Ctr, Dept Immunol &amp; Allergy, Lodz, Poland; [Kull, Inger] Karolinska Inst, Soder Sjukhuset, Dept Clin Sci &amp; Educ, Stockholm, Sweden; [Kull, Inger; Melen, Eric] Soder Sjukhuset, Sachs Children &amp; Youth Hosp, Stockholm, Sweden; [Leonardini, Lisa] Mattone Int Program, Bologna, Veneto Region, Italy; [Lieberman, Philip] Univ Tennessee, Coll Med, Dept Internal Med, Div Allergy, Germantown, TN USA; [Lieberman, Philip] Univ Tennessee, Coll Med, Dept Internal Med, Div Immunol, Germantown, TN USA; [Lieberman, Philip] Univ Tennessee, Coll Med, Dept Pediat, Div Allergy, Germantown, TN USA; [Lieberman, Philip] Univ Tennessee, Coll Med, Dept Pediat, Div Immunol, Germantown, TN USA; [Lipworth, Brian] Univ Dundee, Ninewells Hosp, Med Res Inst, Scottish Ctr Resp Res Cardiovasc &amp; Diabet Med, Dundee, Scotland; [Carlsen, Karin C. Lodrup] Oslo Univ Hosp, Dept Paediat, Oslo, Norway; [Carlsen, Karin C. Lodrup] Univ Oslo, Fac Med, Inst Clin Med, Oslo, Norway; [Loureiro, Claudia C.; Todo-Bom, Ana] Ctr Hosp Univ Coimbra, Imunoalergol, Coimbra, Portugal; [Loureiro, Claudia C.; Todo-Bom, Ana] Univ Coimbra, Fac Med, Coimbra, Portugal; [Louis, Renaud] CHU Sart Tilman, Dept Pulm Med, Liege, Belgium; [Louis, Renaud] GIGA I3 Res Grp, Liege, Belgium; [Mair, Alpana] Scottish Govt, DG Hlth &amp; Social Care, Edinburgh, Midlothian, Scotland; [Mahboub, Bassam] Rashid Hosp, Dept Pulm Med, Dubai, U Arab Emirates; [Malva, Joao] Univ Coimbra, Fac Med, Coimbra Inst Clin &amp; Biomed Res iCBR, Coimbra, Portugal; [Manning, Patrick] Bon Secours Hosp, Dept Med RCSI, Dublin, Ireland; [Keenoy, Esteban De Manuel] Int Ctr Excellence Chronic Res Barakaldo, Kronikgune, Baracaldo, Bizkaia, Spain; [Marshall, Gallen D.] Univ Mississippi, Med Ctr, Div Clin Immunol &amp; Allergy, Lab Behav Immunol Res, Jackson, MS 39216 USA; [Masjedi, Mohamed R.] Iranian Anti Tobacco Assoc, Tobacco Control Res Ctr, Tehran, Iran; [Maspero, Jorge F.] Argentine Assoc Allergy &amp; Clin Immunol, Buenos Aires, DF, Argentina; [Matricardi, Poalo M.] Charite Med Univ, Dept Pediat Pneumol &amp; Immunol, AG Mol Allergol &amp; Immunomodulat, Berlin, Germany; [Melen, Eric] Karolinska Inst, Inst Environm Med, Stockholm, Sweden; [Melo-Gomes, Elisabete] Fac Med Lisbon, PNDR, Portuguese Natl Programme Resp Dis, Lisbon, Portugal; [Meltzer, Eli O.] Allergy &amp; Asthma Med Grp &amp; Res Ctr, San Diego, CA USA; [Mercier, Jacques] Univ Montpellier, CHRU, Dept Physiol, Res,PhyMedExp,INSERM U1046,CNRS,UMR 9214, Montpellier, France; [Miculinic, Neven] Croatian Pulm Soc, Zagreb, Croatia; [Mihaltan, Florin] Natl Inst Pneumol M Nasta, Bucharest, Romania; [Milenkovic, Branislava] Univ Belgrade, Fac Med, Clin Ctr Serbia, Serbian Assoc Asthma &amp; COPD,Clin Pulm Dis, Belgrade, Serbia; [Moda, Giuliana] Reg Piemonte, Turin, Italy; [Mohammad, Yousser] Tishreen Univ, Natl Ctr Res Chron Resp Dis, Sch Med, Latakia, Syria; [Mohammad, Yousser] Syrian Private Univ, Damascus, Syria; [Montefort, Steve] Univ Med, Fac Med &amp; Surg, La Valette, Malta; [Monti, Ricardo] Univ Torino, Dept Med Sci, Allergy &amp; Clin Immunol Unit, Turin, Italy; [Monti, Ricardo] Mauriziano Hosp, Turin, Italy; [Morais-Almeida, Mario] CUF Descobertas Hosp, Allergy Ctr, Lisbon, Portugal; [Moesges, Raft] Univ Cologne, Med Fac, Inst Med Stat &amp; Computat Biol, Cologne, Germany; [Moesges, Raft] CRI Clin Res Int Ltd, Hamburg, Germany; [Munter, Lars] Danish Commitee Hlth Educ, Copenhagen East, Denmark; [Muraro, Antonella] Padua Gen Univ Hosp, Food Allergy Referral Ctr Veneto Reg, Dept Women &amp; Child Hlth, Padua, Italy; [Murray, Ruth] MedScript Ltd, Paraparomu, New Zealand; [Murray, Ruth] OPC, Cambridge, England; [Naclerio, Robert] Johns Hopkins Sch Med, Baltimore, MD USA; [Napoli, Luigi] Consortium Pharm &amp; Serv COSAFER, Salerno, Italy; [Namazova-Baranova, Leila] Russian Acad Med Sci, Sci Ctr Childrens Hlth, Moscow, Russia; [Neffen, Hugo] Ctr Allergy Immunol &amp; Resp Dis, Santa Fe, Argentina; [Nekam, Kristoff] Hosp Hosp Ler Bros Buda, Budapest, Hungary; [Neou, Angelo] Hautambulanz &amp; Rothhaar Study Ctr, Berlin, Germany; [Novellino, Enrico] Univ Naples Federico II, Dept Pharm, Naples, Italy; [Nyembue, Dieudonne] Univ Hosp Kinshasa, ENT Dept, Kinshasa, DEM REP CONGO; [O'Hehir, Robin] Monash Univ, Alfred Hosp, Dept Allergy Immunol &amp; Resp Med, Melbourne, Vic, Australia; [O'Hehir, Robin] Monash Univ, Cent Clin Sch, Melbourne, Vic, Australia; [Okubo, Kimi] Nippon Med Sch, Dept Otolaryngol, Tokyo, Japan; [Ouedraogo, Solange] Ctr Hosp Univ Pediat Charles de Gaulle, Ouagadougou, Burkina Faso; [Pali-Schoell, Isabella] Univ Vet Med, Messerli Res Inst, Dept Comparat Med, Vienna, Austria; [Pali-Schoell, Isabella] Med Univ, Vienna, Austria; [Palkonen, Susanna] EFA European Federat Allergy &amp; Airways Dis Patien, Brussels, Belgium; [Panzner, Peter] Charles Univ Prague, Fac Med, Dept Immunol &amp; Allergol, Plzen, Czech Republic; [Panzner, Peter] Charles Univ Prague, Fac Hosp Pilsen, Plzen, Czech Republic; [Park, Hae-Sim] Ajou Univ, Dept Allergy &amp; Clin Immunol, Sch Med, Suwon, South Korea; [Pepin, Jean-Louis] Univ Grenoble Alpes, Lab HP2, Grenoble, France; [Pepin, Jean-Louis] INSERM, U1042, Grenoble, France; [Pepin, Jean-Louis] CHU Grenoble, Grenoble, France; [Pereira, Ana-Maria] CUF Porto Hosp &amp; Inst, Allergy Unit, Porto, Portugal; [Pereira, Ana-Maria] Univ Porto, Ctr Res Hlth Technol &amp; Informat Syst, CINTESIS, Porto, Portugal; [Wong, Gary] CHUL, Malad Infect &amp; Immunitaires, Quebec City, PQ, Canada; [Pfaar, Oliver] Philipps Univ Marburg, Univ Hosp Marburg, Sect Rhinol &amp; Allergy, Dept Otorhinolaryngol Head &amp; Neck Surg, Marburg, Germany; [Paulino, Ema] Farmacias Holon, Lisbon, Portugal; [Phillips, Jim] Ctr Empowering Patients &amp; Communities, Faulkland, Somerset, England; [Plavec, Davor] Childrens Hosp Srebrnjak, Zagreb, Croatia; [Plavec, Davor] Univ JJ Strossmayer, Sch Med, Osijek, Croatia; [Popov, Ted A.] Univ Hosp Sv Ivan Rilski, Sofia, Bulgaria; [Price, David] Univ Aberdeen, Acad Ctr Primary Care, Aberdeen, Scotland; [Price, David] Res Real Life, Cambridge, England; [Prokopakis, Emmanuel P.] Univ Crete, Dept Otorhinolaryngol, Sch Med, Iraklion, Greece; [Rajabian-Soderlund, Rojin] Karolinska Univ Hosp, Dept Nephrol &amp; Endocrinol, Stockholm, Sweden; [Romano, Antonino] Univ Cattolica Sacro Cuore, Allergy Unit, Presidio Columbus, Rome, Italy; [Romano, Antonino] IRCCS Oasi Maria SS, Troina, Italy; [Rosario, Nelson] Univ Parana, Hosp Clin, Curitiba, Parana, Brazil; [Rottem, Menahenm] Emek Med Ctr, Div Allergy Asthma &amp; Clin Immunol, Afula, Israel; [Ryan, Dermot] Univ Edinburgh, Allergy &amp; Resp Res Grp, Edinburgh, Midlothian, Scotland; [Salimaki, Johanna] Assoc Finnish Pharmacists, Helsinki, Finland; [Sanchez-Borges, Mario M.] Ctr Medicodocente Trinidad &amp; Clin El Avila, Allergy &amp; Clin Immunol Dept, Caracas, Venezuela; [Sisul, Juan-Carlos] Soc Paraguaya Alergia Asma &amp; Inmunol, Asuncion, Paraguay; [Sole, Dirceu] Univ Fed Sao Paulo, Dept Pediat, Div Allergy Clin Immunol &amp; Rheumatol, Sao Paulo, Brazil; [Somekh, David] EHEE, Dromahair, Ireland; [Sooronbaev, Talant] Euro Asian Resp Soc, Kyrgyzstan Natl Ctr Cardiol &amp; Internal Med, Bishkek, Kyrgyzstan; [Sova, Milan] Univ Hosp Olomouc, Dept Resp Med, Olomouc, Czech Republic; [Stelmach, Rafael] Univ Sao Paulo, Fac Med, Hosp Clin, Pulm Div,Heart Inst InCor, Sao Paulo, Brazil; [Ulrik, Charlotte Suppli] Hvidovre Univ Hosp, Dept Resp Med, Copenhagen, Denmark; [Ulrik, Charlotte Suppli] Univ Copenhagen, Copenhagen, Denmark; [Thibaudon, Michel] RNSA, Brussieu, France; [To, Teresa] Sidkkids Hosp, Toronto, ON, Canada; [To, Teresa] Inst Hlth Policy Management &amp; Evaluat, Toronto, ON, Canada; [Tomazic, Peter, V] Med Univ Graz, Dept ENT, Graz, Austria; [Valero, Antonio A.] Univ Barcelona, IDIBAPS, Pneumol &amp; Allergy Dept, CIBERES, Barcelona, Spain; [Valero, Antonio A.] Univ Barcelona, IDIBAPS, Clin &amp; Expt Resp Immunoallergy, Barcelona, Spain; [Valenta, Rudolph] Med Univ Vienna, Ctr Pathophysiol Infectiol &amp; Immunol, Dept Pathophysiol &amp; Allergy Res, Div Immunopathol, Vienna, Austria; [Valenta, Rudolph] NRC Inst Immunol FMBA Russia, Moscow, Russia; [Valenta, Rudolph] Sechenov First Moscow State Med Univ, Dept Clin Immunol &amp; Allergy, Lab Immunopathol, Moscow, Russia; [van der Kleij, Rianne] Univ Med Ctr, Dept Obstet &amp; Gynaecol, Erasmus MC, Rotterdam, Netherlands; [Vandenplas, Olivier] Catholic Univ Louvain, Ctr Hosp Univ UCL Namur, Dept Chest Med, Yvoir, Belgium; [Vezzani, Giorgio] AUSL Reggio Emilia, Arcispedale SMaria Nuova IRCCS, Pulm Unit, Dept Med Specialties, Reggio Emilia, Italy; [Vieg, Giovanni] CNR, Pulm Environm Epidemiol Unit, Inst Clin Physiol, Pisa, Italy; [Vieg, Giovanni] CNR, Inst Biomed &amp; Mol Immunol A Monroy, Palermo, Italy; [Wallace, Dana] Nova Southeastern Univ, Ft Lauderdale, FL 33314 USA; [Wagenmann, Martin] Univ Klinikum Dusseldorf, HNO Klin, Dept Otorhinolaryngol, Dusseldorf, Germany; [Wang, De Y.] Natl Univ Singapore, Yong Loo Lin Sch Med, Dept Otolaryngol, Singapore, Singapore; [Waserman, Susan] McMaster Univ, Dept Med Clin Immunol &amp; Allergy, Hamilton, ON, Canada; [Wickman, Magnus] Uppsala Univ, Ctr Clin Res Sormland, Eskilstuna, Sweden; [Williams, Dennis M.] Univ N Carolina, Eshelman Sch Pharm, Chapel Hill, NC 27515 USA; [Yiallouros, Panayiotis K.] Cyprus Univ Technol, Cyprus Int Inst Environm &amp; Publ Hlth Assoc Harvar, Limassol, Cyprus; [Yiallouros, Panayiotis K.] Hosp Archbishop Makarios III, Dept Pediat, Nicosia, Cyprus; [Yorgancioglu, Arzu] Celal Bayar Univ, Fac Med, Dept Pulm Dis, Manisa, Turkey; [Yusuf, Osman M.] Allergy &amp; Asthma Inst, Islamabad, Pakistan; [Zar, Heahter J.] Red Cross Childrens Hosp, Dept Paediat &amp; Child Hlth, Cape Town, South Africa; [Zar, Heahter J.] Univ Cape Town, MRC, Unit Child &amp; Adolescent Hlth, Cape Town, South Africa; [Zeng, Stephane] Bull DSAS, Echirolles, France; [Zernotti, Mario] Univ Catolica Cordoba, Cordoba, Argentina; [Zhang, Luo] Beijing TongRen Hosp, Dept Otolaryngol Head &amp; Neck Surg, Beijing, Peoples R China; [Zhang, Luo] Beijing Inst Otolaryngol, Beijing, Peoples R China; [Zhong, Nan S.] Guangzhou Med Univ, Affiliated Hosp 1, Guangzhou Inst Resp Dis, State Key Lab Resp Dis, Guangzhou, Guangdong, Peoples R China; [Zidarn, Mihaela] Univ Clin Resp &amp; Allerg Dis, Golnik, Slovenia; [Ohta, Ken] Tokyo Natl Hosp, Natl Hosp Org, Tokyo, Japan</t>
  </si>
  <si>
    <t>Institut National de la Sante et de la Recherche Medicale (Inserm); Berlin Institute of Health; Free University of Berlin; Humboldt University of Berlin; Charite Universitatsmedizin Berlin; Free University of Berlin; Berlin Institute of Health; McMaster University; National Institutes of Health (NIH) - USA; NIH National Institute of Allergy &amp; Infectious Diseases (NIAID); Finland National Institute for Health &amp; Welfare; KU Leuven; University Hospital Leuven; University of Amsterdam; Academic Medical Center Amsterdam; Transylvania University of Brasov; quironsalud Group; ISGlobal; Pompeu Fabra University; Centre de Recerca en Epidemiologia Ambiental (CREAL); Hospital del Mar Research Institute; Hospital del Mar; CIBER - Centro de Investigacion Biomedica en Red; CIBERESP; Pompeu Fabra University; Ghent University; Ghent University Hospital; Johannes Gutenberg University of Mainz; University of Sydney; Woolcock Institute of Medical Research; University of Sydney; Woolcock Institute of Medical Research; Sydney Local Health District; Quebec Heart &amp; Lung Institute; Laval University; Ghent University; Ghent University Hospital; Leiden University - Excl LUMC; Leiden University; Leiden University Medical Center (LUMC); Universidade do Porto; Universidade do Porto; Universidade Federal da Bahia; University of Amsterdam; Academic Medical Center Amsterdam; Universidade do Porto; University of Helsinki; Helsinki University Central Hospital; University of Helsinki; Medical University Lodz; Vilnius University; Hochiminh City University of Medicine &amp; Pharmacy; Universidade da Beira Interior; Universidade da Beira Interior; University of Naples Federico II; University of Barcelona; Hospital Clinic de Barcelona; University of Barcelona; Hospital Clinic de Barcelona; CIBER - Centro de Investigacion Biomedica en Red; CIBERES; University of Barcelona; Hospital Clinic de Barcelona; IDIBAPS; Chiba University; Royal Manchester Children's Hospital; University of Manchester; National &amp; Kapodistrian University of Athens; Pasteur Network; Universite Paris Cite; Institut Pasteur Paris; University of Edinburgh; Assistance Publique Hopitaux Paris (APHP); Universite Paris Cite; Hopital Universitaire Cochin - APHP; Medical University of Graz; Medical University of Warsaw; University of Crete; Vilnius University; Vilnius University; University of Turku; Universita degli Studi di Bari Aldo Moro; University of Zurich; Swiss Institute of Allergy &amp; Asthma Research; Institut National de la Sante et de la Recherche Medicale (Inserm); Sorbonne Universite; University of Cape Town; Assistance Publique Hopitaux Paris (APHP); Universite Paris Cite; Hopital Universitaire Broca - APHP; Medical University of Warsaw; University of Southern Denmark; Odense University Hospital; University of Southern Denmark; Odense University Hospital; Lund University; Skane University Hospital; Universite de Montpellier; CHU de Montpellier; Universite de Montpellier; Catholic University of the Sacred Heart; IRCCS Policlinico Gemelli; Imperial College London; Royal Brompton Hospital; Imperial College London; CHU Dijon Bourgogne; University Hospitals of Leicester NHS Trust; University of Leicester; University of Leicester; Johannes Gutenberg University of Mainz; Humanitas University; Hospital Universitari Vall d'Hebron; State University System of Florida; University of South Florida; Eskisehir Osmangazi University; Universidade do Minho; IMT - Institut Mines-Telecom; IMT Mines Ales; University of Manchester; Wythenshawe Hospital NHS Foundation Trust; Antonio Cardarelli Hospital; Saints Cyril &amp; Methodius University of Skopje; Institut National de la Sante et de la Recherche Medicale (Inserm); Universite de Montpellier; CHU de Montpellier; University of Salerno; Universite Paris Saclay; Hospital Foch; Saint Louis University; Vilnius University; Egyptian Knowledge Bank (EKB); Ain Shams University; Vilnius University; Istanbul University - Cerrahpasa; University of Zurich; University Zurich Hospital; National Center for Disease Control &amp; Public Health - Georgia; Universidad Autonoma de Nuevo Leon; Erasmus University Rotterdam - Excl Erasmus MC; Erasmus University Rotterdam; Universidad de Chile; University College Cork; Universite Paris Saclay; Assistance Publique Hopitaux Paris (APHP); Hopital Universitaire Antoine-Beclere - APHP; Universite Paris Saclay; Institut National de la Sante et de la Recherche Medicale (Inserm); Hopital Universitaire Bicetre - APHP; University of Salerno; Hallym University; Wroclaw Medical University; Poltava State Medical University; Hacettepe University; Medical University Lodz; Berlin Institute of Health; Free University of Berlin; Humboldt University of Berlin; Charite Universitatsmedizin Berlin; University of Wurzburg; NRC Institute of Immunology FMBA of Russia; Medical University Lodz; Karolinska Institutet; Sodersjukhuset Hospital; Sodersjukhuset Hospital; University of Tennessee System; University of Tennessee Health Science Center; University of Tennessee System; University of Tennessee Health Science Center; University of Tennessee System; University of Tennessee Health Science Center; University of Tennessee System; University of Tennessee Health Science Center; University of Dundee; University of Oslo; University of Oslo; Universidade de Coimbra; Centro Hospitalar e Universitario de Coimbra (CHUC); Universidade de Coimbra; University of Liege; Universidade de Coimbra; Royal College of Surgeons - Ireland; University of Mississippi; University of Mississippi Medical Center; Berlin Institute of Health; Free University of Berlin; Humboldt University of Berlin; Charite Universitatsmedizin Berlin; Karolinska Institutet; Universidade de Lisboa; Allergy &amp; Asthma Medical Group &amp; Research Center; Centre National de la Recherche Scientifique (CNRS); CNRS - National Institute for Biology (INSB); Universite de Montpellier; CHU de Montpellier; Institut National de la Sante et de la Recherche Medicale (Inserm); Marius Nasta Pneumophtisiology Institute; Clinical Centre of Serbia; University of Belgrade; Tishreen University; University of Turin; A.O.U. Citta della Salute e della Scienza di Torino; AOU San Giovanni Battista-Molinette; University of Cologne; University of Padua; Azienda Ospedaliera - Universita di Padova; Johns Hopkins University; Johns Hopkins Medicine; Russian Academy of Medical Sciences; University of Naples Federico II; Monash University; Florey Institute of Neuroscience &amp; Mental Health; Howard Florey Institute Affiliates; Monash University; Nippon Medical School; University of Veterinary Medicine Vienna; Charles University Prague; Charles University Prague; Ajou University; Communaute Universite Grenoble Alpes; Universite Grenoble Alpes (UGA); Institut National de la Sante et de la Recherche Medicale (Inserm); Communaute Universite Grenoble Alpes; Universite Grenoble Alpes (UGA); CHU Grenoble Alpes; Universidade do Porto; Laval University; Laval University Hospital; University Hospital of Giessen &amp; Marburg; Philipps University Marburg; University of JJ Strossmayer Osijek; Medical University Sofia; University of Aberdeen; University of Crete; Karolinska Institutet; Karolinska University Hospital; Catholic University of the Sacred Heart; IRCCS Policlinico Gemelli; IRCCS - Oasi Research Institute; Emek Medical Center; University of Edinburgh; Universidade Federal de Sao Paulo (UNIFESP); University Hospital Olomouc; Universidade de Sao Paulo; University of Copenhagen; University of Copenhagen; Medical University of Graz; University of Barcelona; Hospital Clinic de Barcelona; IDIBAPS; CIBER - Centro de Investigacion Biomedica en Red; CIBERES; University of Barcelona; Hospital Clinic de Barcelona; IDIBAPS; Medical University of Vienna; NRC Institute of Immunology FMBA of Russia; Sechenov First Moscow State Medical University; Erasmus University Rotterdam; Erasmus MC; Universite Catholique Louvain; IRCCS Arcispedale S. Maria Nuova; Consiglio Nazionale delle Ricerche (CNR); Istituto di Fisiologia Clinica (IFC-CNR); Consiglio Nazionale delle Ricerche (CNR); Istituto di Biomedicina e di Immunologia Molecolare Alberto Monroy (IBIM-CNR); Nova Southeastern University; Heinrich Heine University Dusseldorf; Heinrich Heine University Dusseldorf Hospital; National University of Singapore; McMaster University; Uppsala University; University of North Carolina; University of North Carolina Chapel Hill; Cyprus University of Technology; Cyprus International Institute for Environmental &amp; Public Health; Celal Bayar University; University of Cape Town; Catholic University of Cordoba; Capital Medical University; Guangzhou Medical University; State Key Laboratory of Respiratory Disease</t>
  </si>
  <si>
    <t>Bousquet, JJ (corresponding author), CHU, Fondat Partenariale FMC VIA LR, MACVIA France, F-34295 Montpellier 5, France.;Bousquet, JJ (corresponding author), Villejuif Univ Versailles St Quentin En Yvelines, VIMA Ageing &amp; Chron Dis Epidemiol &amp; Publ Hlth App, INSERM U 1168, UMR S 1168, Montigny Le Bretonneux, France.;Bousquet, JJ (corresponding author), European Forum Res &amp; Educ Allergy &amp; Airway Dis EU, Brussels, Belgium.;Bousquet, JJ (corresponding author), Charite Univ Med Berlin, Berlin, Germany.;Bousquet, JJ (corresponding author), Free Univ Berlin, Berlin, Germany.;Bousquet, JJ (corresponding author), Humboldt Uniersitat Berlin, Berlin, Germany.</t>
  </si>
  <si>
    <t>Bachert, Claus/J-8825-2012; Sova, Milan/AAH-3802-2020; Mohammad, Yousser/LTD-1984-2024; Akdis, Cezmi/AAV-4844-2020; T, E/HII-8943-2022; Ivancevich, Juan/AAB-4937-2020; Viegi, Giovanni/K-2746-2016; Lotrean, Lucia/C-2859-2011; Roche, Nicolas/AAE-9206-2021; Agache, Ioana/AAP-7403-2020; Cingi, Cemal/AAA-1951-2021; J, Garcia-Aymerich/G-6867-2014; Valenta, Richard/K-4072-2017; Gotua, Maia/ABA-1648-2021; Guldemond, Nick/AAS-7755-2020; Paulino, Ema/LTD-8154-2024; LOUIS, Renaud/HMO-7349-2023; stelmach, rafael/AAH-1638-2019; Todo Bom, Ana/AHD-3630-2022; Brusselle, Guy/AFU-8839-2022; Sheikh, Aziz/D-2818-2009; Blain, Hubert/AAZ-8017-2020; Price, David/H-2837-2019; Muraro, Antonella/AFO-2033-2022; Kvedarienė, Violeta/GON-7937-2022; Yiallouros, Panayiotis/AAF-6026-2019; Plavec, Davor/HKM-7822-2023; Fontaine, Jean-Fred/GNP-2904-2022; Ventura, Maria/J-8197-2017; Ryan, Dermot/AAJ-2329-2021; Briedis, Vitalis/AAY-9241-2020; Solé, Dirceu/JAO-0340-2023; Jung, Ki-Suck/AAN-2473-2021; Bateman, Eric/B-7042-2011; Gaga, Mina/AAP-8348-2020; Toppila-Salmi, Sanna/ABF-5840-2020; Yorgancioglu, Arzu/AAC-7548-2020; Bosnic-Anticevich, Sinthia/AAD-2526-2021; Fokkens, Wytske/ABF-2185-2020; Cecchi, Lorenzo/HPF-1970-2023; Courbis, Anne-Lise/HLX-6019-2023; Stellato, Cristiana/IWU-8018-2023; Klimek, Ludger/AFJ-9880-2022; Anto, J/H-2676-2014; Popov, Todor/Q-9928-2016; Gemicioglu, Bilun/AAH-6927-2019; González-Díaz, Sandra/H-3271-2018; Fiocchi, Alessandro/K-9235-2016; Khaitov, Musa/L-3369-2017; PEPIN, Jean-Louis/M-6549-2014; Zuberbier, Torsten/AFM-9173-2022; Tsiligianni, Ioanna/IUN-4739-2023; Bergmann, Karl-Christian/AAA-4104-2019; Reitsma, Sietze/JJP-5995-2023; Rabe, Klaus/AAW-6296-2021; Cardona, Victoria/GRX-4196-2022; Valiulis, Arunas/JEZ-2972-2023; Kaidashev, Igor/L-2606-2019; Walker, Samantha/B-9740-2013; Bousquet, Jean/O-4221-2019; van der Kleij, Rianne/AAS-3130-2020; Bonniaud, Philippe/ITT-4660-2023; Zar, Heather/GZL-5350-2022; Loureiro, Claudia/AAW-3420-2021; Brozek, Jan/ADG-1130-2022; Mashiya, Nombeko Monica/AET-3950-2022; Lipiec, Agnieszka/X-7523-2018; Almeida, Rute/Q-1621-2019; Kaidashev, Igor/H-3827-2016; Hellings, Peter/I-4068-2018; Basagana, Xavier/C-3901-2017; Yusuf, Osman/AAI-1142-2020; Bedolla-Barajas, Martin/AFQ-5082-2022; CANONICA, GIORGIO WALTER/ABF-2037-2020; Romano, Antonino/D-3102-2017; Costa, Elisio/K-1990-2013; Rodo, Xavier/F-7663-2017; Malva, Joao/L-3557-2014; Caimmi, Davide/AAA-1277-2019; Papadopoulos, Nikolaos/L-8670-2013; Wong, Gary/AAY-9207-2020; Humbert, Marc/AAC-8459-2019; Custovic, Adnan/A-2435-2012; Schunemann, Holger/LRB-7016-2024; Becker, Sven/AEN-1860-2022; Lourenco, Olga/S-6233-2016; Casale, Thomas/K-4334-2013; Chavannes, Niels Henrik/F-1148-2011; Bindslev-Jensen, Carsten/H-1877-2011; Nadif, Rachel/R-2876-2016; Panzner, Petr/I-7034-2017; Pereira, Ana Margarida/K-3343-2014; Pugin, Benoit/X-2984-2018; Namazova-Baranova, Leyla/C-9485-2019; O'Hehir, Robyn/H-3627-2011; Fonseca, Joao/B-7562-2008; Correia de Sousa, Jaime/H-5607-2015</t>
  </si>
  <si>
    <t>Mashiya, Nombeko Monica/0000-0003-0124-9118; Lipiec, Agnieszka/0000-0003-3037-2326; Almeida, Rute/0000-0001-7755-5002; Barbara, Cristina/0000-0003-0915-4105; Akdis, Cezmi/0000-0001-8020-019X; Kaidashev, Igor/0000-0002-4708-0859; Ierodiakonou, Despo/0000-0002-7862-2016; momas, isabelle/0000-0003-4344-3787; Krzych-Falta, Edyta/0000-0002-9857-7136; brightling, chris/0000-0002-9345-4903; Hellings, Peter/0000-0001-6898-688X; Basagana, Xavier/0000-0002-8457-1489; Bosnic-Anticevich, Sinthia/0000-0001-5077-8329; Pepin, Jean Louis/0000-0003-3832-2358; Yusuf, Osman/0000-0002-8067-1204; Pinnock, Hilary/0000-0002-5976-8386; El-Gamal, Yehia/0000-0002-8177-4520; Bedolla-Barajas, Martin/0000-0003-4915-1582; Ryan, Dermot/0000-0002-4115-7376; CANONICA, GIORGIO WALTER/0000-0001-8467-2557; Romano, Antonino/0000-0001-9742-9898; Bousquet, Jean/0000-0002-4061-4766; Park, Hae-Sim/0000-0003-2614-0303; Vasankari, Tuula/0000-0002-1413-8970; Chu, Derek/0000-0001-8269-4496; Costa, Elisio/0000-0003-1158-1480; Chaves Loureiro, Claudia/0000-0003-0438-6126; Ivancevich, Juan Carlos/0000-0001-8713-6258; Bialoszewski, Artur/0000-0001-5941-0483; Tsiligianni, Ioanna/0000-0001-7922-7491; Rodo, Xavier/0000-0003-4843-6180; Malva, Joao/0000-0002-5438-4447; Raciborski, Filip/0000-0003-0562-0260; Ebisawa, Motohiro/0000-0003-4117-558X; Caimmi, Davide/0000-0003-4481-6194; Papadopoulos, Nikolaos/0000-0002-4448-3468; Onorato, Gabrielle Laura/0000-0002-7867-5345; Fiocchi, Alessandro/0000-0002-2549-0523; Billo, Nils Eric/0000-0002-5735-5107; roche, nicolas/0000-0002-3162-5033; Popov, Todor/0000-0001-5052-5866; VENTURA, Maria Teresa/0000-0002-2637-4583; Cardona, Victoria/0000-0003-2197-9767; Monti, Riccardo/0000-0002-1003-3629; Bialek, Slawomir/0000-0002-0112-6786; JUTEL, MAREK/0000-0003-1555-9379; Kardas, Przemyslaw/0000-0002-6078-2628; mohammad, yousser/0009-0003-0403-2747; Zar, Heather/0000-0002-9046-759X; Wong, Gary/0000-0001-5939-812X; Valenta, Rudolf/0000-0001-5944-3365; Humbert, Marc/0000-0003-0703-2892; Reitsma, Sietze/0000-0003-1734-2632; Custovic, Adnan/0000-0001-5218-7071; Paulino, Ema/0000-0002-4087-375X; Schunemann, Holger/0000-0003-3211-8479; Kuna, Piotr/0000-0003-2401-0070; Becker, Sven/0000-0003-1972-3797; Lourenco, Olga/0000-0002-8401-5976; Casale, Thomas/0000-0002-3149-7377; Murray, Ruth/0000-0002-2821-978X; Chavannes, Niels Henrik/0000-0002-8607-9199; van der Kleij, Rianne/0000-0002-8638-4978; Brusselle, Guy/0000-0001-7021-8505; Zhang, Luo/0000-0002-0910-9884; yorgancioglu, arzu/0000-0002-4032-0944; Bindslev-Jensen, Carsten/0000-0002-8940-038X; Nadif, Rachel/0000-0003-4938-9339; Kvedariene, Violeta/0000-0002-6119-211X; Panzner, Petr/0000-0002-1291-450X; Pereira, Ana Margarida/0000-0002-5468-0932; Pugin, Benoit/0000-0001-7132-9477; Gemicioglu, Bilun/0000-0001-5953-4881; Namazova-Baranova, Leyla/0000-0002-2209-7531; orlando, valentina/0000-0002-8209-8878; Zuberbier, Torsten/0000-0002-1466-8875; menditto, enrica/0000-0001-8633-5650; O'Hehir, Robyn/0000-0002-3489-7595; Fonseca, Joao/0000-0002-0887-8796; Cecchi, Lorenzo/0000-0002-0658-2449; Gotua, Maia/0000-0003-2497-4128; Rottem, Menachem/0000-0002-9915-0273; Lacwik, Piotr/0000-0001-7020-0719; Dauvilliers, yves/0000-0003-0683-6506; Bergmann, Karl-Christian/0000-0002-0306-9922; Correia de Sousa, Jaime/0000-0001-6459-7908</t>
  </si>
  <si>
    <t>POLLAR (Impact of Air POLLution on Asthma and Rhinitis, EIT Health); ARIA</t>
  </si>
  <si>
    <t>Partly funded by POLLAR (Impact of Air POLLution on Asthma and Rhinitis, EIT Health), and ARIA.</t>
  </si>
  <si>
    <t>10.1186/s13601-019-0279-2</t>
  </si>
  <si>
    <t>IW6FN</t>
  </si>
  <si>
    <t>WOS:000485072700001</t>
  </si>
  <si>
    <t>Konstantinides, SV; Meyer, G; Becattini, C; Bueno, H; Geersing, GJ; Harjola, VP; Huisman, MV; Humbert, M; Jennings, CS; Jiménez, D; Kucher, N; Lang, IM; Lankeit, M; Lorusso, R; Mazzolai, L; Meneveau, N; Ní Ainle, F; Prandoni, P; Pruszczyk, P; Righini, M; Torbicki, A; Van Belle, E; Zamorano, JL</t>
  </si>
  <si>
    <t>Konstantinides, Stavros V.; Meyer, Guy; Becattini, Cecilia; Bueno, Hector; Geersing, Geert-Jan; Harjola, Veli-Pekka; Huisman, Menno V.; Humbert, Marc; Jennings, Catriona Sian; Jimenez, David; Kucher, Nils; Lang, Irene Marthe; Lankeit, Mareike; Lorusso, Roberto; Mazzolai, Lucia; Meneveau, Nicolas; Ni Ainle, Fionnuala; Prandoni, Paolo; Pruszczyk, Piotr; Righini, Marc; Torbicki, Adam; Van Belle, Eric; Luis Zamorano, Jose</t>
  </si>
  <si>
    <t>European Soc Cardiology ESC</t>
  </si>
  <si>
    <t>2019 ESC Guidelines for the diagnosis and management of acute pulmonary embolism developed in collaboration with the European Respiratory Society (ERS)</t>
  </si>
  <si>
    <t>[Konstantinides, Stavros V.] Johannes Gutenberg Univ Mainz, Ctr Thrombosis &amp; Hemostasis, Bldg 403,Langenbeckstr 1, D-55131 Mainz, Germany; [Konstantinides, Stavros V.] Democritus Univ Thrace, Dept Cardiol, Alexandroupolis 68100, Greece; [Meyer, Guy] Hop Europeen Georges Pompidou, Dept Resp Med, 20 Rue Leblanc, F-75015 Paris, France; [Meyer, Guy] Univ Paris 05, 15 Rue Ecole Med, F-75006 Paris, France; [Becattini, Cecilia] Univ Perugia, Internal &amp; Cardiovasc Med, Perugia, Italy; [Bueno, Hector] Ctr Nacl Invest Cardiovasc, Madrid, Spain; [Bueno, Hector] Hosp Univ 12 Octubre, Cardiol, Madrid, Spain; [Bueno, Hector] I 12 Res Inst, Madrid, Spain; [Bueno, Hector] CIBERCV, Madrid, Spain; [Geersing, Geert-Jan] Univ Utrecht, Univ Med Ctr Utrecht, Julius Ctr Hlth Sci &amp; Primary Care, Utrecht, Netherlands; [Harjola, Veli-Pekka] Univ Helsinki, Helsinki Univ Hosp, Dept Emergency Med &amp; Serv, Emergency Med, Helsinki, Finland; [Huisman, Menno V.] Leiden Univ, Thrombosis &amp; Hemostasis, Med Ctr, Leiden, Netherlands; [Humbert, Marc] Univ Paris Saclay, Univ Paris Sud, Hop Bicetre, AP HP,Serv Pneumol, Le Kremlin Bicetre, France; [Jennings, Catriona Sian] Imperial Coll London, NHLI, London, England; [Jimenez, David] Ramon &amp; Cajal Hosp, Resp Dept, Madrid, Spain; [Jimenez, David] Alcala Univ, IRYCIS, Madrid, Spain; [Kucher, Nils] Univ Hosp, Angiol, Zurich, Switzerland; [Lang, Irene Marthe] Med Univ Vienna, Cardiol, Vienna, Austria; [Lankeit, Mareike] Charite Univ Med Berlin, Dept Internal Med &amp; Cardiol, Campus Virchow Klinikum, Berlin, Germany; [Lankeit, Mareike] Univ Med Ctr Mainz, Ctr Thrombosis &amp; Hemostasis, Mainz, Germany; [Lankeit, Mareike] Univ Med Ctr Gottingen, Clin Cardiol &amp; Pneumol, Gottingen, Germany; [Lorusso, Roberto] MUMC, Cardiovasc Res Inst Maastricht CARIM, Cardiothorac Surg Dept, Heart &amp; Vasc Ctr, Maastricht, Netherlands; [Mazzolai, Lucia] CHU Vaudois, Dept Angiol, Lausanne, Switzerland; [Meneveau, Nicolas] Univ Hosp Jean Minjoz, Dept Cardiol, Besancon, France; [Meneveau, Nicolas] Univ Franche Comte, EA3920, Besancon, France; [Ni Ainle, Fionnuala] Univ Coll Dublin, Rotunda Univ Hosp, Haematol, Dublin, Ireland; [Ni Ainle, Fionnuala] Univ Coll Dublin, Mater Univ Hosp, Haematol, Dublin, Ireland; [Prandoni, Paolo] Arianna Fdn Anticoagulat, Bologna, Italy; [Pruszczyk, Piotr] Med Univ Warsaw, Dept Internal Med &amp; Cardiol, Warsaw, Poland; [Righini, Marc] Geneva Univ Hosp, Div Angiol &amp; Hemostasis, Geneva, Switzerland; [Righini, Marc] Fac Med, Geneva, Switzerland; [Torbicki, Adam] ECZ Otwock, Dept Pulm Circulat Thromboembol Dis &amp; Cardiol, Ctr Postgrad Med Educ, Warsaw, Poland; [Van Belle, Eric] CHU Lille, Cardiol, Inst Coeur Poumon, Lille, France; [Van Belle, Eric] INSERM U1011 Lille, Lille, France; [Luis Zamorano, Jose] Hosp Ramon &amp; Cajal, Cardiol, Madrid, Spain</t>
  </si>
  <si>
    <t>Johannes Gutenberg University of Mainz; Democritus University of Thrace; Assistance Publique Hopitaux Paris (APHP); Universite Paris Cite; Hopital Universitaire Europeen Georges-Pompidou - APHP; Universite Paris Cite; University of Perugia; Centro Nacional de Investigaciones Cardiovasculares (CNIC); Hospital Universitario 12 de Octubre; CIBER - Centro de Investigacion Biomedica en Red; CIBERCV; Utrecht University; Utrecht University Medical Center; University of Helsinki; Helsinki University Central Hospital; Leiden University; Leiden University Medical Center (LUMC); Leiden University - Excl LUMC; Assistance Publique Hopitaux Paris (APHP); Hopital Universitaire Bicetre - APHP; Institut National de la Sante et de la Recherche Medicale (Inserm); Hopital Universitaire Antoine-Beclere - APHP; Universite Paris Saclay; Imperial College London; Hospital Universitario Ramon y Cajal; Universidad de Alcala; University of Zurich; University Zurich Hospital; Medical University of Vienna; Berlin Institute of Health; Free University of Berlin; Humboldt University of Berlin; Charite Universitatsmedizin Berlin; Johannes Gutenberg University of Mainz; University of Gottingen; UNIVERSITY GOTTINGEN HOSPITAL; Maastricht University; University of Lausanne; Centre Hospitalier Universitaire Vaudois (CHUV); Universite de Franche-Comte; CHU Besancon; Universite de Franche-Comte; University College Dublin; Mater Misericordiae University Hospital; University College Dublin; Medical University of Warsaw; University of Geneva; University of Geneva; Centre of Postgraduate Medical Education - Poland; Universite de Lille; CHU Lille; Institut National de la Sante et de la Recherche Medicale (Inserm); Universite de Lille; Hospital Universitario Ramon y Cajal</t>
  </si>
  <si>
    <t>Konstantinides, SV (corresponding author), Johannes Gutenberg Univ Mainz, Ctr Thrombosis &amp; Hemostasis, Bldg 403,Langenbeckstr 1, D-55131 Mainz, Germany.;Konstantinides, SV (corresponding author), Democritus Univ Thrace, Dept Cardiol, Alexandroupolis 68100, Greece.;Meyer, G (corresponding author), Hop Europeen Georges Pompidou, Dept Resp Med, 20 Rue Leblanc, F-75015 Paris, France.;Meyer, G (corresponding author), Univ Paris 05, 15 Rue Ecole Med, F-75006 Paris, France.</t>
  </si>
  <si>
    <t>Pruszczyk, Piotr/AAA-3523-2019; Mora, Josep/A-9355-2013; Lorusso, Roberto/ABB-9275-2020; Konstantinides, Stavros/AAL-3174-2021; Righini, Marc/AAX-8731-2020; Becattini, Cecilia/L-1739-2018; Geersing, Geert-Jan/AAY-1119-2021; huisman, menno/AGL-2654-2022; Harjola, Veli-Pekka/G-9229-2015; David Jimenez, DL/N-6460-2013; Humbert, Marc/AAC-8459-2019; BUENO, HECTOR/I-3910-2015; Sousa Uva, Miguel/AAR-9327-2020; Piepoli, Massimo/J-9437-2016; vizza, carmine dario/AAC-5540-2020; Juni, Peter/Q-8700-2016; Petersen, Steffen/A-8389-2011; De Carlo, Marco/I-7973-2012; delgado, victoria/AAL-4731-2021</t>
  </si>
  <si>
    <t>Lee, Geraldine/0000-0001-6385-8600; Mascherbauer, Julia/0000-0001-7478-1450; Humbert, Marc/0000-0003-0703-2892; BECATTINI, Cecilia/0000-0002-8343-4888; Zima, Endre/0000-0001-5132-6009; Windecker, Stephan/0000-0003-2653-6762; Konstantinides, Stavros/0000-0001-6359-7279; Righini, Marc/0000-0003-1211-2969; Cruz Utrilla, Alejandro/0000-0002-3851-4037; Mellemkjaer, Soren/0000-0002-3422-2387; Andreotti, Felicita/0000-0002-1456-6430; MATUTE CARRILLO, ROBERT/0009-0008-1638-800X; Giannakoulas, George/0000-0001-7491-6319; Lankeit, Mareike/0000-0001-5211-7997; Stortecky, Stefan/0000-0002-5076-0177; BUENO, HECTOR/0000-0003-0277-7596; Sousa Uva, Miguel/0000-0001-6353-653X; Piepoli, Massimo/0000-0003-1124-234X; Pruszczyk, Piotr/0000-0002-9768-0000; Torbicki, Adam/0000-0003-3475-8832; Vonk Noordegraaf, Anton/0000-0002-4057-758X; vizza, carmine dario/0000-0002-3540-4983; Juni, Peter/0000-0002-5985-0670; Bytyci, Ibadete/0000-0002-8996-4257; Petersen, Steffen/0000-0003-4622-5160; Mazzolai, Lucia/0000-0001-9650-3822; De Carlo, Marco/0000-0002-5763-9804; Reis, AlessanRSS/0000-0001-8486-7469; Simkova, Iveta/0000-0002-6051-2724; Gale, Chris/0000-0003-4732-382X; Almeida, Ana Gomes de/0000-0003-0360-4363; Fitzsimons, Donna/0000-0002-8299-682X; Ni Ainle, Fionnuala/0000-0003-0163-792X; Parkhomenko, Alexander/0000-0002-3563-9627; delgado, victoria/0000-0002-9841-2737</t>
  </si>
  <si>
    <t>10.1183/13993003.01647-2019</t>
  </si>
  <si>
    <t>LE5IV</t>
  </si>
  <si>
    <t>Green Submitted, Green Published, Bronze</t>
  </si>
  <si>
    <t>WOS:000526753300001</t>
  </si>
  <si>
    <t>Margelidon-Cozzolino, V; Delavenne, X; Catella-Chatron, J; De Magalhaes, E; Bezzeghoud, S; Humbert, M; Montani, D; Bertoletti, L</t>
  </si>
  <si>
    <t>Margelidon-Cozzolino, Victor; Delavenne, Xavier; Catella-Chatron, Judith; De Magalhaes, Elodie; Bezzeghoud, Souad; Humbert, Marc; Montani, David; Bertoletti, Laurent</t>
  </si>
  <si>
    <t>Indications and potential pitfalls of anticoagulants in pulmonary hypertension: Would DOACs become a better option than VKAs?</t>
  </si>
  <si>
    <t>Pulmonary hypertension; Anticoagulants; Direct oral anticoagulants; Drug-drug interactions</t>
  </si>
  <si>
    <t>DIRECT ORAL ANTICOAGULANTS; NEWLY INITIATED THERAPIES; CALCIUM-CHANNEL BLOCKERS; ARTERIAL-HYPERTENSION; PHARMACOKINETIC INTERACTIONS; PROSPECTIVE REGISTRY; ATRIAL-FIBRILLATION; FACTOR XA; WARFARIN; SURVIVAL</t>
  </si>
  <si>
    <t>Pulmonary hypertension (PH) comprises a cluster of severe conditions characterized by elevated mean pulmonary arterial pressure. While targeted therapies have been approved over the last twenty years for pulmonary arterial hypertension (PAH) and chronic-thrombo-embolic PH (CTEPH), the possible role of anticoagulant therapy as a supportive treatment PAH is still debated. In PAH, anticoagulant use remains frequent, although evidence appear to be poor (recommendation class IIb-C in international guidelines). In CTEPH treatment, anticoagulants are highly recommended, because it often involves thrombosis (recommendation class I-C in international guidelines). Historically, PH patients have been treated with vitamin K antagonists (VKA), which are the only available oral anticoagulants. In this context, risk/benefit ratio of VKA is affected by the risk of major bleeding events. This drawback could be mitigated with direct oral anticoagulants (DOACs): in addition to being less constraining for patients, DOACs have shown a lower risk of major bleeding events in their already approved indications (venous thromboembolism, atrial fibrillation). However, DOACs have never been specifically assessed in PAH and CTEPH patients. Bioaccumulation risk should be considered if DOACs are prescribed in PAH and CTEPH patients, especially the risk of drug-drug interaction mediated by P-glycoprotein and cytochrome 3A4 with targeted therapies.</t>
  </si>
  <si>
    <t>[Margelidon-Cozzolino, Victor; Catella-Chatron, Judith; De Magalhaes, Elodie; Bezzeghoud, Souad; Bertoletti, Laurent] CHU St Etienne, Serv Med Vasc &amp; Therapeut, St Etienne, France; [Margelidon-Cozzolino, Victor; Delavenne, Xavier; Bertoletti, Laurent] Univ Jean Monnet, INSERM, Equipe Dysfonct Vasc &amp; Hemostase, UMR1059, F-42055 St Etienne, France; [Delavenne, Xavier] CHU St Etienne, Serv Pharmacol &amp; Toxicol, St Etienne, France; [De Magalhaes, Elodie; Bezzeghoud, Souad; Bertoletti, Laurent] CHU St Etienne, INSERM, CIC 1408, F-42055 St Etienne, France; [Humbert, Marc; Montani, David] Univ Paris Sud, Univ Paris Saclay, Fac Med, F-94270 Le Kremlin Bicetre, France; [Montani, David] Hop Bicetre, AP HP, Serv Pneumnol, Ctr Reference Hypertens Pulm, F-94270 Le Kremlin Bicetre, France; [Montani, David] Hop Marie Lannelongue, INSERM, UMR S 999, F-92350 Le Plessis Robinson, France; [Bertoletti, Laurent] F CRIN INNOVTE Network, St Etienne, France</t>
  </si>
  <si>
    <t>CHU de St Etienne; Institut National de la Sante et de la Recherche Medicale (Inserm); CHU de St Etienne; Institut National de la Sante et de la Recherche Medicale (Inserm); CHU de St Etienne; 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 Institut National de la Sante et de la Recherche Medicale (Inserm)</t>
  </si>
  <si>
    <t>Bertoletti, L (corresponding author), CHU St Etienne, Hop Nord, Serv Med Vasc &amp; Therapeut, Ave Albert Raimond, F-42270 St Priest En Jarez, France.</t>
  </si>
  <si>
    <t>David, Montani/I-6885-2019; Bertoletti, Laurent/X-1319-2019; BEZZEGHOUD, Souad/AAE-2354-2019; Humbert, Marc/AAC-8459-2019</t>
  </si>
  <si>
    <t>Montani, David/0000-0002-9358-6922; Delavenne, Xavier/0000-0001-7134-0713; Humbert, Marc/0000-0003-0703-2892; BEZZEGHOUD, Souad/0000-0002-7900-8245; BERTOLETTI, Laurent/0000-0001-8214-3010</t>
  </si>
  <si>
    <t>La Fondation du Souffle (FdS); Le Fonds de Recherche en Sante Respiratoire (FRSR)</t>
  </si>
  <si>
    <t>This work was supported by La Fondation du Souffle (FdS); and Le Fonds de Recherche en Sante Respiratoire (FRSR).</t>
  </si>
  <si>
    <t>10.1016/j.blre.2019.05.003</t>
  </si>
  <si>
    <t>IU9OB</t>
  </si>
  <si>
    <t>WOS:000483909200002</t>
  </si>
  <si>
    <t>Vadasz, Z; Gurman, AB; Meroni, P; Farge, D; Levi, Y; Ingegnoli, F; Braun-Moscovici, Y; Rosner, I; Slobodin, G; Rozenbaum, M; Jiries, N; Kaly, L; Boulman, N; Zilber, K; Ginsberg, S; Awisat, A; Goldberg, Y; Lurie, M; Ghigna, MR; Guignabert, C; Humbert, M; Rimar, D</t>
  </si>
  <si>
    <t>Vadasz, Zahava; Gurman, Alexandra Balbir; Meroni, Pierluigi; Farge, Dominique; Levi, Yair; Ingegnoli, Francesca; Braun-Moscovici, Yolada; Rosner, Itzhak; Slobodin, Gleb; Rozenbaum, Michael; Jiries, Nizar; Kaly, Lisa; Boulman, Nina; Zilber, Karina; Ginsberg, Shira; Awisat, Abid; Goldberg, Yair; Lurie, Michael; Ghigna, Maria-Rosa; Guignabert, Christophe; Humbert, Marc; Rimar, Doron</t>
  </si>
  <si>
    <t>Lysyl oxidase-a possible role in systemic sclerosis-associated pulmonary hypertension: a multicentre study</t>
  </si>
  <si>
    <t>biomarkers; fibrosis; lysyl oxidase; pulmonary arterial hypertension; systemic sclerosis; vasculopathy</t>
  </si>
  <si>
    <t>ARTERIAL-HYPERTENSION; EXPRESSION; FIBROSIS; DISEASE</t>
  </si>
  <si>
    <t>Objective. Lysyl oxidase (LOX) is an extracellular enzyme that cross-links collagen fibrils. LOX was found to be increased in serum of SSc patients and was suggested to be related to skin fibrosis, yet a vascular source of LOX has been demonstrated in idiopathic pulmonary arterial hypertension (iPAH). We aimed to validate elevated LOX serum levels in SSc and to study its correlation with clinical characteristics and investigate its main source at the tissue level. Methods. A total of 86 established SSc patients were compared with 86 patients with very early diagnosis of systemic sclerosis (VEDOSS), 110 patients with primary RP (PRP) and 80 healthy controls. LOX serum levels were determined by ELISA. Five lung and 12 skin biopsies from SSc patients were stained for LOX and compared with controls. Results. Serum levels of LOX in SSc were significantly higher than in VEDOSS, PRP and healthy controls (P &lt; 0.001). LOX inversely correlated with the diffusing capacity of the lung for carbon monoxide diffusing capacity (DLCO) in diffuse SSc (r = -0.376, P = 0.02). Patients with moderate to severe estimated systolic PAH had higher LOX levels (P &lt; 0.01). Lung biopsies demonstrated intense LOX staining in SSc patients with PAH that was predominantly located in the endothelium of the remodelled pulmonary vessels. Conclusion. Serum LOX levels are increased in established SSc and inversely correlate with the DLCO. LOX is elevated in patients with moderate to severe PAH and is located in the proliferating endothelium in lung arterioles, suggesting a possible role for LOX in SSc-associated PAH.</t>
  </si>
  <si>
    <t>[Vadasz, Zahava] Bnai Zion Med Ctr, Div Allergy &amp; Clin Immunol, Haifa, Israel; [Gurman, Alexandra Balbir; Braun-Moscovici, Yolada] Rambam Hlth Care Campus, Rheumatol Unit, Haifa, Israel; [Meroni, Pierluigi; Ingegnoli, Francesca] Univ Milan, Dept Clin Sci &amp; Community Hlth, Div Rheumatol, Milan, Italy; [Farge, Dominique] St Louis Hosp, AP HP, CRMR Rare Syst Autoimmune Dis, Internal Med, Paris, France; [Farge, Dominique] McGill Univ, Internal Med, Montreal, PQ, Canada; [Levi, Yair] Meir Med Ctr, Dept Med E, Kefar Sava, Israel; [Rosner, Itzhak; Slobodin, Gleb; Rozenbaum, Michael; Jiries, Nizar; Kaly, Lisa; Boulman, Nina; Zilber, Karina; Ginsberg, Shira; Awisat, Abid; Rimar, Doron] Bnai Zion Med Ctr, Rheumatol Unit, POB 4940, IL-31048 Haifa, Israel; [Goldberg, Yair] Univ Haifa, Dept Stat, Haifa, Israel; [Lurie, Michael] Bnai Zion Med Ctr, Pathol Dept, Haifa, Israel; [Ghigna, Maria-Rosa] Hop Marie Lannelongue, Pathol Dept, Le Plessis Robinson, France; [Ghigna, Maria-Rosa; Guignabert, Christophe; Humbert, Marc] INSERM UMR S 999, Le Plessis Robinson, France; [Ghigna, Maria-Rosa; Guignabert, Christophe; Humbert, Marc] Univ Paris Sud, Fac Med, Le Kremlin Bicetre, France; [Ghigna, Maria-Rosa; Guignabert, Christophe; Humbert, Marc] Univ Paris Saclay, Le Kremlin Bicetre, France; [Humbert, Marc] Hop Bicetre, AP HP, Serv Pneumol, Le Kremlin Bicetre, France</t>
  </si>
  <si>
    <t>Bnai Zion Medical Center; Rambam Health Care Campus; University of Milan; Assistance Publique Hopitaux Paris (APHP); Universite Paris Cite; Hopital Universitaire Saint-Louis - APHP; McGill University; Tel Aviv University; Sackler Faculty of Medicine; Bnai Zion Medical Center; University of Haifa; Bnai Zion Medical Center; Hopital Marie Lannelongue; Institut National de la Sante et de la Recherche Medicale (Inserm); Universite Paris Saclay; Universite Paris Saclay; Universite Paris Saclay; Assistance Publique Hopitaux Paris (APHP); Hopital Universitaire Bicetre - APHP; Hopital Universitaire Antoine-Beclere - APHP; Universite Paris Saclay</t>
  </si>
  <si>
    <t>Rimar, D (corresponding author), Bnai Zion Med Ctr, Rheumatol Unit, POB 4940, IL-31048 Haifa, Israel.</t>
  </si>
  <si>
    <t>doronrimar@gmail.com</t>
  </si>
  <si>
    <t>Rimar, Doron/ABF-3726-2020; Ingegnoli, Francesca/B-6226-2017; Humbert, Marc/AAC-8459-2019; GUIGNABERT, Christophe/G-3873-2013</t>
  </si>
  <si>
    <t>Ingegnoli, Francesca/0000-0002-6727-1273; Humbert, Marc/0000-0003-0703-2892; Braun Moscovici, Yolanda/0000-0001-7706-9346; GUIGNABERT, Christophe/0000-0002-8545-4452; Awisat, Abid/0000-0001-5547-3436; Ghigna, Maria Rosa/0000-0001-5996-665X</t>
  </si>
  <si>
    <t>10.1093/rheumatology/kez035</t>
  </si>
  <si>
    <t>JI3QQ</t>
  </si>
  <si>
    <t>WOS:000493383000007</t>
  </si>
  <si>
    <t>Weatherald, J; Montani, D; Humbert, M</t>
  </si>
  <si>
    <t>Weatherald, Jason; Montani, David; Humbert, Marc</t>
  </si>
  <si>
    <t>Seeing the Forest for the (Arterial) Tree: Vascular Pruning and the Chronic Obstructive Pulmonary Disease Pulmonary Vascular Phenotype</t>
  </si>
  <si>
    <t>[Weatherald, Jason] Univ Calgary, Dept Med, Calgary, AB, Canada; [Weatherald, Jason] Libin Cardiovasc Inst Alberta, Calgary, AB, Canada; [Montani, David; Humbert, Marc] Univ Paris Saclay, Fac Med, Le Kremlin Bicetre, France; [Montani, David; Humbert, Marc] Hop Bicetre, AP HP, Serv Pneumol, Le Kremlin Bicetre, France; [Montani, David; Humbert, Marc] Hop Marie Lannelongue, INSERM, UMR S 999, Le Plessis Robinson, France</t>
  </si>
  <si>
    <t>University of Calgary; Libin Cardiovascular Institute Of Alberta; Universite Paris Saclay; Assistance Publique Hopitaux Paris (APHP); Hopital Universitaire Antoine-Beclere - APHP; Universite Paris Saclay; Hopital Universitaire Bicetre - APHP; Universite Paris Saclay; Hopital Marie Lannelongue; Institut National de la Sante et de la Recherche Medicale (Inserm)</t>
  </si>
  <si>
    <t>Weatherald, J (corresponding author), Univ Calgary, Dept Med, Calgary, AB, Canada.;Weatherald, J (corresponding author), Libin Cardiovasc Inst Alberta, Calgary, AB, Canada.</t>
  </si>
  <si>
    <t>Humbert, Marc/0000-0003-0703-2892; Weatherald, Jason/0000-0002-0615-4575; Montani, David/0000-0002-9358-6922</t>
  </si>
  <si>
    <t>10.1164/rccm.201901-0248ED</t>
  </si>
  <si>
    <t>IR8WT</t>
  </si>
  <si>
    <t>WOS:000481722900004</t>
  </si>
  <si>
    <t>Antigny, F; Chaumais, MC; Humbert, M; Montani, D</t>
  </si>
  <si>
    <t>Antigny, Fabrice; Chaumais, Marie-Camille; Humbert, Marc; Montani, David</t>
  </si>
  <si>
    <t>Pulmonary arterial hypertension in patient treated for multiple sclerosis with 4-aminopyridine</t>
  </si>
  <si>
    <t>[Antigny, Fabrice; Humbert, Marc; Montani, David] Univ Paris Saclay, Univ Paris Sud, Fac Med, 78 Rue Gen Leclerc, F-94275 Le Kremlin Bicetre, France; [Antigny, Fabrice; Humbert, Marc; Montani, David] Hop Bicetre, AP HP, Serv Pneumol, Ctr Reference Hypertens Pulm,Fac Med, 78 Rue Gen Leclerc, F-94275 Le Kremlin Bicetre, France; [Antigny, Fabrice; Chaumais, Marie-Camille; Humbert, Marc; Montani, David] Univ Paris Sud, INSERM, UMR S 999, Hop Marie Lannelongue, 133 Ave Resistance, F-92350 Le Plessis Robinson, France; [Chaumais, Marie-Camille] Univ Paris Sud Saclay, Fac Pharm, 5 Rue Jean Baptiste Clement, F-92296 Chatenay Malabry, France; [Chaumais, Marie-Camille] Hop Bicetre, AP HP, Serv Pharm, 78 Rue Gen Leclerc, F-94275 Le Kremlin Bicetre, France</t>
  </si>
  <si>
    <t>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 Universite Paris Saclay; Universite Paris Saclay; Assistance Publique Hopitaux Paris (APHP); Hopital Universitaire Antoine-Beclere - APHP; Hopital Universitaire Bicetre - APHP</t>
  </si>
  <si>
    <t>Antigny, F (corresponding author), Univ Paris Saclay, Univ Paris Sud, Fac Med, 78 Rue Gen Leclerc, F-94275 Le Kremlin Bicetre, France.;Antigny, F (corresponding author), Hop Bicetre, AP HP, Serv Pneumol, Ctr Reference Hypertens Pulm,Fac Med, 78 Rue Gen Leclerc, F-94275 Le Kremlin Bicetre, France.;Antigny, F (corresponding author), Univ Paris Sud, INSERM, UMR S 999, Hop Marie Lannelongue, 133 Ave Resistance, F-92350 Le Plessis Robinson, France.</t>
  </si>
  <si>
    <t>10.1111/fcp.12489</t>
  </si>
  <si>
    <t>JW9RG</t>
  </si>
  <si>
    <t>WOS:000503382300006</t>
  </si>
  <si>
    <t>Taniguchi, Y; Jaïs, X; Jevnikar, M; Boucly, A; Weatherald, J; Brenot, P; Planche, O; Parent, F; Savale, L; Fadel, E; Montani, D; Humbert, M; Sitbon, O; Simonneau, G</t>
  </si>
  <si>
    <t>Taniguchi, Yu; Jais, Xavier; Jevnikar, Mitja; Boucly, Athenais; Weatherald, Jason; Brenot, Philippe; Planche, Olivier; Parent, Florence; Savale, Laurent; Fadel, Elie; Montani, David; Humbert, Marc; Sitbon, Olivier; Simonneau, Gerald</t>
  </si>
  <si>
    <t>Predictors of survival in patients with not-operated chronic thromboembolic pulmonary hypertension</t>
  </si>
  <si>
    <t>chronic thromboembolic pulmonary hypertension; balloon pulmonary angioplasty; prognosis; pulmonary endarterectomy; medical therapy; pulmonary vasodilators</t>
  </si>
  <si>
    <t>ANGIOPLASTY; PROGNOSIS; RIOCIGUAT</t>
  </si>
  <si>
    <t>BACKGROUND: Treatment options for inoperable chronic thromboembolic pulmonary hypertension (CTEPH) have recently evolved with the availability of balloon pulmonary angioplasty (BPA) and pulmonary vasodilators. Our aim was to analyze the prognostic variables associated with long-term outcome in a cohort of patients with not-operated CTEPH. METHODS: From January 2006 to December 2016, 343 newly diagnosed consecutive patients with not-operated CTEPH were diagnosed and followed up in the French Reference Center for Pulmonary Hypertension. Overall long-term survival and prognostic factors according to the diagnosis period (early period, 2006-2012, vs recent period, since 2013, i.e., one year before availability of BPA) were analyzed. RESULTS: In the overall population, baseline New York Heart Association functional class, right atrial pressure, 6-minute walk distance (6MWD), and diagnosis period were independent predictors of survival. The 1- and 3-year survival rates of patients diagnosed in the recent period (n = 170) were 91.6% and 85.0%, compared with 89.0% and 74.3% in patients diagnosed in the early period (n = 173), respectively (p = 0.030). Multivariate analysis from patients diagnosed in the recent period found that baseline 6MWD (per 20 m increase in distance) (hazard ratio [HR], 0.879; 95% confidence interval [CI], 0.832-0.928, p &lt; 0.001) and BPA (HR, 0.307; 95% CI, 0.099-0.957; p = 0.042) were independently associated with survival. CONCLUSIONS: Survival of not-operated patients with CTEPH has significantly improved in the recent management era. New treatment options, including BPA, might have the potential to improve the prognosis of patients with inoperable CTEPH. (C) 2019 International Society for Heart and Lung Transplantation. All rights reserved.</t>
  </si>
  <si>
    <t>[Taniguchi, Yu; Jais, Xavier; Jevnikar, Mitja; Boucly, Athenais; Weatherald, Jason; Planche, Olivier; Parent, Florence; Savale, Laurent; Fadel, Elie; Montani, David; Humbert, Marc; Sitbon, Olivier; Simonneau, Gerald] Univ Paris Sud, Fac Med, Univ Paris Saclay, Le Kremlin Bicetre, France; [Taniguchi, Yu; Jais, Xavier; Jevnikar, Mitja; Boucly, Athenais; Weatherald, Jason; Parent, Florence; Savale, Laurent; Fadel, Elie; Montani, David; Humbert, Marc; Sitbon, Olivier; Simonneau, Gerald] Hop Bicetre, AP HP, Serv Pneumol, Ctr Reference Hypertens Pulm, Le Kremlin Bicetre, France; [Taniguchi, Yu; Jais, Xavier; Jevnikar, Mitja; Boucly, Athenais; Brenot, Philippe; Planche, Olivier; Parent, Florence; Savale, Laurent; Montani, David; Humbert, Marc; Sitbon, Olivier; Simonneau, Gerald] Hop Marie Lannelongue, Inserm UMR S 999, Le Plessis Robinson, France; [Weatherald, Jason] Univ Calgary, Dept Med, Div Respirol, Calgary, AB, Canada; [Weatherald, Jason] Libin Cardiovasc Inst Alberta, Calgary, AB, Canada; [Brenot, Philippe] Hop Marie Lannelongue, Serv Radiol, Le Plessis Robinson, France; [Planche, Olivier] Hop Bicetre, AP HP, Serv Radiol, Le Kremlin Bicetre, France; [Fadel, Elie] Hop Marie Lannelongue, Serv Chirurg Thorac, Le Plessis Robinson, France</t>
  </si>
  <si>
    <t>Universite Paris Saclay; Assistance Publique Hopitaux Paris (APHP); Hopital Universitaire Antoine-Beclere - APHP; Universite Paris Saclay; Hopital Universitaire Bicetre - APHP; Hopital Marie Lannelongue; Institut National de la Sante et de la Recherche Medicale (Inserm); Universite Paris Saclay; University of Calgary; Libin Cardiovascular Institute Of Alberta; Hopital Marie Lannelongue; Assistance Publique Hopitaux Paris (APHP); Hopital Universitaire Bicetre - APHP; Hopital Universitaire Antoine-Beclere - APHP; Universite Paris Saclay; Hopital Marie Lannelongue</t>
  </si>
  <si>
    <t>David, Montani/I-6885-2019; Simonneau, Gerald/ABE-6614-2020; Savale, Laurent/AAJ-9781-2020; Brenot, Philippe/HJB-1040-2022; Humbert, Marc/AAC-8459-2019</t>
  </si>
  <si>
    <t>Boucly, Athenais/0000-0001-6246-5557; Weatherald, Jason/0000-0002-0615-4575; Jevnikar, Mitja/0000-0003-0727-6790; Humbert, Marc/0000-0003-0703-2892; Montani, David/0000-0002-9358-6922; JAIS, XAVIER/0000-0002-4104-7994</t>
  </si>
  <si>
    <t>10.1016/j.healun.2019.04.006</t>
  </si>
  <si>
    <t>IM0SH</t>
  </si>
  <si>
    <t>WOS:000477699000006</t>
  </si>
  <si>
    <t>Perros, F; Sentenac, P; Boulate, D; Manaud, G; Kotsimbos, T; Lecerf, F; Lamrani, L; Fadel, E; Mercier, O; Londono-Vallejo, A; Humbert, M; Eddahibi, S</t>
  </si>
  <si>
    <t>Perros, Frederic; Sentenac, Pierre; Boulate, David; Manaud, Gregoire; Kotsimbos, Tom; Lecerf, Florence; Lamrani, Lilia; Fadel, Elie; Mercier, Olaf; Londono-Vallejo, Arturo; Humbert, Marc; Eddahibi, Saadia</t>
  </si>
  <si>
    <t>Smooth Muscle Phenotype in Idiopathic Pulmonary Hypertension: Hyper-Proliferative but not Cancerous</t>
  </si>
  <si>
    <t>idiopathic pulmonary artery hypertension; pulmonary artery smooth muscle cells; proliferation; energetic metabolism; DNA damage.</t>
  </si>
  <si>
    <t>ARTERIAL-HYPERTENSION; TELOMERE LENGTH; CELL-GROWTH; DNA-DAMAGE; INFLAMMATION; BIOLOGY; REPAIR</t>
  </si>
  <si>
    <t>Idiopathic pulmonary arterial hypertension (IPAH) is a complex disease associated with vascular remodeling and a proliferative disorder in pulmonary artery smooth muscle cells (PASMCs) that has been variably described as having neoplastic features. To decode the phenotype of PASMCs in IPAH, PASMCs from explanted lungs of patients with IPAH (IPAH-PASMCs) and from controls (C-PASMCs) were cultured. The IPAH-PASMCs grew faster than the controls; however, both growth curves plateaued, suggesting contact inhibition in IPAH cells. No proliferation was seen without stimulation with exogenous growth factors, suggesting that IPAH cells are incapable of self-sufficient growth. IPAH-PASMCs were more resistant to apoptosis than C-PASMCs, consistent with the increase in the Bc12/Bax ratio. As cell replication is governed by telomere length, these parameters were assessed jointly. Compared to C-PASMCs, IPAH-PASMCs had longer telomeres, but a limited replicative capacity. Additionally, it was noted that IPAH-PASMCs had a shift in energy production from mitochondrial oxidative phosphorylation to aerobic glycolysis. As DNA damage and genomic instability are strongly implicated in IPAH development a comparative genomic hybridization was performed on genomic DNA from PASMCs which showed multiple break-points unaffected by IPAH severity. Activation of DNA damage/repair factors (TH2AX, p53, and GADD45) in response to cisplatin was measured. All proteins showed lower phosphorylation in IPAH samples than in controls, suggesting that the cells were resistant to DNA damage. Despite the cancer-like processes that are associated with end-stage IPAH-PASMCs, we identified no evidence of self-sufficient proliferation in these cells the defining feature of neoplasia.</t>
  </si>
  <si>
    <t>[Perros, Frederic; Manaud, Gregoire; Lecerf, Florence; Humbert, Marc] Univ Paris Sud, Fac Med, F-94270 Le Kremlin Bicetre, France; [Perros, Frederic; Humbert, Marc] Hop Bicetre, AP HP, Ctr Reference Hypertens Pulm Severe, Dept Hosp Univ Thorax Innovat,Serv Pneumol &amp; Rean, F-94270 Le Kremlin Bicetre, France; [Perros, Frederic; Manaud, Gregoire; Lecerf, Florence; Humbert, Marc] Univ Paris Sud, Unite Mixte Rech 999, Inst Natl Sante &amp; Rech Med, Lab Excellence Rech Medicament &amp; Innovat Therapeu, F-92350 Le Plessis Robinson, France; [Perros, Frederic] Laval Univ, Inst Univ Cardiol &amp; Pneumol Quebec, Ctr Rech, Montreal, PQ G1V 4G5, Canada; [Sentenac, Pierre; Eddahibi, Saadia] Univ Montpellier, INSERM, CNRS, PhyMedExp, F-34295 Montpellier, France; [Sentenac, Pierre] Montpellier Univ, Dept Anaesthesiol &amp; Crit Care Med, Arnaud de Villeneuve Teaching Hosp, Sch Med, F-34295 Montpellier, France; [Boulate, David] Marie Lannelongue Hosp, Dept Thorac &amp; Vasc Surg, F-92350 Le Plessis Robinson, France; [Kotsimbos, Tom] Monash Univ, Alfred Hlth, Melbourne, Vic 3004, Australia; [Lecerf, Florence; Lamrani, Lilia; Fadel, Elie; Mercier, Olaf; Londono-Vallejo, Arturo; Eddahibi, Saadia] Marie Lannelongue Hosp, Res Dept, F-92350 Le Plessis Robinson, France; [Londono-Vallejo, Arturo] PSL Res Univ, Inst Curie, CNRS, Unite Mixte Rech 3244,Telomere &amp; Canc Lab, F-75005 Paris, France</t>
  </si>
  <si>
    <t>Universite Paris Saclay; Universite Paris Saclay; Assistance Publique Hopitaux Paris (APHP); Hopital Universitaire Bicetre - APHP; Hopital Universitaire Antoine-Beclere - APHP; Institut National de la Sante et de la Recherche Medicale (Inserm); Universite Paris Saclay; Laval University; Universite de Montpellier; Centre National de la Recherche Scientifique (CNRS); Institut National de la Sante et de la Recherche Medicale (Inserm); Universite de Montpellier; CHU de Montpellier; Hopital Marie Lannelongue; Monash University; Hopital Marie Lannelongue; Universite PSL; UNICANCER; Institut Curie; Centre National de la Recherche Scientifique (CNRS); Sorbonne Universite</t>
  </si>
  <si>
    <t>Eddahibi, S (corresponding author), Univ Montpellier, INSERM, CNRS, PhyMedExp, F-34295 Montpellier, France.;Eddahibi, S (corresponding author), Marie Lannelongue Hosp, Res Dept, F-92350 Le Plessis Robinson, France.</t>
  </si>
  <si>
    <t>saadia.eddahibi@inserm.fr</t>
  </si>
  <si>
    <t>Boulate, David/ABC-8057-2020; Londono-Vallejo, Arturo/ABH-5555-2020; Sentenac, Pierre/AAX-1531-2020; Perros, Frederic/N-6921-2017; Humbert, Marc/AAC-8459-2019</t>
  </si>
  <si>
    <t>Perros, Frederic/0000-0001-7730-2427; Humbert, Marc/0000-0003-0703-2892; Mercier, Olaf/0000-0002-4760-6267; Londono Vallejo, Jose Arturo/0000-0003-3535-7563; Sentenac, Pierre/0000-0003-1806-5120</t>
  </si>
  <si>
    <t>Agence Nationale de la Recherche [ANR-08-GENOPAT-004]</t>
  </si>
  <si>
    <t>Agence Nationale de la Recherche(Agence Nationale de la Recherche (ANR))</t>
  </si>
  <si>
    <t>This work was supported by grants from the Agence Nationale de la Recherche (ANR-08-GENOPAT-004 to S.E., A.L., and M.H.).</t>
  </si>
  <si>
    <t>JUL 2</t>
  </si>
  <si>
    <t>10.3390/ijms20143575</t>
  </si>
  <si>
    <t>IQ0OB</t>
  </si>
  <si>
    <t>WOS:000480449300199</t>
  </si>
  <si>
    <t>Bunel, V; Guyard, A; Dauriat, G; Danel, C; Montani, D; Gauvain, C; Thabut, G; Humbert, M; Castier, Y; Dorfmüller, P; Mal, H</t>
  </si>
  <si>
    <t>Bunel, Vincent; Guyard, Alice; Dauriat, Gaelle; Danel, Claire; Montani, David; Gauvain, Clement; Thabut, Gabriel; Humbert, Marc; Castier, Yves; Dorfmueller, Peter; Mal, Herve</t>
  </si>
  <si>
    <t>Pulmonary Arterial Histologic Lesions in Patients With COPD With Severe Pulmonary Hypertension</t>
  </si>
  <si>
    <t>COPD; pathology; pulmonary hypertension; transplants</t>
  </si>
  <si>
    <t>OXYGEN-THERAPY; DISEASE; TRANSPLANTATION; ANGIOGENESIS; CANDIDATES; ERG</t>
  </si>
  <si>
    <t>BACKGROUND: The development of pulmonary hypertension (PH) during the course of COPD is a well-known phenomenon, with the prevalence depending on the severity of airway obstruction. When mean pulmonary pressure (mPAP) level at rest is &gt;= 35 mm Hg or &gt;= 25 mm Hg with low cardiac index, the term severe PH is used. For these patients, little is known on the underlying histologic lesions. Our objective was to describe these lesions. METHODS: From the explants of patients undergoing lung transplantation, we compared retrospectively three groups of patients with COPD: severe PH-COPD (n = 10), moderate PH-COPD (mPAP between 25 and 34 mm Hg without low cardiac index) (n = 10), and no PH (mPAP &lt; 25 mm Hg) (n = 10). Histologic analysis of the explanted lungs examined the wall of medium-size arteries, the remodeling of microvessels, and the pulmonary capillary density using morphometric measurements performed on three sections per patient. RESULTS: Compared with the moderate PH group, the remodeling score of the microvessels was significantly higher (P = .0045) and the capillary density was lower (P = .0049) in the severe PH-COPD group. The alterations of the medium-size arteries, important in group 1 PH, seemed less discriminating. CONCLUSIONS: Patients with severe PH-COPD appear to have a specific histologic pattern, different from that observed in patients with COPD with moderate PH or without PH.</t>
  </si>
  <si>
    <t>[Bunel, Vincent; Dauriat, Gaelle; Thabut, Gabriel; Mal, Herve] Univ Paris 07, Hop Bichat, Serv Pneumol &amp; Transplantat Pulm B, Paris, France; [Bunel, Vincent; Danel, Claire; Gauvain, Clement; Thabut, Gabriel; Mal, Herve] Univ Paris 07, INSERM, U1152, Lab Excellence INFLAMEX,Dept Hospitalouniv FIRE, Paris, France; [Guyard, Alice; Danel, Claire] Hop Bichat Claude Bernard, AP HP, Dept Pathol, Paris, France; [Montani, David; Humbert, Marc; Dorfmueller, Peter] Univ Paris Sud, Hop Bicetre, Ctr Reference Hypertens Pulm Severe, Serv Pneumol,AP HP,INSERM,UMR S 999, Paris, France; [Castier, Yves] Hop Bichat Claude Bernard, AP HP, Serv Chirurg Thorac &amp; Vasc, Paris, France; [Dorfmueller, Peter] Hop Marie Lannelongue, Serv Anat Pathol, Le Plessis Robinson, France</t>
  </si>
  <si>
    <t>Assistance Publique Hopitaux Paris (APHP); Universite Paris Cite; Hopital Universitaire Bichat-Claude Bernard - APHP; Institut National de la Sante et de la Recherche Medicale (Inserm); Universite Paris Cite; Assistance Publique Hopitaux Paris (APHP); Universite Paris Cite; Hopital Universitaire Bichat-Claude Bernard - APHP; Universite Paris Saclay; Assistance Publique Hopitaux Paris (APHP); Hopital Universitaire Bicetre - APHP; Institut National de la Sante et de la Recherche Medicale (Inserm); Universite Paris Cite; Assistance Publique Hopitaux Paris (APHP); Hopital Universitaire Bichat-Claude Bernard - APHP; Hopital Marie Lannelongue</t>
  </si>
  <si>
    <t>Mal, H (corresponding author), Hop Bichat Claude Bernard, Serv Pneumol &amp; Transplantat Pulm B, 46 Rue Henri Huchard, F-75018 Paris, France.</t>
  </si>
  <si>
    <t>BUNEL, Vincent/I-3078-2019; David, Montani/I-6885-2019; Humbert, Marc/AAC-8459-2019</t>
  </si>
  <si>
    <t>Guyard, Alice/0000-0002-2406-3079; Humbert, Marc/0000-0003-0703-2892; Dorfmuller, Peter/0000-0003-2499-6829; Montani, David/0000-0002-9358-6922</t>
  </si>
  <si>
    <t>10.1016/j.chest.2019.02.333</t>
  </si>
  <si>
    <t>IG3WQ</t>
  </si>
  <si>
    <t>WOS:000473736500017</t>
  </si>
  <si>
    <t>Hoette, S; Creuzé, N; Rochitte, CE; Simonneau, G; Humbert, M; Souza, R; Chemla, D</t>
  </si>
  <si>
    <t>Hoette, S.; Creuze, N.; Rochitte, C. E.; Simonneau, G.; Humbert, M.; Souza, R.; Chemla, D.</t>
  </si>
  <si>
    <t>Chronic thromboembolic and pulmonary arterial hypertension share right ventricular and pulmonary artery CMR features</t>
  </si>
  <si>
    <t>PULMONOLOGY</t>
  </si>
  <si>
    <t>Pulmonary hypertension; Cardiac magnetic resonance imaging; PAH; Chronic thromboembolic PH</t>
  </si>
  <si>
    <t>Background: Cardiac magnetic resonance (CMR) imaging has gained importance in pulmonary hypertension (PH) and studies have demonstrated its use as a surrogate marker and in following treatment of these patients. The pathophysiology of PH differs between pulmonary arterial hypertension (PAH, group 1) and chronic thromboembolic PH (CTEPH, group 4). Objectives: The present study tested the hypothesis that PAH and CTEPH display different characteristics on CMR imaging. Methods: 46 patients were evaluated for pulmonary vascular disease in the French National Reference Center for PH (23 PAH and 23 CTEPH matched for age and gender). All patients had the right heart catheterization (RHC) and CMR imaging performed within 48 h. CMR imaging was performed on a 1.5 T scanner. Results: PAH and CTEPH had similar body surface area and similar invasive hemodynamics, including mean pulmonary arterial pressure, cardiac index, pulmonary vascular resistance and right atrial pressure. PAH and CTEPH had similar CMR data. Right ventricular (RV) morphology and function and pulmonary artery (PA) data were also similar. Conclusion: Age- and sex-matched PAH and CTEPH patients displayed similar values of the CMR indices of RV and PA morphology and function, suggesting that the RV-PA responses are similar in both groups, mostly related to the overall increase in after load. (C) 2019 Sociedade Portuguesa de Pneumologia. Published by Elsevier Espana, S.L.U.</t>
  </si>
  <si>
    <t>[Hoette, S.; Souza, R.] Univ Sao Paulo, Heart Inst, Pulm Dept, Med Sch, Sao Paulo, Brazil; [Creuze, N.; Chemla, D.] AP HP, Fac Med Paris 11, Physiol &amp; Radiol, Le Kremlin Bicetre, France; [Simonneau, G.; Humbert, M.] Paris 11 Univ, AP HP, INSERM, UMR S999,Pneumol, Le Kremlin Bicetre, France; [Rochitte, C. E.] Univ Sao Paulo, Heart Inst, Cardiovasc Imaging, Med Sch, Sao Paulo, Brazil</t>
  </si>
  <si>
    <t>Universidade de Sao Paulo; Assistance Publique Hopitaux Paris (APHP); Hopital Universitaire Bicetre - APHP; Universite Paris Saclay; Assistance Publique Hopitaux Paris (APHP); Hopital Universitaire Bicetre - APHP; Institut National de la Sante et de la Recherche Medicale (Inserm); Universite Paris Saclay; Universidade de Sao Paulo</t>
  </si>
  <si>
    <t>Souza, R (corresponding author), Univ Sao Paulo, Heart Inst, Pulm Dept, Med Sch, Sao Paulo, Brazil.</t>
  </si>
  <si>
    <t>rogerio@me.com</t>
  </si>
  <si>
    <t>ROCHITTE, CARLOS/GYH-2098-2022; Simonneau, Gerald/ABE-6614-2020; Humbert, Marc/AAC-8459-2019; Rochitte, Carlos/M-1042-2017</t>
  </si>
  <si>
    <t>Humbert, Marc/0000-0003-0703-2892; Rochitte, Carlos/0000-0003-4505-3344</t>
  </si>
  <si>
    <t>ELSEVIER SCIENCE BV</t>
  </si>
  <si>
    <t>PO BOX 211, 1000 AE AMSTERDAM, NETHERLANDS</t>
  </si>
  <si>
    <t>2531-0437</t>
  </si>
  <si>
    <t>Pulmonology</t>
  </si>
  <si>
    <t>10.1016/j.pulmoe.2019.03.002</t>
  </si>
  <si>
    <t>IF6WN</t>
  </si>
  <si>
    <t>WOS:000473221100007</t>
  </si>
  <si>
    <t>Humbert, M; Albers, FC; Bratton, DJ; Yancey, SW; Liu, MC; Hozawa, S; Llanos, JP; Kwon, N</t>
  </si>
  <si>
    <t>Humbert, Marc; Albers, Frank C.; Bratton, Daniel J.; Yancey, Steven W.; Liu, Mark C.; Hozawa, Soichiro; Llanos, Jean-Pierre; Kwon, Namhee</t>
  </si>
  <si>
    <t>Effect of mepolizumab in severe eosinophilic asthma according to omalizumab eligibility</t>
  </si>
  <si>
    <t>Asthma; Asthma interventions; Eosinophilic asthma; Allergic asthma; Atopic asthma; Treatment</t>
  </si>
  <si>
    <t>ADD-ON THERAPY; ALLERGIC-ASTHMA; DOUBLE-BLIND; MULTICENTER; EFFICACY; BIOMARKERS; PHENOTYPES; ANTIBODY; SAFETY; DREAM</t>
  </si>
  <si>
    <t>Background: Patients with severe asthma can present with overlapping eosinophilic and allergic phenotypes, which makes it challenging when deciding which biologic therapy is most appropriate to reduce exacerbations and help achieve asthma control. Objective: This post hoc meta-analysis evaluated the efficacy of the licensed dose of mepolizumab (100 mg administered subcutaneously [SC]) versus placebo in patients with severe eosinophilic asthma (SEA), according to omalizumab eligibility and associated allergic characteristics. Methods: Data from two Phase 3 studies (MENSA [MEA115588/NCT01691521]; MUSCA [200862/NCT02281318]) were analyzed. Patients &gt;= 12 years of age with SEA who experienced &gt;= 2 exacerbations in the previous year received placebo, mepolizumab 100 mg SC or 75 mg intravenously, plus standard of care (high-dose inhaled corticosteroids and other controllers), every 4 weeks. Data from patients who received &gt;= 1 dose placebo or mepolizumab 100 mg SC were used for this analysis. The primary endpoint was the rate of clinically significant exacerbations; other outcomes included forced expiratory volume in 1 s (FEV1), Asthma Control Questionnaire (ACQ-5) score and quality of life measured using St George's Respiratory Questionnaire (SGRQ). Results: Rate reductions in clinically significant exacerbations with mepolizumab versus placebo were similar in omalizumab eligible and ineligible patients (57% vs 55%). FEV1, ACQ-5 and SGRQ scores improved with mepolizumab versus placebo regardless of omalizumab eligibility, Immunoglobulin E levels, or atopic status. Conclusion: This analysis indicated that mepolizumab 100 mg SC has clinical benefit in patients with blood eosinophil counts &gt;= 150 cells/mu L (or history of &gt;= 300 cells/mu L), regardless of allergic characteristics or omalizumab eligibility.</t>
  </si>
  <si>
    <t>[Humbert, Marc] Univ Paris Sud, INSERM, U999, Serv Pneumol,Publ Hop Paris,Hop Bicetre, Le Kremlin Bicetre, France; [Albers, Frank C.] GSK, Resp Med Franchise, Res Triangle Pk, NC USA; [Bratton, Daniel J.] GSK, Clin Stat, Stockley Pk, Uxbridge, Middx, England; [Yancey, Steven W.] GSK, Resp Therapeut Area, Res Triangle Pk, NC USA; [Liu, Mark C.] Johns Hopkins Asthma &amp; Allergy Ctr, Baltimore, MD USA; [Hozawa, Soichiro] Hiroshima Allergy &amp; Resp Clin, Hiroshima, Japan; [Llanos, Jean-Pierre] GSK, US Med Affairs, Res Triangle Pk, NC USA; [Kwon, Namhee] GSK, Resp Med Franchise, Brentford, Middx, England</t>
  </si>
  <si>
    <t>Assistance Publique Hopitaux Paris (APHP); Hopital Universitaire Antoine-Beclere - APHP; Hopital Universitaire Bicetre - APHP; Universite Paris Saclay; Institut National de la Sante et de la Recherche Medicale (Inserm); GlaxoSmithKline; Glaxosmithkline USA; GlaxoSmithKline; Glaxosmithkline United Kingdom; GlaxoSmithKline; Glaxosmithkline USA; Johns Hopkins University; Johns Hopkins Medicine; GlaxoSmithKline; Glaxosmithkline USA; GlaxoSmithKline; Glaxosmithkline United Kingdom</t>
  </si>
  <si>
    <t>Kwon, N (corresponding author), GSK House, 980 Great West Rd, Brentford TW8 9GS, Middx, England.</t>
  </si>
  <si>
    <t>mjc.humbert@gmail.com; frank.c.albers@gsk.com; daniel.x.bratton@gsk.com; steve.w.yancey@gsk.com; mcl@jhmi.edu; hozawa@vesta.ocn.ne.jp; jean-pierre.r.llanos-ackert@gsk.com; namhee.n.kwon@gsk.com</t>
  </si>
  <si>
    <t>Humbert, Marc/0000-0003-0703-2892; LLanos, Jean-Pierre/0000-0002-7785-6881</t>
  </si>
  <si>
    <t>GlaxoSmithKline [208116, MEA115588/NCT01691521, 200862/NCT02281318]; GSK</t>
  </si>
  <si>
    <t>GlaxoSmithKline(GlaxoSmithKline); GSK(GlaxoSmithKline)</t>
  </si>
  <si>
    <t>This post hoc meta-analysis (GSK ID: 208116) and the parent studies (MENSA, MEA115588/NCT01691521; MUSCA, 200862/NCT02281318) were funded by GlaxoSmithKline. Editorial support (in the form of writing assistance, including development of the initial draft from the study report, assembling tables and figures, collating author comments, grammatical editing and referencing) was provided by Laura Pearce PhD, and Elizabeth Hutchinson PhD, CMPP, at Fishawack Indicia Ltd, UK, and was funded by GSK.</t>
  </si>
  <si>
    <t>10.1016/j.rmed.2019.06.004</t>
  </si>
  <si>
    <t>IH9JD</t>
  </si>
  <si>
    <t>WOS:000474821800011</t>
  </si>
  <si>
    <t>Kaakinen, M; Rhodes, CJ; Humbert, M; Prokopenko, I; Wilkins, M</t>
  </si>
  <si>
    <t>Kaakinen, M.; Rhodes, C. J.; Humbert, M.; Prokopenko, I.; Wilkins, M.</t>
  </si>
  <si>
    <t>NIHR Bioresource Rare Dis</t>
  </si>
  <si>
    <t>Genome-wide association study of 1,124 protein levels in pulmonary arterial hypertension patients identifies a novel trans-pQTL at ELK2AP for Death Receptor 3</t>
  </si>
  <si>
    <t>51st Conference of the European-Society-of-Human-Genetics (ESHG) in conjunction with the European Meeting on Psychosocial Aspects of Genetics (EMPAG)</t>
  </si>
  <si>
    <t>JUN 16-19, 2018</t>
  </si>
  <si>
    <t>Milan, ITALY</t>
  </si>
  <si>
    <t>[Kaakinen, M.; Rhodes, C. J.; Prokopenko, I.; Wilkins, M.] Imperial Coll London, London, England; [Humbert, M.] Univ Paris Sud, Paris, France</t>
  </si>
  <si>
    <t>Imperial College London; Universite Paris Saclay</t>
  </si>
  <si>
    <t>Prokopenko, Iryna/AAV-1791-2020; Humbert, Marc/AAC-8459-2019</t>
  </si>
  <si>
    <t>NATURE PUBLISHING GROUP</t>
  </si>
  <si>
    <t>MACMILLAN BUILDING, 4 CRINAN ST, LONDON N1 9XW, ENGLAND</t>
  </si>
  <si>
    <t>P16.57A</t>
  </si>
  <si>
    <t>JC5HW</t>
  </si>
  <si>
    <t>WOS:000489313104324</t>
  </si>
  <si>
    <t>Soubrier, F; Eyries, M; Girerd, B; Montani, D; Levy, M; Bonnet, D; Bourdin, A; Trésorier, R; Chaouat, A; Cottin, V; Sanfiorenzo, C; Prévot, G; Reynaud-Gaubert, M; Dromer, C; Houeijeh, A; Humbert, M</t>
  </si>
  <si>
    <t>Soubrier, F.; Eyries, M.; Girerd, B.; Montani, D.; Levy, M.; Bonnet, D.; Bourdin, A.; Tresorier, R.; Chaouat, A.; Cottin, V.; Sanfiorenzo, C.; Prevot, G.; Reynaud-Gaubert, M.; Dromer, C.; Houeijeh, A.; Humbert, M.</t>
  </si>
  <si>
    <t>Landscape of mutations found by gene panel routine sequencing for pulmonary hypertension</t>
  </si>
  <si>
    <t>[Soubrier, F.; Eyries, M.] Hop La Pitie Salpetriere, Dept Genet, Paris, France; [Girerd, B.; Montani, D.; Humbert, M.] Hop Bicetre, DHU Thorax Innovat, Ctr Reference Hypertens Pulm Severe, Serv Pneumol, Le Kremlin Bicetre, France; [Levy, M.; Bonnet, D.] Hop Necker Enfants Malad, M3C Cardiol Pediat, Paris, France; [Bourdin, A.] CHU Arnaud de Villeneuve, Dept Pneumol &amp; Addictol, Montpellier, France; [Tresorier, R.] CHU Gabriel Montpied, Serv Cardiol Malad Vasc, Clermont Ferrand, France; [Chaouat, A.] Univ Lorraine, CHRU Nancy, Dept Pneumol, Vandoeuvre Les Nancy, France; [Cottin, V.] CHU Lyon, HCL GH Est Hop Louis Pradel, Serv Pneumol, Bron, France; [Sanfiorenzo, C.] CHU Nice, Hop Pasteur, Serv Pneumol, Nice, France; [Prevot, G.] Hop Larrey, Serv Pneumol, Toulouse, France; [Reynaud-Gaubert, M.] CHU Nord Marseille, Serv Pneumol, Marseille, France; [Dromer, C.] CHU Bordeaux, Hop Haut Leveque, Serv Pneumol, Pessac, France; [Houeijeh, A.] CHRU Lille, Hop Cardiol, Serv Cardiol Infantile &amp; Congenitale, Lille, France</t>
  </si>
  <si>
    <t>Sorbonne Universite; Assistance Publique Hopitaux Paris (APHP); Hopital Universitaire Pitie-Salpetriere - APHP; Assistance Publique Hopitaux Paris (APHP); Hopital Universitaire Bicetre - APHP; Universite Paris Saclay; Hopital Universitaire Antoine-Beclere - APHP; Assistance Publique Hopitaux Paris (APHP); Universite Paris Cite; Hopital Universitaire Necker-Enfants Malades - APHP; Universite de Montpellier; CHU de Montpellier; CHU Clermont Ferrand; CHU de Nancy; Universite de Lorraine; CHU Lyon; CHU Nice; CHU de Toulouse; Aix-Marseille Universite; Assistance Publique-Hopitaux de Marseille; Universite de Bordeaux; CHU Bordeaux; Universite de Lille; CHU Lille</t>
  </si>
  <si>
    <t>HOUEIJEH, ali/AAP-5295-2020; Bourdin, Philippe/D-8149-2015; Humbert, Marc/AAC-8459-2019; EYRIES, melanie/ABF-1034-2020; David, Montani/I-6885-2019; Chaouat, Ari/AAP-6784-2021</t>
  </si>
  <si>
    <t>P05.58B</t>
  </si>
  <si>
    <t>WOS:000489313101108</t>
  </si>
  <si>
    <t>Pavord, I; Bahmer, T; Braido, F; Cosío, BG; Humbert, M; Idzko, M; Adamek, L</t>
  </si>
  <si>
    <t>Pavord, Ian; Bahmer, Thomas; Braido, Fulvio; Cosio, Borja G.; Humbert, Marc; Idzko, Marco; Adamek, Lukasz</t>
  </si>
  <si>
    <t>Severe T2-high asthma in the biologics era: European experts' opinion</t>
  </si>
  <si>
    <t>PRECISION MEDICINE; CONTROL QUESTIONNAIRE; MEDICATION ADHERENCE; EOSINOPHILIC ASTHMA; REFRACTORY ASTHMA; ALLERGIC DISEASES; TREATABLE TRAITS; EXACERBATIONS; BENRALIZUMAB; MEPOLIZUMAB</t>
  </si>
  <si>
    <t>The European Respiratory Biologics Forum gathered participants from 21 countries in Madrid, Spain, to discuss the management and treatment of severe asthma in the era of biologics. The current insights on the pathophysiology of severe asthma were discussed, as well as the role of respiratory biologics in clinical practice and strategies for eliminating chronic use of oral corticosteroids. The participants also highlighted the key challenges in identifying patients with severe asthma based on phenotypes, biomarkers and treatable traits, and the existing problems in patient referral to specialist care. The monitoring of treatment was debated and the need for a change towards precision medicine and personalised care was emphasised throughout the meeting. This review provides a summary of the discussions and highlights important concerns identified by the participants regarding the current management of severe asthma.</t>
  </si>
  <si>
    <t>[Pavord, Ian] Univ Oxford, Nuffield Dept Med, Oxford, England; [Pavord, Ian] Univ Oxford, Oxford Resp NIHR BRC, Oxford, England; [Bahmer, Thomas] Univ Hosp Schleswig Holstein, Dept Internal Med, Kiel, Germany; [Braido, Fulvio] Univ Genoa, Osped Policlin IRCCS San Martino, Dept Internal Med Resp Dis &amp; Allergy, Genoa, Italy; [Cosio, Borja G.] Hosp Univ Son Espases, Palma De Mallorca, Spain; [Cosio, Borja G.] Ctr Invest Biorned Red Enfermedades Respiratorias, Madrid, Spain; [Humbert, Marc] Univ Paris Saclay, Univ Paris Sud, Fac Med, Le Kremlin Bicetre, France; [Humbert, Marc] Hop Bicetre, Ctr Reference Hypertens Arlerielle Pulm, Serv Pneumol, Le Kremlin Bicetre, France; [Idzko, Marco] Univ Hosp Freiburg, Dept Pulm Med, Freiburg, Germany; [Adamek, Lukasz] AstraZeneca, 600 Capabil Green, Luton LU1 3LU, Beds, England</t>
  </si>
  <si>
    <t>University of Oxford; University of Oxford; University of Kiel; Schleswig Holstein University Hospital; University of Genoa; Hospital Universitari Son Espases; Universite Paris Saclay; Universite Paris Saclay; Assistance Publique Hopitaux Paris (APHP); Hopital Universitaire Antoine-Beclere - APHP; Hopital Universitaire Bicetre - APHP; University of Freiburg; AstraZeneca</t>
  </si>
  <si>
    <t>Adamek, L (corresponding author), AstraZeneca, 600 Capabil Green, Luton LU1 3LU, Beds, England.</t>
  </si>
  <si>
    <t>lukasz.adamek@astrazeneca.com</t>
  </si>
  <si>
    <t>Cosio, Borja G/P-4963-2017; Braido, Fulvio/C-5320-2012; Humbert, Marc/AAC-8459-2019</t>
  </si>
  <si>
    <t>Cosio, Borja G/0000-0002-6388-8209; Braido, Fulvio/0000-0003-2460-4709; Humbert, Marc/0000-0003-0703-2892</t>
  </si>
  <si>
    <t>The study was funded and supported by AstraZeneca. Funding information for this article has been deposited with the Crossref Funder Registry.</t>
  </si>
  <si>
    <t>10.1183/16000617.0054-2019</t>
  </si>
  <si>
    <t>IM4VI</t>
  </si>
  <si>
    <t>WOS:000477993000004</t>
  </si>
  <si>
    <t>Günther, S; Perros, F; Rautou, PE; Girerd, B; Ghigna, MR; Cazals-Hatem, D; Lau, EM; Dorfmüller, P; Sitbon, O; Valla, DC; Humbert, M; Montani, D</t>
  </si>
  <si>
    <t>Guenther, Sven; Perros, Frederic; Rautou, Pierre-Emmanuel; Girerd, Barbara; Ghigna, Maria-Rosa; Cazals-Hatem, Dominique; Lau, Edmund M.; Dorfmueller, Peter; Sitbon, Olivier; Valla, Dominique C.; Humbert, Marc; Montani, David</t>
  </si>
  <si>
    <t>Understanding the Similarities and Differences between Hepatic and Pulmonary Veno-Occlusive Disease</t>
  </si>
  <si>
    <t>AMERICAN JOURNAL OF PATHOLOGY</t>
  </si>
  <si>
    <t>BONE-MARROW-TRANSPLANTATION; SINUSOIDAL OBSTRUCTION SYNDROME; STEM-CELL TRANSPLANTATION; TRANSJUGULAR LIVER-BIOPSY; ARTERIAL-HYPERTENSION; RISK-FACTOR; ENDOTHELIAL DYSFUNCTION; OCCLUSIVE DISEASE; CHEMOTHERAPY; MONOCROTALINE</t>
  </si>
  <si>
    <t>Hepatic veno-occlusive disease (HVOD), alias sinusoidal obstruction syndrome, may develop as a complication of chemotherapy in the setting of hematopoietic stem cell transplantation. HVOD is less frequently described after exposure to chemotherapy in the nontransplant setting and can also be a complication after ingestion of toxins, such as pyrrolizidine alkaloids. Veno-occlusive disease may also affect the lungs, and it is therefore termed pulmonary veno-occlusive disease (PVOD). Similarly, PVOD can develop after exposure to chemotherapeutic agents in the treatment of solid and hematological malignancies. In addition, PVOD has also been linked to autoimmune disorders and occupational solvent exposure. Finally, the heritable form of PVOD is due to biallelic mutations of the EIF2AK4 gene. Both HVOD and PVOD share common histopathological features and pathophysiologic mechanisms. Both clinical disorders are rare complications that can appear after exposure to the common inciting trigger of chemotherapeutic agents. The present review aims to summarize the current knowledge of HVOD and PVOD and to describe both similarities as well as differences regarding both conditions.</t>
  </si>
  <si>
    <t>[Guenther, Sven] Univ Paris 05, Sorbonne Paris Cite, Dept Resp Physiol, Cochin Hosp, Paris, France; [Perros, Frederic; Girerd, Barbara; Sitbon, Olivier; Humbert, Marc; Montani, David] INSERM UMR S 999, Pulm Arterial Hypertens Physiopathol &amp; Therapeut, Le Plessis Robinson, France; [Ghigna, Maria-Rosa] Marie Lannelongue Hosp, Dept Pathol, Le Plessis Robinson, France; [Rautou, Pierre-Emmanuel; Valla, Dominique C.] Univ Paris 05, Paris Cardiovasc Res Ctr, INSERM UMR 970, Paris, France; [Rautou, Pierre-Emmanuel; Valla, Dominique C.] Hop Paris, Beaujon Hosp, Dept Hepatol, Dept Unity,Univ Hosp, Clichy, France; [Girerd, Barbara; Sitbon, Olivier; Humbert, Marc; Montani, David] Univ Paris Saclay, Hop Paris, Natl Reference Ctr Severe Pulm Hypertens, Bicetre Hosp,Med Sch,Univ Paris Sud,Dept Resp Med, Le Kremlin Bicetre, France; [Cazals-Hatem, Dominique] Hop Paris, Beaujon Hosp, Dept Pathol, Clichy, France; [Lau, Edmund M.] Royal Prince Alfred Hosp, Dept Resp Med, Camperdown, NSW, Australia; [Dorfmueller, Peter] Univ Hosp Giessen Marburg, Dept Pathol, Giessen, Germany; [Dorfmueller, Peter] German Ctr Lung Res, Giessen, Germany</t>
  </si>
  <si>
    <t>Universite Paris Cite; Assistance Publique Hopitaux Paris (APHP); Hopital Universitaire Cochin - APHP; Institut National de la Sante et de la Recherche Medicale (Inserm); Universite Paris Saclay; Hopital Marie Lannelongue; Institut National de la Sante et de la Recherche Medicale (Inserm); Universite Paris Cite; Assistance Publique Hopitaux Paris (APHP); Universite Paris Cite; Hopital Universitaire Beaujon - APHP; Assistance Publique Hopitaux Paris (APHP); Hopital Universitaire Bicetre - APHP; Universite Paris Saclay; Assistance Publique Hopitaux Paris (APHP); Universite Paris Cite; Hopital Universitaire Beaujon - APHP; University of Sydney; NSW Health; Royal Prince Alfred Hospital; University Hospital of Giessen &amp; Marburg</t>
  </si>
  <si>
    <t>Montani, D (corresponding author), Univ Paris Sud, Ctr Natl Reference Hypertens Pulm Severe, Serv Pneumol, Hop Bicetre, 78 Rue Gen Leclerc, F-94270 Le Kremlin Bicetre, France.</t>
  </si>
  <si>
    <t>Günther, Sven/ACV-7191-2022; Rautou, Pierre-Emmanuel/ISA-6844-2023; Valla, Dominique/IAM-2915-2023; David, Montani/I-6885-2019; Perros, Frederic/N-6921-2017; Humbert, Marc/AAC-8459-2019; GUNTHER, Sven/P-4177-2017</t>
  </si>
  <si>
    <t>Perros, Frederic/0000-0001-7730-2427; Dorfmuller, Peter/0000-0003-2499-6829; Humbert, Marc/0000-0003-0703-2892; Rautou, Pierre-Emmanuel/0000-0001-9567-1859; Ghigna, Maria Rosa/0000-0001-5996-665X; Montani, David/0000-0002-9358-6922; GUNTHER, Sven/0000-0001-8388-6131; Valla, Dominique/0000-0002-4460-7643</t>
  </si>
  <si>
    <t>Fondation du Souffle-Fonds de dotation Recherche en Sante Respiratoire; Pulmonary Vascular Research Institute; Eliane and Gerard French Award Foundation; European Respiratory Society</t>
  </si>
  <si>
    <t>Supported by Fondation du Souffle-Fonds de dotation Recherche en Sante Respiratoire (S.G.), Pulmonary Vascular Research Institute, the Eliane and Gerard French Award Foundation and the European Respiratory Society (F.P.).</t>
  </si>
  <si>
    <t>0002-9440</t>
  </si>
  <si>
    <t>1525-2191</t>
  </si>
  <si>
    <t>AM J PATHOL</t>
  </si>
  <si>
    <t>Am. J. Pathol.</t>
  </si>
  <si>
    <t>10.1016/j.ajpath.2019.02.007</t>
  </si>
  <si>
    <t>Pathology</t>
  </si>
  <si>
    <t>IA9RJ</t>
  </si>
  <si>
    <t>WOS:000469894200004</t>
  </si>
  <si>
    <t>Humbert, M; Farber, HW; Ghofrani, HA; Benza, RL; Busse, D; Meier, C; Hoeper, MM</t>
  </si>
  <si>
    <t>Humbert, Marc; Farber, Harrison W.; Ghofrani, Hossein-Ardeschir; Benza, Raymond L.; Busse, Dennis; Meier, Christian; Hoeper, Marius M.</t>
  </si>
  <si>
    <t>Risk assessment in pulmonary arterial hypertension and chronic thromboembolic pulmonary hypertension</t>
  </si>
  <si>
    <t>SOLUBLE GUANYLATE-CYCLASE; LONG-TERM EXTENSION; OPEN-LABEL; RIOCIGUAT; MANAGEMENT; ENDARTERECTOMY; STIMULATORS; PREDICTORS; SURVIVAL; OUTCOMES</t>
  </si>
  <si>
    <t>Background: Current pulmonary hypertension treatment guidelines recommend use of a risk stratification model encompassing a range of parameters, allowing patients to be categorised as low, intermediate or high risk. Three abbreviated versions of this risk stratification model were previously evaluated in patients with pulmonary arterial hypertension (PAH) in the French, Swedish and COMPERA registries. Our objective was to investigate the three abbreviated risk stratification methods for patients with mostly prevalent PAH and chronic thromboembolic pulmonary hypertension (CTEPH), in patients from the PATENT-1/2 and CHEST-1/2 studies of riociguat. Methods: Risk was assessed at baseline and at follow-up in PATENT-1 and CHEST-1. Survival and clinical worsening-free survival were assessed in patients in each risk group/strata. Results: With all three methods, riociguat improved risk group/strata in patients with PAH after 12 weeks. The French non-invasive and Swedish/COMPERA methods discriminated prognosis for survival and clinical worsening-free survival at both baseline and follow-up. Furthermore, patients achieving one or more low-risk criteria or a low-risk stratum at follow-up had a significantly reduced risk of death and clinical worsening compared with patients achieving no low-risk criteria or an intermediate-risk stratum. Similar results were obtained in patients with inoperable or persistent/recurrent CTEPH. Conclusions: This analysis confirms and extends the results of the registry analyses, supporting the value of goal-oriented treatment in PAH. Further assessment of these methods in patients with CTEPH is warranted.</t>
  </si>
  <si>
    <t>[Humbert, Marc] Univ Paris Saclay, Univ Paris Sud, Fac Med, Le Kremlin Bicetre, France; [Humbert, Marc] Hop Bicetre, AP HP, Ctr Reference Hypertens Pulm, Serv Pneumol, Le Kremlin Bicetre, France; [Humbert, Marc] INSERM, Unite 999, Le Kremlin Bicetre, France; [Farber, Harrison W.] Tufts Med Ctr, Div Pulm Crit Care &amp; Sleep Med, Boston, MA 02111 USA; [Ghofrani, Hossein-Ardeschir] Univ Giessen, Giessen, Germany; [Ghofrani, Hossein-Ardeschir] German Ctr Lung Res DZL, Marburg Lung Ctr, Giessen, Germany; [Ghofrani, Hossein-Ardeschir] Imperial Coll London, Dept Med, London, England; [Benza, Raymond L.] Allegheny Gen Hosp, Cardiovasc Inst, Pittsburgh, PA 15212 USA; [Busse, Dennis] Chrestos Concept GmbH &amp; Co KG, Essen, Germany; [Meier, Christian] Bayer AG, Berlin, Germany; [Hoeper, Marius M.] Hannover Med Sch, German Ctr Lung Res DZL, Clin Resp Med, Hannover, Germany</t>
  </si>
  <si>
    <t>Universite Paris Saclay; Assistance Publique Hopitaux Paris (APHP); Hopital Universitaire Bicetre - APHP; Hopital Universitaire Antoine-Beclere - APHP; Universite Paris Saclay; Institut National de la Sante et de la Recherche Medicale (Inserm); Tufts Medical Center; Justus Liebig University Giessen; Imperial College London; Allegheny General Hospital; Bayer AG; Hannover Medical School</t>
  </si>
  <si>
    <t>Humbert, M (corresponding author), Hop Bicetre, Serv Pneumol, 78 Rue Gen Leclerc, F-94270 Le Kremlin Bicetre, France.</t>
  </si>
  <si>
    <t>Benza, Raymond/AAD-4885-2019; Hoeper, Marius/Z-1546-2019; Ghofrani, Ardeschir/AAD-5293-2020; Humbert, Marc/AAC-8459-2019</t>
  </si>
  <si>
    <t>Humbert, Marc/0000-0003-0703-2892; Hoeper, Marius/0000-0001-9086-2293; Ghofrani, Ardeschir/0000-0002-2029-4419</t>
  </si>
  <si>
    <t>The PATENT and CHEST studies were funded by Bayer AG. Funding information for this article has been deposited with the Crossref Funder Registry.</t>
  </si>
  <si>
    <t>10.1183/13993003.02004-2018</t>
  </si>
  <si>
    <t>IH0QD</t>
  </si>
  <si>
    <t>WOS:000474194800010</t>
  </si>
  <si>
    <t>Humbert, M; Galiè, N; McLaughlin, VV; Rubin, LJ; Simonneau, G</t>
  </si>
  <si>
    <t>Humbert, Marc; Galie, Nazzareno; McLaughlin, Vallerie V.; Rubin, Lewis J.; Simonneau, Gerald</t>
  </si>
  <si>
    <t>An insider view on the World Symposium on Pulmonary Hypertension</t>
  </si>
  <si>
    <t>[Humbert, Marc; Galie, Nazzareno; McLaughlin, Vallerie V.; Rubin, Lewis J.; Simonneau, Gerald] CHU Bicetre, Serv Pneumol &amp; Soins Intensifs, F-94275 Le Kremlin Bicetre, France</t>
  </si>
  <si>
    <t>Humbert, M (corresponding author), CHU Bicetre, Serv Pneumol &amp; Soins Intensifs, F-94275 Le Kremlin Bicetre, France.</t>
  </si>
  <si>
    <t>Rubin, Lewis/AEW-1719-2022; Simonneau, Gerald/ABE-6614-2020; Humbert, Marc/AAC-8459-2019</t>
  </si>
  <si>
    <t>10.1016/S2213-2600(19)30111-0</t>
  </si>
  <si>
    <t>HY9VC</t>
  </si>
  <si>
    <t>WOS:000468488400015</t>
  </si>
  <si>
    <t>Khouri, C; Cornet, L; Roustit, M; Guignabert, C; Chaumais, MC; Humbert, M; Revol, B; Despas, F; Montani, D; Cracowski, JL</t>
  </si>
  <si>
    <t>Khouri, C.; Cornet, L.; Roustit, M.; Guignabert, C.; Chaumais, M. -C.; Humbert, M.; Revol, B.; Despas, F.; Montani, D.; Cracowski, J. -L.</t>
  </si>
  <si>
    <t>Pulmonary arterial hypertension associated with protein kinase inhibitors: a pharmacovigilance-pharmacodynamic study</t>
  </si>
  <si>
    <t>EUROPEAN JOURNAL OF CLINICAL PHARMACOLOGY</t>
  </si>
  <si>
    <t>14th Congress of the European-Association-for-Clinical-Pharmacology-and-Therapeutics (EACPT)</t>
  </si>
  <si>
    <t>JUN 29-JUL 02, 2019</t>
  </si>
  <si>
    <t>Stockholm, SWEDEN</t>
  </si>
  <si>
    <t>European Assoc Clin Pharmacol &amp; Therapeut</t>
  </si>
  <si>
    <t>[Khouri, C.] Grenoble Alpes Univ Hosp, Pharmacovigilance Unit, Grenoble, France; [Khouri, C.; Roustit, M.] Grenoble Alpes Univ Hosp, INSERM, CIC1406, Clin Pharmacol Dept, Grenoble, France; [Khouri, C.; Roustit, M.; Cracowski, J. -L.] Univ Grenoble Alpes, UMR 1042 HP2, Grenoble, France; [Cornet, L.] Grenoble Aples Univ Hosp, Pharmacovigilance Unit, Grenoble, France; [Guignabert, C.; Humbert, M.; Montani, D.] Hop Bicetre, AP HP, Serv Pneumol, Le Kremlin Bicetre, France; [Guignabert, C.; Chaumais, M. -C.; Humbert, M.; Montani, D.] Hop Marie Lannelongue, INSERM, UMR S 999, Le Plessis Robinson, France; [Guignabert, C.; Humbert, M.; Montani, D.] Univ Paris Saclay, Univ Paris Sud, Fac Med, Le Kremlin Bicetre, France; [Chaumais, M. -C.] Univ Paris Saclay, Hop Bicetre, AP HP, Serv Pharm, Le Kremlin Bicetre, France; [Chaumais, M. -C.] Univ Paris Saclay, Univ Paris Sud, Fac Pharm, Le Kremlin Bicetre, France; [Revol, B.] Grenoble Aples Univ Hosp, Pharmacovigilance, Grenoble, France; [Despas, F.] CHU Toulouse, Univ Hosp, Med &amp; Clin Pharmacol Unit, Toulouse, France; [Despas, F.] Univ Toulouse III Paul Sabatier, French Natl Inst Hlth &amp; Med Res, INSERM, UMR1027, Toulouse, France; [Despas, F.] Toulouse Clin Invest Ctr, INSERM, CIC 1436, Toulouse, France; [Cracowski, J. -L.] Grenoble Aples Univ Hosp, INSERM, CIC1406, Clin Pharmacol Dept, Grenoble, France</t>
  </si>
  <si>
    <t>CHU Grenoble Alpes; Communaute Universite Grenoble Alpes; Universite Grenoble Alpes (UGA); Institut National de la Sante et de la Recherche Medicale (Inserm); CHU Grenoble Alpes; Communaute Universite Grenoble Alpes; Universite Grenoble Alpes (UGA); Communaute Universite Grenoble Alpes; Universite Grenoble Alpes (UGA); Assistance Publique Hopitaux Paris (APHP); Hopital Universitaire Antoine-Beclere - APHP; Universite Paris Saclay; Hopital Universitaire Bicetre - APHP; Institut National de la Sante et de la Recherche Medicale (Inserm); Hopital Marie Lannelongue; Universite Paris Saclay; Universite Paris Saclay; Assistance Publique Hopitaux Paris (APHP); Hopital Universitaire Bicetre - APHP; Hopital Universitaire Antoine-Beclere - APHP; Universite Paris Saclay; Institut National de la Sante et de la Recherche Medicale (Inserm); Universite Paris Saclay; CHU de Toulouse; Universite de Toulouse; Universite Toulouse III - Paul Sabatier; Institut National de la Sante et de la Recherche Medicale (Inserm); Universite de Toulouse; Universite Toulouse III - Paul Sabatier; Universite de Toulouse; Universite Toulouse III - Paul Sabatier; Institut National de la Sante et de la Recherche Medicale (Inserm); Institut National de la Sante et de la Recherche Medicale (Inserm)</t>
  </si>
  <si>
    <t>Revol, Bruno/AAS-7367-2021; KHOURI, CHARLES/J-1090-2019; David, Montani/I-6885-2019; Humbert, Marc/AAC-8459-2019; GUIGNABERT, Christophe/G-3873-2013; , CRACOWSKI/M-6946-2014</t>
  </si>
  <si>
    <t>SPRINGER HEIDELBERG</t>
  </si>
  <si>
    <t>HEIDELBERG</t>
  </si>
  <si>
    <t>TIERGARTENSTRASSE 17, D-69121 HEIDELBERG, GERMANY</t>
  </si>
  <si>
    <t>0031-6970</t>
  </si>
  <si>
    <t>1432-1041</t>
  </si>
  <si>
    <t>EUR J CLIN PHARMACOL</t>
  </si>
  <si>
    <t>Eur. J. Clin. Pharmacol.</t>
  </si>
  <si>
    <t>EACPT-1285</t>
  </si>
  <si>
    <t>S100</t>
  </si>
  <si>
    <t>S101</t>
  </si>
  <si>
    <t>IF4HW</t>
  </si>
  <si>
    <t>WOS:000473043400252</t>
  </si>
  <si>
    <t>Khouri, C.; Cornet, L.; Roustit, M.; Guignabert, C.; Chaumais, M. C.; Humbert, M.; Revol, B.; Despas, F.; Montani, D.; Cracowski, J. L.</t>
  </si>
  <si>
    <t>Pulmonary Arterial Hypertension associated with Protein Kinase Inhibitors: a pharmacovigilance-pharmacodynamic study</t>
  </si>
  <si>
    <t>[Khouri, C.; Revol, B.] Grenoble Alpes Univ Hosp, Pharmacovigilance Unit, F-38000 Grenoble, France; [Khouri, C.] Grenoble Alpes Univ Hosp, INSERM, Dept Clin Pharmacol, CIC1406, F-38000 Grenoble, France; [Roustit, M.; Cracowski, J. L.] Grenoble Alpes Univ Hosp, INSERM, Dept Clin Pharmacol, CIC1406, F-38000 Grenoble, France; [Guignabert, C.; Humbert, M.; Montani, D.] Univ Paris Saclay, Univ Paris Sud, Fac Med, Le Kremlin Bicetre, France; [Guignabert, C.; Humbert, M.; Montani, D.] Hop Bicetre, AP HP, Serv Pneumol, Le Kremlin Bicetre, France; [Guignabert, C.; Chaumais, M. C.; Humbert, M.; Montani, D.] Hop Marie Lannelongue, INSERM, UMR S 999, Le Plessis Robinson, France; [Chaumais, M. C.] Univ Paris Saclay, Univ Paris Sud, Fac Pharm, Chatenay Malabry, France; [Chaumais, M. C.] Hop Bicetre, AP HP, Serv Pharm, Le Kremlin Bicetre, France; [Despas, F.] CHU Toulouse Univ Hosp, Med &amp; Clin Pharmacol Unit, F-31000 Toulouse, France</t>
  </si>
  <si>
    <t>CHU Grenoble Alpes; Communaute Universite Grenoble Alpes; Universite Grenoble Alpes (UGA); Communaute Universite Grenoble Alpes; Universite Grenoble Alpes (UGA); CHU Grenoble Alpes; Institut National de la Sante et de la Recherche Medicale (Inserm); CHU Grenoble Alpes; Institut National de la Sante et de la Recherche Medicale (Inserm); Communaute Universite Grenoble Alpes; Universite Grenoble Alpes (UGA); Universite Paris Saclay; Assistance Publique Hopitaux Paris (APHP); Hopital Universitaire Antoine-Beclere - APHP; Hopital Universitaire Bicetre - APHP; Universite Paris Saclay; Hopital Marie Lannelongue; Institut National de la Sante et de la Recherche Medicale (Inserm); Universite Paris Saclay; Universite Paris Saclay; Universite Paris Saclay; Assistance Publique Hopitaux Paris (APHP); Hopital Universitaire Bicetre - APHP; Hopital Universitaire Antoine-Beclere - APHP; CHU de Toulouse</t>
  </si>
  <si>
    <t>GUIGNABERT, Christophe/G-3873-2013; Humbert, Marc/AAC-8459-2019; David, Montani/I-6885-2019; , CRACOWSKI/M-6946-2014; Revol, Bruno/AAS-7367-2021; KHOURI, CHARLES/J-1090-2019</t>
  </si>
  <si>
    <t>CO-044</t>
  </si>
  <si>
    <t>IF2UK</t>
  </si>
  <si>
    <t>WOS:000472935400045</t>
  </si>
  <si>
    <t>Wei, W; Tuna, S; Keogh, MJ; Smith, KR; Aitman, TJ; Beales, PL; Bennett, DL; Gale, DP; Bitner-Glindzicz, MAK; Black, GC; Brennan, P; Elliott, P; Flinter, FA; Floto, RA; Houlden, H; Irving, M; Koziell, A; Maher, ER; Markus, HS; Morrell, NW; Newman, WG; Roberts, I; Sayer, JA; Smith, KGC; Taylor, JC; Watkins, H; Webster, AR; Wilkie, AOM; Williamson, C; Attwood, A; Brown, M; Brod, NC; Crisp-Hihn, A; Davis, J; Deevi, SVV; Dewhurst, EF; Edwards, K; Erwood, M; Fox, J; Frary, AJ; Hu, FY; Jolley, J; Kingston, N; Linger, R; Mapeta, R; Martin, J; Meacham, S; Papadia, S; Rayner-Matthews, PJ; Samarghitean, C; Shamardina, O; Simeoni, I; Staines, S; Staples, E; Stark, H; Stephens, J; Titterton, C; Tuna, S; von Ziegenweidt, J; Watt, C; Whitehorn, D; Wood, Y; Yates, K; Yu, P; James, R; Ashford, S; Penkett, CJ; Stirrups, KE; Bariana, T; Lentaigne, C; Sivapalaratnam, S; Westbury, SK; Allsup, DJ; Bakchoul, T; Biss, T; Boyce, S; Collins, J; Collins, PW; Curry, NS; Downes, K; Dutt, T; Erber, WN; Evans, G; Everington, T; Favier, R; Gomez, K; Greene, D; Gresele, P; Hart, D; Kazmi, R; Kelly, AM; Lambert, M; Madan, B; Mangles, S; Mathias, M; Millar, C; Obaji, S; Peerlinck, K; Roughley, C; Schulman, S; Scully, M; Shapiro, SE; Sibson, K; Simeoni, I; Sims, MC; Tait, RC; Talks, K; Thys, C; Toh, CH; Geet, C; Westwood, JP; Papadia, S; Mumford, AD; Ouwehand, WH; Freson, K; Laffan, MA; Tan, RYY; Harkness, K; Mehta, S; Muir, KW; Hassan, A; Traylor, M; Drazyk, AM; Markus, HS; Parry, D; Ahmed, M; Kazkaz, H; Vandersteen, AM; Aitman, TJ; Ormondroyd, E; Thomson, K; Dent, T; Brennan, P; Buchan, RJ; Bueser, T; Carr-White, G; Cook, S; Daniels, MJ; Harper, AR; Ware, JS; Watkins, H; Dixon, PH; Chambers, J; Cheng, F; Estiu, MC; Hague, WM; Marschall, HU; Vazquez-Lopez, M; Williamson, C; Arno, G; Dewhurst, EF; Erwood, M; French, CE; Michaelides, M; Moore, AT; Sanchis-Juan, A; Carss, K; Webster, AR; Raymond, FL; Chinnery, PF; Griffiths, P; Horvath, R; Hudson, G; Jurkute, N; Pyle, A; Wei, W; Yu-Wai-Man, P; Whitworth, J; Adlard, J; Ahmed, M; Armstrong, R; Brewer, C; Casey, R; Cole, TRP; Evans, DG; Greenhalgh, L; Hanson, HL; Hoffman, J; Izatt, L; Kumar, A; Lalloo, F; Ong, KR; Park, SM; Searle, C; Side, L; Snape, K; Woodward, E; Tischkowitz, M; Maher, ER; Carss, K; Dewhurst, EF; Erwood, M; French, CE; Grozeva, D; Kurian, MA; Themistocleous, AC; Gosal, D; Horvath, R; Marshall, A; Matthews, E; McCarthy, MI; Renton, T; Rice, ASC; Vale, T; Walker, SM; Woods, CG; Bennett, DL; Thaventhiran, JE; Allen, HL; Savic, S; Alachkar, H; Antrobus, R; Baxendale, HE; Browning, MJ; Buckland, MS; Cooper, N; Edgar, JDM; Egner, W; Gilmour, KC; Goddard, S; Gordins, P; Grigoriadou, S; Hackett, S; Hague, R; Hayman, G; Herwadkar, A; Huissoon, AP; Jolles, S; Kelleher, P; Kumararatne, D; Longhurst, H; Lorenzo, LE; Lyons, PA; Maimaris, J; Noorani, S; Richter, A; Samarghitean, C; Sargur, RB; Sewell, WAC; Simeoni, I; Staples, E; Thomas, D; Thomas, MJ; Worth, A; Yong, PFK; Kuijpers, TW; Thrasher, AJ; Smith, KGC; Levine, AP; Sadeghi-Alavijeh, O; Wong, EKS; Cook, HT; Chan, MMY; Hall, M; Harris, C; McAlinden, P; Marchbank, KJ; Marks, S; Maxwell, H; Mozere, M; Wessels, J; Johnson, SA; Gale, DP; Bleda, M; Hadinnapola, C; Haimel, M; Swietlik, E; Bogaard, H; Church, C; Coghlan, G; Condliffe, R; Corris, P; Danesino, C; Eyries, M; Gall, H; Ghofrani, HA; Gibbs, JSR; Girerd, B; Holden, S; Houweling, A; Howard, LS; Humbert, M; Kiely, DG; Kovacs, G; Lawrie, A; Ross, RVM; Martin, J; Moledina, S; Montani, D; Newnham, M; Olschewski, A; Olschewski, H; Peacock, A; Pepke-Zaba, J; Scelsi, L; Seeger, W; Soubrier, F; Suntharalingam, J; Toshner, M; Treacy, C; Trembath, R; Noordegraaf, AV; Waisfisz, Q; Wharton, J; Wilkins, MR; Wort, SJ; Yates, K; Graf, S; Morrell, NW; Louka, E; Roy, NB; Rao, A; Ancliff, P; Babbs, C; Layton, DM; Mead, AJ; O'Sullivan, J; Okoli, S; Roberts, I; Saleem, M; Bierzynska, A; Diz, CB; Colby, E; Ekani, MN; Satchell, S; Koziell, A; Fowler, T; Rendon, A; Scott, R; Smedley, D; Smith, KR; Thomas, E; Caulfield, M; Abbs, S; Burrows, N; Chitre, M; Dewhurst, EF; Floto, RA; Gattens, M; Gurnell, M; Holden, S; Kelsall, W; Mehta, S; Poole, KES; Ross-Russell, R; Spasic-Boskovic, O; Twiss, P; Wagner, A; Banka, S; Black, GC; Clayton-Smith, J; Douzgou, S; Newman, WG; Abulhoul, L; Aurora, P; Bockenhauer, D; Cleary, M; Dattani, M; Ganesan, V; Pilkington, C; Rahman, S; Shah, N; Wedderburn, L; Bitner-Glindzicz, MAK; Bueser, T; Compton, CJ; Deshpande, C; Fassihi, H; Haque, E; Izatt, L; Josifova, D; Mohammed, SN; Robert, L; Rose, SJ; Ruddy, DM; Sarkany, RN; Sayer, G; Shaw, AC; Irving, M; Flinter, FA; Campbell, C; Gibson, K; Koelling, N; Lester, T; Nemeth, AH; Palles, C; Patel, S; Roy, NB; Sen, A; Taylor, J; Tomlinson, IP; Taylor, JC; Wilkie, AOM; Arno, G; Malka, S; Michaelides, M; Moore, AT; Webster, AR; Brennan, P; Browning, AC; Burn, J; Chinnery, PF; De Soyza, A; Graham, J; Horvath, R; Pearce, S; Quinton, R; Schaefer, AM; Wilson, BT; Wright, M; Yu-Wai-Man, P; Sayer, JA; Simpson, M; Syrris, P; Elliott, P; Houlden, H; Beales, PL; Ashford, S; Penkett, CJ; Stirrups, KE; Rendon, A; Ouwehand, WH; Bradley, JR; Raymond, FL; Caulfield, M; Turro, E; Chinnery, PF</t>
  </si>
  <si>
    <t>Wei, Wei; Tuna, Salih; Keogh, Michael J.; Smith, Katherine R.; Aitman, Timothy J.; Beales, Phil L.; Bennett, David L.; Gale, Daniel P.; Bitner-Glindzicz, Maria A. K.; Black, Graeme C.; Brennan, Paul; Elliott, Perry; Flinter, Frances A.; Floto, R. Andres; Houlden, Henry; Irving, Melita; Koziell, Ania; Maher, Eamonn R.; Markus, Hugh S.; Morrell, Nicholas W.; Newman, William G.; Roberts, Irene; Sayer, John A.; Smith, Kenneth G. C.; Taylor, Jenny C.; Watkins, Hugh; Webster, Andrew R.; Wilkie, Andrew O. M.; Williamson, Catherine; Attwood, Anthony; Brown, Matthew; Brod, Naomi Clements; Crisp-Hihn, Abigail; Davis, John; Deevi, Sri V. V.; Dewhurst, Eleanor F.; Edwards, Karen; Erwood, Marie; Fox, James; Frary, Amy J.; Hu, Fengyuan; Jolley, Jennifer; Kingston, Nathalie; Linger, Rachel; Mapeta, Rutendo; Martin, Jennifer; Meacham, Stuart; Papadia, Sofia; Rayner-Matthews, Paula J.; Samarghitean, Crina; Shamardina, Olga; Simeoni, Ilenia; Staines, Simon; Staples, Emily; Stark, Hannah; Stephens, Jonathan; Titterton, Catherine; Tuna, Salih; von Ziegenweidt, Julie; Watt, Christopher; Whitehorn, Deborah; Wood, Yvette; Yates, Katherine; Yu, Ping; James, Roger; Ashford, Sofie; Penkett, Christopher J.; Stirrups, Kathleen E.; Bariana, Tadbir; Lentaigne, Claire; Sivapalaratnam, Suthesh; Westbury, Sarah K.; Allsup, David J.; Bakchoul, Tamam; Biss, Tina; Boyce, Sara; Collins, Janine; Collins, Peter W.; Curry, Nicola S.; Downes, Kate; Dutt, Tina; Erber, Wendy N.; Evans, Gillian; Everington, Tamara; Favier, Remi; Gomez, Keith; Greene, Daniel; Gresele, Paolo; Hart, Daniel; Kazmi, Rashid; Kelly, Anne M.; Lambert, Michele; Madan, Bella; Mangles, Sarah; Mathias, Mary; Millar, Carolyn; Obaji, Samya; Peerlinck, Kathelijne; Roughley, Catherine; Schulman, Sol; Scully, Marie; Shapiro, Susan E.; Sibson, Keith; Simeoni, Ilenia; Sims, Matthew C.; Tait, R. Campbell; Talks, Kate; Thys, Chantal; Toh, Cheng-Hock; Van Geet, Chris; Westwood, John-Paul; Papadia, Sofia; Mumford, Andrew D.; Ouwehand, Willem H.; Freson, Kathleen; Laffan, Michael A.; Tan, Rhea Y. Y.; Harkness, Kirsty; Mehta, Sarju; Muir, Keith W.; Hassan, Ahamad; Traylor, Matthew; Drazyk, Anna M.; Markus, Hugh S.; Parry, David; Ahmed, Munaza; Kazkaz, Hanadi; Vandersteen, Anthony M.; Aitman, Timothy J.; Ormondroyd, Elizabeth; Thomson, Kate; Dent, Timothy; Brennan, Paul; Buchan, Rachel J.; Bueser, Teofila; Carr-White, Gerald; Cook, Stuart; Daniels, Matthew J.; Harper, Andrew R.; Ware, James S.; Watkins, Hugh; Dixon, Peter H.; Chambers, Jenny; Cheng, Floria; Estiu, Maria C.; Hague, William M.; Marschall, Hanns-Ulrich; Vazquez-Lopez, Marta; Williamson, Catherine; Arno, Gavin; Dewhurst, Eleanor F.; Erwood, Marie; French, Courtney E.; Michaelides, Michel; Moore, Anthony T.; Sanchis-Juan, Alba; Carss, Keren; Webster, Andrew R.; Raymond, F. Lucy; Chinnery, Patrick F.; Griffiths, Philip; Horvath, Rita; Hudson, Gavin; Jurkute, Neringa; Pyle, Angela; Wei, Wei; Yu-Wai-Man, Patrick; Whitworth, James; Adlard, Julian; Ahmed, Munaza; Armstrong, Ruth; Brewer, Carole; Casey, Ruth; Cole, Trevor R. P.; Evans, Dafydd Gareth; Greenhalgh, Lynn; Hanson, Helen L.; Hoffman, Jonathan; Izatt, Louise; Kumar, Ajith; Lalloo, Fiona; Ong, Kai Ren; Park, Soo-Mi; Searle, Claire; Side, Lucy; Snape, Katie; Woodward, Emma; Tischkowitz, Marc; Maher, Eamonn R.; Carss, Keren; Dewhurst, Eleanor F.; Erwood, Marie; French, Courtney E.; Grozeva, Detelina; Kurian, Manju A.; Themistocleous, Andreas C.; Gosal, David; Horvath, Rita; Marshall, Andrew; Matthews, Emma; McCarthy, Mark I.; Renton, Tara; Rice, Andrew S. C.; Vale, Tom; Walker, Suellen M.; Woods, Christopher Geoffrey; Bennett, David L.; Thaventhiran, James E.; Allen, Hana Lango; Savic, Sinisa; Alachkar, Hana; Antrobus, Richard; Baxendale, Helen E.; Browning, Michael J.; Buckland, Matthew S.; Cooper, Nichola; Edgar, J. David M.; Egner, William; Gilmour, Kimberly C.; Goddard, Sarah; Gordins, Pavels; Grigoriadou, Sofia; Hackett, Scott; Hague, Rosie; Hayman, Grant; Herwadkar, Archana; Huissoon, Aarnoud P.; Jolles, Stephen; Kelleher, Peter; Kumararatne, Dinakantha; Longhurst, Hilary; Lorenzo, Lorena E.; Lyons, Paul A.; Maimaris, Jesmeen; Noorani, Sadia; Richter, Alex; Samarghitean, Crina; Sargur, Ravishankar B.; Sewell, W. A. Carrock; Simeoni, Ilenia; Staples, Emily; Thomas, David; Thomas, Moira J.; Worth, Austen; Yong, Patrick F. K.; Kuijpers, Taco W.; Thrasher, Adrian J.; Smith, Kenneth G. C.; Levine, Adam P.; Sadeghi-Alavijeh, Omid; Wong, Edwin K. S.; Cook, H. Terence; Chan, Melanie M. Y.; Hall, Matthew; Harris, Claire; McAlinden, Paul; Marchbank, Kevin J.; Marks, Stephen; Maxwell, Heather; Mozere, Monika; Wessels, Julie; Johnson, Sally A.; Gale, Daniel P.; Bleda, Marta; Hadinnapola, Charaka; Haimel, Matthias; Swietlik, Emilia; Bogaard, Harm; Church, Colin; Coghlan, Gerry; Condliffe, Robin; Corris, Paul; Danesino, Cesare; Eyries, Melanie; Gall, Henning; Ghofrani, Hossein-Ardeschir; Gibbs, J. Simon R.; Girerd, Barbara; Holden, Simon; Houweling, Arjan; Howard, Luke S.; Humbert, Marc; Kiely, David G.; Kovacs, Gabor; Lawrie, Allan; Ross, Robert V. MacKenzie; Martin, Jennifer; Moledina, Shahin; Montani, David; Newnham, Michael; Olschewski, Andrea; Olschewski, Horst; Peacock, Andrew; Pepke-Zaba, Joanna; Scelsi, Laura; Seeger, Werner; Soubrier, Florent; Suntharalingam, Jay; Toshner, Mark; Treacy, Carmen; Trembath, Richard; Noordegraaf, Anton Vonk; Waisfisz, Quinten; Wharton, John; Wilkins, Martin R.; Wort, Stephen J.; Yates, Katherine; Graf, Stefan; Morrell, Nicholas W.; Louka, Eleni; Roy, Noemi B.; Rao, Anupama; Ancliff, Philip; Babbs, Christian; Layton, D. Mark; Mead, Adam J.; O'Sullivan, Jennifer; Okoli, Steven; Roberts, Irene; Saleem, Moin; Bierzynska, Agnieszka; Diz, Carmen Bugarin; Colby, Elizabeth; Ekani, Melanie N.; Satchell, Simon; Koziell, Ania; Fowler, Tom; Rendon, Augusto; Scott, Richard; Smedley, Damian; Smith, Katherine R.; Thomas, Ellen; Caulfield, Mark; Abbs, Stephen; Burrows, Nigel; Chitre, Manali; Dewhurst, Eleanor F.; Floto, R. Andres; Gattens, Michael; Gurnell, Mark; Holden, Simon; Kelsall, Wilf; Mehta, Sarju; Poole, Ken E. S.; Ross-Russell, Robert; Spasic-Boskovic, Olivera; Twiss, Philip; Wagner, Annette; Banka, Siddharth; Black, Graeme C.; Clayton-Smith, Jill; Douzgou, Sofia; Newman, William G.; Abulhoul, Lara; Aurora, Paul; Bockenhauer, Detlef; Cleary, Maureen; Dattani, Mehul; Ganesan, Vijeya; Pilkington, Clarissa; Rahman, Shamima; Shah, Neil; Wedderburn, Lucy; Bitner-Glindzicz, Maria A. K.; Bueser, Teofila; Compton, Cecilia J.; Deshpande, Charu; Fassihi, Hiva; Haque, Eshika; Izatt, Louise; Josifova, Dragana; Mohammed, Shehla N.; Robert, Leema; Rose, Sarah J.; Ruddy, Deborah M.; Sarkany, Robert N.; Sayer, Genevieve; Shaw, Adam C.; Irving, Melita; Flinter, Frances A.; Campbell, Carolyn; Gibson, Kate; Koelling, Nils; Lester, Tracy; Nemeth, Andrea H.; Palles, Claire; Patel, Smita; Roy, Noemi B.; Sen, Arjune; Taylor, John; Tomlinson, Ian P.; Taylor, Jenny C.; Wilkie, Andrew O. M.; Arno, Gavin; Malka, Samantha; Michaelides, Michel; Moore, Anthony T.; Webster, Andrew R.; Brennan, Paul; Browning, Andrew C.; Burn, John; Chinnery, Patrick F.; De Soyza, Anthony; Graham, Jodie; Horvath, Rita; Pearce, Simon; Quinton, Richard; Schaefer, Andrew M.; Wilson, Brian T.; Wright, Michael; Yu-Wai-Man, Patrick; Sayer, John A.; Simpson, Michael; Syrris, Petros; Elliott, Perry; Houlden, Henry; Beales, Phil L.; Ashford, Sofie; Penkett, Christopher J.; Stirrups, Kathleen E.; Rendon, Augusto; Ouwehand, Willem H.; Bradley, John R.; Raymond, F. Lucy; Caulfield, Mark; Turro, Ernest; Chinnery, Patrick F.</t>
  </si>
  <si>
    <t>NIHR BioResource-Rare Dis; 100000 Genomes Project-Rare Dis</t>
  </si>
  <si>
    <t>Germline selection shapes human mitochondrial DNA diversity</t>
  </si>
  <si>
    <t>SCIENCE</t>
  </si>
  <si>
    <t>LEIGH-DISEASE; HETEROPLASMY; MTDNA; MUTATIONS; GENOME; TRANSCRIPTION; REPLICATION; ASSOCIATION; REPLACEMENT; SEQUENCE</t>
  </si>
  <si>
    <t>Approximately 2.4% of the human mitochondrial DNA (mtDNA) genome exhibits common homoplasmic genetic variation. We analyzed 12,975 whole-genome sequences to show that 45.1% of individuals from 1526 mother-offspring pairs harbor a mixed population of mtDNA (heteroplasmy), but the propensity for maternal transmission differs across the mitochondrial genome. Over one generation, we observed selection both for and against variants in specific genomic regions; known variants were more likely to be transmitted than previously unknown variants. However, new heteroplasmies were more likely to match the nuclear genetic ancestry as opposed to the ancestry of the mitochondrial genome on which the mutations occurred, validating our findings in 40,325 individuals. Thus, human mtDNA at the population level is shaped by selective forces within the female germ line under nuclear genetic control, which ensures consistency between the two independent genetic lineages.</t>
  </si>
  <si>
    <t>[Wei, Wei; Keogh, Michael J.; Chinnery, Patrick F.; Wei, Wei; Yu-Wai-Man, Patrick; Ganesan, Vijeya; Yu-Wai-Man, Patrick; Chinnery, Patrick F.] Univ Cambridge, Sch Clin Med, Dept Clin Neurosci, Cambridge Biomed Campus, Cambridge, England; [Wei, Wei; Chinnery, Patrick F.; Wei, Wei; Yu-Wai-Man, Patrick; Ganesan, Vijeya; Yu-Wai-Man, Patrick; Chinnery, Patrick F.] MRC, Mitochondrial Biol Unit, Cambridge Biomed Campus, Cambridge, England; [Tuna, Salih; Attwood, Anthony; Brown, Matthew; Brod, Naomi Clements; Crisp-Hihn, Abigail; Davis, John; Deevi, Sri V. V.; Dewhurst, Eleanor F.; Edwards, Karen; Erwood, Marie; Fox, James; Frary, Amy J.; Hu, Fengyuan; Jolley, Jennifer; Kingston, Nathalie; Linger, Rachel; Mapeta, Rutendo; Martin, Jennifer; Meacham, Stuart; Rayner-Matthews, Paula J.; Samarghitean, Crina; Shamardina, Olga; Simeoni, Ilenia; Staines, Simon; Stephens, Jonathan; Titterton, Catherine; Tuna, Salih; von Ziegenweidt, Julie; Watt, Christopher; Whitehorn, Deborah; Wood, Yvette; Yates, Katherine; Yu, Ping; James, Roger; Penkett, Christopher J.; Stirrups, Kathleen E.; Collins, Janine; Downes, Kate; Greene, Daniel; Sims, Matthew C.; Ouwehand, Willem H.; Sanchis-Juan, Alba; Carss, Keren; Allen, Hana Lango; Haimel, Matthias; Graf, Stefan; Rendon, Augusto; Ganesan, Vijeya; Penkett, Christopher J.; Stirrups, Kathleen E.; Ouwehand, Willem H.; Turro, Ernest] Univ Cambridge, Dept Haematol, Cambridge Biomed Campus, Cambridge, England; [Tuna, Salih; Morrell, Nicholas W.; Attwood, Anthony; Brown, Matthew; Brod, Naomi Clements; Crisp-Hihn, Abigail; Davis, John; Deevi, Sri V. V.; Dewhurst, Eleanor F.; Edwards, Karen; Erwood, Marie; Fox, James; Frary, Amy J.; Hu, Fengyuan; Jolley, Jennifer; Kingston, Nathalie; Linger, Rachel; Mapeta, Rutendo; Meacham, Stuart; Papadia, Sofia; Rayner-Matthews, Paula J.; Samarghitean, Crina; Shamardina, Olga; Simeoni, Ilenia; Staines, Simon; Stark, Hannah; Stephens, Jonathan; Titterton, Catherine; von Ziegenweidt, Julie; Watt, Christopher; Whitehorn, Deborah; Wood, Yvette; Yates, Katherine; Yu, Ping; James, Roger; Ashford, Sofie; Penkett, Christopher J.; Stirrups, Kathleen E.; Downes, Kate; Greene, Daniel; Sanchis-Juan, Alba; Carss, Keren; Raymond, F. Lucy; Chinnery, Patrick F.; Allen, Hana Lango; Haimel, Matthias; Martin, Jennifer; Graf, Stefan; Morrell, Nicholas W.; Banka, Siddharth; Ganesan, Vijeya; Penkett, Christopher J.; Stirrups, Kathleen E.; Ouwehand, Willem H.; Bradley, John R.; Raymond, F. Lucy; Turro, Ernest; Chinnery, Patrick F.] Cambridge Univ Hosp NHS Fdn, NIHR BioResource, Cambridge Biomed Campus, Cambridge, England; [Smith, Katherine R.; Fowler, Tom; Rendon, Augusto; Scott, Richard; Smedley, Damian; Thomas, Ellen; Caulfield, Mark] Genom England, Charterhouse Sq, London, England; [Aitman, Timothy J.; Aitman, Timothy J.] Imperial Coll London, Fac Med, MRC Clin Sci Ctr, London, England; [Aitman, Timothy J.; Parry, David; Aitman, Timothy J.] Univ Edinburgh, Inst Genet &amp; Mol Med, Edinburgh, Midlothian, Scotland; [Beales, Phil L.; Bitner-Glindzicz, Maria A. K.; Dattani, Mehul; Rahman, Shamima; Bitner-Glindzicz, Maria A. K.; Beales, Phil L.] UCL Great Ormond St Inst Child Hlth, Genet &amp; Genom Med Programme, London, England; [Beales, Phil L.; Bitner-Glindzicz, Maria A. K.; Walker, Suellen M.; Gilmour, Kimberly C.; Worth, Austen; Marks, Stephen; Moledina, Shahin; Rao, Anupama; Ancliff, Philip; Scott, Richard; Abulhoul, Lara; Aurora, Paul; Bockenhauer, Detlef; Cleary, Maureen; Ganesan, Vijeya; Pilkington, Clarissa; Rahman, Shamima; Shah, Neil; Bitner-Glindzicz, Maria A. K.; Beales, Phil L.] Great Ormond St Hosp Children NHS Fdn Trust, London, England; [Bennett, David L.; Themistocleous, Andreas C.; Vale, Tom; Bennett, David L.; Nemeth, Andrea H.] Univ Oxford, John Radcliffe Hosp, Nuffield Dept Clin Neurosci, Oxford, England; [Gale, Daniel P.; Levine, Adam P.; Chan, Melanie M. Y.; Mozere, Monika; Gale, Daniel P.] UCL, UCL Ctr Nephrol, London, England; [Bitner-Glindzicz, Maria A. K.; Bariana, Tadbir; Gomez, Keith; Jurkute, Neringa] UCL, London, England; [Black, Graeme C.; Newman, William G.; Black, Graeme C.; Clayton-Smith, Jill; Douzgou, Sofia; Newman, William G.] Univ Manchester, Fac Biol Med &amp; Hlth, Evolut &amp; Genom Sci, Manchester, Lancs, England; [Black, Graeme C.; Newman, William G.; Lalloo, Fiona; Woodward, Emma; Black, Graeme C.; Clayton-Smith, Jill; Douzgou, Sofia; Newman, William G.] Manchester Univ Fdn NHS Trust, St Marys Hosp, Manchester Ctr Genom Med, Manchester, Lancs, England; [Brennan, Paul] Newcastle Univ, Newcastle Upon Tyne, Tyne &amp; Wear, England; [Brennan, Paul; Sayer, John A.; De Soyza, Anthony; Pearce, Simon; Quinton, Richard; Schaefer, Andrew M.; Wilson, Brian T.; Sayer, John A.] Newcastle Upon Tyne Hosp NHS Fdn Trust, Newcastle Upon Tyne, Tyne &amp; Wear, England; [Brennan, Paul; Brennan, Paul; Burn, John; Wright, Michael] Newcastle Upon Tyne Hosp NHS Fdn Trust, Northern Genet Serv, Newcastle Upon Tyne, Tyne &amp; Wear, England; [Elliott, Perry; Syrris, Petros] UCL, UCL Inst Cardiovasc Sci, London, England; [Elliott, Perry] St Bartholomews Hosp, Barts Hlth NHS Trust, Barts Heart Ctr, London, England; [Flinter, Frances A.; Carr-White, Gerald; Ekani, Melanie N.; Thomas, Ellen] Guys &amp; St Thomas NHS Fdn Trust, Guys &amp; St Thomas Hosp, London, England; [Flinter, Frances A.; Irving, Melita; Bueser, Teofila; Bueser, Teofila; Compton, Cecilia J.; Deshpande, Charu; Haque, Eshika; Izatt, Louise; Josifova, Dragana; Mohammed, Shehla N.; Robert, Leema; Rose, Sarah J.; Ruddy, Deborah M.; Sayer, Genevieve; Shaw, Adam C.; Flinter, Frances A.] Guys &amp; St Thomas NHS Fdn Trust, Clin Genet Dept, London, England; [Floto, R. Andres; Morrell, Nicholas W.; Smith, Kenneth G. C.; Staples, Emily; Yates, Katherine; Baxendale, Helen E.; Lyons, Paul A.; Thomas, David; Smith, Kenneth G. C.; Bleda, Marta; Hadinnapola, Charaka; Haimel, Matthias; Swietlik, Emilia; Martin, Jennifer; Newnham, Michael; Toshner, Mark; Treacy, Carmen; Graf, Stefan; Morrell, Nicholas W.; Gurnell, Mark; Poole, Ken E. S.; Bradley, John R.] Univ Cambridge, Sch Clin Med, Dept Med, Cambridge Biomed Campus, Cambridge, England; [Floto, R. Andres; Baxendale, Helen E.; Newnham, Michael; Pepke-Zaba, Joanna; Toshner, Mark; Treacy, Carmen; Floto, R. Andres] Royal Papworth Hosp NHS Fdn Trust, Cambridge, England; [Floto, R. Andres; Kelly, Anne M.; Woods, Christopher Geoffrey; Burrows, Nigel; Floto, R. Andres; Gattens, Michael; Gurnell, Mark; Kelsall, Wilf; Poole, Ken E. S.; Ross-Russell, Robert; Wagner, Annette; Bradley, John R.] Cambridge Univ Hosp NHS Fdn Trust, Addenbrookes Hosp, Cambridge, England; [Houlden, Henry; Floto, R. Andres] UCL Inst Neurol, Dept Mol Neurosci, London, England; [Koziell, Ania; Bueser, Teofila; Trembath, Richard; Diz, Carmen Bugarin; Ganesan, Vijeya] Kings Coll London, London, England; [Koziell, Ania] Evelina London Childrens Hosp, Guys &amp; St Thomas NHS Fdn Trust, Dept Paediat Nephrol, London, England; [Maher, Eamonn R.; Raymond, F. Lucy; Whitworth, James; Armstrong, Ruth; Casey, Ruth; Maher, Eamonn R.; Grozeva, Detelina; Woods, Christopher Geoffrey; Banka, Siddharth; Raymond, F. Lucy] Univ Cambridge, Cambridge Inst Med Res, Dept Med Genet, Cambridge Biomed Campus, Cambridge, England; [Maher, Eamonn R.; Whitworth, James; Armstrong, Ruth; Casey, Ruth; Park, Soo-Mi; Maher, Eamonn R.; Bradley, John R.] NIHR Cambridge Biomed Res Ctr, Cambridge Biomed Campus, Cambridge, England; [Markus, Hugh S.; Tan, Rhea Y. Y.; Traylor, Matthew; Drazyk, Anna M.; Markus, Hugh S.] Univ Cambridge, Dept Clin Neurosci, Stroke Res Grp, Cambridge Biomed Campus, Cambridge, England; [Louka, Eleni; Roy, Noemi B.; Babbs, Christian; Mead, Adam J.; Okoli, Steven; Roberts, Irene] Univ Oxford, MRC Weatherall Inst Mol Med, MRC Mol Haematol Unit, Oxford, England; [Roberts, Irene; Roy, Noemi B.; Roberts, Irene] Univ Oxford, Weatherall Inst Mol Med, Dept Paediat, Oxford, England; [Roberts, Irene; Taylor, Jenny C.; Wilkie, Andrew O. M.; McCarthy, Mark I.; Louka, Eleni; Roy, Noemi B.; Babbs, Christian; Okoli, Steven; Roberts, Irene; Taylor, Jenny C.; Wilkie, Andrew O. M.] Oxford Univ Hosp Trust, NIHR Oxford Biomed Res Ctr, Oxford, England; [Sayer, John A.; Horvath, Rita; Hudson, Gavin; Pyle, Angela; Quinton, Richard; Sayer, John A.] Newcastle Univ, Inst Genet Med, Newcastle Upon Tyne, Tyne &amp; Wear, England; [Taylor, Jenny C.; Watkins, Hugh; Harper, Andrew R.; McCarthy, Mark I.; Taylor, Jenny C.] Univ Oxford, Wellcome Ctr Human Genet, Oxford, England; [Watkins, Hugh; Ormondroyd, Elizabeth; Thomson, Kate; Daniels, Matthew J.; Harper, Andrew R.] Univ Oxford, Radcliffe Dept Med, Dept Cardiovasc Med, Oxford, England; [Watkins, Hugh; Wilkie, Andrew O. M.; Ormondroyd, Elizabeth; Thomson, Kate; Dent, Timothy; Daniels, Matthew J.; Wilkie, Andrew O. M.] Oxford Univ Hosp NHS Fdn Trust, Oxford, England; [Webster, Andrew R.; Arno, Gavin; Michaelides, Michel; Moore, Anthony T.; Webster, Andrew R.; Jurkute, Neringa; Yu-Wai-Man, Patrick; Malka, Samantha; Michaelides, Michel] Moorfields Eye Hosp NHS Fdn Trust, London, England; [Webster, Andrew R.; Arno, Gavin; Webster, Andrew R.; Yu-Wai-Man, Patrick; Ganesan, Vijeya; Malka, Samantha; Michaelides, Michel] UCL, UCL Inst Ophthalmol, London, England; [Wilkie, Andrew O. M.; Koelling, Nils; Roy, Noemi B.; Wilkie, Andrew O. M.] Univ Oxford, MRC Weatherall Inst Mol Med, John Radcliffe Hosp, Oxford, England; [Williamson, Catherine; Dixon, Peter H.; Chambers, Jenny] Kings Coll London, Div Womens Hlth, London, England; [Williamson, Catherine] Imperial Coll Healthcare NHS Trust, Hammersmith Hosp, Inst Reprod &amp; Dev Biol Surg &amp; Canc, London, England; [Papadia, Sofia; Stark, Hannah; Ashford, Sofie; Martin, Jennifer] Univ Cambridge, Dept Publ Hlth &amp; Primary Care, Cambridge, England; [Ouwehand, Willem H.; Ouwehand, Willem H.] Wellcome Sanger Inst, Wellcome Genome Campus, Cambridge, England; [Sivapalaratnam, Suthesh; Ouwehand, Willem H.; Ouwehand, Willem H.] NHS Blood &amp; Transplant, Cambridge Biomed Campus, Cambridge, England; [Ouwehand, Willem H.; Ouwehand, Willem H.] Univ Cambridge, British Heart Fdn, Cambridge Ctr Excellence, Cambridge, England; [Bradley, John R.] Cambridge Univ Hosp NHS Fdn Trust, Addenbrookes Hosp, Dept Renal Med, Cambridge, England; [Smedley, Damian; Caulfield, Mark] Queen Mary Univ London, NIHR Biomed Res Ctr Barts, William Harvey Res Inst, London, England; [Greene, Daniel; Turro, Ernest] Univ Cambridge, Cambridge Inst Publ Hlth, MRC Biostat Unit, Cambridge, England; [Bariana, Tadbir; Gomez, Keith] Royal Free London NHS Fdn Trust, Katharine Dormandy Haemophilia Ctr, London, England; [Bariana, Tadbir; Gomez, Keith] Royal Free London NHS Fdn Trust, Thrombosis Unit, London, England; [Lentaigne, Claire; Millar, Carolyn; Laffan, Michael A.; Layton, D. Mark] Imperial Coll Healthcare NHS Trust, Hammersmith Hosp, Dept Haematol, London, England; [Lentaigne, Claire; Millar, Carolyn; Laffan, Michael A.; Layton, D. Mark] Imperial Coll London, Ctr Haematol, London, England; [Sivapalaratnam, Suthesh; Collins, Janine; Hart, Daniel] Barts Hlth NHS Fdn Trust, Royal London Hosp, London, England; [Sivapalaratnam, Suthesh] Cambridge Univ Hosp NHS Fdn Trust, Dept Haematol, Cambridge, England; [Sivapalaratnam, Suthesh] Queen Mary Univ London, London, England; [Westbury, Sarah K.; Mumford, Andrew D.] Univ Bristol, Sch Cellular &amp; Mol Med, Bristol, Avon, England; [Westbury, Sarah K.; Mumford, Andrew D.] Univ Hosp Bristol NHS Fdn Trust, Bristol, Avon, England; [Allsup, David J.] Castle Hill Hosp, Queens Ctr Haematol &amp; Oncol, Hull &amp; East Yorkshire NHS Trust, Cottingham, England; [Allsup, David J.] Univ Hull, Hull York Med Sch, Kingston Upon Hull, N Humberside, England; [Bakchoul, Tamam] Univ Hosp Tubingen, Ctr Clin Transfus Med, Tubingen, Germany; [Biss, Tina; Talks, Kate] Newcastle Upon Tyne Hosp NHS Fdn Trust, Haematol Dept, Royal Victoria Infirm, Newcastle Upon Tyne, Tyne &amp; Wear, England; [Boyce, Sara; Kazmi, Rashid] Univ Hosp Southampton NHS Fdn Trust, Southampton Gen Hosp, Southampton, Hants, England; [Collins, Peter W.] Cardiff Univ, Sch Med, Inst Infect &amp; Immun, Cardiff, S Glam, Wales; [Curry, Nicola S.; Shapiro, Susan E.] Oxford Univ Hosp NHS Trust, Oxford Comprehens Biomed Res Ctr, Oxford Haemophilia &amp; Thrombosis Ctr, Oxford, England; [Dutt, Tina; Toh, Cheng-Hock] Royal Liverpool Univ Hosp, Roald Dahl Haemostasis &amp; Thrombosis Ctr, Liverpool, Merseyside, England; [Erber, Wendy N.] Univ Western Australia, Med Sch, Crawley, Australia; [Erber, Wendy N.] Univ Western Australia, Fac Hlth &amp; Med Sci, Sch Biomed Sci, Crawley, Australia; [Evans, Gillian; Roughley, Catherine; Seeger, Werner] East Kent Hosp Univ Fdn Trust, Kent &amp; Canterbury Hosp, Haemophilia Ctr, Canterbury, Kent, England; [Everington, Tamara] Salisbury NHS Fdn Trust, Salisbury Dist Hosp, Salisbury, Wilts, England; [Everington, Tamara; Mangles, Sarah] Hampshire Hosp NHS Fdn Trust, Haemophilia Haemostasis &amp; Thrombosis Ctr, Basingstoke, Hants, England; [Favier, Remi] Univ Paris Saclay, INSERM, UMR 1170, Gustave Roussy Canc Campus, Villejuif, France; [Favier, Remi] Hop Armand Trousseau, AP HP, Ctr Reference Pathol Plaquettaires, Serv Hematol Biol, Paris, France; [Gresele, Paolo] Univ Perugia, Sect Internal &amp; Cardiovasc Med, Perugia, Italy; [Lambert, Michele] Childrens Hosp Philadelphia, Div Hematol, Philadelphia, PA 19104 USA; [Lambert, Michele] Univ Penn, Dept Pediat, Perelman Sch Med, Philadelphia, PA 19104 USA; [Madan, Bella; O'Sullivan, Jennifer] Guys &amp; St Thomas NHS Fdn Trust, Dept Haematol, London, England; [Mathias, Mary; Sibson, Keith] Great Ormond St Hosp Children NHS Fdn Trust, Dept Haematol, London, England; [Obaji, Samya] Univ Hosp Wales, Arthur Bloom Haemophilia Ctr, Cardiff, S Glam, Wales; [Peerlinck, Kathelijne; Thys, Chantal; Van Geet, Chris; Freson, Kathleen] KULeuven, Ctr Mol &amp; Vasc Biol, Dept Cardiovasc Sci, Leuven, Belgium; [Schulman, Sol] Beth Israel Deaconess Med Ctr, Boston, MA 02215 USA; [Schulman, Sol] Harvard Med Sch, Boston, MA 02115 USA; [Scully, Marie; Westwood, John-Paul; Kazkaz, Hanadi] Univ Coll London Hosp NHS Fdn Trust, London, England; [Sims, Matthew C.] Oxford Univ Hosp NHS Trust, Churchill Hosp, Oxford Haemophilia &amp; Thrombosis Ctr, Oxford, England; [Tait, R. Campbell] NHS Greater Glasgow &amp; Clyde, Glasgow Royal Infirm, Glasgow, Lanark, Scotland; [Harkness, Kirsty] Sheffield Teaching Hosp NHS Fdn Trust, Dept Neurol, Sheffield, S Yorkshire, England; [Mehta, Sarju; Holden, Simon] Cambridge Univ Hosp NHS Fdn Trust, Addenbrookes Hosp, Dept Clin Genet, Cambridge, England; [Muir, Keith W.] Univ Glasgow, Inst Neurosci &amp; Psychol, Glasgow, Lanark, Scotland; [Hassan, Ahamad] Leeds Teaching Hosp NHS Trust, Dept Neurol, Leeds, W Yorkshire, England; [Ahmed, Munaza; Kumar, Ajith; Side, Lucy; Wilson, Brian T.] Great Ormond St Hosp Children NHS Fdn Trust, North East Thames Reg Genet Serv, London, England; [Vandersteen, Anthony M.] Dalhousie Univ, IWK Hlth Ctr, Div Med Genet, Halifax, NS, Canada; [Buchan, Rachel J.; Cook, Stuart; Harper, Andrew R.; Ware, James S.; Gibbs, J. Simon R.; Howard, Luke S.] Imperial Coll London, Natl Heart &amp; Lung Inst, London, England; [Buchan, Rachel J.; Ware, James S.; Wort, Stephen J.] Royal Brompton &amp; Harefield NHS Fdn Trust, Royal Brompton Hosp, London, England; [Bueser, Teofila; Renton, Tara] Kings Coll Hosp NHS Fdn Trust, London, England; [Cook, Stuart; Ware, James S.] Imperial Coll London, MRC London Inst Med Sci, London, England; [Cook, Stuart] Natl Heart Ctr Singapore, Natl Heart Res Inst Singapore, Singapore, Singapore; [Cook, Stuart] Duke Natl Univ Singapore, Div Cardiovasc &amp; Metab Disorders, Singapore, Singapore; [Daniels, Matthew J.] Osaka Univ, Grad Sch Engn, Dept Biotechnol, Suita, Osaka, Japan; [Chambers, Jenny; Cheng, Floria; Vazquez-Lopez, Marta] Imperial Coll Healthcare NHS Trust, Hammersmith Hosp, Fac Med, Womens Hlth Res Ctr Surg &amp; Canc, London, England; [Estiu, Maria C.] Ramon Sarda Mothers &amp; Childrens Hosp, Buenos Aires, DF, Argentina; [Hague, William M.] Univ Adelaide, Womens &amp; Childrens Hosp, Womens &amp; Childrens Hosp, Discipline Obstet &amp; Gynaecol,Robinson Res Inst, Adelaide, SA, Australia; [Marschall, Hanns-Ulrich] Univ Gothenburg, Sahlgrenska Acad, Dept Mol &amp; Clin Med, Gothenburg, Sweden; [French, Courtney E.; Baxendale, Helen E.; Chitre, Manali; 100000 Genomes Project-Rare Dis] Univ Cambridge, Sch Clin Med, Dept Paediat, Cambridge Biomed Campus, Cambridge, England; [Moore, Anthony T.] UCSF Sch Med, Ophthalmol Dept, San Francisco, CA USA; [Griffiths, Philip; Horvath, Rita; Schaefer, Andrew M.] Newcastle Univ, Inst Med Genet, Wellcome Ctr Mitochondrial Res, Newcastle Upon Tyne, Tyne &amp; Wear, England; [Griffiths, Philip] Newcastle Univ, Inst Genet Med, Newcastle Upon Tyne, Tyne &amp; Wear, England; [Horvath, Rita] Newcastle Univ, Inst Genet Med, John Walton Muscular Dystrophy Res Ctr, Newcastle Upon Tyne, Tyne &amp; Wear, England; [Whitworth, James; Armstrong, Ruth; Casey, Ruth; Park, Soo-Mi] Canc Res UK Cambridge Ctr, Cambridge Biomed Campus, Cambridge, England; [Adlard, Julian] Leeds Teaching Hosp NHS Trust, Chapel Allerton Hosp, Yorkshire Reg Genet Serv, Leeds, W Yorkshire, England; [Brewer, Carole] Royal Devon &amp; Exeter NHS Fdn Trust, Royal Devon &amp; Exeter Hosp, Dept Clin Genet, Exeter, Devon, England; [Cole, Trevor R. P.; Hoffman, Jonathan; Ong, Kai Ren] Birmingham Womens &amp; Childrens NHS Fdn Trust, West Midlands Reg Genet Serv, Birmingham, W Midlands, England; [Evans, Dafydd Gareth] Manchester Univ NHS Fdn Trust, Manchester, Lancs, England; [Greenhalgh, Lynn] Liverpool Womens NHS Fdn, Dept Clin Genet, Liverpool, Merseyside, England; [Hanson, Helen L.; Snape, Katie] St Georges Univ Hosp NHS Fdn Trust, Dept Clin Genet, London, England; [Izatt, Louise] Guys &amp; St Thomas NHS Fdn Trust, Dept Clin Genet, London, England; [Park, Soo-Mi; Tischkowitz, Marc; Abbs, Stephen; Spasic-Boskovic, Olivera; Twiss, Philip] Cambridge Univ Hosp NHS Fdn Trust, East Anglian Med Genet Serv, Cambridge, England; [Searle, Claire] Nottingham Univ Hosp NHS Trust, Dept Clin Genet, Nottingham, England; [Tischkowitz, Marc] Univ Cambridge, Dept Med Genet, Cambridge, England; [Tischkowitz, Marc] Univ Cambridge, NIHR Cambridge Biomed Res Ctr, Cambridge, England; [Kurian, Manju A.] UCL Great Ormond St Inst Child Hlth, Dev Neurosci, London, England; [Kurian, Manju A.] Great Ormond St Hosp Children NHS Fdn Trust, Dept Neurol, London, England; [Gosal, David; Alachkar, Hana; Hayman, Grant] Salford Royal NHS Fdn Trust, Salford, Lancs, England; [Marshall, Andrew] Univ Manchester, Inst Human Dev, Ctr Endocrinol &amp; Diabet, Fac Med &amp; Human Sci, Manchester, Lancs, England; [Marshall, Andrew] Cent Manchester Univ Hosp Natl Hlth Serv Fdn Trus, Manchester Acad, Hlth Sci Ctr, Dept Clin Neurophysiol,Manchester Royal Infirm, Manchester, Lancs, England; [Marshall, Andrew] Natl Inst Hlth Res, Wellcome Trust Clin Res Facil, Manchester, Lancs, England; [Matthews, Emma] Univ Coll London Hosp NHS Fdn Trust, Natl Hosp Neurol &amp; Neurosurg, London, England; [Matthews, Emma] UCL Inst Neurol, Dept Mol Neurosci, MRC Ctr Neuromuscular Dis, London, England; [McCarthy, Mark I.] Univ Oxford, Churchill Hosp, Oxford Ctr Diabet Endocrinol &amp; Metab, Oxford, England; [Rice, Andrew S. C.] Imperial Coll London, Fac Med, Dept Surg &amp; Canc, Pain Res, London, England; [Rice, Andrew S. C.] Chelsea &amp; Westminster Hosp NHS Fdn Trust, Pain Med, London, England; [Walker, Suellen M.; Gilmour, Kimberly C.; Maimaris, Jesmeen; Thrasher, Adrian J.; Shah, Neil; Wedderburn, Lucy] UCL Great Ormond St Inst Child Hlth, London, England; [Thaventhiran, James E.] Univ Cambridge, Sch Biol Sci, MRC Toxicol Unit, Cambridge, England; [Savic, Sinisa] Dept Clin Immunol &amp; Allergy, Leeds, W Yorkshire, England; [Savic, Sinisa] NIHR Leeds Biomed Res Ctr, Leeds, W Yorkshire, England; [Savic, Sinisa] St James Univ Hosp, Leeds Inst Rheumat &amp; Musculoskeletal Med, Leeds, W Yorkshire, England; [Antrobus, Richard; Richter, Alex] Univ Hosp Birmingham NHS Fdn Trust, Birmingham, W Midlands, England; [Baxendale, Helen E.] Cambridge Univ Hosp NHS Fdn Trust, Div Clin Biochem &amp; Immunol, Cambridge, England; [Browning, Michael J.] Leicester Royal Infirm, Dept Immunol, Leicester, Leics, England; [Buckland, Matthew S.; Coghlan, Gerry] Royal Free London NHS Fdn Trust, London, England; [Cooper, Nichola; Ghofrani, Hossein-Ardeschir; Wharton, John; Wilkins, Martin R.] Imperial Coll London, Dept Med, London, England; [Edgar, J. David M.] Royal Hosp, Reg Immunol Serv, Belfast, Antrim, North Ireland; [Edgar, J. David M.] Queens Univ Belfast, Belfast, Antrim, North Ireland; [Egner, William; Sargur, Ravishankar B.] Sheffield Teaching Hosp NHS Fdn Trust, Sheffield, S Yorkshire, England; [Goddard, Sarah; Wessels, Julie] Univ Hosp North Midlands NHS Trust, Stoke On Trent, Staffs, England; [Gordins, Pavels] Hull &amp; East Yorkshire Hosp NHS Trust, Hull Royal Infirm, East Yorkshire Reg Adult Immunol &amp; Allergy Unit, Kingston Upon Hull, N Humberside, England; [Grigoriadou, Sofia; Longhurst, Hilary; Lorenzo, Lorena E.] Barts Hlth NHS Fdn Trust, London, England; [Hackett, Scott; Herwadkar, Archana; Kumararatne, Dinakantha] Univ Hosp Birmingham NHS Fdn Trust, Birmingham Heartlands Hosp, Birmingham, W Midlands, England; [Hague, Rosie; Maxwell, Heather] Royal Hosp Children, NHS Greater Glasgow &amp; Clyde, Glasgow, Lanark, Scotland; [Hayman, Grant] Epsom &amp; St Helier Univ Hosp NHS Trust, London, England; [Huissoon, Aarnoud P.] Univ Hosp Wales, Immunodeficiency Ctr Wales, Cardiff, S Glam, Wales; [Jolles, Stephen] Imperial Coll London, Dept Med, Chelsea &amp; Westminster Hosp, Ctr Immunol &amp; Vaccinol, London, England; [Jolles, Stephen] Royal Brompton &amp; Harefield NHS Fdn Trust, Dept Resp Med, London, England; [Kelleher, Peter; Wedderburn, Lucy] Cambridge Univ Hosp NHS Fdn Trust, Addenbrookes Hosp, Dept Clin Immunol, Cambridge, England; [Noorani, Sadia] Sandwell &amp; West Birmingham Hosp NHS Trust, Birmingham, W Midlands, England; [Sewell, W. A. Carrock] Northern Lincolnshire &amp; Goole NHS Fdn Trust, Scunthorpe Gen Hosp, Scunthorpe, England; [Thomas, Moira J.] Gartnavel Royal Hosp, NHS Greater Glasgow &amp; Clyde, Glasgow, Lanark, Scotland; [Thomas, Moira J.] Queen Elizabeth Univ Hosp, Glasgow, Lanark, Scotland; [Yong, Patrick F. K.] Frimley Pk Hosp, NHS Frimley Hlth Fdn Trust, Camberley, England; [Kuijpers, Taco W.] Univ Amsterdam, AMC, Emma Childrens Hosp, Dept Pediat Hematol Immunol Rheumatol &amp; Infect Di, Amsterdam, Netherlands; [Kuijpers, Taco W.] Sanquin, Dept Blood Cell Res, Amsterdam, Netherlands; [Wong, Edwin K. S.; Harris, Claire; McAlinden, Paul; Marchbank, Kevin J.; Johnson, Sally A.; Corris, Paul; De Soyza, Anthony] Newcastle Univ, Fac Med Sci, Inst Cellular Med, Newcastle Upon Tyne, Tyne &amp; Wear, England; [Cook, H. Terence] Imperial Coll Healthcare NHS Trust, Hammersmith Hosp, Imperial Coll Renal &amp; Transplant Ctr, London, England; [Sadeghi-Alavijeh, Omid; Hall, Matthew] Nottingham Univ Hosp NHS Trust, Nottingham, England; [Marchbank, Kevin J.] Royal Victoria Infirm, Natl Renal Complement Therapeut Ctr, Newcastle Upon Tyne, Tyne &amp; Wear, England; [Johnson, Sally A.] Newcastle Upon Tyne Hosp NHS Fdn Trust, Great North Childrens Hosp, Dept Paediat Nephrol, Newcastle Upon Tyne, Tyne &amp; Wear, England; [Bogaard, Harm; Houweling, Arjan; Noordegraaf, Anton Vonk] Vrije Univ Amsterdam, Med Ctr, Dept Pulm Med, Amsterdam, Netherlands; [Church, Colin; Peacock, Andrew] Golden Jubilee Natl Hosp, Glasgow, Lanark, Scotland; [Condliffe, Robin; Kiely, David G.] Royal Hallamshire Hosp NHS Fdn Trust, Sheffield Pulm Vasc Dis Unit, Sheffield, S Yorkshire, England; [Corris, Paul] Newcastle Upon Tyne Hosp NHS Fdn Trust, Natl Pulm Hypertens Serv Newcastle, Newcastle Upon Tyne, Tyne &amp; Wear, England; [Danesino, Cesare] Univ Pavia, Dept Mol Med, Gen Biol, Pavia, Italy; [Danesino, Cesare] Univ Pavia, Med Genet Unit, Pavia, Italy; [Eyries, Melanie; Soubrier, Florent] Hop La Pitie Salpetriere, AP HP, Dept Genet, Paris, France; [Eyries, Melanie; Soubrier, Florent] Hop La Pitie Salpetriere, AP HP, ICAN, Paris, France; [Gall, Henning; Ghofrani, Hossein-Ardeschir] UGMLC, Giessen, Germany; [Girerd, Barbara; Humbert, Marc; Montani, David] Univ Paris Saclay, Univ Paris Sud, Fac Med, Le Kremlin Bicetre, France; [Girerd, Barbara; Humbert, Marc; Montani, David] Hop Bicetre, AP HP, Ctr Reference Hypertens Pulmonaire, Serv Pneumol, Le Kremlin Bicetre, France; [Girerd, Barbara; Humbert, Marc; Montani, David] Hosp Marie Lannelongue, INSERM, U999, Le Plessis Robinson, France; [Howard, Luke S.] Imperial Coll Healthcare NHS Trust, Natl Pulm Hypertens Serv, London, England; [Kovacs, Gabor; Olschewski, Andrea; Olschewski, Horst] Ludwig Boltzmann Inst Lung Vasc Res, Graz, Austria; [Kovacs, Gabor; Olschewski, Horst] Med Univ Graz, Div Pulmonol, Dept Internal Med, Graz, Austria; [Lawrie, Allan] Univ Sheffield, Dept Infect Immun &amp; Cardiovasc Dis, Sheffield, S Yorkshire, England; [Ross, Robert V. MacKenzie; Suntharalingam, Jay] Royal United Hosp Bath NHS Fdn Trust, Bath, Avon, England; [Scelsi, Laura] Fdn IRCCS Policlin S Matteo, Div Cardiol, Pavia, Italy; [Waisfisz, Quinten] Vrije Univ Amsterdam, Med Ctr, Dept Clin Genet, Amsterdam, Netherlands; [Wort, Stephen J.] Imperial Coll London, London, England; [Saleem, Moin; Bierzynska, Agnieszka; Colby, Elizabeth; Satchell, Simon] Univ Bristol, Bristol Med Sch, Bristol Renal &amp; Childrens Renal Unit, Bristol, Avon, England; [Saleem, Moin] Univ Hosp Bristol NHS Fdn Trust, Bristol Royal Hosp Children, Bristol, Avon, England; [Satchell, Simon] North Bristol NHS Trust, Bristol, Avon, England; [Dattani, Mehul] Great Ormond St Hosp Sick Children, London Ctr Paediat Endocrinol &amp; Diabet, London, England; [Wedderburn, Lucy] NIHR Great Ormond St Biomed Res Ctr, London, England; [Wedderburn, Lucy] UCL, UCLH, Arthritis Res UK Ctr Adolescent Rheumatol, London, England; [Wedderburn, Lucy] GOSH, London, England; [Bueser, Teofila] Kings Coll London, Florence Nightingale Fac Nursing Midwifery &amp; Pall, London, England; [Fassihi, Hiva; Sarkany, Robert N.] St Thomas Hosp, Guys &amp; St Thomas NHS Fdn Trust, St Johns Inst Dermatol, London, England; [Campbell, Carolyn; Gibson, Kate; Lester, Tracy; Taylor, John] Oxford Univ Hosp NHS Fdn Trust, Oxford Med Genet Labs, Oxford, England; [Nemeth, Andrea H.] Oxford Univ Hosp NHS Trust, Churchill Hosp, Dept Clin Genet, Oxford, England; [Palles, Claire; Tomlinson, Ian P.] Univ Birmingham, Inst Biomed Res, Inst Canc &amp; Genom Sci, Birmingham, W Midlands, England; [Patel, Smita] Oxford Univ Hosp NHS Fdn Trust, John Radcliffe Hosp, Dept Clin Immunol, Oxford, England; [Roy, Noemi B.] Oxford Univ Hosp Fdn Trust, Dept Haematol, Oxford, England; [Sen, Arjune] Univ Oxford, Nuffield Dept Clin Neurosci, Oxford Epilepsy Res Grp, Oxford, England; [Sen, Arjune] Univ Oxford, Nuffield Dept Surg, Oxford, England; [Browning, Andrew C.] Newcastle Upon Tyne Hosp NHS Fdn Trust, Royal Victoria Infirm, Newcastle Eye Ctr, Newcastle Upon Tyne, Tyne &amp; Wear, England; [De Soyza, Anthony] Newcastle Univ, NIHR Ctr Aging, Newcastle Upon Tyne, Tyne &amp; Wear, England; [Graham, Jodie; Pearce, Simon] Newcastle Univ, Newcastle BRC, Newcastle Upon Tyne, Tyne &amp; Wear, England; [Yu-Wai-Man, Patrick] Moorfields Eye Hosp, NIHR Biomed Res Ctr, London, England; [Yu-Wai-Man, Patrick] UCL Inst Ophthalmol, London, England; [Simpson, Michael] Kings Coll London, Genet &amp; Mol Med, London, England</t>
  </si>
  <si>
    <t>University of Cambridge; University of Cambridge; Imperial College London; University of Edinburgh; University of London; University College London; University of London; University College London; Great Ormond Street Hospital for Children NHS Foundation Trust; University of Oxford; University of London; University College London; University of London; University College London; University of Manchester; University of Manchester; Newcastle University - UK; Newcastle Upon Tyne Hospitals NHS Foundation Trust; Newcastle University - UK; Newcastle Upon Tyne Hospitals NHS Foundation Trust; University of London; University College London; University of London; Queen Mary University London; Barts Health NHS Trust; Guy's &amp; St Thomas' NHS Foundation Trust; Guy's &amp; St Thomas' NHS Foundation Trust; University of Cambridge; Papworth Hospital; Cambridge University Hospitals NHS Foundation Trust; Addenbrooke's Hospital; University of Cambridge; University of London; University College London; University of London; King's College London; Guy's &amp; St Thomas' NHS Foundation Trust; University of Cambridge; University of Cambridge; University of Cambridge; University of Oxford; University of Oxford; Oxford University Hospitals NHS Foundation Trust; University of Oxford; Newcastle University - UK; University of Oxford; Wellcome Centre for Human Genetics; University of Oxford; Oxford University Hospitals NHS Foundation Trust; University of London; University College London; Moorfields Eye Hospital NHS Foundation Trust; University of London; University College London; University of Oxford; University of London; King's College London; Imperial College London; University of Cambridge; Wellcome Trust Sanger Institute; University of Cambridge; University of Cambridge; Cambridge University Hospitals NHS Foundation Trust; Addenbrooke's Hospital; University of London; Queen Mary University London; MRC Biostatistics Unit; University of Cambridge; University of London; University College London; Royal Free London NHS Foundation Trust; University of London; University College London; Royal Free London NHS Foundation Trust; Imperial College London; Imperial College London; Barts Health NHS Trust; Royal London Hospital; University of Cambridge; University of London; Queen Mary University London; University of Bristol; University of Bristol; University of Hull; University of York - UK; University of Hull; Eberhard Karls University of Tubingen; Eberhard Karls University Hospital; Newcastle Upon Tyne Hospitals NHS Foundation Trust; Newcastle University - UK; University of Southampton; University Hospital Southampton NHS Foundation Trust; Cardiff University; Oxford University Hospitals NHS Foundation Trust; University of Liverpool; Royal Liverpool &amp; Broadgreen University Hospitals NHS Trust; Royal Liverpool University Hospital; University of Western Australia; University of Western Australia; University of Kent; Salisbury District Hospital; UNICANCER; Gustave Roussy; Universite Paris Saclay; Institut National de la Sante et de la Recherche Medicale (Inserm); Assistance Publique Hopitaux Paris (APHP); Sorbonne Universite; Hopital Universitaire Armand-Trousseau - APHP; University of Perugia; University of Pennsylvania; Pennsylvania Medicine; Childrens Hospital of Philadelphia; University of Pennsylvania; Guy's &amp; St Thomas' NHS Foundation Trust; University of London; University College London; Great Ormond Street Hospital for Children NHS Foundation Trust; Cardiff University; KU Leuven; Harvard University; Harvard University Medical Affiliates; Beth Israel Deaconess Medical Center; Harvard University; Harvard Medical School; University of London; University College London; University College London Hospitals NHS Foundation Trust; Oxford University Hospitals NHS Foundation Trust; University of Oxford; University of Glasgow; University of Sheffield; Cambridge University Hospitals NHS Foundation Trust; Addenbrooke's Hospital; University of Cambridge; University of Glasgow; University of Leeds; University of London; University College London; Great Ormond Street Hospital for Children NHS Foundation Trust; Dalhousie University; Dalhousie University Hospital; Imperial College London; Royal Brompton Hospital; Royal Brompton &amp; Harefield NHS Foundation Trust; King's College Hospital NHS Foundation Trust; Imperial College London; National Heart Centre Singapore; National University of Singapore; Osaka University; Imperial College London; Robinson Research Institute; University of Adelaide; University of Gothenburg; University of Cambridge; University of California System; University of California San Francisco; Newcastle University - UK; Newcastle University - UK; Newcastle University - UK; Cancer Research UK; CRUK Cambridge Institute; University of Leeds; Chapel Allerton Hospital; University of Exeter; Guy's &amp; St Thomas' NHS Foundation Trust; University of Cambridge; Nottingham University Hospital NHS Trust; University of Cambridge; University of Cambridge; University of London; University College London; University of London; University College London; Great Ormond Street Hospital for Children NHS Foundation Trust; Salford Royal NHS Foundation Trust; University of Manchester; University of Manchester; University of Manchester; University of London; University College London; UCL Medical School; University College London Hospitals NHS Foundation Trust; National Hospital for Neurology &amp; Neurosurgery; University of London; University College London; University of Oxford; Imperial College London; Imperial College London; University of London; University College London; University of Cambridge; Leeds Biomedical Research Centre; Saint James's University Hospital; University of Birmingham; University of Cambridge; University of Leicester; University of London; University College London; Royal Free London NHS Foundation Trust; Imperial College London; Queens University Belfast; University of Sheffield; University of Hull; Barts Health NHS Trust; Heart of England NHS Foundation Trust; Heartlands Hospital; University of Birmingham; Cardiff University; Imperial College London; Royal Brompton &amp; Harefield NHS Foundation Trust; University of Cambridge; Cambridge University Hospitals NHS Foundation Trust; Addenbrooke's Hospital; Gartnavel Royal Hospital; Queen Elizabeth University Hospital (QEUH); Emma Children's Hospital; University of Amsterdam; Academic Medical Center Amsterdam; Imperial College London; Nottingham University Hospital NHS Trust; Newcastle University - UK; Newcastle Upon Tyne Hospitals NHS Foundation Trust; Vrije Universiteit Amsterdam; Golden Jubilee Hospital; Newcastle Upon Tyne Hospitals NHS Foundation Trust; University of Pavia; University of Pavia; Assistance Publique Hopitaux Paris (APHP); Hopital Universitaire Pitie-Salpetriere - APHP; Sorbonne Universite; Sorbonne Universite; Assistance Publique Hopitaux Paris (APHP); Hopital Universitaire Pitie-Salpetriere - APHP; Institut National de la Sante et de la Recherche Medicale (Inserm); Universite Paris Saclay; Assistance Publique Hopitaux Paris (APHP); Hopital Universitaire Bicetre - APHP; Universite Paris Saclay; Hopital Universitaire Antoine-Beclere - APHP; Hopital Marie Lannelongue; Institut National de la Sante et de la Recherche Medicale (Inserm); Universite Paris Saclay; Imperial College London; Ludwig Boltzmann Institute; Ludwig Boltzmann Institute for Lung Vascular Research; Medical University of Graz; University of Sheffield; IRCCS Fondazione San Matteo; Vrije Universiteit Amsterdam; Imperial College London; University of Bristol; Bristol Royal Hospital For Children; University of Bristol; North Bristol NHS Trust; University of London; University College London; Great Ormond Street Hospital for Children NHS Foundation Trust; University College London Hospitals NHS Foundation Trust; University of London; University College London; University of London; King's College London; University of London; King's College London; Guy's &amp; St Thomas' NHS Foundation Trust; Oxford University Hospitals NHS Foundation Trust; Oxford University Hospitals NHS Foundation Trust; University of Oxford; University of Birmingham; University of Oxford; Oxford University Hospitals NHS Foundation Trust; Oxford University Hospitals NHS Foundation Trust; University of Oxford; University of Oxford; Newcastle University - UK; Newcastle Upon Tyne Hospitals NHS Foundation Trust; Newcastle University - UK; Newcastle University - UK; University of London; University College London; Moorfields Eye Hospital NHS Foundation Trust; University of London; University College London; University of London; King's College London</t>
  </si>
  <si>
    <t>Chinnery, PF (corresponding author), Univ Cambridge, Sch Clin Med, Dept Clin Neurosci, Cambridge Biomed Campus, Cambridge, England.;Chinnery, PF (corresponding author), MRC, Mitochondrial Biol Unit, Cambridge Biomed Campus, Cambridge, England.;Turro, E (corresponding author), Univ Cambridge, Dept Haematol, Cambridge Biomed Campus, Cambridge, England.;Turro, E; Chinnery, PF (corresponding author), Cambridge Univ Hosp NHS Fdn, NIHR BioResource, Cambridge Biomed Campus, Cambridge, England.;Turro, E (corresponding author), Univ Cambridge, Cambridge Inst Publ Hlth, MRC Biostat Unit, Cambridge, England.</t>
  </si>
  <si>
    <t>et341@cam.ac.uk; pfc25@cam.ac.uk</t>
  </si>
  <si>
    <t>Mead, Adam/A-8796-2012; Allen, Hana/G-9026-2012; Matthews, Emma/AAH-6518-2020; Daniels, Matthew/AFP-1750-2022; Wechsler, Lawrence/AAB-9176-2020; EYRIES, melanie/ABF-1034-2020; Wong, Edwin/B-8599-2014; David, Montani/I-6885-2019; bennett, david/ABG-1184-2020; Smedley, Damian/AAL-8172-2021; Marshall, Andrew/AAE-5203-2019; Lambert, Michele/AAB-9225-2021; Jurkute, Neringa/V-3175-2019; , Bill/KHE-5746-2024; Simpson, Michael/F-4737-2011; Shapiro, Susan/ABD-7701-2020; moledina, shahin/A-6466-2009; Walker, Suellen/I-6080-2012; Snape, Katie/AAA-8101-2022; Claes, Kathleen/AFR-6830-2022; Ware, James/G-5139-2012; Sen, Arjune/JPL-7853-2023; Houlden, Henry/C-1532-2008; SYRRIS, PETROS/C-1703-2008; Cortese, Andrea/GPC-5134-2022; wei, wei/HHR-8613-2022; Gurnell, Mark/JRY-6767-2023; Elliott, Perry/AAR-3430-2020; Woodward, Emma/U-1282-2019; Sayer, John/AAN-2729-2020; Pearce, Simon/AAB-3692-2019; Horvath, Rita/AAY-7042-2020; Pepke-Zaba, Joanna/AGW-3073-2022; Wilkie, Andrew/AAC-3820-2020; Lawrie, Allan/A-2708-2012; Hall, Matthew/B-2132-2010; Evans, D/AAB-4308-2022; Cheetham, Michael/B-4672-2011; Ponsford, Mark/ABA-3891-2020; Hudson, Gavin/E-7117-2017; Ghofrani, Ardeschir/AAD-5293-2020; Marschall, Hanns-Ulrich/K-8842-2017; Babbs, Christian/AAA-5917-2022; Beales, Philip/C-7367-2009; newnham, michael/JCE-7072-2023; Howard, Luke/HJP-3415-2023; Raymond, F/F-4018-2010; Sanchis, Alba/JZD-7585-2024; Taylor, John/E-5894-2010; Hadinnapola, Charaka/AAW-1229-2020; Rahman, Shamima/C-5232-2008; gresele, paolo/AAG-8019-2019; Azzam, Ahmed/ITT-4117-2023; Bleda, Marta/A-9333-2014; Bockenhauer, Detlef/AAF-6495-2020; Yong, Patrick/HRC-3362-2023; Savic, Sinisa/ADF-2880-2022; Fowler, Tom/AGT-1933-2022; MAHER, EAMONN/A-9507-2008; Cardoso, Paulo/C-5768-2012; Gordins, Pavels/IAR-7029-2023; wei, wei/IQW-1347-2023; McCarthy, Mark/M-3763-2015; Erber, Wendy/A-1955-2012; Humbert, Marc/AAC-8459-2019; Gale, Daniel/D-5594-2013; Harper, Andrew/B-7044-2017; Sargur, Ravishankar/C-2270-2009; Douzgou, Sofia/I-2049-2019; Buckland, Matthew/H-7049-2019; Allsup, David/H-2195-2017; Black, Graeme/K-7374-2015; Matthews, Emma/AAI-6889-2021; Scelsi, Laura/AAB-9729-2019; Nemeth, Andrea/AGJ-1121-2022</t>
  </si>
  <si>
    <t>Thomas, David/0000-0002-9738-2329; Elliott, Perry/0000-0003-3383-3984; Bueser, Teofila/0000-0001-9222-1705; Humbert, Marc/0000-0003-0703-2892; Twiss, Philip/0009-0008-4699-4545; Keogh, Michael/0000-0001-7594-7379; Louka, Eleni/0000-0002-0543-7397; Gale, Daniel/0000-0002-9170-1579; freson, kathleen/0000-0002-4381-2442; Harper, Andrew/0000-0001-5327-0328; Sargur, Ravishankar/0000-0002-8535-630X; Houlden, Henry/0000-0002-2866-7777; Morrell, Nicholas/0000-0001-5700-9792; Laffan, Michael/0000-0002-8268-3268; Bennett, David/0000-0002-7996-2696; Taylor, Jenny/0000-0003-3602-5704; Edgar, John David Moore/0000-0003-2969-4475; Savic, Sinisa/0000-0001-7910-0554; marchbank, kevin james/0000-0003-1312-5411; Aitman, Timothy/0000-0002-7875-4502; Marshall, Andrew/0000-0001-8273-7089; de soyza, anthony/0000-0002-8566-0344; Douzgou, Sofia/0000-0001-8890-7544; Maimaris, Jesmeen/0000-0003-4169-8209; Wharton, John/0000-0001-8110-2575; schulman, sol/0000-0002-5229-3592; Koelling, Nils/0000-0001-5292-4510; Olschewski, Andrea/0000-0002-8189-3634; Kingston, Nathalie/0000-0002-9190-2231; Beales, Philip/0000-0002-9164-9782; Buchan, Rachel/0000-0003-2490-9289; Buckland, Matthew/0000-0002-5646-4707; Hudson, Gavin/0000-0001-7210-2733; Hadinnapola, Charaka/0000-0002-7794-3432; Banka, Siddharth/0000-0002-8527-2210; Evans, Gareth/0000-0002-8482-5784; Allsup, David/0000-0001-6159-6109; Gomez, Keith/0000-0002-8934-0700; Black, Graeme/0000-0001-8727-6592; Matthews, Emma/0000-0002-3810-306X; Dixon, Peter/0000-0002-0197-2632; Meacham, Stuart/0000-0002-3667-6059; Themistocleous, Andreas/0000-0002-1089-1543; Wedderburn, Lucy/0000-0002-7495-1429; Montani, David/0000-0002-9358-6922; Newman, William/0000-0002-6382-4678; Erber, Wendy/0000-0002-1028-9376; Kovacs, Gabor/0000-0003-3709-2183; Fowler, Tom/0000-0002-7258-2279; Van Geet, Chris/0000-0003-1342-6265; Scelsi, Laura/0000-0001-9409-691X; Wei, Wei/0000-0002-2945-3543; Pearce, Simon/0000-0001-8384-8063; Smith, Katherine Rose/0000-0002-0329-5938; Smith, Kenneth/0000-0003-3829-4326; Chinnery, Patrick/0000-0002-7065-6617; Tuna, Salih/0000-0003-3606-4367; Burn, John/0000-0002-9823-2322; Irving, Melita/0000-0002-2997-4461; Sen, Arjune/0000-0002-8948-4763; Turro, Ernest/0000-0002-1820-6563; Nemeth, Andrea/0000-0002-2941-7657; Ware, James/0000-0002-6110-5880</t>
  </si>
  <si>
    <t>Genomics England Rare Diseases pilot projects; National Institute for Health Research of England (NIHR); UK Medical Research Council (MRC) [212219/Z/18/Z]; Medical Research Council Mitochondrial Biology Unit [MC_UU_00015/9]; Evelyn Trust; NIHR Biomedical Research Centre based at Cambridge University Hospitals NHS Foundation Trust; University of Cambridge; British Heart Foundation; Bristol-Myers Squibb; European Commission; MRC; NHS Blood and Transplant, Rosetrees Trust; University of Cambridge - NIHR Biomedical Research Centre at St Bartholomew's Hospital; NIHR Biomedical Research Centre, Oxford; Wellcome Trust [WT098519MA]; MRC UK [G1002570]; ERC [309548]; Moorfields Eye Charity - RP Fighting Blindness; UCL Institute of Ophthalmology; Moorfields NIHR Biomedical Resource Centre; Bristol NIHR Biomedical Research Centre; Imperial College Healthcare NHS Trust BRC; Guy's and St Thomas' NHS Foundation Trust and King's College London BRC - European Commission [ID633491]; Novo Nordisk Foundation [NNF14SA0006, 202747/Z/16/Z]; NIHR-BRC of UCL Institute of Ophthalmology; Moorfields Eye Hospital; NIHR Translational Research Collaboration-Rare Diseases; H.J.B. works for the Netherlands CardioVascular Research Initiative (CVON); British Society of Haematology; MRC Programme Grant [MR/L019027/1, 090532, 0938381]; BHF Programme [RG/16/4/32218]; Imperial College NIHR BRC; Fight for Sight [1570/1571, 24TP171]; NIHR [IS-BRC-1215-20002, 109915/Z/15/Z]; Wellcome Centre for Mitochondrial Research [203105/Z/16/Z]; Medical Research Council (UK) [MR/N025431/1]; European Research Council [309548, 201064/Z/16/Z]; Newton Fund (UK/Turkey) [MR/N027302/1]; European Union H2020-Research and Innovation Actions; Research Council of the University of Leuven (BOF KU Leuven, Belgium) [OT/14/098]; NIHR Cardiovascular Biomedical Research Unit at Royal Brompton and Harefield NHS Foundation Trust and Imperial College London - NIHR-Biomedical Research Centre at Moorfields Eye Hospital; Fight for Sight (UK) Early Career Investigator Award; Moorfields Eye Hospital Special Trustees; Moorfields Eye Charity; Foundation Fighting Blindness (USA); Retinitis Pigmentosa Fighting Blindness; MRC Clinical Research Training Fellowship [MR/J011711/1]; holds a NIHR [NIHR-RP-2016-07-019]; Wellcome Intermediate Fellowship [098524/Z/12/A.]; Cancer Research UK Cambridge Cancer Centre Clinical Research Training Fellowship; Medical Research Council Senior Clinical Fellowship [MR/L006340/1]; MRC; Kidney Research UK; St Peters Trust for Kidney, Bladder and Prostate Research - Kids Kidney Research; Health Education England; NIHR Translational Research Collaboration Rare Diseases; Northern Counties Kidney Research Fund; Department of Health's NIHR Biomedical Research Centres funding scheme; NIHR-BRC - NIHR Great Ormond Street Hospital Biomedical Research Centre; BBSRC [BB/S006788/1] Funding Source: UKRI; ISCF [MC_PC_18030] Funding Source: UKRI; MRC [G1002528, MR/M009203/1, G1002570, MC_PC_15069, MR/L019027/1, MC_EX_MR/M009203/1, MC_PC_14089, MR/S01165X/1, MC_PC_15080, 1964807, G0701386, G9521010, MR/J011711/1, MR/L006340/1, MR/R002363/1] Funding Source: UKRI; National Institutes of Health Research (NIHR) [IS-BRC-1215-20002] Funding Source: National Institutes of Health Research (NIHR); European Research Council (ERC) [309548] Funding Source: European Research Council (ERC); Wellcome Trust [098524/Z/12/A] Funding Source: Wellcome Trust</t>
  </si>
  <si>
    <t>Genomics England Rare Diseases pilot projects; National Institute for Health Research of England (NIHR)(National Institutes of Health Research (NIHR)); UK Medical Research Council (MRC)(UK Research &amp; Innovation (UKRI)Medical Research Council UK (MRC)); Medical Research Council Mitochondrial Biology Unit(UK Research &amp; Innovation (UKRI)Medical Research Council UK (MRC)); Evelyn Trust; NIHR Biomedical Research Centre based at Cambridge University Hospitals NHS Foundation Trust; University of Cambridge(University of Cambridge); British Heart Foundation(British Heart Foundation); Bristol-Myers Squibb(Bristol-Myers Squibb); European Commission(European Union (EU)European Commission Joint Research Centre); MRC(UK Research &amp; Innovation (UKRI)Medical Research Council UK (MRC)); NHS Blood and Transplant, Rosetrees Trust; University of Cambridge - NIHR Biomedical Research Centre at St Bartholomew's Hospital; NIHR Biomedical Research Centre, Oxford(National Institutes of Health Research (NIHR)); Wellcome Trust(Wellcome Trust); MRC UK(UK Research &amp; Innovation (UKRI)Medical Research Council UK (MRC)); ERC(European Research Council (ERC)); Moorfields Eye Charity - RP Fighting Blindness; UCL Institute of Ophthalmology; Moorfields NIHR Biomedical Resource Centre; Bristol NIHR Biomedical Research Centre; Imperial College Healthcare NHS Trust BRC; Guy's and St Thomas' NHS Foundation Trust and King's College London BRC - European Commission; Novo Nordisk Foundation(Novo Nordisk FoundationNovocure Limited); NIHR-BRC of UCL Institute of Ophthalmology; Moorfields Eye Hospital; NIHR Translational Research Collaboration-Rare Diseases; H.J.B. works for the Netherlands CardioVascular Research Initiative (CVON); British Society of Haematology; MRC Programme Grant(UK Research &amp; Innovation (UKRI)Medical Research Council UK (MRC)); BHF Programme; Imperial College NIHR BRC; Fight for Sight; NIHR(National Institutes of Health Research (NIHR)); Wellcome Centre for Mitochondrial Research(Wellcome Trust); Medical Research Council (UK)(UK Research &amp; Innovation (UKRI)Medical Research Council UK (MRC)); European Research Council(European Research Council (ERC)); Newton Fund (UK/Turkey); European Union H2020-Research and Innovation Actions; Research Council of the University of Leuven (BOF KU Leuven, Belgium); NIHR Cardiovascular Biomedical Research Unit at Royal Brompton and Harefield NHS Foundation Trust and Imperial College London - NIHR-Biomedical Research Centre at Moorfields Eye Hospital; Fight for Sight (UK) Early Career Investigator Award; Moorfields Eye Hospital Special Trustees; Moorfields Eye Charity; Foundation Fighting Blindness (USA); Retinitis Pigmentosa Fighting Blindness; MRC Clinical Research Training Fellowship(UK Research &amp; Innovation (UKRI)Medical Research Council UK (MRC)); holds a NIHR; Wellcome Intermediate Fellowship(Wellcome Trust); Cancer Research UK Cambridge Cancer Centre Clinical Research Training Fellowship; Medical Research Council Senior Clinical Fellowship(UK Research &amp; Innovation (UKRI)Medical Research Council UK (MRC)); MRC; Kidney Research UK(UK Research &amp; Innovation (UKRI)Medical Research Council UK (MRC)); St Peters Trust for Kidney, Bladder and Prostate Research - Kids Kidney Research; Health Education England; NIHR Translational Research Collaboration Rare Diseases; Northern Counties Kidney Research Fund; Department of Health's NIHR Biomedical Research Centres funding scheme(National Institutes of Health Research (NIHR)); NIHR-BRC - NIHR Great Ormond Street Hospital Biomedical Research Centre; BBSRC(UK Research &amp; Innovation (UKRI)Biotechnology and Biological Sciences Research Council (BBSRC)); ISCF(UK Research &amp; Innovation (UKRI)); MRC(UK Research &amp; Innovation (UKRI)Medical Research Council UK (MRC)); National Institutes of Health Research (NIHR)(National Institutes of Health Research (NIHR)); European Research Council (ERC)(European Research Council (ERC)); Wellcome Trust(Wellcome Trust)</t>
  </si>
  <si>
    <t>This study makes use of data generated by the NIHR BioResource and the Genomics England Rare Diseases pilot projects. Genotype and phenotype data of both projects are part of the 100,000 Genomes Project. The main source of funding for the BioResource and Genomics England is provided by the National Institute for Health Research of England (NIHR) (www.nihr.ac.uk).This work was also made possible by funding from the UK Medical Research Council (MRC) to create the UK Clinical Genomics Data Centre. P.F.C. is a Wellcome Trust Principal Research Fellow (101876/Z/13/Z and 212219/Z/18/Z) and a NIHR Senior Investigator who receives support from the Medical Research Council Mitochondrial Biology Unit (MC_UU_00015/9), the Evelyn Trust, and the NIHR Biomedical Research Centre based at Cambridge University Hospitals NHS Foundation Trust and the University of Cambridge. W.H.O. is a NIHR Senior Investigator, and his laboratory receives support from the British Heart Foundation, Bristol-Myers Squibb, European Commission, MRC, NHS Blood and Transplant, Rosetrees Trust, and the NIHR Biomedical Research Centre based at Cambridge University Hospitals NHS Foundation Trust and the University of Cambridge. M.C. is an NIHR Senior Investigator and is funded by the NIHR Biomedical Research Centre at St Bartholomew's Hospital. Je.T., Jo.T., S.P., and A.O.M. W. are funded by the NIHR Biomedical Research Centre, Oxford. This work was supported in part by Wellcome Trust grant 090532/Z/09/Z. R.H. is funded by Wellcome Trust grants 201064/Z/16/Z, 109915/Z/15/Z, and 203105/Z/16/Z; MRC UK grant MR/N025431/1; ERC grant 309548; and Newton FundMR/N027302/1. J.S. is funded by MRC UK grant MR/M012212/1. A.M., G.A., and A.W. are funded by the Moorfields Eye Charity. G.A. and A. W. are funded by the RP Fighting Blindness. All Moorfields Eye Hospital and Institute of Ophthalmology authors are funded by the UCL Institute of Ophthalmology and Moorfields NIHR Biomedical Resource Centre. The Bristol NIHR Biomedical Research Centre provided infrastructure for BioResource activities in Bristol. Additional NIHR Biomedical Research Centres that contributed include Imperial College Healthcare NHS Trust BRC, Guy's and St Thomas' NHS Foundation Trust and King's College London BRC. The authors listed also represent NephroS, the UK study of Nephrotic Syndrome. A.L. is a British Heart Foundation Senior Basic Science Research Fellow (FS/13/48/30453). D.L.B., A.C.T, N.V.Z., and M.I.M. are members of the DOLORisk consortium funded by the European Commission Horizon 2020 (ID633491). A.C.T. is a member of the International Diabetic Neuropathy Consortium and the Novo Nordisk Foundation (NNF14SA0006). D.L.B. is aWellcome clinical scientist (202747/Z/16/Z). A.R.W. is supported by the NIHR-BRC of UCL Institute of Ophthalmology and Moorfields Eye Hospital. I.R. and E.L. are supported by the NIHR Translational Research Collaboration-Rare Diseases. H.J.B. works for the Netherlands CardioVascular Research Initiative (CVON). T.K.B. is sponsored by the NHSBT and British Society of Haematology. K.G.C.S. holds a Wellcome Investigator Award, MRC Programme Grant (MR/L019027/1). M.I.M. is a Wellcome Senior Investigator (supported by Wellcome grants 090532 and 0938381). P.H.D. receives funding fromICP Support. H.S.M. receives support from BHF Programme grant RG/16/4/32218. N.C. is partially funded by Imperial College NIHR BRC. M.R.W. holds a NIHR award to the NIHR Imperial Clinical Research Facility at Imperial College Healthcare NHS Trust. P.Y.W.M.r is supported by grants from MRC UK (G1002570), Fight for Sight (1570/1571 and 24TP171), and NIHR (IS-BRC-1215-20002). R.H. is a Wellcome Trust Investigator (109915/Z/15/Z) who receives support from the Wellcome Centre for Mitochondrial Research (203105/Z/16/Z), Medical Research Council (UK) (MR/N025431/1), the European Research Council (309548), the Wellcome Trust Pathfinder Scheme (201064/Z/16/Z), the Newton Fund (UK/Turkey, MR/N027302/1), and the European Union H2020-Research and Innovation Actions (SC1-p.m.-03-2017, Solve-RD). K.F. and C.V.G. were supported by the Research Council of the University of Leuven (BOF KU Leuven, Belgium; OT/14/098). J.S.W. is funded by the Wellcome Trust (107469/Z/15/Z) and the NIHR Cardiovascular Biomedical Research Unit at Royal Brompton and Harefield NHS Foundation Trust and Imperial College London. G.A. is funded by NIHR-Biomedical Research Centre at Moorfields Eye Hospital and UCL Institute of Ophthalmology, Fight for Sight (UK) Early Career Investigator Award, Moorfields Eye Hospital Special Trustees, Moorfields Eye Charity, Foundation Fighting Blindness (USA), and Retinitis Pigmentosa Fighting Blindness. M.C.S. holds a MRC Clinical Research Training Fellowship (grant MR/R002363/1). M.A. Ku. holds a NIHR Research Professorship NIHR-RP-2016-07-019 and Wellcome Intermediate Fellowship 098524/Z/12/A. J. Whi. is a recipient of a Cancer Research UK Cambridge Cancer Centre Clinical Research Training Fellowship. A. J. M. has received funding from a Medical Research Council Senior Clinical Fellowship (MR/L006340/1). D.P.G. is funded by the MRC; Kidney Research UK; and St Peters Trust for Kidney, Bladder and Prostate Research. S.A.J. is funded by Kids Kidney Research. C.L. received funding from a MRC Clinical Research Training Fellowship (MR/J011711/1). K.D. is a HSST trainee supported by Health Education England. C. Had. was funded through a Ph.D. Fellowship by the NIHR Translational Research Collaboration Rare Diseases. M. J. D. receives funding from the Wellcome Trust (WT098519MA). K.J.M. is supported by the Northern Counties Kidney Research Fund. Some of the work performed by E.L. M. was carried out at University College London Hospitals/University College London, which received a proportion of funding from the Department of Health's NIHR Biomedical Research Centres funding scheme. K.C.G. is a holder of NIHR-BRC funding. P.L.B. is a NIHR Senior Investigator. This research was partly funded by the NIHR Great Ormond Street Hospital Biomedical Research Centre. The views expressed are those of the author(s) and not necessarily those of the NHS, the NIHR, or the Department of Health.</t>
  </si>
  <si>
    <t>0036-8075</t>
  </si>
  <si>
    <t>1095-9203</t>
  </si>
  <si>
    <t>Science</t>
  </si>
  <si>
    <t>MAY 24</t>
  </si>
  <si>
    <t>10.1126/science.aau6520</t>
  </si>
  <si>
    <t>IA1CD</t>
  </si>
  <si>
    <t>WOS:000469296000033</t>
  </si>
  <si>
    <t>Brenot, P; Jaïs, X; Taniguchi, Y; Alonso, CG; Gerardin, B; Mussot, S; Mercier, O; Fabre, D; Parent, F; Jevnikar, M; Montani, D; Savale, L; Sitbon, O; Fadel, E; Humbert, M; Simonneau, G</t>
  </si>
  <si>
    <t>Brenot, Philippe; Jais, Xavier; Taniguchi, Yu; Alonso, Carlos Garcia; Gerardin, Benoit; Mussot, Sacha; Mercier, Olaf; Fabre, Dominique; Parent, Florence; Jevnikar, Mitja; Montani, David; Savale, Laurent; Sitbon, Olivier; Fadel, Elie; Humbert, Marc; Simonneau, Gerald</t>
  </si>
  <si>
    <t>French experience of balloon pulmonary angioplasty for chronic thromboembolic pulmonary hypertension</t>
  </si>
  <si>
    <t>PATHOPHYSIOLOGY; PROGNOSIS; EFFICACY; OUTCOMES; SAFETY</t>
  </si>
  <si>
    <t>Aims: To evaluate safety and efficacy of balloon pulmonary angioplasty (BPA) in a large cohort of patients with chronic thromboembolic pulmonary hypertension (CTEPH). Methods: From 2014 to 2017, 184 inoperable CTEPH patients underwent 1006 BPA sessions. Safety and efficacy during the first 21 months (initial period) were compared with those of the last 21 months (recent period). A total of 154 patients had a full evaluation after a median duration of 6.1 months. Results: Overall, there was a significant improvement in New York Heart Association functional class, 6-min walk distance (mean change + 45 m), and a significant decrease in mean pulmonary artery pressure (PAP) and in pulmonary vascular resistance (PVR) by 26% and 43%, respectively. The percentage decreases of mean PAP and PVR were 22% and 37% in the initial period versus 30% and 49% in the recent period, respectively (p&lt;0.05). The main complications included lung injury, which occurred in 9.1% of 1006 sessions (13.3% in the initial period versus 5.9% in the recent period; p&lt;0.001). Per-patient multivariate analysis revealed that baseline mean PAP and the period during which BPA procedure was performed (recent versus initial period) were the strongest factors related to the occurrence of lung injury. 3-year survival was 95.1%. Conclusion: This study confirms that a refined BPA strategy improves short-term symptoms, exercise capacity and haemodynamics in inoperable CTEPH patients with an acceptable risk-benefit ratio. Safety and efficacy improve over time, underscoring the unavoidable learning curve for this procedure.</t>
  </si>
  <si>
    <t>[Brenot, Philippe; Jais, Xavier; Taniguchi, Yu; Alonso, Carlos Garcia; Gerardin, Benoit; Mussot, Sacha; Mercier, Olaf; Fabre, Dominique; Parent, Florence; Jevnikar, Mitja; Montani, David; Savale, Laurent; Sitbon, Olivier; Fadel, Elie; Humbert, Marc; Simonneau, Gerald] Univ Paris Saclay, Univ Paris Sud, Fac Med, Le Kremlin Bicetre, France; [Brenot, Philippe; Alonso, Carlos Garcia; Gerardin, Benoit] Hop Marie Lannelongue, Serv Radiol, Le Plessis Robinson, France; [Brenot, Philippe; Jais, Xavier; Taniguchi, Yu; Alonso, Carlos Garcia; Gerardin, Benoit; Mussot, Sacha; Mercier, Olaf; Fabre, Dominique; Parent, Florence; Jevnikar, Mitja; Montani, David; Savale, Laurent; Sitbon, Olivier; Fadel, Elie; Humbert, Marc; Simonneau, Gerald] Hop Marie Lannelongue, Inserm UMR S 999, Le Plessis Robinson, France; [Jais, Xavier; Taniguchi, Yu; Parent, Florence; Jevnikar, Mitja; Montani, David; Savale, Laurent; Sitbon, Olivier; Humbert, Marc; Simonneau, Gerald] Hop Bicetre, AP HP, Serv Pneumol, Ctr Reference Hypertens Pulmonaire, Le Kremlin Bicetre, France; [Mussot, Sacha; Mercier, Olaf; Fabre, Dominique; Fadel, Elie] Hop Marie Lannelongue, Serv Chirurg Thorac, Le Plessis Robinson, France</t>
  </si>
  <si>
    <t>Universite Paris Saclay; Hopital Marie Lannelongue; Universite Paris Saclay; Institut National de la Sante et de la Recherche Medicale (Inserm); Hopital Marie Lannelongue; Assistance Publique Hopitaux Paris (APHP); Hopital Universitaire Antoine-Beclere - APHP; Universite Paris Saclay; Hopital Universitaire Bicetre - APHP; Hopital Marie Lannelongue</t>
  </si>
  <si>
    <t>Brenot, Philippe/HJB-1040-2022; David, Montani/I-6885-2019; Mussot, S/AAL-7512-2020; Savale, Laurent/AAJ-9781-2020; Simonneau, Gerald/ABE-6614-2020; Humbert, Marc/AAC-8459-2019</t>
  </si>
  <si>
    <t>Jevnikar, Mitja/0000-0003-0727-6790; Mercier, Olaf/0000-0002-4760-6267; JAIS, XAVIER/0000-0002-4104-7994; Montani, David/0000-0002-9358-6922; Humbert, Marc/0000-0003-0703-2892</t>
  </si>
  <si>
    <t>10.1183/13993003.02095-2018</t>
  </si>
  <si>
    <t>IB4LR</t>
  </si>
  <si>
    <t>WOS:000470244000015</t>
  </si>
  <si>
    <t>Chemla, D; Boulate, D; Weatherald, J; Lau, EMT; Attal, P; Savale, L; Montani, D; Fadel, E; Mercier, O; Sitbon, O; Humbert, M; Herve, P</t>
  </si>
  <si>
    <t>Chemla, Denis; Boulate, David; Weatherald, Jason; Lau, Edmund M. T.; Attal, Pierre; Savale, Laurent; Montani, David; Fadel, Elie; Mercier, Olaf; Sitbon, Olivier; Humbert, Marc; Herve, Philippe</t>
  </si>
  <si>
    <t>Golden Ratio and the Proportionality Between Pulmonary Pressure Components in Pulmonary Arterial Hypertension</t>
  </si>
  <si>
    <t>hemodynamics; pulmonary hypertension</t>
  </si>
  <si>
    <t>BACKGROUND: The golden ratio (phi, Phi = 1.618) is a proportion that has been found in many phenomena in nature, including the cardiovascular field. We tested the hypothesis that the systolic over mean pulmonary artery pressure ratio (sPAP/mPAP) and the mean over diastolic pressure ratio (mPAP/dPAP) may match Phi in patients with pulmonary arterial hypertension (PAH) and in control patients. METHODS: In the first, theoretical part of the study, we discuss why our hypothesis is consistent with three known hemodynamic features of the pulmonary circulation: (1) the 0.61 slope of the mPAP vs sPAP relationship, (2) pulmonary artery pulse pressure and mPAP have an almost 1:1 ratio, and (3) the proportional relationship among sPAP, mPAP, and dPAP. In the second part of the study, fluid-filled pressures were analyzed in 981 incident, untreated PAH and high-fidelity pressures were also analyzed in 44 historical control patients (mPAP range, 9-113 mm Hg). RESULTS: In PAH (non-normal distribution), median values of sPAP/mPAP and mPAP/dPAP were 1.591 (98%Phi) and 1.559 (96%Phi), respectively. In control patients (normal distribution), mean sPAP/mPAP and mPAP/dPAP were 1.572 (97%Phi) and 1.470 (91%Phi), respectively. In both PAH and control patients, this was consistent with the Phi hypothesis, assuming &lt; 1 mm Hg error in estimation of sPAP, mPAP, and dPAP on average. CONCLUSIONS: In PAH and in control patients, the fluctuations in sPAP and dPAP around mPAP exhibited a constant scaling factor matched to Phi. This remarkable property allows linkage of various empirical observations on pulmonary hemodynamics that were hitherto apparently unrelated. These findings warrant further confirmation in other types of pulmonary hypertension and warrant explanation.</t>
  </si>
  <si>
    <t>[Chemla, Denis] AP HP, Serv Explorat Fonctionnelles Multidisciplinaires, Le Kremlin Bicetre, France; [Chemla, Denis; Savale, Laurent; Montani, David; Sitbon, Olivier; Humbert, Marc] Univ Paris Sud, Le Kremlin Bicetre, France; [Chemla, Denis; Savale, Laurent; Montani, David; Sitbon, Olivier; Humbert, Marc] Univ Paris Saclay, Fac Med, Le Kremlin Bicetre, France; [Chemla, Denis; Savale, Laurent; Montani, David; Sitbon, Olivier; Humbert, Marc; Herve, Philippe] Hop Marie Lannelongue, INSERM UMR S 999, Le Plessis Robinson, France; [Boulate, David; Fadel, Elie; Mercier, Olaf; Herve, Philippe] Marie Lannelongue Hosp, Dept Thorac &amp; Vasc Surg &amp; Heart Lung Transplantat, Le Plessis Robinson, France; [Weatherald, Jason] Univ Calgary, Dept Med, Div Respirol, Calgary, AB, Canada; [Weatherald, Jason] Libin Cardiovasc Inst Alberta, Calgary, AB, Canada; [Lau, Edmund M. T.] Univ Sydney, Royal Prince Alfred Hosp, Dept Resp Med, Missenden Rd, Camperdown, NSW, Australia; [Attal, Pierre] Shaare Zedek Med Ctr, Dept Otolaryngol Head &amp; Neck Surg, Jerusalem, Israel; [Attal, Pierre] Hebrew Univ Jerusalem, Med Sch, Jerusalem, Israel; [Savale, Laurent; Montani, David; Sitbon, Olivier; Humbert, Marc] Hop Bicetre, AP HP, Serv Pneumol, Le Kremlin Bicetre, France</t>
  </si>
  <si>
    <t>Assistance Publique Hopitaux Paris (APHP); Hopital Universitaire Bicetre - APHP; Universite Paris Saclay; Universite Paris Saclay; Institut National de la Sante et de la Recherche Medicale (Inserm); Hopital Marie Lannelongue; Universite Paris Saclay; Hopital Marie Lannelongue; University of Calgary; Libin Cardiovascular Institute Of Alberta; NSW Health; Royal Prince Alfred Hospital; University of Sydney; Hebrew University of Jerusalem; Shaare Zedek Medical Center; Hebrew University of Jerusalem; Assistance Publique Hopitaux Paris (APHP); Hopital Universitaire Antoine-Beclere - APHP; Hopital Universitaire Bicetre - APHP; Universite Paris Saclay</t>
  </si>
  <si>
    <t>Chemla, D (corresponding author), Broca 4 Hop Bicetre, Serv Explorat Fonctionnelles, 78 Rue Gen Leclerc, F-94275 Le Kremlin Bicetre, France.</t>
  </si>
  <si>
    <t>David, Montani/I-6885-2019; Boulate, David/ABC-8057-2020; Savale, Laurent/AAJ-9781-2020; Humbert, Marc/AAC-8459-2019</t>
  </si>
  <si>
    <t>Mercier, Olaf/0000-0002-4760-6267; Weatherald, Jason/0000-0002-0615-4575; Humbert, Marc/0000-0003-0703-2892; Montani, David/0000-0002-9358-6922</t>
  </si>
  <si>
    <t>Universite Paris Sud</t>
  </si>
  <si>
    <t>This work was supported by funding from the Universite Paris Sud.</t>
  </si>
  <si>
    <t>10.1016/j.chest.2018.12.006</t>
  </si>
  <si>
    <t>HW7FK</t>
  </si>
  <si>
    <t>WOS:000466855300026</t>
  </si>
  <si>
    <t>Cornet, L; Khouri, C; Roustit, M; Guignabert, C; Chaumais, MC; Humbert, M; Revol, B; Despas, F; Montani, D; Cracowski, JL</t>
  </si>
  <si>
    <t>Cornet, Lucie; Khouri, Charles; Roustit, Matthieu; Guignabert, Christophe; Chaumais, Marie-Camille; Humbert, Marc; Revol, Bruno; Despas, Fabien; Montani, David; Cracowski, Jean-Luc</t>
  </si>
  <si>
    <t>SIGNAL-DETECTION; TYROSINE KINASE; DASATINIB; IDENTIFICATION; DIAGNOSIS; FAILURE; PATIENT</t>
  </si>
  <si>
    <t>The pathophysiology of pulmonary arterial hypertension (PAH) induced by protein kinase inhibitors (PKIs) remains unclear. To gain knowledge into this rare and severe pathology we performed a study combining a pharmacovigilance approach and the pharmacodynamic properties of PKIs. A disproportionality analysis on the World Health Organization pharmacovigilance database VigiBase using the reporting odds ratio (ROR) and 95% confidence interval was first performed. Then, we identified the most relevant cellular targets of interest through a systematic literature review and correlated the pharmacovigilance signals with the affinity for the different PKIs. We further performed a hierarchical cluster analysis to assess patterns of binding affinity. A positive disproportionality signal was found for dasatinib, bosutinib, ponatinib, ruxolitinib and nilotinib. Five non- receptor protein kinases significantly correlate with disproportionality signals: c- Src (r=0.79, p=0.00027), c- Yes (r=0.82, p=0.00015), Lck (r=0.81, p=0.00046) and Lyn (r=0.80, p=0.00036), all belonging to the Src protein kinase family, and TEC (r=0.85, p=0.00006). Kinases of the bone morphogenetic protein signalling pathway also seem to play a role in the pathophysiology of PKI- induced PAH. Interestingly, the dasatinib affinity profile seems to be different from that of other PKIs in the cluster analysis. The study highlights the potential role of the Src protein kinase family and TEC in PAH induced by PKIs. This approach combining pharmacovigilance and pharmacodynamics data allowed us to generate some hypotheses about the pathophysiology of the disease; however, the results have to be confirmed by further studies.</t>
  </si>
  <si>
    <t>[Cornet, Lucie; Khouri, Charles; Revol, Bruno; Cracowski, Jean-Luc] Grenoble Alpes Univ Hosp, Pharmacovigilance Unit, Grenoble, France; [Khouri, Charles; Roustit, Matthieu; Cracowski, Jean-Luc] Grenoble Alpes Univ Hosp, INSERM CIC1406, Clin Pharmacol Dept, Grenoble, France; [Khouri, Charles; Roustit, Matthieu; Revol, Bruno; Cracowski, Jean-Luc] Univ Grenoble Alpes, INSERM, UMR 1042 HP2, Grenoble, France; [Guignabert, Christophe; Humbert, Marc; Montani, David] Univ Paris Sud, Univ Paris Saclay, Fac Med, Le Kremlin Bicetre, France; [Guignabert, Christophe; Humbert, Marc; Montani, David] Hop Bicetre, AP HP, Serv Pneumol, Le Kremlin Bicetre, France; [Guignabert, Christophe; Chaumais, Marie-Camille; Humbert, Marc; Montani, David] Hop Marie Lannelongue, INSERM, UMR S 999, Le Plessis Robinson, France; [Chaumais, Marie-Camille] Univ Paris Sud, Fac Pharm, Univ Paris Saclay, Chatenay Malabry, France; [Chaumais, Marie-Camille] Hop Bicetre, AP HP, Serv Pharm, Le Kremlin Bicetre, France; [Despas, Fabien] CHU Toulouse Univ Hosp, Med &amp; Clin Pharmacol Unit, Toulouse, France; [Despas, Fabien] Univ Toulouse III Paul Sabatier, INSERM, UMR1027, Toulouse, France; [Despas, Fabien] Toulouse Clin Invest Ctr, INSERM, CIC 1436, Toulouse, France</t>
  </si>
  <si>
    <t>CHU Grenoble Alpes; Communaute Universite Grenoble Alpes; Universite Grenoble Alpes (UGA); Institut National de la Sante et de la Recherche Medicale (Inserm); CHU Grenoble Alpes; Communaute Universite Grenoble Alpes; Universite Grenoble Alpes (UGA); Communaute Universite Grenoble Alpes; Universite Grenoble Alpes (UGA); Institut National de la Sante et de la Recherche Medicale (Inserm); Universite Paris Saclay; Universite Paris Saclay; Assistance Publique Hopitaux Paris (APHP); Hopital Universitaire Bicetre - APHP; Hopital Universitaire Antoine-Beclere - APHP; Hopital Marie Lannelongue; Universite Paris Saclay; Institut National de la Sante et de la Recherche Medicale (Inserm); Universite Paris Saclay; Universite Paris Saclay; Assistance Publique Hopitaux Paris (APHP); Hopital Universitaire Antoine-Beclere - APHP; Hopital Universitaire Bicetre - APHP; CHU de Toulouse; Universite de Toulouse; Universite Toulouse III - Paul Sabatier; Institut National de la Sante et de la Recherche Medicale (Inserm); Universite de Toulouse; Universite Toulouse III - Paul Sabatier; Institut National de la Sante et de la Recherche Medicale (Inserm)</t>
  </si>
  <si>
    <t>Khouri, C (corresponding author), CHU Grenoble Alpes, Unite Pharmacol Clin, Ctr Invest Clin Grenoble, INSERM,CIC1406, F-38043 Grenoble 09, France.</t>
  </si>
  <si>
    <t>KHOURI, CHARLES/J-1090-2019; Revol, Bruno/AAS-7367-2021; David, Montani/I-6885-2019; Humbert, Marc/AAC-8459-2019; GUIGNABERT, Christophe/G-3873-2013; Roustit, Matthieu/M-6927-2014; Cracowski, Jean-Luc/M-6946-2014</t>
  </si>
  <si>
    <t>Khouri, Charles/0000-0002-8427-8573; Humbert, Marc/0000-0003-0703-2892; GUIGNABERT, Christophe/0000-0002-8545-4452; Revol, Bruno/0000-0003-2931-2940; Roustit, Matthieu/0000-0003-4475-1626; , Lucie/0000-0003-2877-1336; Montani, David/0000-0002-9358-6922; Cracowski, Jean-Luc/0000-0003-0787-1469</t>
  </si>
  <si>
    <t>10.1183/13993003.02472-2018</t>
  </si>
  <si>
    <t>WOS:000470244000029</t>
  </si>
  <si>
    <t>Humbert, M; Bousquet, J; Bachert, C; Palomares, O; Pfister, P; Kottakis, I; Jaumont, X; Thomsen, SF; Papadopoulos, NG</t>
  </si>
  <si>
    <t>Humbert, Marc; Bousquet, Jean; Bachert, Claus; Palomares, Oscar; Pfister, Pascal; Kottakis, Ioannis; Jaumont, Xavier; Thomsen, Simon Francis; Papadopoulos, Nikolaos G.</t>
  </si>
  <si>
    <t>IgE-Mediated Multimorbidities in Allergic Asthma and the Potential for Omalizumab Therapy</t>
  </si>
  <si>
    <t>Omalizumab; Asthma; Multimorbidities; Treatment; Allergic rhinitis; Rhinoconjunctivitis; Chronic rhinosinusitis with nasal polyps; Vernal keratoconjunctivitis; Food allergies; Allergic bronchopulmonary aspergillosis</t>
  </si>
  <si>
    <t>RAPID ORAL DESENSITIZATION; ATOPIC-DERMATITIS; ANTI-IGE; BRONCHOPULMONARY ASPERGILLOSIS; VERNAL KERATOCONJUNCTIVITIS; CHRONIC RHINOSINUSITIS; FOOD ALLERGY; CASE SERIES; DOUBLE-BLIND; MAST-CELLS</t>
  </si>
  <si>
    <t>Allergic asthma often coexists with different pathological conditions, called multimorbidities, that are mostly of allergic nature and share a common underlying inflammatory pathophysiological mechanism. Multimorbidities of allergic asthma may influence asthma control, its severity, and patients' response to treatment, and contribute to the overall socioeconomic burden of the disease. Immunoglobulin E (IgE) is known to play a central role in the pathogenesis of various allergic diseases, including asthma. Thus, IgE-mediated immunologic pathways present an attractive target for intervention in asthma and multimorbidities. In this review, we discuss the most frequently reported IgE-mediated multimorbidities in allergic asthma, including allergic rhinitis, rhinoconjunctivitis, atopic dermatitis, vernal keratoconjunctivitis, chronic rhinosinusitis with nasal polyps, food allergies, and allergic bronchopulmonary aspergillosis. Omalizumab is a recombinant humanized monoclonal antibody against IgE and has been in use to treat allergic asthma for more than a decade. We comprehensively review the clinical evidence for omalizumab in the treatment of the aforementioned multimorbidities in allergic asthma. (C) 2018 The Authors. Published by Elsevier Inc. on behalf of the American Academy of Allergy, Asthma &amp; Immunology.</t>
  </si>
  <si>
    <t>[Humbert, Marc] Hop Bicetre, Serv Pneumol, 78 Rue Gen Leclerc, F-94270 Le Kremlin Bicetre, France; [Bousquet, Jean] MACVIA France, Contre Malad Chron Vieillissement Actif France, European Innovat Partnership Act &amp; Hlth Ageing Re, Montpellier, France; [Bachert, Claus] Univ Ghent, Upper Airways Res Lab, Ghent, Belgium; [Bachert, Claus] Univ Ghent, Dept Otorhinolaryngol, Ghent, Belgium; [Bachert, Claus] Ghent Univ Hosp, Ghent, Belgium; [Palomares, Oscar] Univ Complutense Madrid, Dept Biochem &amp; Mol Biol, Sch Chem, Madrid, Spain; [Pfister, Pascal; Kottakis, Ioannis; Jaumont, Xavier] Novartis Pharma AG, Basel, Switzerland; [Thomsen, Simon Francis] Bispebjerg Hosp, Dept Dermatol, Copenhagen, Denmark; [Thomsen, Simon Francis] Univ Copenhagen, Dept Biomed Sci, Copenhagen, Denmark; [Papadopoulos, Nikolaos G.] Univ Manchester, Div Infect Immun &amp; Resp Med, Manchester, Lancs, England; [Papadopoulos, Nikolaos G.] Univ Athens, Allergy Dept, Pediat Clin 2, Athens, Greece</t>
  </si>
  <si>
    <t>Assistance Publique Hopitaux Paris (APHP); Hopital Universitaire Bicetre - APHP; Universite Paris Saclay; Hopital Universitaire Antoine-Beclere - APHP; Universite de Montpellier; Ghent University; Ghent University; Ghent University; Ghent University Hospital; Complutense University of Madrid; Novartis; University of Copenhagen; Bispebjerg Hospital; Copenhagen University Hospital; University of Copenhagen; University of Manchester; National &amp; Kapodistrian University of Athens</t>
  </si>
  <si>
    <t>Bousquet, Jean/O-4221-2019; Bachert, Claus/J-8825-2012; Palomares, Oscar/ABG-5229-2020; Papadopoulos, Nikolaos/L-8670-2013; Humbert, Marc/AAC-8459-2019</t>
  </si>
  <si>
    <t>Papadopoulos, Nikolaos/0000-0002-4448-3468; Bousquet, Jean/0000-0002-4061-4766; Humbert, Marc/0000-0003-0703-2892</t>
  </si>
  <si>
    <t>Novartis Pharma AG (Basel, Switzerland)</t>
  </si>
  <si>
    <t>Medical writing and editorial support for this manuscript was provided by Anjana Mallela and Rahul Lad of Novartis Healthcare Private Limited, Hyderabad, India, which was funded by Novartis Pharma AG (Basel, Switzerland) in accordance with Good Publication Practice (GPP3) guidelines (http://www.ismpp.org/gpp3).</t>
  </si>
  <si>
    <t>MAY-JUN</t>
  </si>
  <si>
    <t>10.1016/j.jaip.2019.02.030</t>
  </si>
  <si>
    <t>HX0IL</t>
  </si>
  <si>
    <t>WOS:000467072700004</t>
  </si>
  <si>
    <t>Guignabert, C; Tu, L; Feige, JJ; Humbert, M; Bailly, S</t>
  </si>
  <si>
    <t>Guignabert, Christophe; Tu, Ly; Feige, Jean-Jacques; Humbert, Marc; Bailly, Sabine</t>
  </si>
  <si>
    <t>Response by Guignabert et al to Letter Regarding Article, Selective BMP-9 Inhibition Partially Protects Against Experimental Pulmonary Hypertension</t>
  </si>
  <si>
    <t>[Guignabert, Christophe; Tu, Ly; Humbert, Marc] Univ Paris Saclay, Ctr Reference Hypertens Pulm Severe, INSERM UMR S 999,Hop Bicetre, Univ Paris Sud,AP HP,Serv Pneumol,DHU Thorax Inno, Le Kremlin Bicetre, France; [Feige, Jean-Jacques; Bailly, Sabine] Univ Grenoble Alpes, INSERM, CEA, BIG Biol Canc &amp; Infect, Grenoble, France</t>
  </si>
  <si>
    <t>Assistance Publique Hopitaux Paris (APHP); Hopital Universitaire Antoine-Beclere - APHP; Institut National de la Sante et de la Recherche Medicale (Inserm); Universite Paris Saclay; Hopital Universitaire Bicetre - APHP; Institut National de la Sante et de la Recherche Medicale (Inserm); Communaute Universite Grenoble Alpes; Universite Grenoble Alpes (UGA); CEA</t>
  </si>
  <si>
    <t>Guignabert, C (corresponding author), Univ Paris Saclay, Ctr Reference Hypertens Pulm Severe, INSERM UMR S 999,Hop Bicetre, Univ Paris Sud,AP HP,Serv Pneumol,DHU Thorax Inno, Le Kremlin Bicetre, France.</t>
  </si>
  <si>
    <t>Feige, Jean-Jacques/M-8905-2017; TU, Ly/AAK-4996-2020; bailly, sabine/G-3540-2013; GUIGNABERT, Christophe/G-3873-2013; TU, Ly/G-4035-2013; Humbert, Marc/AAC-8459-2019; Feige, Jean-Jacques/F-5534-2013</t>
  </si>
  <si>
    <t>bailly, sabine/0000-0003-1043-7030; GUIGNABERT, Christophe/0000-0002-8545-4452; TU, Ly/0000-0003-2336-5099; Humbert, Marc/0000-0003-0703-2892; Feige, Jean-Jacques/0000-0002-1354-7692</t>
  </si>
  <si>
    <t>French National Institute for Health and Medical Research (INSERM); University of Grenoble; University of Paris-Sud; CEA (Commissariat a l'Energie Atomique et aux Energies Alternatives, DRF/BIG/BCI); French National Agency for Research (ANR) [ANR-17-CE14-0006]; Fondation de la Recherche Medicale (FRM) [DEQ20150331712]; Departement Hospitalo-Universitaire Thorax Innovation (TORINO); Assistance Publique-Hopitaux de Paris (AP-HP), Service de Pneumologie, Centre de Reference de l'Hypertension Pulmonaire Severe; LabEx LERMIT [ANR-10-LABX-0033]; french Fonds de Dotation Recherche en Sante Respiratoire-(FRSR)-Fondation du Souffle (FdS); Ligues Departementales contre le Cancer de la Loire et de la Savoie; Association pour la Recherche sur le Cancer (ARC); University Paris-Saclay; Marie Lannelongue Hospital; French pulmonary arterial hypertension patient association (HTAP France); association Maladie de Rendu-Osler (AMRO-HHT France); Agence Nationale de la Recherche (ANR) [ANR-17-CE14-0006] Funding Source: Agence Nationale de la Recherche (ANR)</t>
  </si>
  <si>
    <t>French National Institute for Health and Medical Research (INSERM)(Institut National de la Sante et de la Recherche Medicale (Inserm)); University of Grenoble; University of Paris-Sud; CEA (Commissariat a l'Energie Atomique et aux Energies Alternatives, DRF/BIG/BCI); French National Agency for Research (ANR)(Agence Nationale de la Recherche (ANR)); Fondation de la Recherche Medicale (FRM)(Fondation pour la Recherche Medicale); Departement Hospitalo-Universitaire Thorax Innovation (TORINO); Assistance Publique-Hopitaux de Paris (AP-HP), Service de Pneumologie, Centre de Reference de l'Hypertension Pulmonaire Severe; LabEx LERMIT; french Fonds de Dotation Recherche en Sante Respiratoire-(FRSR)-Fondation du Souffle (FdS); Ligues Departementales contre le Cancer de la Loire et de la Savoie; Association pour la Recherche sur le Cancer (ARC)(Fondation ARC pour la Recherche sur le Cancer); University Paris-Saclay; Marie Lannelongue Hospital; French pulmonary arterial hypertension patient association (HTAP France); association Maladie de Rendu-Osler (AMRO-HHT France); Agence Nationale de la Recherche (ANR)(Agence Nationale de la Recherche (ANR))</t>
  </si>
  <si>
    <t>This research was supported by grants from the French National Institute for Health and Medical Research (INSERM), the University of Grenoble, the University of Paris-Sud and the University Paris-Saclay, the Marie Lannelongue Hospital, the CEA (Commissariat a l'Energie Atomique et aux Energies Alternatives, DRF/BIG/BCI), the French National Agency for Research (ANR) grant no. ANR-17-CE14-0006 (B9inPAH), the Fondation de la Recherche Medicale (FRM) grant no. DEQ20150331712 (Equipe FRM 2015), and in part by the Departement Hospitalo-Universitaire Thorax Innovation (TORINO), the Assistance Publique-Hopitaux de Paris (AP-HP), Service de Pneumologie, Centre de Reference de l'Hypertension Pulmonaire Severe, the LabEx LERMIT (grant no ANR-10-LABX-0033), the French pulmonary arterial hypertension patient association (HTAP France) and the french Fonds de Dotation Recherche en Sante Respiratoire-(FRSR)-Fondation du Souffle (FdS), the Ligues Departementales contre le Cancer de la Loire et de la Savoie, the association Maladie de Rendu-Osler (AMRO-HHT France), the Association pour la Recherche sur le Cancer (ARC).</t>
  </si>
  <si>
    <t>APR 26</t>
  </si>
  <si>
    <t>E82</t>
  </si>
  <si>
    <t>E83</t>
  </si>
  <si>
    <t>10.1161/CIRCRESAHA.119.315053</t>
  </si>
  <si>
    <t>HW1LM</t>
  </si>
  <si>
    <t>WOS:000466444400003</t>
  </si>
  <si>
    <t>Arthur, J; Amsallem, M; Guihaire, J; Haddad, F; Lamrani, L; Feuillet, S; Stephan, F; Jais, X; Humbert, M; Simonneau, G; Mercier, O; Fadel, E</t>
  </si>
  <si>
    <t>Arthur, J.; Amsallem, M.; Guihaire, J.; Haddad, F.; Lamrani, L.; Feuillet, S.; Stephan, F.; Jais, X.; Humbert, M.; Simonneau, G.; Mercier, O.; Fadel, E.</t>
  </si>
  <si>
    <t>Preoperative C-Reactive Protein Predicts Early Postoperative Outcomes after Pulmonary Endarterectomy in Patients with Chronic Thromboembolic Pulmonary Hypertension</t>
  </si>
  <si>
    <t>39th Annual Meeting and Scientific Sessions of the International-Society-for-Heart-and-Lung-Transplantation (ISHLT)</t>
  </si>
  <si>
    <t>APR 03-06, 2019</t>
  </si>
  <si>
    <t>Orlando, FL</t>
  </si>
  <si>
    <t>[Arthur, J.; Amsallem, M.; Lamrani, L.] Paris Sud Univ, Marie Lannelongue Hosp, Res &amp; Innovat Unit, Le Plessis Robinson, France; [Guihaire, J.] Paris Sud Univ, Marie Lannelongue Hosp, Adult Cardiac Surg, Le Plessis Robinson, France; [Haddad, F.] Stanford Univ, Sch Med, Div Cardiovasc Med, Palo Alto, CA 94304 USA; [Feuillet, S.; Mercier, O.; Fadel, E.] Paris Sud Univ, Marie Lannelongue Hosp, Thorac &amp; Vasc Surg &amp; Heart Lung Transplantat, Le Plessis Robinson, France; [Stephan, F.] Paris Sud Univ, Marie Lannelongue Hosp, Adult Intens Care Unit, Le Plessis Robinson, France; [Jais, X.; Humbert, M.; Simonneau, G.] Paris Sud Univ, Kremlin Bicetre Hosp, Resp Med, Le Kremlin Bicetre, France</t>
  </si>
  <si>
    <t>Universite Paris Saclay; Hopital Marie Lannelongue; Hopital Marie Lannelongue; Universite Paris Saclay; Stanford University; Universite Paris Saclay; Hopital Marie Lannelongue; Hopital Marie Lannelongue; Universite Paris Saclay; Assistance Publique Hopitaux Paris (APHP); Hopital Universitaire Bicetre - APHP; Universite Paris Saclay</t>
  </si>
  <si>
    <t>Simonneau, Gerald/ABE-6614-2020; Humbert, Marc/AAC-8459-2019</t>
  </si>
  <si>
    <t>S129</t>
  </si>
  <si>
    <t>10.1016/j.healun.2019.01.304</t>
  </si>
  <si>
    <t>HP0OJ</t>
  </si>
  <si>
    <t>WOS:000461365100290</t>
  </si>
  <si>
    <t>Bordenave, J; Tu, L; Savale, L; Huertas, A; Humbert, M; Guignabert, C</t>
  </si>
  <si>
    <t>Bordenave, J.; Tu, L.; Savale, L.; Huertas, A.; Humbert, M.; Guignabert, C.</t>
  </si>
  <si>
    <t>New insights in the pathogenesis of pulmonary arterial hypertension</t>
  </si>
  <si>
    <t>Pulmonary hypertension; Vascular remodelling; Smooth muscle cell; Therapeutic target</t>
  </si>
  <si>
    <t>FIBROBLAST GROWTH FACTOR-2; CELLS</t>
  </si>
  <si>
    <t>Pulmonary arterial hypertension (PAH) is a severe and incurable cardiopulmonary disorder. Research from the past 10 years illustrates the complex and multifactorial aspects of PAH pathophysiology. Furthermore, latest advances in the field have led to a better understanding of the key components underlying this inadequate accumulation of pulmonary vascular cells within the pulmonary arterial walls, leading to pulmonary vascular remodelling. Among the underlying molecular and cellular mechanisms, pulmonary endothelial dysfunction, alterations of the inter-cell communications within the pulmonary arterial walls as well as defects of the inflammatory component and the loss of BMPRII activity play critical roles in the pathogenesis of the disease. (C) 2019 Published by Elsevier Masson SAS on behalf of SPLF.</t>
  </si>
  <si>
    <t>[Bordenave, J.; Tu, L.; Savale, L.; Huertas, A.; Humbert, M.; Guignabert, C.] Hop Marie Lannelongue, INSERM, UMR S 999, 133 Ave Resistance, F-92350 Le Plessis Robinson, France; [Bordenave, J.; Tu, L.; Savale, L.; Huertas, A.; Humbert, M.; Guignabert, C.] Univ Paris Saclay, Univ Paris Sud, Fac Med, F-94270 Le Kremlin Bicetre, France; [Savale, L.; Huertas, A.; Humbert, M.] Hop Bicetre, AP HP, DHU Thorax Innovat, Serv Pneumol,Ctr Reference Hypertens Pulm Severe, Le Kremlin Bicetre, France</t>
  </si>
  <si>
    <t>Hopital Marie Lannelongue; Universite Paris Saclay; Institut National de la Sante et de la Recherche Medicale (Inserm); Universite Paris Saclay; Assistance Publique Hopitaux Paris (APHP); Hopital Universitaire Bicetre - APHP; Hopital Universitaire Antoine-Beclere - APHP; Universite Paris Saclay</t>
  </si>
  <si>
    <t>Guignabert, C (corresponding author), Hop Marie Lannelongue, INSERM, UMR S 999, 133 Ave Resistance, F-92350 Le Plessis Robinson, France.;Guignabert, C (corresponding author), Univ Paris Saclay, Univ Paris Sud, Fac Med, F-94270 Le Kremlin Bicetre, France.</t>
  </si>
  <si>
    <t>TU, Ly/AAK-4996-2020; Savale, Laurent/AAJ-9781-2020; GUIGNABERT, Christophe/G-3873-2013; Humbert, Marc/AAC-8459-2019; TU, Ly/G-4035-2013</t>
  </si>
  <si>
    <t>GUIGNABERT, Christophe/0000-0002-8545-4452; Humbert, Marc/0000-0003-0703-2892; TU, Ly/0000-0003-2336-5099; bordenave, jennifer/0000-0001-8866-3666</t>
  </si>
  <si>
    <t>10.1016/j.rmr.2019.03.003</t>
  </si>
  <si>
    <t>HY0QK</t>
  </si>
  <si>
    <t>WOS:000467816700002</t>
  </si>
  <si>
    <t>Menditto, E; Costa, E; Midao, L; Bosnic-Anticevich, S; Novellino, E; Bialek, S; Briedis, V; Mair, A; Rajabian-Soderlund, R; Arnavielhe, S; Bedbrook, A; Czarlewski, W; Annesi-Maesano, I; Anto, JM; Devillier, P; De Vries, G; Keil, T; Sheikh, A; Orlando, V; Larenas-Linnemann, D; Cecchi, L; De Feo, G; Illario, M; Stellato, C; Fonseca, J; Malva, J; Morais-Almeida, M; Pereira, AM; Todo-Bom, AM; Kvedariene, V; Valiulis, A; Bergmann, KC; Klimek, L; Mösges, R; Pfaar, O; Zuberbier, T; Cardona, V; Mullol, J; Papadopoulos, NG; Prokopakis, EP; Bewick, M; Ryan, D; Roller-Wirnsberger, RE; Tomazic, PV; Cruz, AA; Kuna, P; Samolinski, B; Fokkens, WJ; Reitsma, S; Bosse, I; Fontaine, JF; Laune, D; Haahtela, T; Toppila-Salmi, S; Bachert, C; Hellings, PW; Melén, E; Wickman, M; Bindslev-Jensen, C; Eller, E; O'Hehir, RE; Cingi, C; Gemicioglu, B; Kalayci, O; Ivancevich, JC; Bousquet, J; Bousquet, J; Hellings, PW; Aberer, W; Agache, I; Akdis, CA; Akdis, M; Aliberti, MR; Almeida, R; Amat, F; Angles, R; Annesi-Maesano, I; Ansotegui, IJ; Anto, JM; Arnavielle, S; Asayag, E; Asarnoj, A; Arshad, H; Avolio, F; Bacci, E; Bachert, C; Baiar-Dini, I; Barbara, C; Barbagallo, M; Baroni, I; Barreto, BA; Basagana, X; Bateman, ED; Bedolla-Barajas, M; Bedbrook, A; Bewick, M; Beghé, B; Bel, EH; Bergmann, KC; Bennoor, KS; Benson, M; Bertorello, L; Bialoszewski, AZ; Bieber, T; Bialek, S; Bindslev-Jensen, C; Bjermer, L; Blain, H; Blasi, F; Blua, A; Marciniak, MB; Bogus-Buczynska, I; Boner, AL; Bonini, M; Bonini, S; Bosnic-Anticevich, CS; Bosse, I; Bouchard, J; Boulet, LP; Bourret, R; Bousquet, P; Braido, F; Briedis, V; Brightling, CE; Brozek, J; Bucca, C; Buhl, R; Buonaiuto, R; Panaitescu, C; Cabanas, MTB; Burte, E; Bush, A; Caballero-Fonseca, F; Caillaud, D; Caimmi, D; Calderon, MA; Camargos, PAM; Camuzat, T; Canfora, G; Canonica, GW; Cardona, V; Carlsen, KH; Carreiro-Martins, P; Carriazo, AM; Carr, W; Cartier, C; Casale, T; Castellano, G; Cecchi, L; Cepeda, AM; Chavannes, NH; Chen, Y; Chiron, R; Chivato, T; Chkhartishvili, E; Chuchalin, AG; Chung, KF; Ciaravolo, MM; Ciceran, A; Cingi, C; Ciprandi, G; Coehlo, ACC; Colas, L; Colgan, E; Coll, J; Conforti, D; De Sousa, JC; Cortés-Grimaldo, RM; Corti, F; Costa, E; Mc Costa-Dominguez; Al Courbis; Cox, L; Crescenzo, M; Cruz, AA; Custovic, A; Czarlewski, W; Dahlen, SE; D'Amato; Dario, C; da Silva, J; Dauvilliers, Y; Darsow, U; De Blay, F; De Carlo, G; Dedeu, T; Emerson, MDF; De Feo, G; De Vries, G; De Martino, B; Rubina, NPM; Deleanu, D; Demoly, P; Denburg, J; Devillier, P; Ercolano, SDC; Di Carluccio, N; Didier, A; Dokic, D; Dominguez-Silva, MG; Douagui, H; Dray, G; Dubakiene, R; Durham, SR; Du Toit, G; Dykewicz, MS; El-Gamal, Y; Eklund, P; Eller, E; Emuzyte, R; Farrell, J; Farsi, A; De Mello, JF; Ferrero, J; Fink-Wagner, A; Fiocchi, A; Fok-Kens, WJ; Fonseca, J; Fontaine, JF; Forti, S; Fuentes-Perez, JM; Gálvez-Romero, JL; Gamkrelidze, A; Garcia-Aymerich, J; Garcia-Cobas, CY; Garcia-Cruz, MH; Gemicioglu, B; Genova, S; Christoff, G; Gereda, JE; Van Wijk, RG; Gomez, RM; Gómez-Vera, J; Diaz, SG; Gotua, M; Grisle, I; Guidacci, M; Guldemond, N; Gutter, Z; Guzmán, M; Haahtela, T; Hajjam, J; Hernández, L; Houri-Hane, J; Huerta-Villalobos, YR; Humbert, M; Iaccarino, G; Illario, M; Ispayeva, Z; Ivancevich, JC; Jares, E; Jassem, E; Johnston, SL; Joos, G; Jung, KS; Just, J; Jutel, M; Kaidashev, I; Kalayci, O; Kalyoncu, AF; Karjalainen, J; Kardas, P; Keil, T; Keith, PK; Khaitov, M; Khaltaev, N; Kleine-Tebbe, J; Klimek, L; Kowalski, ML; Kuitunen, M; Kull, I; Kuna, P; Kupczyk, M; Kvedariene, V; Krzych-Falta, E; Lacwik, P; Larenas-Linnemann, D; Laune, D; Lauri, D; Lavrut, J; L, TT; Lessa, M; Levato, G; Li, J; Lieberman, P; Liplec, A; Lipworth, B; Carlsen, KCL; Louis, R; Lourenco, O; Luna-Pech, JA; Magnan, A; Mahboub, B; Maier, D; Mair, A; Majer, I; Malva, J; Mandajieva, E; Manning, P; Keenoy, EDM; Marshall, GD; Masjedi, MR; Maspero, JF; Mathieu-Dupas, E; Campos, JJM; Al Matos; Maurer, M; Mavale-Manuel, S; Mayora, O; Medina-Avalos, MA; Melén, E; Melo-Gomes, E; Meltzer, E; Menditto, E; Mercier, J; Miculinic, N; Mihaltan, F; Milenkovic, B; Moda, G; Mogica-Martinez, MD; Mohammad, Y; Momas, I; Monte-Fort, S; Monti, R; Bogado, DM; Morais-Almeida, M; Morato-Castro; Mösges, R; Mota-Pinto, A; Santo, PM; Mullol, J; Münter, L; Muraro, A; Murray, R; Naclerio, R; Nadif, R; Nalin, M; Napoli, L; Namazova-Baranova, L; Neffen, H; Niedeberger, V; Nekam, K; Neou, A; Nieto, A; Nogueira-Silva, L; Nogues, M; Novellino, E; Nyembue, T; O'Hehir, R; Odzhakova, C; Ohta, K; Okamoto, Y; Okubo, K; Onorato, GL; Cisneros, MO; Ouedraogo, S; Pali-Schöll, I; Palkonen, S; Panzner, P; Papadopoulos, NG; Park, HS; Papi, A; Passalacqua, G; Paulino, E; Pawankar, R; Pedersen, S; Pépin, JL; Pereira, AM; Persico, M; Pfaar, O; Phillips, J; Picard, R; Pigearias, B; Pin, I; Pitsios, C; Plavec, D; Pohl, W; Popov, TA; Portejoie, F; Potter, P; Pozzi, AC; Price, D; Prokopakis, EP; Puy, R; Pugin, B; Ross, REP; Przemecka, M; Rabe, KF; Raciborski, F; Raja-Bian-Soderlund, R; Reitsma, S; Ribeirinho, I; Rimmer, J; Riv-Ero-Yeverino, D; Rizzo, JA; Rizzo, MC; Robalo-Cordeiro, C; Rodenas, F; Rodo, X; Gonzalez, MR; Rodriguez-Mañas, L; Rolland, C; Valle, SR; Rodriguez, MR; Romano, A; Rodriguez-Zagal, E; Rolla, G; Roller-Wirnsberger, RE; Romano, M; Rosado-Pinto, J; Rosario, N; Rottem, M; Ryan, D; Sagara, H; Salimäki, J; Samolinski, B; Sanchez-Borges, M; Sastre-Dominguez, J; Scadding, GK; Schunemann, HJ; Scichilone, N; Schmid-Grendelmeier, P; Serpa, FS; Shamai, S; Sheikh, A; Sierra, M; Simons, FER; Sir-Oux, V; Sisul, JC; Skrindo, I; Solé, D; Somekh, D; Sonder-Mann, M; Sooronbaev, T; Sova, M; Sorensen, M; Sorlini, M; Spranger, O; Stellato, C; Stelmach, R; Stukas, R; Sunyer, J; Strozek, J; Szylling, A; Tebyricá, J; Thibaudon, M; To, T; Todo-Bom, A; Tomazic, PV; Toppila-Salmi, S; Trama, U; Triggiani, M; Ulrik, CS; Urrutia-Pereira, M; Valenta, R; Valero, A; Valiulis, A; Valovirta, E; Van Eerd, M; Van Ganse, E; Van Hague, M; Vandenplas, O; Ventura, MT; Vezzani, G; Vasankari, T; Vatrella, A; Verissimo, MT; Viart, F; Viegi, G; Vicheva, D; Vontetsianos, T; Wagenmann, M; Walker, S; Wallace, D; Wang, DY; Waserman, S; Werfel, T; Westman, M; Wickman, M; Williams, DM; Williams, S; Wilson, N; Wright, J; Wroczynski, P; Yakovliev, P; Yawn, BP; Yiallouros, PK; Yorgancioglu, A; Yusuf, OM; Zar, HJ; Zhang, L; Zhong, N; Zernotti, ME; Zhanat, I; Zidarn, M; Zuberbier, T; Zubrinich, C; Zurkuhlen, A</t>
  </si>
  <si>
    <t>Menditto, Enrica; Costa, Elisio; Midao, Luis; Bosnic-Anticevich, Sinthia; Novellino, Ettore; Bialek, Slawomir; Briedis, Vitalis; Mair, Alpana; Rajabian-Soderlund, Rojin; Arnavielhe, Sylvie; Bedbrook, Anna; Czarlewski, Wienczyslawa; Annesi-Maesano, Isabella; Anto, Josep M.; Devillier, Philippe; De Vries, Govert; Keil, Thomas; Sheikh, Aziz; Orlando, Valentina; Larenas-Linnemann, Desiree; Cecchi, Lorenzo; De Feo, Giulia; Illario, M.; Stellato, Cristiana; Fonseca, Joao; Malva, Joao; Morais-Almeida, Mario; Pereira, Ana Maria; Todo-Bom, Ana Maria; Kvedariene, Violeta; Valiulis, Arunas; Bergmann, Karl Christian; Klimek, Ludger; Moesges, Ralph; Pfaar, Oliver; Zuberbier, Torsten; Cardona, Vicky; Mullol, Joaquim; Papadopoulos, Nikos G.; Prokopakis, Emmanuel P.; Bewick, Mike; Ryan, Dermot; Roller-Wirnsberger, Regina E.; Tomazic, Peter Valentin; Cruz, Alvaro A.; Kuna, Piotr; Samolinski, Boleslaw; Fokkens, Wytske J.; Reitsma, Sietze; Bosse, Isabelle; Fontaine, Jean-Francois; Laune, Daniel; Haahtela, Tari; Toppila-Salmi, Sanna; Bachert, Claus; Hellings, Peter W.; Melen, Erik; Wickman, Magnus; Bindslev-Jensen, Carsten; Eller, Esben; O'Hehir, Robyn E.; Cingi, Cemal; Gemicioglu, Bilun; Kalayci, Omer; Ivancevich, Juan Carlos; Bousquet, Jean; Bousquet, J.; Hellings, P. W.; Aberer, W.; Agache, I.; Akdis, C. A.; Akdis, M.; Aliberti, M. R.; Almeida, R.; Amat, F.; Angles, R.; Annesi-Maesano, I.; Ansotegui, I. J.; Anto, J. M.; Arnavielle, S.; Asayag, E.; Asarnoj, A.; Arshad, H.; Avolio, F.; Bacci, E.; Bachert, C.; Baiar-Dini, I.; Barbara, C.; Barbagallo, M.; Baroni, I.; Barreto, B. A.; Basagana, X.; Bateman, E. D.; Bedolla-Barajas, M.; Bedbrook, A.; Bewick, M.; Beghe, B.; Bel, E. H.; Bergmann, K. C.; Bennoor, K. S.; Benson, M.; Bertorello, L.; Bialoszewski, A. Z.; Bieber, T.; Bialek, S.; Bindslev-Jensen, C.; Bjermer, L.; Blain, H.; Blasi, F.; Blua, A.; Marciniak, M. Bochenska; Bogus-Buczynska, I.; Boner, A. L.; Bonini, M.; Bonini, S.; Bosnic-Anticevich, C. S.; Bosse, I.; Bouchard, J.; Boulet, L. P.; Bourret, R.; Bousquet, Pj; Braido, F.; Briedis, V.; Brightling, C. E.; Brozek, J.; Bucca, C.; Buhl, R.; Buonaiuto, R.; Panaitescu, C.; Cabanas, M. T. Burguete; Burte, E.; Bush, A.; Caballero-Fonseca, F.; Caillaud, D.; Caimmi, D.; Calderon, M. A.; Camargos, P. A. M.; Camuzat, T.; Canfora, G.; Canonica, G. W.; Cardona, V.; Carlsen, K. H.; Carreiro-Martins, P.; Carriazo, A. M.; Carr, W.; Cartier, C.; Casale, T.; Castellano, G.; Cecchi, L.; Cepeda, A. M.; Chavannes, N. H.; Chen, Y.; Chiron, R.; Chivato, T.; Chkhartishvili, E.; Chuchalin, A. G.; Chung, K. F.; Ciaravolo, M. M.; Ciceran, A.; Cingi, C.; Ciprandi, G.; Coehlo, A. C. Carvalho; Colas, L.; Colgan, E.; Coll, J.; Conforti, D.; De Sousa, J. Correia; Cortes-Grimaldo, R. M.; Corti, F.; Costa, E.; Mc Costa-Dominguez; Al Courbis, F.; Cox, L.; Crescenzo, M.; Cruz, A. A.; Custovic, A.; Czarlewski, W.; Dahlen, S. E.; D'Amato; Dario, C.; da Silva, J.; Dauvilliers, Y.; Darsow, U.; De Blay, F.; De Carlo, G.; Dedeu, T.; Emerson, M. De Fatima; De Feo, G.; De Vries, G.; De Martino, B.; Rubina, N. P. Motta; Deleanu, D.; Demoly, P.; Denburg, Ja; Devillier, P.; Ercolano, S. Di Capua; Di Carluccio, N.; Didier, A.; Dokic, D.; Dominguez-Silva, M. G.; Douagui, H.; Dray, G.; Dubakiene, R.; Durham, S. R.; Du Toit, G.; Dykewicz, M. S.; El-Gamal, Y.; Eklund, P.; Eller, E.; Emuzyte, R.; Farrell, J.; Farsi, A.; De Mello, J. Ferreira, Jr.; Ferrero, J.; Fink-Wagner, A.; Fiocchi, A.; Fok-Kens, W. J.; Fonseca, Ja; Fontaine, J. F.; Forti, S.; Fuentes-Perez, J. M.; Galvez-Romero, J. L.; Gamkrelidze, A.; Garcia-Aymerich, J.; Garcia-Cobas, C. Y.; Garcia-Cruz, M. H.; Gemicioglu, B.; Genova, S.; Christoff, G.; Gereda, J. E.; Van Wijk, R. Gerth; Gomez, R. M.; Gomez-Vera, J.; Diaz, S. Gonzalez; Gotua, M.; Grisle, I.; Guidacci, M.; Guldemond, Na; Gutter, Z.; Guzman, Ma; Haahtela, T.; Hajjam, J.; Hernandez, L.; Houri-Hane, JO'B; Huerta-Villalobos, Y. R.; Humbert, M.; Iaccarino, G.; Illario, M.; Ispayeva, Z.; Ivancevich, J. C.; Jares, Ej; Jassem, E.; Johnston, S. L.; Joos, G.; Jung, K. S.; Just, J.; Jutel, M.; Kaidashev, I.; Kalayci, O.; Kalyoncu, A. F.; Karjalainen, J.; Kardas, P.; Keil, T.; Keith, P. K.; Khaitov, M.; Khaltaev, N.; Kleine-Tebbe, J.; Klimek, L.; Kowalski, M. L.; Kuitunen, M.; Kull, I.; Kuna, P.; Kupczyk, M.; Kvedariene, V.; Krzych-Falta, E.; Lacwik, P.; Larenas-Linnemann, D.; Laune, D.; Lauri, D.; Lavrut, J.; Le, L. T. T.; Lessa, M.; Levato, G.; Li, J.; Lieberman, P.; Liplec, A.; Lipworth, B.; Carlsen, K. C. Lodrup; Louis, R.; Lourenco, O.; Luna-Pech, J. A.; Magnan, A.; Mahboub, B.; Maier, D.; Mair, A.; Majer, I.; Malva, J.; Mandajieva, E.; Manning, P.; Keenoy, E. De Manuel; Marshall, G. D.; Masjedi, M. R.; Maspero, J. F.; Mathieu-Dupas, E.; Campos, J. J. Matta; Al Matos; Maurer, M.; Mavale-Manuel, S.; Mayora, O.; Medina-Avalos, M. A.; Melen, E.; Melo-Gomes, E.; Meltzer, Eo; Menditto, E.; Mercier, J.; Miculinic, N.; Mihaltan, F.; Milenkovic, B.; Moda, G.; Mogica-Martinez, M. D.; Mohammad, Y.; Momas, I.; Monte-Fort, S.; Monti, R.; Bogado, D. Mora; Morais-Almeida, M.; Morato-Castro; Mosges, R.; Mota-Pinto, A.; Santo, P. Moura; Mullol, J.; Munter, L.; Muraro, A.; Murray, R.; Naclerio, R.; Nadif, R.; Nalin, M.; Napoli, L.; Namazova-Baranova, L.; Neffen, H.; Niedeberger, V.; Nekam, K.; Neou, A.; Nieto, A.; Nogueira-Silva, L.; Nogues, M.; Novellino, E.; Nyembue, Td; O'Hehir, Re; Odzhakova, C.; Ohta, K.; Okamoto, Y.; Okubo, K.; Onorato, G. L.; Cisneros, M. Ortega; Ouedraogo, S.; Pali-Scholl, I.; Palkonen, S.; Panzner, P.; Papadopoulos, N. G.; Park, H. S.; Papi, A.; Passalacqua, G.; Paulino, E.; Pawankar, R.; Pedersen, S.; Pepin, J. L.; Pereira, A. M.; Persico, M.; Pfaar, O.; Phillips, J.; Picard, R.; Pigearias, B.; Pin, I.; Pitsios, C.; Plavec, D.; Pohl, W.; Popov, T. A.; Portejoie, F.; Potter, P.; Pozzi, A. C.; Price, D.; Prokopakis, E. P.; Puy, R.; Pugin, B.; Ross, R. E. Pulido; Przemecka, M.; Rabe, K. F.; Raciborski, F.; Raja-Bian-Soderlund, R.; Reitsma, S.; Ribeirinho, I.; Rimmer, J.; Riv-Ero-Yeverino, D.; Rizzo, J. A.; Rizzo, M. C.; Robalo-Cordeiro, C.; Rodenas, F.; Rodo, X.; Gonzalez, M. Rodriguez; Rodriguez-Manas, L.; Rolland, C.; Valle, S. Rodrigues; Rodriguez, M. Roman; Romano, A.; Rodriguez-Zagal, E.; Rolla, G.; Roller-Wirnsberger, R. E.; Romano, M.; Rosado-Pinto, J.; Rosario, N.; Rottem, M.; Ryan, D.; Sagara, H.; Salimaki, J.; Samolinski, B.; Sanchez-Borges, M.; Sastre-Dominguez, J.; Scadding, G. K.; Schunemann, H. J.; Scichilone, N.; Schmid-Grendelmeier, P.; Serpa, F. S.; Shamai, S.; Sheikh, A.; Sierra, M.; Simons, F. E. R.; Sir-Oux, V.; Sisul, J. C.; Skrindo, I.; Sole, D.; Somekh, D.; Sonder-Mann, M.; Sooronbaev, T.; Sova, M.; Sorensen, M.; Sorlini, M.; Spranger, O.; Stellato, C.; Stelmach, R.; Stukas, R.; Sunyer, J.; Strozek, J.; Szylling, A.; Tebyrica, Jn; Thibaudon, M.; To, T.; Todo-Bom, A.; Tomazic, P. V.; Toppila-Salmi, S.; Trama, U.; Triggiani, M.; Ulrik, C. Suppli; Urrutia-Pereira, M.; Valenta, R.; Valero, A.; Valiulis, A.; Valovirta, E.; Van Eerd, M.; Van Ganse, E.; Van Hague, M.; Vandenplas, O.; Ventura, M. T.; Vezzani, G.; Vasankari, T.; Vatrella, A.; Verissimo, M. T.; Viart, F.; Viegi, G.; Vicheva, D.; Vontetsianos, T.; Wagenmann, M.; Walker, S.; Wallace, D.; Wang, D. Y.; Waserman, S.; Werfel, T.; Westman, M.; Wickman, M.; Williams, D. M.; Williams, S.; Wilson, N.; Wright, J.; Wroczynski, P.; Yakovliev, P.; Yawn, B. P.; Yiallouros, P. K.; Yorgancioglu, A.; Yusuf, O. M.; Zar, H. J.; Zhang, L.; Zhong, N.; Zernotti, M. E.; Zhanat, I.; Zidarn, M.; Zuberbier, T.; Zubrinich, C.; Zurkuhlen, A.</t>
  </si>
  <si>
    <t>MASK Grp</t>
  </si>
  <si>
    <t>Adherence to treatment in allergic rhinitis using mobile technology. The MASK Study</t>
  </si>
  <si>
    <t>CLINICAL AND EXPERIMENTAL ALLERGY</t>
  </si>
  <si>
    <t>adherence; mHealth; mobile technology; observational study; rhinitis; treatment</t>
  </si>
  <si>
    <t>CONTROLLER MEDICATION; K-ANONYMITY; ASTHMA; PERSISTENCE; VALIDATION; THERAPY; DISEASE; TRIAL</t>
  </si>
  <si>
    <t>Background: Mobile technology may help to better understand the adherence to treatment. MASK-rhinitis (Mobile Airways Sentinel NetworK for allergic rhinitis) is a patient-centred ICT system. A mobile phone app (the Allergy Diary) central to MASK is available in 22 countries. Objectives: To assess the adherence to treatment in allergic rhinitis patients using the Allergy Diary App. Methods: An observational cross-sectional study was carried out on all users who filled in the Allergy Diary from 1 January 2016 to 1 August 2017. Secondary adherence was assessed by using the modified Medication Possession Ratio (MPR) and the Proportion of days covered (PDC) approach. Results: A total of 12143 users were registered. A total of 6949 users reported at least one VAS data recording. Among them, 1887 users reported &gt;= 7 VAS data. About 1195 subjects were included in the analysis of adherence. One hundred and thirty-six (11.28%) users were adherent (MPR &gt;= 70% and PDC &lt;= 1.25), 51 (4.23%) were partly adherent (MPR &gt;= 70% and PDC = 1.50) and 176 (14.60%) were switchers. On the other hand, 832 (69.05%) users were non-adherent to medications (MPR &lt;70%). Of those, the largest group was non-adherent to medications and the time interval was increased in 442 (36.68%) users. Conclusion and clinical relevance: Adherence to treatment is low. The relative efficacy of continuous vs on-demand treatment for allergic rhinitis symptoms is still a matter of debate. This study shows an approach for measuring retrospective adherence based on a mobile app. This also represents a novel approach for analysing medication-taking behaviour in a real-world setting.</t>
  </si>
  <si>
    <t xml:space="preserve">[Menditto, Enrica; Orlando, Valentina] Univ Naples Federico II, CIRFF, Ctr Pharmacoecon, Naples, Italy; [Costa, Elisio; Midao, Luis] Univ Porto, UCIBIO, REQUIMTE, Fac Pharm,Porto4Ageing, Porto, Portugal; [Costa, Elisio; Midao, Luis] Univ Porto, Porto4Ageing, Competence Ctr Act &amp; Hlth Ageing, Porto, Portugal; [Bosnic-Anticevich, Sinthia] Univ Sydney, Woolcock Emphysema Ctr, Woolcock Inst Med Res, Glebe, NSW, Australia; [Bosnic-Anticevich, Sinthia] Sydney Local Hlth Dist, Glebe, NSW, Australia; [Novellino, Ettore] Univ Naples Federico II, Naples, Italy; [Bialek, Slawomir] Warsaw Med Univ, Dept Biochem &amp; Clin Chem, Fac Pharm, Div Lab Med, Warsaw, Poland; [Briedis, Vitalis] Lithuanian Univ Hlth Sci, Kaunas, Lithuania; [Mair, Alpana] Scottish Govt, DG Hlth &amp; Social Care, Edinburgh, Midlothian, Scotland; [Rajabian-Soderlund, Rojin] Karolinska Univ Hosp, Dept Nephrol &amp; Endocrinol, Stockholm, Sweden; [Arnavielhe, Sylvie; Laune, Daniel] KYomed INNOV, Montpellier, France; [Bedbrook, Anna; Bousquet, Jean] Fdn Partenariale FMC VIA LR, MACVIA France, Montpellier, France; [Czarlewski, Wienczyslawa] Med Consulting Czarlewski, Levallois Perret, France; [Annesi-Maesano, Isabella] INSERM, Epidemiol Allerg &amp; Resp Dis, Dept Inst Pierre Louis Epidemiol &amp; Publ Hlth, Paris, France; [Annesi-Maesano, Isabella] Sorbonne Univ, Med Sch St Antoine, Paris, France; [Anto, Josep M.] ISGlobAL, Ctr Res Environm Epidemiol CREAL, Barcelona, Spain; [Anto, Josep M.] Hosp Mar Res Inst, IMIM, Barcelona, Spain; [Anto, Josep M.] CIBERESP, Barcelona, Spain; [Anto, Josep M.] UPF, Barcelona, Spain; [Devillier, Philippe] Hop Foch, Lab Pharmacol Resp UPRES EA220, Suresnes, France; [Devillier, Philippe] Univ Paris Saclay, Univ Versailles St Quentin, Paris, France; [De Vries, Govert] Peercode BV, Geldermalsen, Netherlands; [Keil, Thomas] Charite Univ Med Berlin, Inst Social Med Epidemiol &amp; Hlth Econ, Berlin, Germany; [Keil, Thomas] Univ Wurzburg, Inst Clin Epidemiol &amp; Biometry, Wurzburg, Germany; [Sheikh, Aziz] Univ Edinburgh, Usher Inst Populat Hlth Sci &amp; Informat, Edinburgh, Midlothian, Scotland; [Larenas-Linnemann, Desiree] Med Clin Fdn &amp; Hosp, Ctr Excellence Asthma &amp; Allergy, Mexico City, DF, Mexico; [Cecchi, Lorenzo] USL Toscana Ctr, SOS Allergol &amp; Clin Immunol, Prato, Italy; [De Feo, Giulia; Stellato, Cristiana] Univ Salerno, Dept Med Surg &amp; Dent, Scuola Med Salernitana, Salerno, Italy; [Illario, M.] Campania Reg &amp; Federico II Univ Hosp Naples, R&amp;D &amp; DISMET, Div Hlth Innovat, Naples, Italy; [Fonseca, Joao] Univ Porto, Fac Med, CINTESIS, Ctr Res Hlth Technol &amp; Informat Syst, Porto, Portugal; [Fonseca, Joao] MEDIDA Lda, Porto, Portugal; [Malva, Joao] Univ Coimbra, Fac Med, Coimbra Inst Clin &amp; Biomed Res iCBR, Coimbra, Portugal; [Malva, Joao] Ageing Coimbra EIP AHA Reference Site, Coimbra, Portugal; [Morais-Almeida, Mario] CUF Descobertas Hosp, Allergy Ctr, Lisbon, Portugal; [Pereira, Ana Maria] CUF Porto Hosp &amp; Inst, Allergy Unit, Porto, Portugal; [Pereira, Ana Maria] Univ Porto, Ctr Res Hlth Technol &amp; Informat Syst CINTESIS, Porto, Portugal; [Todo-Bom, Ana Maria] Ctr Hosp Univ Coimbra, Imunoalergol, Coimbra, Portugal; [Todo-Bom, Ana Maria] Univ Coimbra, Fac Med, Coimbra, Portugal; [Kvedariene, Violeta] Vilnius Univ, Fac Med, Vilnius, Lithuania; [Valiulis, Arunas] Vilnius Univ, Dept Publ Hlth, Clin Childrens Dis, Inst Clin Med, Vilnius, Lithuania; [Valiulis, Arunas] Vilnius Univ, Inst Hlth Sci, Inst Clin Med, Vilnius, Lithuania; [Valiulis, Arunas] European Acad Paediat EAP UEMS SP, Brussels, Belgium; [Bergmann, Karl Christian; Zuberbier, Torsten] Humboldt Univ, Charite Univ Med Berlin, Berlin, Germany; [Bergmann, Karl Christian; Zuberbier, Torsten] Berlin Inst Hlth, Dept Dermatol &amp; Allergy, Comprehens Allergy Ctr, Berlin, Germany; [Klimek, Ludger] Euforea, Brussels, Belgium; [Moesges, Ralph] Univ Cologne, Med Fac, Inst Med Stat &amp; Computat Biol, Cologne, Germany; [Moesges, Ralph] CRI Clin Res Int Ltd, Hamburg, Germany; [Pfaar, Oliver] Phillipps Univ Marburg, Dept Otorhinolaryngol Head &amp; Neck Surg, Sect Rhinol &amp; Allergy, Univ Hosp Marburg, Marburg, Germany; [Cardona, Vicky] Hosp Valle De Hebron, Allergy Sect, Dept Internal Med, Barcelona, Spain; [Cardona, Vicky] ARADyAL Spanish Res Network, Barcelona, Spain; [Mullol, Joaquim] Hosp Clin Barcelona, Rhinol Unit, Barcelona, Spain; [Mullol, Joaquim] Hosp Clin Barcelona, Smell Clin, ENT Dept, Barcelona, Spain; [Mullol, Joaquim] Univ Barcelona, Clin &amp; Expt Resp Immunoallergy, IDIBAPS, CIBERES, Barcelona, Spain; [Papadopoulos, Nikos G.] Univ Manchester, Div Infect Immun &amp; Resp Med, Royal Manchester Childrens Hosp, Manchester, Lancs, England; [Papadopoulos, Nikos G.] Univ Athens, Allergy Dept, Pediat Clin 2, Athens Gen Childrens Hosp P&amp;A Kyriakou, Athens, Greece; [Prokopakis, Emmanuel P.] Univ Crete, Dept Otorhinolaryngol, Sch Med, Iraklion, Greece; [Bewick, Mike] IQ4U Consultants Ltd, London, England; [Ryan, Dermot] Univ Edinburgh, Allergy &amp; Resp Res Grp, Edinburgh, Midlothian, Scotland; [Roller-Wirnsberger, Regina E.] Med Univ Graz, Dept Internal Med, Graz, Austria; [Tomazic, Peter Valentin] Med Univ Graz, Dept ENT, Graz, Austria; [Cruz, Alvaro A.] Univ Fed Bahia, ProAR Nucleo Excelencia Asma, Salvador, BA, Brazil; [Cruz, Alvaro A.] WHO GARD Planning Grp, Salvador, BA, Brazil; [Kuna, Piotr] Med Univ Lodz, Div Internal Med Asthma &amp; Allergy, Barlicki Univ Hosp, Lodz, Poland; [Samolinski, Boleslaw] Med Univ Warsaw, Dept Prevent Envinronm Hazards &amp; Allergol, Warsaw, Poland; [Haahtela, Tari; Toppila-Salmi, Sanna] Helsinki Univ Hosp, Skin &amp; Allergy Hosp, Helsinki, Finland; [Haahtela, Tari; Toppila-Salmi, Sanna] Univ Helsinki, Helsinki, Finland; [Bachert, Claus] Ghent Univ Hosp, Upper Airways Res Lab, ENT Dept, Ghent, Belgium; [Hellings, Peter W.] Univ Hosp Leuven, Dept Otorhinolaryngol, Leuven, Belgium; [Hellings, Peter W.] Univ Amsterdam, Academ Med Ctr, Amsterdam, Netherlands; [Hellings, Peter W.; Bousquet, Jean] Euforea, Brussels, Belgium; [Melen, Erik] Sachs Children &amp; Youth Hosp, Sodersjukhuset, Stockholm, Sweden; [Melen, Erik] Karolinska Inst, Inst Environm Med, Stockholm, Sweden; [Wickman, Magnus] Uppsala Univ, Ctr Clin Res Sormland, Eskilstuna, Sweden; [Bindslev-Jensen, Carsten; Eller, Esben; Bindslev-Jensen, C.; Eller, E.] Odense Univ Hosp, Dept Dermatol, ORCA, Odense, Denmark; [Bindslev-Jensen, Carsten; Eller, Esben; Bindslev-Jensen, C.; Eller, E.] Odense Univ Hosp, Allergy Ctr, ORCA, Odense, Denmark; [O'Hehir, Robyn E.] Monash Univ, Dept Allergy Immunol &amp; Resp Med, Alfred Hosp, Melbourne, Vic, Australia; [O'Hehir, Robyn E.] Monash Univ, Cent Clin Sch, Melbourne, Vic, Australia; [O'Hehir, Robyn E.] Monash Univ, Dept Immunol, Melbourne, Vic, Australia; [Cingi, Cemal] Eskisehir Osmangazi Univ, ENT Dept, Med Fac, Eskisehir, Turkey; [Gemicioglu, Bilun] Istanbul Univ, Dept Pulm Dis, Cerrahpasa Fac Med, Istanbul, Turkey; [Kalayci, Omer] Hacettepe Univ, Pediat Allergy &amp; Asthma Unit, Sch Med, Ankara, Turkey; [Ivancevich, Juan Carlos] Clin Santa Isabel, Serv Alergia &amp; Immunol, Buenos Aires, DF, Argentina; [Bousquet, Jean] VIMA Ageing &amp; Chron Dis Epidemiol &amp; Publ Hlth App, INSERM U 1168, Villejuif, France; [Bousquet, Jean] Univ Versailles St Quentin En Yvelines, UMR S 1168, Montigny Le Bretonneux, France; [Bousquet, J.] Univ Hosp, Montpellier, France; [Bousquet, J.; Bedbrook, A.; Nogues, M.; Onorato, G. L.; Portejoie, F.] Fdn Partenariale FMC VIA LR, MACVIA France, Montpellier, France; [Bousquet, J.; Burte, E.; Nadif, R.] VIMA Ageing &amp; Chron Dis Epidemiol &amp; Publ Hlth App, VIMA INSERM U 1168, Villejuif, France; [Bousquet, J.; Burte, E.; Nadif, R.] Univ Versailles St Quentin En Yvelines, UMR S 1168, Montigny Le Bretonneux, France; [Bousquet, J.; Burte, E.; Nadif, R.] Euforea, Brussels, Belgium; [Hellings, P. W.] Katholieke Univ Leuven, Lab Clin Immunol, Dept Microbiol &amp; Immunol, Leuven, Belgium; [Aberer, W.] Med Univ Graz, Dept Dermatol, Graz, Austria; [Agache, I.] Transylvania Univ Brasov, Brasov, Romania; [Akdis, C. A.; Akdis, M.] Univ Zurich, Swiss Inst Allergy &amp; Asthma Res SIAF, Davos, Switzerland; [Aliberti, M. R.] Council Municipal Salerno, Salerno, Italy; [Almeida, R.] Univ Porto, Ctr Hlth Technol &amp; Serv Res CINT ESIS, Fac Med, Porto, Portugal; [Almeida, R.] Medida Lda, Porto, Portugal; [Amat, F.; Just, J.] Hop Enfants Armand Trousseau, Allergol Dept, AP HP, Ctr Asthme &amp; Allergies, Paris, France; [Amat, F.; Just, J.] UPMC Univ Paris 06, Sorbonne Univ, UMR S 1136, Inst Pierre Louis Epidemiol &amp; Sante Publ,Equipe E, Paris, France; [Angles, R.] Salud Sect Sanitario Barbastro, Innovac &amp; Nuevas Tecnol, Barbastro, Spain; [Annesi-Maesano, I.; Bousquet, Pj; Demoly, P.] INSERM, Epidemiol Allerg &amp; Resp Dis, Dept Inst Pierre Louis Epidemiol &amp; Publ Hlth, Paris, France; [Annesi-Maesano, I.; Bousquet, Pj; Demoly, P.] Sorbonne Univ, Med Sch St Antoine, Paris, France; [Ansotegui, I. J.] Hosp Quiron Bizkaia, Dept Allergy &amp; Immunol, Erandio, Spain; [Anto, J. M.; Basagana, X.; Rodo, X.; Sunyer, J.] ISGlobal, ICREA &amp; Climate &amp; Hlth CLIMA Program, Barcelona, Spain; [Anto, J. M.; Sunyer, J.] Hosp Mar, IMIM, Res Inst, Barcelona, Spain; [Anto, J. M.; Sunyer, J.] CIBER Epidemiol &amp; Salud Publ CIBERESP, Barcelona, Spain; [Anto, J. M.; Sunyer, J.] UPF, Barcelona, Spain; [Arnavielle, S.; Laune, D.; Mathieu-Dupas, E.] KYomed INNOV, Montpellier, France; [Asayag, E.] Argentine Soc Allergy &amp; Immunopathol, Buenos Aires, DF, Argentina; [Asarnoj, A.] Karolinska Inst, Clin Immunol &amp; Allergy Unit, Dept Med Solna, Stockholm, Sweden; [Asarnoj, A.] Karolinska Univ Hosp, Astrid Lindgren Childrens Hosp, Dept Pediat Pulmonol &amp; Allergy, Stockholm, Sweden; [Arshad, H.] David Hide Asthma &amp; Allergy Res Ctr, Isle Of Wight, England; [Bachert, C.] Ghent Univ Hosp, Upper Airways Res Lab, ENT Dept, Ghent, Belgium; [Baiar-Dini, I.; Braido, F.; Canonica, G. W.] Univ Genoa, Allergy &amp; Resp Dis, Osped Policlin San Martino, Genoa, Italy; [Barbara, C.; Melo-Gomes, E.] Fac Med Lisbon, PNDR, Portuguese Natl Programme Resp Dis, Lisbon, Portugal; [Barbagallo, M.] Univ Palermo, Geriatr Unit, Dept Internal Med DIBIMIS, Palermo, Italy; [Baroni, I.; Nalin, M.; Romano, M.] Telbios SRL, Milan, Italy; [Barreto, B. A.] Univ Estado Para, Belem, Para, Brazil; [Bateman, E. D.] Univ Cape Town, Dept Med, Cape Town, South Africa; [Bedolla-Barajas, M.] Hosp Civil Guadalajara Dr Juan I Menchaca, Guadalajara, Mexico; [Bewick, M.] IQ4U Consultants Ltd, London, England; [Beghe, B.] Univ Modena &amp; Reggio Emilia, Sect Resp Dis, Dept Oncol Haematol &amp; Resp Dis, Modena, Italy; [Bel, E. H.] Univ Amsterdam, Dept Resp Med, AMC, Amsterdam, Netherlands; [Bergmann, K. C.; Zuberbier, T.] Charite Univ Med Berlin, Berlin, Germany; [Bergmann, K. C.; Zuberbier, T.] Free Univ Berlin, Berlin, Germany; [Bergmann, K. C.; Zuberbier, T.] Humboldt Univ, Berlin, Germany; [Bergmann, K. C.; Zuberbier, T.] Global Allergy &amp; Asthma European Network GA2LEN, Berlin Inst Hlth, Comprehens Allergy Ctr, Dept Dermatol &amp; Allergy, Berlin, Germany; [Bennoor, K. S.] Natl Inst Dis Chest &amp; Hosp, Dept Resp Med, Dhaka, Bangladesh; [Benson, M.] Ctr Individualized Med, Dept Pediat, Fac Med, Linkoping, Sweden; [Bialoszewski, A. Z.] Med Univ Warsaw, Dept Prevent Environm Hazards &amp; Allergol, Warsaw, Poland; [Bieber, T.] Rhein Friedrich Wilhelms Univ Bonn, BIEBER, Dept Dermatol &amp; Allergy, Bonn, Germany; [Bialek, S.; Wroczynski, P.] Warsaw Med Univ, Dept Biochem &amp; Clin Chem, Univ Pharm, Div Lab Med, Warsaw, Poland; [Bjermer, L.] Univ Hosp, Dept Resp Med &amp; Allergol, Lund, Sweden; [Blain, H.] Montpellier Univ Hosp, Dept Geriatr, Montpellier, France; [Blain, H.] Univ Montpellier, EA 2991, Euromov, Montpellier, France; [Blasi, F.] Univ Milan, IRCCS Fdn CaGranda Osped Maggiore Policlin, Dept Pathophysiol &amp; Transplantat, Milan, Italy; [Blua, A.] Argentine Assoc Resp Med, Buenos Aires, DF, Argentina; [Marciniak, M. Bochenska; Bogus-Buczynska, I.; Kuna, P.; Kupczyk, M.; Lacwik, P.; Przemecka, M.] Med Univ Lodz, Div Internal Med Asthma &amp; Allergy, Barlicki Univ Hosp, Lodz, Poland; [Boner, A. L.] Univ Verona Hosp, Pediat Dept, Verona, Italy; [Bonini, M.] Univ Cattolica Sacro Cuore, UOC Pneumol, Ist Med Interna, F Policlin Gemelli IRCCS, Rome, Italy; [Bonini, M.] Royal Brompton Hosp, Natl Heart &amp; Lung Inst, London, England; [Bonini, M.] Imperial Coll London, London, England; [Bonini, S.] Univ Naples 2, Caserta, Italy; [Bonini, S.] Italian Natl Res Council, Inst Translat Med, Rome, Italy; [Bosnic-Anticevich, C. S.] Univ Sydney, Woolcock Inst Med Res, Glebe, NSW, Australia; [Bosnic-Anticevich, C. S.] Woolcock Emphysema Ctr, Glebe, NSW, Australia; [Bosnic-Anticevich, C. S.] Local Hlth Dist, Glebe, NSW, Australia; [Bouchard, J.] Lavals Univ, Clin Med, Quebec City, PQ, Canada; [Bouchard, J.] Hop Malbaie, Med Dept, Quebec City, PQ, Canada; [Boulet, L. P.] Laval Univ, Quebec Heart &amp; Lung Inst, Quebec City, PQ, Canada; [Bourret, R.] Ctr Hosp Valenciennes, Valenciennes, France; [Briedis, V.] Lithuanian Univ Hlth Sci, Dept Clin Pharm, Kaunas, Lithuania; [Brightling, C. E.] Univ Hosp Leicester NHS Trust, Inst Lung Hlth, Resp Biomed Unit, Leicester, Leics, England; [Brightling, C. E.] Univ Leicester, Dept Infect Immun &amp; Inflammat, Leicester, Leics, England; [Brozek, J.; Schunemann, H. J.] McMaster Univ, Dept Hlth Res Methods Evidence &amp; Impact, Div Immunol &amp; Allergy, Dept Med, Hamilton, ON, Canada; [Bucca, C.] Hosp City Hlth &amp; Sci Torino, Univ Pneumol Unit, AOU Molinette, Turin, Italy; [Buhl, R.] Johannes Gutenberg Univ Mainz, Univ Med Johannes Gutenberg, Mainz, Germany; [Buonaiuto, R.] Municipal Pharm, Sarno, Italy; [Panaitescu, C.] Univ Med &amp; Farm Timisoara, Timisoara, Romania; [Cabanas, M. T. Burguete] Hosp Zambrano Hell Tec Monterrey, Inst Pediat, Monterrey, Mexico; [Bush, A.] Imperial Coll London, London, England; [Bush, A.] Royal Brompton Hosp, London, England; [Caballero-Fonseca, F.] Ctr Med Docente LA Trinidad, Caracas, Venezuela; [Di Carluccio, N.] Board Directors Cofaser, Salerno, Italy; [Caillaud, D.] CHU, Serv Pneumol, Clermont Ferrand, France; [Caillaud, D.] Univ Auvergne, Clermont Ferrand, France; [Caimmi, D.; Chiron, R.; Demoly, P.] Montpellier Univ Hosp, Dept Resp Dis, Montpellier, France; [Calderon, M. A.] Imperial Coll London, Natl Heart &amp; Lung Inst, Royal Brompton Hosp NHS, London, England; [Camargos, P. A. M.] Univ Fed Minas Gerais, Med Sch, Dept Pediat, Belo Horizonte, MG, Brazil; [Canfora, G.] Sarno Martiri Villa Malta Hosp, Anesthesiol Serv, Sarno, Italy; [Cardona, V.] Hosp Valle De Hebron, Allergy Sect, Dept Internal Med, Barcelona, Spain; [Cardona, V.] ARADyAL Spanish Res Network, Barcelona, Spain; [Carlsen, K. H.] Oslo Univ Hosp, Dept Paediat, Oslo, Norway; [Carlsen, K. H.] Univ Oslo, Oslo, Norway; [Carreiro-Martins, P.] Integrated Pathophysiol Mech Res Grp, CEDOC, Nova Med Sch, Campo Martires da Patria, Lisbon, Portugal; [Carreiro-Martins, P.] Ctr Hosp Lisboa Cent, Serv Imunoalergol, EPE, Lisbon, Portugal; [Carriazo, A. M.] Reg Minist Hlth Andalusia, Seville, Spain; [Carr, W.] Allergy &amp; Asthma Associates Southern Calif, Mission Viejo, CA USA; [Cartier, C.; Viart, F.] ASA, Clapiers, France; [Casale, T.] Univ S Florida, Div Allergy Immunol, Tampa, FL USA; [Castellano, G.] Celentano Pharm, Massa Lubrense, Italy; [Cecchi, L.; Farsi, A.] USL Toscana Ctr, SOS Allergol &amp; Clin Immunol, Prato, Italy; [Cepeda, A. M.] Metropolitan Univ Hosp, Allergy &amp; Immunol Lab, Branquilla, Colombia; [Chavannes, N. H.] Leiden Univ, Dept Publ Hlth &amp; Primary Care, Med Ctr, Leiden, Netherlands; [Chen, Y.] Capital Inst Pediat, Beijing, Peoples R China; [Chivato, T.] Univ CEU San Pablo, Sch Med, Madrid, Spain; [Chkhartishvili, E.] David Tvildiani Med Univ, AIETI Highest Med Sch, David Tatishvili Med Ctr Tbilisi, Tbilisi, Georgia; [Chuchalin, A. G.] Pulm Res Inst FMBA, Moscow, Russia; [Chuchalin, A. G.] GARD Execut Comm, Moscow, Russia; [Chung, K. F.] Imperial Coll London, Natl Heart &amp; Lung Inst, London, England; [Ciceran, A.] Argentine Federat Otorhinolaryngol Soc, Buenos Aires, DF, Argentina; [Cingi, C.] Eskisehir Osmangazi Univ, Med Fac, ENT Dept, Eskisehir, Turkey; [Ciprandi, G.] IRCCS Azienda Osped Univ San Martino, Med Dept, Genoa, Italy; [Coehlo, A. C. Carvalho] Univ Fed Bahia, Escola Enfermagem, Salvador, BA, Brazil; [Colas, L.; Magnan, A.] CHU Nantes, Plateforme Transversale Allergol, Inst Thorax, Nantes, France; [Colgan, E.; Farrell, J.] LANUA Int Healthcare Consultancy, Newry, North Ireland; [Coll, J.; Sierra, M.] Salud Sect Sanitario Barbastro, Innovac &amp; Nuevas Tecnol, Barbastro, Spain; [Conforti, D.; Forti, S.; Mayora, O.] Innovat &amp; Res Off, Dept Hlth &amp; Social Solidar, Trento, Italy; [De Sousa, J. Correia] Univ Minho, Life &amp; Hlth Sci Res Inst ICVS, Sch Med, Braga, Portugal; [De Sousa, J. Correia] ICVS 3Bs, PT Govt Associate Lab, Braga, Portugal; [Cortes-Grimaldo, R. M.] Hosp Angeles Carmen, Serv Allergol, Guadalajara, Mexico; [Corti, F.] FIMMG, Milan, Italy; [Costa, E.] Univ Porto, UCIBIO, REQUINTE, Fac Pharm,Porto4Ageing, Porto, Portugal; [Costa, E.] Univ Porto, Competence Ctr Active &amp; Hlth Ageing, Porto4Ageing, Porto, Portugal; [Al Courbis, F.; Dray, G.] Unversite Montpellier, IMT Mines Ales, Ales, France; [Cox, L.] Nova Southeastern Univ, Dept Med, Davie, FL USA; [Cox, L.] Univ Miami, Dept Med, Miami, FL USA; [Crescenzo, M.] Board Directors Cofaser, Salerno, Italy; [Cruz, A. A.] Univ Fed Bahia, ProAR Nucleo Excelencia Asma, Salvador, BA, Brazil; [Cruz, A. A.] WHO GARD Planning Grp, Salvador, BA, Brazil; [Custovic, A.] Univ Manchester, Ctr Resp Med &amp; Allergy, Inst Inflammat &amp; Repair, Manchester, Lancs, England; [Custovic, A.] Univ South Manchester Hosp, Manchester, Lancs, England; [Czarlewski, W.] Med Consulting Czarlewski, Levallois Perret, France; [Dahlen, S. E.] Karolinska Inst, Ctr Allergy Res, Inst Environm Med, Stockholm, Sweden; [Dario, C.] APSS Trento, Trento, Italy; [da Silva, J.] Fed Univ Santa Catarina UFSC, Dept Internal Med, Prof Polydoro Ernani Sao Thiago Univ Hosp, Florianopolis, SC, Brazil; [da Silva, J.] Fed Univ Santa Catarina UFSC, Allergy Clin, Prof Polydoro Ernani Sao Thiago Univ Hosp, Florianopolis, SC, Brazil; [Dauvilliers, Y.] Hop Gui de Chauliac Montpellier, Sleep Unit, Dept Neurol, Inserm U1061, Montpellier, France; [Darsow, U.] Tech Univ Munich, Dept Dermatol &amp; Allergy, Munich, Germany; [Darsow, U.] Tech Univ Munich, ZAUM Ctr Allergy &amp; Environm, Helmholtz Ctr Munich, Munich, Germany; [De Blay, F.] Univ Hosp Strasbourg, Allergy Div, Chest Dis Dept, Strasbourg, France; [De Carlo, G.; Palkonen, S.] EFA European Federat Allergy &amp; Airways Dis Patien, Brussels, Belgium; [Dedeu, T.] AQuAS, Barcelna, Spain; [Dedeu, T.] European Reg &amp; Local Hlth Assoc, EUREGHA, Brussels, Belgium; [Emerson, M. De Fatima] Policlin Geral Rio de Janeiro, Rio De Janeiro, Brazil; [De Feo, G.; Stellato, C.; Triggiani, M.; Vatrella, A.] Univ Salerno, Dept Med Surg &amp; Dent, Scuola Med Salernitana, Salerno, Italy; [De Vries, G.; Van Eerd, M.] Peercode BV, Geldermalsen, Netherlands; [Rubina, N. P. Motta] Fed Univ State Rio de Janeiro, Sch Med &amp; Surg, Rio De Janeiro, Brazil; [Deleanu, D.] Iuliu Hatieganu Univ Med &amp; Pharm, Allergol &amp; Immunol Discipline, Cluj Napoca, Romania; [Denburg, Ja] McMaster Univ, Dept Med, Div Clin Immunol &amp; Allergy, Hamilton, ON, Canada; [Devillier, P.] Hop Foch, Lab Pharmacol Resp UPRES EA220, Suresnes, France; [Devillier, P.] Univ Paris Saclay, Univ Versailles St Quentin, Paris, France; [Ercolano, S. Di Capua] Farm Dei Golfi Grp, Massa Lubrense, Italy; [Didier, A.] Rangueil Larrey Hosp, Resp Dis Dept, Toulouse, France; [Dokic, D.] Univ Clin Pulmol &amp; Allergy, Med Fac, Skopje, North Macedonia; [Douagui, H.] Ctr Hosp Univ Beni Messous, Serv Pneumoallergol, Algiers, Algeria; [Dubakiene, R.] Vilnius Univ, Clin Infect Chest Dis Dermatol &amp; Allergol, Vilnius, Lithuania; [Durham, S. R.] Imperial Coll London, Allergy &amp; Clin Immunol Natl Heart &amp; Lung Inst, London, England; [Du Toit, G.] Kings Coll London, Guys &amp; st Thomas NHS Trust, London, England; [Dykewicz, M. S.] St Louis Univ, Sect Allergy &amp; Immunol, Sch Med, St Louis, MO USA; [El-Gamal, Y.] Ain Shams Univ, Pediat Allergy &amp; Immunol Unit, Childrens Hosp, Cairo, Egypt; [Eklund, P.] Umea Univ, Dept Comp Sci, Umea, Sweden; [Eklund, P.] Four Comp Oy, Salo, Finland; [Emuzyte, R.] Vilnius Univ, Clin Childrens Dis, Fac Med, Vilnius, Lithuania; [De Mello, J. Ferreira, Jr.] Univ Sao Paulo, Med Sch, Sao Paulo, Brazil; [Ferrero, J.] Andalusian Agcy Healthcare Qual, Seville, Spain; [Fink-Wagner, A.; Spranger, O.] Global Allergy &amp; Asthma Platform GAAPP, Vienna, Austria; [Fiocchi, A.] Bambino Gesu Childrens Res Hosp Holy See, Div Allergy, Dept Pediat Med, Rome, Italy; [Fokkens, Wytske J.; Reitsma, Sietze; Fok-Kens, W. J.; Reitsma, S.] Acad Med Ctr, Dept Otorhinolaryngol, Amsterdam, Netherlands; [Fonseca, Ja] Univ Porto, CINTESIS, Ctr Res Hlth Technol &amp; Informat Syst, Fac Med, Porto, Portugal; [Fonseca, Ja] MEDIDA Lda, Porto, Portugal; [Fuentes-Perez, J. M.] Hosp Gen Reg 1 Dr Carlos Mc Gregor Sanchez Navarr, Mexico City, DF, Mexico; [Galvez-Romero, J. L.] Reg Hosp ISSSTE, Puebla, Mexico; [Gamkrelidze, A.] Natl Ctr Dis Control &amp; Publ Hlth Georgia, Tbilisi, Georgia; [Garcia-Cruz, M. H.] Natl Inst Resp Dis, Allergy Clin, Mexico City, DF, Mexico; [Garcia-Aymerich, J.] Istanbul Univ, Dept Pulm Dis, Cerrahpasa, Cerrahpasa Fac Med, Istanbul, Turkey; [Garcia-Cobas, C. Y.; Genova, S.] UHATEM NIPirogov, Allergol Unit, Sofia, Bulgaria; [Garcia-Cruz, M. H.; Christoff, G.] Med Univ, Fac Publ Hlth, Sofia, Bulgaria; [Gemicioglu, B.; Gereda, J. E.] Clin Ricardo Palma, Allergy &amp; Immunol Div, Lima, Peru; [Van Wijk, R. Gerth] Erasmus MC, Dept Internal Med, Sect Allergol, Rotterdam, Netherlands; [Gomez, R. M.] Hosp San Bernardo Salta, Allergy &amp; Asthma Unit, Salta, Argentina; [Gomez-Vera, J.] Hosp Reg ISSSTE Lic Lopez Mateos, Allergy Clin, Mexico City, DF, Mexico; [Diaz, S. Gonzalez] Univ Autonoma Nuevo Leon, Ctr Reg Excelencia CONACYT &amp; WAO Alergia, Asma &amp; Inmunol, Hosp Univ, Monterrey, NL, Mexico; [Gotua, M.] Georgian Assoc Allergol &amp; Clin Immunol, Ctr Allergy &amp; Immunol, Tbilisi, Georgia; [Grisle, I.] Latvian Assoc Allergists, Ctr TB &amp; Lung Dis, Riga, Latvia; [Guidacci, M.] Fed Dist Base Hosp Inst, Brasilia, DF, Brazil; [Guldemond, Na] Erasmus Univ, Inst Hlth Policy &amp; Management iBMG, Rotterdam, Netherlands; [Gutter, Z.] Univ Hosp Olomouc, Natl eHlth Ctr, Olomouc, Czech Republic; [Guzman, Ma] Univ Chile, Immunol &amp; Allergy Div, Clin Hosp, Santiago, Chile; [Haahtela, T.; Toppila-Salmi, S.] Helsinki Univ Hosp, Skin &amp; Allergy Hosp, Helsinki, Finland; [Haahtela, T.; Toppila-Salmi, S.] Univ Helsinki, Helsinki, Finland; [Hajjam, J.] Centich Ctr Expertise Natl Technol Informat &amp; Com, Gerontopole Auton Longevite Pays Loire, Conseil Reg Pays Loire, Ctr Expertise Partenariat Europeen Innovat Vieill, Nantes, France; [Hernandez, L.] Autonomous Univ Baja California, Ensenada, Baja California, Mexico; [Houri-Hane, JO'B] Univ Coll Cork, Dept Paediat &amp; Child Hlth, Cork, Ireland; [Huerta-Villalobos, Y. R.] Hosp Gen Reg 1 Dr Carlos MacGregor Sanchez Navarr, Mexico City, DF, Mexico; [Humbert, M.] Univ Paris Sud, Le Kremlin Bicetre, France; [Humbert, M.] Hop Bicetre, Serv Pneumol, Le Kremlin Bicetre, France; [Humbert, M.] Inserm UMR S999, Le Kremlin Bicetre, France; [Iaccarino, G.] Univ Salerno, Dipartimento Med Chirurg &amp; Odontoiatria, Salerno, Italy; [Illario, M.] Campania Reg &amp; Federico II Univ Hosp Naples R&amp;D &amp;, Div Hlth Innovat, Naples, Italy; [Ivancevich, J. C.] Clin Santa Isabel, Serv Alergia &amp; Immunol, Buenos Aires, DF, Argentina; [Jares, Ej] Libra Fdn, Buenos Aires, DF, Argentina; [Jassem, E.] Med Univ Gdansk, Dept Allergol, Gdansk, Poland; [Johnston, S. L.] Imperial Coll London, Airway Dis Infect Sect, Natl Heart &amp; Lung Inst, London, England; [Johnston, S. L.] MRC &amp; Asthma UK Ctr Allerg Mech Asthma, London, England; [Joos, G.] Ghent Univ Hosp, Dept Resp Med, Ghent, Belgium; [Jung, K. S.] Hallym Univ, Coll Med, Sacred Heart Hosp, Seoul, Gyeonggi Do, South Korea; [Jutel, M.] Wroclaw Med Univ, Dept Clin Immunol, Wroclaw, Poland; [Kaidashev, I.] Ukrainina Med Stomatol Acad, Poltava, Ukraine; [Kalayci, O.] Hacettepe Univ, Pediat Allergy &amp; Asthma Unit, Sch Med, Ankara, Turkey; [Kalyoncu, A. F.] Hacettepe Univ, Sch Med, Dept Chest Dis, Immunol &amp; Allergy Div, Ankara, Turkey; [Karjalainen, J.] Tampere Univ Hosp, Allergy Ctr, Tampere, Finland; [Kardas, P.] Med Univ Lodz, Dept Family Med 1, Lodz, Poland; [Keil, T.] Charite Univ Med Berlin, Inst Social Med Epidemiol &amp; Hlth Econ, Berlin, Germany; [Keil, T.] Univ Wurzburg, Inst Clin Epidemiol &amp; Biometry, Wurzburg, Germany; [Keith, P. K.] McMaster Univ, Dept Med, Hlth Sci Ctr 3V47, Hamilton, ON, Canada; [Khaitov, M.] Natl Res Ctr, Lab Mol immunol, Inst Immunol, Fed Medicobiol Agcy, Moscow, Russia; [Kleine-Tebbe, J.] Allergy &amp; Asthma Ctr Westend, Berlin, Germany; [Klimek, L.] Ctr Rhinol &amp; Allergol, Wiesbaden, Germany; [Kowalski, M. L.] Med Univ Lodz, Dept Immunol &amp; Allergy, Hlth Ageing Res Ctr, Lodz, Poland; [Kuitunen, M.] Childrens Hosp, Helsinki, Finland; [Kuitunen, M.] Univ Helsinki, Helsinki, Finland; [Kull, I.; Wickman, M.] Karolinska Inst, Dept Clin Sci &amp; Educ, Sodersjukhuset, Stockholm, Sweden; [Kull, I.; Wickman, M.] Sachs Children &amp; Youth Hosp, Sodersjukhuset, Stockholm, Sweden; [Kvedariene, V.] Vilnius Univ, Fac Med, Vilnius, Lithuania; [Krzych-Falta, E.; Liplec, A.; Raciborski, F.; Samolinski, B.; Strozek, J.; Szylling, A.] Med Univ Warsaw, Dept Prevent Envinronm Hazards &amp; Allergol, Warsaw, Poland; [Larenas-Linnemann, D.] Med Clin Fdn &amp; Hosp, Ctr Excellence Asthma &amp; Allergy, Mexico City, DF, Mexico; [Lauri, D.] Presidente CMMC, Milan, Italy; [Lavrut, J.] Pedro de Elizalde Childrens Hosp, Allergy Dept, Buenos Aires, DF, Argentina; [Le, L. T. T.] Univ Med &amp; Pharm, Hochiminh City, Vietnam; [Lessa, M.] Univ Fed Bahia, Salvador, BA, Brazil; [Levato, G.] Sifmed, Milan, Italy; [Li, J.; Zhong, N.] Guangzhou Med Univ, State Key Lab Resp Dis, Guangzhou Inst Resp Dis, Affiliated Hosp 1, Guangzhou, Guangdong, Peoples R China; [Lieberman, P.; Majer, I.] Univ Tennessee, Dept Internal Med, Div Allergy, Coll Med, Germantown, TN USA; [Lieberman, P.; Majer, I.] Univ Tennessee, Dept Internal Med, Div Immunol, Coll Med, Germantown, TN USA; [Lieberman, P.; Majer, I.] Univ Tennessee, Dept Pediat, Div Allergy, Coll Med, Germantown, TN USA; [Lieberman, P.] Univ Tennessee, Dept Pediat, Div Immunol, Coll Med, Germantown, TN USA; [Lipworth, B.] Univ Dundee, Scottish Ctr Resp Res Cardiovasc &amp; Diabet Med, Med Res Inst, Ninewells Hosp, Dundee, Scotland; [Carlsen, K. C. Lodrup] Oslo Univ Hosp, Dept Paediat, Oslo, Norway; [Carlsen, K. C. Lodrup] Univ Oslo, Fac Med, Inst Clin Med, Oslo, Norway; [Louis, R.] CHU Sart Tilman, Dept Pulm Med, Liege, Belgium; [Louis, R.] GIGA I3 Res Grp, Liege, Belgium; [Lourenco, O.] Univ Beira Interior, Fac Hlth Sci, Covilha, Portugal; [Lourenco, O.] Univ Beira Interior, CICS UBI, Hlth Sci Res Ctr, Covilha, Portugal; [Luna-Pech, J. A.] Univ Guadalajara, Dept Philosoph Methodol &amp; Instrumental Discipline, CUCS, Guadalajara, Jalisco, Mexico; [Mahboub, B.] Rashid Hosp, Dept Pulm Med, Dubai, U Arab Emirates; [Maier, D.] Biomax Informat AG, Munich, Germany; [Mair, A.] Scottish Govt, Hlth &amp; Social Care, Edinburgh, Midlothian, Scotland; [Majer, I.] Univ Bratislava, Dept Resp Med, Bratislava, Slovakia; [Malva, J.; Verissimo, M. T.] Univ Coimbra, Coimbra Inst Clin &amp; Biomed Res iCBR, Fac Med, Coimbra, Portugal; [Malva, J.; Verissimo, M. T.] Ageing Coimbra EIP AHA Reference Site, Coimbra, Portugal; [Mandajieva, E.] Iskar Ltd Sofia, Med Ctr, Sofia, Bulgaria; [Manning, P.] Bon Secours Hosp, Dept Med RCSI, Dublin, Ireland; [Keenoy, E. De Manuel] Int Ctr Excellence Chron Res Barakaldo, Kronikgune, Bizkaia, Spain; [Marshall, G. D.] Univ Mississippi, Med Ctr, Div Clin Immunol &amp; Allergy, Lab Behav Immunol Res, Jackson, MS 39216 USA; [Masjedi, M. R.] Tobacco Control Res Ctr, Tehran, Iran; [Masjedi, M. R.] Iranian Anti Tobacco Assoc, Tehran, Iran; [Maspero, J. F.] Argentine Assoc Allergy &amp; Clin Immunol, Buenos Aires, DF, Argentina; [Campos, J. J. Matta] Hosp Especialidades Ctr Med La Raza, Ctr Med Nacl Siglo 21, Mexico City, DF, Mexico; [Al Matos] Univ Southeast Bahia, Itapetinga, Brazil; [Maurer, M.] Charite Univ Med Berlin, Allergie Ctr Charite, Dept Dermatol &amp; Allergy, Berlin, Germany; [Mavale-Manuel, S.] Maputo Cent Hosp, Dept Paediat, Maputo, Mozambique; [Melen, E.] Sachs Children &amp; Youth Hosp, Sodersjukhuset, Stockholm, Sweden; [Melen, E.] Karolinska Inst, Inst Environm Med, Stockholm, Sweden; [Meltzer, Eo] Allergy &amp; Asthma Med Grp &amp; Res Ctr, San Diego, CA USA; [Menditto, E.] Univ Naples Federico II, CIRFF, Naples, Italy; [Mercier, J.] Univ Montpellier, Dept Physiol, CHRU, Montpellier, France; [Mercier, J.] CNRS, Res, PhyMedExp, INSERM U1046,UMR 9214, Paris, France; [Miculinic, N.] Croatian Pulm Soc, Dubrovnik, Croatia; [Mihaltan, F.] Natl Inst Pneumol M Nasta, Bucharest, Romania; [Milenkovic, B.] Univ Belgrade, Clin Pulm Dis, Clin Ctr Serbia, Fac Med,Serbian Assoc Asthma &amp; COPD, Belgrade, Serbia; [Mogica-Martinez, M. D.] Col Jardines de Sta Monica, Tlalnepantla, Mexico; [Mohammad, Y.] Tishreen Univ, Natl Ctr Res Chron Resp Dis, Sch Med, Latakia, Syria; [Momas, I.] Paris Descartes Univ, Dept Publ Hlth &amp; Hlth Prod, Sorbonne Paris Cite, EA 4064, Paris, France; [Momas, I.] Paris Municipal Dept Social Act Childhood &amp; Hlth, Paris, France; [Monte-Fort, S.] Mater Dei Hosp Malta, Msida, Malta; [Monte-Fort, S.] Med Univ Malta, La Valette, Malta; [Monte-Fort, S.] Univ Med, Fac Med &amp; Surg, La Valette, Malta; [Monti, R.] Univ Torino, Dept Med Sci, Allergy &amp; Clin Immunol Unit, Turin, Italy; [Monti, R.] Mauriziano Hosp, Turin, Italy; [Bogado, D. Mora] Inst Previs Social IPS HC, Soc SPAAI, Tesorera SLAAI, Asuncion, Paraguay; [Morais-Almeida, M.] CUF Descobertas Hosp, Allergy Ctr, Lisbon, Portugal; [Morato-Castro] Univ Sao Paulo, Sao Paulo, Brazil; [Mosges, R.; Shamai, S.] Univ Cologne, Inst Med Stat &amp; Computat Biol, Med Fac, Cologne, Germany; [Mosges, R.; Shamai, S.] Germany &amp; CRI Clin Res Int Ltd, Hamburg, Germany; [Mota-Pinto, A.] Univ Coimbra, Gen Pathol Inst, Fac Med, Coimbra, Portugal; [Mota-Pinto, A.] Ageing Coimbra EIP AHA Reference Site, Coimbra, Portugal; [Santo, P. Moura] Univ Fed Bahia, Salvador, BA, Brazil; [Mullol, J.] Hosp Clin Barcelona, Rhinol Unit, Barcelona, Spain; [Mullol, J.] Hosp Clin Barcelona, Smell Clin, ENT Dept, Barcelona, Spain; [Mullol, J.] Univ Barcelona, Clin &amp; Expt Resp Immunoallergy, IDIBAPS, CIBERES, Barcelona, Spain; [Munter, L.] Danish Comm Hlth Educ, Copenhagen East, Denmark; [Muraro, A.] Padua Gen Univ Hosp, Food Allergy Referral Ctr Veneto Reg, Dept Women &amp; Child Hlth, Padua, Italy; [Murray, R.] MedScript Ltd, Dundalk, Co Louth, Ireland; [Murray, R.] OPC, Cambridge, England; [Naclerio, R.] Johns Hopkins Sch Med, Baltimore, MD USA; [Napoli, L.] COFASER Pharm Serv Consortium, Salerno, Italy; [Namazova-Baranova, L.] Sci Ctr Childrens Hlth MoH, Moscow, Russia; [Namazova-Baranova, L.] Natl Res Med Univ, Moscow, Russia; [Neffen, H.] Ctr Allergy Immunol &amp; Resp Dis, Santa Fe, Santa Fe, Argentina; [Neffen, H.] Ctr Allergy &amp; Immunol, Santa Fe, Santa Fe, Argentina; [Niedeberger, V.] Med Univ Vienna, Dept Otorhinolaryngol, AKH, Vienna, Austria; [Nekam, K.] Hosp Hosp Bros Buda, Budapest, Hungary; [Neou, A.] Die Hautambulanz &amp; Rothhaar Study Ctr, Berlin, Germany; [Nieto, A.] Hosp La Fe, Neumol &amp; Alergol Infantil, Valencia, Spain; [Nogueira-Silva, L.] Ctr Hosp Sao Joao, Ctr Hlth Technol &amp; Serv Res CINTESIS, Porto, Portugal; [Nogueira-Silva, L.] Ctr Hosp Sao Joao, Dept Internal Med, Porto, Portugal; [Nogues, M.] CARSAT LR, Montpellier, France; [Novellino, E.] Univ Naples Federico II, Dept Pharm, Naples, Italy; [Nyembue, Td] Univ Hosp Kinshasa, ENT Dept, Kinshasa, DEM REP CONGO; [O'Hehir, Re; Puy, R.; Zubrinich, C.] Alfred Hosp, Dept Allergy Immunol &amp; Resp Med, Melbourne, Vic, Australia; [O'Hehir, Re; Puy, R.; Zubrinich, C.] Monash Univ, Cent Clin Sch, Melbourne, Vic, Australia; [O'Hehir, Re; Puy, R.; Zubrinich, C.] Monash Univ, Dept Immunol, Melbourne, Vic, Australia; [Odzhakova, C.] Med Ctr Res Expert, Varna, Bulgaria; [Ohta, K.] Tokyo Natl Hosp, Natl Hosp Org, Tokyo, Japan; [Okamoto, Y.] Chiba Univ Hosp, Dept Otorhinolaryngol, Chiba, Japan; [Okubo, K.] Nippon Med Sch, Dept Otolaryngol, Tokyo, Japan; [Ouedraogo, S.] Ctr Hosp Univ Pediat Charles Gaulle, Ouagadougou, Burkina Faso; [Pali-Scholl, I.] Univ Vet Med, Dept Comparat Med, Messerli Res Inst, Vienna, Austria; [Pali-Scholl, I.] Med Univ, Vienna, Austria; [Panzner, P.] Charles Univ Prague, Dept Immunol &amp; Allergol, Fac Med, Plzen, Czech Republic; [Panzner, P.] Charles Univ Prague, Fac Hosp Pilsen, Plzen, Czech Republic; [Papadopoulos, N. G.] Univ Manchester, Div Infect Immun &amp; Resp Med, Royal Manchester Childrens Hosp, Manchester, Lancs, England; ; </t>
  </si>
  <si>
    <t>University of Naples Federico II; Universidade do Porto; Universidade do Porto; University of Sydney; Woolcock Institute of Medical Research; Sydney Local Health District; University of Naples Federico II; Medical University of Warsaw; Lithuanian University of Health Sciences; Karolinska Institutet; Karolinska University Hospital; Universite de Montpellier; Institut National de la Sante et de la Recherche Medicale (Inserm); Sorbonne Universite; ISGlobal; Pompeu Fabra University; Centre de Recerca en Epidemiologia Ambiental (CREAL); Hospital del Mar Research Institute; Hospital del Mar; CIBER - Centro de Investigacion Biomedica en Red; CIBERESP; Pompeu Fabra University; Hospital Foch; Universite Paris Saclay; Berlin Institute of Health; Free University of Berlin; Humboldt University of Berlin; Charite Universitatsmedizin Berlin; University of Wurzburg; University of Edinburgh; University of Salerno; Universidade do Porto; Universidade de Coimbra; Universidade do Porto; Universidade de Coimbra; Centro Hospitalar e Universitario de Coimbra (CHUC); Universidade de Coimbra; Vilnius University; Vilnius University; Vilnius University; Berlin Institute of Health; Free University of Berlin; Humboldt University of Berlin; Charite Universitatsmedizin Berlin; Berlin Institute of Health; University of Cologne; University Hospital of Giessen &amp; Marburg; Hospital Universitari Vall d'Hebron; University of Barcelona; Hospital Clinic de Barcelona; University of Barcelona; Hospital Clinic de Barcelona; University of Barcelona; Hospital Clinic de Barcelona; IDIBAPS; CIBER - Centro de Investigacion Biomedica en Red; CIBERES; Royal Manchester Children's Hospital; University of Manchester; National &amp; Kapodistrian University of Athens; University of Crete; University of Edinburgh; Medical University of Graz; Medical University of Graz; Universidade Federal da Bahia; Medical University Lodz; Medical University of Warsaw; University of Helsinki; Helsinki University Central Hospital; University of Helsinki; Ghent University; Ghent University Hospital; KU Leuven; University Hospital Leuven; University of Amsterdam; Academic Medical Center Amsterdam; Sodersjukhuset Hospital; Karolinska Institutet; Uppsala University; University of Southern Denmark; Odense University Hospital; University of Southern Denmark; Odense University Hospital; Florey Institute of Neuroscience &amp; Mental Health; Howard Florey Institute Affiliates; Monash University; Monash University; Monash University; Eskisehir Osmangazi University; Istanbul University - Cerrahpasa; Istanbul University; Hacettepe University; Universite Paris Saclay; Institut National de la Sante et de la Recherche Medicale (Inserm); Universite Paris Saclay; Universite de Montpellier; CHU de Montpellier; Universite de Montpellier; Universite Paris Saclay; Universite Paris Saclay; KU Leuven; Medical University of Graz; Transylvania University of Brasov; University of Zurich; Swiss Institute of Allergy &amp; Asthma Research; Universidade do Porto; Assistance Publique Hopitaux Paris (APHP); Sorbonne Universite; Hopital Universitaire Armand-Trousseau - APHP; Institut National de la Sante et de la Recherche Medicale (Inserm); Sorbonne Universite; Institut National de la Sante et de la Recherche Medicale (Inserm); Sorbonne Universite; ISGlobal; Hospital del Mar Research Institute; Hospital del Mar; CIBER - Centro de Investigacion Biomedica en Red; CIBERESP; Pompeu Fabra University; Karolinska Institutet; Karolinska Institutet; Karolinska University Hospital; Ghent University; Ghent University Hospital; University of Genoa; Universidade de Lisboa; University of Palermo; Universidade do Estado do Para (UEPA); University of Cape Town; Universita di Modena e Reggio Emilia; University of Amsterdam; Academic Medical Center Amsterdam; Berlin Institute of Health; Free University of Berlin; Humboldt University of Berlin; Charite Universitatsmedizin Berlin; Free University of Berlin; Humboldt University of Berlin; Berlin Institute of Health; Medical University of Warsaw; University of Bonn; Medical University of Warsaw; Lund University; Skane University Hospital; Universite de Montpellier; CHU de Montpellier; Universite de Montpellier; University of Milan; IRCCS Ca Granda Ospedale Maggiore Policlinico; Medical University Lodz; University of Verona; Azienda Ospedaliera Universitaria Integrata Verona; Catholic University of the Sacred Heart; IRCCS Policlinico Gemelli; Imperial College London; Royal Brompton Hospital; Imperial College London; Universita della Campania Vanvitelli; Consiglio Nazionale delle Ricerche (CNR); University of Sydney; Woolcock Institute of Medical Research; University of Sydney; Woolcock Institute of Medical Research; Laval University; Quebec Heart &amp; Lung Institute; CH de Valenciennes; Lithuanian University of Health Sciences; University of Leicester; University Hospitals of Leicester NHS Trust; University of Leicester; McMaster University; A.O.U. Citta della Salute e della Scienza di Torino; AOU San Giovanni Battista-Molinette; Johannes Gutenberg University of Mainz; Victor Babes University of Medicine &amp; Pharmacy, Timisoara; Tecnologico de Monterrey; Imperial College London; Royal Brompton Hospital; CHU Clermont Ferrand; Universite Clermont Auvergne (UCA); Universite de Montpellier; CHU de Montpellier; Imperial College London; Royal Brompton Hospital; Universidade Federal de Minas Gerais; Hospital Universitari Vall d'Hebron; University of Oslo; University of Oslo; Universidade de Lisboa; Centro Hospitalar de Lisboa Central, EPE; State University System of Florida; University of South Florida; Leiden University; Leiden University Medical Center (LUMC); Leiden University - Excl LUMC; Capital Institute of Pediatrics (CIP); San Pablo CEU University; Imperial College London; Eskisehir Osmangazi University; University of Genoa; IRCCS AOU San Martino IST; Universidade Federal da Bahia; Nantes Universite; CHU de Nantes; Institut National de la Sante et de la Recherche Medicale (Inserm); Universidade do Minho; Universidade do Porto; Universidade do Porto; IMT - Institut Mines-Telecom; IMT Mines Ales; Nova Southeastern University; University of Miami; Universidade Federal da Bahia; University of Manchester; Wythenshawe Hospital NHS Foundation Trust; Karolinska Institutet; Universidade Federal de Santa Catarina (UFSC); Universidade Federal de Santa Catarina (UFSC); Universite de Montpellier; CHU de Montpellier; Institut National de la Sante et de la Recherche Medicale (Inserm); Technical University of Munich; Technical University of Munich; Helmholtz Association; Helmholtz-Center Munich - German Research Center for Environmental Health; CHU Strasbourg; University of Salerno; Iuliu Hatieganu University of Medicine &amp; Pharmacy; McMaster University; Hospital Foch; Universite Paris Saclay; CHU de Toulouse; Vilnius University; Imperial College London; University of London; King's College London; Guy's &amp; St Thomas' NHS Foundation Trust; Saint Louis University; Egyptian Knowledge Bank (EKB); Ain Shams University; Umea University; Vilnius University; Universidade de Sao Paulo; University of Amsterdam; Academic Medical Center Amsterdam; Universidade do Porto; National Center for Disease Control &amp; Public Health - Georgia; Istanbul University - Cerrahpasa; Istanbul University; Medical University Sofia; Erasmus University Rotterdam; Erasmus MC; Universidad Autonoma de Nuevo Leon; Erasmus University Rotterdam - Excl Erasmus MC; Erasmus University Rotterdam; University Hospital Olomouc; Universidad de Chile; University of Helsinki; Helsinki University Central Hospital; University of Helsinki; Universidad Autonoma de Baja California; University College Cork; Universite Paris Saclay; Assistance Publique Hopitaux Paris (APHP); Hopital Universitaire Antoine-Beclere - APHP; Universite Paris Saclay; Hopital Universitaire Bicetre - APHP; Universite Paris Saclay; Institut National de la Sante et de la Recherche Medicale (Inserm); University of Salerno; Fahrenheit Universities; Medical University Gdansk; Imperial College London; University of London; King's College London; Ghent University; Ghent University Hospital; Hallym University; Wroclaw Medical University; Poltava State Medical University; Hacettepe University; Hacettepe University; Tampere University; Tampere University Hospital; Medical University Lodz; Berlin Institute of Health; Free University of Berlin; Humboldt University of Berlin; Charite Universitatsmedizin Berlin; University of Wurzburg; McMaster University; NRC Institute of Immunology FMBA of Russia; Medical University Lodz; University of Helsinki; Sodersjukhuset Hospital; Karolinska Institutet; Sodersjukhuset Hospital; Vilnius University; Medical University of Warsaw; Hochiminh City University of Medicine &amp; Pharmacy; Universidade Federal da Bahia; State Key Laboratory of Respiratory Disease; Guangzhou Medical University; University of Tennessee System; University of Tennessee Health Science Center; University of Tennessee System; University of Tennessee Health Science Center; University of Tennessee System; University of Tennessee Health Science Center; University of Tennessee System; University of Tennessee Health Science Center; University of Dundee; University of Oslo; University of Oslo; University of Liege; Universidade da Beira Interior; Universidade da Beira Interior; Universidad de Guadalajara; Biomax Informatics; Comenius University Bratislava; Universidade de Coimbra; Royal College of Surgeons - Ireland; University of Mississippi; University of Mississippi Medical Center; Instituto Mexicano del Seguro Social; Berlin Institute of Health; Free University of Berlin; Humboldt University of Berlin; Charite Universitatsmedizin Berlin; Sodersjukhuset Hospital; Karolinska Institutet; Allergy &amp; Asthma Medical Group &amp; Research Center; University of Naples Federico II; Universite de Montpellier; CHU de Montpellier; Centre National de la Recherche Scientifique (CNRS); Institut National de la Sante et de la Recherche Medicale (Inserm); Marius Nasta Pneumophtisiology Institute; Clinical Centre of Serbia; University of Belgrade; Tishreen University; Universite Paris Cite; University of Turin; A.O.U. Citta della Salute e della Scienza di Torino; AOU San Giovanni Battista-Molinette; Universidade de Sao Paulo; University of Cologne; Universidade de Coimbra; Universidade Federal da Bahia; University of Barcelona; Hospital Clinic de Barcelona; University of Barcelona; Hospital Clinic de Barcelona; CIBER - Centro de Investigacion Biomedica en Red; CIBERES; University of Barcelona; Hospital Clinic de Barcelona; IDIBAPS; University of Padua; Azienda Ospedaliera - Universita di Padova; Johns Hopkins University; Johns Hopkins Medicine; Pirogov Russian National Research Medical University; Medical University of Vienna; Hospital Universitari i Politecnic La Fe; Sao Joao Hospital; Sao Joao Hospital; University of Naples Federico II; Florey Institute of Neuroscience &amp; Mental Health; Howard Florey Institute Affiliates; Monash University; Monash University; Chiba University; Nippon Medical School; University of Veterinary Medicine Vienna; Charles University Prague; Charles University Prague; Royal Manchester Children's Hospital; University of Manchester; National &amp; Kapodistrian University of Athens; Ajou University; University of Ferrara; University of Genoa; Nippon Medical School; University of Southern Denmark; Communaute Universite Grenoble Alpes; Universite Grenoble Alpes (UGA); Institut National de la Sante et de la Recherche Medicale (Inserm); Communaute Universite Grenoble Alpes; Universite Grenoble Alpes (UGA); CHU Grenoble Alpes; Universidade do Porto; Ruprecht Karls University Heidelberg; Communaute Universite Grenoble Alpes; Universite Grenoble Alpes (UGA); CHU Grenoble Alpes; University of Cyprus; University of JJ Strossmayer Osijek; Hietzing Hospital; Medical University Sofia; University of Cape Town; University of Aberdeen; University of Crete; Grosshansdorf Hospital; University of Kiel; Karolinska Institutet; Karolinska University Hospital; NSW Health; St Vincents Hospital Sydney; University of Sydney; Universidade Federal de Sao Paulo (UNIFESP); Universidade de Coimbra; Centro Hospitalar e Universitario de Coimbra (CHUC); University of Valencia; Hospital Universitario de Getafe; Universidade Federal do Rio de Janeiro; Atencio Primaria de Mallorca; Institut Investigacio Sanitaria Illes Balears (IdISBa); Catholic University of the Sacred Heart; IRCCS Policlinico Gemelli; IRCCS - Oasi Research Institute; Medical University of Graz; Emek Medical Center; University of Edinburgh; Showa University; University of London; University College London; University of Palermo; University of Zurich; University Zurich Hospital; Escola Superior de Ciencias da Santa Casa de Misericordia de Vitoria; University of Edinburgh; University of Manitoba; Communaute Universite Grenoble Alpes; Universite Grenoble Alpes (UGA); Institut National de la Sante et de la Recherche Medicale (Inserm); Universidade Federal de Sao Paulo (UNIFESP); University Hospital Olomouc; UiT The Arctic University of Tromso; University Hospital of North Norway; UiT The Arctic University of Tromso; Universidade de Sao Paulo; Vilnius University; Universidade Federal do Estado do Rio de Janeiro; University of Toronto; Hospital for Sick Children (SickKids); Universidade de Coimbra; Centro Hospitalar e Universitario de Coimbra (CHUC); Universidade de Coimbra; Medical University of Graz; University of Copenhagen; University of Copenhagen; Universidade Federal do Pampa; Medical University of Vienna; CIBER - Centro de Investigacion Biomedica en Red; CIBERES; University of Barcelona; University of Barcelona; Hospital Clinic de Barcelona; IDIBAPS; Vilnius University; University of Turku; Universite Claude Bernard Lyon 1; Universite Claude Bernard Lyon 1; Karolinska Institutet; Universite Catholique Louvain; Universita degli Studi di Bari Aldo Moro; IRCCS Arcispedale S. Maria Nuova; Consiglio Nazionale delle Ricerche (CNR); Istituto di Fisiologia Clinica (IFC-CNR); Consiglio Nazionale delle Ricerche (CNR); Istituto di Biomedicina e di Immunologia Molecolare Alberto Monroy (IBIM-CNR); Medical University Plovdiv; Heinrich Heine University Dusseldorf; Heinrich Heine University Dusseldorf Hospital; Nova Southeastern University; National University of Singapore; McMaster University; Hannover Medical School; Karolinska Institutet; Karolinska Institutet; Karolinska University Hospital; University of North Carolina; University of North Carolina Chapel Hill; Bradford Royal Infirmary; Trakia University; Olmsted Medical Center; Cyprus International Institute for Environmental &amp; Public Health; Cyprus University of Technology; Celal Bayar University; University of Cape Town; University of Cape Town; Capital Medical University; Catholic University of Cordoba; University of Oslo; Asfendiyarov Kazakh National Medical University; University of Naples Federico II; Antonio Cardarelli Hospital</t>
  </si>
  <si>
    <t>Bousquet, J (corresponding author), CHU Montpellier, Montpellier 5, France.</t>
  </si>
  <si>
    <t>Fiocchi, Alessandro/K-9235-2016; Blasi, Francesco/G-1055-2015; Paulino, Ema/LTD-8154-2024; Akdis, Mubeccel/JCE-1576-2023; J, Garcia-Aymerich/G-6867-2014; Callegaro, Dario/C-9493-2017; Barbara, C./AAF-3397-2020; Amat, Flore/GPF-4655-2022; Todo Bom, Ana/AHD-3630-2022; Bergmann, Karl-Christian/AAA-4104-2019; LOUIS, Renaud/HMO-7349-2023; Luna-Pech, Jorge/F-8817-2019; Schünemann, Holger/LRB-7016-2024; Vicheva, Dilyana/AAI-7136-2020; Rizzo, Maria/HGD-6576-2022; Djokic, Dejan/V-9813-2017; Kaidashev, Igor/L-2606-2019; Iaccarino, Guido/D-4540-2009; PEPIN, Jean-Louis/M-6549-2014; Jung, Ki-Suck/AAN-2473-2021; Asarnoj, Anna/ABC-4112-2020; BARBAGALLO, MARIO/K-4794-2017; Rivero Yeverino, Daniela/IYS-3602-2023; Bonniaud, Philippe/ITT-4660-2023; Kvedariene, Violeta/D-7730-2011; Casale, Thomas/K-4334-2013; Westman, Marit/MFH-2155-2025; Correia de Sousa, Jaime/H-5607-2015; Ventura, Maria/J-8197-2017; MAGNAN, ANTOINE/GVT-4308-2022; Serpa, Faradiba/AAC-8477-2021; Bateman, Eric/B-7042-2011; Mullol, Joaquim/F-2951-2014; Bosnic-Anticevich, Sinthia/AAD-2526-2021; Toppila-Salmi, Sanna/ABF-5840-2020; Sheikh, Aziz/D-2818-2009; Ciprandi, Giorgio/G-7462-2012; Yorgancioglu, Arzu/AAC-7548-2020; Rodriguez-Manas, Leocadio/AFL-1127-2022; Muraro, Antonella/AFO-2033-2022; VAN GANSE, Eric/D-5876-2015; Rodó, Xavier/F-7663-2017; Constantinos, Pitsios/AFQ-0259-2022; canonica, giorgio walter/ABF-2037-2020; Bousquet, Jean/O-4221-2019; Chung, Kian/B-1872-2012; Sova, Milan/AAH-3802-2020; Martins, Pedro/A-1433-2011; Johnston, Sebastian/I-2423-2012; González-Díaz, Sandra/H-3271-2018; Cox, Linda/AAP-1697-2021; Dray, Gerard/ACO-1836-2022; Veríssimo, Manuel/M-3520-2019; Papadopoulos, Nikolaos/ABE-1774-2021; Bialoszewski, Artur/G-5875-2012; Papi, alberto/AAC-1888-2019; Ivancevich, Juan/AAB-4937-2020; Lourenco, Olga/S-6233-2016; Basagaña, Xavier/C-3901-2017; Cecchi, Lorenzo/HPF-1970-2023; Barreto, Bruno/T-9252-2019; Romano, Mario/I-8320-2012; Mamun, Dr. Al/AAD-1078-2020; Fokkens, Wytske/ABF-2185-2020; Plavec, Davor/HKM-7822-2023; Mohammad, Yousser/LTD-1984-2024; Werfel, Thomas/B-6921-2012; Popov, Todor/Q-9928-2016; Viegi, Giovanni/K-2746-2016; Cingi, Cemal/AAA-1951-2021; Yiallouros, Panayiotis/AAF-6026-2019; Fontaine, Jean-Fred/GNP-2904-2022; Valiulis, Arunas/JEZ-2972-2023; Rolla, Giovanni/C-9901-2009; Rabe, Klaus/AAW-6296-2021; Bachert, Claus/J-8825-2012; Stellato, Cristiana/IWU-8018-2023; Brozek, Jan/ADG-1130-2022; Bieber, Thomas/AFM-9906-2022; Cardona, Victoria/GRX-4196-2022; Muñoz, Marta/AAB-4615-2019; Gemicioglu, Bilun/AAH-6927-2019; Farsi, Alessandro/GPG-0010-2022; Orlando, Valentina/AAD-1791-2019; Emilie, Burte/AAA-5048-2022; Kvedarienė, Violeta/GON-7937-2022; Annesi-Maesano, Isabella/D-9173-2016; Vatrella, Alessandro/K-8001-2016; Anto, J/H-2676-2014; Briedis, Vitalis/AAY-9241-2020; Pereira, Ana/KHY-3334-2024; Panzner, Petr/I-7034-2017; stelmach, rafael/AAH-1638-2019; Agache, Ioana/AAP-7403-2020; Ryan, Dermot/AAJ-2329-2021; Zuberbier, Torsten/AFM-9173-2022; Gotua, Maia/ABA-1648-2021; Akdis, Cezmi/AAV-4844-2020; Blain, Hubert/AAZ-8017-2020; Lacwik, Piotr/JTV-4803-2023; Fonseca, Joao/KHW-7048-2024; Kupczyk, Maciej/S-9677-2016; Klimek, Ludger/AFJ-9880-2022; Schmid, Peter/D-1717-2013; Zar, Heather/GZL-5350-2022; Bedolla-Barajas, Martín/AFQ-5082-2022; Lessa, Marcus/AAV-8573-2021; Regateiro, Frederico/F-3914-2011; Solé, Dirceu/JAO-0340-2023; Reitsma, Sietze/JJP-5995-2023; Costa, Elisio/K-1990-2013; Bindslev-Jensen, Carsten/H-1877-2011; Nogueira-Silva, Luis/M-3474-2014; O'Hehir, Robyn/H-3627-2011; Lipiec, Agnieszka/X-7523-2018; Chavannes, Niels Henrik/F-1148-2011; Bonini, Sergio/T-6594-2019; Mota-Pinto, Anabela/M-1523-2013; Khaitov, Musa/L-3369-2017; Pereira, Ana Margarida/K-3343-2014; Nadif, Rachel/R-2876-2016; Humbert, Marc/AAC-8459-2019; Custovic, Adnan/A-2435-2012; Namazova-Baranova, Leyla/C-9485-2019; Yusuf, Osman/AAI-1142-2020; SIROUX, Valerie/N-1865-2013; Malva, Joao/L-3557-2014; Almeida, Rute/Q-1621-2019; Papadopoulos, Nikolaos/L-8670-2013; Midao, Luis/V-2571-2017; Pugin, Benoit/X-2984-2018; Demoly, Pascal/Y-9938-2019; Fonseca, Joao/B-7562-2008; Maurer, Marcus/ABG-2174-2020; Christoff, George/ABF-9789-2021; Hellings, Peter/I-4068-2018; Stellato, Cristiana/P-3001-2015</t>
  </si>
  <si>
    <t>Bousquet, Jean/0000-0002-4061-4766; Ryan, Dermot/0000-0002-4115-7376; orlando, valentina/0000-0002-8209-8878; Costa, Elisio/0000-0003-1158-1480; Bindslev-Jensen, Carsten/0000-0002-8940-038X; Nogueira-Silva, Luis/0000-0002-5519-707X; O'Hehir, Robyn/0000-0002-3489-7595; Kuna, Piotr/0000-0003-2401-0070; Lipiec, Agnieszka/0000-0003-3037-2326; Bergmann, Karl-Christian/0000-0002-0306-9922; Sheikh, Aziz/0000-0001-7022-3056; Akdis, Cezmi/0000-0001-8020-019X; Chavannes, Niels Henrik/0000-0002-8607-9199; Bonini, Sergio/0000-0003-0079-3031; Mota-Pinto, Anabela/0000-0002-0820-9568; Ivancevich, Juan Carlos/0000-0001-8713-6258; COLAS, Luc/0000-0001-8226-4250; Krzych-Falta, Edyta/0000-0002-9857-7136; Khaitov, Musa/0000-0003-4961-9640; Reitsma, Sietze/0000-0003-1734-2632; Gotua, Maia/0000-0003-2497-4128; Pereira, Ana Margarida/0000-0002-5468-0932; Nadif, Rachel/0000-0003-4938-9339; Chu, Derek/0000-0001-8269-4496; Humbert, Marc/0000-0003-0703-2892; Raciborski, Filip/0000-0003-0562-0260; Zuberbier, Torsten/0000-0002-1466-8875; Bialek, Slawomir/0000-0002-0112-6786; Johnston, Sebastian/0000-0003-3009-9200; Gemicioglu, Bilun/0000-0001-5953-4881; Bialoszewski, Artur/0000-0001-5941-0483; Toppila-Salmi, Sanna/0000-0003-0890-6686; Asarnoj, Anna/0000-0002-0797-2369; Custovic, Adnan/0000-0001-5218-7071; mohammad, yousser/0009-0003-0403-2747; Namazova-Baranova, Leyla/0000-0002-2209-7531; menditto, enrica/0000-0001-8633-5650; Yusuf, Osman/0000-0002-8067-1204; Cecchi, Lorenzo/0000-0002-0658-2449; SIROUX, Valerie/0000-0001-7329-7237; Ciprandi, Giorgio/0000-0001-7016-8421; Malva, Joao/0000-0002-5438-4447; Almeida, Rute/0000-0001-7755-5002; Kvedariene, Violeta/0000-0002-6119-211X; Papadopoulos, Nikolaos/0000-0002-4448-3468; Midao, Luis/0000-0003-1981-2554; Bosnic-Anticevich, Sinthia/0000-0001-5077-8329; Pugin, Benoit/0000-0001-7132-9477; Demoly, Pascal/0000-0001-7827-7964; Fonseca, Joao/0000-0002-0887-8796; Maurer, Marcus/0000-0002-4121-481X; JUTEL, MAREK/0000-0003-1555-9379; Christoff, George/0000-0003-4549-7711; Cardona, Victoria/0000-0003-2197-9767; Hellings, Peter/0000-0001-6898-688X; Stellato, Cristiana/0000-0002-1294-8355; Rabe, Klaus F./0000-0002-7020-1401</t>
  </si>
  <si>
    <t>0954-7894</t>
  </si>
  <si>
    <t>1365-2222</t>
  </si>
  <si>
    <t>CLIN EXP ALLERGY</t>
  </si>
  <si>
    <t>Clin. Exp. Allergy</t>
  </si>
  <si>
    <t>10.1111/cea.13333</t>
  </si>
  <si>
    <t>HS3KP</t>
  </si>
  <si>
    <t>WOS:000463761700007</t>
  </si>
  <si>
    <t>Piquereau, J; Boet, A; Péchoux, C; Antigny, F; Lambert, M; Gressette, M; Ranchoux, B; Gambaryan, N; Domergue, V; Mumby, S; Montani, D; Adcock, IM; Humbert, M; Garnier, A; Rucker-Martin, C; Perros, F</t>
  </si>
  <si>
    <t>Piquereau, Jerome; Boet, Angele; Pechoux, Christine; Antigny, Fabrice; Lambert, Melanie; Gressette, Melanie; Ranchoux, Benoit; Gambaryan, Natalia; Domergue, Valerie; Mumby, Sharon; Montani, David; Adcock, Ian M.; Humbert, Marc; Garnier, Anne; Rucker-Martin, Catherine; Perros, Frederic</t>
  </si>
  <si>
    <t>The BET Bromodomain Inhibitor I-BET-151 Induces Structural and Functional Alterations of the Heart Mitochondria in Healthy Male Mice and Rats</t>
  </si>
  <si>
    <t>bromodomain and extra-terminal domain; bromodomain and extra-terminal domain inhibitor; mitochondria; heart; cardiotoxicity</t>
  </si>
  <si>
    <t>HDAC INHIBITORS; COMBINING BET; C-MYC; CARDIOTOXICITY; PROTEINS; MELANOMA; STRATEGY</t>
  </si>
  <si>
    <t>The bromodomain and extra-terminal domain family inhibitors (BETi) are a promising new class of anticancer agents. Since numerous anticancer drugs have been correlated to cardiomyopathy, and since BETi can affect non-cancerous tissues, we aimed to investigate in healthy animals any ultrastructural BETi-induced alterations of the heart as compared to skeletal muscle. Male Wistar rats were either treated during 3 weeks with I-BET-151 (2 or 10 mg/kg/day) (W3) or treated for 3 weeks then allowed to recover for another 3 weeks (W6) (3-weeks drug washout). Male C57Bl/6J mice were only treated during 5 days (50 mg/kg/day). We demonstrated the occurrence of ultrastructural alterations and progressive destruction of cardiomyocyte mitochondria after I-BET-151 exposure. Those mitochondrial alterations were cardiac muscle-specific, since the skeletal muscles of exposed animals were similar in ultrastructure presentation to the non-exposed animals. I-BET-151 decreased the respiration rate of heart mitochondria in a dose-dependent manner. At the higher dose, it also decreased mitochondrial mass, as evidenced by reduced right ventricular citrate synthase content. I-BET-151 reduced the right and left ventricular fractional shortening. The concomitant decrease in the velocity-time-integral in both the aorta and the pulmonary artery is also suggestive of an impaired heart function. The possible context-dependent cardiac side effects of these drugs have to be appreciated. Future studies should focus on the basic mechanisms of potential cardiovascular toxicities induced by BETi and strategies to minimize these unexpected complications.</t>
  </si>
  <si>
    <t>[Piquereau, Jerome; Lambert, Melanie; Gressette, Melanie; Garnier, Anne] Univ Paris Saclay, Univ Paris Sud, UMR S 1180, F-92290 Chatenay Malabry, France; [Boet, Angele] Hop Marie Lannelongue, Reanimat Cardiopathies Congenit, F-92350 Le Plessis Robinson, France; [Boet, Angele; Antigny, Fabrice; Lambert, Melanie; Ranchoux, Benoit; Montani, David; Humbert, Marc; Rucker-Martin, Catherine; Perros, Frederic] Hop Marie Lannelongue, INSERM, UMR S 999, F-92350 Le Plessis Robinson, France; [Boet, Angele; Antigny, Fabrice; Lambert, Melanie; Ranchoux, Benoit; Montani, David; Humbert, Marc; Rucker-Martin, Catherine; Perros, Frederic] Univ Paris Saclay, Univ Paris Sud, Fac Med, F-94270 Le Kremlin Bicetre, France; [Pechoux, Christine] Univ Paris Saclay, AgroparisTech, INRA, Gabi, F-78350 Jouy En Josas, France; [Gambaryan, Natalia; Mumby, Sharon; Adcock, Ian M.] Imperial Coll London, Natl Heart &amp; Lung Inst, Airway Dis Sect, London SW7 2AZ, England; [Domergue, Valerie] Univ Paris Saclay, Univ Paris Sud, Inst Paris Saclay Innovat Therapeut UMS IPSIT, Anim Facil, F-92290 Chatenay Malabry, France; [Montani, David; Humbert, Marc] Hop Bicetre, AP HP, Serv Pneumol, F-94720 Le Kremlin Bicetre, France; [Rucker-Martin, Catherine] Hop Marie Lannelongue, Rech Med, F-92350 Le Plessis Robinson, France</t>
  </si>
  <si>
    <t>Universite Paris Saclay; Hopital Marie Lannelongue; Institut National de la Sante et de la Recherche Medicale (Inserm); Hopital Marie Lannelongue; Universite Paris Saclay; Universite Paris Saclay; Universite Paris Saclay; AgroParisTech; INRAE; Imperial College London; Universite Paris Saclay; Assistance Publique Hopitaux Paris (APHP); Hopital Universitaire Antoine-Beclere - APHP; Hopital Universitaire Bicetre - APHP; Universite Paris Saclay; Hopital Marie Lannelongue</t>
  </si>
  <si>
    <t>Perros, F (corresponding author), Hop Marie Lannelongue, INSERM, UMR S 999, F-92350 Le Plessis Robinson, France.;Perros, F (corresponding author), Univ Paris Saclay, Univ Paris Sud, Fac Med, F-94270 Le Kremlin Bicetre, France.</t>
  </si>
  <si>
    <t>jerome.piquereau@u-psud.fr; angele.boet@hotmail.fr; christine.longin@inra.fr; antignyfabrice@gmail.com; melanie.lambert91@hotmail.fr; melanie.gressette@u-psud.fr; benoit.ranchoux@gmail.com; natachagam@gmail.com; valerie.domergue@u-psud.fr; s.mumby@imperial.ac.uk; david.montani@aphp.fr; ian.adcock@imperial.ac.uk; marc.humbert@bct.aphp.fr; anne.garnier@u-psud.fr; catherine.rucker-martin@u-psud.fr; frederic.perros@inserm.fr</t>
  </si>
  <si>
    <t>Ranchoux, Benoît/AAX-6037-2020; David, Montani/I-6885-2019; Adcock, Ian/L-3217-2019; Perros, Frederic/N-6921-2017; Humbert, Marc/AAC-8459-2019; Antigny, Fabrice/Q-3999-2018</t>
  </si>
  <si>
    <t>Perros, Frederic/0000-0001-7730-2427; Montani, David/0000-0002-9358-6922; Humbert, Marc/0000-0003-0703-2892; Garnier, Anne/0000-0002-6241-4554; Boet, Angele/0000-0003-1510-3347; GRESSETTE, Melanie/0000-0003-4942-2530; Rucker-Martin, Catherine/0000-0002-1593-7432; Antigny, Fabrice/0000-0002-9515-6571; Adcock, Ian/0000-0003-2101-8843; Piquereau, Jerome/0000-0002-6019-8683</t>
  </si>
  <si>
    <t>INSERM; National Funding Agency for Research (ANR) [ANR-13-JSV1-0011-01]; Laboratoire d'Excellence (LabEx) en Recherche sur le Medicament et l'Innovation Therapeutique (LERMIT); Assistance Publique Hopitaux de Paris (Departement Hospitalo-Universitaire Thorax Innovation); Legs Poix (Chancellerie des Universites de Paris); Aviesan; Lefoulon Delalande Institute; patient association HTAPFrance; British Heart Foundation [PG/14/27/30679]; ERS Fellowship</t>
  </si>
  <si>
    <t>INSERM(Institut National de la Sante et de la Recherche Medicale (Inserm)); National Funding Agency for Research (ANR)(Agence Nationale de la Recherche (ANR)); Laboratoire d'Excellence (LabEx) en Recherche sur le Medicament et l'Innovation Therapeutique (LERMIT); Assistance Publique Hopitaux de Paris (Departement Hospitalo-Universitaire Thorax Innovation); Legs Poix (Chancellerie des Universites de Paris); Aviesan; Lefoulon Delalande Institute; patient association HTAPFrance; British Heart Foundation(British Heart Foundation); ERS Fellowship</t>
  </si>
  <si>
    <t>This work was supported by research grants from INSERM, National Funding Agency for Research (ANR) (Grant ANR-13-JSV1-0011-01), Laboratoire d'Excellence (LabEx) en Recherche sur le Medicament et l'Innovation Therapeutique (LERMIT), Assistance Publique Hopitaux de Paris (Departement Hospitalo-Universitaire Thorax Innovation), Legs Poix (Chancellerie des Universites de Paris). F.A. was supported by a post-doctoral grant from Aviesan and by Lefoulon Delalande Institute. INSERM UMR_S 999 research unit is also supported by the patient association HTAPFrance. I.M.A and S.M. were supported by the British Heart Foundation Grant PG/14/27/30679. AG was the recipient of an ERS Fellowship.</t>
  </si>
  <si>
    <t>MAR 27</t>
  </si>
  <si>
    <t>10.3390/ijms20071527</t>
  </si>
  <si>
    <t>HU0SD</t>
  </si>
  <si>
    <t>WOS:000464980400012</t>
  </si>
  <si>
    <t>Tu, L; Desroches-Castan, A; Mallet, C; Guyon, L; Cumont, A; Phan, C; Robert, F; Thuillet, R; Bordenave, J; Sekine, A; Huertas, A; Ritvos, O; Savale, L; Feige, JJ; Humbert, M; Bailly, S; Guignabert, C</t>
  </si>
  <si>
    <t>Tu, Ly; Desroches-Castan, Agnes; Mallet, Christine; Guyon, Laurent; Cumont, Amelie; Phan, Carole; Robert, Florian; Thuillet, Raphael; Bordenave, Jennifer; Sekine, Ayumi; Huertas, Alice; Ritvos, Olli; Savale, Laurent; Feige, Jean-Jacques; Humbert, Marc; Bailly, Sabine; Guignabert, Christophe</t>
  </si>
  <si>
    <t>Selective BMP-9 Inhibition Partially Protects Against Experimental Pulmonary Hypertension</t>
  </si>
  <si>
    <t>animal model; endothelial cells; growth differentiation factor 2; pulmonary artery; vascular remodeling</t>
  </si>
  <si>
    <t>HEREDITARY HEMORRHAGIC TELANGIECTASIA; MOUSE MODEL; RECEPTOR; BMP10; DISRUPTION; MUTATIONS; PROTEIN-9; BMPR2; ALK1</t>
  </si>
  <si>
    <t>Rationale: Although many familial cases of pulmonary arterial hypertension exhibit an autosomal dominant mode of inheritance with the majority having mutations in essential constituents of the BMP (bone morphogenetic protein) signaling, the specific contribution of the long-term loss of signal transduction triggered by the BMPR2 (type 2 BMP receptor) remains poorly characterized. Objective: To investigate the role of BMP9, the main ligand of ALK1 (Activin receptor-like kinase 1)/BMPR2 heterocomplexes, in pulmonary hypertension. Method and Results: The absence of BMP9 in Bmp9(-/-) mice and its inhibition in C57BL/6 mice using neutralizing anti-BMP9 antibodies substantially prevent against chronic hypoxia-induced pulmonary hypertension judged by right ventricular systolic pressure measurement, right ventricular hypertrophy, and pulmonary distal arterial muscularization. In agreement with these observations, we found that the BMP9/BMP10 ligand trap ALK1(ECD) administered in monocrotaline or Sugen/hypoxia (SuHx) rats substantially attenuate proliferation of pulmonary vascular cells, inflammatory cell infiltration, and regresses established pulmonary hypertension in rats. Our data obtained in human pulmonary endothelial cells derived from controls and pulmonary arterial hypertension patients indicate that BMP9 can affect the balance between endothelin-1, apelin, and adrenomedullin. We reproduced these in vitro observations in mice chronically exposed to hypoxia, with Bmp9(-/-) mice exhibiting lower mRNA levels of the vasoconstrictor peptide ET-1 (endothelin-1) and higher levels of the 2 potent vasodilator factors apelin and ADM (adrenomedullin) compared with Bmp9(+/+) littermates. Conclusions: Taken together, our data indicate that the loss of BMP9, by deletion or inhibition, has beneficial effects against pulmonary hypertension onset and progression.</t>
  </si>
  <si>
    <t>[Tu, Ly; Desroches-Castan, Agnes; Cumont, Amelie; Phan, Carole; Thuillet, Raphael; Bordenave, Jennifer; Sekine, Ayumi; Huertas, Alice; Savale, Laurent; Humbert, Marc; Guignabert, Christophe] Hop Marie Lannelongue, INSERM, UMR S 999, Le Plessis Robinson, France; [Tu, Ly; Desroches-Castan, Agnes; Cumont, Amelie; Phan, Carole; Thuillet, Raphael; Bordenave, Jennifer; Sekine, Ayumi; Huertas, Alice; Savale, Laurent; Humbert, Marc; Guignabert, Christophe] Univ Paris Sud, Fac Med, Le Kremlin Bicetre, France; [Tu, Ly; Desroches-Castan, Agnes; Cumont, Amelie; Phan, Carole; Thuillet, Raphael; Bordenave, Jennifer; Sekine, Ayumi; Huertas, Alice; Savale, Laurent; Humbert, Marc; Guignabert, Christophe] Univ Paris Saclay, Le Kremlin Bicetre, France; [Desroches-Castan, Agnes; Mallet, Christine; Guyon, Laurent; Robert, Florian; Feige, Jean-Jacques; Bailly, Sabine] Univ Grenoble Alpes, INSERM, CEA, BIG Biol Canc &amp; Infect, Grenoble, France; [Sekine, Ayumi; Huertas, Alice; Savale, Laurent; Humbert, Marc] Hop Bicetre, AP HP, Ctr Reference Hypertens Pulm Severe, Serv Pneumol,DHU Thorax Innovat, Le Kremlin Bicetre, France; [Ritvos, Olli] Univ Helsinki, Fac Med, Dept Bacteriol &amp; Immunol, Helsinki, Finland; [Ritvos, Olli] Univ Helsinki, Fac Med, Dept Physiol, Helsinki, Finland</t>
  </si>
  <si>
    <t>Universite Paris Saclay; Hopital Marie Lannelongue; Institut National de la Sante et de la Recherche Medicale (Inserm); Universite Paris Saclay; Universite Paris Saclay; Communaute Universite Grenoble Alpes; Universite Grenoble Alpes (UGA); CEA; Institut National de la Sante et de la Recherche Medicale (Inserm); Assistance Publique Hopitaux Paris (APHP); Hopital Universitaire Antoine-Beclere - APHP; Hopital Universitaire Bicetre - APHP; Universite Paris Saclay; University of Helsinki; University of Helsinki</t>
  </si>
  <si>
    <t>Guignabert, C (corresponding author), INSERM, UMR S 999, 133 Ave Resistance, F-92350 Le Plessis Robinson, France.;Bailly, S (corresponding author), CEA Grenoble, Lab Biol Canc &amp; Infect, 17 Ave Martyrs, F-38054 Grenoble 9, France.</t>
  </si>
  <si>
    <t>sabine.bailly@cea.fr; christophe.guignabert@inserm.fr</t>
  </si>
  <si>
    <t>Huertas, Alice/E-8244-2017; Ritvos, Olli/GWC-2442-2022; Feige, Jean-Jacques/M-8905-2017; Savale, Laurent/AAJ-9781-2020; Desroches-Castan, Agnes/AAA-4557-2019; bailly, sabine/G-3540-2013; GUIGNABERT, Christophe/G-3873-2013; Humbert, Marc/AAC-8459-2019; Feige, Jean-Jacques/F-5534-2013; TU, Ly/G-4035-2013</t>
  </si>
  <si>
    <t>Ritvos, Olli/0000-0001-7017-6931; Thuillet, Raphael/0000-0002-1379-3797; Castan, Agnes/0000-0002-3301-9504; Guyon, Laurent/0000-0002-7674-2348; bordenave, jennifer/0000-0001-8866-3666; bailly, sabine/0000-0003-1043-7030; GUIGNABERT, Christophe/0000-0002-8545-4452; Humbert, Marc/0000-0003-0703-2892; Feige, Jean-Jacques/0000-0002-1354-7692; TU, Ly/0000-0003-2336-5099</t>
  </si>
  <si>
    <t>French National Institute for Health and Medical Research (INSERM); University of Grenoble; University of Paris-Sud; University ParisSaclay; Marie Lannelongue Hospital; CEA (Commissariat a l'Energie Atomique et aux Energies Alternatives, Direction de la Recherche Fondamentale (DRF)/Institut de Biosciences et Biotechnologies de Grenoble (BIG)/Laboratoire Biologie du Cancer et de l'Infection (BCI)); French National Agency for Research (ANR) [ANR-17-CE14-0006 (Be9inPH)]; Fondation de la Recherche Medicale (FRM) (Equipe FRM 2015) [DEQ20150331712]; Departement Hospitalo-Universitaire Thorax Innovation (TORINO); Assistance Publique-Hopitaux de Paris (AP-HP); Service de Pneumologie, Centre de Reference de l'Hypertension Pulmonaire Severe; LabEx Laboratoire d'Excellence en Recherche sur le Medicament et l'Innovation Therapeutique (LERMIT) [ANR-10-LABX-0033]; French pulmonary arterial hypertension patient association (HTAP France); french Fonds de Dotation Recherche en Sante Respiratoire-(FRSR)-Fondation du Souffle (FdS); Ligues Departementales contre le Cancer de la Loire et de la Savoie; association Maladie de Rendu-Osler (AMRO-HHT France); Association pour la Recherche sur le Cancer (ARC); FRSR-FdS; FRM; Agence Nationale de la Recherche (ANR) [ANR-10-LABX-0033, ANR-17-CE14-0006] Funding Source: Agence Nationale de la Recherche (ANR)</t>
  </si>
  <si>
    <t>French National Institute for Health and Medical Research (INSERM)(Institut National de la Sante et de la Recherche Medicale (Inserm)); University of Grenoble; University of Paris-Sud; University ParisSaclay; Marie Lannelongue Hospital; CEA (Commissariat a l'Energie Atomique et aux Energies Alternatives, Direction de la Recherche Fondamentale (DRF)/Institut de Biosciences et Biotechnologies de Grenoble (BIG)/Laboratoire Biologie du Cancer et de l'Infection (BCI)); French National Agency for Research (ANR)(Agence Nationale de la Recherche (ANR)); Fondation de la Recherche Medicale (FRM) (Equipe FRM 2015); Departement Hospitalo-Universitaire Thorax Innovation (TORINO); Assistance Publique-Hopitaux de Paris (AP-HP); Service de Pneumologie, Centre de Reference de l'Hypertension Pulmonaire Severe; LabEx Laboratoire d'Excellence en Recherche sur le Medicament et l'Innovation Therapeutique (LERMIT); French pulmonary arterial hypertension patient association (HTAP France); french Fonds de Dotation Recherche en Sante Respiratoire-(FRSR)-Fondation du Souffle (FdS); Ligues Departementales contre le Cancer de la Loire et de la Savoie; association Maladie de Rendu-Osler (AMRO-HHT France); Association pour la Recherche sur le Cancer (ARC)(Fondation ARC pour la Recherche sur le Cancer); FRSR-FdS; FRM(Fondation pour la Recherche Medicale); Agence Nationale de la Recherche (ANR)(Agence Nationale de la Recherche (ANR))</t>
  </si>
  <si>
    <t>This research was supported by grants from the French National Institute for Health and Medical Research (INSERM), the University of Grenoble, the University of Paris-Sud and the University ParisSaclay, the Marie Lannelongue Hospital, the CEA (Commissariat a l'Energie Atomique et aux Energies Alternatives, Direction de la Recherche Fondamentale (DRF)/Institut de Biosciences et Biotechnologies de Grenoble (BIG)/Laboratoire Biologie du Cancer et de l'Infection (BCI)), the French National Agency for Research (ANR) grant no. ANR-17-CE14-0006 (Be9inPH), the Fondation de la Recherche Medicale (FRM) grant no. DEQ20150331712 (Equipe FRM 2015), and in part by the Departement Hospitalo-Universitaire Thorax Innovation (TORINO), the Assistance Publique-Hopitaux de Paris (AP-HP), Service de Pneumologie, Centre de Reference de l'Hypertension Pulmonaire Severe, the LabEx Laboratoire d'Excellence en Recherche sur le Medicament et l'Innovation Therapeutique (LERMIT; grant no ANR-10-LABX-0033), the French pulmonary arterial hypertension patient association (HTAP France) and the french Fonds de Dotation Recherche en Sante Respiratoire-(FRSR)-Fondation du Souffle (FdS), the Ligues Departementales contre le Cancer de la Loire et de la Savoie, the association Maladie de Rendu-Osler (AMRO-HHT France), the Association pour la Recherche sur le Cancer (ARC). C. Phan is supported by the FRSR-FdS and J. Bordenave is supported by the FRM.</t>
  </si>
  <si>
    <t>10.1161/CIRCRESAHA.118.313356</t>
  </si>
  <si>
    <t>IA1SA</t>
  </si>
  <si>
    <t>WOS:000469341600010</t>
  </si>
  <si>
    <t>Bousquet, J; Bedbrook, A; Czarlewski, W; Onorato, GL; Arnavielhe, S; Laune, D; Mathieu-Dupas, E; Fonseca, J; Costa, E; Lourenço, O; Morais-Almeida, M; Todo-Bom, A; Illario, M; Menditto, E; Canonica, GW; Cecchi, L; Monti, R; Napoli, L; Ventura, MT; De Feo, G; Fokkens, WJ; Chavannes, NH; Reitsma, S; Cruz, AA; da Silva, J; Serpa, FS; Larenas-Linnemann, D; Perez, JMF; Huerta-Villalobos, YR; Rivero-Yeverino, D; Rodriguez-Zagal, E; Valiulis, A; Dubakiene, R; Emuzyte, R; Kvedariene, V; Annesi-Maesano, I; Blain, H; Bonniaud, P; Bosse, I; Dauvilliers, Y; Devillier, P; Fontaine, JF; Pepin, JL; Pham-Thi, N; Portejoie, F; Picard, R; Roche, N; Rolland, C; Schmidt-Grendelmeier, P; Kuna, P; Samolinski, B; Anto, JM; Cardona, V; Mullol, J; Pinnock, H; Ryan, D; Sheikh, A; Walker, S; Williams, S; Becker, S; Klimek, L; Pfaar, O; Bergmann, KC; Mösges, R; Zuberbier, T; Roller-Wirnsberger, RE; Tomazic, PV; Haahtela, T; Salimäki, J; Toppila-Salmi, S; Valovirta, E; Vasankari, T; Gemicioglu, B; Yorgancioglu, A; Papadopoulos, NG; Prokopakis, EP; Tsiligianni, IG; Bosnic-Anticevich, S; O'Hehir, R; Ivancevich, JC; Neffen, H; Zernotti, ME; Kull, I; Melén, E; Wickman, M; Bachert, C; Hellings, PW; Brusselle, G; Palkonen, S; Bindslev-Jensen, C; Eller, E; Waserman, S; Boulet, LP; Bouchard, J; Chu, DK; Schünemann, HJ; Sova, M; De Vries, G; van Eerd, M; Agache, I; Ansotegui, IJ; Bewick, M; Casale, T; Dykewick, M; Ebisawa, M; Murray, R; Naclerio, R; Okamoto, Y; Wallace, DV; Hellings, PW; Aberer, W; Agache, I; Akdis, CA; Akdis, M; Aliberti, MR; Almeida, R; Amat, F; Angles, R; Annesi-Maesano, I; Ansotegui, IJ; Anto, JM; Arnavielle, S; Asayag, E; Asarnoj, A; Arshad, H; Avolio, F; Bacci, E; Bachert, C; Baiardini, I; Barbara, C; Barbagallo, M; Baroni, I; Barreto, BA; Basagana, X; Bateman, ED; Bedolla-Barajas, M; Bedbrook, A; Bewick, M; Beghé, B; Bel, EH; Bergmann, KC; Bennoor, KS; Benson, M; Bertorello, L; Bialoszewski, AZ; Bieber, T; Bialek, S; Bindslev-Jensen, C; Bjermer, L; Blain, H; Blasi, F; Blua, A; Marciniak, MB; Bogus-Buczynska, I; Boner, AL; Bonini, M; Bonini, S; Bosnic-Anticevich, CS; Bosse, I; Bouchard, J; Boulet, LP; Bourret, R; Bousquet, PJ; Braido, F; Briedis, V; Brightling, CE; Brozek, J; Bucca, C; Buhl, R; Buonaiuto, R; Panaitescu, C; Cabañas, MTB; Burte, E; Bush, A; Caballero-Fonseca, F; Caillaud, D; Caimmi, D; Calderon, MA; Camargos, PAM; Camuzat, T; Canfora, G; Canonica, GW; Cardona, V; Carlsen, KH; Carreiro-Martins, P; Carriazo, AM; Carr, W; Cartier, C; Casale, T; Castellano, G; Cecchi, L; Cepeda, AM; Chavannes, NH; Chen, Y; Chiron, R; Chivato, T; Chkhartishvili, E; Chuchalin, AG; Chung, KF; Ciaravolo, MM; Ciceran, A; Cingi, C; Ciprandi, G; Coehlo, ACC; Colas, L; Colgan, E; Coll, J; Conforti, D; De Sousa, JC; Cortés-Grimaldo, RM; Corti, F; Costa, E; Costa-Dominguez, MC; Courbis, AL; Cox, L; Crescenzo, M; Cruz, AA; Custovic, A; Czarlewski, W; Dahlen, SE; D'Amato, G; Dario, C; da Silva, J; Dauvilliers, Y; Darsow, U; De Blay, F; De Carlo, G; Dedeu, T; Emerson, MDF; De Feo, G; De Vries, G; De Martino, B; Rubina, NPM; Deleanu, D; Demoly, P; Denburg, JA; Devillier, P; Ercolano, SDC; Di Carluccio, N; Didier, A; Dokic, D; Dominguez-Silva, MG; Douagui, H; Dray, G; Dubakiene, R; Durham, SR; Du Toit, G; Dykewicz, MS; El-Gamal, Y; Eklund, P; Eller, E; Emuzyte, R; Farrell, J; Farsi, A; de Mello, JF; Ferrero, J; Fink-Wagner, A; Fiocchi, A; Fokkens, WJ; Fonseca, JA; Fontaine, JF; Forti, S; Fuentes-Perez, JM; Gálvez-Romero, JL; Gamkrelidze, A; Garcia-Aymerich, J; García-Cobas, CY; Garcia-Cruz, MH; Gemicioglu, B; Genova, S; Christoff, G; Gereda, JE; van Wijk, RG; Gomez, RM; Gómez-Vera, J; Diaz, SG; Gotua, M; Grisle, I; Guidacci, M; Guldemond, NA; Gutter, Z; Guzmán, MA; Haahtela, T; Hajjam, J; Hernández, L; Hourihane, JOB; Huerta-Villalobos, YR; Humbert, M; Iaccarino, G; Illario, M; Ispayeva, Z; Ivancevich, JC; Jares, EJ; Jassem, E; Johnston, SL; Joos, G; Jung, KS; Just, J; Jutel, M; Kaidashev, I; Kalayci, O; Kalyoncu, AF; Karjalainen, J; Kardas, P; Keil, T; Keith, PK; Khaitov, M; Khaltaev, N; Kleine-Tebbe, J; Klimek, L; Kowalski, ML; Kuitunen, M; Kull, I; Kuna, P; Kupczyk, M; Kvedariene, V; Krzych-Falta, E; Lacwik, P; Larenas-Linnemann, D; Laune, D; Lauri, D; Lavrut, J; Le, LTT; Lessa, M; Levato, G; Li, J; Lieberman, P; Lipiec, A; Lipworth, B; Carlsen, KCL; Louis, R; Lourenço, O; Luna-Pech, JA; Magnan, A; Mahboub, B; Maier, D; Mair, A; Majer, I; Malva, J; Mandajieva, E; Manning, P; Keenoy, EDM; Marshall, GD; Masjedi, MR; Maspero, JF; Mathieu-Dupas, E; Campos, JJM; Matos, AL; Maurer, M; Mavale-Manuel, S; Mayora, O; Medina-Avalos, MA; Melén, E; Melo-Gomes, E; Meltzer, EO; Menditto, E; Mercier, J; Miculinic, N; Mihaltan, F; Milenkovic, B; Moda, G; Mogica-Martinez, MD; Mohammad, Y; Momas, I; Montefort, S; Monti, R; Bogado, DM; Morais-Almeida, M; Morato-Castro, FF; Mösges, R; Mota-Pinto, A; Santo, PM; Mullol, J; Münter, L; Muraro, A; Murray, R; Naclerio, R; Nadif, R; Nalin, M; Napoli, L; Namazova-Baranova, L; Neffen, H; Niedeberger, V; Nekam, K; Neou, A; Nieto, A; Nogueira-Silva, L; Nogues, M; Novellino, E; Nyembue, TD; O'Hehir, RE; Odzhakova, C; Ohta, K; Okamoto, Y; Okubo, K; Onorato, GL; Cisneros, MO; Ouedraogo, S; Pali-Schöll, I; Palkonen, S; Panzner, P; Papadopoulos, NG; Park, HS; Papi, A; Passalacqua, G; Paulino, E; Pawankar, R; Pedersen, S; Pépin, JL; Pereira, AM; Persico, M; Pfaar, O; Phillips, J; Picard, R; Pigearias, B; Pin, I; Pitsios, C; Plavec, D; Pohl, W; Popov, TA; Portejoie, F; Potter, P; Pozzi, AC; Price, D; Prokopakis, EP; Puy, R; Pugin, B; Ross, REP; Przemecka, M; Rabe, KF; Raciborski, F; Rajabian-Soderlund, R; Reitsma, S; Ribeirinho, I; Rimmer, J; Rivero-Yeverino, D; Rizzo, JA; Rizzo, MC; Robalo-Cordeiro, C; Rodenas, F; Rodo, X; Gonzalez, MR; Rodriguez-Mañas, L; Rolland, C; Valle, SR; Rodriguez, MR; Romano, A; Rodriguez-Zagal, E; Rolla, G; Roller-Wirnsberger, RE; Romano, M; Rosado-Pinto, J; Rosario, N; Rottem, M; Ryan, D; Sagara, H; Salimäki, J; Samolinski, B; Sanchez-Borges, M; Sastre-Dominguez, J; Scadding, GK; Schunemann, HJ; Scichilone, N; Schmid-Grendelmeier, P; Serpa, FS; Shamai, S; Sheikh, A; Sierra, M; Simons, FER; Siroux, V; Sisul, JC; Skrindo, I; Solé, D; Somekh, D; Sondermann, M; Sooronbaev, T; Sova, M; Sorensen, M; Sorlini, M; Spranger, O; Stellato, C; Stelmach, R; Stukas, R; Sunyer, J; Strozek, J; Szylling, A; Tebyriçá, JN; Thibaudon, M; To, T; Todo-Bom, A; Tomazic, PV; Toppila-Salmi, S; Trama, U; Triggiani, M; Ulrik, CS; Urrutia-Pereira, M; Valenta, R; Valero, A; Valiulis, A; Valovirta, E; van Eerd, M; van Ganse, E; van Hague, M; Vandenplas, O; Ventura, MT; Vezzani, G; Vasankari, T; Vatrella, A; Verissimo, MT; Viart, F; Viegi, G; Vicheva, D; Vontetsianos, T; Wagenmann, M; Walker, S; Wallace, D; Wang, DY; Waserman, S; Werfel, T; Westman, M; Wickman, M; Williams, DM; Williams, S; Wilson, N; Wright, J; Wroczynski, P; Yakovliev, P; Yawn, BP; Yiallouros, PK; Yorgancioglu, A; Yusuf, OM; Zar, HJ; Zhang, L; Zhong, N; Zernotti, ME; Zhanat, I; Zidarn, M; Zuberbier, T; Zubrinich, C; Zurkuhlen, A</t>
  </si>
  <si>
    <t>Bousquet, J.; Bedbrook, A.; Czarlewski, W.; Onorato, G. L.; Arnavielhe, S.; Laune, D.; Mathieu-Dupas, E.; Fonseca, J.; Costa, E.; Lourenco, O.; Morais-Almeida, M.; Todo-Bom, A.; Illario, M.; Menditto, E.; Canonica, G. W.; Cecchi, L.; Monti, R.; Napoli, L.; Ventura, M. T.; De Feo, G.; Fokkens, W. J.; Chavannes, N. H.; Reitsma, S.; Cruz, A. A.; da Silva, J.; Serpa, F. S.; Larenas-Linnemann, D.; Perez, J. M. Fuentes; Huerta-Villalobos, Y. R.; Rivero-Yeverino, D.; Rodriguez-Zagal, E.; Valiulis, A.; Dubakiene, R.; Emuzyte, R.; Kvedariene, V.; Annesi-Maesano, I.; Blain, H.; Bonniaud, P.; Bosse, I.; Dauvilliers, Y.; Devillier, P.; Fontaine, J. F.; Pepin, J. L.; Pham-Thi, N.; Portejoie, F.; Picard, R.; Roche, N.; Rolland, C.; Schmidt-Grendelmeier, P.; Kuna, P.; Samolinski, B.; Anto, J. M.; Cardona, V.; Mullol, J.; Pinnock, H.; Ryan, D.; Sheikh, A.; Walker, S.; Williams, S.; Becker, S.; Klimek, L.; Pfaar, O.; Bergmann, K. C.; Mosges, R.; Zuberbier, T.; Roller-Wirnsberger, R. E.; Tomazic, P. V.; Haahtela, T.; Salimaki, J.; Toppila-Salmi, S.; Valovirta, E.; Vasankari, T.; Gemicioglu, B.; Yorgancioglu, A.; Papadopoulos, N. G.; Prokopakis, E. P.; Tsiligianni, I. G.; Bosnic-Anticevich, S.; O'Hehir, R.; Ivancevich, J. C.; Neffen, H.; Zernotti, M. E.; Kull, I.; Melen, E.; Wickman, M.; Bachert, C.; Hellings, P. W.; Brusselle, G.; Palkonen, S.; Bindslev-Jensen, C.; Eller, E.; Waserman, S.; Boulet, L. P.; Bouchard, J.; Chu, D. K.; Schunemann, H. J.; Sova, M.; De Vries, G.; van Eerd, M.; Agache, I.; Ansotegui, I. J.; Bewick, M.; Casale, T.; Dykewick, M.; Ebisawa, M.; Murray, R.; Naclerio, R.; Okamoto, Y.; Wallace, D. V.; Hellings, P. W.; Aberer, W.; Agache, I.; Akdis, C. A.; Akdis, M.; Aliberti, M. R.; Almeida, R.; Amat, F.; Angles, R.; Annesi-Maesano, I.; Ansotegui, I. J.; Anto, J. M.; Arnavielle, S.; Asayag, E.; Asarnoj, A.; Arshad, H.; Avolio, F.; Bacci, E.; Bachert, C.; Baiardini, I.; Barbara, C.; Barbagallo, M.; Baroni, I.; Barreto, B. A.; Basagana, X.; Bateman, E. D.; Bedolla-Barajas, M.; Bedbrook, A.; Bewick, M.; Beghe, B.; Bel, E. H.; Bergmann, K. C.; Bennoor, K. S.; Benson, M.; Bertorello, L.; Bialoszewski, A. Z.; Bieber, T.; Bialek, S.; Bindslev-Jensen, C.; Bjermer, L.; Blain, H.; Blasi, F.; Blua, A.; Marciniak, M. Bochenska; Bogus-Buczynska, I.; Boner, A. L.; Bonini, M.; Bonini, S.; Bosnic-Anticevich, C. S.; Bosse, I.; Bouchard, J.; Boulet, L. P.; Bourret, R.; Bousquet, P. J.; Braido, F.; Briedis, V.; Brightling, C. E.; Brozek, J.; Bucca, C.; Buhl, R.; Buonaiuto, R.; Panaitescu, C.; Cabanas, M. T. Burguete; Burte, E.; Bush, A.; Caballero-Fonseca, F.; Caillaud, D.; Caimmi, D.; Calderon, M. A.; Camargos, P. A. M.; Camuzat, T.; Canfora, G.; Canonica, G. W.; Cardona, V.; Carlsen, K. H.; Carreiro-Martins, P.; Carriazo, A. M.; Carr, W.; Cartier, C.; Casale, T.; Castellano, G.; Cecchi, L.; Cepeda, A. M.; Chavannes, N. H.; Chen, Y.; Chiron, R.; Chivato, T.; Chkhartishvili, E.; Chuchalin, A. G.; Chung, K. F.; Ciaravolo, M. M.; Ciceran, A.; Cingi, C.; Ciprandi, G.; Coehlo, A. C. Carvalho; Colas, L.; Colgan, E.; Coll, J.; Conforti, D.; De Sousa, J. Correia; Cortes-Grimaldo, R. M.; Corti, F.; Costa, E.; Costa-Dominguez, M. C.; Courbis, A. L.; Cox, L.; Crescenzo, M.; Cruz, A. A.; Custovic, A.; Czarlewski, W.; Dahlen, S. E.; D'Amato, G.; Dario, C.; da Silva, J.; Dauvilliers, Y.; Darsow, U.; De Blay, F.; De Carlo, G.; Dedeu, T.; Emerson, M. de Fatima; De Feo, G.; De Vries, G.; De Martino, B.; Rubina, N. P. Motta; Deleanu, D.; Demoly, P.; Denburg, J. A.; Devillier, P.; Ercolano, S. Di Capua; Di Carluccio, N.; Didier, A.; Dokic, D.; Dominguez-Silva, M. G.; Douagui, H.; Dray, G.; Dubakiene, R.; Durham, S. R.; Du Toit, G.; Dykewicz, M. S.; El-Gamal, Y.; Eklund, P.; Eller, E.; Emuzyte, R.; Farrell, J.; Farsi, A.; Ferreira de Mello, J., Jr.; Ferrero, J.; Fink-Wagner, A.; Fiocchi, A.; Fokkens, W. J.; Fonseca, J. A.; Fontaine, J. F.; Forti, S.; Fuentes-Perez, J. M.; Galvez-Romero, J. L.; Gamkrelidze, A.; Garcia-Aymerich, J.; Garcia-Cobas, C. Y.; Garcia-Cruz, M. H.; Gemicioglu, B.; Genova, S.; Christoff, G.; Gereda, J. E.; van Wijk, R. Gerth; Gomez, R. M.; Gomez-Vera, J.; Diaz, S. Gonzalez; Gotua, M.; Grisle, I.; Guidacci, M.; Guldemond, N. A.; Gutter, Z.; Guzman, M. A.; Haahtela, T.; Hajjam, J.; Hernandez, L.; Hourihane, J. O' B.; Huerta-Villalobos, Y. R.; Humbert, M.; Iaccarino, G.; Illario, M.; Ispayeva, Z.; Ivancevich, J. C.; Jares, E. J.; Jassem, E.; Johnston, S. L.; Joos, G.; Jung, K. S.; Just, J.; Jutel, M.; Kaidashev, I.; Kalayci, O.; Kalyoncu, A. F.; Karjalainen, J.; Kardas, P.; Keil, T.; Keith, P. K.; Khaitov, M.; Khaltaev, N.; Kleine-Tebbe, J.; Klimek, L.; Kowalski, M. L.; Kuitunen, M.; Kull, I.; Kuna, P.; Kupczyk, M.; Kvedariene, V.; Krzych-Falta, E.; Lacwik, P.; Larenas-Linnemann, D.; Laune, D.; Lauri, D.; Lavrut, J.; Le, L. T. T.; Lessa, M.; Levato, G.; Li, J.; Lieberman, P.; Lipiec, A.; Lipworth, B.; Carlsen, K. C. Lodrup; Louis, R.; Lourenco, O.; Luna-Pech, J. A.; Magnan, A.; Mahboub, B.; Maier, D.; Mair, A.; Majer, I.; Malva, J.; Mandajieva, E.; Manning, P.; Keenoy, E. De Manuel; Marshall, G. D.; Masjedi, M. R.; Maspero, J. F.; Mathieu-Dupas, E.; Campos, J. J. Matta; Matos, A. L.; Maurer, M.; Mavale-Manuel, S.; Mayora, O.; Medina-Avalos, M. A.; Melen, E.; Melo-Gomes, E.; Meltzer, E. O.; Menditto, E.; Mercier, J.; Miculinic, N.; Mihaltan, F.; Milenkovic, B.; Moda, G.; Mogica-Martinez, M. D.; Mohammad, Y.; Momas, I.; Montefort, S.; Monti, R.; Bogado, D. Mora; Morais-Almeida, M.; Morato-Castro, F. F.; Mosges, R.; Mota-Pinto, A.; Santo, P. Moura; Mullol, J.; Munter, L.; Muraro, A.; Murray, R.; Naclerio, R.; Nadif, R.; Nalin, M.; Napoli, L.; Namazova-Baranova, L.; Neffen, H.; Niedeberger, V.; Nekam, K.; Neou, A.; Nieto, A.; Nogueira-Silva, L.; Nogues, M.; Novellino, E.; Nyembue, T. D.; O'Hehir, R. E.; Odzhakova, C.; Ohta, K.; Okamoto, Y.; Okubo, K.; Onorato, G. L.; Cisneros, M. Ortega; Ouedraogo, S.; Pali-Scholl, I.; Palkonen, S.; Panzner, P.; Papadopoulos, N. G.; Park, H. S.; Papi, A.; Passalacqua, G.; Paulino, E.; Pawankar, R.; Pedersen, S.; Pepin, J. L.; Pereira, A. M.; Persico, M.; Pfaar, O.; Phillips, J.; Picard, R.; Pigearias, B.; Pin, I.; Pitsios, C.; Plavec, D.; Pohl, W.; Popov, T. A.; Portejoie, F.; Potter, P.; Pozzi, A. C.; Price, D.; Prokopakis, E. P.; Puy, R.; Pugin, B.; Ross, R. E. Pulido; Przemecka, M.; Rabe, K. F.; Raciborski, F.; Rajabian-Soderlund, R.; Reitsma, S.; Ribeirinho, I.; Rimmer, J.; Rivero-Yeverino, D.; Rizzo, J. A.; Rizzo, M. C.; Robalo-Cordeiro, C.; Rodenas, F.; Rodo, X.; Gonzalez, M. Rodriguez; Rodriguez-Manas, L.; Rolland, C.; Valle, S. Rodrigues; Rodriguez, M. Roman; Romano, A.; Rodriguez-Zagal, E.; Rolla, G.; Roller-Wirnsberger, R. E.; Romano, M.; Rosado-Pinto, J.; Rosario, N.; Rottem, M.; Ryan, D.; Sagara, H.; Salimaki, J.; Samolinski, B.; Sanchez-Borges, M.; Sastre-Dominguez, J.; Scadding, G. K.; Schunemann, H. J.; Scichilone, N.; Schmid-Grendelmeier, P.; Serpa, F. S.; Shamai, S.; Sheikh, A.; Sierra, M.; Simons, F. E. R.; Siroux, V.; Sisul, J. C.; Skrindo, I.; Sole, D.; Somekh, D.; Sondermann, M.; Sooronbaev, T.; Sova, M.; Sorensen, M.; Sorlini, M.; Spranger, O.; Stellato, C.; Stelmach, R.; Stukas, R.; Sunyer, J.; Strozek, J.; Szylling, A.; Tebyrica, J. N.; Thibaudon, M.; To, T.; Todo-Bom, A.; Tomazic, P. V.; Toppila-Salmi, S.; Trama, U.; Triggiani, M.; Ulrik, C. Suppli; Urrutia-Pereira, M.; Valenta, R.; Valero, A.; Valiulis, A.; Valovirta, E.; van Eerd, M.; van Ganse, E.; van Hague, M.; Vandenplas, O.; Ventura, M. T.; Vezzani, G.; Vasankari, T.; Vatrella, A.; Verissimo, M. T.; Viart, F.; Viegi, G.; Vicheva, D.; Vontetsianos, T.; Wagenmann, M.; Walker, S.; Wallace, D.; Wang, D. Y.; Waserman, S.; Werfel, T.; Westman, M.; Wickman, M.; Williams, D. M.; Williams, S.; Wilson, N.; Wright, J.; Wroczynski, P.; Yakovliev, P.; Yawn, B. P.; Yiallouros, P. K.; Yorgancioglu, A.; Yusuf, O. M.; Zar, H. J.; Zhang, L.; Zhong, N.; Zernotti, M. E.; Zhanat, I.; Zidarn, M.; Zuberbier, T.; Zubrinich, C.; Zurkuhlen, A.</t>
  </si>
  <si>
    <t>MASK Study Grp</t>
  </si>
  <si>
    <t>Guidance to 2018 good practice: ARIA digitally-enabled, integrated, person-centred care for rhinitis and asthma</t>
  </si>
  <si>
    <t>App; Asthma; Care pathways; MASK; mHealth; Rhinitis; DG Sante</t>
  </si>
  <si>
    <t>CHRONIC RESPIRATORY-DISEASES; QUALITY-OF-LIFE; CLINICAL-PRACTICE GUIDELINES; WORLD-HEALTH-ORGANIZATION; ALLERGIC RHINITIS; PRECISION MEDICINE; EUROPEAN SYMPOSIUM; MOBILE TECHNOLOGY; SENTINEL NETWORK; GRADING QUALITY</t>
  </si>
  <si>
    <t>AimsMobile Airways Sentinel NetworK (MASK) belongs to the Fondation Partenariale MACVIA-LR of Montpellier, France and aims to provide an active and healthy life to rhinitis sufferers and to those with asthma multimorbidity across the life cycle, whatever their gender or socio-economic status, in order to reduce health and social inequities incurred by the disease and to improve the digital transformation of health and care. The ultimate goal is to change the management strategy in chronic diseases.MethodsMASK implements ICT technologies for individualized and predictive medicine to develop novel care pathways by a multi-disciplinary group centred around the patients.StakeholdersInclude patients, health care professionals (pharmacists and physicians), authorities, patient's associations, private and public sectors.ResultsMASK is deployed in 23 countries and 17 languages. 26,000 users have registered.EU grants (2018)MASK is participating in EU projects (POLLAR: impact of air POLLution in Asthma and Rhinitis, EIT Health, DigitalHealthEurope, Euriphi and Vigour).Lessons learnt(i) Adherence to treatment is the major problem of allergic disease, (ii) Self-management strategies should be considerably expanded (behavioural), (iii) Change management is essential in allergic diseases, (iv) Education strategies should be reconsidered using a patient-centred approach and (v) Lessons learnt for allergic diseases can be expanded to chronic diseases.</t>
  </si>
  <si>
    <t xml:space="preserve">[Bousquet, J.; Bedbrook, A.; Onorato, G. L.; Portejoie, F.] CHRU Arnaud Villeneuve, Fdn Partenariale FMC VIA LR, MACVIA France, 371 Ave Doyen Gaston Giraud, F-34295 Montpellier 5, France; [Bousquet, J.] INSERM, U 1168, VIMA Ageing Chron Dis Epidemiol Publ Hlth App, Villejuif, France; [Bousquet, J.] Univ Versailles St Quentin En Yvelines, UMRS 1168, Montigny Le Bretonneux, France; [Bousquet, J.; Hellings, P. W.; Hellings, P. W.] Euforea, Brussels, Belgium; [Bousquet, J.] Humboldt Univ, Berlin Inst Hlth, Comprehens Allergy Ctr, Berlin, Germany; [Bousquet, J.] Charite Univ Med Berlin, Dept Dermatol &amp; Allergy, Berlin, Germany; [Czarlewski, W.] Med Consulting Czarlewski, Levallois Perret, France; [Arnavielhe, S.; Laune, D.; Mathieu-Dupas, E.] KYomed INNOV, Montpellier, France; [Fonseca, J.] Univ Porto, Ctr Res Hlth Technol &amp; Informat Syst, Faculdade Medicina, Medida, Lda Porto, Portugal; [Costa, E.] Univ Porto, Fac Pharm &amp; Competence Ctr Active &amp; Healthy Agein, UCIBIO, REQUINTE, Porto, Portugal; [Lourenco, O.] Univ Beira Interior, Fac Hlth Sci, Covilha, Portugal; [Lourenco, O.] Univ Beira Interior, CICS UBI, Hlth Sci Res Ctr, Covilha, Portugal; [Morais-Almeida, M.] CUF Descobertas Hosp, Allergy Ctr, Lisbon, Portugal; [Todo-Bom, A.] Ctr Hosp Univ Coimbra, Imunoalergol, Coimbra, Portugal; [Todo-Bom, A.] Univ Coimbra, Fac Med, Coimbra, Portugal; [Illario, M.] Campania Region, Div Hlth Innovat, Naples, Italy; [Illario, M.] Federico II Univ Hosp Naples R &amp; D DISMET, Naples, Italy; [Menditto, E.] Univ Naples Federico II, CIRFF, Naples, Italy; [Canonica, G. W.] Humanitas Univ, Humanitas Res Hosp, Personalized Med Clin Asthma &amp; Allergy, Rozzano, Milan, Italy; [Cecchi, L.] USL Toscana Ctr, SOS Allergol &amp; Clin Immunol, Prato, Italy; [Monti, R.] Univ Torino, Dept Med Sci, Allergy &amp; Clin Immunol Unit, Turin, Italy; [Monti, R.] Mauriziano Hosp, Turin, Italy; [Napoli, L.] Consortium Pharmacies &amp; Serv COSAFER, Salerno, Italy; [Ventura, M. T.] Univ Bari Med Sch, Unit Geriatr Immunoallergol, Bari, Italy; [De Feo, G.] Univ Salerno, Dept Med, Surg &amp; Dent Scuola Medica Salernitana, Salerno, Italy; [Fokkens, W. J.; Reitsma, S.] Amsterdam Univ Med Ctr AMC, Dept Otorhinolaryngol, Amsterdam, Netherlands; [Chavannes, N. H.] Leiden Univ Med Ctr, Dept Publ Hlth &amp; Primary Care, Leiden, Netherlands; [Cruz, A. A.] Univ Fed Bahia, ProAR Nucleo Excelencia Asma, Vitoria, Brazil; [da Silva, J.] WHO GARD Planning Grp, Salvador, BA, Brazil; [Serpa, F. S.] Fed Univ Santa Catarina UFSC, Thiago Univ Hosp, Dept Internal Med &amp; Allerg Clin, Prof Polydoro Ernani Sao, Florianopolis, SC, Brazil; [Serpa, F. S.] Escola Super Ciencias Santa Casa Misericor Vitoria, Asthma Reference Ctr, Escola Super Ciencias, Vitoria, Spain; [Larenas-Linnemann, D.] Medica Clin Fdn &amp; Hosp, Ctr Excellence Asthma &amp; Allergy, Mexico City, DF, Mexico; [Perez, J. M. Fuentes; Huerta-Villalobos, Y. R.] Hosp Gen Reg 1 Dr Carlos Mc Gregor Sanchez Navarr, Mexico City, DF, Mexico; [Rivero-Yeverino, D.; Rodriguez-Zagal, E.] Allergist, Mexico City, DF, Mexico; [Valiulis, A.] Vilnius Univ Inst Clin Med, Inst Hlth Sci Dept Publ Hlth, Clin Childrens Dis, Vilnius, Lithuania; [Valiulis, A.] European Acad Paediat EAP UEMS SP, Brussels, Belgium; [Dubakiene, R.] Vilnius Univ, Clin Infect Chest Dis Dermatol &amp; Allergol, Vilnius, Lithuania; [Emuzyte, R.] Vilnius Univ, Clin Childrens Dis, Fac Med, Vilnius, Lithuania; [Kvedariene, V.] Vilnius Univ, Fac Med, Vilnius, Lithuania; [Annesi-Maesano, I.] Sorbonne Univ, Med Sch St Antoine, Dept Inst Pierre Louis Epidemiol &amp; Publ Hlth, Epidemiol Allerg &amp; Resp Dis,INSERM, Paris, France; [Blain, H.] Montpellier Univ Hosp, Dept Geriatr, Montpellier, France; [Blain, H.] Univ Montpellier, EA 2991, Euromov, Montpellier, France; [Bonniaud, P.] CHU Dijon, Dijon, France; [Bosse, I.] Allergist, La Rochelle, France; [Dauvilliers, Y.] Hop Gui Chauliac Montpellier, Dept Neurol, Sleep Unit, Montpellier, France; [Dauvilliers, Y.] INSERM, U1061, Montpellier, France; [Devillier, P.] Univ Paris Saclay, Hop Foch, Pole Malad Voies Resp, UPRES EA220, Suresnes, France; [Fontaine, J. F.] Allergist, Reims, France; [Pepin, J. L.] Univ Grenoble Alpes, Lab HP2, Grenoble, INSERM U1042, Grenoble, France; [Pepin, J. L.] CHU Grenoble, Grenoble, France; [Pham-Thi, N.] Inst Pasteur, Dept Allergy, Paris, France; [Picard, R.] Conseil Gen Econ Ministere Econ, Ind &amp; Numer, Paris, France; [Roche, N.] Hopitaux Univ Paris, Ctr Hop Cochin, Pneumol &amp; Soins Intensifs Respiratoires, Paris, France; [Rolland, C.] Assoc Asthme &amp; Allergie, Paris, France; [Schmidt-Grendelmeier, P.] Univ Zurich Hosp, Dept Dermatol, Allergy Unit, Zurich, Switzerland; [Kuna, P.] Med Univ Lodz, Barlicki Univ Hosp, Div Internal Med Asthma &amp; Allergy, Lodz, Poland; [Samolinski, B.] Med Univ Warsaw, Dept Prevent Envinronmental Hazards &amp; Allergol, Warsaw, Poland; [Anto, J. M.] Ctr Res Environm Epidemiol CREAL, ISGlobAL, Barcelona, Spain; [Anto, J. M.] IMIM Hosp Mar Res Inst, Barcelona, Spain; [Anto, J. M.] CIBER Epidemiologia Salud Publ CIBERESP, Barcelona, Spain; [Anto, J. M.] Univ Pompeu Fabra UPF, Barcelona, Spain; [Cardona, V.] Hosp Vall Hebron ARADyAL Res Network, Allergy Sect, Dept Internal Med, Barcelona, Spain; [Mullol, J.] Univ Barcelona, Hosp Clin, ENT Dept, Rhinol Unit &amp; Smell Clin, Barcelona, Spain; [Mullol, J.] Univ Barcelona, Clin &amp; Expt Resp Immunoallergy, IDIBAPS, CIBERES, Barcelona, Spain; [Pinnock, H.] Univ Edinburgh, Usher Inst Populat Hlth Sci &amp; Informat, Asthma UK Ctr Appl Res, Edinburgh, Midlothian, Scotland; [Ryan, D.] Univ Edinburgh, Usher Inst Populat Hlth Sci &amp; Informat, Sch Med, Honorary Clin Res Fellow Allergy &amp; Resp Res Grp, Edinburgh, Midlothian, Scotland; [Sheikh, A.; Tsiligianni, I. G.] Univ Edinburgh, Usher Inst Populat Hlth Sci &amp; Informat, Edinburgh, Midlothian, Scotland; [Walker, S.] Asthma UK, Mansell St, London, England; [Williams, S.] Int Primary Care Resp Grp IPCRG, Aberdeen, Scotland; [Becker, S.] Johannes Gutenberg Univ Mainz, Dept Otolaryngol Head &amp; Neck Surg, Mainz, Germany; [Klimek, L.] Ctr Rhinol &amp; Allergol, Wiesbaden, Germany; [Pfaar, O.] Univ Hosp Marburg, Phillipps Univ Marburg, Sect Rhinol &amp; Allergy, Dept Otorhinolaryngol Head &amp; Neck Surg, Marburg, Germany; [Bergmann, K. C.; Zuberbier, T.] Charite Univ Med Berlin, Corp Member Freie Univ Berlin, Humboldt Uniersitat Berlin, Berlin, Germany; [Bergmann, K. C.; Zuberbier, T.] GA2LEN, Dept Dermatol &amp; Allergy, Berlin Inst Hlth Comprehens Allergy Ctr, Berlin, Germany; [Mosges, R.] Univ Cologne, Inst Med Stat &amp; Computat Biol, Fac Med, Cologne, Germany; [Mosges, R.] CRI Clin Res Int Ltd, Hamburg, Germany; [Roller-Wirnsberger, R. E.] Med Univ Graz, Dept Internal Med, Graz, Austria; [Tomazic, P. V.] Med Univ Graz, Dept ENT, Graz, Austria; [Haahtela, T.; Toppila-Salmi, S.] Univ Helsinki, Helsinki Univ Hosp, Skin &amp; Allergy Hosp, Helsinki, Finland; [Salimaki, J.] Assoc Finnish Pharmacies, Helsinki, Finland; [Valovirta, E.] Univ Turku, Dept Lung Dis &amp; Clin Immunol, Terveystalo Allergy Clin, Turku, Finland; [Vasankari, T.] Finnish Lung Assoc, FILHA, Helsinki, Finland; [Gemicioglu, B.] Istanbul Univ Cerrahpasa, Cerrahpasa Fac Med, Dept Pulm Dis, Istambul, Cerrahpasa, Turkey; [Yorgancioglu, A.] Celal Bayar Univ, Dept Pulm Dis, Fac Med, Manisa, Turkey; [Papadopoulos, N. G.] Univ Manchester, Royal Manchester Childrens Hosp, Div Infect Immun &amp; Resp Med, Manchester, Lancs, England; [Papadopoulos, N. G.] Athens Gen Childrens Hosp P &amp; A Kyriakou, Dept Allergy, Pediat Clin 2, Athens, Greece; [Prokopakis, E. P.] Univ Crete, Dept Otorhinolaryngol, Sch Med, Iraklion, Greece; [Tsiligianni, I. G.] Univ Crete, Dept Social Med, Hlth Planning Unit, Fac Med, Crete, NE USA; [Bosnic-Anticevich, S.] Univ Sydney, Woolcock Inst Med Res, Glebe, NSW, Australia; [Bosnic-Anticevich, S.] Woolcock Emphysema Ctr, Woolcock Inst Med Res, Glebe, NSW, Australia; [Bosnic-Anticevich, S.] Local Hlth Dist, Woolcock Inst Med Res, Glebe, NSW, Australia; [O'Hehir, R.] Monash Univ, Alfred Hosp, Dept Allergy Immunol &amp; Resp Med, Cent Clin Sch, Melbourne, Vic, Australia; [O'Hehir, R.] Monash Univ, Dept Immunol, Melbourne, Vic, Australia; [Ivancevich, J. C.] Clin Santa Isabel, Serv Alergia &amp; Immunol, Buenos Aires, DF, Argentina; [Neffen, H.] Ctr Allergy Immunol &amp; Resp Dis, Santa Fe, NM USA; [Neffen, H.] Argentina Ctr Allergy &amp; Immunol, Santa Fe, Argentina; [Zernotti, M. E.] Univ Catolica Cordoba, Cordoba, Argentina; [Kull, I.] Karolinska Inst, Dept Clin Sci &amp; Educ, Sodersjukhuset, Stockholm, Sweden; [Kull, I.; Melen, E.] Sachs Children &amp; Youth Hosp, Sodersjukhuset, Stockholm, Sweden; [Kull, I.; Melen, E.] Karolinska Inst, Inst Environm Med, Stockholm, Sweden; [Wickman, M.] Uppsala Univ, Ctr Clin Res Sormland, Eskilstuna, Uppsala, Sweden; [Bachert, C.] Ghent Univ Hosp, ENT Dept, Upper Airways Res Lab, Ghent, Belgium; [Hellings, P. W.; Hellings, P. W.] Univ Hosp Leuven, Dept Otorhinolaryngol, Louvain, Belgium; [Hellings, P. W.; Hellings, P. W.] Univ Amsterdam, Acad Med Ctr, Amsterdam, Netherlands; [Brusselle, G.] Ghent Univ Hosp, Dept Resp Med, Ghent, Belgium; [Palkonen, S.] EFA European Federat Allergy, Airways Dis Patients Associat, Brussels, Belgium; [Bindslev-Jensen, C.; Eller, E.] Odense Univ Hosp, Dept Dermatol &amp; Allergy Ctr, Odense Res Ctr Anaphylaxis ORCA, Odense, Denmark; [Waserman, S.] McMaster Univ, Dept Med Clin Immunol &amp; Allergy, Hamilton, ON, Canada; [Boulet, L. P.] Univ Laval, Quebec Heart &amp; Lung Inst, Quebec City, PQ, Canada; [Bouchard, J.] Lavals Univ, Clin Medecine, Quebec City, PQ, Canada; [Chu, D. K.; Schunemann, H. J.] Hop Malbaie, Dept Med, Quebec City, PQ, Canada; [Sova, M.] McMaster Univ, Div Immunol &amp; Allergy, Dept Hlth Res Methods Evidence &amp; Impact, Hamilton, ON, Canada; [De Vries, G.; van Eerd, M.] Univ Hosp Olomouc, Dept Resp Med, Olomouc, Czech Republic; [De Vries, G.; van Eerd, M.] Peercode BV, Geldermalsen, Netherlands; [Agache, I.] Transylvania Univ, Fac Med, Brasov, Romania; [Ansotegui, I. J.] Hosp Quiron Bizkaia, Dept Allergy &amp; Immunol, Erandio, Spain; [Bewick, M.] IQ4U Consultants Ltd, London, England; [Casale, T.] Univ S Florida, Div Allergy Immunol, Tampa, FL USA; [Dykewick, M.] St Louis Univ Sch Med, Sect Allergy &amp; Immunol, St Louis, MO USA; [Ebisawa, M.] Sagamihara Natl Hosp, Clin Reserch Ctr Allergy &amp; Rheumatol, Sagamihara, Kanagawa, Japan; [Murray, R.] MedScript Ltd Ireland &amp; New Zealand, Dundalk, Ireland; [Murray, R.] OPC, Cambridge, England; [Naclerio, R.; Naclerio, R.] Johns Hopkins Sch Med, Baltimore, MD USA; [Okamoto, Y.] Chiba Univ Hosp, Dept Otorhinolaryngol, Chiba, Japan; [Wallace, D. V.; Wallace, D.] Nova Southeastern Univ, Ft Lauderdale, FL 33314 USA; [Bousquet, J.] Univ Hosp, Montpellier, France; [Bousquet, J.] Fdn Partenariale FMC VIA LR, MACVIA France, Montpellier, France; [Bousquet, J.; Burte, E.; Nadif, R.] INSERM, U 1168, VIMA, VIMA Ageing &amp; Chron Dis Epidemiol &amp; Publ Hlth App, Villejuif, France; [Bousquet, J.; Burte, E.; Nadif, R.] Univ Versailles St Quentin En Yvelines, UMR S 1168, Montigny Le Bretonneux, France; [Hellings, P. W.] Katholieke Univ Leuven, Dept Microbiol &amp; Immunol, Leuven, Belgium; [Aberer, W.] Med Univ Graz, Dept Dermatol, Graz, Austria; [Agache, I.] Transylvania Univ Brasov, Brasov, Romania; [Akdis, C. A.; Akdis, M.] Univ Zurich, Swiss Inst Allergy &amp; Asthma Res SIAF, Davos, Switzerland; [Aliberti, M. R.] Council Municipal Salerno, Salerno, Italy; [Almeida, R.] Univ Porto, Fac Med, Ctr Hlth Technol &amp; Serv Res CINTESIS, Porto, Portugal; [Almeida, R.] Medida Lda, Porto, Portugal; [Amat, F.; Just, J.] Hop Enfants Armand Trousseau, AP HP, Ctr Asthme &amp; Allergies, Allergol Dept, Paris, France; [Amat, F.; Just, J.] UPMC Univ Paris 06, Sorbonne Univ, Inst Pierre Louis Epidemiol &amp; Sante Publ, Equipe EPAR,UMR S 1136, Paris, France; [Angles, R.; Coll, J.; Sierra, M.] Salud Sect Sanitario Barbastro, Innovac &amp; Nuevas Tecnol, Barbastro, Spain; [Annesi-Maesano, I.; Bousquet, P. J.; Demoly, P.] INSERM, Inst Pierre Louis Epidemiol &amp; Publ Hlth, Epidemiol Allerg &amp; Resp Dis Dept, Paris, France; [Annesi-Maesano, I.; Bousquet, P. J.; Demoly, P.] Sorbonne Univ, Med Sch St Antoine, Paris, France; [Ansotegui, I. J.] Hosp Quiron Bizkaia, Dept Allergy &amp; Immunol, Erandio, Spain; [Anto, J. M.; Basagana, X.; Garcia-Aymerich, J.; Rodo, X.] ISGlobAL, Ctr Res Environm Epidemiol CREAL, Barcelona, Spain; [Anto, J. M.] IMIM Hosp del Mar Res Inst, Barcelona, Spain; [Anto, J. M.] CIBER Epidemiol &amp; Salud Publ CIBERESP, Barcelona, Spain; [Anto, J. M.] Univ Pompeu Fabra UPF, Barcelona, Spain; [Arnavielle, S.; Laune, D.; Mathieu-Dupas, E.] KYomed INNOV, Montpellier, France; [Asayag, E.] Argentine Soc Allergy &amp; Immunopathol, Buenos Aires, DF, Argentina; [Asarnoj, A.] Karolinska Inst, Dept Med Solna, Clin Immunol &amp; Allergy Unit, Stockholm, Sweden; [Asarnoj, A.] Karolinska Univ Hosp, Astrid Lindgren Childrens Hosp, Dept Pediat Pulmonol &amp; Allergy, Stockholm, Sweden; [Arshad, H.] David Hide Asthma &amp; Allergy Res Ctr, Isle Of Wight, England; [Avolio, F.] Regionie Puglia, Bari, Italy; [Bacci, E.; Bertorello, L.] Regione Liguria, Genoa, Italy; [Bachert, C.] Ghent Univ Hosp, ENT Dept, Upper Airways Res Lab, Ghent, Belgium; [Baiardini, I.; Braido, F.; Canonica, G. W.] Univ Genoa, Osped Policlin San Martino, Allergy &amp; Resp Dis, Genoa, Italy; [Barbara, C.; Melo-Gomes, E.] Fac Med Lisbon, Portuguese Natl Programme Resp Dis, PNDR, Lisbon, Portugal; [Barbagallo, M.] Univ Palermo, Dept Internal Med DIBIMIS, Geriatr Unit, Palermo, Italy; [Baroni, I.; Nalin, M.; Romano, M.] Telbios SRL, Milan, Italy; [Barreto, B. A.] Univ Estado Para, Belem, Para, Brazil; [Bateman, E. D.] Univ Cape Town, Dept Med, Cape Town, South Africa; [Bedolla-Barajas, M.] Hosp Civil Guadalajara Dr Juan I Menchaca, Guadalarara, Mexico; [Bewick, M.] iQ4U Consultants Ltd, London, England; [Beghe, B.] Univ Modena &amp; Reggio Emilia, Dept Oncol Haematol &amp; Resp Dis, Sect Resp Dis, Modena, Italy; [Bel, E. H.] Univ Amsterdam, Acad Med Ctr AMC, Dept Resp Dis, Amsterdam, Netherlands; [Bergmann, K. C.] Charite Univ Med Berlin, Berlin, Germany; [Bergmann, K. C.] Humboldt Univ, Freie Univ Berlin, Berlin, Germany; [Bergmann, K. C.] Berlin Inst Hlth, Comprehens Allergy Ctr, Dept Dermatol &amp; Allergy, Global Allergy &amp; Asthma European Network GA2LEN, Berlin, Germany; [Bennoor, K. S.] Natl Inst Dis Chest &amp; Hosp, Dept Resp Med, Dhaka, Bangladesh; [Benson, M.] Ctr Individualized Med, Fac Med, Dept Pediat, Linkoping, Sweden; [Bialoszewski, A. Z.] Med Univ Warsaw, Dept Prevent Environm Hazards &amp; Allergol, Warsaw, Poland; [Bieber, T.] Rheinische Friedrich Wilhelms Univ Bonn, Dept Dermatol &amp; Allergy, BIEBER, Bonn, Germany; [Bialek, S.; Wroczynski, P.] Warsaw Med Univ, Univ Pharm Div Lab Med, Dept Biochem &amp; Clin Chem, Warsaw, Poland; [Bindslev-Jensen, C.; Eller, E.] Odense Univ Hosp, Dept Dermatol, Odense Res Ctr Anaphylaxis ORCA, Odense, Denmark; [Bindslev-Jensen, C.; Eller, E.] Odense Univ Hosp, Allergy Ctr, Odense Res Ctr Anaphylaxis ORCA, Odense, Denmark; [Bjermer, L.] Univ Hosp, Dept Resp Med &amp; Allergol, Lund, Sweden; [Blain, H.] Montpellier Univ Hosp, Dept Geriatr, Montpellier, France; [Blain, H.] Univ Montpellier, Euromov, EA 2991, Montpellier, France; [Blasi, F.] Univ Milan, IRCCS Fdn Ca Granda Osped Maggiore Policlin, Dept Pathophysiol &amp; Transplantat, Milan, Italy; [Blua, A.] Argentine Assoc Resp Med, Buenos Aires, DF, Argentina; [Marciniak, M. Bochenska; Bogus-Buczynska, I.; Kuna, P.; Kupczyk, M.; Lacwik, P.; Przemecka, M.] Med Univ Lodz, Barlicki Univ Hosp, Div Internal Med Asthma &amp; Allergy, Lodz, Poland; [Boner, A. L.] Univ Verona Hosp, Dept Pediat, Verona, Italy; [Bonini, M.] Univ Cattolica Sacro Cuore, F Policlin Gemelli IRCCS, Ist Med Interna, UOC Pneumol, Rome, Italy; [Bonini, M.] Royal Brompton Hosp, Natl Heart &amp; Lung Inst, London, England; [Bonini, M.] Imperial Coll London, London, England; [Bonini, S.] Univ Naples 2, Naples, Italy; [Bonini, S.] Italian Natl Res Council, Inst Translat Med, Rome, Italy; [Bosnic-Anticevich, C. S.] Univ Sydney, Woolcock Inst Med Res, Glebe, NSW, Australia; [Bosnic-Anticevich, C. S.] Woolcock Emphysema Ctr &amp; Local Hlth Dist, Glebe, NSW, Australia; [Bosse, I.] Allergist, La Rochelle, France; [Bouchard, J.] Laval Univ, Clin Med, Quebec City, PQ, Canada; [Bouchard, J.] Hop Malbaie, Dept Med, Quebec City, PQ, Canada; [Boulet, L. P.] Laval Univ, Quebec Heart &amp; Lung Inst, Quebec City, PQ, Canada; [Bourret, R.] Ctr Hosp Valenciennes, Valenciennes, France; [Briedis, V.] Lithuanian Univ Hlth Sci, Dept Clin Pharm, Kaunas, Lithuania; [Brightling, C. E.] Univ Hosp Leicester NHS Trust, Inst Lung Hlth, Resp Biomed Unit, Leicester, Leics, England; [Brightling, C. E.] Univ Leicester, Dept Infect Immun &amp; Infammat, Leicester, Leics, England; [Brozek, J.; Schunemann, H. J.] McMaster Univ, Dept Med, Div Immunol &amp; Allergy, Dept Hlth Res Methods Evidence &amp; Impact, Hamilton, ON, Canada; [Bucca, C.] Hosp City Hlth &amp; Sci Torino, Univ Pneumol Unit AOU Molinette, Turin, Italy; [Buhl, R.] Univ Med Johannes Gutenberg Univ Mainz, Mainz, Germany; [Buonaiuto, R.] Municipal Pharm, Sarno, Italy; [Panaitescu, C.] Univ Med &amp; Farm Timisoara, Timisoara, Romania; [Cabanas, M. T. Burguete] Hosp Zambrano Hellion Tec Monterrey, Inst Pediat, Monterrey, Mexico; [Bush, A.] Imperial Coll &amp; Royal Brompton Hosp, London, England; [Caballero-Fonseca, F.] Ctr Med Docente La Trinidad, Caracas, Venezuela; [Di Carluccio, N.] Assofarm Campania, Salerno, Italy; [Di Carluccio, N.] Board Directors Cofaser, Salerno, Italy; [Caillaud, D.] CHU Clermont Ferrand, Serv Pneumol, Clermont Ferrand, France; [Caillaud, D.] Univ Auvergne, Clermont Ferrand, France; [Caimmi, D.; Chiron, R.] Montpellier Univ Hosp, Dept Resp Dis, Montpellier, France; [Calderon, M. A.] Imperial Coll London, Royal Brompton Hosp NHS, Natl Heart &amp; Lung Inst, London, England; [Camargos, P. A. M.] Univ Fed Minas Gerais, Med Sch, Dept Pediat, Belo Horizonte, MG, Brazil; [Canfora, G.] Sarno Martiri del Villa Malta Hosp, Anesthesiol Serv, Sarno, Italy; [Cardona, V.] Hosp Valle De Hebron, Dept Internal Med, Allergy Sect, Barcelona, Spain; [Cardona, V.; Carlsen, K. H.] ARADyAL Spanish Res Network, Barcelona, Spain; [Carlsen, K. H.] Oslo Univ Hosp, Dept Paediat, Oslo, Norway; [Carlsen, K. H.] Univ Oslo, Oslo, Norway; [Carreiro-Martins, P.] Nova Med Sch, Integrated Pathophysiol Mechanisms Res Grp, CEDOC, Lisbon, Portugal; [Carreiro-Martins, P.] Ctr Hosp Lisboa Cent, EPE, Serv Imunoalergol, Lisbon, Portugal; [Carriazo, A. M.] Reg Minist Hlth Andalusia, Seville, Spain; [Carr, W.] Allergy &amp; Asthma Associates Southern Calif, Mission Viejo, CA USA; [Cartier, C.; Viart, F.] ASA Adv Solut Accelerator, Clapiers, France; [Casale, T.] Univ S Florida, Div Allergy Immunol, Tampa, FL 33620 USA; [Castellano, G.] Celentano Pharm, Massa Lubrense, Italy; [Cecchi, L.; Farsi, A.] USL Toscana Ctr, SOS Allergol &amp; Clin Immunol, Prato, Italy; [Cepeda, A. M.] Metropolitan Univ Hosp, Allergy &amp; Immunol Lab, Branquilla, Colombia; [Chavannes, N. H.] Leiden Univ, Med Ctr, Dept Publ Hlth &amp; Primary Care, Leiden, Netherlands; [Chen, Y.] Capital Inst Pediat, Beijing, Peoples R China; [Chivato, T.] Univ CEU San Pablo, Sch Med, Madrid, Spain; [Chkhartishvili, E.] David Tvildiani Med Univ, AIETI Highest Med Sch, David Tatishvili Med Ctr, Tbilisi, Georgia; [Chuchalin, A. G.] Pulm Res Inst FMBA, Moscow, Russia; [Chuchalin, A. G.] GARD Execut Comm, Moscow, Russia; [Chung, K. F.] Imperial Coll, Natl Heart &amp; Lung Inst, London, England; [Ciceran, A.] Argentine Federat Otorhinolaryngol Soc, Buenos Aires, DF, Argentina; [Cingi, C.] Eskisehir Osmangazi Univ, Fac Med, ENT Dept, Eskisehir, Turkey; [Ciprandi, G.] IRCCS Azienda Osped Univ San Martino, Dept Med, Genoa, Italy; [Coehlo, A. C. Carvalho] Univ Fed Bahia, Escola Enfermagem, Salvador, BA, Brazil; [Colas, L.; Magnan, A.] CHU Nantes, Inst Thorax, Plateforme Transversale Allergol, Nantes, France; [Colgan, E.; Farrell, J.] LANUA Int Healthcare Consultancy, Newry, North Ireland; [Conforti, D.; Forti, S.; Mayora, O.] Dept Hlth &amp; Social Solidarity, Innovat &amp; Res Off, Trento, Italy; [De Sousa, J. Correia] Univ Minho, Sch Med, Lifeand Hlth Sci Res Inst ICVS, Braga, Portugal; [De Sousa, J. Correia] PT Govt Associate Lab, ICVS 3Bs, Braga, Portugal; [Cortes-Grimaldo, R. M.] Hosp Angeles Carmen, Serv Allergol, Guadalajara, Jalisco, Mexico; [Corti, F.] FIMMG Federaz Italiana Med Med Gen, Milan, Italy; [Costa, E.] Univ Porto Porto4Ageing, Fac Pharm, REQUINTE, UCIBIO, Porto, Portugal; [Costa, E.] Univ Porto Porto4Ageing, Competence Ctr Active &amp; Hlth Ageing, Porto, Portugal; [Costa-Dominguez, M. C.; Dominguez-Silva, M. G.] Allergologo, Mexico City, DF, Mexico; [Courbis, A. L.; Dray, G.] Unvers Montpellier, IMT Mines Ales, Ales, France; [Cox, L.] Nova Southeastern Univ, Dept Med, Davie, FL USA; [Cox, L.] Univ Miami, Dept Med, Miami, FL USA; [Crescenzo, M.] Assofarm Campania, Salerno, Italy; [Crescenzo, M.] Cofaser, Salerno, Italy; [Cruz, A. A.] Univ Fed Bahia, ProAR Nucleo Excelencia Asma, Salvador, BA, Brazil; [Cruz, A. A.] WHO GARD Planning Grp, Salvador, BA, Brazil; [Custovic, A.] Univ Manchester, Inst Infammat &amp; Repair, Ctr Resp Med &amp; Allergy, Manchester, Lancs, England; [Custovic, A.] Univ Hosp South Manchester, Manchester, Lancs, England; [Czarlewski, W.] Med Consulting Czarlewski, Levallois Perret, France; [Dahlen, S. E.] Karolinska Inst, Inst Environm Med, Ctr Allergy Res, Stockholm, Sweden; [Dario, C.] Azienda Prov &amp; Serv Sanit Trento APSS Trento, Trento, Italy; [da Silva, J.] Univ Fed Santa Catarina, Dept Internal Med, Florianopolis, SC, Brazil; [da Silva, J.] Univ Fed Santa Catarina, Prof Polydoro Ernani de Sao Thiago Univ Hosp, Allergy Clin, Florianopolis, SC, Brazil; [Dauvilliers, Y.] Hop Gui De Chauliac Montpellier, INSERM, U1061, Sleep Unit,Dept Neurol, Montpellier, France; [Darsow, U.] Tech Univ Munich, Dept Dermatol &amp; Allergy, Munich, Germany; [Darsow, U.] Tech Univ Munich, Helmholtz Ctr Munich, ZAUM Ctr Allergy &amp; Environm, Munich, Germany; [De Blay, F.] Univ Hosp Strasbourg, Chest Dis Dept, Allergy Div, Strasbourg, France; [De Carlo, G.; Palkonen, S.] EFA European Federat Allergy &amp; Airways Dis Patien, Brussels, Belgium; [Dedeu, T.] AQuAS, Barcelna, Spain; [Dedeu, T.] European Reg &amp; Local Hlth Assoc, EUREGHA, Brussels, Belgium; [Emerson, M. de Fatima] Policlin Geral Rio de Janeiro, Rio De Janeiro, Brazil; [De Feo, G.; Stellato, C.; Triggiani, M.; Vatrella, A.] Univ Salerno, Scuola Med Salernitana, Dept Med Surg &amp; Dent, Salerno, Italy; [De Vries, G.; van Eerd, M.] Peercode BV, Geldermalsen, Netherlands; [Rubina, N. P. Motta] Fed Univ State Rio de Janeiro, Sch Med &amp; Surg, Rio De Janeiro, Brazil; [Deleanu, D.] Iuliu Hatieganu Univ Med &amp; Pharm, Allergol &amp; Immunol Discipline, Cluj Napoca, Romania; [Denburg, J. A.] McMaster Univ, Div Clin Immunol &amp; Allergy, Dept Med, Hamilton, ON, Canada; [Devillier, P.] Univ Paris Saclay, Univ Versailles St Quentin, Hop Foch, Lab Pharmacol Resp UPRES EA220,Suresnes, Paris, France; [Ercolano, S. Di Capua] Farm Dei Golf Grp, Massa Lubrense, Italy; [Didier, A.] Rangueil Larrey Hosp, Resp Dis Dept, Toulouse, France; [Dokic, D.] Univ Clin Pulmol &amp; Allergy, Med Fac, Skopje, North Macedonia; [Douagui, H.] Ctr Hosp Univ Beni Messous, Serv Pneumoallergol, Algiers, Algeria; [Dubakiene, R.] Vilnius Univ, Clin Infect Chest Dis Dermatol &amp; Allergol, Vilnius, Lithuania; [Durham, S. R.] Imperial Coll London, Natl Heart &amp; Lung Inst, Allergy &amp; Clin Immunol, London, England; [Du Toit, G.] Kings Coll London, Guys &amp; St Thomas NHS Trust, London, England; [Dykewicz, M. S.] St Louis Univ, Sch Med, Sect Allergy &amp; Immunol, St Louis, MO USA; [El-Gamal, Y.] Ain Shams Univ, Childrens Hosp, Pediat Allergy &amp; Immunol Unit, Cairo, Egypt; [Eklund, P.] Umea Univ, Dept Comp Sci, Umea, Sweden; [Eklund, P.] Four Comp Oy, Umea, Sweden; [Emuzyte, R.] Vilnius Univ, Fac Med, Clin Childrens Dis, Vilnius, Lithuania; [Ferreira de Mello, J., Jr.] Univ Sao Paulo, Sch Med, Sao Paulo, Brazil; [Ferrero, J.] Andalusian Agcy Healthcare Qual, Seville, Spain; [Fink-Wagner, A.; Spranger, O.] Global Allergy &amp; Asthma Platform GAAPP, Vienna, Austria; [Fiocchi, A.] Bambino Gesu Childrens Res Hosp, Dept Pediat Med, Div Allergy, Rome, Italy; [Fokkens, W. J.; Reitsma, S.] Acad Med Ctr, Dept Otorhinolaryngol, Amsterdam, Netherlands; [Fonseca, J. A.] Univ Porto, Fac Med, Ctr Res Hlth Technol &amp; Informat Syst, CINTESIS, Porto, Portugal; [Fuentes-Perez, J. M.; Huerta-Villalobos, Y. R.] Hosp Gen Reg 1 Dr Carlos Mc Gregor Sanchez Navarr, Mexico City, DF, Mexico; [Galvez-Romero, J. L.] Reg Hosp ISSSTE, Puebla, Mexico; [Gamkrelidze, A.] Natl Ctr Dis Control &amp; Publ Hlth Georgia, Tbilisi, Georgia; [Garcia-Cobas, C. Y.] Allergologo, Guadalajara, Jalisco, Mexico; [Garcia-Cruz, M. H.] Natl Inst Resp Dis, Allergy Clin, Mexico City, DF, Mexico; [Gemicioglu, B.] Istanbul Univ Cerrahpasa, Cerrahpasa Fac Med, Dept Pulm Dis, Istanbul, Turkey; [Genova, S.] UHATEM NIPirogov, Allergol Unit, Sofia, Bulgaria; [Christoff, G.] Med Univ, Fac Publ Hlth, Sofia, Bulgaria; [Gereda, J. E.] Clin Ricardo Palma, Allergy &amp; Immunol Div, Lima, Peru; [van Wijk, R. Gerth] Erasmus MC, Dept Internal Med, Sect Allergol, Rotterdam, Netherlands; [Gomez, R. M.] Hosp San Bernardo, Allergy &amp; Asthma Unit, Salta, Argentina; [Gomez-Vera, J.] Hosp Reg ISSSTE Lic Lopez Mateos, Allergy Clin, Mexico City, DF, Mexico; [Diaz, S. Gonzalez] Univ Autonoma Nuevo Leon, Ctr Reg Excelencia CONACYT &amp; WAO Alergia Asma &amp; I, Univ Hosp, Monterrey, Mexico; [Gotua, M.] Georgian Assoc Allergol &amp; Clin Immunol, Ctr Allergy &amp; Immunol, Tbilisi, Georgia; [Grisle, I.] Latvian Assoc Allergists, Ctr TB &amp; Lung Dis, Riga, Latvia; [Guidacci, M.] Fed Dist Base Hosp Inst, Brasilia, DF, Brazil; [Guldemond, N. A.] Erasmus Univ, Inst Hlth Policy &amp; Management iBMG, Rotterdam, Netherlands; [Gutter, Z.] Univ Hosp Olomouc, Natl eHlth Ctr, Olomouc, Czech Republic; [Guzman, M. A.] Univ Chile, Clin Hosp, Immunol &amp; Allergy Div, Santiago, Chile; [Haahtela, T.; Toppila-Salmi, S.] Univ Helsinki, Helsinki Univ Hosp, Skin &amp; Allergy Hosp, Helsinki, Finland; [Hajjam, J.] Ctr Expertise Partenariat Europeen Innovat Vieill, Conseil Reg Pays Loire, Gerontopole Auton Longev Pays Loire, Centich Ctr Expertise Natl Technol Informat &amp; Com, Nantes, France; [Hernandez, L.] Autonomous Univ Baja California, Ensenada, Baja California, Mexico; [Hourihane, J. O' B.] Univ Coll Cork, Dept Paediat &amp; Child Hlth, Cork, Ireland; [Humbert, M.] Univ Paris Sud, Le Kremlin Bicetre, France; [Humbert, M.] Hop Bicetre, Serv Pneumol, Le Kremlin Bicetre, France; [Humbert, M.] INSERM, UMR S999, Le Kremlin Bicetre, France; [Iaccarino, G.] Univ Salerno, Dipartimento Med Chirurg &amp; Odontoiatria, Salerno, Italy; [Illario, M.] Campania Reg, Div Hlth Innovat, Naples, Italy; [Illario, M.] Federico II Univ Hosp Naples, R&amp;D &amp; DISMET, Naples, Italy; [Ivancevich, J. C.] Clin Santa Isabel, Serv Alergia &amp; Immunol, Buenos Aires, DF, Argentina; [Jares, E. J.] Libra Fdn, Buenos Aires, DF, Argentina; [Jassem, E.] Med Univ Gdansk, Dept Allergol, Gdansk, Poland; [Johnston, S. L.] Imperial Coll, Natl Heart &amp; Lung Inst, Airway Dis Infect Sect, London, England; [Johnston, S. L.] MRC &amp; Asthma UK Ctr Allerg Mechanisms Asthma, London, England; [Joos, G.] Ghent Univ Hosp, Dept Resp Med, Ghent, Belgium; [Jung, K. S.] Hallym Univ, Sacred Heart Hosp, Coll Med, Gyeonggi Do, South Korea; [Jutel, M.] Wroclaw Med Univ, Dept Clin Immunol, Wroclaw, Poland; [Kaidashev, I.] Ukrainina Med Stomatol Acad, Poltava, Ukraine; [Kalayci, O.] Hacettepe Univ, Sch Med, Pediat Allergy &amp; Asthma Unit, Ankara, Turkey; [Kalyoncu, A. F.] Hacettepe Univ, Sch Med, Dept Chest Dis, Immunol &amp; Allergy Div, Ankara, Turkey; [Karjalainen, J.] Tampere Univ Hosp, Allergy Ctr, Tampere, Finland; [Kardas, P.] Med Univ Lodz, Dept Family Med 1, Lodz, Poland; [Keil, T.] Charite Univ Med Berlin, Inst Social Med Epidemiol &amp; Hlth Econ, Berlin, Germany; [Keil, T.] Univ Wurzburg, Inst Clin Epidemiol &amp; Biometry, Wurzburg, Germany; [Keith, P. K.] McMaster Univ, Dept Med, Hlth Sci Ctr 3V47 W, Hamilton, ON, Canada; [Khaitov, M.] Fed Medicobiol Agcy, Natl Res Ctr, Inst Immunol, Lab Mol Immunol, Moscow, Russia; [Kleine-Tebbe, J.] Allergy &amp; Asthma Ctr Westend, Berlin, Germany; [Klimek, L.] Ctr Rhinol &amp; Allergol, Wiesbaden, Germany; [Kowalski, M. L.] Med Univ Lodz, Hlth Ageing Res Ctr, Dept Immunol &amp; Allergy, Lodz, Poland; [Kuitunen, M.] Childrens Hosp, Helsinki, Finland; [Kuitunen, M.] Univ Helsinki, Helsinki, Finland; [Kull, I.; Wickman, M.] Soder Sjukhuset, Karolinska Inst, Dept Clin Sci &amp; Educ, Stockholm, Sweden; [Kull, I.; Melen, E.; Wickman, M.] Soder Sjukhuset, Sachs Children &amp; Youth Hosp, Stockholm, Sweden; [Kvedariene, V.] Vilnius Univ, Fac Med, Vilnius, Lithuania; [Krzych-Falta, E.; Lipiec, A.; Raciborski, F.; Samolinski, B.; Strozek, J.; Szylling, A.] Med Univ Warsaw, Dept Prevent Envinronm Hazard &amp; Allergol, Warsaw, Poland; [Larenas-Linnemann, D.] Med Sur Clin Fdn &amp; Hosp, Ctr Excellence Asthma &amp; Allergy, Mexico City, DF, Mexico; [Lauri, D.] CMMC, Milan, Italy; [Lavrut, J.] Pedro de Elizalde Childrens Hosp, Allergy Dept, Buenos Aires, DF, Argentina; [Le, L. T. T.] Univ Med &amp; Pharm, Hochiminh City, Vietnam; [Lessa, M.; Santo, P. Moura] Univ Fed Bahia, Salvador, BA, Brazil; [Levato, G.] Sifmed, Milan, Italy; [Li, J.; Zhong, N.] Guangzhou Med Univ, Afliated Hosp 1, Guangzhou Inst Resp Dis, State Key Lab Resp Dis, Guangzhou, Peoples R China; [Lieberman, P.] Univ Tennessee, Coll Med, Dept Internal Med, Germantown, TN USA; [Lieberman, P.] Univ Tennessee, Coll Med, Dept Pediat, Div Allergy, Germantown, TN USA; [Lieberman, P.] Univ Tennessee, Coll Med, Div Immunol, Germantown, TN USA; [Lipworth, B.] Univ Dundee, Ninewells Hosp, Scottish Ctr Resp Res Cardiovasc &amp; Diabet Med, Med Res Inst, Dundee, Scotland; [Carlsen, K. C. Lodrup] Oslo Univ Hosp, Dept Paediat, Oslo, Norway; [Carlsen, K. C. Lodrup] Univ Oslo, Fac Med, Inst Clin Med, Oslo, Norway; [Louis, R.] CHU Sart Tilman, Dept Pulm Med, Liege, Belgium; [Louis, R.] GIGA I3 Res Grp, Liege, Belgium; [Lourenco, O.] Univ Beira Interior, Fac Hlth Sci, Covilha, Portugal; [Lourenco, O.] Univ Beira Interior, CICS UBI, Hlth Sci Res Ctr, Covilha, Portugal; [Luna-Pech, J. A.] Univ Guadalajara, CUCS, Dept Philosoph Methodol &amp; Instrumental Discipline, Guadalajara, Jalisco, Mexico; [Mahboub, B.] Rashid Hosp, Dept Pulm Med, Dubai, U Arab Emirates; [Maier, D.] Biomax Informat AG, Munich, Germany; [Mair, A.] Scottish Govt, Gen Hlth &amp; Social Care, Edinburgh, Midlothian, Scotland; [Majer, I.] Univ Bratislava, Dept Resp Med, Bratislava, Slovakia; [Malva, J.; Verissimo, M. T.] Univ Coimbra, Fac Med, Coimbra Inst Clin &amp; Biomed Res iCBR, Coimbra, Portugal; [Malva, J.; Verissimo, M. T.] Ageing Coimbra EIP AHA Reference Site, Coimbra, Portugal; [Mandajieva, E.] Med Ctr Iskar Ltd, Sofia, Bulgaria; [Manning, P.] Bon Secours Hosp, Dept Med RCSI, Dublin, Ireland; [Keenoy, E. De Manuel] Int Ctr Excellence Chronicity Res Barakaldo, Kronikgune, Bizkaia, Spain; [Marshall, G. D.] Univ Mississippi, Med Ctr, Lab Behav Immunol Res, Div Clin Immunol &amp; Allergy, Jackson, MS 39216 USA; [Masjedi, M. R.] Tobacco Control Res Ctr, Tehran, Iran; [Masjedi, M. R.] Iranian Anti Tobacco Assoc, Tehran, Iran; [Maspero, J. F.] Argentine Assoc Allergy &amp; Clin Immunol, Buenos Aires, DF, Argentina; [Campos, J. J. Matta] Hosp Especialidades Ctr Med La Raza, Ctr Med Nacl Siglo 21, Mexico City, DF, Mexico; [Matos, A. L.] Univ Southeast Bahia, Salvador, BA, Brazil; [Maurer, M.] Charite Univ Med Berlin, Dept Dermatol &amp; Allergy, Allergie Ctr Charite, Berlin, Germany; [Mavale-Manuel, S.] Maputo Cent Hosp, Dept Paediat, Maputo, Mozambique; [Medina-Avalos, M. A.] Allergologo, Veracruz, Mexico; [Melen, E.] Karolinska Inst, Inst Environm Med, Stockholm, Sweden; [Meltzer, E. O.] Allergy &amp; Asthma Med Grp &amp; Res Ctr, San Diego, CA USA; [Menditto, E.] Univ Naples Federico II, CIRFF, Naples, Italy; [Mercier, J.] Univ Montpellier, CHRU, Dept Physiol, PhyMedExp,INSERM,U1046,CNRS,UMR 9214,Res, Montpellier, France; [Miculinic, N.] Croatian Pulm Soc, Slovenia, Croatia; [Mihaltan, F.] Natl Inst Pneumol M Nasta, Bucharest, Romania; [Milenkovic, B.] Univ Belgrade, Serbian Assoc Asthma &amp; COPD, Clin Ctr Serbia, Clin Pulm Dis,Fac Med, Belgrade, Serbia; [Mohammad, Y.] Tishreen Univ, Sch Med, Natl Ctr Res Chron Resp Dis, Latakia, Syria; [Momas, I.] Paris Descartes Univ, Sorbonne Paris Cite, Dept Publ Hlth &amp; Hlth Prod, EA 4064, Paris, France; [Momas, I.] Paris Municipal Dept Social Act Childhood &amp; Hlth, Paris, France; [Montefort, S.] Mater Dei Hosp Malta, Msida, Malta; [Montefort, S.] Univ Malta, Med, La Valette, Malta; [Montefort, S.] Fac Med &amp; Surg Univ Med, La Valette, Malta; [Monti, R.] Univ Turin, Allergy &amp; Clin Immunol Unit, Dept Med Sci, Turin, Italy; [Monti, R.] Mauriziano Hosp, Turin, Italy; ; </t>
  </si>
  <si>
    <t>Universite de Montpellier; CHU de Montpellier; Universite Paris Saclay; Institut National de la Sante et de la Recherche Medicale (Inserm); Universite Paris Saclay; Humboldt University of Berlin; Berlin Institute of Health; Berlin Institute of Health; Free University of Berlin; Humboldt University of Berlin; Charite Universitatsmedizin Berlin; Universidade do Porto; Universidade do Porto; Universidade da Beira Interior; Universidade da Beira Interior; Universidade de Coimbra; Centro Hospitalar e Universitario de Coimbra (CHUC); Universidade de Coimbra; University of Naples Federico II; Humanitas University; IRCCS Humanitas Research Hospital; University of Turin; A.O.U. Citta della Salute e della Scienza di Torino; AOU San Giovanni Battista-Molinette; Universita degli Studi di Bari Aldo Moro; University of Salerno; Leiden University; Leiden University Medical Center (LUMC); Universidade Federal da Bahia; Universidade Federal de Santa Catarina (UFSC); Vilnius University; Vilnius University; Vilnius University; Institut National de la Sante et de la Recherche Medicale (Inserm); Sorbonne Universite; Universite de Montpellier; CHU de Montpellier; Universite de Montpellier; CHU Dijon Bourgogne; Universite de Montpellier; Universite de Montpellier; Institut National de la Sante et de la Recherche Medicale (Inserm); Hospital Foch; Universite Paris Saclay; Institut National de la Sante et de la Recherche Medicale (Inserm); Communaute Universite Grenoble Alpes; Universite Grenoble Alpes (UGA); CHU Grenoble Alpes; Communaute Universite Grenoble Alpes; Universite Grenoble Alpes (UGA); Pasteur Network; Universite Paris Cite; Institut Pasteur Paris; Assistance Publique Hopitaux Paris (APHP); Universite Paris Cite; Hopital Universitaire Cochin - APHP; University of Zurich; University Zurich Hospital; Medical University Lodz; Medical University of Warsaw; ISGlobal; Pompeu Fabra University; Centre de Recerca en Epidemiologia Ambiental (CREAL); Hospital del Mar Research Institute; CIBER - Centro de Investigacion Biomedica en Red; CIBERESP; Pompeu Fabra University; University of Barcelona; Hospital Clinic de Barcelona; University of Barcelona; Hospital Clinic de Barcelona; IDIBAPS; CIBER - Centro de Investigacion Biomedica en Red; CIBERES; University of Edinburgh; University of Edinburgh; University of Edinburgh; Johannes Gutenberg University of Mainz; University Hospital of Giessen &amp; Marburg; Berlin Institute of Health; Free University of Berlin; Humboldt University of Berlin; Charite Universitatsmedizin Berlin; Berlin Institute of Health; University of Cologne; Medical University of Graz; Medical University of Graz; University of Helsinki; Helsinki University Central Hospital; University of Turku; Istanbul University - Cerrahpasa; Celal Bayar University; University of Manchester; Royal Manchester Children's Hospital; University of Crete; University of Sydney; Woolcock Institute of Medical Research; University of Sydney; Woolcock Institute of Medical Research; University of Sydney; Woolcock Institute of Medical Research; Florey Institute of Neuroscience &amp; Mental Health; Howard Florey Institute Affiliates; Monash University; Monash University; Catholic University of Cordoba; Sodersjukhuset Hospital; Karolinska Institutet; Sodersjukhuset Hospital; Karolinska Institutet; Uppsala University; Ghent University; Ghent University Hospital; KU Leuven; University Hospital Leuven; University of Amsterdam; Academic Medical Center Amsterdam; Ghent University; Ghent University Hospital; University of Southern Denmark; Odense University Hospital; McMaster University; Laval University; Quebec Heart &amp; Lung Institute; McMaster University; University Hospital Olomouc; Transylvania University of Brasov; State University System of Florida; University of South Florida; Saint Louis University; Johns Hopkins University; Johns Hopkins Medicine; Chiba University; Nova Southeastern University; Universite de Montpellier; CHU de Montpellier; Universite de Montpellier; Institut National de la Sante et de la Recherche Medicale (Inserm); Universite Paris Saclay; Universite Paris Saclay; KU Leuven; Medical University of Graz; Transylvania University of Brasov; Swiss Institute of Allergy &amp; Asthma Research; University of Zurich; Universidade do Porto; Assistance Publique Hopitaux Paris (APHP); Sorbonne Universite; Hopital Universitaire Armand-Trousseau - APHP; Institut National de la Sante et de la Recherche Medicale (Inserm); Sorbonne Universite; Institut National de la Sante et de la Recherche Medicale (Inserm); Sorbonne Universite; Sorbonne Universite; Pompeu Fabra University; Centre de Recerca en Epidemiologia Ambiental (CREAL); ISGlobal; Hospital del Mar Research Institute; Hospital del Mar; CIBER - Centro de Investigacion Biomedica en Red; CIBERESP; Pompeu Fabra University; Karolinska Institutet; Karolinska Institutet; Karolinska University Hospital; Ghent University; Ghent University Hospital; University of Genoa; Universidade de Lisboa; University of Palermo; Universidade do Estado do Para (UEPA); University of Cape Town; Universita di Modena e Reggio Emilia; University of Amsterdam; Academic Medical Center Amsterdam; Berlin Institute of Health; Free University of Berlin; Humboldt University of Berlin; Charite Universitatsmedizin Berlin; Free University of Berlin; Humboldt University of Berlin; Berlin Institute of Health; Medical University of Warsaw; University of Bonn; Medical University of Warsaw; University of Southern Denmark; Odense University Hospital; University of Southern Denmark; Odense University Hospital; Lund University; Skane University Hospital; Universite de Montpellier; CHU de Montpellier; Universite de Montpellier; IRCCS Ca Granda Ospedale Maggiore Policlinico; University of Milan; Medical University Lodz; University of Verona; Azienda Ospedaliera Universitaria Integrata Verona; Catholic University of the Sacred Heart; IRCCS Policlinico Gemelli; Imperial College London; Royal Brompton Hospital; Imperial College London; Universita della Campania Vanvitelli; Consiglio Nazionale delle Ricerche (CNR); University of Sydney; Woolcock Institute of Medical Research; Laval University; Quebec Heart &amp; Lung Institute; Laval University; CH de Valenciennes; Lithuanian University of Health Sciences; University of Leicester; University Hospitals of Leicester NHS Trust; University of Leicester; McMaster University; A.O.U. Citta della Salute e della Scienza di Torino; AOU San Giovanni Battista-Molinette; Johannes Gutenberg University of Mainz; Victor Babes University of Medicine &amp; Pharmacy, Timisoara; Imperial College London; Royal Brompton Hospital; CHU Clermont Ferrand; Universite Clermont Auvergne (UCA); Universite de Montpellier; CHU de Montpellier; Imperial College London; Royal Brompton Hospital; Universidade Federal de Minas Gerais; Hospital Universitari Vall d'Hebron; University of Oslo; University of Oslo; Centro Hospitalar de Lisboa Central, EPE; Universidade de Lisboa; State University System of Florida; University of South Florida; Leiden University; Leiden University Medical Center (LUMC); Leiden University - Excl LUMC; Capital Institute of Pediatrics (CIP); San Pablo CEU University; Imperial College London; Eskisehir Osmangazi University; University of Genoa; IRCCS AOU San Martino IST; Universidade Federal da Bahia; Nantes Universite; CHU de Nantes; Institut National de la Sante et de la Recherche Medicale (Inserm); Universidade do Minho; Universidade do Porto; IMT - Institut Mines-Telecom; IMT Mines Ales; Nova Southeastern University; University of Miami; Universidade Federal da Bahia; University of Manchester; Wythenshawe Hospital NHS Foundation Trust; Karolinska Institutet; Universidade Federal de Santa Catarina (UFSC); Universidade Federal de Santa Catarina (UFSC); Institut National de la Sante et de la Recherche Medicale (Inserm); Universite de Montpellier; CHU de Montpellier; Technical University of Munich; Helmholtz Association; Helmholtz-Center Munich - German Research Center for Environmental Health; Technical University of Munich; CHU Strasbourg; University of Salerno; Iuliu Hatieganu University of Medicine &amp; Pharmacy; McMaster University; Hospital Foch; Universite Paris Saclay; CHU de Toulouse; Vilnius University; Imperial College London; Guy's &amp; St Thomas' NHS Foundation Trust; University of London; King's College London; Saint Louis University; Egyptian Knowledge Bank (EKB); Ain Shams University; Umea University; Vilnius University; Universidade de Sao Paulo; IRCCS Bambino Gesu; University of Amsterdam; Academic Medical Center Amsterdam; Universidade do Porto; National Center for Disease Control &amp; Public Health - Georgia; Istanbul University - Cerrahpasa; Medical University Sofia; Erasmus University Rotterdam; Erasmus MC; Universidad Autonoma de Nuevo Leon; University Hospital Autonomous University of Nuevo Leon; Erasmus University Rotterdam; Erasmus University Rotterdam - Excl Erasmus MC; University Hospital Olomouc; Universidad de Chile; University of Helsinki; Helsinki University Central Hospital; Universidad Autonoma de Baja California; University College Cork; Universite Paris Saclay; Assistance Publique Hopitaux Paris (APHP); Hopital Universitaire Antoine-Beclere - APHP; Hopital Universitaire Bicetre - APHP; Universite Paris Saclay; Universite Paris Saclay; Institut National de la Sante et de la Recherche Medicale (Inserm); University of Salerno; Fahrenheit Universities; Medical University Gdansk; Imperial College London; Ghent University; Ghent University Hospital; Hallym University; Wroclaw Medical University; Poltava State Medical University; Hacettepe University; Hacettepe University; Tampere University; Tampere University Hospital; Medical University Lodz; Berlin Institute of Health; Free University of Berlin; Humboldt University of Berlin; Charite Universitatsmedizin Berlin; University of Wurzburg; McMaster University; NRC Institute of Immunology FMBA of Russia; Medical University Lodz; University of Helsinki; Karolinska Institutet; Sodersjukhuset Hospital; Sodersjukhuset Hospital; Vilnius University; Medical University of Warsaw; Hochiminh City University of Medicine &amp; Pharmacy; Universidade Federal da Bahia; Guangzhou Medical University; State Key Laboratory of Respiratory Disease; University of Tennessee System; University of Tennessee Health Science Center; University of Tennessee System; University of Tennessee Health Science Center; University of Tennessee System; University of Tennessee Health Science Center; University of Dundee; University of Oslo; University of Oslo; University of Liege; Universidade da Beira Interior; Universidade da Beira Interior; Universidad de Guadalajara; Biomax Informatics; Comenius University Bratislava; Universidade de Coimbra; Royal College of Surgeons - Ireland; University of Mississippi; University of Mississippi Medical Center; Instituto Mexicano del Seguro Social; Berlin Institute of Health; Free University of Berlin; Humboldt University of Berlin; Charite Universitatsmedizin Berlin; Karolinska Institutet; Allergy &amp; Asthma Medical Group &amp; Research Center; University of Naples Federico II; Centre National de la Recherche Scientifique (CNRS); CNRS - National Institute for Biology (INSB); Universite de Montpellier; CHU de Montpellier; Institut National de la Sante et de la Recherche Medicale (Inserm); Marius Nasta Pneumophtisiology Institute; Clinical Centre of Serbia; University of Belgrade; Tishreen University; Universite Paris Cite; University of Malta; University of Turin; A.O.U. Citta della Salute e della Scienza di Torino; AOU San Giovanni Battista-Molinette; Universidade de Sao Paulo; University of Cologne; Universidade de Coimbra; University of Barcelona; University of Barcelona; Hospital Clinic de Barcelona; University of Barcelona; Hospital Clinic de Barcelona; IDIBAPS; CIBER - Centro de Investigacion Biomedica en Red; CIBERES; University of Padua; Azienda Ospedaliera - Universita di Padova; Pirogov Russian National Research Medical University; Medical University of Vienna; Hospital Universitari i Politecnic La Fe; Sao Joao Hospital; University of Naples Federico II; Monash University; Florey Institute of Neuroscience &amp; Mental Health; Howard Florey Institute Affiliates; Monash University; Monash University; Chiba University; Nippon Medical School; Charles University Prague; Charles University Prague; Royal Manchester Children's Hospital; University of Manchester; National &amp; Kapodistrian University of Athens; Ajou University; University of Ferrara; University of Genoa; Nippon Medical School; University of Southern Denmark; Institut National de la Sante et de la Recherche Medicale (Inserm); Communaute Universite Grenoble Alpes; Universite Grenoble Alpes (UGA); Communaute Universite Grenoble Alpes; Universite Grenoble Alpes (UGA); CHU Grenoble Alpes; Universidade do Porto; Universidade do Porto; Ruprecht Karls University Heidelberg; Communaute Universite Grenoble Alpes; Universite Grenoble Alpes (UGA); CHU Grenoble Alpes; University of Cyprus; University of JJ Strossmayer Osijek; Hietzing Hospital; Medical University Sofia; University of Cape Town; University of Aberdeen; University of Crete; Grosshansdorf Hospital; University of Kiel; Karolinska Institutet; Karolinska University Hospital; NSW Health; St Vincents Hospital Sydney; University of Sydney; Universidade Federal de Sao Paulo (UNIFESP); Universidade de Coimbra; Centro Hospitalar e Universitario de Coimbra (CHUC); University of Valencia; Hospital Universitario de Getafe; Universidade Federal do Rio de Janeiro; Atencio Primaria de Mallorca; Institut Investigacio Sanitaria Illes Balears (IdISBa); Catholic University of the Sacred Heart; IRCCS Policlinico Gemelli; IRCCS - Oasi Research Institute; Medical University of Graz; Emek Medical Center; University of Edinburgh; Showa University; University of London; University College London; University of Palermo; University of Zurich; University Zurich Hospital; University of Edinburgh; University of Manitoba; Communaute Universite Grenoble Alpes; Universite Grenoble Alpes (UGA); Institut National de la Sante et de la Recherche Medicale (Inserm); Universidade Federal de Sao Paulo (UNIFESP); University Hospital Olomouc; UiT The Arctic University of Tromso; University Hospital of North Norway; UiT The Arctic University of Tromso; Universidade de Sao Paulo; Vilnius University; Universidade Federal do Estado do Rio de Janeiro; University of Toronto; Hospital for Sick Children (SickKids); Universidade de Coimbra; Centro Hospitalar e Universitario de Coimbra (CHUC); Universidade de Coimbra; Medical University of Graz; University of Copenhagen; University of Copenhagen; Universidade Federal do Pampa; Medical University of Vienna; University of Barcelona; Hospital Clinic de Barcelona; IDIBAPS; Vilnius University; Vilnius University; University of Turku; Universite Claude Bernard Lyon 1; Karolinska Institutet; Universite Catholique Louvain; Universita degli Studi di Bari Aldo Moro; IRCCS Arcispedale S. Maria Nuova; Consiglio Nazionale delle Ricerche (CNR); Istituto di Fisiologia Clinica (IFC-CNR); Consiglio Nazionale delle Ricerche (CNR); Istituto di Biomedicina e di Immunologia Molecolare Alberto Monroy (IBIM-CNR); Medical University Plovdiv; National University of Singapore; McMaster University; Hannover Medical School; Karolinska Institutet; Karolinska Institutet; Karolinska University Hospital; University of North Carolina; University of North Carolina Chapel Hill; Bradford Royal Infirmary; Trakia University; Olmsted Medical Center; Cyprus International Institute for Environmental &amp; Public Health; Cyprus University of Technology; Celal Bayar University; University of Cape Town; University of Cape Town; Capital Medical University; Catholic University of Cordoba; University of Oslo; Asfendiyarov Kazakh National Medical University; University of Naples Federico II; Antonio Cardarelli Hospital</t>
  </si>
  <si>
    <t>Bousquet, J (corresponding author), CHRU Arnaud Villeneuve, Fdn Partenariale FMC VIA LR, MACVIA France, 371 Ave Doyen Gaston Giraud, F-34295 Montpellier 5, France.</t>
  </si>
  <si>
    <t>Klimek, Ludger/AFJ-9880-2022; Iaccarino, Guido/D-4540-2009; Bonniaud, Philippe/ITT-4660-2023; Pinto, Leonardo/AAG-2800-2020; Barbara, C./AAF-3397-2020; Serpa, Faradiba/AAC-8477-2021; Sova, Milan/AAH-3802-2020; Veríssimo, Manuel/M-3520-2019; Barreto, Bruno/T-9252-2019; Kvedariene, Violeta/D-7730-2011; Johnston, Sebastian/I-2423-2012; Annesi-Maesano, Isabella/D-9173-2016; Roche, Nicolas/AAE-9206-2021; Martins, Pedro/A-1433-2011; Gemicioglu, Bilun/AAH-6927-2019; Emilie, Burte/AAA-5048-2022; Buhl, Rikke/MCI-7122-2025; Plavec, Davor/HKM-7822-2023; Canevari, Frank/R-2280-2019; LOUIS, Renaud/HMO-6597-2023; Bousquet, Philippe Jean/AAW-8608-2021; Wright, John/H-1624-2012; Triggiani, Massimo/K-8271-2016; Ryan, Dermot/GSN-9147-2022; Anto, J/H-2676-2014; PIN, Isabelle/N-3020-2013; Valero, Alberto/G-9866-2015; BARBAGALLO, MARIO/K-4794-2017; Reitsma, Sietze/JJP-5995-2023; Agache, Ioana/AAP-7403-2020; Yorgancioglu, Arzu/AAC-7548-2020; Pham-Thi, Nhan/HCH-6032-2022; Bousquet, Jean/O-4221-2019; Gotua, Maia/ABA-1648-2021; stelmach, rafael/B-4076-2013; Rivero Yeverino, Daniela/IYS-3602-2023; Fonseca, Joao/KHW-7048-2024; Valiulis, Arunas/JEZ-2972-2023; Courbis, Anne-Lise/HLX-6019-2023; J, Garcia-Aymerich/G-6867-2014; Cecchi, Lorenzo/HPF-1970-2023; LOUIS, Renaud/HMO-7349-2023; Amat, Flore/GPF-4655-2022; Solé, Dirceu/JAO-0340-2023; Brusselle, Guy/AFU-8839-2022; Popov, Todor/Q-9928-2016; Ventura, Maria/J-8197-2017; Ryan, Dermot/AAJ-2329-2021; Cingi, Cemal/AAA-1951-2021; Bachert, Claus/J-8825-2012; Zubrinich, Celia/AFU-9645-2022; Stellato, Cristiana/IWU-8018-2023; Martins, Pedro/GWC-7702-2022; stelmach, rafael/AAH-1638-2019; Popov, Todor/M-4533-2016; Zuberbier, Torsten/AFM-9173-2022; Ivancevich, Juan/AAB-4937-2020; Bosnic-Anticevich, Sinthia/AAD-2526-2021; Rabe, Klaus/AAW-6296-2021; Guldemond, Nick/AAS-7755-2020; T, E/HII-8943-2022; Viegi, Giovanni/K-2746-2016; Schmid, Jana/N-8018-2018; Fiocchi, Alessandro/K-9235-2016; Asarnoj, Anna/ABC-4112-2020; Bergmann, Karl-Christian/AAA-4104-2019; Mohammad, Yousser/LTD-1984-2024; Pereira, Ana/KHY-3334-2024; Callegaro, Dario/C-9493-2017; Paulino, Ema/LTD-8154-2024; Toppila-Salmi, Sanna/ABF-5840-2020; Rizzo, Jose/M-4322-2014; Valenta, Richard/K-4072-2017; Kvedarienė, Violeta/GON-7937-2022; Muraro, Antonella/AFO-2033-2022; Blain, Hubert/AAZ-8017-2020; Dray, Gerard/ACO-1836-2022; Briedis, Vitalis/AAY-9241-2020; Sheikh, Aziz/D-2818-2009; Muñoz, Marta/AAB-4615-2019; Schmid, Peter/D-1717-2013; Chung, Kian/B-1872-2012; Vicheva, Dilyana/AAI-7136-2020; Farsi, Alessandro/GPG-0010-2022; Lacwik, Piotr/JTV-4803-2023; Papi, alberto/AAC-1888-2019; Lessa, Marcus/AAV-8573-2021; Marshall, Gailen/R-7459-2019; Yiallouros, Panayiotis/AAF-6026-2019; MAGNAN, ANTOINE/GVT-4308-2022; Zar, Heather/GZL-5350-2022; Fokkens, Wytske/ABF-2185-2020; Djokic, Dejan/V-9813-2017; Rizzo, Maria/HGD-6576-2022; Fontaine, Jean-Fred/GNP-2904-2022; Bialoszewski, Artur/G-5875-2012; Kaidashev, Igor/L-2606-2019; Cox, Linda/AAP-1697-2021; Todo Bom, Ana/AHD-3630-2022; Kupczyk, Maciej/S-9677-2016; PEPIN, Jean-Louis/M-6549-2014; Werfel, Thomas/B-6921-2012; Rodriguez-Manas, Leocadio/AFL-1127-2022; Cardona, Victoria/GRX-4196-2022; Tsiligianni, Ioanna/IUN-4739-2023; Akdis, Cezmi/AAV-4844-2020; Tiseo, Giusy/AAA-3714-2019; Almeida, Rute/Q-1621-2019; Christoff, George/ABF-9789-2021; Luna-Pech, Jorge A./F-8817-2019; Correia de Sousa, Jaime/H-5607-2015; Pereira, Ana Margarida/K-3343-2014; Chavannes, Niels Henrik/F-1148-2011; Sunyer Deu, Jordi/G-6909-2014; Pugin, Benoit/X-2984-2018; Caimmi, Davide/AAA-1277-2019; Kaidashev, Igor/H-3827-2016; Gonzalez-Diaz, Sandra Nora/H-3271-2018; O'Hehir, Robyn/H-3627-2011; Stellato, Cristiana/P-3001-2015; Mota-Pinto, Anabela/M-1523-2013; Nogueira-Silva, Luis/M-3474-2014; Lipiec, Agnieszka/X-7523-2018; Namazova-Baranova, Leyla/C-9485-2019; Lourenco, Olga/S-6233-2016; Bedolla-Barajas, Martin/AFQ-5082-2022; Schunemann, Holger/LRB-7016-2024; Maurer, Marcus/ABG-2174-2020; Basagana, Xavier/C-3901-2017; Humbert, Marc/AAC-8459-2019; Demoly, Pascal/Y-9938-2019; Mashiya, Nombeko Monica/AET-3950-2022; Panzner, Petr/I-7034-2017; Bindslev-Jensen, Carsten/H-1877-2011; Papadopoulos, Nikolaos/L-8670-2013; Bonini, Sergio/T-6594-2019; Custovic, Adnan/A-2435-2012; SIROUX, Valerie/N-1865-2013; CANONICA, GIORGIO WALTER/ABF-2037-2020; Blasi, Francesco/O-5885-2017; Vatrella, Alessandro/K-8001-2016; Becker, Sven/AEN-1860-2022; Rodenas Rigla, Francisco/L-5293-2014; Malva, Joao/L-3557-2014; Yusuf, Osman/AAI-1142-2020; Rolla, Giovanni/C-9901-2009; Robalo Cordeiro, Carlos Manuel da Silva/I-4864-2012; Casale, Thomas/K-4334-2013; Braido, Fulvio/C-5320-2012; Nadif, Rachel/R-2876-2016; Costa, Elisio/K-1990-2013; Fonseca, Joao/B-7562-2008; Hellings, Peter/I-4068-2018; Romano, Antonino/D-3102-2017; Rodo, Xavier/F-7663-2017; Khaitov, Musa/L-3369-2017</t>
  </si>
  <si>
    <t>Almeida, Rute/0000-0001-7755-5002; Williams, Sian/0000-0002-0527-2254; Christoff, George/0000-0003-4549-7711; Luna-Pech, Jorge A./0000-0001-6278-964X; Correia de Sousa, Jaime/0000-0001-6459-7908; Fiocchi, Alessandro/0000-0002-2549-0523; Onorato, Gabrielle Laura/0000-0002-7867-5345; Pereira, Ana Margarida/0000-0002-5468-0932; Akdis, Cezmi/0000-0001-8020-019X; Chavannes, Niels Henrik/0000-0002-8607-9199; Valenta, Rudolf/0000-0001-5944-3365; Sunyer Deu, Jordi/0000-0002-2602-4110; Pugin, Benoit/0000-0001-7132-9477; Zuberbier, Torsten/0000-0002-1466-8875; Chu, Derek/0000-0001-8269-4496; Caimmi, Davide/0000-0003-4481-6194; Kaidashev, Igor/0000-0002-4708-0859; Kardas, Przemyslaw/0000-0002-6078-2628; Gonzalez-Diaz, Sandra Nora/0000-0002-3612-0042; Bialek, Slawomir/0000-0002-0112-6786; Raciborski, Filip/0000-0003-0562-0260; Kvedariene, Violeta/0000-0002-6119-211X; O'Hehir, Robyn/0000-0002-3489-7595; Vasankari, Tuula/0000-0002-1413-8970; Gotua, Maia/0000-0003-2497-4128; Stellato, Cristiana/0000-0002-1294-8355; Zar, Heather/0000-0002-9046-759X; Mota-Pinto, Anabela/0000-0002-0820-9568; Nogueira-Silva, Luis/0000-0002-5519-707X; Bosnic-Anticevich, Sinthia/0000-0001-5077-8329; Ebisawa, Motohiro/0000-0003-4117-558X; Lipiec, Agnieszka/0000-0003-3037-2326; Ryan, Dermot/0000-0002-4115-7376; cox, linda/0000-0002-5258-6870; Namazova-Baranova, Leyla/0000-0002-2209-7531; Murray, Ruth/0000-0002-2821-978X; Lourenco, Olga/0000-0002-8401-5976; Zhang, Luo/0000-0002-0910-9884; Asarnoj, Anna/0000-0002-0797-2369; Popov, Todor/0000-0001-5052-5866; Fuentes Perez, Jose Miguel/0000-0002-5378-3956; Lacwik, Piotr/0000-0001-7020-0719; Ciprandi, Giorgio/0000-0001-7016-8421; Bedolla-Barajas, Martin/0000-0003-4915-1582; El-Gamal, Yehia/0000-0002-8177-4520; Schunemann, Holger/0000-0003-3211-8479; Bergmann, Karl-Christian/0000-0002-0306-9922; Reitsma, Sietze/0000-0003-1734-2632; Maurer, Marcus/0000-0002-4121-481X; Park, Hae-Sim/0000-0003-2614-0303; Kuna, Piotr/0000-0003-2401-0070; Basagana, Xavier/0000-0002-8457-1489; Pepin, Jean Louis/0000-0003-3832-2358; Mayora Ibarra, Oscar/0000-0002-5773-3876; Monti, Riccardo/0000-0002-1003-3629; Vicheva, Dilyana/0000-0002-6805-3825; Farsi, Alessandro/0000-0001-6036-9094; Du Toit, George/0000-0002-0321-2928; Humbert, Marc/0000-0003-0703-2892; Demoly, Pascal/0000-0001-7827-7964; Ivancevich, Juan Carlos/0000-0001-8713-6258; Mashiya, Nombeko Monica/0000-0003-0124-9118; Carreiro Martins, Pedro/0000-0002-4129-133X; Dray, Gerard/0000-0003-1525-5682; Panzner, Petr/0000-0002-1291-450X; Pinnock, Hilary/0000-0002-5976-8386; GALVEZ ROMERO, JOSE LUIS/0000-0002-6560-3596; Gemicioglu, Bilun/0000-0001-5953-4881; Cecchi, Lorenzo/0000-0002-0658-2449; Bindslev-Jensen, Carsten/0000-0002-8940-038X; Papadopoulos, Nikolaos/0000-0002-4448-3468; Bonini, Sergio/0000-0003-0079-3031; Custovic, Adnan/0000-0001-5218-7071; SIROUX, Valerie/0000-0001-7329-7237; Bousquet, Jean/0000-0002-4061-4766; CANONICA, GIORGIO WALTER/0000-0001-8467-2557; Blasi, Francesco/0000-0002-2285-9970; Vatrella, Alessandro/0000-0001-8265-3037; Pitsios, Constantinos/0000-0001-8935-278X; roche, nicolas/0000-0002-3162-5033; Becker, Sven/0000-0003-1972-3797; Rodenas Rigla, Francisco/0000-0003-3264-4735; Dauvilliers, yves/0000-0003-0683-6506; Malva, Joao/0000-0002-5438-4447; Yusuf, Osman/0000-0002-8067-1204; VENTURA, Maria Teresa/0000-0002-2637-4583; Sheikh, Aziz/0000-0001-7022-3056; Rolla, Giovanni/0000-0001-5997-7172; Barbara, Cristina/0000-0003-0915-4105; Krzych-Falta, Edyta/0000-0002-9857-7136; Rottem, Menachem/0000-0002-9915-0273; Tsiligianni, Ioanna/0000-0001-7922-7491; Robalo Cordeiro, Carlos Manuel da Silva/0000-0002-8264-3856; momas, isabelle/0000-0003-4344-3787; Casale, Thomas/0000-0002-3149-7377; Brusselle, Guy/0000-0001-7021-8505; Braido, Fulvio/0000-0003-2460-4709; Nadif, Rachel/0000-0003-4938-9339; Rabe, Klaus F./0000-0002-7020-1401; Costa, Elisio/0000-0003-1158-1480; Zubrinich, celia/0000-0002-3517-2035; menditto, enrica/0000-0001-8633-5650; Cardona, Victoria/0000-0003-2197-9767; orlando, valentina/0000-0002-8209-8878; Paulino, Ema/0000-0002-4087-375X; Fonseca, Joao/0000-0002-0887-8796; Nalin, Marco/0000-0002-9957-3225; Hellings, Peter/0000-0001-6898-688X; Bialoszewski, Artur/0000-0001-5941-0483; Romano, Antonino/0000-0001-9742-9898; Rodo, Xavier/0000-0003-4843-6180; Khaitov, Musa/0000-0003-4961-9640; brightling, chris/0000-0002-9345-4903; Verissimo, Manuel/0000-0002-2793-2129; yorgancioglu, arzu/0000-0002-4032-0944</t>
  </si>
  <si>
    <t>FMC VIA LR</t>
  </si>
  <si>
    <t>FMC VIA LR.</t>
  </si>
  <si>
    <t>MAR 11</t>
  </si>
  <si>
    <t>10.1186/s13601-019-0252-0</t>
  </si>
  <si>
    <t>HO4PB</t>
  </si>
  <si>
    <t>WOS:000460903700001</t>
  </si>
  <si>
    <t>Bousquet, J; Hellings, PW; Agache, I; Amat, F; Annesi-Maesano, I; Ansotegui, IJ; Anto, JM; Bachert, C; Bateman, ED; Bedbrook, A; Bennoor, K; Bewick, M; Bindslev-Jensen, C; Bosnic-Anticevich, S; Bosse, I; Brozek, J; Brussino, L; Canonica, GW; Cardona, V; Casale, T; Sarabia, AMC; Chavannes, NH; Cecchi, L; de Sousa, JC; Costa, E; Cruz, AA; Czarlewski, W; De Carlo, G; De Feo, G; Demoly, P; Devillier, P; Dykewicz, MS; El-Gamal, Y; Eller, EE; Fonseca, JA; Fontaine, JF; Fokkens, WJ; Guzmán, MA; Haahtela, T; Illario, M; Ivancevich, JC; Just, J; Kaidashev, I; Khaitov, M; Kalayci, O; Keil, T; Klimek, L; Kowalski, ML; Kuna, P; Kvedariene, V; Larenas-Linnemann, D; Laune, D; Le, LTT; Carlsen, KL; Lourenço, O; Mahboub, B; Mair, A; Menditto, E; Milenkovic, B; Morais-Almeida, M; Mösges, R; Mullol, J; Murray, R; Naclerio, R; Namazova-Baranova, L; Novellino, E; O'Hehir, RE; Ohta, K; Okamoto, Y; Okubo, K; Onorato, GL; Palkonen, S; Panzner, P; Papadopoulos, NG; Park, HS; Paulino, E; Pawankar, R; Pfaar, O; Plavec, D; Popov, TA; Potter, P; Prokopakis, EP; Rottem, M; Ryan, D; Salimaki, J; Samolinski, B; Sanchez-Borges, M; Schunemann, HJ; Sheikh, A; Sisul, JC; Rajabian-Söderlund, R; Sooronbaev, T; Stellato, C; To, T; Todo-Bom, AM; Tomazic, PV; Toppila-Salmi, S; Valero, A; Valiulis, A; Valovirta, E; Ventura, MT; Wagenmann, M; Wang, DY; Wallace, D; Waserman, S; Wickman, M; Yorgancioglu, A; Zhang, L; Zhong, N; Zidarn, M; Zuberbier, T; Bousquet, J; Hellings, PW; Aberer, W; Agache, I; Akdis, CA; Akdis, M; Alberti, MR; Almeida, R; Amat, F; Angles, R; Annesi-Maesano, I; Ansotegui, IJ; Anto, JM; Arnavielle, S; Asayag, E; Asarnoj, A; Arshad, H; Avolio, F; Bacci, E; Bachert, C; Baiardini, I; Barbara, C; Barbagallo, M; Baroni, I; Barreto, BA; Basagana, X; Bateman, ED; Bedolla-Barajas, M; Bedbrook, A; Bewick, M; Beghé, B; Bel, EH; Bergmann, KC; Bennoor, KS; Benson, M; Bertorello, L; Biaoszewski, AZ; Bieber, T; Bialek, S; Bindslev-Jensen, C; Bjermer, L; Blain, H; Blasi, F; Blua, A; Marciniak, MB; Bogus-Buczynska, I; Boner, AL; Bonini, M; Bonini, S; Bosnic-Anticevich, CS; Bosse, I; Bouchard, J; Boulet, LP; Bourret, R; Bousquet, PJ; Braido, F; Briedis, V; Brightling, CE; Brozek, J; Bucca, C; Buhl, R; Buonaiuto, R; Panaitescu, C; Cabañas, MTB; Burte, E; Bush, A; Caballero-Fonseca, F; Caillot, D; Caimmi, D; Calderon, MA; Camargos, PAM; Camuzat, T; Canfora, G; Canonica, GW; Cardona, V; Carlsen, KH; Carreiro-Martins, P; Carriazo, AM; Carr, W; Cartier, C; Casale, T; Castellano, G; Cecchi, L; Sarabia, AMC; Chavannes, NH; Chen, Y; Chiron, R; Chivato, T; Chkhartishvili, E; Chuchalin, AG; Chung, KF; Ciaravolo, MM; Ciceran, A; Cingi, C; Ciprandi, G; Coehlo, ACC; Colas, L; Colgan, E; Coll, J; Conforti, D; de Sousa, JC; Cortés-Grimaldo, RM; Corti, F; Costa, E; Costa-Dominguez, C; Courbis, AL; Cox, L; Crescenzo, M; Cruz, AA; Custovic, A; Czarlewski, W; Dahlen, SE; Dario, C; da Silva, J; Dauvilliers, Y; Darsow, U; De Blay, F; De Carlo, G; Dedeu, T; Emerson, MD; De Feo, G; De Vries, G; De Martino, B; Rubini, NDM; Deleanu, D; Demoly, P; Denburg, JA; Devillier, P; Ercolano, SDC; Di Carluccio, N; Didier, A; Dokic, D; Dominguez-Silva, MG; Douagui, H; Dray, G; Dubakiene, R; Durham, SR; Du Toit, G; Dykewicz, MS; El-Gamal, Y; Eklund, P; Eller, E; Emuzyte, R; Farrell, J; Farsi, A; de Mello, JF; Ferrero, J; Fink-Wagner, A; Fiocchi, A; Fokkens, WJ; Fonseca, JA; Fontaine, JF; Forti, S; Fuentes-Perez, JM; Gálvez-Romero, JL; Gamkrelidze, A; Garcia-Aymerich, J; García-Cobas, CY; Garcia-Cruz, MH; Gemicioglu, B; Genova, S; Christoff, G; Gereda, JE; van Wijk, RG; Gomez, RM; Gómez-Vera, J; Diaz, SG; Gotua, M; Grisle, I; Guidacci, M; Guldemond, NA; Gutter, Z; Guzmán, MA; Haahtela, T; Hajjam, J; Hernandez, L; Hourihane, JO; Huerta-Villalobos, YR; Humbert, M; Iaccarino, G; Illario, M; Ivancevich, JC; Jares, EJ; Jassem, E; Johnston, SL; Joos, G; Jung, KS; Jutel, M; Kaidashev, I; Kalayci, O; Kalyoncu, AF; Karjalainen, J; Kardas, P; Keil, T; Keith, PK; Khaitov, M; Khaltaev, N; Kleine-Tebbe, J; Klimek, L; Kowalski, ML; Kuitunen, M; Kull, I; Kuna, P; Kupczyk, M; Kvedariene, V; Krzych-Fata, E; Lacwik, P; Larenas-Linnemann, D; Laune, D; Lauri, D; Lavrut, J; Le, LTT; Lessa, M; Levato, G; Li, J; Lieberman, P; Lipiec, A; Lipworth, B; Carlsen, KCL; Louis, R; Lourenço, O; Luna-Pech, JA; Maciej, K; Magnan, A; Mahboub, B; Maier, D; Mair, A; Majer, I; Malva, J; Mandajieva, E; Manning, P; Keenoy, EDM; Marshall, GD; Masjedi, MR; Maspero, JF; Mathieu-Dupas, E; Campos, JJM; Matos, AL; Maurer, M; Mavale-Manuel, S; Mayora, O; Medina-Avalos, MA; Melén, E; Melo-Gomes, E; Meltzer, EO; Menditto, E; Mercier, J; Miculinic, N; Mihaltan, F; Milenkovic, B; Moda, G; Mogica-Martinez, MD; Mohammad, Y; Momas, I; Montefort, S; Monti, R; Bogado, DM; Morais-Almeida, M; Morato-Castro, FF; Mösges, RM; Mota-Pinto, A; Santo, PM; Mullol, J; Münter, L; Muraro, A; Murray, R; Naclerio, R; Nadif, R; Nalin, M; Napoli, L; Namazova-Baranova, L; Neffen, H; Niedeberger, V; Nekam, K; Neou, A; Nieto, A; Nogueira-Silva, L; Nogues, M; Novellino, E; Nyembue, TD; O'Hehir, RE; Odzhakova, C; Ohta, K; Okamoto, Y; Okubo, K; Onorato, GL; Cisneros, MO; Ouedraogo, S; Pali-Schöll, I; Palkonen, S; Panzner, P; Papadopoulos, NG; Park, HS; Papi, A; Passalacqua, G; Paulino, E; Pawankar, R; Pedersen, S; Pépin, JL; Pereira, AM; Persico, M; Pfaar, O; Phillips, J; Picard, R; Pigearias, B; Pin, I; Pitsios, C; Plavec, D; Pohl, W; Popov, TA; Portejoie, F; Potter, P; Pozzi, AC; Price, D; Prokopakis, EP; Puy, R; Pugin, B; Ross, REP; Przemecka, M; Rabe, KF; Raciborski, F; Rajabian-Soderlund, R; Reitsma, S; Ribeirinho, I; Rimmer, J; Rivero-Yeverino, D; Rizzo, JA; Rizzo, MC; Robalo-Cordeiro, C; Rodenas, F; Rodo, X; Gonzalez, MR; Rodriguez-Mañas, L; Rolland, C; Valle, SR; Rodriguez, MR; Romano, A; Rodriguez-Zagal, E; Rolla, G; Roller-Wirnsberger, RE; Romano, M; Rosado-Pinto, J; Rosario, N; Rottem, M; Ryan, D; Sagara, H; Salimäki, J; Samolinski, B; Sanchez-Borges, M; Sastre-Dominguez, J; Scadding, GK; Schunemann, HJ; Scichilone, N; Schmid-Grendelmeier, P; Serpa, FS; Shamai, S; Sheikh, A; Sierra, M; Simons, FER; Siroux, V; Sisul, JC; Skrindo, I; Solé, D; Somekh, D; Sondermann, M; Sooronbaev, T; Sova, M; Sorensen, M; Sorlini, M; Spranger, O; Stellato, C; Stelmach, R; Stukas, R; Sunyer, J; Strozek, J; Szylling, A; Tebyriçá, JN; Thibaudon, M; To, T; Todo-Bom, A; Tomazic, PV; Toppila-Salmi, S; Trama, U; Triggiani, M; Ulrik, CS; Urrutia-Pereira, M; Valenta, R; Valero, A; Valiulis, A; Valovirta, E; van Eerd, M; van Ganse, E; van Hague, M; Vandenplas, O; Ventura, MT; Vezzani, G; Vasankari, T; Vatrella, A; Verissimo, MT; Viart, F; Viegi, M; Vicheva, D; Vontetsianos, T; Wagenmann, M; Walker, S; Wallace, D; Wang, DY; Waserman, S; Werfel, T; Westman, M; Wickman, M; Williams, DM; Williams, S; Wilson, N; Wright, J; Wroczynski, P; Yakovliev, P; Yawn, BP; Yiallouros, PK; Yorgancioglu, A; Yusuf, OM; Zar, HJ; Zhang, L; Zhong, N; Zernotti, ME; Zidarn, M; Zuberbier, T; Zubrinich, C; Zurkuhlen, A</t>
  </si>
  <si>
    <t>Bousquet, Jean; Hellings, Peter W.; Agache, Ioana; Amat, Flore; Annesi-Maesano, Isabella; Ansotegui, Ignacio J.; Anto, Josep M.; Bachert, Claus; Bateman, Eric D.; Bedbrook, Anna; Bennoor, Kazi; Bewick, Mickael; Bindslev-Jensen, Carsten; Bosnic-Anticevich, Sinthia; Bosse, Isabelle; Brozek, Jan; Brussino, Luisa; Canonica, Giorgio W.; Cardona, Victoria; Casale, Thomas; Sarabia, Alfonso M. Cepeda; Chavannes, Niels H.; Cecchi, Lorenzo; de Sousa, Jaime Correia; Costa, Elisio; Cruz, Alvaro A.; Czarlewski, Wienczyslawa; De Carlo, Giuseppe; De Feo, Giulia; Demoly, Pascal; Devillier, Philippe; Dykewicz, Mark S.; El-Gamal, Yehia; Eller, Esben E.; Fonseca, Joao A.; Fontaine, Jean-Francois; Fokkens, Wytske J.; Guzman, Maria-Antonieta; Haahtela, Tari; Illario, Maddalena; Ivancevich, Juan-Carlos; Just, Jocelyne; Kaidashev, Igor; Khaitov, Musa; Kalayci, Omer; Keil, Thomas; Klimek, Ludger; Kowalski, Marek L.; Kuna, Piotr; Kvedariene, Violeta; Larenas-Linnemann, Desiree; Laune, Daniel; Le, Lan T. T.; Carlsen, Karin Lodrup; Lourenco, Olga; Mahboub, Bassam; Mair, Alpana; Menditto, Enrica; Milenkovic, Branislava; Morais-Almeida, Mario; Mosges, Ralph; Mullol, Joaquim; Murray, Ruth; Naclerio, Robert; Namazova-Baranova, Leyla; Novellino, Ettore; O'Hehir, Robyn E.; Ohta, Ken; Okamoto, Yoshitaka; Okubo, Kimi; Onorato, Gabrielle L.; Palkonen, Susanna; Panzner, Petr; Papadopoulos, Nikos G.; Park, Hae-Sim; Paulino, Ema; Pawankar, Ruby; Pfaar, Oliver; Plavec, Davor; Popov, Ted A.; Potter, Paul; Prokopakis, Emmanuel P.; Rottem, Menachem; Ryan, Dermot; Salimaki, Johanna; Samolinski, Boleslaw; Sanchez-Borges, Mario; Schunemann, Holger J.; Sheikh, Aziz; Sisul, Juan-Carlos; Rajabian-Soderlund, Rojin; Sooronbaev, Talant; Stellato, Cristiana; To, Teresa; Todo-Bom, Ana-Maria; Tomazic, Peter-Valentin; Toppila-Salmi, Sanna; Valero, Antonio; Valiulis, Arunas; Valovirta, Erkka; Ventura, Maria-Teresa; Wagenmann, Martin; Wang, De Yun; Wallace, Dana; Waserman, Susan; Wickman, Magnus; Yorgancioglu, Arzu; Zhang, Luo; Zhong, Nanshan; Zidarn, Mihaela; Zuberbier, Torsten; Bousquet, J.; Hellings, P. W.; Aberer, W.; Agache, I.; Akdis, C. A.; Akdis, M.; Alberti, M. R.; Almeida, R.; Amat, F.; Angles, R.; Annesi-Maesano, I.; Ansotegui, I. J.; Anto, J. M.; Arnavielle, S.; Asayag, E.; Asarnoj, A.; Arshad, H.; Avolio, F.; Bacci, E.; Bachert, C.; Baiardini, I.; Barbara, C.; Barbagallo, M.; Baroni, I.; Barreto, B. A.; Basagana, X.; Bateman, E. D.; Bedolla-Barajas, M.; Bedbrook, A.; Bewick, M.; Beghe, B.; Bel, E. H.; Bergmann, K. C.; Bennoor, K. S.; Benson, M.; Bertorello, L.; Biaoszewski, A. Z.; Bieber, T.; Bialek, S.; Bindslev-Jensen, C.; Bjermer, L.; Blain, H.; Blasi, F.; Blua, A.; Marciniak, M. Bochenska; Bogus-Buczynska, I.; Boner, A. L.; Bonini, M.; Bonini, S.; Bosnic-Anticevich, C. S.; Bosse, I.; Bouchard, J.; Boulet, L. P.; Bourret, R.; Bousquet, P. J.; Braido, F.; Briedis, V.; Brightling, C. E.; Brozek, J.; Bucca, C.; Buhl, R.; Buonaiuto, R.; Panaitescu, C.; Cabanas, M. T. Burguete; Burte, E.; Bush, A.; Caballero-Fonseca, F.; Caillot, D.; Caimmi, D.; Calderon, M. A.; Camargos, P. A. M.; Camuzat, T.; Canfora, G.; Canonica, G. W.; Cardona, V.; Carlsen, K. H.; Carreiro-Martins, P.; Carriazo, A. M.; Carr, W.; Cartier, C.; Casale, T.; Castellano, G.; Cecchi, L.; Sarabia, A. M. Cepeda; Chavannes, N. H.; Chen, Y.; Chiron, R.; Chivato, T.; Chkhartishvili, E.; Chuchalin, A. G.; Chung, K. F.; Ciaravolo, M. M.; Ciceran, A.; Cingi, C.; Ciprandi, G.; Coehlo, A. C. Carvalho; Colas, L.; Colgan, E.; Coll, J.; Conforti, D.; de Sousa, J. Correia; Cortes-Grimaldo, R. M.; Corti, F.; Costa, E.; Costa-Dominguez, C.; Courbis, A. L.; Cox, L.; Crescenzo, M.; Cruz, A. A.; Custovic, A.; Czarlewski, W.; Dahlen, S. E.; Dario, C.; da Silva, J.; Dauvilliers, Y.; Darsow, U.; De Blay, F.; De Carlo, G.; Dedeu, T.; Emerson, M. de Fatima; De Feo, G.; De Vries, G.; De Martino, B.; Rubini, N. de Paula Motta; Deleanu, D.; Demoly, P.; Denburg, J. A.; Devillier, P.; Ercolano, S. Di Capua; Di Carluccio, N.; Didier, A.; Dokic, D.; Dominguez-Silva, M. G.; Douagui, H.; Dray, G.; Dubakiene, R.; Durham, S. R.; Du Toit, G.; Dykewicz, M. S.; El-Gamal, Y.; Eklund, P.; Eller, E.; Emuzyte, R.; Farrell, J.; Farsi, A.; de Mello, J. Ferreira, Jr.; Ferrero, J.; Fink-Wagner, A.; Fiocchi, A.; Fokkens, W. J.; Fonseca, J. A.; Fontaine, J. F.; Forti, S.; Fuentes-Perez, J. M.; Galvez-Romero, J. L.; Gamkrelidze, A.; Garcia-Aymerich, J.; Garcia-Cobas, C. Y.; Garcia-Cruz, M. H.; Gemicioglu, B.; Genova, S.; Christoff, G.; Gereda, J. E.; van Wijk, R. Gerth; Gomez, R. M.; Gomez-Vera, J.; Diaz, S. Gonzalez; Gotua, M.; Grisle, I.; Guidacci, M.; Guldemond, N. A.; Gutter, Z.; Guzman, M. A.; Haahtela, T.; Hajjam, J.; Hernandez, L.; Hourihane, J. O'B.; Huerta-Villalobos, Y. R.; Humbert, M.; Iaccarino, G.; Illario, M.; Ivancevich, J. C.; Jares, E. J.; Jassem, E.; Johnston, S. L.; Joos, G.; Jung, K. S.; Jutel, M.; Kaidashev, I.; Kalayci, O.; Kalyoncu, A. F.; Karjalainen, J.; Kardas, P.; Keil, T.; Keith, P. K.; Khaitov, M.; Khaltaev, N.; Kleine-Tebbe, J.; Klimek, L.; Kowalski, M. L.; Kuitunen, M.; Kull, I.; Kuna, P.; Kupczyk, M.; Kvedariene, V.; Krzych-Fata, E.; Lacwik, P.; Larenas-Linnemann, D.; Laune, D.; Lauri, D.; Lavrut, J.; Le, L. T. T.; Lessa, M.; Levato, G.; Li, J.; Lieberman, P.; Lipiec, A.; Lipworth, B.; Carlsen, K. C. Lodrup; Louis, R.; Lourenco, O.; Luna-Pech, J. A.; Maciej, K.; Magnan, A.; Mahboub, B.; Maier, D.; Mair, A.; Majer, I.; Malva, J.; Mandajieva, E.; Manning, P.; Keenoy, E. De Manuel; Marshall, G. D.; Masjedi, M. R.; Maspero, J. F.; Mathieu-Dupas, E.; Campos, J. J. Matta; Matos, A. L.; Maurer, M.; Mavale-Manuel, S.; Mayora, O.; Medina-Avalos, M. A.; Melen, E.; Melo-Gomes, E.; Meltzer, E. O.; Menditto, E.; Mercier, J.; Miculinic, N.; Mihaltan, F.; Milenkovic, B.; Moda, G.; Mogica-Martinez, M. D.; Mohammad, Y.; Momas, I.; Montefort, S.; Monti, R.; Bogado, D. Mora; Morais-Almeida, M.; Morato-Castro, F. F.; Mosges, R.; Mota-Pinto, A.; Santo, P. Moura; Mullol, J.; Munter, L.; Muraro, A.; Murray, R.; Naclerio, R.; Nadif, R.; Nalin, M.; Napoli, L.; Namazova-Baranova, L.; Neffen, H.; Niedeberger, V.; Nekam, K.; Neou, A.; Nieto, A.; Nogueira-Silva, L.; Nogues, M.; Novellino, E.; Nyembue, T. D.; O'Hehir, R. E.; Odzhakova, C.; Ohta, K.; Okamoto, Y.; Okubo, K.; Onorato, G. L.; Cisneros, M. Ortega; Ouedraogo, S.; Pali-Scholl, I.; Palkonen, S.; Panzner, P.; Papadopoulos, N. G.; Park, H. S.; Papi, A.; Passalacqua, G.; Paulino, E.; Pawankar, R.; Pedersen, S.; Pepin, J. L.; Pereira, A. M.; Persico, M.; Pfaar, O.; Phillips, J.; Picard, R.; Pigearias, B.; Pin, I.; Pitsios, C.; Plavec, D.; Pohl, W.; Popov, T. A.; Portejoie, F.; Potter, P.; Pozzi, A. C.; Price, D.; Prokopakis, E. P.; Puy, R.; Pugin, B.; Ross, R. E. Pulido; Przemecka, M.; Rabe, K. F.; Raciborski, F.; Rajabian-Soderlund, R.; Reitsma, S.; Ribeirinho, I.; Rimmer, J.; Rivero-Yeverino, D.; Rizzo, J. A.; Rizzo, M. C.; Robalo-Cordeiro, C.; Rodenas, F.; Rodo, X.; Gonzalez, M. Rodriguez; Rodriguez-Manas, L.; Rolland, C.; Valle, S. Rodrigues; Rodriguez, M. Roman; Romano, A.; Rodriguez-Zagal, E.; Rolla, G.; Roller-Wirnsberger, R. E.; Romano, M.; Rosado-Pinto, J.; Rosario, N.; Rottem, M.; Ryan, D.; Sagara, H.; Salimaki, J.; Samolinski, B.; Sanchez-Borges, M.; Sastre-Dominguez, J.; Scadding, G. K.; Schunemann, H. J.; Scichilone, N.; Schmid-Grendelmeier, P.; Serpa, F. S.; Shamai, S.; Sheikh, A.; Sierra, M.; Simons, F. E. R.; Siroux, V.; Sisul, J. C.; Skrindo, I.; Sole, D.; Somekh, D.; Sondermann, M.; Sooronbaev, T.; Sova, M.; Sorensen, M.; Sorlini, M.; Spranger, O.; Stellato, C.; Stelmach, R.; Stukas, R.; Sunyer, J.; Strozek, J.; Szylling, A.; Tebyrica, J. N.; Thibaudon, M.; To, T.; Todo-Bom, A.; Tomazic, P. V.; Toppila-Salmi, S.; Trama, U.; Triggiani, M.; Ulrik, C. Suppli; Urrutia-Pereira, M.; Valenta, R.; Valero, A.; Valiulis, A.; Valovirta, E.; van Eerd, M.; van Ganse, E.; van Hague, M.; Vandenplas, O.; Ventura, M. T.; Vezzani, G.; Vasankari, T.; Vatrella, A.; Verissimo, M. T.; Viart, F.; Viegi, M.; Vicheva, D.; Vontetsianos, T.; Wagenmann, M.; Walker, S.; Wallace, D.; Wang, D. Y.; Waserman, S.; Werfel, T.; Westman, M.; Wickman, M.; Williams, D. M.; Williams, S.; Wilson, N.; Wright, J.; Wroczynski, P.; Yakovliev, P.; Yawn, B. P.; Yiallouros, P. K.; Yorgancioglu, A.; Yusuf, O. M.; Zar, H. J.; Zhang, L.; Zhong, N.; Zernotti, M. E.; Zidarn, M.; Zuberbier, T.; Zubrinich, C.; Zurkuhlen, A.</t>
  </si>
  <si>
    <t>Mobile Airways Sentinel Network M</t>
  </si>
  <si>
    <t>Allergic Rhinitis and its Impact on Asthma (ARIA) Phase 4 (2018): Change management in allergic rhinitis and asthma multimorbidity using mobile technology</t>
  </si>
  <si>
    <t>Change management; rhinitis; asthma; Allergic Rhinitis and Its Impact on Asthma</t>
  </si>
  <si>
    <t>EUROPEAN INNOVATION PARTNERSHIP; PATIENT PARTICIPATION; WORK PRODUCTIVITY; CHRONIC DISEASES; DECISION-MAKING; GLOBAL STRATEGY; MASK-RHINITIS; MACVIA-ARIA; GUIDELINES; QUALITY</t>
  </si>
  <si>
    <t>Allergic Rhinitis and its Impact on Asthma (ARIA) has evolved from a guideline by using the best approach to integrated care pathways using mobile technology in patients with allergic rhinitis (AR) and asthma multimorbidity. The proposed next phase of ARIA is change management, with the aim of providing an active and healthy life to patients with rhinitis and to those with asthma multimorbidity across the lifecycle irrespective of their sex or socioeconomic status to reduce health and social inequities incurred by the disease. ARIA has followed the 8-step model of Kotter to assess and implement the effect of rhinitis on asthma multimorbidity and to propose multimorbid guidelines. A second change management strategy is proposed by ARIA Phase 4 to increase self-medication and shared decision making in rhinitis and asthma multimorbidity. An innovation of ARIA has been the development and validation of information technology evidence-based tools (Mobile Airways Sentinel Network [MASK]) that can inform patient decisions on the basis of a self-care plan proposed by the health care professional.</t>
  </si>
  <si>
    <t xml:space="preserve">[Bousquet, Jean] Univ Hosp, Montpellier, France; [Bousquet, Jean; Bedbrook, Anna; Onorato, Gabrielle L.] MACVIA France, Fdn Partenariale FMC VIA LR, Montpellier, France; [Bousquet, Jean] Univ Versailles St Quentin en Yvelines, Ageing &amp; Chron Dis Epidemiol &amp; Publ Hlth Approach, UMR S 1168, Montigny Bretonneux &amp; Euforea, Villejuif, France; [Hellings, Peter W.] Katholieke Univ Leuven, Dept Microbiol &amp; Immunol, Clin Immunol Lab, Leuven, Belgium; [Agache, Ioana] Transylvania Univ Brasov, Brasov, Romania; [Annesi-Maesano, Isabella; Demoly, Pascal] INSERM, Inst Pierre Louis Epidemiol &amp; Publ Hlth, Epidemiol Allerg &amp; Resp Dis Dept, Paris, France; [Annesi-Maesano, Isabella; Demoly, Pascal] UPMC Sorbonne Univ, Med Sch St Antoine, Paris, France; [Ansotegui, Ignacio J.] Hosp Quiron Bizkaia, Dept Allergy &amp; Immunol, Erandio, Spain; [Anto, Josep M.] ISGlobal, Ctr Res Environm Epidemiol CREAL, Barcelona, Spain; [Anto, Josep M.] IMIM Hosp Mar Res Inst, Barcelona, Spain; [Anto, Josep M.] CIBER Epidemiol &amp; Salud Publ CIBERESP, Barcelona, Spain; [Anto, Josep M.] Univ Pompeu Fabra UPF, Barcelona, Spain; [Bachert, Claus] Ghent Univ Hosp, ENT Dept, Upper Airways Res Lab, Ghent, Belgium; [Bateman, Eric D.] Univ Cape Town, Dept Med, Rondebosch, South Africa; [Bennoor, Kazi] Natl Inst Dis Chest &amp; Hosp, Dept Resp Med, Dhaka, Bangladesh; [Bewick, Mickael] iQ4U Consultants, London, England; [Bindslev-Jensen, Carsten; Eller, Esben E.] Odense Univ Hosp, Dept Dermatol &amp; Allergy Ctr, Odense Res Ctr Anaphylaxis ORCA, Odense, Denmark; [Bosnic-Anticevich, Sinthia] Univ Sydney, Woolcock Inst Med Res, Glebe, NSW, Australia; [Bosnic-Anticevich, Sinthia] Woolcock Emphysema Ctr, Glebe, NSW, Australia; [Bosnic-Anticevich, Sinthia] Local Hlth Dist, Glebe, NSW, Australia; [Brozek, Jan; Schunemann, Holger J.] McMaster Univ, Div Immunol &amp; Allergy, Dept Hlth Res Methods Evidence &amp; Impact, Dept Med, Hamilton, ON, Canada; [Brussino, Luisa] Univ Torino, Dept Med Sci, Allergy &amp; Clin Immunol Unit, Turin, Italy; [Brussino, Luisa] Mauriziano Hosp, Turin, Italy; [Canonica, Giorgio W.] Humanitas Univ, Humanitas Res Hosp, Personalized Med Clin Asthma &amp; Allergy, Milan, Italy; [Cardona, Victoria] Hosp Valle De Hebron, Allergy Sect, Dept Internal Med, Barcelona, Spain; [Cardona, Victoria] ARADyAL Spanish Res Network, Barcelona, Spain; [Casale, Thomas] Univ S Florida, Div Allergy Immunol, Tampa, FL USA; [Sarabia, Alfonso M. Cepeda] Simon Bolivar Univ, Metropolitan Univ, Allergy &amp; Immunol Lab, Barranquilla, Colombia; [Sarabia, Alfonso M. Cepeda] SLaai, Soc Latinoamer Alergia Asma &amp; Immunol, Barranquilla, Colombia; [Chavannes, Niels H.] Leiden Univ Med Ctr, Dept Publ Hlth &amp; Primary Care, Leiden, Netherlands; [Cecchi, Lorenzo] USL Toscana Ctr, SOS Allergol &amp; Clin Immunol, Prato, Italy; [de Sousa, Jaime Correia] Univ Minho, Life &amp; Hlth Sci Res Inst ICVS, Sch Med, Braga, Portugal; [de Sousa, Jaime Correia] ICVS 3Bs, PT Govt Associate Lab, Braga, Portugal; [Costa, Elisio] Univ Porto Porto4Ageing, UCIBIO, REQUINTE, Fac Pharm, Porto, Portugal; [Costa, Elisio] Univ Porto Porto4Ageing, UCIBIO, REQUINTE, Competence Ctr Act &amp; Healthy Ageing, Porto, Portugal; [Cruz, Alvaro A.] Univ Fed Bahia, ProAR Nucleo Excelencia Asma, Salvador, BA, Brazil; [Cruz, Alvaro A.] WHO GARD Planning Grp, Salvador, BA, Brazil; [Czarlewski, Wienczyslawa] Med Consulting Czarlewski, Levallois Perret, France; [De Carlo, Giuseppe; Palkonen, Susanna] European Federat Allergy &amp; Airways Dis Patients A, Brussels, Belgium; [De Feo, Giulia; Stellato, Cristiana] Univ Salerno, Dept Med, Surg &amp; Dent Scuola Med Salernitana, Salerno, Italy; [Demoly, Pascal] Montpellier Univ Hosp, Dept Resp Dis, Montpellier, France; [Devillier, Philippe] Univ Paris Saclay, Univ Versailles St Quentin, Lab Phamacol Resp UPRES EA220, Hop Foch, Paris, France; [Dykewicz, Mark S.] St Louis Univ, Sect Allergy &amp; Immunol, Sch Med, St Louis, France; [El-Gamal, Yehia] Ain Shams Univ, Childrens Hosp, Pediat Allergy &amp; Immunol Unit, Cairo, Egypt; [Fonseca, Joao A.] Univ Porto, Ctr Res Hlth Technol &amp; Informat Syst, CINTESIS, Fac Med,Lda, Porto, Portugal; [Fokkens, Wytske J.] AMC, Dept Otorhinolaryngol, Amsterdam, Netherlands; [Guzman, Maria-Antonieta] Univ Chile, Immunol &amp; Allergy Div, Clin Hosp, Santiago, Chile; [Haahtela, Tari; Toppila-Salmi, Sanna] Helsinki Univ Hosp, Skin &amp; Allergy Hosp, Helsinki, Finland; [Haahtela, Tari; Toppila-Salmi, Sanna] Univ Helsinki, Helsinki, Finland; [Illario, Maddalena; Novellino, Ettore] Div Hlth Innovat, Naples, Italy; [Illario, Maddalena] Federico II Univ &amp; Hosp Naples, DISMET &amp; RID Unit, Naples, Italy; [Ivancevich, Juan-Carlos] Clin Santa Isabel, Serv Alergia Immunol, Buenos Aires, DF, Argentina; [Amat, Flore; Just, Jocelyne] UPMC Univ Paris 06, Allergol Dept, Ctr Asthme &amp; Allergies, Hop Enfants Armand Trousseau APHP, Paris, France; [Amat, Flore; Just, Jocelyne] UPMC Univ Paris 06, Sorbonne Univ, UMR S 1136, Inst Pierre Louis Epidemiol &amp; Sante Publ Equipe E, Paris, France; [Kaidashev, Igor] Ukrainina Med Stomatol Acad, Poltava, Ukraine; [Khaitov, Musa] Natl Res Ctr, Inst Immunol, Lab Mol Immunol, Fed Medicobiol Agcy, Moscow, Russia; [Kalayci, Omer] Hacettepe Univ, Pediat Allergy &amp; Asthma Unit, Sch Med, Ankara, Turkey; [Keil, Thomas] Charite Univ Med Berlin, Inst Social Med Epidemiol &amp; Hlth Econ, Berlin, Germany; [Keil, Thomas] Univ Wurzburg, Inst Clin Epidemiol &amp; Biometry, Wurzburg, Germany; [Klimek, Ludger] Ctr Rhinol &amp; Allergol, Wiesbaden, Germany; [Kowalski, Marek L.] Med Univ Lodz, Dept Immunol &amp; Allergy, Healthy Ageing Res Ctr, Lodz, Poland; [Kuna, Piotr] Med Univ Lodz, Barlicki Univ Hosp, Div Internal Med Asthma &amp; Allergy, Lodz, Poland; [Kvedariene, Violeta] Vilnius Univ, Fac Med, Vilnius, Lithuania; [Larenas-Linnemann, Desiree] Med Clin Fdn &amp; Hosp, Ctr Excellence Asthma &amp; Allergy, Mexico City, DF, Mexico; [Laune, Daniel] Kyomed, Montpellier, France; [Le, Lan T. T.] Univ Med &amp; Pharm, Hochiminh City, Vietnam; [Carlsen, Karin Lodrup] Oslo Univ Hosp, Dept Paediat, Oslo, Norway; [Carlsen, Karin Lodrup] Univ Oslo, Fac Med, Inst Clin Med, Oslo, Norway; [Lourenco, Olga] Univ Beira Interior, Fac Hlth Sci, Covilha, Portugal; [Lourenco, Olga] Univ Beira Interior, CICS UBI, Hlth Sci Res Ctr, Covilha, Portugal; [Mahboub, Bassam] Rashid Hosp, Dept Pulm Med, Dubai, U Arab Emirates; [Mair, Alpana] Scottish Govt, DG Hlth Social Care, Edinburgh, Midlothian, Scotland; [Menditto, Enrica] Univ Naples Federico II, CIRFF, Naples, Italy; [Milenkovic, Branislava] Univ Belgrade, Clin Pulm Dis, Clin Ctr Serbia, Fac Med,Serbian Assoc Asthma &amp; COPD, Belgrade, Serbia; [Morais-Almeida, Mario] CUF Descobertas Hosp, Allergy Ctr, Lisbon, Portugal; [Mosges, Ralph] Univ Cologne, Inst Med Stat &amp; Computat Biol, Fac Med, Hamburg, Germany; [Mosges, Ralph] CRI Clin Res Int, Hamburg, Germany; [Mullol, Joaquim] Univ Barcelona, Rhinol Unit, Barcelona, Spain; [Mullol, Joaquim] Univ Barcelona, Clin &amp; Expt Resp Immunoallergy, ENT Dept, Smell Clin,Hosp Clin,IDIBAPS,CIBERES, Barcelona, Spain; [Murray, Ruth] Med Script, Dundalk, Ireland; [Naclerio, Robert] Johns Hopkins Sch Med, Baltimore, MD USA; [Namazova-Baranova, Leyla] Sci Ctr Childrens Hlth MoH, Moscow, Russia; [Novellino, Ettore] Univ Naples Federico II, Dept Pharm, Naples, Italy; [O'Hehir, Robyn E.] Monash Univ, Dept Allergy Immunol &amp; Resp Med, Alfred Hosp, OHEHIR, Melbourne, Vic, Australia; [O'Hehir, Robyn E.] Monash Univ, Cent Clin Sch, Melbourne, Vic, Australia; [O'Hehir, Robyn E.] Monash Univ, Dept Immunol, Melbourne, Vic, Australia; [Ohta, Ken] Tokyo Natl Hosp, Natl Hosp Org, Tokyo, Japan; [Okamoto, Yoshitaka] Chiba Univ Hosp, Dept Otorhinolaryngol, Chiba, Japan; [Okubo, Kimi] Nippon Med Sch, Dept Otolaryngol, Tokyo, Japan; [Panzner, Petr] Charles Univ Prague, Fac Med Pilsen, Dept Immunol &amp; Allergol, Prague, Czech Republic; [Papadopoulos, Nikos G.] Univ Manchester, Inst Human Dev, Royal Manchester Childrens Hosp, Ctr Pediat &amp; Child Hlth, Manchester, Lancs, England; [Papadopoulos, Nikos G.] Univ Athens, Dept Allergy, Pediat Clin 2, Athens Gen Childrens Hosp P&amp;A Kyriakou, Athens, Greece; [Park, Hae-Sim] Ajou Univ, Sch Med, Dept Allergy &amp; Clin Immunol, Suwon, South Korea; [Paulino, Ema] Farmacias Holon, Lisbon, Portugal; [Pawankar, Ruby] Nippon Med Sch, Dept Pediat, Tokyo, Japan; [Pfaar, Oliver] Ctr Rhinol &amp; Allergol, Wiesbaden, Germany; [Pfaar, Oliver] Heidelberg Univ, Univ Med Mannheim, Dept Otorhinolaryngol Head &amp; Neck Surg, Med Fac Mannheim, Mannheim, Germany; [Plavec, Davor] Childrens Hosp Srebrnjak, Zagreb, Croatia; [Plavec, Davor] Univ JJ Strossmayer, Sch Med, Osijek, Croatia; [Popov, Ted A.] Univ Hosp Sv Ivan Rilski, Sofia, Bulgaria; [Potter, Paul] Univ Cape Town, Lung Inst, Allergy Diagnost &amp; Clin Res Unit, Cape Town, South Africa; [Prokopakis, Emmanuel P.] Univ Crete, Dept Otorhinolaryngol, Sch Med, Iraklion, Greece; [Rottem, Menachem] Emek Med Ctr, Div Allergy Asthma &amp; Clin Immunol, Afula, Israel; [Ryan, Dermot] Univ Edinburgh, Allergy &amp; Resp Res Grp, Edinburgh, Midlothian, Scotland; [Salimaki, Johanna] Assoc Finnish Pharm, Helsinki, Finland; [Samolinski, Boleslaw] Med Univ Warsaw, Dept Prevent Environm Hazards &amp; Allergol, Warsaw, Poland; [Sanchez-Borges, Mario] Trinidad &amp; Clin El Avila, Allergy &amp; Clin Immunol Dept, Ctr Med Docente La, Caracas, Venezuela; [Sheikh, Aziz] Univ Edinburgh, Usher Inst Populat Hlth Sci &amp; Informat, Edinburgh, Midlothian, Scotland; [Sisul, Juan-Carlos] Sociedad Paraguaya Alergia Asma &amp; Inmunol, Asuncion, Paraguay; [Rajabian-Soderlund, Rojin] Karolinska Univ Hosp, Dept Nephrol &amp; Endocrinol, Stockholm, Sweden; [Sooronbaev, Talant] Euro Asian Resp Soc, Kyrgyzstan Natl Ctr Cardiol &amp; Internal Med, Bishkek, Kyrgyzstan; [To, Teresa] Sidkkids Hosp, Toronto, ON, Canada; [To, Teresa] Inst Hlth Policy Management &amp; Evaluat, Toronto, ON, Canada; [Todo-Bom, Ana-Maria] Univ Coimbra, Ctr Hosp Univ Coimbra, Imunoalergol, Coimbra, Portugal; [Todo-Bom, Ana-Maria] Univ Coimbra, Fac Med, Coimbra, Portugal; [Tomazic, Peter-Valentin] Med Univ Graz, Dept ENT, Graz, Austria; [Valero, Antonio] Univ Barcelona, Pneumol &amp; Allergy Dept, CIBERES, Barcelona, Spain; [Valero, Antonio] Univ Barcelona, Clin &amp; Expt Resp Immunoallergy, IDIBAPS, Barcelona, Spain; [Valiulis, Arunas] Vilnius Univ, Inst Clin Med, Clin Childrens Dis, Vilnius, Lithuania; [Valiulis, Arunas] Vilnius Univ, Inst Hlth Sci, Dept Publ Hlth, Vilnius, Lithuania; [Valiulis, Arunas] European Acad Paediat EAP UEMS SP, Brussels, Belgium; [Valovirta, Erkka] Univ Turku, Dept Lung Dis &amp; Clin Immunol Allergol, Turku, Finland; [Valovirta, Erkka] Terveystalo Allergy Clin, Turku, Finland; [Ventura, Maria-Teresa] Univ Bari, Sch Med, Unit Geriatr Immunoallergol, Bari, Italy; [Wagenmann, Martin] Univ Klinikum Dusseldorf, Dept Otorhinolaryngol, Dusseldorf, Germany; [Wang, De Yun] Natl Univ Singapore, Dept Otolaryngol, Yong Loo Lin Sch Med, Singapore, Singapore; [Wallace, Dana] Nova Southeastern Univ, Ft Lauderdale, FL USA; [Waserman, Susan] McMaster Univ, Dept Med Clin Immunol &amp; Allergy, Hamilton, ON, Canada; [Wickman, Magnus] Uppsala Univ, Ctr Clin Res Sormland, Eskilstuna, Sweden; [Yorgancioglu, Arzu] Celal Bayar Univ, Dept Pulmonol, Manisa, Turkey; [Zhang, Luo] Beijing TongRen Hosp, Dept Otolaryngol Head &amp; Neck Surg, Beijing, Peoples R China; [Zhang, Luo] Beijing Inst Otolaryngol, Beijing, Peoples R China; [Zhong, Nanshan] Guangzhou Med Univ, State Key Lab Resp Dis, Guangzhou Inst Resp Dis, Affiliated Hosp 1, Guangzhou, Guangdong, Peoples R China; [Zidarn, Mihaela] Univ Clin Resp &amp; Allerg Dis, Golnik, Slovenia; [Zuberbier, Torsten] Charite Univ Med Berlin, Dept Dermatol &amp; Allergy, Comprehens Allergy Ctr Charite, Berlin, Germany; [Zuberbier, Torsten] Global Allergy &amp; Asthma European Network GA2LEN, Berlin, Germany; [Bousquet, J.] Univ Hosp, Montpellier, France; [Bousquet, J.; Bedbrook, A.; Nogues, M.; Onorato, G. L.; Portejoie, F.] MACVIA France, Fdn Partenariale FMC VIA LR, Montpellier, France; [Bousquet, J.; Burte, E.; Nadif, R.] INSERM, VIMA, VIMA Ageing &amp; Chron Dis Epidemiol &amp; Publ Hlth App, U 1168, Villejuif, France; [Bousquet, J.; Burte, E.; Nadif, R.] Univ Versailles St Quentin en Yvelines, UMR S 1168, Montigny Le Bretonneux, France; [Bousquet, J.; Burte, E.; Nadif, R.] Euforea, Brussels, Belgium; [Hellings, P. W.] Katholieke Univ Leuven, Dept Microbiol &amp; Immunol, Clin Immunol Lab, Leuven, Belgium; [Aberer, W.] Med Univ Graz, Dept Dermatol, Graz, Austria; [Agache, I.] Transylvania Univ Brasov, Brasov, Romania; [Akdis, C. A.; Akdis, M.] Univ Zurich, Swiss Inst Allergy &amp; Asthma Res SIAF, Davos, Switzerland; [Alberti, M. R.] Council Municipal Salerno, Salerno, Italy; [Almeida, R.] Univ Porto, Ctr Hlth Technol &amp; Serv Res CINTESIS, Fac Med, Porto, Portugal; [Almeida, R.] Medida Lda, Porto, Portugal; [Amat, F.] UPMC Univ Paris 06, Ctr Asthme &amp; Allergies, Inst Pierre Louis Epidemiol &amp; Sante Publ, Sorbonne Univ,Hop Enfants Armand Trousse APHP,UMR, Paris, France; [Angles, R.] Salud Sect Sanitario Barbastro, Innovac &amp; Nuevas Tecnol, Barbastro, Spain; [Annesi-Maesano, I.; Bousquet, P. J.; Demoly, P.] INSERM, Epidemiol Allerg &amp; Resp Dis, Dept Inst Pierre Louis Epidemiol &amp; Publ Hlth, Paris, France; [Annesi-Maesano, I.; Bousquet, P. J.; Demoly, P.] UPMC Sorbonne Univ, Med Sch St Antoine, Paris, France; [Ansotegui, I. J.] Hosp Quiron Bizkaia, Dept Allergy &amp; Immunol, Erandio, Spain; [Anto, J. M.; Basagana, X.; Garcia-Aymerich, J.; Rodo, X.; Sunyer, J.] ISGlobAL, Ctr Res Environm Epidemiol CREAL, Barcelona, Spain; [Anto, J. M.; Sunyer, J.] IMIM Hosp Mar, Res Inst, Barcelona, Spain; [Anto, J. M.; Sunyer, J.] CIBER Epidemiol &amp; Salud Publ CIBERESP, Barcelona, Spain; [Anto, J. M.; Sunyer, J.] UPF, Barcelona, Spain; [Arnavielle, S.; Laune, D.; Mathieu-Dupas, E.] Kyomed, Montpellier, France; [Asayag, E.] Argentine Soc Allergy &amp; Immunopathol, Buenos Aires, DF, Argentina; [Asarnoj, A.] Karolinska Inst, Dept Med Solna, Clin Immunol &amp; Allergy Unit, Stockholm, Sweden; [Asarnoj, A.] Karolinska Univ Hosp, Astrid Lindgren Childrens Hosp, Dept Pediat Pulmonol &amp; Allergy, Stockholm, Sweden; [Arshad, H.] David Hide Asthma &amp; Allergy Res Ctr, Isle Of Wight, England; [Avolio, F.] Reg Puglia, Bari, Italy; [Bacci, E.; Bertorello, L.] Reg Liguria, Genoa, Italy; [Bachert, C.] Ghent Univ Hosp, Upper Airways Res Lab, ENT Dept, Ghent, Belgium; [Baiardini, I.; Braido, F.; Canonica, G. W.] Humanitas Univ, Dept Biomed Sci, Milan, Italy; [Barbara, C.; Melo-Gomes, E.] Portuguese Natl Programme Resp Dis, PNDR, Fac Med Lisboa, Lisbon, Portugal; [Barbagallo, M.] Univ Palermo, Dept Internal Med DIBIMIS, Geriatr Unit, Palermo, Italy; [Baroni, I.; Nalin, M.; Romano, M.] Telbios SRL, Milan, Italy; [Barreto, B. A.] Univ Estado Para, Belem, Para, Brazil; [Bateman, E. D.] Univ Cape Town, Dept Med, Cape Town, South Africa; [Bedolla-Barajas, M.] Hosp Civil Guadalajara Dr Juan I Menchaca, Guadalarara, Mexico; [Bewick, M.] iQ4U Consultants, London, England; [Beghe, B.] Univ Modena &amp; Reggio Emilia, Sect Resp Dis, Dept Oncol Haematol &amp; Resp Dis, Modena, Italy; [Bel, E. H.] Univ Amsterdam, Acad Med Ctr AMC, Dept Resp Med, Amsterdam, Netherlands; [Bergmann, K. C.; Zuberbier, T.] Charite Univ Med Berlin, Berlin Inst Hlth, Dept Dermatol &amp; Allergy, Comprehens Allergy Ctr,Global Allergy &amp; Asthma Eu, Berlin, Germany; [Bennoor, K. S.] Natl Inst Dis Chest &amp; Hosp, Dept Resp Med, Dhaka, Bangladesh; [Benson, M.] Ctr Individualized Med, Dept Pediat, Fac Med, Linkoping, Sweden; [Biaoszewski, A. Z.] Med Univ Warsaw, Dept Prevent Environm Hazards &amp; Allergol, Warsaw, Poland; [Bieber, T.] Rhein Friedrich Wilhelms Univ Bonn, Dept Dermatol &amp; Allergy, BIEBER, Bonn, Germany; [Bialek, S.; Todo-Bom, A.; Wroczynski, P.] Warsaw Med Univ, Dept Biochem &amp; Clin Chem, Fac Pharm, Div Lab Med Div, Warsaw, Poland; [Bindslev-Jensen, C.; Eller, E.] Odense Univ Hosp, Dept Dermatol &amp; Allergy Ctr, Odense Res Ctr Anaphylaxis ORCA, Odense, Denmark; [Bjermer, L.] Univ Hosp, Dept Resp Med &amp; Allergol, Lund, Sweden; [Blain, H.] Montpellier Univ Hosp, Dept Geriatr, Montpellier, France; [Blain, H.] Univ Montpellier, EA 2991, Euromov, Montpellier, France; [Blasi, F.] Univ Milan, Dept Pathophysiol &amp; Transplantat, IRCCS Fdn Ca Granda Osped Maggiore Policlin, Milan, Italy; [Blua, A.] Argentine Assoc Resp Med, Buenos Aires, DF, Argentina; [Marciniak, M. Bochenska; Bogus-Buczynska, I.; Kuna, P.; Kupczyk, M.; Lacwik, P.; Maciej, K.; Przemecka, M.] Med Univ Lodz, Barlicki Univ Hosp, Div Internal Med Asthma &amp; Allergy, Lodz, Poland; [Boner, A. L.] Univ Verona Hosp, Dept Pediat, Verona, Italy; [Bonini, M.] Sapienza Univ Rome, Dept Publ Hlth &amp; Infect Dis, Rome, Italy; [Bonini, S.] Univ Naples 2, Naples, Italy; [Bonini, S.] Italian Natl Res Council, Inst Translat Med, Naples, Italy; [Bosnic-Anticevich, C. S.] Univ Sydney, Woolcock Inst Med Res, Glebe, NSW, Australia; [Bosnic-Anticevich, C. S.] Sydney Local Hlth Dist, Glebe, NSW, Australia; [Bouchard, J.] Laval Univ, Med Clin, Hop Malbaie, La Malbaie, PQ, Canada; [Boulet, L. P.] Laval Univ, Quebec Heart &amp; Lung Inst, Quebec City, PQ, Canada; [Bourret, R.] Ctr Hosp Valenciennes, Valenciennes, France; [Briedis, V.; Nogues, M.] Lithuanian Univ Hlth Sci, Dept Clin Pharm, Kaunas, Lithuania; [Brightling, C. E.] Univ Hosp Leicester NHS Trust, Inst Lung Hlth, Resp Biomed Unit, Leicester, Leics, England; [Brightling, C. E.] Univ Leicester, Dept Infect Immun &amp; Inflammat, Leicester, Leics, England; [Brozek, J.; Schunemann, H. J.] McMaster Univ, Div Immunol &amp; Allergy, Dept Hlth Res Methods Evidence &amp; Impact, Dept Med, Hamilton, ON, Canada; [Bucca, C.] Hosp City Hlth &amp; Sci Torino, Pneumol Unit AOU Molinette, Turin, Italy; [Buhl, R.] Johannes Gutenberg Univ Mainz, Univ Med, Mainz, Germany; [Buonaiuto, R.] Municipal Pharm, Sarno, Italy; [Panaitescu, C.] Univ Med &amp; Farm Timisoara, Timisoara, Romania; [Cabanas, M. T. Burguete] Hosp Zambrano Hell Tec Monterrey, Inst Pediat, Monterrey, Mexico; [Bush, A.] Imperial Coll &amp; Royal Brompton Hosp, London, England; [Caballero-Fonseca, F.] Centro Med Docente La Trinidad, Caracas, Venezuela; [Di Carluccio, N.] Assofarm Campania &amp; Cofaser, Salerno, Italy; [Caillot, D.] CHU, Serv Pneumol, Clermont Ferrand, France; [Caillot, D.] Univ Auvergne, Clermont Ferrand, France; [Caimmi, D.; Chiron, R.; Demoly, P.] Montpellier Univ Hosp, Dept Resp Dis, Montpellier, France; [Calderon, M. A.] Imperial Coll London, Natl Heart &amp; Lung Inst, Royal Brompton Hosp NHS, London, England; [Camargos, P. A. M.] Univ Fed Minas Gerais, Sch Med, Dept Pediat, Belo Horizonte, MG, Brazil; [Camuzat, T.] Reg Occitanie, Montpellier, France; [Canfora, G.] Sarno Martiri Villa Malta Hosp, Anesthesiol Serv, Sarno, Italy; [Cardona, V.] Hosp Valle De Hebron, Allergy Sect, Dept Internal Med, Barcelona, Spain; [Cardona, V.] Spanish Res Network, ARADyAL, Barcelona, Spain; [Carlsen, K. H.] Oslo Univ Hosp, Dept Paediat, Oslo, Norway; [Carlsen, K. H.] Oslo Univ Hosp, Univ Oslo, Oslo, Norway; [Carreiro-Martins, P.] CEDOC, Nova Med Sch, Integrated Pathophysiol Mech Res Grp, Campo Martires Patria, Lisbon, Portugal; [Carreiro-Martins, P.] Ctr Hosp Lisboa Cent, Serv Imunoalergol, EPE, Lisbon, Portugal; [Carriazo, A. M.] Reg Minist Hlth Andalusia, Seville, Spain; [Carr, W.] Allergy &amp; Asthma Associates Southern Calif, Mission Viejo, CA USA; [Cartier, C.; Viart, F.] ASA Adv Solut Accelerator, Clapiers, France; [Casale, T.] Univ S Florida, Div Allergy Immunol, Tampa, FL USA; [Castellano, G.] Celentano Pharm, Massa Lubrense, Italy; [Cecchi, L.; Farsi, A.] USL Toscana Ctr, SOS Allergol &amp; Clin Immunol, Prato, Italy; [Sarabia, A. M. Cepeda] Simon Bolivar Univ, Metropolitan Univ, Allergy &amp; Immunol Lab, Barranquilla, Colombia; [Sarabia, A. M. Cepeda] SLaai, Sociedad Latinoamer Allergia Asma &amp; Immunol, Barranquilla, Colombia; [Chavannes, N. H.] Leiden Univ, Dept Publ Hlth &amp; Primary Care, Med Ctr, Leiden, Netherlands; [Chen, Y.] Capital Inst Pediat, Beijing, Peoples R China; [Chivato, T.] Univ CEU San Pablo, Sch Med, Madrid, Spain; [Chkhartishvili, E.] David Tvildiani Med Univ, AIETI Highest Med Sch, David Tatishvili Med Ctr Tbilisi, Tbilisi, Georgia; [Chuchalin, A. G.] FMBA &amp; GARD Execut Comm, Pulm Res Inst, Moscow, Russia; [Chung, K. F.] Imperial Coll, Natl Heart &amp; Lung Inst, London, England; [Ciaravolo, M. M.] Social Worker, Sorrento, Italy; [Ciceran, A.] Argentine Federat Otorhinolaryngol Soc, Buenos Aires, DF, Argentina; [Cingi, C.] Eskisehir Osmangazi Univ, Fac Med, ENT Dept, Eskisehir, Turkey; [Ciprandi, G.] IRCCS Azienda Ospedaliera Univ San Martino, Dept Med, Genoa, Italy; [Coehlo, A. C. Carvalho] Univ Fed Bahia, Escola Enfermagem, Salvador, BA, Brazil; [Colas, L.; Magnan, A.] CHU Nantes, Inst Thorax, Plateforme Transversale Allergol, Nantes, France; [Colgan, E.; Farrell, J.] LANUA Int Healthcare Consultancy, Warrenpoint, North Ireland; [Coll, J.; Sierra, M.] Salud Sect Sanitario Barbastro, Innovac &amp; Nuevas Tecnol, Barbastro, Spain; [Conforti, D.; Forti, S.; Mayora, O.] Autonomous Prov Trento, Dept Hlth &amp; Social Solidar, Innovat &amp; Res Off, Trento, Italy; [de Sousa, J. Correia] Univ Minho, Life &amp; Hlth Sci Res Inst ICVS, Sch Med, Braga, Portugal; [de Sousa, J. Correia] PT Govt Associate Lab, ICVS 3Bs, Braga, Portugal; [Cortes-Grimaldo, R. M.] Hosp Angeles Carmen, Serv Allergol, Guadalarara, Mexico; [Corti, F.] FIMMG Federaz Italiana Med Med Gen, Milan, Italy; [Costa, E.] Univ Porto Porto4Ageing, Fac Pharm, REQUINTE, UCIBIO, Porto, Portugal; [Costa, E.] Univ Porto Porto4Ageing, Competence Ctr Act &amp; Healthy Ageing, Porto, Portugal; [Costa-Dominguez, C.] Allergologo, Mexico City, DF, Mexico; [Courbis, A. L.; Dray, G.] Univ Montpellier, IMT Mines Ales, Ales, France; [Cox, L.] Univ Miami, Dept Med, Nova Southeastern Univ, Davie, Miami, FL USA; [Crescenzo, M.] Assofarm Campania &amp; Cofaser, Salerno, Italy; [Cruz, A. A.] Univ Fed Bahia, ProAR Nucleo Excelencia Asma, Salvador, BA, Brazil; [Cruz, A. A.] WHO GARD Planning Grp, Salvador, BA, Brazil; [Custovic, A.] Univ Manchester, Ctr Resp Med &amp; Allergy, Inst Inflammat &amp; Repair, Manchester, Lancs, England; [Custovic, A.] Univ Hosp South Manchester, Manchester, Lancs, England; [Czarlewski, W.] Med Consulting Czarlewski, Levallois Perret, France; [Dahlen, S. E.] Karolinska Inst, Inst Environm Med, Ctr Allergy Res, Stockholm, Sweden; [Dario, C.] Azienda Prov &amp; Serv Sanit Trento APSS Trento, Trento, Italy; [da Silva, J.] Fed Univ Santa Catarina UFSC, Dept Internal Med &amp; Allergy, Clin Pr Plydoro Ernani, Sao Thiago Univ Hosp, Florianopolis, SC, Brazil; [Dauvilliers, Y.] Hop Gui de Chauliac Montpellier, INSERM U1061, Dept Neurol, Sleep Unit, Montpellier, France; [Darsow, U.] Tech Univ Munich, Dept Dermatol &amp; Allergy, Munich, Germany; [Darsow, U.] Tech Univ Munich, ZAUM Ctr Allergy &amp; Environm, Helmholtz Ctr Munich, Munich, Germany; [De Blay, F.] Univ Hosp Strasbourg, Chest Dis Dept, Allergy Div, Chest Dis Dept, Strasbourg, France; [De Carlo, G.; Palkonen, S.] European Federat Allergy &amp; Airways Dis Patients A, Brussels, Belgium; [Dedeu, T.] AQuAS, Barcelona, Spain; [Dedeu, T.] European Reg &amp; Local Hlth Assoc, EUREGHA, Brussels, Belgium; [Emerson, M. de Fatima] Policlin Geral Rio de Janeiro, Rio De Janeiro, Brazil; [De Feo, G.; Stellato, C.; Triggiani, M.; Vatrella, A.] Univ Salerno, Dept Med Surg &amp; Dent, Scuola Med Salernitana, Salerno, Italy; [De Vries, G.; van Eerd, M.] Peercode BV, Geldermalsen, Netherlands; [Rubini, N. de Paula Motta] Fed Univ State Rio De Janeiro, Sch Med &amp; Surg, Rio De Janeiro, Brazil; [Deleanu, D.] Iuliu Hatieganu Univ Med &amp; Pharm, Allergol &amp; Immunol Discipline, Cluj Napoca, Romania; [Denburg, J. A.] McMaster Univ, Div Clin Immunol &amp; Allergy, Dept Med, Hamilton, ON, Canada; [Devillier, P.] Univ Paris Saclay, Univ Versailles St Quentin, Lab Pharmacol Resp, Hop Foch,UPRES EA220, Paris, France; [Ercolano, S. Di Capua] Farm Golfi Grp, Massa Lubrense, Italy; [Didier, A.] Rangueil Larrey Hosp, Dept Resp Dis, Toulouse, France; [Dokic, D.] Univ Clin Pulmol &amp; Allergy, Med Fac Skopje R Macedonia, Skopje, North Macedonia; [Dominguez-Silva, M. G.] Allergologo, Mexico City, DF, Mexico; [Douagui, H.] Ctr Hosp Univ Beni Messous, Serv Pneumoallergol, Algiers, Algeria; [Dubakiene, R.] Vilnius Univ, Clin Infect Chest Dis Dermatol &amp; Allergol, Vilnius, Lithuania; [Durham, S. R.] Imperial Coll London, Allergy &amp; Clin Immunol Natl Heart &amp; Lung Inst, London, England; [Du Toit, G.] Kings Coll London, Guys &amp; St Thomas NHS Trust, London, England; [Dykewicz, M. S.] St Louis Univ, Sect Allergy &amp; Immunol, Sch Med, St Louis, MO USA; [El-Gamal, Y.] Ain Shams Univ, Childrens Hosp, Pediat Allergy &amp; Immunol Unit, Cairo, Egypt; [Eklund, P.] Umea Univ, Dept Comp Sci, Umea, Sweden; [Eklund, P.] Four Comp Oy, Salo, Finland; [Emuzyte, R.] Vilnius Univ, Clin Childrens Dis, Fac Med, Vilnius, Lithuania; [de Mello, J. Ferreira, Jr.] Univ Sao Paulo, Med Sch, Sao Paulo, Brazil; [Ferrero, J.] Andalusian Agcy Healthcare Qual, Seville, Spain; [Fink-Wagner, A.; Spranger, O.] Global Allergy &amp; Asthma Platform GAAPP, Vienna, Austria; [Fiocchi, A.] Bambino Gesu Childrens Res Hosp Holy See, Div Allergy, Dept Pediat Med, Rome, Italy; [Fokkens, W. J.; Reitsma, S.] Acad Med Ctr, Dept Otorhinolaryngol, Amsterdam, Netherlands; [Fonseca, J. A.] Univ Porto, Ctr Res Hlth Technol &amp; Informat Syst, CINTESIS, Fac Med, Porto, Portugal; [Fonseca, J. A.] MEDIDA, Porto, Portugal; [Fuentes-Perez, J. M.] Hosp Gen Reg 1 Dr Carlos Mc Gregor Sanchez Navarr, Mexico City, DF, Mexico; [Galvez-Romero, J. L.] ISSSTE, Reg Hosp, Puebla, Mexico; [Gamkrelidze, A.] Natl Ctr Dis Control &amp; Publ Hlth Georgia, Tbilisi, Georgia; [Garcia-Cobas, C. Y.] Allergologo, Guadalarara, Mexico; [Garcia-Cruz, M. H.] Natl Inst Resp Dis, Allergy Clin, Mexico City, DF, Mexico; [Gemicioglu, B.] Istanbul Univ, Cerrahpasa Fac Med, Dept Pulm Dis, Istanbul, Turkey; [Genova, S.] UHATEM NIPirogov, Allergol Unit, Sofia, Bulgaria; [Christoff, G.] Med Univ, Fac Publ Hlth, Sofia, Bulgaria; [Gereda, J. E.] Clin Ricardo Palma, Allergy &amp; Immunol Div, Lima, Peru; [van Wijk, R. Gerth] Erasmus MC, Sect Allergol, Dept ment Internal Med, Rotterdam, Netherlands; [Gomez, R. M.] Hosp San Bernardo, Allergy &amp; Asthma Unit, Salta, Argentina; [Gomez-Vera, J.] Hosp Reg ISSSTE Lic Lopez Mateos, Allergy Clin, Mexico City, DF, Mexico; [Diaz, S. Gonzalez] Univ Autonoma Nuevo Leon, Univ Hosp, Ctr Reg Excelencia CONACYT &amp; WAO Alergia Asma &amp; I, Monterrey, Mexico; [Gotua, M.] Georgian Assoc Allergol &amp; Clin Immunol, Ctr Allergy &amp; Immunol, Tbilisi, Georgia; [Grisle, I.] Latvian Assoc Allergists, Ctr TB &amp; Lung Dis, Riga, Latvia; [Guidacci, M.] Fed Dist Base Hosp Inst, Brasilia, DF, Brazil; [Guldemond, N. A.] Erasmus Univ, Inst Hlth Policy &amp; Management iBMG, Rotterdam, Netherlands; [Gutter, Z.] Univ Hosp Olomouc, Natl eHlth Ctr, Olomouc, Czech Republic; [Guzman, M. A.] Univ Chile, Immunol &amp; Allergy Div, Clin Hosp, Santiago, Chile; [Haahtela, T.; Toppila-Salmi, S.] Univ Helsinki, Helsinki Univ Hosp, Skin &amp; Allergy Hosp, Helsinki, Finland; [Hajjam, J.] Centich Ctr Expertise Natl Technol Informat &amp; Com, Conseil Reg Pays Loire, Ctr Expertise Partenariat Europeen Innovat Vieill, Nantes, France; [Hernandez, L.] Univ Autonoma Baja California, Ensenada, Baja California, Mexico; [Hourihane, J. O'B.] Univ Coll Cork, Dept Paediat &amp; Child Hlth, Cork, Ireland; [Huerta-Villalobos, Y. R.] Hosp Gen Reg 1 Dr Carlos MacGregor Sanchez Navarr, Mexico City, DF, Mexico; [Humbert, M.] Univ Paris Sud, Serv Pneumol, Hop Bicetre, Inserm UMR S999, Le Kremlin Bicetre, France; [Iaccarino, G.] Univ Salerno, Dipartimento Med Chirurg &amp; Odontoiatria, Salerno, Italy; [Illario, M.] Federico II Univ Hosp Naples, Div Hlth Innovat, R&amp;D &amp; DISMET, Naples, Italy; [Ivancevich, J. C.] Serv Alergia &amp; Immunol Clin Santa Isabel, Buenos Aires, DF, Argentina; [Jares, E. J.] Libra Fdn, Buenos Aires, DF, Argentina; [Jassem, E.] Med Univ Gdansk, Dept Allergol, Gdansk, Poland; [Johnston, S. L.] Imperial Coll, Natl Heart &amp; Lung Inst, Airway Dis Infect Sect, London, England; [Johnston, S. L.] Imperial Coll, MRC &amp; Asthma UK Ctr Allerg Mech Asthma, London, England; [Joos, G.] Ghent Univ Hosp, Dept Resp Med, Ghent, Belgium; [Jung, K. S.] Hallym Univ, Sacred Heart Hosp, Coll Med, Gyeonggi Do, South Korea; [Jutel, M.] Wroclaw Med Univ, Dept Clin Immunol, Wroclaw, Poland; [Kaidashev, I.] Ukrainina Med Stomatol Acad, Poltava, Ukraine; [Kalayci, O.] Hacettepe Univ, Pediat Allergy &amp; Asthma Unit, Sch Med, Ankara, Turkey; [Kalyoncu, A. F.] Hacettepe Univ, Sch Med, Immunol &amp; Allergy Div, Dept Chest Dis, Ankara, Turkey; [Karjalainen, J.] Tampere Univ Hosp, Allergy Ctr, Tampere, Finland; [Kardas, P.] Med Univ Lodz, Dept Family Med 1, Lodz, Poland; [Keil, T.] Charite Univ Med Berlin, Inst Social Med Epidemiol &amp; Hlth Econ, Berlin, Germany; [Keil, T.] Univ Wurzburg, Inst Clin Epidemiol &amp; Biometry, Wurzburg, Germany; [Keith, P. K.] McMaster Univ, Dept Med, Hlth Sci Ctr, 3V47West, Hamilton, ON, Canada; [Khaitov, M.] Natl Res Ctr, Inst Immunol, Lab Mol Immunol, Fed Medicobiol Agcy, Moscow, Russia; [Khaltaev, N.] GARD, Geneva, Switzerland; [Kleine-Tebbe, J.] Allergy Asthma Ctr Westend, Berlin, Germany; [Klimek, L.] Ctr Rhinol &amp; Allergol, Wiesbaden, Germany; [Kowalski, M. L.] Med Univ Lodz, Dept Immunol Rheumatol &amp; Allergy, Lodz, Poland; [Kowalski, M. L.] HARC, Lodz, Poland; [Kuitunen, M.] Childrens Hosp, Helsinki, Finland; [Kuitunen, M.] Univ Helsinki, Helsinki, Finland; [Kull, I.; Wickman, M.] Karlinska Inst, Dept Clin Sci &amp; Educ, Sodersjukhuset, Stockholm, Sweden; [Kull, I.; Wickman, M.] Sachs Children &amp; Youth Hosp, Sodersjukhuset, Stockholm, Sweden; [Kvedariene, V.] Vilnius Univ, Fac Med, Vilnius, Lithuania; [Krzych-Fata, E.; Lipiec, A.; Raciborski, F.; Samolinski, B.; Strozek, J.; Szylling, A.] Med Univ Warsaw, Dept Prevent Envinronm Hazards &amp; Allergol, Warsaw, Poland; [Larenas-Linnemann, D.] Med Clin Fdn &amp; Hosp, Ctr Excellence Asthma &amp; Allergy, Mexico City, DF, Mexico; [Lauri, D.] CMMC, Milan, Italy; [Lavrut, J.] Elizalde Childrens Hosp, Allergy Dept Pedro, Buenos Aires, DF, Argentina; [Le, L. T. T.] Univ Med &amp; Pharm, Hochiminh City, Vietnam; [Lessa, M.] Univ Fed Bahia, Salvador, Brazil; [Levato, G.] Sifmed, Milan, Italy; [Li, J.; Zhong, N.] Guangzhou Med Univ, Affiliated Hosp 1, State Key Lab Resp Dis, Guangzhou Inst Resp Dis, Guangzhou, Guangdong, Peoples R China; [Lieberman, P.] Univ Tennessee, Dept Internal Med &amp; Pediat, Div Allergy &amp; Immunol, Coll Med, German Town, TN USA; [Lipworth, B.] Univ Dundee, Ninewells Hosp, Med Res Inst, Scottish Ctr Resp Res Cardiovasc &amp; Diabet Med, Dundee, Scotland; [Carlsen, K. C. Lodrup] Oslo Univ Hosp, Dept Paediat, Oslo, Norway; [Carlsen, K. C. Lodrup] Univ Oslo, Fac Med, Inst Clin Med, Oslo, Norway; [Louis, R.] CHU Sart Tilman, Dept Pulm Med, Liege, Belgium; [Louis, R.] GIGA I3 Res Grp, Liege, Belgium; [Lourenco, O.] Univ Beira Interior, Fac Hlth Sci, Covilha, Portugal; [Lourenco, O.] Univ Beira Interior, CICS UBI, Hlth Sci Res Ctr, Covilha, Portugal; [Luna-Pech, J. A.] Univ Guadalajara, Dept Philosoph Methodol &amp; Instrumental Discipline, CUCS, Guadalajara, Jalisco, Mexico; [Mahboub, B.] Rashid Hosp, Dept Pulm Med, Dubai, U Arab Emirates; [Maier, D.] Biomax Informat AG, Munich, Germany; [Mair, A.] Scottish Govt Hlth Dept, Directorate Finance eHlth &amp; Pharmaceut, Edinburgh, Midlothian, Scotland; [Majer, I.] Univ Bratislava, Dept Resp Med, Bratislava, Slovakia; [Malva, J.; Verissimo, M. T.] Univ Coimbra, Coimbra Inst Clin &amp; Biomed Res iCBR, Fac Med, Coimbra, Portugal; [Malva, J.; Verissimo, M. T.] Ageing Coimbra EIP AHA Reference Site, Coimbra, Portugal; [Mandajieva, E.] Iskar, Med Ctr, Sofia, Bulgaria; [Manning, P.] Bon Secours Hosp, Dept Med RCSI, Dublin, Ireland; [Keenoy, E. De Manuel] Kronikgune, Int Ctr Excellence Chron Res Barakaldo, Bizkaia, Spain; [Marshall, G. D.] Univ Mississippi, Div Clin Immunol &amp; Allergy, Lab Behav Immunol Res, Med Ctr, Jackson, MS USA; [Masjedi, M. R.] Iranian Antitobacco Assoc, Tobacco Control Res Ctr, Tehran, Iran; [Maspero, J. F.] Argentine Assoc Allergy &amp; Clin Immunol, Buenos Aires, DF, Argentina; [Campos, J. J. Matta] Hosp Especialidades Ctr Med La Raza, Ctr Med Nacl Siglo XXI, Mexico City, DF, Mexico; [Matos, A. L.] Univ Southeast Bahia, Vitoria Da Conquista, Brazil; [Maurer, M.] Charite Univ Med Berlin, Dept Dermatol &amp; Allergy, Allergie Ctr Charite, Berlin, Germany; [Mavale-Manuel, S.] Maputo Cent Hosp, Dept Paediat, Maputo, Mozambique; [Medina-Avalos, M. A.] Allergologo, Veracruz, Mexico; [Melen, E.] Sachs Children &amp; Youth Hosp, Sodersjukhuset, Stockholm, Sweden; [Melen, E.] Karolinska Inst, Inst Environm Med, Stockholm, Sweden; [Meltzer, E. O.] Allergy &amp; Asthma Med Grp &amp; Res Ctr, San Diego, CA USA; [Menditto, E.] Univ Naples Federico II, CIRFF, Naples, Italy; [Mercier, J.] Univ Montpellier, CHRU, Dept Physiol, PhyMedExp,INSERM U1046, Montpellier, France; [Miculinic, N.] Croatian Pulm Soc, Zagreb, Croatia; ; </t>
  </si>
  <si>
    <t>Universite de Montpellier; CHU de Montpellier; Universite de Montpellier; Universite Paris Saclay; KU Leuven; Transylvania University of Brasov; Sorbonne Universite; Institut National de la Sante et de la Recherche Medicale (Inserm); Sorbonne Universite; ISGlobal; Pompeu Fabra University; Centre de Recerca en Epidemiologia Ambiental (CREAL); Hospital del Mar Research Institute; CIBER - Centro de Investigacion Biomedica en Red; CIBERESP; Pompeu Fabra University; Ghent University; Ghent University Hospital; University of Cape Town; University of Southern Denmark; Odense University Hospital; University of Sydney; Woolcock Institute of Medical Research; University of Sydney; Woolcock Institute of Medical Research; McMaster University; University of Turin; A.O.U. Citta della Salute e della Scienza di Torino; AOU San Giovanni Battista-Molinette; Humanitas University; Hospital Universitari Vall d'Hebron; State University System of Florida; University of South Florida; Leiden University; Leiden University Medical Center (LUMC); Universidade do Minho; Universidade do Porto; Universidade Federal da Bahia; University of Salerno; Universite de Montpellier; CHU de Montpellier; Universite Paris Saclay; Hospital Foch; Egyptian Knowledge Bank (EKB); Ain Shams University; Universidade do Porto; University of Amsterdam; Academic Medical Center Amsterdam; Universidad de Chile; University of Helsinki; Helsinki University Central Hospital; University of Helsinki; Assistance Publique Hopitaux Paris (APHP); Sorbonne Universite; Hopital Universitaire Armand-Trousseau - APHP; Institut National de la Sante et de la Recherche Medicale (Inserm); Sorbonne Universite; Poltava State Medical University; NRC Institute of Immunology FMBA of Russia; Hacettepe University; Berlin Institute of Health; Free University of Berlin; Humboldt University of Berlin; Charite Universitatsmedizin Berlin; University of Wurzburg; Medical University Lodz; Medical University Lodz; Vilnius University; Hochiminh City University of Medicine &amp; Pharmacy; University of Oslo; University of Oslo; Universidade da Beira Interior; Universidade da Beira Interior; University of Naples Federico II; Clinical Centre of Serbia; University of Belgrade; University of Cologne; University of Barcelona; University of Barcelona; Hospital Clinic de Barcelona; IDIBAPS; CIBER - Centro de Investigacion Biomedica en Red; CIBERES; Johns Hopkins University; Johns Hopkins Medicine; University of Naples Federico II; Florey Institute of Neuroscience &amp; Mental Health; Howard Florey Institute Affiliates; Monash University; Monash University; Monash University; Chiba University; Nippon Medical School; Charles University Prague; Royal Manchester Children's Hospital; University of Manchester; National &amp; Kapodistrian University of Athens; Ajou University; Nippon Medical School; Ruprecht Karls University Heidelberg; University of JJ Strossmayer Osijek; Medical University Sofia; University of Cape Town; University of Crete; Emek Medical Center; University of Edinburgh; Medical University of Warsaw; University of Edinburgh; Karolinska Institutet; Karolinska University Hospital; Universidade de Coimbra; Centro Hospitalar e Universitario de Coimbra (CHUC); Universidade de Coimbra; Medical University of Graz; University of Barcelona; CIBER - Centro de Investigacion Biomedica en Red; CIBERES; University of Barcelona; Hospital Clinic de Barcelona; IDIBAPS; Vilnius University; Vilnius University; University of Turku; Universita degli Studi di Bari Aldo Moro; Heinrich Heine University Dusseldorf; Heinrich Heine University Dusseldorf Hospital; National University of Singapore; Nova Southeastern University; McMaster University; Uppsala University; Celal Bayar University; Capital Medical University; Guangzhou Medical University; State Key Laboratory of Respiratory Disease; Berlin Institute of Health; Free University of Berlin; Humboldt University of Berlin; Charite Universitatsmedizin Berlin; Universite de Montpellier; CHU de Montpellier; Universite de Montpellier; Universite Paris Saclay; Institut National de la Sante et de la Recherche Medicale (Inserm); Universite Paris Saclay; KU Leuven; Medical University of Graz; Transylvania University of Brasov; University of Zurich; Swiss Institute of Allergy &amp; Asthma Research; Universidade do Porto; Assistance Publique Hopitaux Paris (APHP); Sorbonne Universite; Institut National de la Sante et de la Recherche Medicale (Inserm); Sorbonne Universite; ISGlobal; Pompeu Fabra University; Centre de Recerca en Epidemiologia Ambiental (CREAL); Hospital del Mar Research Institute; Hospital del Mar; CIBER - Centro de Investigacion Biomedica en Red; CIBERESP; Pompeu Fabra University; Karolinska Institutet; Karolinska Institutet; Karolinska University Hospital; Ghent University; Ghent University Hospital; Humanitas University; Universidade de Lisboa; University of Palermo; Universidade do Estado do Para (UEPA); University of Cape Town; Universita di Modena e Reggio Emilia; University of Amsterdam; Academic Medical Center Amsterdam; Berlin Institute of Health; Free University of Berlin; Humboldt University of Berlin; Charite Universitatsmedizin Berlin; Medical University of Warsaw; University of Bonn; Medical University of Warsaw; University of Southern Denmark; Odense University Hospital; Lund University; Skane University Hospital; Universite de Montpellier; CHU de Montpellier; Universite de Montpellier; IRCCS Ca Granda Ospedale Maggiore Policlinico; University of Milan; Medical University Lodz; University of Verona; Azienda Ospedaliera Universitaria Integrata Verona; Sapienza University Rome; Universita della Campania Vanvitelli; Consiglio Nazionale delle Ricerche (CNR); University of Sydney; Woolcock Institute of Medical Research; Sydney Local Health District; Laval University; Laval University; Quebec Heart &amp; Lung Institute; CH de Valenciennes; Lithuanian University of Health Sciences; University Hospitals of Leicester NHS Trust; University of Leicester; University of Leicester; McMaster University; A.O.U. Citta della Salute e della Scienza di Torino; Johannes Gutenberg University of Mainz; Victor Babes University of Medicine &amp; Pharmacy, Timisoara; Tecnologico de Monterrey; Royal Brompton Hospital; Imperial College London; CHU Clermont Ferrand; Universite Clermont Auvergne (UCA); Universite de Montpellier; CHU de Montpellier; Imperial College London; Royal Brompton Hospital; Universidade Federal de Minas Gerais; Hospital Universitari Vall d'Hebron; University of Oslo; University of Oslo; Universidade de Lisboa; Centro Hospitalar de Lisboa Central, EPE; State University System of Florida; University of South Florida; Leiden University - Excl LUMC; Leiden University; Leiden University Medical Center (LUMC); Capital Institute of Pediatrics (CIP); San Pablo CEU University; Imperial College London; Eskisehir Osmangazi University; University of Genoa; Universidade Federal da Bahia; Institut National de la Sante et de la Recherche Medicale (Inserm); Nantes Universite; CHU de Nantes; Universidade do Minho; Universidade do Porto; IMT - Institut Mines-Telecom; IMT Mines Ales; Universite de Montpellier; Nova Southeastern University; Universidade Federal da Bahia; University of Manchester; Wythenshawe Hospital NHS Foundation Trust; Karolinska Institutet; Universidade Federal de Santa Catarina (UFSC); Institut National de la Sante et de la Recherche Medicale (Inserm); Universite de Montpellier; CHU de Montpellier; Technical University of Munich; Helmholtz Association; Helmholtz-Center Munich - German Research Center for Environmental Health; Technical University of Munich; CHU Strasbourg; University of Salerno; Iuliu Hatieganu University of Medicine &amp; Pharmacy; McMaster University; Hospital Foch; Universite Paris Saclay; CHU de Toulouse; Vilnius University; Imperial College London; Guy's &amp; St Thomas' NHS Foundation Trust; University of London; King's College London; Saint Louis University; Egyptian Knowledge Bank (EKB); Ain Shams University; Umea University; Vilnius University; Universidade de Sao Paulo; University of Amsterdam; Academic Medical Center Amsterdam; Universidade do Porto; National Center for Disease Control &amp; Public Health - Georgia; Istanbul University - Cerrahpasa; Istanbul University; Medical University Sofia; Erasmus University Rotterdam; Erasmus MC; Universidad Autonoma de Nuevo Leon; University Hospital Autonomous University of Nuevo Leon; Erasmus University Rotterdam - Excl Erasmus MC; Erasmus University Rotterdam; University Hospital Olomouc; Universidad de Chile; University of Helsinki; Helsinki University Central Hospital; Universidad Autonoma de Baja California; University College Cork; Assistance Publique Hopitaux Paris (APHP); Hopital Universitaire Antoine-Beclere - APHP; Hopital Universitaire Bicetre - APHP; Institut National de la Sante et de la Recherche Medicale (Inserm); Universite Paris Saclay; University of Salerno; Fahrenheit Universities; Medical University Gdansk; Imperial College London; Imperial College London; University of London; King's College London; Ghent University; Ghent University Hospital; Hallym University; Wroclaw Medical University; Poltava State Medical University; Hacettepe University; Hacettepe University; Tampere University; Tampere University Hospital; Medical University Lodz; Berlin Institute of Health; Free University of Berlin; Humboldt University of Berlin; Charite Universitatsmedizin Berlin; University of Wurzburg; McMaster University; McMaster University Hospital; NRC Institute of Immunology FMBA of Russia; Medical University Lodz; University of Helsinki; Sodersjukhuset Hospital; Sodersjukhuset Hospital; Vilnius University; Medical University of Warsaw; Hochiminh City University of Medicine &amp; Pharmacy; Universidade Federal da Bahia; Guangzhou Medical University; State Key Laboratory of Respiratory Disease; University of Dundee; University of Oslo; University of Oslo; University of Liege; Universidade da Beira Interior; Universidade da Beira Interior; Universidad de Guadalajara; Biomax Informatics; Comenius University Bratislava; Universidade de Coimbra; Royal College of Surgeons - Ireland; University of Mississippi Medical Center; University of Mississippi; Instituto Mexicano del Seguro Social; Berlin Institute of Health; Free University of Berlin; Humboldt University of Berlin; Charite Universitatsmedizin Berlin; Sodersjukhuset Hospital; Karolinska Institutet; Allergy &amp; Asthma Medical Group &amp; Research Center; University of Naples Federico II; Universite de Montpellier; CHU de Montpellier; Institut National de la Sante et de la Recherche Medicale (Inserm); Marius Nasta Pneumophtisiology Institute; Marius Nasta Pneumophtisiology Institute; University of Belgrade; Clinical Centre of Serbia; Tishreen University; Universite Paris Cite; University of Malta; University of Turin; A.O.U. Citta della Salute e della Scienza di Torino; AOU San Giovanni Battista-Molinette; Universidade de Sao Paulo; University of Cologne; Universidade de Coimbra; Universidade Federal da Bahia; University of Barcelona; Hospital Clinic de Barcelona; University of Padua; Azienda Ospedaliera - Universita di Padova; Johns Hopkins University; Johns Hopkins Medicine; Pirogov Russian National Research Medical University; Medical University of Vienna; Hospital Universitari i Politecnic La Fe; Universidade do Porto; Sao Joao Hospital; University of Naples Federico II; Monash University; Monash University; Chiba University; Nippon Medical School; University of Veterinary Medicine Vienna; Charles University Prague; Charles University Prague; University of Manchester; Royal Manchester Children's Hospital; National &amp; Kapodistrian University of Athens; Ajou University; University of Ferrara; University of Genoa; Nippon Medical School; University of Southern Denmark; Institut National de la Sante et de la Recherche Medicale (Inserm); Communaute Universite Grenoble Alpes; Universite Grenoble Alpes (UGA); CHU Grenoble Alpes; Communaute Universite Grenoble Alpes; Universite Grenoble Alpes (UGA); Universidade do Porto; Universidade do Porto; Ruprecht Karls University Heidelberg; University of Cyprus; University of JJ Strossmayer Osijek; Hietzing Hospital; Medical University Sofia; University of Cape Town; University of Aberdeen; University of Crete; Grosshansdorf Hospital; University of Kiel; Karolinska Institutet; Karolinska University Hospital; NSW Health; St Vincents Hospital Sydney; University of Sydney; Universidade Federal de Sao Paulo (UNIFESP); Universidade de Coimbra; Centro Hospitalar e Universitario de Coimbra (CHUC); University of Valencia; Hospital Universitario de Getafe; Universidade Federal do Rio de Janeiro; Atencio Primaria de Mallorca; Institut Investigacio Sanitaria Illes Balears (IdISBa); Catholic University of the Sacred Heart; IRCCS Policlinico Gemelli; IRCCS - Oasi Research Institute; Medical University of Graz; Emek Medical Center; University of Edinburgh; Showa University; University of London; University College London; University of Palermo; University of Zurich; University Zurich Hospital; Escola Superior de Ciencias da Santa Casa de Misericordia de Vitoria; University of Edinburgh; University of Manitoba; Communaute Universite Grenoble Alpes; Universite Grenoble Alpes (UGA); Institut National de la Sante et de la Recherche Medicale (Inserm); Universidade Federal de Sao Paulo (UNIFESP); University Hospital Olomouc; UiT The Arctic University of Tromso; University Hospital of North Norway; UiT The Arctic University of Tromso; Universidade de Sao Paulo; Vilnius University; Universidade Federal do Estado do Rio de Janeiro; University of Toronto; Hospital for Sick Children (SickKids); Universidade de Coimbra; Centro Hospitalar e Universitario de Coimbra (CHUC); Universidade de Coimbra; Medical University of Graz; University of Copenhagen; University of Copenhagen; Universidade Federal do Pampa; Medical University of Vienna; University of Barcelona; Hospital Clinic de Barcelona; IDIBAPS; Vilnius University; Vilnius University; University of Turku; Universite Claude Bernard Lyon 1; Karolinska Institutet; Universite Catholique Louvain; Universita degli Studi di Bari Aldo Moro; IRCCS Arcispedale S. Maria Nuova; Consiglio Nazionale delle Ricerche (CNR); Istituto di Fisiologia Clinica (IFC-CNR); Consiglio Nazionale delle Ricerche (CNR); Istituto di Biomedicina e di Immunologia Molecolare Alberto Monroy (IBIM-CNR); Medical University Plovdiv; Heinrich Heine University Dusseldorf; Heinrich Heine University Dusseldorf Hospital; Nova Southeastern University; National University of Singapore; McMaster University; Hannover Medical School; Karolinska Institutet; Karolinska Institutet; Karolinska University Hospital; University of North Carolina; University of North Carolina Chapel Hill; Bradford Royal Infirmary; Trakia University; Olmsted Medical Center; Cyprus University of Technology; Cyprus International Institute for Environmental &amp; Public Health; Celal Bayar University; University of Cape Town; University of Cape Town; Capital Medical University; Catholic University of Cordoba; University of Oslo</t>
  </si>
  <si>
    <t>Bousquet, J (corresponding author), Univ Hosp, Montpellier, France.</t>
  </si>
  <si>
    <t>Annesi-Maesano, Isabella/D-9173-2016; Gotua, Maia/ABA-1648-2021; Bousquet, Jean/O-4221-2019; Rodriguez-Manas, Leocadio/AFL-1127-2022; Rabe, Klaus/AAW-6296-2021; Papi, alberto/AAC-1888-2019; Dray, Gerard/ACO-1836-2022; LOUIS, Renaud/HMO-7349-2023; Rizzo, Jose/M-4322-2014; Barbara, C./AAF-3397-2020; Muñoz, Marta/AAB-4615-2019; Westman, Marit/MFH-2155-2025; Triggiani, Massimo/K-8271-2016; Bousquet, Philippe Jean/AAW-8608-2021; Anto, J/H-2676-2014; Plavec, Davor/HKM-7822-2023; Bonniaud, Philippe/ITT-4660-2023; J, Garcia-Aymerich/G-6867-2014; Jung, Ki-Suck/AAN-2473-2021; Brozek, Jan/ADG-1130-2022; Barreto, Bruno/T-9252-2019; Guldemond, Nick/AAS-7755-2020; brussino, luisa/J-2486-2012; Rivero Yeverino, Daniela/IYS-3602-2023; Emilie, Burte/AAA-5048-2022; Paulino, Ema/LTD-8154-2024; Klimek, Ludger/AFJ-9880-2022; Stellato, Cristiana/IWU-8018-2023; Johnston, Sebastian/I-2423-2012; Katotomichelakis, Michael/AAL-7657-2021; Valenta, Richard/K-4072-2017; Cardona, Victoria/GRX-4196-2022; Popov, Todor/Q-9928-2016; Kvedariene, Violeta/D-7730-2011; Bergmann, Karl-Christian/AAA-4104-2019; Muraro, Antonella/AFO-2033-2022; Bachert, Claus/J-8825-2012; Gemicioglu, Bilun/AAH-6927-2019; Callegaro, Dario/C-9493-2017; Martins, Pedro/A-1433-2011; Zuberbier, Torsten/AFM-9173-2022; Fiocchi, Alessandro/K-9235-2016; Blain, Hubert/AAZ-8017-2020; Valero, Alberto/G-9866-2015; Kvedarienė, Violeta/GON-7937-2022; Bateman, Eric/B-7042-2011; PIN, Isabelle/N-3020-2013; Bosnic-Anticevich, Sinthia/AAD-2526-2021; VAN GANSE, Eric/D-5876-2015; Leiva, Manuel/E-7069-2012; Yorgancioglu, Arzu/AAC-7548-2020; Romano, Mario/I-8320-2012; Iaccarino, Guido/D-4540-2009; Yiallouros, Panayiotis/AAF-6026-2019; Asarnoj, Anna/ABC-4112-2020; Zar, Heather/GZL-5350-2022; Fonseca, Joao/KHW-7048-2024; Todo Bom, Ana/AHD-3630-2022; Lessa, Marcus/AAV-8573-2021; Rizzo, Maria/HGD-6576-2022; Kaidashev, Igor/L-2606-2019; Lacwik, Piotr/JTV-4803-2023; Papadopoulos, Nikolaos/ABE-1774-2021; Ivancevich, Juan/AAB-4937-2020; PEPIN, Jean-Louis/M-6549-2014; Cox, Linda/AAP-1697-2021; Mullol, Joaquim/F-2951-2014; Veríssimo, Manuel/M-3520-2019; BARBAGALLO, MARIO/K-4794-2017; Constantinos, Pitsios/AFQ-0259-2022; Sheikh, Aziz/D-2818-2009; Fontaine, Jean-Fred/GNP-2904-2022; Courbis, Anne-Lise/HLX-6019-2023; Briedis, Vitalis/AAY-9241-2020; Agache, Ioana/AAP-7403-2020; Park, Hae-Sim/S-7974-2019; Canevari, Frank/R-2280-2019; Djokic, Dejan/V-9813-2017; Mohammad, Yousser/LTD-1984-2024; MAGNAN, ANTOINE/GVT-4308-2022; Sondermann, Martin/M-7712-2017; Ventura, Maria/J-8197-2017; Chung, Kian/B-1872-2012; Farsi, Alessandro/GPG-0010-2022; Amat, Flore/GPF-4655-2022; Kupczyk, Maciej/S-9677-2016; Vicheva, Dilyana/AAI-7136-2020; Schmid, Peter/D-1717-2013; Reitsma, Sietze/JJP-5995-2023; Zubrinich, Celia/AFU-9645-2022; Toppila-Salmi, Sanna/ABF-5840-2020; Akdis, Mubeccel/JCE-1576-2023; Bieber, Thomas/AFM-9906-2022; Cingi, Cemal/AAA-1951-2021; Serpa, Faradiba/AAC-8477-2021; Akdis, Cezmi/AAV-4844-2020; Ryan, Dermot/AAJ-2329-2021; Solé, Dirceu/JAO-0340-2023; Sova, Milan/AAH-3802-2020; Fokkens, Wytske/ABF-2185-2020; Marshall, Gailen/R-7459-2019; Cecchi, Lorenzo/HPF-1970-2023; Valiulis, Arunas/JEZ-2972-2023; Ciprandi, Giorgio/G-7462-2012; stelmach, rafael/AAH-1638-2019; Werfel, Thomas/B-6921-2012; Pugin, Benoit/X-2984-2018; Romano, Antonino/D-3102-2017; Custovic, Adnan/A-2435-2012; Stellato, Cristiana/P-3001-2015; Fonseca, Joao/B-7562-2008; Casale, Thomas/K-4334-2013; Lipiec, Agnieszka/X-7523-2018; Mashiya, Nombeko Monica/AET-3950-2022; SIROUX, Valerie/N-1865-2013; Bedolla-Barajas, Martin/AFQ-5082-2022; Sunyer Deu, Jordi/G-6909-2014; Rodenas Rigla, Francisco/L-5293-2014; Papadopoulos, Nikolaos/L-8670-2013; Hellings, Peter/I-4068-2018; Basagana, Xavier/C-3901-2017; Namazova-Baranova, Leyla/C-9485-2019; Gonzalez-Diaz, Sandra Nora/H-3271-2018; Malva, Joao/L-3557-2014; Caimmi, Davide/AAA-1277-2019; Maurer, Marcus/ABG-2174-2020; Vatrella, Alessandro/K-8001-2016; Schunemann, Holger/LRB-7016-2024; Nadif, Rachel/R-2876-2016; Costa, Elisio/K-1990-2013; Demoly, Pascal/Y-9938-2019; Namazova-Baranova, Leyla/C-9485-2019; Yusuf, Osman/AAI-1142-2020; Correia de Sousa, Jaime/H-5607-2015; Bonini, Sergio/T-6594-2019; Mota-Pinto, Anabela/M-1523-2013; Blasi, Francesco/O-5885-2017; Panzner, Petr/I-7034-2017; Christoff, George/ABF-9789-2021; Chavannes, Niels Henrik/F-1148-2011; O'Hehir, Robyn/H-3627-2011; Wright, John/H-1624-2012; Luna-Pech, Jorge A./F-8817-2019; Rodo, Xavier/F-7663-2017; Lourenco, Olga/S-6233-2016; Kaidashev, Igor/H-3827-2016; Pereira, Ana Margarida/K-3343-2014; Humbert, Marc/AAC-8459-2019; Rolla, Giovanni/C-9901-2009; Braido, Fulvio/C-5320-2012; CANONICA, GIORGIO WALTER/ABF-2037-2020; Bindslev-Jensen, Carsten/H-1877-2011; Almeida, Rute/Q-1621-2019; Khaitov, Musa/L-3369-2017; Nogueira-Silva, Luis/M-3474-2014</t>
  </si>
  <si>
    <t>Krzych-Falta, Edyta/0000-0002-9857-7136; Gemicioglu, Bilun/0000-0001-5953-4881; Rabe, Klaus F./0000-0002-7020-1401; Pugin, Benoit/0000-0001-7132-9477; Romano, Antonino/0000-0001-9742-9898; Custovic, Adnan/0000-0001-5218-7071; Stellato, Cristiana/0000-0002-1294-8355; Fonseca, Joao/0000-0002-0887-8796; Casale, Thomas/0000-0002-3149-7377; Lipiec, Agnieszka/0000-0003-3037-2326; Cecchi, Lorenzo/0000-0002-0658-2449; brightling, chris/0000-0002-9345-4903; Cardona, Victoria/0000-0003-2197-9767; Fiocchi, Alessandro/0000-0002-2549-0523; Mashiya, Nombeko Monica/0000-0003-0124-9118; SIROUX, Valerie/0000-0001-7329-7237; Zubrinich, celia/0000-0002-3517-2035; Vasankari, Tuula/0000-0002-1413-8970; Bedolla-Barajas, Martin/0000-0003-4915-1582; Sunyer Deu, Jordi/0000-0002-2602-4110; Rodenas Rigla, Francisco/0000-0003-3264-4735; Papadopoulos, Nikolaos/0000-0002-4448-3468; Hellings, Peter/0000-0001-6898-688X; Monti, Riccardo/0000-0002-1003-3629; Basagana, Xavier/0000-0002-8457-1489; Namazova-Baranova, Leyla/0000-0002-2209-7531; Barbara, Cristina/0000-0003-0915-4105; Gonzalez-Diaz, Sandra Nora/0000-0002-3612-0042; Lacwik, Piotr/0000-0001-7020-0719; Murray, Ruth/0000-0002-2821-978X; Popov, Todor/0000-0001-5052-5866; Malva, Joao/0000-0002-5438-4447; Onorato, Gabrielle Laura/0000-0002-7867-5345; Du Toit, George/0000-0002-0321-2928; Farsi, Alessandro/0000-0001-6036-9094; Ciprandi, Giorgio/0000-0001-7016-8421; Kuna, Piotr/0000-0003-2401-0070; Verissimo, Manuel/0000-0002-2793-2129; Caimmi, Davide/0000-0003-4481-6194; Pepin, Jean Louis/0000-0003-3832-2358; Asarnoj, Anna/0000-0002-0797-2369; Maurer, Marcus/0000-0002-4121-481X; Kardas, Przemyslaw/0000-0002-6078-2628; Vatrella, Alessandro/0000-0001-8265-3037; Schunemann, Holger/0000-0003-3211-8479; Kvedariene, Violeta/0000-0002-6119-211X; Mayora Ibarra, Oscar/0000-0002-5773-3876; Park, Hae-Sim/0000-0003-2614-0303; VENTURA, Maria Teresa/0000-0002-2637-4583; Nadif, Rachel/0000-0003-4938-9339; Costa, Elisio/0000-0003-1158-1480; Demoly, Pascal/0000-0001-7827-7964; Pitsios, Constantinos/0000-0001-8935-278X; Raciborski, Filip/0000-0003-0562-0260; Namazova-Baranova, Leyla/0000-0002-7902-6427; Reitsma, Sietze/0000-0003-1734-2632; Yusuf, Osman/0000-0002-8067-1204; Correia de Sousa, Jaime/0000-0001-6459-7908; Gotua, Maia/0000-0003-2497-4128; Bonini, Sergio/0000-0003-0079-3031; Rottem, Menachem/0000-0002-9915-0273; Dauvilliers, yves/0000-0003-0683-6506; Mota-Pinto, Anabela/0000-0002-0820-9568; Nalin, Marco/0000-0002-9957-3225; Blasi, Francesco/0000-0002-2285-9970; Bialek, Slawomir/0000-0002-0112-6786; Panzner, Petr/0000-0002-1291-450X; Christoff, George/0000-0003-4549-7711; Dray, Gerard/0000-0003-1525-5682; Stukas, Rimantas/0000-0002-4591-5891; Akdis, Cezmi/0000-0001-8020-019X; Paulino, Ema/0000-0002-4087-375X; Chavannes, Niels Henrik/0000-0002-8607-9199; O'Hehir, Robyn/0000-0002-3489-7595; Bosnic-Anticevich, Sinthia/0000-0001-5077-8329; Zhang, Luo/0000-0002-0910-9884; Bousquet, Jean/0000-0002-4061-4766; yorgancioglu, arzu/0000-0002-4032-0944; Wright, John/0000-0001-9572-7293; orlando, valentina/0000-0002-8209-8878; Luna-Pech, Jorge A./0000-0001-6278-964X; Vicheva, Dilyana/0000-0002-6805-3825; Rodo, Xavier/0000-0003-4843-6180; Larenas Linnemann, Desiree/0000-0002-5713-5331; Lourenco, Olga/0000-0002-8401-5976; Kaidashev, Igor/0000-0002-4708-0859; Pereira, Ana Margarida/0000-0002-5468-0932; Ivancevich, Juan Carlos/0000-0001-8713-6258; Ryan, Dermot/0000-0002-4115-7376; Valenta, Rudolf/0000-0001-5944-3365; Humbert, Marc/0000-0003-0703-2892; Rolla, Giovanni/0000-0001-5997-7172; GALVEZ ROMERO, JOSE LUIS/0000-0002-6560-3596; Braido, Fulvio/0000-0003-2460-4709; Carreiro Martins, Pedro/0000-0002-4129-133X; CANONICA, GIORGIO WALTER/0000-0001-8467-2557; Bindslev-Jensen, Carsten/0000-0002-8940-038X; El-Gamal, Yehia/0000-0002-8177-4520; Johnston, Sebastian/0000-0003-3009-9200; Zuberbier, Torsten/0000-0002-1466-8875; Zidarn, Mihaela/0000-0003-0515-5207; cox, linda/0000-0002-5258-6870; menditto, enrica/0000-0001-8633-5650; COLAS, Luc/0000-0001-8226-4250; momas, isabelle/0000-0003-4344-3787; Almeida, Rute/0000-0001-7755-5002; Khaitov, Musa/0000-0003-4961-9640; mohammad, yousser/0009-0003-0403-2747; Nogueira-Silva, Luis/0000-0002-5519-707X; Sheikh, Aziz/0000-0001-7022-3056; Zar, Heather/0000-0002-9046-759X</t>
  </si>
  <si>
    <t>European Innovation Partnership on Active and Healthy Ageing; POLLAR (EIT Health, European Union)</t>
  </si>
  <si>
    <t>Supported by the European Innovation Partnership on Active and Healthy Ageing and POLLAR (EIT Health, European Union).</t>
  </si>
  <si>
    <t>10.1016/j.jaci.2018.08.049</t>
  </si>
  <si>
    <t>HN6CQ</t>
  </si>
  <si>
    <t>WOS:000460272900005</t>
  </si>
  <si>
    <t>Eyries, M; Montani, D; Nadaud, S; Girerd, B; Levy, M; Bourdin, A; Trésorier, R; Chaouat, A; Cottin, V; Sanfiorenzo, C; Prevot, G; Reynaud-Gaubert, M; Dromer, C; Houeijeh, A; Nguyen, K; Coulet, F; Bonnet, D; Humbert, M; Soubrier, F</t>
  </si>
  <si>
    <t>Eyries, Melanie; Montani, David; Nadaud, Sophie; Girerd, Barbara; Levy, Marilyne; Bourdin, Arnaud; Tresorier, Romain; Chaouat, Ari; Cottin, Vincent; Sanfiorenzo, Celine; Prevot, Gregoire; Reynaud-Gaubert, Martine; Dromer, Claire; Houeijeh, Ali; Nguyen, Karine; Coulet, Florence; Bonnet, Damien; Humbert, Marc; Soubrier, Florent</t>
  </si>
  <si>
    <t>Widening the landscape of heritable pulmonary hypertension mutations in paediatric and adult cases</t>
  </si>
  <si>
    <t>ARTERIAL-HYPERTENSION; EIF2AK4 MUTATIONS; BMP9; RECEPTOR; GUIDELINES; OUTCOMES; COHORT; ALK1; GENE</t>
  </si>
  <si>
    <t>Background: Heritable forms of pulmonary arterial hypertension (PAH) and pulmonary veno-occlusive disease/pulmonary capillary haemangiomatosis (PVOD/PCH) diverge by lung histopathological lesions, clinical and para-clinical presentation, their responsible genes, and mode of transmission. Since the identification of the BMPR2 gene in families affected by PAH, mutations in several other genes have been discovered for both forms. The mutation landscape in these new genes is not yet well known. Methods: We set up a next-generation sequencing-based targeted sequencing gene panel allowing known genes for PAH and PVOD/PCH to be analysed simultaneously. Genetic analysis was prospectively performed on 263 PAH and PVOD/PCH patients (adult and paediatric cases). Results: Pathogenic mutations were identified in 19.5% of sporadic PAH patients (n=180), 54.5% of familial PAH patients and 13.3% of PVOD/PCH patients. BMPR2 was the most frequently mutated gene, followed by TBX4 in both paediatric and adult PAH. BMP9 mutations were identified in 1.2% of adult PAH cases. EIF2AK4 biallelic mutations were restricted to PVOD/PCH. A truncating mutation and a predicted loss-of-function variant were also identified in BMP10 in two severely affected sporadic PAH female patients. Conclusion: Our results confirm that mutations are found in genes beyond BMPR2 in heritable PAH, emphasise the role of TBX4 and BMP9, and designate BMP10 as a new PAH gene.</t>
  </si>
  <si>
    <t>[Eyries, Melanie; Coulet, Florence; Soubrier, Florent] Hop La Pitie Salpetriere, AP HP, Dept Genet, Paris, France; [Eyries, Melanie; Nadaud, Sophie; Soubrier, Florent] Sorbonne Univ, INSERM, UMR S1166, Paris, France; [Eyries, Melanie; Nadaud, Sophie; Soubrier, Florent] ICAN, Paris, France; [Montani, David; Girerd, Barbara; Humbert, Marc] Univ Paris Saclay, Univ Paris Sud, Hop Bicetre,INSERM,UMR S999, AP HP,Fac Med,Serv Pneumol,Ctr Reference Hyperten, Le Kremlin Bicetre, France; [Levy, Marilyne; Bonnet, Damien] Hop Necker Enfants Malad, AP HP, Cardiol Pediat M3C, Paris, France; [Bourdin, Arnaud] Univ Montpellier, CNRS, INSERM, PhyMedExp, Montpellier, France; [Bourdin, Arnaud] CHU Montpellier, Dept Pneumol &amp; Addictol, Montpellier, France; [Tresorier, Romain] CHU Gabriel Montpied, Serv Cardiol Malad Vasc, Clermont Ferrand, France; [Chaouat, Ari] Univ Lorraine, CHRU Nancy, Dept Pneumol, INSERM,U1116, Nancy, France; [Cottin, Vincent] Univ Claude Bernard Lyon 1, Hop Louis Pradel, Ctr Natl Reference Malad Pulm Rares, Serv Pneumol,UMR754, Lyon, France; [Sanfiorenzo, Celine] CHU Nice, Hop Pasteur, Serv Pneumol, Nice, France; [Prevot, Gregoire] Hop Larrey, Serv Pneumol, Toulouse, France; [Reynaud-Gaubert, Martine] CHU Nord Marseille, AP HM, Serv Pneumol, Marseille, France; [Dromer, Claire] Hop Haut Leveque, CHU Bordeaux, Serv Pneumol, Pessac, France; [Houeijeh, Ali] CHRU Lille Hop Cardiol, Serv Cardiol Infantile &amp; Congenitale, Lille, France; [Nguyen, Karine] CHU Timone Enfants, AP HM, Dept Genet Med, Marseille, France</t>
  </si>
  <si>
    <t>Sorbonne Universite; Assistance Publique Hopitaux Paris (APHP); Hopital Universitaire Pitie-Salpetriere - APHP; Sorbonne Universite; Institut National de la Sante et de la Recherche Medicale (Inserm); Sorbonne Universite; Institut National de la Sante et de la Recherche Medicale (Inserm); Universite Paris Saclay; Assistance Publique Hopitaux Paris (APHP); Hopital Universitaire Antoine-Beclere - APHP; Hopital Universitaire Bicetre - APHP; Institut National de la Sante et de la Recherche Medicale (Inserm); Assistance Publique Hopitaux Paris (APHP); Universite Paris Cite; Hopital Universitaire Necker-Enfants Malades - APHP; Institut National de la Sante et de la Recherche Medicale (Inserm); Universite de Montpellier; Centre National de la Recherche Scientifique (CNRS); Universite de Montpellier; CHU de Montpellier; CHU Clermont Ferrand; Universite de Lorraine; Institut National de la Sante et de la Recherche Medicale (Inserm); CHU de Nancy; CHU Lyon; Universite Claude Bernard Lyon 1; CHU Nice; CHU de Toulouse; Aix-Marseille Universite; Assistance Publique-Hopitaux de Marseille; Universite de Bordeaux; CHU Bordeaux; Universite de Lille; CHU Lille; Aix-Marseille Universite; Assistance Publique-Hopitaux de Marseille</t>
  </si>
  <si>
    <t>Soubrier, F (corresponding author), Sorbonne Univ, UMR S1166, Site Pitie Salpetriere,91 Blvd Hop, F-75013 Paris, France.</t>
  </si>
  <si>
    <t>florent.soubrier@upmc.fr</t>
  </si>
  <si>
    <t>HOUEIJEH, ali/AAP-5295-2020; Nguyen, Karine/J-9219-2016; David, Montani/I-6885-2019; Chaouat, Ari/AAP-6784-2021; Nadaud, Sophie/A-7063-2013; EYRIES, melanie/ABF-1034-2020; Bourdin, Philippe/D-8149-2015; Humbert, Marc/AAC-8459-2019</t>
  </si>
  <si>
    <t>Humbert, Marc/0000-0003-0703-2892; Cottin, Vincent/0000-0002-5591-0955; Nadaud, Sophie/0000-0002-1452-6009; Montani, David/0000-0002-9358-6922; Chaouat, Ari/0000-0001-6056-202X; Bourdin, Arnaud/0000-0002-4645-5209; Bonnet, Damien/0000-0002-8722-5805</t>
  </si>
  <si>
    <t>Legs Poix (Chancellerie des Universites de Paris)</t>
  </si>
  <si>
    <t>This work by supported by the Legs Poix (Chancellerie des Universites de Paris). Funding information for this article has been deposited with the Crossref Funder Registry.</t>
  </si>
  <si>
    <t>10.1183/13993003.01371-2018</t>
  </si>
  <si>
    <t>HP6WE</t>
  </si>
  <si>
    <t>WOS:000461827000006</t>
  </si>
  <si>
    <t>Hoeper, MM; Humbert, M</t>
  </si>
  <si>
    <t>Hoeper, Marius M.; Humbert, Marc</t>
  </si>
  <si>
    <t>The new haemodynamic definition of pulmonary hypertension: evidence prevails, finally!</t>
  </si>
  <si>
    <t>SYSTEMIC-SCLEROSIS; ARTERIAL-HYPERTENSION; DIAGNOSIS; PRESSURE; GUIDELINES; EXERCISE</t>
  </si>
  <si>
    <t>[Hoeper, Marius M.] Hannover Med Sch, Dept Resp Med, D-30623 Hannover, Germany; [Hoeper, Marius M.] German Ctr Lung Res DZL, Hannover, Germany; [Humbert, Marc] Univ Paris Saclay, Fac Med, Univ Paris Sud, Le Kremlin Bicetre, France; [Humbert, Marc] INSERM, UMR S 999, Le Kremlin Bicetre, France; [Humbert, Marc] Hop Bicetre, AP HP, Serv Pneumol, Le Kremlin Bicetre, France</t>
  </si>
  <si>
    <t>Hannover Medical School; Universite Paris Saclay; Universite Paris Saclay; Institut National de la Sante et de la Recherche Medicale (Inserm); Universite Paris Saclay; Assistance Publique Hopitaux Paris (APHP); Hopital Universitaire Bicetre - APHP; Hopital Universitaire Antoine-Beclere - APHP</t>
  </si>
  <si>
    <t>Hoeper, MM (corresponding author), Hannover Med Sch, Dept Resp Med, D-30623 Hannover, Germany.</t>
  </si>
  <si>
    <t>10.1183/13993003.00038-2019</t>
  </si>
  <si>
    <t>HX6OU</t>
  </si>
  <si>
    <t>WOS:000467523800010</t>
  </si>
  <si>
    <t>Poble, PB; Phan, C; Quatremare, T; Bordenave, J; Thuillet, R; Cumont, A; Huertas, A; Tu, L; Dorfmüller, P; Humbert, M; Ghigna, MR; Savale, L; Guignabert, C</t>
  </si>
  <si>
    <t>Poble, Paul-Benoit; Phan, Carole; Quatremare, Timothee; Bordenave, Jennifer; Thuillet, Raphael; Cumont, Amelie; Huertas, Alice; Tu, Ly; Dorfmueller, Peter; Humbert, Marc; Ghigna, Maria-Rosa; Savale, Laurent; Guignabert, Christophe</t>
  </si>
  <si>
    <t>Therapeutic effect of pirfenidone in the sugen/hypoxia rat model of severe pulmonary hypertension</t>
  </si>
  <si>
    <t>FASEB JOURNAL</t>
  </si>
  <si>
    <t>pulmonary arterial hypertension; pulmonary vascular remodeling; extracellular matrix; FoxO1</t>
  </si>
  <si>
    <t>SERINE ELASTASE INHIBITOR; TRANSCRIPTION FACTOR; FIBROSIS; TARGETS; PREVENTS</t>
  </si>
  <si>
    <t>Heightened pulmonary artery smooth muscle cell (PA-SMC) proliferation and migration and dynamic remodeling of the extracellular matrix are hallmark pathogenic features of pulmonary arterial hypertension (PAH). Pirfenidone (PFD) is an orally bioavailable pyridone derivative with antifibrotic, antiinflammatory, and antioxidative properties currently used in the treatment of idiopathic pulmonary fibrosis. We therefore evaluated the efficacy of curative treatments with PFD in the sugen/hypoxia (SuHx) rat model of severe pulmonary hypertension. Treatment with PFD (30 mg/kg per day by mouth 3 times a day for 3 wk) started 5 wk after sugen injection partially reversed established pulmonary hypertension, reducing total pulmonary vascular resistance and remodeling. Consistent with these observations, we found that continued PFD treatment decreases PA-SMC proliferation and levels of extracellular matrix deposition in lungs and right ventricles in SuHx rats. Importantly, PFD attenuated the proproliferative and promigratory potentials of cultured PA-SMCs from patients with idiopathic PAH and their capacity to produce extracellular matrix components. Finally, we found that PFD dose dependently enhanced forkhead box O1 protein levels and its nuclear translocation in cultured idiopathic PAH PA-SMCs and in PFD-treated SuHx rats. PFD appears to be a potential therapy for PAH worthy of investigation and evaluation for clinical use in conjunction with current PAH treatments.Poble, P.-B., Phan, C., Quatremare, T., Bordenave, J., Thuillet, R., Cumont, A., Huertas, A., Tu, L., Dorfmuller, P., Humbert, M., Ghigna, M.-R., Savale, L., Guignabert, C. Therapeutic effect of pirfenidone in the sugen/hypoxia rat model of severe pulmonary hypertension.</t>
  </si>
  <si>
    <t>[Poble, Paul-Benoit; Phan, Carole; Quatremare, Timothee; Bordenave, Jennifer; Thuillet, Raphael; Cumont, Amelie; Huertas, Alice; Tu, Ly; Dorfmueller, Peter; Humbert, Marc; Ghigna, Maria-Rosa; Savale, Laurent; Guignabert, Christophe] INSERM, UMR S 999, Le Plessis Robinson, France; [Poble, Paul-Benoit; Phan, Carole; Quatremare, Timothee; Bordenave, Jennifer; Thuillet, Raphael; Cumont, Amelie; Huertas, Alice; Tu, Ly; Dorfmueller, Peter; Humbert, Marc; Ghigna, Maria-Rosa; Savale, Laurent; Guignabert, Christophe] Univ Paris Saclay, Univ Paris Sud, Le Kremlin Bicetre, France; [Huertas, Alice; Humbert, Marc; Savale, Laurent] Hop Bicetre, AP HP, DHU Thorax Innovat, Ctr Reference Hypertens Pulm Severe,Serv Pneumol, Le Kremlin Bicetre, France; [Dorfmueller, Peter; Ghigna, Maria-Rosa] Hop Marie Lannelongue, Pathol Dept, Le Plessis Robinson, France</t>
  </si>
  <si>
    <t>Universite Paris Saclay; Institut National de la Sante et de la Recherche Medicale (Inserm); Universite Paris Saclay; Assistance Publique Hopitaux Paris (APHP); Hopital Universitaire Antoine-Beclere - APHP; Universite Paris Saclay; Hopital Universitaire Bicetre - APHP; Hopital Marie Lannelongue</t>
  </si>
  <si>
    <t>Guignabert, C (corresponding author), Hop Marie Lannelongue, INSERM, UMR S 999, 133 Ave Resistance, F-92350 Le Plessis Robinson, France.</t>
  </si>
  <si>
    <t>Huertas, Alice/E-8244-2017; Savale, Laurent/AAJ-9781-2020; Humbert, Marc/AAC-8459-2019; TU, Ly/G-4035-2013; GUIGNABERT, Christophe/G-3873-2013</t>
  </si>
  <si>
    <t>Humbert, Marc/0000-0003-0703-2892; TU, Ly/0000-0003-2336-5099; Thuillet, Raphael/0000-0002-1379-3797; Ghigna, Maria Rosa/0000-0001-5996-665X; Dorfmuller, Peter/0000-0003-2499-6829; GUIGNABERT, Christophe/0000-0002-8545-4452; bordenave, jennifer/0000-0001-8866-3666</t>
  </si>
  <si>
    <t>INSERM, the University of Paris-Sud; University Paris-Saclay, Marie Lannelongue Hospital; French National Agency for Research (ANR) [ANR-16-CE17-0014]; Fondation de la Recherche Medicale (FRM) [DEQ20150331712]; Departement Hospitalo-Universitaire Thorax Innovation; Assistance Publique-Hopitaux de Paris, Service de Pneumologie, Centre de Reference de l'Hypertension Pulmonaire Severe; LabEx LERMIT [ANR-10-LABX-0033]; French PAH patient association (HTAP France); French Fonds de Dotation Recherche en Sante Respiratoire (FRSR); Fondation du Souffle (FdS); FRSR-FdS; FRM; Agence Nationale de la Recherche (ANR) [ANR-16-CE17-0014] Funding Source: Agence Nationale de la Recherche (ANR)</t>
  </si>
  <si>
    <t>INSERM, the University of Paris-Sud; University Paris-Saclay, Marie Lannelongue Hospital; French National Agency for Research (ANR)(Agence Nationale de la Recherche (ANR)); Fondation de la Recherche Medicale (FRM)(Fondation pour la Recherche Medicale); Departement Hospitalo-Universitaire Thorax Innovation; Assistance Publique-Hopitaux de Paris, Service de Pneumologie, Centre de Reference de l'Hypertension Pulmonaire Severe; LabEx LERMIT; French PAH patient association (HTAP France); French Fonds de Dotation Recherche en Sante Respiratoire (FRSR); Fondation du Souffle (FdS); FRSR-FdS; FRM(Fondation pour la Recherche Medicale); Agence Nationale de la Recherche (ANR)</t>
  </si>
  <si>
    <t>This research was supported by grants from INSERM, the University of Paris-Sud, the University Paris-Saclay, Marie Lannelongue Hospital, the French National Agency for Research (ANR; Grant ANR-16-CE17-0014, TAMIRAH), the Fondation de la Recherche Medicale (FRM; Grant DEQ20150331712, Equipe FRM 2015), and in part by the Departement Hospitalo-Universitaire Thorax Innovation, the Assistance Publique-Hopitaux de Paris, Service de Pneumologie, Centre de Reference de l'Hypertension Pulmonaire Severe, the LabEx LERMIT (Grant ANR-10-LABX-0033), the French PAH patient association (HTAP France), and the French Fonds de Dotation Recherche en Sante Respiratoire (FRSR), Fondation du Souffle (FdS). P.-B.P. and C.P. are supported by the FRSR-FdS and J.B. is supported by the FRM. P.-B.P., C.P., T.Q., J.B., R.T., A.C., A.H., L.T., P.D., M.-R.G., and C.G. have no conflicts of interest to disclose. In the past 3 yr, M.H. and L.S. report grants, personal fees, and nonfinancial support from Actelion, Pfizer, Bayer, GlaxoSmithKline, and MSD outside of the submitted work.</t>
  </si>
  <si>
    <t>0892-6638</t>
  </si>
  <si>
    <t>1530-6860</t>
  </si>
  <si>
    <t>FASEB J</t>
  </si>
  <si>
    <t>Faseb J.</t>
  </si>
  <si>
    <t>10.1096/fj.201801659R</t>
  </si>
  <si>
    <t>Biochemistry &amp; Molecular Biology; Biology; Cell Biology</t>
  </si>
  <si>
    <t>Biochemistry &amp; Molecular Biology; Life Sciences &amp; Biomedicine - Other Topics; Cell Biology</t>
  </si>
  <si>
    <t>HM9HS</t>
  </si>
  <si>
    <t>WOS:000459794800047</t>
  </si>
  <si>
    <t>Quatredeniers, M; Nakhleh, MK; Dumas, SJ; Courboulin, A; Vinhas, MC; Antigny, F; Phan, C; Guignabert, C; Bendifallah, I; Vocelle, M; Fadel, E; Dorfmüller, P; Humbert, M; Cohen-Kaminsky, S</t>
  </si>
  <si>
    <t>Quatredeniers, Marceau; Nakhleh, Morad K.; Dumas, Sebastien J.; Courboulin, Audrey; Vinhas, Maria C.; Antigny, Fabrice; Phan, Carole; Guignabert, Christophe; Bendifallah, Imane; Vocelle, Matthieu; Fadel, Elie; Dorfmuller, Peter; Humbert, Marc; Cohen-Kaminsky, Sylvia</t>
  </si>
  <si>
    <t>Functional interaction between PDGFβ and GluN2B-containing NMDA receptors in smooth muscle cell proliferation and migration in pulmonary arterial hypertension</t>
  </si>
  <si>
    <t>N-methyl-D-aspartate receptor; platelet-derived growth factor; pulmonary arterial hypertension; pulmonary artery smooth muscle cell; Src family kinases</t>
  </si>
  <si>
    <t>GROWTH-FACTOR; NEURONAL DEATH; IN-VITRO; INHIBITION; ACTIVATION; EXPRESSION; ANGIOGENESIS; KINASES; ROLES</t>
  </si>
  <si>
    <t>In this study, we explored the complex interactions between platelet-derived growth factor (PDGF) and N-methyl-D-aspartate receptor (NMDAR) and their effect on the excessive proliferation and migration of smooth muscle cells leading to obstructed arteries in pulmonary arterial hypertension (PAH). We report lower expression of glutamate receptor NMDA-type subunit 2B (GluN2B), a subunit composing NMDARs expected to affect cell survival/proliferation of pulmonary artery smooth muscle cells (PASMCs), in PAH patient lungs. PASMC exposure to PDGF-BB stimulated immediate increased levels of phosphorylated Src family kinases (SFKs) together with increased phosphorylated GluN2B (its active form) and cell surface relocalization, suggesting a cross talk between PDGFR-recruited SFKs and NMDAR. Selective inhibition of PDGFR-beta or SFKs with imatinib or A-419259, respectively, on one hand, or with specific small-interfering RNAs (siRNAs) on the other hand, aborted PDGF-induced phosphorylation of GluN2B, thus validating the pathway. Selective inhibition of GluN2B using Ro25-6981 and silencing with specific siRNA, in the presence of PDGF-BB, significantly increased both migration and proliferation of PASMCs, thus strengthening the functional importance of the pathway. Together, these results indicate that GluN2B-type NMDAR activation may confer to PASMCs antiproliferative and antimigratory properties. The decreased levels of GluN2B observed in PAH pulmonary arteries could mediate the excessive proliferation of PASMCs, thus contributing to medial hyperplasia and PAH development.</t>
  </si>
  <si>
    <t>[Quatredeniers, Marceau; Nakhleh, Morad K.; Dumas, Sebastien J.; Courboulin, Audrey; Vinhas, Maria C.; Antigny, Fabrice; Phan, Carole; Guignabert, Christophe; Bendifallah, Imane; Vocelle, Matthieu; Fadel, Elie; Dorfmuller, Peter; Humbert, Marc; Cohen-Kaminsky, Sylvia] Hop Marie Lannelongue, Inserm UMR S 999, F-92350 Le Plessis Robinson, France; [Quatredeniers, Marceau; Nakhleh, Morad K.; Dumas, Sebastien J.; Courboulin, Audrey; Vinhas, Maria C.; Antigny, Fabrice; Phan, Carole; Guignabert, Christophe; Bendifallah, Imane; Vocelle, Matthieu; Fadel, Elie; Dorfmuller, Peter; Humbert, Marc; Cohen-Kaminsky, Sylvia] Univ Paris Saclay, Fac Med, Univ Paris Sud, Le Kremlin Bicetre, France; [Humbert, Marc] DHU Thorax Innovat, AP HP, Serv Pneumol, Ctr Reference Hypertens Pulm Severe,Hop Bicetre, Le Kremlin Bicetre, France</t>
  </si>
  <si>
    <t>Universite Paris Saclay; Institut National de la Sante et de la Recherche Medicale (Inserm); Hopital Marie Lannelongue; Universite Paris Saclay; Assistance Publique Hopitaux Paris (APHP); Hopital Universitaire Bicetre - APHP; Universite Paris Saclay; Hopital Universitaire Antoine-Beclere - APHP</t>
  </si>
  <si>
    <t>Cohen-Kaminsky, S (corresponding author), Hop Marie Lannelongue, Inserm UMR S 999, F-92350 Le Plessis Robinson, France.</t>
  </si>
  <si>
    <t>sylvia.cohen-kaminsky@u-psud.fr</t>
  </si>
  <si>
    <t>Dumas, Sébastien/AAA-2056-2021; Antigny, Fabrice/Q-3999-2018; Humbert, Marc/AAC-8459-2019; GUIGNABERT, Christophe/G-3873-2013; Cohen-Kaminsky, Sylvia/E-4837-2014</t>
  </si>
  <si>
    <t>Dumas, Sebastien/0000-0001-9958-3485; Antigny, Fabrice/0000-0002-9515-6571; Humbert, Marc/0000-0003-0703-2892; GUIGNABERT, Christophe/0000-0002-8545-4452; Dorfmuller, Peter/0000-0003-2499-6829; Cohen-Kaminsky, Sylvia/0000-0002-6341-7482</t>
  </si>
  <si>
    <t>LabEx LERMIT (Laboratory of Excellence in Research on Medication and Innovative Therapeutics) under the Investment for the Future program [ANR-11-IDEX-0003-01, ANR-10-LABX-0033]; Agence National de la Recherche (ANR) Biomedical Innovation program [2014(DS0404), ANR-14-CE16-0016]; DHU TORINO (Departement Hospitalo-Universitaire Thorax Innovation); AP-HP; INSERM; Universite Paris-Sud; Universite Paris-Saclay; Hopital Marie Lannelongue; Ministere de l'Education Nationale, de l'Enseignement Superieur et de la Recherche; Fonds de Dotation Recherche en Sante Respiratoire; Fondation pour la Recherche Medicale (FRM) [FDT20140931207]; FRM [SPF20140129310]; LabEx LERMIT; Agence Nationale de la Recherche (ANR) [ANR-14-CE16-0016, ANR-10-LABX-0033] Funding Source: Agence Nationale de la Recherche (ANR)</t>
  </si>
  <si>
    <t>LabEx LERMIT (Laboratory of Excellence in Research on Medication and Innovative Therapeutics) under the Investment for the Future program; Agence National de la Recherche (ANR) Biomedical Innovation program(Agence nationale pour le developpement de la recherche en sante (ANDRS)Agence Nationale de la Recherche (ANR)); DHU TORINO (Departement Hospitalo-Universitaire Thorax Innovation); AP-HP; INSERM(Institut National de la Sante et de la Recherche Medicale (Inserm)); Universite Paris-Sud; Universite Paris-Saclay; Hopital Marie Lannelongue; Ministere de l'Education Nationale, de l'Enseignement Superieur et de la Recherche; Fonds de Dotation Recherche en Sante Respiratoire; Fondation pour la Recherche Medicale (FRM)(Fondation pour la Recherche Medicale); FRM(Fondation pour la Recherche Medicale); LabEx LERMIT; Agence Nationale de la Recherche (ANR)(Agence Nationale de la Recherche (ANR))</t>
  </si>
  <si>
    <t>This work was funded by LabEx LERMIT (Laboratory of Excellence in Research on Medication and Innovative Therapeutics) under the Investment for the Future program ANR-11-IDEX-0003-01 within the ANR-10-LABX-0033 (to S. Cohen-Kaminsky), by Agence National de la Recherche (ANR) Biomedical Innovation program 2014(DS0404) within ANR-14-CE16-0016 (to S. Cohen-Kaminsky), and by DHU TORINO (Departement Hospitalo-Universitaire Thorax Innovation) and AP-HP. This work was also supported by INSERM, Universite Paris-Sud, Universite Paris-Saclay, and Hopital Marie Lannelongue. M. Quatredeniers was supported by a PhD fellowship from the Ministere de l'Education Nationale, de l'Enseignement Superieur et de la Recherche. S. J. Dumas received doctoral support from Fonds de Dotation Recherche en Sante Respiratoire and Fondation pour la Recherche Medicale (FRM, Grant FDT20140931207). A. Courboulin was supported by a postdoctoral fellowship from FRM (Grant SPF20140129310) and the LabEx LERMIT, M. K. Nakhleh by a postdoctoral fellowship from INSERM, and I. Bendifallah by the LabEx LERMIT.</t>
  </si>
  <si>
    <t>BETHESDA</t>
  </si>
  <si>
    <t>9650 ROCKVILLE PIKE, BETHESDA, MD 20814 USA</t>
  </si>
  <si>
    <t>L445</t>
  </si>
  <si>
    <t>L455</t>
  </si>
  <si>
    <t>10.1152/ajplung.00537.2017</t>
  </si>
  <si>
    <t>HN6KB</t>
  </si>
  <si>
    <t>WOS:000460293800004</t>
  </si>
  <si>
    <t>Rhodes, CJ; Batai, K; Bleda, M; Haimel, M; Southgate, L; Germain, M; Pauciulo, MW; Hadinnapola, C; Aman, J; Girerd, B; Arora, A; Knight, J; Hanscombe, KB; Karnes, JH; Kaakinen, M; Gall, H; Ulrich, A; Harbaum, L; Cebola, I; Ferrer, J; Lutz, K; Swietlik, EM; Ahmad, F; Amouyel, P; Archer, SL; Argula, R; Austin, ED; Badesch, D; Bakshi, S; Barnett, C; Benza, R; Bhatt, N; Bogaard, HJ; Burger, CD; Chakinala, M; Church, C; Coghlan, JG; Condliffe, R; Corris, PA; Danesino, C; Debette, S; Elliott, CG; Elwing, J; Eyries, M; Fortin, T; Franke, A; Frantz, RP; Frost, A; Garcia, JGN; Ghio, S; Ghofrani, HA; Gibbs, JSR; Harley, J; He, H; Hill, NS; Hirsch, R; Houweling, AC; Howard, LS; Ivy, D; Kiely, DG; Klinger, J; Kovacs, G; Lahm, T; Laudes, M; Machado, RD; Ross, RVM; Marsolo, K; Martin, LJ; Moledina, S; Montani, D; Nathan, SD; Newnham, M; Olschewski, A; Olschewski, H; Oudiz, RJ; Ouwehand, WH; Peacock, AJ; Pepke-Zaba, J; Rehman, Z; Robbins, I; Roden, DM; Rosenzweig, EB; Saydain, G; Scelsi, L; Schilz, R; Seeger, W; Shaffer, CM; Simms, RW; Simon, M; Sitbon, O; Suntharalingam, J; Tang, HY; Tchourbanov, AY; Thenappan, T; Torres, F; Toshner, MR; Treacy, CM; Noordegraaf, AV; Waisfisz, Q; Walsworth, AK; Walter, RE; Wharton, J; White, RJ; Wilt, J; Wort, SJ; Yung, D; Lawrie, A; Humbert, M; Soubrier, F; Tregouët, DA; Prokopenko, I; Kittles, R; Gräf, S; Nichols, WC; Trembath, RC; Desai, AA; Morrell, NW; Wilkins, MR; Adlard, J; Ahmed, M; Aitman, T; Alachkar, H; Allsup, D; Almeida-King, J; Ancliff, P; Antrobus, R; Armstrong, R; Arno, G; Ashford, S; Astle, W; Attwood, A; Babbs, C; Bakchoul, T; Bariana, T; Barwell, J; Bennett, D; Bentley, D; Bierzynska, A; Biss, T; Bogaard, H; Bourne, C; Boyce, S; Bradley, J; Breen, G; Brennan, P; Brewer, C; Brown, M; Browning, M; Buchan, R; Buckland, M; Bueser, T; Burns, S; Burren, O; Calleja, P; Carr-White, G; Carss, K; Casey, R; Caulfield, M; Chambers, J; Chambers, J; Cheng, F; Chinnery, PF; Christian, M; Brod, NC; Coghlan, G; Colby, E; Cole, T; Collins, J; Collins, P; Colombo, C; Cook, S; Cook, T; Cooper, N; Corris, P; Crisp-Hihn, A; Curry, N; Daniels, M; Daugherty, L; Davis, J; Deevi, SVV; Dent, T; Dewhurst, E; Dixon, P; Downes, K; Drazyk, A; Drewe, E; Dutt, T; Edgar, D; Edwards, K; Egner, W; Erber, W; Erwood, M; Estiu, MC; Evans, G; Evans, DG; Everington, T; Eyries, M; Favier, R; Fletcher, D; Fox, J; Frary, A; French, C; Freson, K; Frontini, M; Gale, D; Geoghegan, C; Gerighty, T; Gibbs, S; Gilmour, K; Goddard, S; Gomez, K; Gordins, P; Gosal, D; Grassi, L; Greene, D; Greenhalgh, L; Greinacher, A; Gresele, P; Griffiths, P; Grigoriadou, S; Grocock, R; Grozeva, D; Hackett, S; Hague, W; Hall, M; Hanson, H; Harkness, K; Harper, A; Harris, C; Hart, D; Hassan, A; Hayman, G; Henderson, A; Hoffmann, J; Horvath, R; Houweling, A; Howard, L; Hu, FY; Hudson, G; Hughes, J; Huissoon, A; Humphray, S; Hunter, S; Hurles, M; Izatt, L; James, R; Johnson, S; Jolles, S; Jolley, J; Jurkute, N; Kasanicki, M; Kazkaz, H; Kazmi, R; Kelleher, P; Kiely, D; Kingston, N; Klima, R; Kostadima, M; Koziell, A; Kreuzhuber, R; Kuijpers, T; Kumar, A; Kumararatne, D; Kurian, M; Laffan, M; Lalloo, F; Lambert, M; Allen, HL; Layton, M; Lentaigne, C; Levine, A; Linger, R; Longhurst, H; Louka, E; Ross, RM; Madan, B; Maher, E; Maimaris, J; Mangles, S; Mapeta, R; Marchbank, K; Marks, S; Markus, HS; Marschall, HU; Marshall, A; Martin, J; Mathias, M; Matthews, E; Maxwell, H; McAlinden, P; McCarthy, M; Meacham, S; Mead, A; Megy, K; Mehta, S; Michaelides, M; Millar, C; Moore, T; Morrell, N; Mozere, M; Muir, K; Mumford, A; O'Sullivan, J; Obaji, S; Okoli, S; Ong, KR; Ormondroyd, E; Ouwehand, W; Papadia, S; Park, SM; Parry, D; Paterson, J; Peacock, A; Peden, J; Peerlinck, K; Penkett, C; Petersen, R; Pyle, A; Rankin, S; Rao, A; Raymond, FL; Rayner-Matthews, P; Rees, C; Rendon, A; Renton, T; Rice, A; Richardson, S; Richter, A; Roberts, I; Roughley, C; Roy, N; Sadeghi-Alavijeh, O; Saleem, M; Samani, N; Sanchis-Juan, A; Sargur, R; Satchell, S; Savic, S; Schulman, S; Scully, M; Searle, C; Sewell, C; Seyres, D; Shapiro, S; Sharmardina, O; Shtoyerman, R; Sibson, K; Side, L; Simeoni, I; Simpson, M; Sivapalaratnam, S; Skytte, AB; Smith, K; Smith, KGC; Snape, K; Staines, S; Staples, E; Stark, H; Stephens, J; Stirrups, K; Stock, S; Swietlik, E; Tait, RC; Talks, K; Tan, R; Thaventhiran, J; Themistocleous, A; Thomas, M; Thomson, K; Thrasher, A; Thys, C; Tischkowitz, M; Titterton, C; Toh, CH; Toshner, M; Traylor, M; Treacy, C; Trembath, R; Tuna, S; Turek, W; Turro, E; Vale, T; Van Geet, C; Van Zuydam, N; Vazquez-Lopez, M; Von Ziegenweidt, J; Waisfisz, Q; Walker, S; Ware, J; Watkins, H; Watt, C; Webster, A; Wei, W; Welch, S; Wessels, J; Westbury, S; Westwood, JP; Whitehorn, D; Whitworth, J; Williamson, C; Wong, E; Wood, N; Wood, Y; Woods, G; Woodward, E; Wort, S; Worth, A; Yates, K; Yong, P; Young, T; Yu, P; Yu-Wai-Man, P; Theuer, A; Malur, A; Williams, A; Dotson, A; Warden, A; Harrington, B; Vang, B; Ziemak, C; Casanova, N; Caskey, E; MacDonald, C; Rowley, C; Larimore, D; Brady, D; Tomer, D; Davis, A; Broach, D; Devereux, J; Lovato, E; Stratton, E; Turk, E; Jackson, E; Paciotti, G; Peichel, G; Birru, H; del Junco, H; Ingledue, R; Bruno, J; Drake, J; Marks, J; Pisarcik, J; Spears, J; Santiago, J; DeMartino, J; Beckmann, J; Palmer, J; Visnaw, K; Kennedy, K; Lewis, K; Miller-Reed, K; Hannon, K; McClain, K; Dillon, L; Olanipekun, L; Mendibles, L; Hawke, L; Brody, L; Durst, L; Andrews, M; Allahua, M; Stratoberdha, M; Lemma, M; Cope, M; Franzo, M; Feliz, N; Hawkes, N; Norwood, T; Wilson, O; Palmisciano, A; Gruhlke, P; Correa, P; Blake, R; Karnekar, R; Do, R; Rohwer, K; Ahmed, S; Schiltz, K; Scovel, P; Cordell, S; Heuerman, S; Ahmad, S; Szuberla, S; Roads, T; Iem, T; Mcgaha, T; Urban, T; Aston, V; Ayesh, W; Light, A; Arkon, A; Tavlarides, A; Anderson, A; Bindu, J; Boekwig, D; Singleton, D; Abrea, I; Lee, J; Ormiston, M; Whitman, R; Holy, R; Almeida-Peters, S; Igenoza, T; Farber, H; Reponen, A; Barve, M; Gygi, A; Winslow, C</t>
  </si>
  <si>
    <t>Rhodes, Christopher J.; Batai, Ken; Bleda, Marta; Haimel, Matthias; Southgate, Laura; Germain, Marine; Pauciulo, Michael W.; Hadinnapola, Charaka; Aman, Jurjan; Girerd, Barbara; Arora, Amit; Knight, Jo; Hanscombe, Ken B.; Karnes, Jason H.; Kaakinen, Marika; Gall, Henning; Ulrich, Anna; Harbaum, Lars; Cebola, Ines; Ferrer, Jorge; Lutz, Katie; Swietlik, Emilia M.; Ahmad, Ferhaan; Amouyel, Philippe; Archer, Stephen L.; Argula, Rahul; Austin, Eric D.; Badesch, David; Bakshi, Sahil; Barnett, Christopher; Benza, Raymond; Bhatt, Nitin; Bogaard, Harm J.; Burger, Charles D.; Chakinala, Murali; Church, Colin; Coghlan, John G.; Condliffe, Robin; Corris, Paul A.; Danesino, Cesare; Debette, Stephanie; Elliott, C. Gregory; Elwing, Jean; Eyries, Melanie; Fortin, Terry; Franke, Andre; Frantz, Robert P.; Frost, Adaani; Garcia, Joe G. N.; Ghio, Stefano; Ghofrani, Hossein-Ardeschir; Gibbs, J. Simon R.; Harley, John; He, Hua; Hill, Nicholas S.; Hirsch, Russel; Houweling, Arjan C.; Howard, Luke S.; Ivy, Dunbar; Kiely, David G.; Klinger, James; Kovacs, Gabor; Lahm, Tim; Laudes, Matthias; Machado, Rajiv D.; Ross, Robert V. MacKenzie; Marsolo, Keith; Martin, Lisa J.; Moledina, Shahin; Montani, David; Nathan, Steven D.; Newnham, Michael; Olschewski, Andrea; Olschewski, Horst; Oudiz, Ronald J.; Ouwehand, Willem H.; Peacock, Andrew J.; Pepke-Zaba, Joanna; Rehman, Zia; Robbins, Ivan; Roden, Dan M.; Rosenzweig, Erika B.; Saydain, Ghulam; Scelsi, Laura; Schilz, Robert; Seeger, Werner; Shaffer, Christian M.; Simms, Robert W.; Simon, Marc; Sitbon, Olivier; Suntharalingam, Jay; Tang, Haiyang; Tchourbanov, Alexander Y.; Thenappan, Thenappan; Torres, Fernando; Toshner, Mark R.; Treacy, Carmen M.; Noordegraaf, Anton Vonk; Waisfisz, Quinten; Walsworth, Anna K.; Walter, Robert E.; Wharton, John; White, R. James; Wilt, Jeffrey; Wort, Stephen J.; Yung, Delphine; Lawrie, Allan; Humbert, Marc; Soubrier, Florent; Tregouet, David-Alexandre; Prokopenko, Inga; Kittles, Richard; Graf, Stefan; Nichols, William C.; Trembath, Richard C.; Desai, Ankit A.; Morrell, Nicholas W.; Wilkins, Martin R.; Adlard, Julian; Ahmed, Munaza; Aitman, Tim; Alachkar, Hana; Allsup, David; Almeida-King, Jeff; Ancliff, Philip; Antrobus, Richard; Armstrong, Ruth; Arno, Gavin; Ashford, Sofie; Astle, William; Attwood, Anthony; Babbs, Chris; Bakchoul, Tamam; Bariana, Tadbir; Barwell, Julian; Bennett, David; Bentley, David; Bierzynska, Agnieszka; Biss, Tina; Bogaard, Harm; Bourne, Christian; Boyce, Sara; Bradley, John; Breen, Gerome; Brennan, Paul; Brewer, Carole; Brown, Matthew; Browning, Michael; Buchan, Rachel; Buckland, Matthew; Bueser, Teofila; Burns, Siobhan; Burren, Oliver; Calleja, Paul; Carr-White, Gerald; Carss, Keren; Casey, Ruth; Caulfield, Mark; Chambers, John; Chambers, Jennifer; Cheng, Floria; Chinnery, Patrick F.; Christian, Martin; Brod, Naomi Clements; Coghlan, Gerry; Colby, Elizabeth; Cole, Trevor; Collins, Janine; Collins, Peter; Colombo, Camilla; Cook, Stuart; Cook, Terry; Cooper, Nichola; Corris, Paul; Crisp-Hihn, Abigail; Curry, Nicola; Daniels, Matthew; Daugherty, Louise; Davis, John; Deevi, Sri V. V.; Dent, Timothy; Dewhurst, Eleanor; Dixon, Peter; Downes, Kate; Drazyk, Anna; Drewe, Elizabeth; Dutt, Tina; Edgar, David; Edwards, Karen; Egner, William; Erber, Wendy; Erwood, Marie; Estiu, Maria C.; Evans, Gillian; Evans, Dafydd Gareth; Everington, Tamara; Eyries, Mlanie; Favier, Remi; Fletcher, Debra; Fox, James; Frary, Amy; French, Courtney; Freson, Kathleen; Frontini, Mattia; Gale, Daniel; Geoghegan, Claire; Gerighty, Terry; Gibbs, Simon; Gilmour, Kimberley; Goddard, Sarah; Gomez, Keith; Gordins, Pavels; Gosal, David; Grassi, Luigi; Greene, Daniel; Greenhalgh, Lynn; Greinacher, Andreas; Gresele, Paolo; Griffiths, Philip; Grigoriadou, Sofia; Grocock, Russell; Grozeva, Detelina; Hackett, Scott; Hague, William; Hall, Matthew; Hanson, Helen; Harkness, Kirsty; Harper, Andrew; Harris, Claire; Hart, Daniel; Hassan, Ahamad; Hayman, Grant; Henderson, Alex; Hoffmann, Jonathan; Horvath, Rita; Houweling, Arjan; Howard, Luke; Hu, Fengyuan; Hudson, Gavin; Hughes, Joseph; Huissoon, Aarnoud; Humphray, Sean; Hunter, Sarah; Hurles, Matthew; Izatt, Louise; James, Roger; Johnson, Sally; Jolles, Stephen; Jolley, Jennifer; Jurkute, Neringa; Kasanicki, Mary; Kazkaz, Hanadi; Kazmi, Rashid; Kelleher, Peter; Kiely, David; Kingston, Nathalie; Klima, Robert; Kostadima, Myrto; Koziell, Ania; Kreuzhuber, Roman; Kuijpers, Taco; Kumar, Ajith; Kumararatne, Dinakantha; Kurian, Manju; Laffan, Michael; Lalloo, Fiona; Lambert, Michele; Allen, Hana Lango; Layton, Mark; Lentaigne, Claire; Levine, Adam; Linger, Rachel; Longhurst, Hilary; Louka, Eleni; Ross, Robert MacKenzie; Madan, Bella; Maher, Eamonn; Maimaris, Jesmeen; Mangles, Sarah; Mapeta, Rutendo; Marchbank, Kevin; Marks, Stephen; Markus, Hugh S.; Marschall, Hanns-Ulrich; Marshall, Andrew; Martin, Jennifer; Mathias, Mary; Matthews, Emma; Maxwell, Heather; McAlinden, Paul; McCarthy, Mark; Meacham, Stuart; Mead, Adam; Megy, Karyn; Mehta, Sarju; Michaelides, Michel; Millar, Carolyn; Moore, Tony; Morrell, Nicholas; Mozere, Monika; Muir, Keith; Mumford, Andrew; O'Sullivan, Jennifer; Obaji, Samya; Okoli, Steven; Ong, Kai Ren; Ormondroyd, Elizabeth; Ouwehand, Willem; Papadia, Sofia; Park, Soo-Mi; Parry, David; Paterson, Joan; Peacock, Andrew; Peden, John; Peerlinck, Kathelijne; Penkett, Christopher; Petersen, Romina; Pyle, Angela; Rankin, Stuart; Rao, Anupama; Raymond, F. Lucy; Rayner-Matthews, Paula; Rees, Christine; Rendon, Augusto; Renton, Tara; Rice, Andrew; Richardson, Sylvia; Richter, Alex; Roberts, Irene; Roughley, Catherine; Roy, Noemi; Sadeghi-Alavijeh, Omid; Saleem, Moin; Samani, Nilesh; Sanchis-Juan, Alba; Sargur, Ravishankar; Satchell, Simon; Savic, Sinisa; Schulman, Sol; Scully, Marie; Searle, Claire; Sewell, Carrock; Seyres, Denis; Shapiro, Susie; Sharmardina, Olga; Shtoyerman, Rakefet; Sibson, Keith; Side, Lucy; Simeoni, Ilenia; Simpson, Michael; Sivapalaratnam, Suthesh; Skytte, Anne-Bine; Smith, Katherine; Smith, Kenneth G. C.; Snape, Katie; Staines, Simon; Staples, Emily; Stark, Hannah; Stephens, Jonathan; Stirrups, Kathleen; Stock, Sophie; Swietlik, Emilia; Tait, R. Campbell; Talks, Kate; Tan, Rhea; Thaventhiran, James; Themistocleous, Andreas; Thomas, Moira; Thomson, Kate; Thrasher, Adrian; Thys, Chantal; Tischkowitz, Marc; Titterton, Catherine; Toh, Cheng-Hock; Toshner, Mark; Traylor, Matthew; Treacy, Carmen; Trembath, Richard; Tuna, Salih; Turek, Wojciech; Turro, Ernest; Vale, Tom; Van Geet, Chris; Van Zuydam, Natalie; Vazquez-Lopez, Marta; Von Ziegenweidt, Julie; Waisfisz, Quintin; Walker, Suellen; Ware, James; Watkins, Hugh; Watt, Christopher; Webster, Andrew; Wei, Wei; Welch, Steven; Wessels, Julie; Westbury, Sarah; Westwood, John-Paul; Whitehorn, Deborah; Whitworth, James; Williamson, Catherine; Wong, Edwin; Wood, Nicholas; Wood, Yvette; Woods, Geoff; Woodward, Emma; Wort, Stephen; Worth, Austen; Yates, Katherine; Yong, Patrick; Young, Tim; Yu, Ping; Yu-Wai-Man, Patrick; Theuer, Alison; Malur, Anagha; Williams, Ann; Dotson, Anne; Warden, Ashley; Harrington, Brandy; Vang, Brenda; Ziemak, Caitlin; Casanova, Nancy; Caskey, Elizabeth; MacDonald, Catherine; Rowley, Courtney; Larimore, Daniel; Brady, Daniela; Tomer, David; Davis, Anne; Broach, Debra; Devereux, Jane; Lovato, Ellen; Stratton, Eric; Turk, Erin; Jackson, Esperanza; Paciotti, Gina; Peichel, Gretchen; Birru, Hellina; del Junco, Holly; Ingledue, Rebecca; Bruno, Jackie; Drake, Jan; Marks, Jennifer; Pisarcik, Jessica; Spears, Jill; Santiago, Joseph; DeMartino, Jordyn; Beckmann, Joy; Palmer, Julia; Visnaw, Karen; Kennedy, Karla; Lewis, Karlise; Miller-Reed, Kathleen; Hannon, Kelly; McClain, Kimberly; Dillon, Laura; Olanipekun, Lekan; Mendibles, Lillian; Hawke, Lindsey; Brody, Linnea; Durst, Louise; Andrews, Mary; Allahua, Melissa; Stratoberdha, Melissa; Lemma, Merte; Cope, Molly; Franzo, Mya; Feliz, Natalia; Hawkes, Nicholas; Norwood, Tracy; Wilson, Opal; Palmisciano, Amy; Gruhlke, Peggy; Correa, Priscilla; Blake, Randy; Karnekar, Reema; Do, Robyn; Rohwer, Kristal; Ahmed, Sara; Schiltz, Kimberly; Scovel, Page; Cordell, Shannon; Heuerman, Sharon; Ahmad, Shazzra; Szuberla, Sylwia; Roads, Tammy; Iem, Thoeun; Mcgaha, Traci; Urban, Tracy; Aston, Valerie; Ayesh, Waleed; Light, Allison; Arkon, Abby; Tavlarides, Andrea; Anderson, Audrey; Bindu, John; Boekwig, Deedre; Singleton, Donna; Abrea, Inna; Lee, Jennifer; Ormiston, Mark; Whitman, Renesa; Holy, Royanne; Almeida-Peters, Sisama; Igenoza, Tosin; Farber, Hap; Reponen, Auvo; Barve, Mukta; Gygi, Amber; Winslow, Clayborne</t>
  </si>
  <si>
    <t>UK NIHR Bioresource Rare Dis Conso; UK PAH Cohort Study Consortium; US PAH Biobank Consortium</t>
  </si>
  <si>
    <t>Genetic determinants of risk in pulmonary arterial hypertension: international genome-wide association studies and meta-analysis</t>
  </si>
  <si>
    <t>ENDODERM FORMATION; SOX17; SUSCEPTIBILITY; DISEASE; ALPHA</t>
  </si>
  <si>
    <t>Background Rare genetic variants cause pulmonary arterial hypertension, but the contribution of common genetic variation to disease risk and natural history is poorly characterised. We tested for genome-wide association for pulmonary arterial hypertension in large international cohorts and assessed the contribution of associated regions to outcomes. Methods We did two separate genome-wide association studies (GWAS) and a meta-analysis of pulmonary arterial hypertension. These GWAS used data from four international case-control studies across 11 744 individuals with European ancestry (including 2085 patients). One GWAS used genotypes from 5895 whole-genome sequences and the other GWAS used genotyping array data from an additional 5849 individuals. Cross-validation of loci reaching genome-wide significance was sought by meta-analysis. Conditional analysis corrected for the most significant variants at each locus was used to resolve signals for multiple associations. We functionally annotated associated variants and tested associations with duration of survival. All-cause mortality was the primary endpoint in survival analyses. Findings A locus near SOX17 (rs10103692, odds ratio 1.80 [95% CI 1.55-2.08], p=5.13 x 10(-15)) and a second locus in HLA-DPA1 and HLA-DPB1 (collectively referred to as HLA-DPA1/DPB1 here; rs2856830, 1.56 [1.42-1.71], p=7.65 x 10(-20)) within the class II MHC region were associated with pulmonary arterial hypertension. The SOX17 locus had two independent signals associated with pulmonary arterial hypertension (rs13266183, 1.36 [1.25-1.48], p=1.69 x 10(-12); and rs10103692). Functional and epigenomic data indicate that the risk variants near SOX17 alter gene regulation via an enhancer active in endothelial cells. Pulmonary arterial hypertension risk variants determined haplotype-specific enhancer activity, and CRISPR-mediated inhibition of the enhancer reduced SOX17 expression. The HLA-DPA1/DPB1 rs2856830 genotype was strongly associated with survival. Median survival from diagnosis in patients with pulmonary arterial hypertension with the C/C homozygous genotype was double (13.50 years [95% CI 12.07 to &gt;13.50]) that of those with the T/T genotype (6.97 years [6.02-8.05]), despite similar baseline disease severity. Interpretation This is the first study to report that common genetic variation at loci in an enhancer near SOX17 and in HLA-DPA1/DPB1 is associated with pulmonary arterial hypertension. Impairment of SOX17 function might be more common in pulmonary arterial hypertension than suggested by rare mutations in SOX17. Further studies are needed to confirm the association between HLA typing or rs2856830 genotyping and survival, and to determine whether HLA typing or rs2856830 genotyping improves risk stratification in clinical practice or trials.</t>
  </si>
  <si>
    <t>[Rhodes, Christopher J.; Aman, Jurjan; Kaakinen, Marika; Ulrich, Anna; Harbaum, Lars; Ghofrani, Hossein-Ardeschir; Wharton, John; Prokopenko, Inga; Wilkins, Martin R.] Imperial Coll London, Ctr Pharmacol &amp; Therapeut, Dept Med, Hammersmith Campus, London, England; [Batai, Ken; Arora, Amit] Univ Arizona, Dept Surg, Div Urol, Coll Med, Tucson, AZ USA; [Bleda, Marta; Haimel, Matthias; Hadinnapola, Charaka; Swietlik, Emilia M.; Newnham, Michael; Toshner, Mark R.; Treacy, Carmen M.; Walsworth, Anna K.; Graf, Stefan; Morrell, Nicholas W.] Univ Cambridge, Dept Med, Cambridge, England; [Haimel, Matthias; Ouwehand, Willem H.; Graf, Stefan] Univ Cambridge, Dept Haematol, Cambridge, England; [Haimel, Matthias; Ouwehand, Willem H.; Graf, Stefan; Morrell, Nicholas W.] NIHR BioResource Rare Dis, Cambridge, England; [Southgate, Laura] St Georges Univ London, Mol &amp; Clin Sci Res Inst, London, England; [Southgate, Laura; Hanscombe, Ken B.; Wort, Stephen J.; Trembath, Richard C.] Kings Coll London, Div Genet &amp; Mol Med, London, England; [Germain, Marine; Eyries, Melanie; Soubrier, Florent; Tregouet, David-Alexandre] UPMC Univ Paris 06, Team Genom &amp; Pathophysiol Cardiovasc Dis, INSERM, Sorbonne Univ,UMR S 1166,ICAN Inst Cardiometab &amp;, Paris, France; [Pauciulo, Michael W.; Lutz, Katie; He, Hua; Martin, Lisa J.; Nichols, William C.] Univ Cincinnati, Coll Med, Dept Pediat, Cincinnati Childrens Hosp Med Ctr,Div Human Genet, Cincinnati, OH USA; [Girerd, Barbara; Montani, David; Sitbon, Olivier; Humbert, Marc] Univ Paris Saclay, Fac Med, Univ Paris Sud, Paris, France; [Girerd, Barbara; Montani, David; Sitbon, Olivier; Humbert, Marc] Hop Bic Tre, AP HP, Ctr Reference Hypertens Pulm, Serv Pneumol, Paris, France; [Girerd, Barbara; Montani, David; Sitbon, Olivier; Humbert, Marc] Hop Marie Lannelongue, INSERM UMR S 999, Paris, France; [Knight, Jo] Univ Lancaster, Data Sci Inst, Lancaster, England; [Karnes, Jason H.] Univ Arizona, Coll Med, Sarver Heart Ctr, Dept Pharm Practice &amp; Sci,Coll Pharm, Tucson, AZ USA; [Karnes, Jason H.] Univ Arizona, Ctr Appl Genet &amp; Genom Med TCAG2M, Coll Med, Tucson, AZ USA; [Gall, Henning; Ghofrani, Hossein-Ardeschir; Seeger, Werner] UGMLC, Giessen, Germany; [Cebola, Ines; Ferrer, Jorge] Imperial Coll London, Dept Med, Sect Epigen &amp; Dis, Hammersmith Campus, London, England; [Ahmad, Ferhaan; Schiltz, Kimberly; Scovel, Page] Univ Iowa, Div Cardiovasc Med, Iowa City, IA USA; [Amouyel, Philippe] Univ Lille, Inst Pasteur Lille, U1167 RID AGE Risk Factors &amp; Mol Determinants Agi, CHU Lille,INSERM, F-59000 Lille, France; [Archer, Stephen L.; Hawke, Lindsey; Ormiston, Mark] Queens Univ, Kingston, ON, Canada; [Argula, Rahul; Warden, Ashley; Rowley, Courtney; Larimore, Daniel; Spears, Jill; DeMartino, Jordyn; Palmer, Julia; Do, Robyn] Med Univ South Carolina, Charleston, SC 29425 USA; [Austin, Eric D.; Arkon, Abby] Vanderbilt Univ Peds, Nasville, TN USA; [Badesch, David; del Junco, Holly; Hannon, Kelly; Szuberla, Sylwia] Univ Colorado Denver, Aurora, CO USA; [Bakshi, Sahil; Jackson, Esperanza; Feliz, Natalia; Anderson, Audrey; Whitman, Renesa] Baylor Res Inst, Plano, TX USA; [Barnett, Christopher; Ziemak, Caitlin; Birru, Hellina; Ahmed, Sara] Medstar Hlth, Washington, DC USA; [Benza, Raymond; Correa, Priscilla] Allegheny Singer Res Inst, 320 E N Ave, Pittsburgh, PA 15212 USA; [Bhatt, Nitin; Drake, Jan; Santiago, Joseph] Ohio State Univ, Columbus, OH 43210 USA; [Bogaard, Harm J.; Houweling, Arjan C.; Noordegraaf, Anton Vonk; Waisfisz, Quinten] Vrije Univ Amsterdam Med Ctr, Amsterdam, Netherlands; [Burger, Charles D.; Stratoberdha, Melissa; Tavlarides, Andrea; Abrea, Inna] Mayo Clin Florida, Jacksonville, FL USA; [Chakinala, Murali; Lovato, Ellen; Heuerman, Sharon] Washington Univ, St Louis, MO USA; [Church, Colin; Ross, Robert V. MacKenzie; Peacock, Andrew J.; Suntharalingam, Jay; Peacock, Andrew] Golden Jubilee Natl Hosp, Glasgow, Lanark, Scotland; [Coghlan, John G.] Royal Free Hosp, London, England; [Condliffe, Robin; Kiely, David G.] Royal Hallamshire Hosp, Sheffield Pulm Vasc Dis Unit, Sheffield, S Yorkshire, England; [Corris, Paul A.] Univ Newcastle, Newcastle, NSW, Australia; [Danesino, Cesare] Univ Pavia, Dept Mol Med, Pavia, Italy; [Danesino, Cesare; Ghio, Stefano; Scelsi, Laura] Fdn IRCCS Policlin San Matteo, Pavia, Italy; [Debette, Stephanie] Univ Bordeaux, Bordeaux Populat Hlth Res Ctr, INSERM UMR S 1219, Bordeaux, France; [Debette, Stephanie] Bordeaux Univ Hosp, Dept Neurol, Bordeaux, France; [Elliott, C. Gregory; Tomer, David; Aston, Valerie; Boekwig, Deedre] Intermt Med Ctr, Dept Med, Murray, UT USA; [Elliott, C. Gregory; Tomer, David; Aston, Valerie; Boekwig, Deedre] Univ Utah, Murray, UT USA; [Elwing, Jean; Williams, Ann; Ingledue, Rebecca; Roads, Tammy] Univ Cincinnati, Cincinnati, OH USA; [Fortin, Terry; Kennedy, Karla; Almeida-Peters, Sisama] Duke Univ, Med Ctr, Durham, NC USA; [Franke, Andre] Univ Kiel, Inst Clin Mol Biol, Kiel, Germany; [Frantz, Robert P.; Durst, Louise; Gruhlke, Peggy; Rohwer, Kristal; Iem, Thoeun] Mayo Clin, Rochester, MN USA; [Frost, Adaani; Lee, Jennifer; Holy, Royanne] Weill Cornell Med Coll, Houston, TX USA; [Frost, Adaani; Lee, Jennifer; Holy, Royanne] Houston Methodist Hosp, Houston, TX USA; [Garcia, Joe G. N.; Tang, Haiyang; Desai, Ankit A.; Casanova, Nancy; MacDonald, Catherine; Mendibles, Lillian; Hawkes, Nicholas] Univ Arizona, Dept Med, Tucson, AZ USA; [Garcia, Joe G. N.; Tang, Haiyang; Desai, Ankit A.; Casanova, Nancy; MacDonald, Catherine; Mendibles, Lillian; Hawkes, Nicholas] Univ Arizona, Arizona Hlth Sci Ctr, Tucson, AZ 85721 USA; [Gibbs, J. Simon R.; Howard, Luke S.] Hammersmith Hosp, Imperial Coll London, Natl Heart &amp; Lung Inst, London, England; [Gibbs, J. Simon R.; Howard, Luke S.] Hammersmith Hosp, Natl Pulm Hypertens Serv, London, England; [Harley, John] Univ Cincinnati, Coll Med, Dept Pediat, Cincinnati Childrens Hosp Med Ctr,CAGE, Cincinnati, OH USA; [Hill, Nicholas S.; Visnaw, Karen] Tufts Med Ctr, Boston, MA 02111 USA; [Hirsch, Russel; Reponen, Auvo; Barve, Mukta; Gygi, Amber; Winslow, Clayborne] Cincinnati Childrens Hosp Med Ctr, Cincinnati, OH 45229 USA; [Ivy, Dunbar; Lewis, Karlise; Miller-Reed, Kathleen; Urban, Tracy] Univ Colorado Denver, Childrens Hosp Colorado, Aurora, CO USA; [Klinger, James; Allahua, Melissa; Palmisciano, Amy] Rhode Isl Hosp, Providence, RI USA; [Kovacs, Gabor; Olschewski, Andrea; Olschewski, Horst] Ludwig Boltzmann Inst Lung Vasc Res, Graz, Austria; [Kovacs, Gabor; Olschewski, Horst] Med Univ Graz, Graz, Austria; [Lahm, Tim; Desai, Ankit A.; Broach, Debra; Turk, Erin; Marks, Jennifer] Indiana Univ, Indianapolis, IN 46204 USA; [Laudes, Matthias] Univ Kiel, Dept Internal Med 1, Kiel, Germany; [Machado, Rajiv D.] St Georges Univ London, Inst Med &amp; Biomed Educ, London, England; [Ross, Robert V. MacKenzie; Suntharalingam, Jay] Royal United Hosp Bath NHS Fdn Trust, Bath, Avon, England; [Marsolo, Keith] Univ Cincinnati, Cincinnati Childrens Hosp Med Ctr, Dept Pediat, Div Biomed Informat,Coll Med, Cincinnati, OH USA; [Moledina, Shahin] Great Ormond St Hosp Sick Children, London, England; [Nathan, Steven D.; Lemma, Merte] Inova Heart &amp; Vasc Inst, Falls Church, VA USA; [Oudiz, Ronald J.; Beckmann, Joy; Blake, Randy; Bindu, John] UCLA, LA Biomed Res Inst Harbor, Torrance, CA USA; [Pepke-Zaba, Joanna; Treacy, Carmen M.] Papworth Hosp, Papworth Everard, England; [Rehman, Zia; Malur, Anagha; Karnekar, Reema] East Carolina Univ, Greenville, NC 27858 USA; [Robbins, Ivan; Cordell, Shannon] Vanderbilt Univ, Med Ctr, Nashville, TN USA; [Roden, Dan M.; Shaffer, Christian M.] Vanderbilt Univ, Dept Med, Sch Med, Nashville, TN USA; [Ghofrani, Hossein-Ardeschir] Vanderbilt Univ, Dept Biomed Informat &amp; Pharmacol, Sch Med, Nashville, TN USA; [Rosenzweig, Erika B.; Brady, Daniela; Devereux, Jane] Columbia Univ, New York, NY USA; [Saydain, Ghulam; Ahmad, Shazzra; Ayesh, Waleed] Wayne State Univ, Detroit, MI USA; [Schilz, Robert; Andrews, Mary] Univ Hosp Cleveland, Cleveland, OH 44106 USA; [Simms, Robert W.; Stratton, Eric; Farber, Hap] Boston Univ, Sch Med, Boston, MA 02118 USA; [Simon, Marc; Pisarcik, Jessica; Mcgaha, Traci] Univ Pittsburgh, Pittsburgh, PA USA; [Tchourbanov, Alexander Y.] Ambry Genet, Dept Clin Genom, Aliso Viejo, CA USA; [Thenappan, Thenappan; Harrington, Brandy; Vang, Brenda; Paciotti, Gina; Peichel, Gretchen; Dillon, Laura] Univ Minnesota, Minneapolis, MN USA; [Torres, Fernando; Olanipekun, Lekan; Igenoza, Tosin] UT Southwestern, Dallas, TX USA; [Walter, Robert E.; Caskey, Elizabeth; Norwood, Tracy; Wilson, Opal; Singleton, Donna] LSU Hlth, Shreveport, LA USA; [White, R. James; Theuer, Alison; Bruno, Jackie; Light, Allison] Univ Rochester, Med Ctr, Rochester, NY 14642 USA; [Wilt, Jeffrey; Dotson, Anne; McClain, Kimberly; Cope, Molly; Franzo, Mya] Spectrum Hlth Hosp, Grand Rapids, MI USA; [Wort, Stephen J.] Royal Brompton Hosp, London, England; [Yung, Delphine; Davis, Anne; Brody, Linnea] Seattle Childrens Hosp, Seattle, WA USA; [Lawrie, Allan] Univ Sheffield, Dept Infect Immun &amp; Cardiovasc Dis, Sheffield, S Yorkshire, England; [Kittles, Richard] City Hope Natl Med Ctr, Div Hlth Equ, Dept Populat Sci, Duarte, CA USA; [Trembath, Richard C.] Guys Hosp, Dept Clin Genet, London, England; [Harley, John] US Dept Vet Affairs, Med Ctr, Cincinnati, OH USA; [Tang, Haiyang] Guangzhou Med Univ, Guangzhou Inst Resp Hlth, State Key Lab Resp Dis, Affiliated Hosp 1, China 510182, Guangdong, Peoples R China; [Ashford, Sofie; Astle, William; Attwood, Anthony; Bradley, John; Brown, Matthew; Carss, Keren; Chinnery, Patrick F.; Brod, Naomi Clements; Crisp-Hihn, Abigail; Daugherty, Louise; Davis, John; Deevi, Sri V. V.; Dewhurst, Eleanor; Downes, Kate; Edwards, Karen; Erwood, Marie; Fletcher, Debra; Fox, James; Frary, Amy; Frontini, Mattia; Grassi, Luigi; Greene, Daniel; Hu, Fengyuan; James, Roger; Jolley, Jennifer; Kingston, Nathalie; Kostadima, Myrto; Kreuzhuber, Roman; Allen, Hana Lango; Linger, Rachel; Mapeta, Rutendo; Martin, Jennifer; Meacham, Stuart; Megy, Karyn; Morrell, Nicholas; Ouwehand, Willem; Papadia, Sofia; Penkett, Christopher; Petersen, Romina; Raymond, F. Lucy; Rayner-Matthews, Paula; Sanchis-Juan, Alba; Seyres, Denis; Sharmardina, Olga; Simeoni, Ilenia; Staines, Simon; Stark, Hannah; Stephens, Jonathan; Stirrups, Kathleen; Stock, Sophie; Titterton, Catherine; Tuna, Salih; Turro, Ernest; Von Ziegenweidt, Julie; Watt, Christopher; Whitehorn, Deborah; Wood, Yvette; Yates, Katherine; Young, Tim; Yu, Ping] Cambridge Univ Hosp NHS Fdn, NIHR BioResource, Cambridge Biomed Campus, Cambridge, England; [Adlard, Julian] Chapel Allerton Hosp, Leeds Teaching Hosp NHS Trust, Leeds, W Yorkshire, England; [Ahmed, Munaza; Kumar, Ajith; Side, Lucy] Great Ormond St Hosp Children NHS Fdn Trust, North East Thames Reg Genet Serv, London, England; [Aitman, Tim] Imperial Coll London, Fac Med, MRC Clin Sci Ctr, London, England; [Aitman, Tim; Parry, David] Univ Edinburgh, Inst Genet &amp; Mol Med, Edinburgh, Midlothian, Scotland; [Alachkar, Hana; Gosal, David] Salford Royal NHS Fdn Trust, Salford, Lancs, England; [Allsup, David] Castle Hill Hosp, Hull &amp; East Yorkshire NHS Trust, Queens Ctr Haematol &amp; Oncol, Cottingham, England; [Almeida-King, Jeff] European Bioinformat Inst EMBL EBI, European Mol Biol Lab, Wellcome Genome Campus, Cambridge, England; [Ancliff, Philip; Marks, Stephen; Rao, Anupama; Thrasher, Adrian; Walker, Suellen; Worth, Austen] Great Ormond St Hosp Children NHS Fdn Trust, London, England; [Antrobus, Richard; Richter, Alex] Univ Hosp Birmingham NHS Fdn Trust, Birmingham, W Midlands, England; [Armstrong, Ruth; Casey, Ruth; Grozeva, Detelina; Maher, Eamonn; Paterson, Joan; Raymond, F. Lucy; Whitworth, James; Woods, Geoff] Univ Cambridge, Cambridge Inst Med Res, Dept Med Genet, Cambridge Biomed Campus, Cambridge, England; [Armstrong, Ruth; Casey, Ruth; Park, Soo-Mi; Paterson, Joan; Whitworth, James] Canc Res UK Cambridge Ctr, Cambridge Biomed Campus, Cambridge, England; [Armstrong, Ruth; Casey, Ruth; Park, Soo-Mi; Paterson, Joan; Whitworth, James] NIHR Cambridge Biomed Res Ctr, Cambridge Biomed Campus, Cambridge, England; [Arno, Gavin; Jurkute, Neringa; Michaelides, Michel; Moore, Tony; Webster, Andrew] Moorfields Eye Hosp NHS Fdn Trust, London, England; [Arno, Gavin; Moore, Tony; Webster, Andrew] UCL, UCL Inst Ophthalmol, London, England; [Ashford, Sofie; Astle, William; Attwood, Anthony; Brown, Matthew; Carss, Keren; Brod, Naomi Clements; Crisp-Hihn, Abigail; Daugherty, Louise; Davis, John; Deevi, Sri V. V.; Dewhurst, Eleanor; Downes, Kate; Edwards, Karen; Erwood, Marie; Fletcher, Debra; Fox, James; Frary, Amy; Frontini, Mattia; Grassi, Luigi; Greene, Daniel; Hu, Fengyuan; James, Roger; Jolley, Jennifer; Kostadima, Myrto; Kreuzhuber, Roman; Allen, Hana Lango; Linger, Rachel; Mapeta, Rutendo; Martin, Jennifer; Meacham, Stuart; Megy, Karyn; Ouwehand, Willem; Papadia, Sofia; Penkett, Christopher; Petersen, Romina; Rayner-Matthews, Paula; Sanchis-Juan, Alba; Seyres, Denis; Sharmardina, Olga; Simeoni, Ilenia; Staines, Simon; Stark, Hannah; Stephens, Jonathan; Stirrups, Kathleen; Stock, Sophie; Titterton, Catherine; Tuna, Salih; Turro, Ernest; Von Ziegenweidt, Julie; Watt, Christopher; Whitehorn, Deborah; Wood, Yvette; Yates, Katherine; Young, Tim; Yu, Ping] Univ Cambridge, Dept Haematol, Cambridge Biomed Campus, Cambridge, England; [Astle, William; Greene, Daniel; Richardson, Sylvia; Turro, Ernest] Univ Cambridge, Cambridge Inst Publ Hlth, MRC Biostat Unit, Cambridge, England; [Babbs, Chris; Louka, Eleni; Okoli, Steven; Roberts, Irene; Roy, Noemi] Univ Oxford, Weatherall Inst Mol Med, MRC Mol Haematol Unit, Oxford, England; [Babbs, Chris; Louka, Eleni; McCarthy, Mark; Okoli, Steven; Roberts, Irene; Roy, Noemi] Oxford Univ Hosp Trust, NIHR Oxford Biomed Res Ctr, Oxford, England; [Bakchoul, Tamam] Univ Hosp Tubingen, Ctr Clin Transfus Med, Tubingen, Germany; [Bariana, Tadbir; Gomez, Keith] Royal Free London NHS Fdn Trust, Katharine Dormandy Haemophilia Ctr, London, England; [Bariana, Tadbir; Gomez, Keith] Royal Free London NHS Fdn Trust, Thrombosis Unit, London, England; [Bariana, Tadbir; Gomez, Keith; Jurkute, Neringa; Matthews, Emma] UCL, London, England; [Barwell, Julian] Univ Hosp Leicester, Leicester Royal Infirm, Dept Clin Genet, Leicester, Leics, England; [Barwell, Julian] Univ Leicester, Leicester, Leics, England; [Bennett, David; Themistocleous, Andreas; Vale, Tom; Van Zuydam, Natalie] Univ Oxford, John Radcliffe Hosp, Nuffield Dept Clin Neurosci, Oxford, England; [Bentley, David; Bourne, Christian; Colombo, Camilla; Geoghegan, Claire; Gerighty, Terry; Grocock, Russell; Hughes, Joseph; Humphray, Sean; Hunter, Sarah; Peden, John; Rees, Christine] Illumina Ltd, Chesterford Res Pk, Saffron Walden, Nr Saffron Wald, England; [Bierzynska, Agnieszka; Colby, Elizabeth; Saleem, Moin; Satchell, Simon] Univ Bristol, Bristol Renal, Bristol, Avon, England; [Biss, Tina; Talks, Kate] Newcastle Tyne Hosp NHS Fdn Trust, Royal Victoria Infirm, Haematol Dept, Newcastle Upon Tyne, Tyne &amp; Wear, England; [Burren, Oliver; Martin, Jennifer; Morrell, Nicholas; Smith, Kenneth G. C.; Staples, Emily; Swietlik, Emilia; Thaventhiran, James; Toshner, Mark; Treacy, Carmen; Yates, Katherine] Univ Cambridge, Sch Clin Med, Dept Med, Cambridge Biomed Campus, Cambridge, England; [Bogaard, Harm; Houweling, Arjan; Waisfisz, Quintin] Vrije Univ Amsterdam Med Ctr, Dept Pulm Med, Amsterdam, Netherlands; [Boyce, Sara; Kazmi, Rashid] Univ Hosp Southampton NHS Fdn Trust, Southampton Gen Hosp, Southampton, Hants, England; [Breen, Gerome] Kings Coll London, Genet &amp; Dev Psychiat Ctr, Inst Psychiat, London, England; [Breen, Gerome] Maudsley Hosp &amp; Inst Psychiat, NIHR Biomed Res Ctr Mental Hlth, London, England; [Brennan, Paul] Newcastle Univ, Newcastle Upon Tyne, Tyne &amp; Wear, England; [Brennan, Paul] Newcastle Tyne Hosp NHS Fdn Trust, Newcastle Upon Tyne, Tyne &amp; Wear, England; [Brewer, Carole] Royal Devon &amp; Exeter Hosp, Royal Devon &amp; Exeter NHS Fdn Trust, Dept Clin Genet, Exeter, Devon, England; [Browning, Michael] Leicester Royal Infirm, Dept Immunol, Leicester, Leics, England; [Buchan, Rachel; Cook, Stuart; Gibbs, Simon; Harper, Andrew; Howard, Luke; Ware, James] Royal Brompton Hosp, Imperial Coll London, Natl Heart &amp; Lung Inst, London, England; [Buchan, Rachel; Kelleher, Peter; Ware, James; Wort, Stephen] Royal Brompton Hosp, Royal Brompton &amp; Harefield NHS Fdn Trust, London, England; [Buckland, Matthew; Burns, Siobhan; Coghlan, Gerry] Royal Free London NHS Fdn Trust, London, England; [Bueser, Teofila; Trembath, Richard; Wort, Stephen] Kings Coll London, London, England; [Bueser, Teofila; Carr-White, Gerald] Guys &amp; St Thomas Hosp, Guys &amp; St Thomas NHS Fdn Trust, London, England; [Bueser, Teofila; Renton, Tara] Kings Coll Hosp NHS Fdn Trust, London, England; [Calleja, Paul; Klima, Robert; Rankin, Stuart; Turek, Wojciech] Univ Cambridge, High Performance Comp Serv, Cambridge, England; [Caulfield, Mark; Rendon, Augusto; Smith, Katherine] Genom England Ltd, London, England; [Chambers, John] Imperial Coll London, Epidemiol &amp; Biostat, London, England; [Chambers, John] Imperial Coll Healthcare NHS Trust, London, England; [Chambers, Jennifer; Dixon, Peter; Williamson, Catherine] Kings Coll London, Div Womens Hlth, London, England; [Chambers, Jennifer; Cheng, Floria; Vazquez-Lopez, Marta] Hammersmith Hosp, Imperial Coll Healthcare NHS Trust, Fac Med, Womens Hlth Res Ctr, London, England; [Chinnery, Patrick F.; Wei, Wei; Yu-Wai-Man, Patrick] Univ Cambridge, Sch Clin Med, Dept Clin Neurosci, Cambridge Biomed Campus, Cambridge, England; [Chinnery, Patrick F.] Med Res Council Mitochondrial Biol Unit, Cambridge Biomed Campus, Cambridge, England; [Christian, Martin] Nottingham Univ Hosp NHS Trust, Nottingham Childrens Hosp, Childrens Renal &amp; Urol Unit, Nottingham, England; [Cole, Trevor; Hoffmann, Jonathan; Ong, Kai Ren] Birmingham Womens &amp; Childrens NHS Fdn Trust, West Midlands Reg Genet Serv, Birmingham, W Midlands, England; [Collins, Janine; Hart, Daniel; Sivapalaratnam, Suthesh] Royal London Hosp, Barts Hlth NHS Fdn Trust, London, England; [Collins, Peter; Obaji, Samya] Univ Hosp Wales, Arthur Bloom Haemophilia Ctr, Cardiff, S Glam, Wales; [Oudiz, Ronald J.; Kiely, David] Royal Hallamshire Hosp NHS Fdn Trust, Sheffield Pulm Vasc Dis Unit, Sheffield, S Yorkshire, England; [Cook, Stuart; Ware, James] Imperial Coll London, MRC London Inst Med Sci, London, England; [Cook, Stuart] Natl Heart Ctr Singapore, Natl Heart Res Inst Singapore, Singapore, Singapore; [Cook, Stuart] Duke Natl Univ Singapore, Div Cardiovasc &amp; Metab Disorders, Singapore, Singapore; [Cook, Terry] Hammersmith Hosp, Imperial Coll Renal &amp; Transplant Ctr, Imperial Coll Healthcare NHS Trust, London, England; [Cooper, Nichola] Imperial Coll London, Dept Med, London, England; [Corris, Paul] Newcastle Tyne Hosp NHS Fdn Trust, Natl Pulm Hypertens Serv Newcastle, Newcastle Upon Tyne, Tyne &amp; Wear, England; [Corris, Paul; Harris, Claire; Marchbank, Kevin; McAlinden, Paul] Newcastle Univ, Fac Med Sci, Inst Cellular Med, Newcastle Upon Tyne, Tyne &amp; Wear, England; [Curry, Nicola; Shapiro, Susie] Oxford Univ Hosp NHS Trust, Churchill Hosp, Oxford Haemophilia &amp; Thrombosis Ctr, Oxford, England; [Simms, Robert W.] Univ Pavia, Dept Mol Med, Med Genet Unit, Gen Biol, Pavia, Italy; [Daniels, Matthew; Harper, Andrew; Ormondroyd, Elizabeth; Thomson, Kate; Watkins, Hugh] Univ Oxford, Dept Cardiovasc Med, Radcliffe Dept Med, Oxford, England; [Daniels, Matthew; Dent, Timothy; Ormondroyd, Elizabeth; Thomson, Kate; Watkins, Hugh] Oxford Univ Hosp NHS Fdn Trust, Oxford, England; [Drazyk, Anna; Markus, Hugh S.; Tan, Rhea; Traylor, Matthew] Univ Cambridge, Dept Clin Neurosci, Stroke Res Grp, Cambridge Biomed Campus, Cambridge, England; [Drewe, Elizabeth; Hall, Matthew] Nottingham Univ Hosp NHS Trust, Nottingham, England; [Dutt, Tina; Toh, Cheng-Hock] Royal Liverpool Hosp, Roald Dahl Haemostasis &amp; Thrombosis Ctr, Liverpool, Merseyside, England; [Edgar, David] Royal Victoria Hosp, Reg Immunol Serv, Kelvin Bldg, Belfast, Antrim, North Ireland; [Egner, William; Sargur, Ravishankar] Sheffield Teaching Hosp NHS Fdn Trust, Sheffield, S Yorkshire, England; [Erber, Wendy] Univ Western Australia, Pathol &amp; Lab Med, Crawley, Australia; [Estiu, Maria C.] Ramon Sarda Mothers &amp; Childrens Hosp, Buenos Aires, DF, Argentina; [Evans, Gillian; Roughley, Catherine] East Kent Hosp Univ Fdn Trust, Kent &amp; Canterbury Hosp, Haemophilia Ctr, Canterbury, Kent, England; [Evans, Dafydd Gareth; Lalloo, Fiona; Woodward, Emma] St Marys Hosp, Manchester Ctr Genom Med, Manchester, Lancs, England; [Everington, Tamara] Salisbury Dist Hosp, Salisbury NHS Fdn Trust, Salisbury, Wilts, England; [Eyries, Mlanie] Hop La Pitie Salpetriere, Dept Genet, Paris, France; [Favier, Remi] Hop Enfants Armand Trousseau, Serv Hematol Biol, Paris, France; [Favier, Remi] INSERM U1170, Villejuif, France; [Favier, Remi] Hop Armand Trousseau, AP HP, Dept Hematol, Paris, France; [French, Courtney] Univ Cambridge, Sch Clin Med, Dept Paediat, Cambridge Biomed Campus, Cambridge, England; [Freson, Kathleen; Peerlinck, Kathelijne; Thys, Chantal; Van Geet, Chris] Univ Leuven, Ctr Mol &amp; Vasc Biol, Dept Cardiovasc Sci, Leuven, Belgium; [Gale, Daniel; Levine, Adam; Mozere, Monika; Sadeghi-Alavijeh, Omid] UCL, UCL Ctr Nephrol, London, England; [Ghio, Stefano] Fdn IRCCS Policlin S Matteo, Div Cardiol, Pavia, Italy; [Gilmour, Kimberley; Maimaris, Jesmeen] UCL Great Ormond St Inst Child Hlth, London, England; [Girerd, Barbara] Univ Paris Sud, Le Kremlin Bicetre, France; [Girerd, Barbara] Hop Bicetre, Serv Pneumol, DHU Thorax Innovat, Le Kremlin Bicetre, France; [Girerd, Barbara] Ctr Chirurg Marie Lannelongue, LabEx LERMIT, INSERM U999, Le Plessis Robinson, France; [Goddard, Sarah; Wessels, Julie] Univ Hosp North Midlands NHS Trust, Stoke On Trent, Staffs, England; [Gordins, Pavels] Hull &amp; East Yorkshire Hosp NHS Trust, Hull Royal Infirm, East Yorkshire Reg Adult Immunol &amp; Allergy Unit, Kingston Upon Hull, N Humberside, England; [Greenhalgh, Lynn; Hanson, Helen] Liverpool Womens NHS Fdn, Dept Clin Genet, Liverpool, Merseyside, England; [Greinacher, Andreas] Univ Greifswald, Inst Immunol &amp; Transfus Med, Greifswald, Germany; [Gresele, Paolo] Univ Perugia, Sect Internal &amp; Cardiovasc Med, Perugia, Italy; [Griffiths, Philip] Newcastle Univ, Inst Genet Med, Mitochondrial Res Grp, Newcastle Upon Tyne, Tyne &amp; Wear, England; [Griffiths, Philip; Wong, Edwin] Newcastle Univ, Inst Genet Med, Newcastle Upon Tyne, Tyne &amp; Wear, England; [Grigoriadou, Sofia; Longhurst, Hilary] Barts Hlth NHS Fdn Trust, London, England; [Hackett, Scott; Huissoon, Aarnoud; Welch, Steven] Birmingham Heartlands Hosp, Heart England NHS Fdn Trust, Birmingham, W Midlands, England; [Hague, William] Univ Adelaide, Womens &amp; Childrens Hosp, ARCH Australian Res Ctr Hlth Women &amp; Babies, Robinson Res Inst, Adelaide, SA, Australia; [Harkness, Kirsty] Sheffield Teaching Hosp NHS Fdn Trust, Dept Neurol, Sheffield, S Yorkshire, England; [Harper, Andrew; McCarthy, Mark; Watkins, Hugh] Univ Oxford, Wellcome Trust Ctr Human Genet, Oxford, England; [Hassan, Ahamad] Leeds Teaching Hosp NHS Trust, Dept Neurol, Leeds, W Yorkshire, England; [Hayman, Grant] Epsom &amp; St Helier Univ Hosp NHS Trust, London, England; [Henderson, Alex] Newcastle Tyne Hosp NHS Fdn Trust, Int Ctr Life, Northern Genet Serv, Newcastle Upon Tyne, Tyne &amp; Wear, England; [Horvath, Rita; Hudson, Gavin; Pyle, Angela] Newcastle Univ, Wellcome Ctr Mitochondrial Res, Inst Genet Med, Newcastle Upon Tyne, Tyne &amp; Wear, England; [Horvath, Rita] Newcastle Univ, John Walton Muscular Dystrophy Res Ctr, Inst Genet Med, Newcastle Upon Tyne, Tyne &amp; Wear, England; [Hurles, Matthew] Wellcome Trust Sanger Inst, Cambridge, England; [Izatt, Louise] Guys &amp; St Thomas NHS Fdn Trust, Dept Clin Genet, London, England; [Johnson, Sally] Great North Childrens Hosp, Newcastle Tyne Hosp NHS Fdn Trust, Dept Paediat Nephrol, Newcastle Upon Tyne, Tyne &amp; Wear, England; [Jolles, Stephen] Univ Hosp Wales, Cardiff, S Glam, Wales; [Jolles, Stephen] Cardiff &amp; Vale Univ LHB, Cardiff, S Glam, Wales; [Kasanicki, Mary; Kumararatne, Dinakantha; Woods, Geoff] Cambridge Univ Hosp NHS Fdn Trust, Addenbrookes Hosp, Cambridge, England; [Kazkaz, Hanadi; Scully, Marie; Westwood, John-Paul] Univ Coll London Hosp NHS Fdn Trust, London, England; [Kovacs, Gabor] Med Univ Graz, Dept Internal Med, Div Pulmonol, Graz, Austria; [Koziell, Ania] Kings Coll London, Fac Life Sci &amp; Med, Dept Expt Immunobiol, Div Transplantat Immunol &amp; Mucosal Biol, London, England; [Koziell, Ania] Evelina London Childrens Hosp, Guys &amp; St Thomas NHS Fdn Trust, Dept Paediat Nephrol, London, England; [Kuijpers, Taco] Univ Amsterdam, Emma Childrens Hosp, AMC, Dept Pediat Hematol Rheumatol &amp; Infect Dis, Amsterdam, Netherlands; [Kuijpers, Taco] Univ Amsterdam, AMC, Dept Clin Genet, Amsterdam, Netherlands; [Kurian, Manju] UCL Great Ormond St Inst Child Hlth, Mol Neurosci, Dev Neurosci, London, England; [Kurian, Manju] Great Ormond St Hosp Children NHS Fdn Trust, Dept Neurol, London, England; [Laffan, Michael; Layton, Mark; Lentaigne, Claire; Millar, Carolyn] Hammersmith Hosp, Imperial Coll Healthcare NHS Trust, Dept Haematol, London, England; [Laffan, Michael; Lentaigne, Claire; Millar, Carolyn] Imperial Coll London, Dept Haematol, London, England; [Lambert, Michele] Childrens Hosp Philadelphia, Div Hematol, Philadelphia, PA 19104 USA; [Lambert, Michele] Univ Penn, Dept Pediat, Perelman Sch Med, Philadelphia, PA USA; [Ross, Robert MacKenzie] Royal United Hosp Bath NHS Fdn Trust, London, England; [Madan, Bella; O'Sullivan, Jennifer] Guys &amp; St Thomas NHS Fdn Trust, Dept Haematol, London, England; [Maher, Eamonn] Cambridge NIHR Biomed Res Ctr, Cambridge Biomed Campus, Cambridge, England; [Mangles, Sarah] Hampshire Hosp NHS Fdn Trust, Haemophilia Haemostasis &amp; Thrombosis Ctr, Basingstoke, Hants, England; [Marschall, Hanns-Ulrich] Univ Gothenburg, Sahlgrenska Acad, Dept Mol &amp; Clin Med, Wallenberg Lab, Gothenburg, Sweden; [Marshall, Andrew] Univ Manchester, Fac Med &amp; Human Sci, Ctr Endocrinol &amp; Diabet, Inst Human Dev, Manchester, Lancs, England; [Marshall, Andrew] Cent Manchester Univ Hosp Natl Hlth Ser Fdn Trust, Manchester Royal Infirm, Manchester Acad Hlth Sci Ctr, Dept Clin Neurophysiol, Manchester, Lancs, England; [Marshall, Andrew] Natl Inst Hlth Res Wellcome Trust Clin Res Facil, Manchester, Lancs, England; [Mathias, Mary; Sibson, Keith] Great Ormond St Hosp Children NHS Fdn Trust, Dept Haematol, London, England; [Matthews, Emma] Univ Coll London Hosp NHS Fdn Trust, Natl Hosp Neurol &amp; Neurosurg, London, England; [Maxwell, Heather] Royal Hosp Children, NHS Greater Glasgow &amp; Clyde, Glasgow, Lanark, Scotland; [McCarthy, Mark] Univ Oxford, Churchill Hosp, Oxford Ctr Diabet, Oxford, England; [Mead, Adam] Hammersmith Hosp, Imperial Coll Healthcare NHS Trust, Ctr Haematol, Dept Med, London, England; [Mehta, Sarju] Cambridge Univ Hosp NHS Fdn Trust, Addenbrookes Hosp, Dept Clin Genet, Cambridge, England; [Mehta, Sarju] MPGN C3 Glomerulopathy Rare Renal Dis Grp, London, England; [Muir, Keith] Univ Glasgow, Inst Neurosci &amp; Psychol, Glasgow, Lanark, Scotland; [Mumford, Andrew; Westbury, Sarah] Univ Bristol, Sch Cellular &amp; Mol Med, Bristol, Avon, England; [Mumford, Andrew; Westbury, Sarah] Univ Hosp Bristol NHS Fdn Trust, Bristol, Avon, England; [Park, Soo-Mi] Cambridge Univ Hosp NHS Fdn Trust, East Anglian Reg Genet Serv, Cambridge, England; [Treacy, Carmen] Royal Papworth Hosp NHS Fdn Trust, Cambridge, England; [Rice, Andrew] Imperial Coll London, Fac Med, Dept Surg &amp; Canc, London, England; [Rice, Andrew] Chelsea &amp; Westminster Hosp NHS Fdn Trust, London, England; [Roberts, Irene; Roy, Noemi] Univ Oxford, Weatherall Inst Mol Med, Dept Paediat, Oxford, England; [Samani, Nilesh] Univ Leicester, Dept Cardiovasc Sci &amp; NIHR Leicester Cardiovasc B, Leicester, Leics, England; [Savic, Sinisa] Leeds Teaching Hosp NHS Trust, Leeds, W Yorkshire, England; [Schulman, Sol] Beth Israel Deaconess Med Ctr, Boston, MA 02215 USA; [Schulman, Sol] Harvard Med Sch, Boston, MA 02215 USA; [Searle, Claire] Nottingham Univ Hosp NHS Trust, Dept Clin Genet, Nottingham, England; [Sewell, Carrock] Scunthorpe Gen Hosp, Northern Lincolnshire &amp; Goole NHS Fdn Trust, Scunthorpe, England; [Shtoyerman, Rakefet] Kaplan Med Ctr, Clin Genet Inst, Rehovot, Israel; [Simpson, Michael] Kings Coll London, Genet &amp; Mol Med, London, England; [Skytte, Anne-Bine] Aarhus Univ Hosp, Aarhus, Denmark; [Smith, Kenneth G. C.] Univ Cambridge, Cambridge Inst Med Res, Cambridge Biomed Campus, Cambridge, England; [Snape, Katie] St Georges Univ Hosp NHS Fdn Trust, Dept Clin Genet, London, England; [Tait, R. Campbell] Glasgow Royal Infirm, NHS Greater Glasgow &amp; Clyde, Glasgow, Lanark, Scotland; [Thomas, Moira] Gartnavel Royal Hosp, NHS Greater Glasgow &amp; Clyde, Glasgow, Lanark, Scotland; [Tischkowitz, Marc] Cambridge Univ Hosp NHS Fdn Trust, Addenbrookes Hosp, Addenbrookes Treatment Ctr, Cambridge, England; [Williamson, Catherine] Hammersmith Hosp, Imperial Coll Healthcare NHS Trust, Inst Reprod &amp; Dev Biol, London, England; [Wood, Nicholas] UCL Inst Neurol, Dept Mol Neurosci, London, England; [Wood, Nicholas] UCL Genet Inst, London, England; [Yong, Patrick] Frimley Pk Hosp, NHS Frimley Hlth Fdn Trust, Camberley, England</t>
  </si>
  <si>
    <t>Imperial College London; University of Arizona; University of Cambridge; University of Cambridge; City St Georges, University of London; St Georges University London; University of London; King's College London; Institut National de la Sante et de la Recherche Medicale (Inserm); Sorbonne Universite; University System of Ohio; University of Cincinnati; Cincinnati Children's Hospital Medical Center; Universite Paris Saclay; Assistance Publique Hopitaux Paris (APHP); Hopital Universitaire Bicetre - APHP; Institut National de la Sante et de la Recherche Medicale (Inserm); Hopital Marie Lannelongue; Lancaster University; University of Arizona; University of Arizona; Imperial College London; University of Iowa; Pasteur Network; Universite de Lille; Institut Pasteur Lille; CHU Lille; Institut National de la Sante et de la Recherche Medicale (Inserm); Queens University - Canada; Medical University of South Carolina; University of Colorado System; University of Colorado Anschutz Medical Campus; Children's Hospital Colorado; Baylor University Medical Center; Baylor Scott &amp; White Health; University System of Ohio; Ohio State University; Vrije Universiteit Amsterdam; VU UNIVERSITY MEDICAL CENTER; Mayo Clinic; Washington University (WUSTL); Golden Jubilee Hospital; University of London; University College London; Royal Free London NHS Foundation Trust; UCL Medical School; University of Sheffield; University of Newcastle; University of Pavia; IRCCS Fondazione San Matteo; Institut National de la Sante et de la Recherche Medicale (Inserm); Universite de Bordeaux; CHU Bordeaux; Intermountain Healthcare; Intermountain Medical Center; Utah System of Higher Education; University of Utah; University System of Ohio; University of Cincinnati; Duke University; University of Kiel; Mayo Clinic; Cornell University; Houston Methodist; University of Arizona; University of Arizona; University of Arizona Health Sciences; Imperial College London; Imperial College London; University System of Ohio; University of Cincinnati; Cincinnati Children's Hospital Medical Center; Tufts Medical Center; Cincinnati Children's Hospital Medical Center; Children's Hospital Colorado; University of Colorado System; University of Colorado Anschutz Medical Campus; Lifespan Health Rhode Island; Rhode Island Hospital; Ludwig Boltzmann Institute; Ludwig Boltzmann Institute for Lung Vascular Research; Medical University of Graz; Indiana University System; Indiana University Indianapolis; University of Kiel; City St Georges, University of London; St Georges University London; Cincinnati Children's Hospital Medical Center; University System of Ohio; University of Cincinnati; University of London; University College London; Great Ormond Street Hospital for Children NHS Foundation Trust; Inova Fairfax Hospital; University of California System; University of California Los Angeles; University of California Los Angeles Medical Center; Papworth Hospital; University of North Carolina; East Carolina University; Vanderbilt University; Vanderbilt University; Vanderbilt University; Columbia University; Wayne State University; University Hospitals of Cleveland; Boston University; Pennsylvania Commonwealth System of Higher Education (PCSHE); University of Pittsburgh; University of Minnesota System; University of Minnesota Twin Cities; University of Texas System; University of Texas Southwestern Medical Center Dallas; Louisiana State University System; Louisiana State University Health Sciences Center at Shreveport; University of Rochester; Royal Brompton Hospital; Seattle Children's Hospital; University of Sheffield; City of Hope; Guy's &amp; St Thomas' NHS Foundation Trust; US Department of Veterans Affairs; Veterans Health Administration (VHA); Cincinnati VA Medical Center; Guangzhou Medical University; University of Leeds; Chapel Allerton Hospital; University of London; University College London; Great Ormond Street Hospital for Children NHS Foundation Trust; Imperial College London; University of Edinburgh; Salford Royal NHS Foundation Trust; University of Hull; European Molecular Biology Laboratory (EMBL); European Bioinformatics Institute; University of London; University College London; Great Ormond Street Hospital for Children NHS Foundation Trust; University of Birmingham; University of Cambridge; CRUK Cambridge Institute; Cancer Research UK; University of Cambridge; University of London; University College London; Moorfields Eye Hospital NHS Foundation Trust; University of London; University College London; University of Cambridge; University of Cambridge; MRC Biostatistics Unit; University of Oxford; University of Oxford; Oxford University Hospitals NHS Foundation Trust; Eberhard Karls University of Tubingen; Eberhard Karls University Hospital; University of London; University College London; Royal Free London NHS Foundation Trust; University of London; University College London; Royal Free London NHS Foundation Trust; University of London; University College London; University of Leicester; University Hospitals of Leicester NHS Trust; University of Leicester; University of Oxford; Illumina; University of Bristol; Newcastle University - UK; Newcastle Upon Tyne Hospitals NHS Foundation Trust; University of Cambridge; Vrije Universiteit Amsterdam; VU UNIVERSITY MEDICAL CENTER; University of Southampton; University Hospital Southampton NHS Foundation Trust; University of London; King's College London; South London &amp; Maudsley NHS Trust; Maudsley Hospital; University of London; King's College London; Newcastle University - UK; Newcastle Upon Tyne Hospitals NHS Foundation Trust; University of Exeter; University of Leicester; Royal Brompton Hospital; Imperial College London; Royal Brompton &amp; Harefield NHS Foundation Trust; Royal Brompton Hospital; University of London; University College London; Royal Free London NHS Foundation Trust; University of London; King's College London; Guy's &amp; St Thomas' NHS Foundation Trust; King's College Hospital NHS Foundation Trust; University of Cambridge; Imperial College London; Imperial College London; University of London; King's College London; Imperial College London; University of Cambridge; UK Research &amp; Innovation (UKRI); Medical Research Council UK (MRC); Nottingham University Hospital NHS Trust; Barts Health NHS Trust; Royal London Hospital; Cardiff University; Imperial College London; National Heart Centre Singapore; National University of Singapore; Imperial College London; Imperial College London; Newcastle Upon Tyne Hospitals NHS Foundation Trust; Oxford University Hospitals NHS Foundation Trust; University of Oxford; University of Pavia; University of Oxford; Oxford University Hospitals NHS Foundation Trust; University of Cambridge; Nottingham University Hospital NHS Trust; Royal Liverpool &amp; Broadgreen University Hospitals NHS Trust; Royal Liverpool University Hospital; University of Sheffield; University of Western Australia; University of Kent; University of Manchester; Salisbury District Hospital; Assistance Publique Hopitaux Paris (APHP); Hopital Universitaire Pitie-Salpetriere - APHP; Sorbonne Universite; Assistance Publique Hopitaux Paris (APHP); Sorbonne Universite; Hopital Universitaire Armand-Trousseau - APHP; Institut National de la Sante et de la Recherche Medicale (Inserm); Universite Paris Saclay; Assistance Publique Hopitaux Paris (APHP); Sorbonne Universite; Hopital Universitaire Armand-Trousseau - APHP; University of Cambridge; KU Leuven; University of London; University College London; IRCCS Fondazione San Matteo; University of London; University College London; Universite Paris Saclay; Universite Paris Saclay; Assistance Publique Hopitaux Paris (APHP); Hopital Universitaire Bicetre - APHP; Hopital Universitaire Antoine-Beclere - APHP; Hopital Marie Lannelongue; Institut National de la Sante et de la Recherche Medicale (Inserm); Universite Paris Saclay; University of Hull; Universitat Greifswald; University of Perugia; Newcastle University - UK; Newcastle University - UK; Barts Health NHS Trust; University of Birmingham; Heart of England NHS Foundation Trust; Heartlands Hospital; University of Adelaide; Robinson Research Institute; University of Sheffield; University of Oxford; Wellcome Centre for Human Genetics; University of Leeds; Newcastle University - UK; Newcastle Upon Tyne Hospitals NHS Foundation Trust; Newcastle University - UK; Wellcome Trust Sanger Institute; Guy's &amp; St Thomas' NHS Foundation Trust; Newcastle Upon Tyne Hospitals NHS Foundation Trust; Cardiff University; Cardiff University; Cambridge University Hospitals NHS Foundation Trust; Addenbrooke's Hospital; University of Cambridge; University of London; University College London; University College London Hospitals NHS Foundation Trust; Medical University of Graz; University of London; King's College London; Guy's &amp; St Thomas' NHS Foundation Trust; University of Amsterdam; Academic Medical Center Amsterdam; Emma Children's Hospital; University of Amsterdam; Academic Medical Center Amsterdam; University of London; University College London; University of London; University College London; Great Ormond Street Hospital for Children NHS Foundation Trust; Imperial College London; Imperial College London; University of Pennsylvania; Pennsylvania Medicine; Childrens Hospital of Philadelphia; University of Pennsylvania; Guy's &amp; St Thomas' NHS Foundation Trust; University of Gothenburg; University of Manchester; University of Manchester; University of London; University College London; Great Ormond Street Hospital for Children NHS Foundation Trust; University of London; University College London; UCL Medical School; University College London Hospitals NHS Foundation Trust; National Hospital for Neurology &amp; Neurosurgery; University of Oxford; Imperial College London; University of Cambridge; Cambridge University Hospitals NHS Foundation Trust; Addenbrooke's Hospital; University of Glasgow; University of Bristol; University of Bristol; University of Cambridge; Papworth Hospital; Imperial College London; Imperial College London; University of Oxford; University of Leicester; University of Leeds; Harvard University; Harvard University Medical Affiliates; Beth Israel Deaconess Medical Center; Harvard University; Harvard Medical School; Nottingham University Hospital NHS Trust; Hebrew University of Jerusalem; Kaplan Medical Center; University of London; King's College London; Aarhus University; University of Cambridge; University of Glasgow; Gartnavel Royal Hospital; Cambridge University Hospitals NHS Foundation Trust; Addenbrooke's Hospital; University of Cambridge; Imperial College London; University of London; University College London; University of London; University College London</t>
  </si>
  <si>
    <t>Wilkins, MR (corresponding author), Imperial Coll London, Ctr Pharmacol &amp; Therapeut, Dept Med, Hammersmith Campus, London, England.;Morrell, NW (corresponding author), NIHR BioResource Rare Dis, Cambridge, England.;Desai, AA (corresponding author), Univ Arizona, Arizona Hlth Sci Ctr, Tucson, AZ 85721 USA.;Desai, AA (corresponding author), Indiana Univ, Indianapolis, IN 46204 USA.</t>
  </si>
  <si>
    <t>adesai@shc.arizona.edu; nwm23@cam.ac.uk; m.wilkins@imperial.ac.uk</t>
  </si>
  <si>
    <t>Stegle, Oliver/AAU-9177-2020; Marschall, Hanns-Ulrich/K-8842-2017; Ferrer, Jorge/A-3176-2012; Matthews, Emma/AAH-6518-2020; Batai, Ken/AAG-5277-2019; Hurles, Matthew/ABO-7502-2022; Hudson, Gavin/E-7117-2017; Simpson, Michael/F-4737-2011; Howard, Luke/HJP-3415-2023; Lahm, Tim/AAF-7162-2020; Sitbon, Olivier/I-3623-2019; Knight, Jo/F-4946-2011; Simon, Marc/AAH-3404-2020; Hall, Matt/AAT-1349-2021; Allsup, David/H-2195-2017; Cebola, Inês/AAG-9652-2020; Martin, Lisa/E-2425-2016; Pepke-Zaba, Joanna/AGW-3073-2022; Bhatt, Nitin/E-2753-2011; Breen, Gerome/Y-2706-2019; Seyres, Denis/ABE-3666-2021; Lawrie, Allan/A-2708-2012; moledina, shahin/A-6466-2009; Claes, Kathleen/AFR-6830-2022; Lambert, Michele/AAB-9225-2021; Bleda, Marta/A-9333-2014; Ghofrani, Ardeschir/AAD-5293-2020; Hanscombe, Ken/D-5101-2011; Jurkute, Neringa/V-3175-2019; Evans, D/AAB-4308-2022; Prokopenko, Inga/AAU-9895-2020; Sanchis, Alba/JZD-7585-2024; Hadinnapola, Charaka/AAW-1229-2020; Richardson, Sylvia/G-4691-2015; Ivy, Dunbar/AAG-1936-2019; Mead, Adam/A-8796-2012; Buckland, Matthew/H-7049-2019; Wei, Wei/AGP-5085-2022; Babbs, Christian/AAA-5917-2022; bennett, david/ABG-1184-2020; EYRIES, melanie/ABF-1034-2020; Tregouet, David-Alexandre/E-3961-2016; Cheetham, Michael/B-4672-2011; Raymond, F/F-4018-2010; , Bill/KHE-5746-2024; Cortese, Andrea/GPC-5134-2022; Azzam, Ahmed/ITT-4117-2023; Rosenzweig, Erika/AAC-3680-2019; Roden, Dan/ABD-5412-2021; Wilkins, Martin/ABH-1140-2021; Erber, Wendy/A-1955-2012; Olschewski, Horst/L-3547-2019; Savic, Sinisa/ADF-2880-2022; Austin, Eric/A-6070-2013; Ponsford, Mark/ABA-3891-2020; Wong, Edwin/B-8599-2014; Grassi, Luigi/E-5877-2011; Amouyel, Philippe/D-3662-2018; Barnett, Christopher/AAD-9872-2022; wei, wei/HHR-8613-2022; David, Montani/I-6885-2019; Casanova, Nancy/L-5228-2019; Cardoso, Paulo/C-5768-2012; Gordins, Pavels/IAR-7029-2023; Robbins, Ivan/MBH-7238-2025; Singleton, Donna/KJC-4724-2024; Machado, Rajiv David/AAD-7813-2019; Snape, Katie/AAA-8101-2022; Franke, Andre/B-2151-2010; newnham, michael/JCE-7072-2023; Allen, Hana/G-9026-2012; Marshall, Andy/JFJ-3331-2023; Garcia, Joe/E-8862-2010; Benza, Raymond/AAD-4885-2019; TANG, HAIYANG/J-4006-2013; Ware, James/G-5139-2012; gresele, paolo/AAG-8019-2019; Southgate, Laura/H-7924-2019; Matthews, Emma/AAI-6889-2021; Humbert, Marc/AAC-8459-2019; Chen-Shtoyerman, Rakefet/ABC-2491-2021; Gale, Daniel/D-5594-2013; Ghio, Stefano/ABH-1151-2021; Daniels, Matthew/AFP-1750-2022; Scelsi, Laura/AAB-9729-2019; debette, stephanie/T-4946-2019; Prokopenko, Inga/H-3241-2014</t>
  </si>
  <si>
    <t>Church, Alistair/0000-0002-4446-0100; Montani, David/0000-0002-9358-6922; Condliffe, Robin/0000-0002-3492-4143; Lawrie, Allan/0000-0003-4192-9505; Ulrich, Anna/0000-0003-3280-9974; Southgate, Laura/0000-0002-2090-1450; Machado, Rajiv David/0000-0001-9247-0744; Van Geet, Chris/0000-0003-1342-6265; Morrell, Nicholas/0000-0001-5700-9792; dos Santos Cebola, Ines/0000-0003-3528-4982; Hanscombe, Ken Benjamin/0000-0002-3715-6805; Newnham, Michael/0000-0002-2972-6249; Rhodes, Christopher/0000-0002-4962-3204; Olschewski, Andrea/0000-0002-8189-3634; Germain, Marine/0000-0002-8489-8916; Ghofrani, Ardeschir/0000-0002-2029-4419; Bogaard, Harm Jan/0000-0001-5371-0346; Simon, Marc/0000-0003-3080-3675; Laffan, Michael/0000-0002-8268-3268; Vonk Noordegraaf, Anton/0000-0002-4057-758X; Seyres, Denis/0000-0002-2066-6980; Walter, Robert/0000-0003-4931-5049; Frantz, Robert/0000-0003-4128-3978; Wilkins, Martin/0000-0003-3926-1171; Ferrer, Jorge/0000-0002-5959-5729; Ware, James/0000-0002-6110-5880; Matthews, Emma/0000-0002-3810-306X; Humbert, Marc/0000-0003-0703-2892; Wharton, John/0000-0001-8110-2575; Arora, Amit/0009-0001-8841-0316; Ahmad, Ferhaan/0000-0003-2877-4641; Gomez, Keith/0000-0002-8934-0700; Dixon, Peter/0000-0002-0197-2632; Kovacs, Gabor/0000-0003-3709-2183; Chen-Shtoyerman, Rakefet/0000-0002-5055-5907; Thenappan, Thenappan/0000-0002-6210-0467; Gale, Daniel/0000-0002-9170-1579; Barnett, Christopher/0000-0003-1095-5794; Ghio, Stefano/0000-0002-1858-1152; Batai, Ken/0000-0002-0317-1118; Buchan, Rachel/0000-0003-2490-9289; Haimel, Matthias/0000-0002-0320-0214; Hadinnapola, Charaka/0000-0002-7794-3432; Kingston, Nathalie/0000-0002-9190-2231; Seeger, Werner/0000-0003-1946-0894; Toshner, Mark/0000-0002-3969-6143; Daniels, Matthew/0000-0002-9250-6214; Ivy, Dunbar/0000-0003-2541-3402; Knight, Joanne/0000-0002-7148-1660; Scelsi, Laura/0000-0001-9409-691X; moledina, shahin/0000-0003-0262-2340; debette, stephanie/0000-0001-8675-7968; Waisfisz, Quinten/0000-0002-7384-9182; Prokopenko, Inga/0000-0003-1624-7457; Desai, Ankit/0000-0001-6427-616X</t>
  </si>
  <si>
    <t>UK NIHR; BHF; UK MRC; Dinosaur Trust; NIH/NHLBI; ERS; EMBO; Wellcome Trust; EU; AHA; ACClinPharm; Netherlands CVRI; Dutch Heart Foundation; Dutch Federation of UMC; Netherlands OHRD; Netherlands RNAS; German DFG; German BMBF; APH Paris; INSERM; Universite Paris-Sud; French ANR; MRC [MR/J011711/1, MC_UP_1102/20, MR/L02036X/1, MR/K020919/1] Funding Source: UKRI</t>
  </si>
  <si>
    <t>UK NIHR(National Institutes of Health Research (NIHR)); BHF(British Heart Foundation); UK MRC(UK Research &amp; Innovation (UKRI)Medical Research Council UK (MRC)); Dinosaur Trust; NIH/NHLBI(United States Department of Health &amp; Human ServicesNational Institutes of Health (NIH) - USANIH National Heart Lung &amp; Blood Institute (NHLBI)); ERS; EMBO(European Molecular Biology Organization (EMBO)); Wellcome Trust(Wellcome Trust); EU(European Union (EU)); AHA(American Heart Association); ACClinPharm; Netherlands CVRI; Dutch Heart Foundation(Netherlands Heart Foundation); Dutch Federation of UMC; Netherlands OHRD(Ansys, Inc.); Netherlands RNAS; German DFG(German Research Foundation (DFG)); German BMBF(Federal Ministry of Education &amp; Research (BMBF)); APH Paris; INSERM(Institut National de la Sante et de la Recherche Medicale (Inserm)); Universite Paris-Sud; French ANR(Agence Nationale de la Recherche (ANR)); MRC(UK Research &amp; Innovation (UKRI)Medical Research Council UK (MRC))</t>
  </si>
  <si>
    <t>UK NIHR, BHF, UK MRC, Dinosaur Trust, NIH/NHLBI, ERS, EMBO, Wellcome Trust, EU, AHA, ACClinPharm, Netherlands CVRI, Dutch Heart Foundation, Dutch Federation of UMC, Netherlands OHRD and RNAS, German DFG, German BMBF, APH Paris, INSERM, Universite Paris-Sud, and French ANR.</t>
  </si>
  <si>
    <t>10.1016/S2213-2600(18)30409-0</t>
  </si>
  <si>
    <t>HM9QP</t>
  </si>
  <si>
    <t>Green Published, Green Accepted, hybrid, Green Submitted</t>
  </si>
  <si>
    <t>WOS:000459820400019</t>
  </si>
  <si>
    <t>Hautefort, A; Mendes-Ferreira, P; Sabourin, J; Manaud, G; Bertero, T; Rucker-Martin, C; Riou, M; Adao, R; Manoury, B; Lambert, M; Boet, A; Lecerf, F; Domergue, V; Brás-Silva, C; Gomez, AM; Montani, D; Girerd, B; Humbert, M; Antigny, F; Perros, F</t>
  </si>
  <si>
    <t>Hautefort, Aurelie; Mendes-Ferreira, Pedro; Sabourin, Jessica; Manaud, Gregoire; Bertero, Thomas; Rucker-Martin, Catherine; Riou, Marianne; Adao, Rui; Manoury, Boris; Lambert, Melanie; Boet, Angele; Lecerf, Florence; Domergue, Valerie; Bras-Silva, Carmen; Gomez, Ana Maria; Montani, David; Girerd, Barbara; Humbert, Marc; Antigny, Fabrice; Perros, Frederic</t>
  </si>
  <si>
    <t>Bmpr2 Mutant Rats Develop Pulmonary and Cardiac Characteristics of Pulmonary Arterial Hypertension</t>
  </si>
  <si>
    <t>bone morphogenetic protein receptors, type II; cardiovascular diseases; hypertension, pulmonary; interleukin-6; models, animal; myocytes, cardiac</t>
  </si>
  <si>
    <t>SEX-DIFFERENCES; SURVIVAL; RECEPTOR; GENE</t>
  </si>
  <si>
    <t>BACKGROUND: Monoallelic mutations in the gene encoding bone morphogenetic protein receptor 2 (Bmpr2) are the main genetic risk factor for heritable pulmonary arterial hypertension (PAH) with incomplete penetrance. Several Bmpr2 transgenic mice have been reported to develop mild spontaneous PAH. In this study, we examined whether rats with the Bmpr2 mutation were susceptible to developing more severe PAH. METHODS: The zinc finger nuclease method was used to establish rat lines with mutations in the Bmpr2 gene. These rats were then characterized at the hemodynamic, histological, electrophysiological, and molecular levels. RESULTS: Rats with a monoallelic deletion of 71 bp in exon 1 (.71 rats) showed decreased BMPRII expression and phosphorylated SMAD1/5/9 levels..71 Rats develop age-dependent spontaneous PAH with a low penetrance (16%-27%), similar to that in humans..71 Rats were more susceptible to hypoxia-induced pulmonary hypertension than wild-type rats..71 Rats exhibited progressive pulmonary vascular remodeling associated with a proproliferative phenotype and showed lower pulmonary microvascular density than wild-type rats. Organ bath studies revealed severe alteration of pulmonary artery contraction and relaxation associated with potassium channel subfamily K member 3 (KCNK3) dysfunction. High levels of perivascular fibrillar collagen and pulmonary interleukin-6 overexpression discriminated rats that developed spontaneous PAH and rats that did not develop spontaneous PAH. Finally, detailed assessments of cardiomyocytes demonstrated alterations in morphology, calcium (Ca2+), and cell contractility specific to the right ventricle; these changes could explain the lower cardiac output of.71 rats. Indeed, adult right ventricular cardiomyocytes from.71 rats exhibited a smaller diameter, decreased sensitivity of sarcomeres to Ca2+, decreased [Ca2+] transient amplitude, reduced sarcoplasmic reticulum Ca2+ content, and short action potential duration compared with right ventricular cardiomyocytes from wild-type rats. CONCLUSIONS: We characterized the first Bmpr2 mutant rats and showed some of the critical cellular and molecular dysfunctions described in human PAH. We also identified the heart as an unexpected but potential target organ of Bmpr2 mutations. Thus, this new genetic rat model represents a promising tool to study the pathogenesis of PAH.</t>
  </si>
  <si>
    <t>[Hautefort, Aurelie; Manaud, Gregoire; Rucker-Martin, Catherine; Riou, Marianne; Lambert, Melanie; Lecerf, Florence; Montani, David; Girerd, Barbara; Humbert, Marc; Antigny, Fabrice; Perros, Frederic] Univ Paris Sud, Fac Med, Le Kremlin Bicetre, France; [Hautefort, Aurelie; Manaud, Gregoire; Rucker-Martin, Catherine; Riou, Marianne; Lambert, Melanie; Lecerf, Florence; Montani, David; Girerd, Barbara; Humbert, Marc; Antigny, Fabrice; Perros, Frederic] Hop Bicetre, AP HP, Ctr Reference Hypertens Pulm Severe, Serv Pneumol &amp; Reanimat Resp,Dept Hosp Univ Thora, Le Kremlin Bicetre, France; [Hautefort, Aurelie; Manaud, Gregoire; Rucker-Martin, Catherine; Riou, Marianne; Lambert, Melanie; Lecerf, Florence; Montani, David; Girerd, Barbara; Humbert, Marc; Antigny, Fabrice; Perros, Frederic] INSERM, UMRS 999, Le Plessis Robinson, France; [Hautefort, Aurelie; Manaud, Gregoire; Rucker-Martin, Catherine; Riou, Marianne; Lambert, Melanie; Lecerf, Florence; Montani, David; Girerd, Barbara; Humbert, Marc; Antigny, Fabrice; Perros, Frederic] Univ Paris Sud, Lab Excellence Rech Medicament &amp; Innovat Therapeu, Le Plessis Robinson, France; [Hautefort, Aurelie; Manaud, Gregoire; Rucker-Martin, Catherine; Riou, Marianne; Lambert, Melanie; Boet, Angele; Lecerf, Florence; Montani, David; Girerd, Barbara; Humbert, Marc; Antigny, Fabrice; Perros, Frederic] Ctr Chirurg Marie Lannelongue, Le Plessis Robinson, France; [Mendes-Ferreira, Pedro; Adao, Rui; Bras-Silva, Carmen] Univ Porto, Fac Med, UnIC Cardiovasc Res &amp; Dev Ctr, Dept Surg &amp; Physiol, Porto, Portugal; [Mendes-Ferreira, Pedro] Univ Leuven, Dept Dept Chron Dis Metab &amp; Aging, Resp Div, KU Leuven, Leuven, Belgium; [Sabourin, Jessica; Manoury, Boris; Gomez, Ana Maria] Univ Paris Sud, Univ Paris Saclay, INSERM, Signalisat &amp; Physiopathol Cardiovasc,UMR S 1180, F-92296 Chatenay Malabry, France; [Bertero, Thomas] Univ Cote Azur, IRCAN, CNRS, Nice, France; [Domergue, Valerie] Univ Paris Sud, Univ Paris Saclay, Anim Facil, Inst Paris Saclay Innovat Therapeut UMS IPSIT, Chatenay Malabry, France; [Perros, Frederic] Laval Univ, Ctr Rech Inst Univ Cardiol &amp; Pneumol Quebec, Quebec City, PQ, Canada</t>
  </si>
  <si>
    <t>Universite Paris Saclay; Assistance Publique Hopitaux Paris (APHP); Hopital Universitaire Antoine-Beclere - APHP; Universite Paris Saclay; Hopital Universitaire Bicetre - APHP; Institut National de la Sante et de la Recherche Medicale (Inserm); Universite Paris Saclay; Hopital Marie Lannelongue; Universidade do Porto; KU Leuven; Institut National de la Sante et de la Recherche Medicale (Inserm); Universite Paris Saclay; Institut National de la Sante et de la Recherche Medicale (Inserm); Centre National de la Recherche Scientifique (CNRS); Universite Cote d'Azur; Universite Paris Saclay; Laval University</t>
  </si>
  <si>
    <t>Perros, F (corresponding author), INSERM U999, Ctr Chirurg Marie Lannelongue, 133 Ave Resistance, F-92350 Le Plessis Robinson, France.</t>
  </si>
  <si>
    <t>Adão, Rui/AAQ-1345-2020; David, Montani/I-6885-2019; Ferreira, Pedro/AAT-7296-2020; Manoury, Boris/P-1066-2016; Bras Silva, Carmen/J-3754-2013; Humbert, Marc/AAC-8459-2019; Gomez, Ana Maria/B-5376-2013; Antigny, Fabrice/Q-3999-2018; Perros, Frederic/N-6921-2017</t>
  </si>
  <si>
    <t>Adao, Rui/0000-0003-2203-436X; Boet, Angele/0000-0003-1510-3347; Manoury, Boris/0000-0001-7305-5633; Bras Silva, Carmen/0000-0003-1527-3776; Humbert, Marc/0000-0003-0703-2892; Ferreira, Pedro/0000-0003-3616-6785; Gomez, Ana Maria/0000-0003-0009-2884; BERTERO, Thomas/0000-0002-4801-9902; Montani, David/0000-0002-9358-6922; Antigny, Fabrice/0000-0002-9515-6571; Perros, Frederic/0000-0001-7730-2427</t>
  </si>
  <si>
    <t>French National Research Agency (Agence Nationale de la Recherche) [ANR-13-JSV1-0011-01]; Fondation du Grand defi Pierre Lavoie; Dinosaur Trust; Region Ile de France (Domaine d'Interet Majeur maladies Cardiovasculaires-Obesite-Rein-Diabete); Fondation de la Recherche Medicale; Fonds de dotation Recherche en Sante Respiratoire; Therapeutic Innovation Doctoral School (Ecole Doctorale) [ED569]; Fondation du Souffle et Fonds de Dotation Recherche en Sante Respiratoire; Fondation Lefoulon-Delalande; Fondation Legs Poix; European Union through the European Regional Development Fund; European Structural and Investment Funds, under Lisbon Portugal Regional Operational Program; Fundacao para a Ciencia e a Tecnologia [DOCnet: NORTE-01-0145-FEDER-000003, IMPAcT-PTDC/MED-FSL/31719/2017, SFRH/BD/87714/2012, SFRH/BD/96403/2013]; Fundação para a Ciência e a Tecnologia [SFRH/BD/87714/2012, SFRH/BD/96403/2013] Funding Source: FCT</t>
  </si>
  <si>
    <t>French National Research Agency (Agence Nationale de la Recherche)(Agence Nationale de la Recherche (ANR)); Fondation du Grand defi Pierre Lavoie; Dinosaur Trust; Region Ile de France (Domaine d'Interet Majeur maladies Cardiovasculaires-Obesite-Rein-Diabete); Fondation de la Recherche Medicale(Fondation pour la Recherche Medicale); Fonds de dotation Recherche en Sante Respiratoire; Therapeutic Innovation Doctoral School (Ecole Doctorale); Fondation du Souffle et Fonds de Dotation Recherche en Sante Respiratoire; Fondation Lefoulon-Delalande; Fondation Legs Poix; European Union through the European Regional Development Fund(European Union (EU)); European Structural and Investment Funds, under Lisbon Portugal Regional Operational Program; Fundacao para a Ciencia e a Tecnologia(Fundacao para a Ciencia e a Tecnologia (FCT)); Fundação para a Ciência e a Tecnologia(Fundacao para a Ciencia e a Tecnologia (FCT))</t>
  </si>
  <si>
    <t>Dr Perros received funding from the French National Research Agency (Agence Nationale de la Recherche, Grant ANR-13-JSV1-0011-01) and from the Fondation du Grand defi Pierre Lavoie. Dr Perros also received a Pulmonary Vascular Research Institute BMPR2 Research Grant supported by the Dinosaur Trust. Dr Hautefort is supported by a PhD grant from Region Ile de France (Domaine d'Interet Majeur maladies Cardiovasculaires-Obesite-Rein-Diabete) and by the Fondation de la Recherche Medicale. G. Manaud and Dr Riou are supported by the Fonds de dotation Recherche en Sante Respiratoire. M. Lambert is supported by Therapeutic Innovation Doctoral School (Ecole Doctorale ED569). Dr Antigny receives funding from the Fondation du Souffle et Fonds de Dotation Recherche en Sante Respiratoire, Fondation Lefoulon-Delalande, and Fondation Legs Poix. Drs Mendes-Ferreira, Adao, and Bras-Silva receive funds from the European Union through the European Regional Development Fund, European Structural and Investment Funds, under Lisbon Portugal Regional Operational Program and Fundacao para a Ciencia e a Tecnologia (DOCnet: NORTE-01-0145-FEDER-000003; IMPAcT-PTDC/MED-FSL/31719/2017), and Drs Mendes-Ferreira and Adao are supported by Fundacao para a Ciencia e a Tecnologia (SFRH/BD/87714/2012 and SFRH/BD/96403/2013, respectively).</t>
  </si>
  <si>
    <t>FEB 12</t>
  </si>
  <si>
    <t>10.1161/CIRCULATIONAHA.118.033744</t>
  </si>
  <si>
    <t>HL0UQ</t>
  </si>
  <si>
    <t>Bronze, Green Published, Green Accepted</t>
  </si>
  <si>
    <t>WOS:000458410000015</t>
  </si>
  <si>
    <t>Smirnova, NF; Conlon, TM; Morrone, C; Dorfmuller, P; Humbert, M; Stathopoulos, G; Umkehrer, S; Pfeiffer, F; Yildirim, AÖ; Eickelberg, O</t>
  </si>
  <si>
    <t>Smirnova, Natalia F.; Conlon, Thomas M.; Morrone, Carmela; Dorfmuller, Peter; Humbert, Marc; Stathopoulos, Georgios; Umkehrer, Stephan; Pfeiffer, Franz; Yildirim, Ali Oe; Eickelberg, Oliver</t>
  </si>
  <si>
    <t>Inhibition of B cell-dependent lymphoid follicle formation prevents lymphocytic bronchiolitis after lung transplantation</t>
  </si>
  <si>
    <t>JCI INSIGHT</t>
  </si>
  <si>
    <t>OBLITERATIVE AIRWAY DISEASE; INDIRECT ALLORECOGNITION; ALLOGRAFT DYSFUNCTION; CHRONIC REJECTION; NATURAL-KILLER; ALPHA-3 DOMAIN; EBI2; ANTIBODY; MODEL; INDUCTION</t>
  </si>
  <si>
    <t>Lung transplantation (LTx) is the only therapeutic option for many patients with chronic lung disease. However, long-term survival after LTx is severely compromised by chronic rejection (chronic lung allograft dysfunction [CLAD]), which affects 50% of recipients after 5 years. The underlying mechanisms for CLAD are poorly understood, largely due to a lack of clinically relevant animal models, but lymphocytic bronchiolitis is an early sign of CLAD. Here, we report that lymphocytic bronchiolitis occurs early in a long-term murine orthotopic LTx model, based on a single mismatch (grafts from HLA-A2:B6-knockin donors transplanted into B6 recipients). Lymphocytic bronchiolitis is followed by formation of B cell-dependent lymphoid follicles that induce adjacent bronchial epithelial cell dysfunction in a spatiotemporal fashion. B cell deficiency using recipient mu MT-/- mice prevented intrapulmonary lymphoid follicle formation and lymphocytic bronchiolitis. Importantly, selective inhibition of the follicle-organizing receptor EBI2, using genetic deletion or pharmacologic inhibition, prevented functional and histological deterioration of mismatched lung grafts. In sum, we provided what we believe to be a mouse model of chronic rejection and lymphocytic bronchiolitis after LTx and identified intrapulmonary lymphoid follicle formation as a target for pharmacological intervention of long-term allograft dysfunction after LTx.</t>
  </si>
  <si>
    <t>[Smirnova, Natalia F.; Conlon, Thomas M.; Morrone, Carmela; Stathopoulos, Georgios; Yildirim, Ali Oe; Eickelberg, Oliver] Ludwig Maximilians Univ Munchen, Comprehens Pneumol Ctr, German Ctr Lung Res, Inst Lung Biol &amp; Dis,Helmholtz Zentrum Munchen, Munich, Germany; [Smirnova, Natalia F.; Eickelberg, Oliver] Univ Colorado, Div Resp Sci &amp; Crit Care Med, Aurora, CO 80045 USA; [Dorfmuller, Peter; Humbert, Marc] Paris Sud Univ, Fac Med, Le Kremlin Bicetre, France; [Dorfmuller, Peter; Humbert, Marc] Ctr Chirurg Marie Lannelongue, Dept Pathol, Le Plessis Robinson, France; [Dorfmuller, Peter; Humbert, Marc] Ctr Chirurg Marie Lannelongue, INSERM U999, Pulm Hypertens Pathophysiol &amp; Novel Therapies, Le Plessis Robinson, France; [Umkehrer, Stephan; Pfeiffer, Franz] Tech Univ Munich, Lehrstuhl Biomed Phys, Phys Dept, Garching, Germany; [Umkehrer, Stephan; Pfeiffer, Franz] Tech Univ Munich, Inst Med Techn, Garching, Germany</t>
  </si>
  <si>
    <t>Helmholtz Association; Helmholtz-Center Munich - German Research Center for Environmental Health; University of Munich; University of Colorado System; University of Colorado Anschutz Medical Campus; Universite Paris Saclay; Hopital Marie Lannelongue; Institut National de la Sante et de la Recherche Medicale (Inserm); Universite Paris Saclay; Hopital Marie Lannelongue; Technical University of Munich; Technical University of Munich</t>
  </si>
  <si>
    <t>Eickelberg, O (corresponding author), Univ Colorado, Dept Med, Anschutz Med Campus,12700 E 19th Ave,RC 2, Aurora, CO 80045 USA.;Yildirim, AÖ (corresponding author), Helmholtz Zentrum Munchen, Comprehens Pneumol Ctr, ILBD, Bldg 34,Ingolstadter Landstr 1, D-87564 Neuherberg, Germany.</t>
  </si>
  <si>
    <t>oender.yildirim@helmholtz-muenchen.de; oliver.eickelberg@ucdenver.edu</t>
  </si>
  <si>
    <t>Stathopoulos, Georgios/AAE-6884-2020; yildirim, ali onder/M-9864-2014; Humbert, Marc/AAC-8459-2019</t>
  </si>
  <si>
    <t>Conlon, Thomas/0000-0002-4316-6612; Smirnova, Natalia/0000-0002-2943-0878; Humbert, Marc/0000-0003-0703-2892; Pfeiffer, Franz/0000-0001-6665-4363; Dorfmuller, Peter/0000-0003-2499-6829</t>
  </si>
  <si>
    <t>Helmholtz Association; German Center of Lung Research (DZL)</t>
  </si>
  <si>
    <t>Helmholtz Association(Helmholtz Association); German Center of Lung Research (DZL)</t>
  </si>
  <si>
    <t>We acknowledge Christine Hollauer for excellent technical assistance with lung function measurements as well as Denis Calise for assistance with the set-up of murine LTx surgeries. This study was supported by institutional grants from the Helmholtz Association and the German Center of Lung Research (DZL).</t>
  </si>
  <si>
    <t>AMER SOC CLINICAL INVESTIGATION INC</t>
  </si>
  <si>
    <t>ANN ARBOR</t>
  </si>
  <si>
    <t>2015 MANCHESTER RD, ANN ARBOR, MI 48104 USA</t>
  </si>
  <si>
    <t>2379-3708</t>
  </si>
  <si>
    <t>JCI Insight</t>
  </si>
  <si>
    <t>FEB 7</t>
  </si>
  <si>
    <t>e123971</t>
  </si>
  <si>
    <t>10.1172/jci.insight.123971</t>
  </si>
  <si>
    <t>HK5VQ</t>
  </si>
  <si>
    <t>WOS:000458037000003</t>
  </si>
  <si>
    <t>Barnes, H; Yeoh, HL; Fothergill, T; Burns, A; Humbert, M; Williams, T</t>
  </si>
  <si>
    <t>Barnes, Hayley; Yeoh, Hui-Ling; Fothergill, Toby; Burns, Andrew; Humbert, Marc; Williams, Trevor</t>
  </si>
  <si>
    <t>Prostacyclin for pulmonary arterial hypertension</t>
  </si>
  <si>
    <t>COCHRANE DATABASE OF SYSTEMATIC REVIEWS</t>
  </si>
  <si>
    <t>CONTINUOUS INTRAVENOUS EPOPROSTENOL; ENDOTHELIN RECEPTOR ANTAGONIST; 5 INHIBITOR THERAPY; QUALITY-OF-LIFE; ORAL TREPROSTINIL; INHALED ILOPROST; DOUBLE-BLIND; SELEXIPAG; INFUSION; ANALOG</t>
  </si>
  <si>
    <t>Background Pulmonary arterial hypertension (PAH) is characterised by pulmonary vascular changes, leads to elevated pulmonary artery pressures, dyspnoea, a reduction in exercise tolerance, right heart failure, and ultimately death. Prostacyclin analogue drugs mimic endogenous prostacyclin which leads to vasodilation, inhibition of platelet aggregation, and reversal of vascular remodelling. Prostacyclin's short half-life theoretically enhances selectivity for the pulmonary vascular bed by direct (via central venous catheter) administration. Initial continuous infusion prostacyclins were efficacious, but use of intravenous access increases the risk of adverse events. Newer and safer subcutaneous, oral and inhaled preparations are now available, though possibly less potent. Selexipag is an oral selective prostacyclin receptor (IP receptor) agonist that works similarly to prostacyclin, potentially more stable, with less complex administration and titration. Objectives To determine the efficacy and safety of prostacyclin, prostacyclin analogues or prostacyclin receptor agonists for PAH in adults and children. Search methods We performed searches on CENTRAL, MEDLINE, and Embase up to 16 September 2018. We handsearched review articles, clinical trial registries, and reference lists of retrieved articles. Selection criteria We included any randomised controlled trials (RCTs) which compared prostacyclin, prostacyclin analogues or prostacyclin receptor agonists to control (placebo, any other treatment or usual care) for at least six weeks. Data collection and analysis We used standard methods specified by Cochrane. Primary outcomes included change inWorldHealthOrganization (WHO) functional class, six-minute walk distance (6MWD), and mortality. Main results Seventeen trials with 3765 mostly adult participants were included; median trial duration was 12 weeks. Fifteen trials used prostacyclin analogues: intravenous (N = 4); subcutaneous (N = 1); oral (N = 5); inhaled (N = 5); two used oral prostacyclin receptor agonists. Three intravenous and two inhaled trials were open-label. Participants using prostacyclin had 2.39 times greater odds of improving by at least oneWHOfunctional class (95% confidence interval (CI) 1.72 to 3.32; 24 per 100 (95% CI 18.5 to 30.4) with prostacyclin compared to 12 per 100 with control; 8 trials, 1066 participants; moderate-certainty evidence). Improvement occurred with intravenous (odds ratio (OR) 14.96, 95% CI 4.76 to 47.04), and inhaled (OR 2.94, 95% CI 1.53 to 5.66), but not with oral preparations. Participants using prostacyclin increased their 6MWD by 19.50 metres (95% CI 14.82 to 24.19; 13 trials, 2283 participants; low-certainty evidence), which was clinically significant with intravenous (mean difference (MD) 91.76 metres; 95% CI 58.97 to 124.55), but not with non-intravenous preparations (subcutaneous: MD 16.00 metres, 95% CI 7.38 to 24.62; oral: MD 14.76 metres, 95% CI 7.81 to 21.70; inhaled: MD 26.97 metres, 95% CI 17.21 to 36.73). Mortality was reduced in the intravenous (OR 0.29, 95% CI 0.12 to 0.69; risk of death 6 per 100 (95% CI 2.38 to 12.31) with prostacyclin compared to 17 per 100 with control; 4 trials, 255 participants), but not in the non-intravenous studies (OR 0.82, 95% CI 0.48 to 1.40; risk of death 21 per 1000 (95% CI 12.00 to 34.20) with prostacyclin compared to 25 per 1000 with control; moderate-certainty evidence; 12 trials, 2299 participants). We reduced the certainty of evidence due to few studies per subgroup and use of open-label trials. Prostacyclins improved cardiopulmonary haemodynamics (reduction in mean pulmonary artery pressure by 3.60 mmHg (95% CI -4.73 to -2.48); pulmonary vascular resistance by 2.81WU(95% CI -3.80 to -1.82); right atrial pressure by 1.90 mmHg (95% CI -2.58 to -1.22), and increase in cardiac index by 0.31 L/min/m(2) (95% CI 0.23 to 0.38); low-certainty evidence), improved dyspnoea (low-certainty evidence, and improved quality of life (moderate-certainty evidence), when compared to control. When only subcutaneous/inhaled trials were included the effect was still significant, but the magnitude was smaller. There was no difference across oral trials. Adverse events were increased in all prostacyclin preparations, including vasodilation (OR 5.03, 95% CI 3.84 to 6.58), headache (OR 3.16, 95% CI 2.62 to 3.80), jaw pain (OR 5.25, 95% CI 3.96 to 6.98), diarrhoea (OR 2.81, 95% CI 2.29 to 3.46), nausea/vomiting (OR 2.39, 95% CI 1.98 to 2.88), myalgias (OR 2.75, 95% CI 1.65 to 4.58), upper respiratory tract events (OR 1.61, 95% CI 1.22 to 2.13), extremity pain (OR 3.36, 95% CI 2.32 to 4.85), and infusion site reactions (OR 14.41, 95% CI 9.16 to 22.66). In the intravenous trials, there was a 12%-25% risk of serious non-fatal events including sepsis, haemorrhage, pneumothorax and pulmonary embolism. Two trials (1199 participants) compared oral selexipag to placebo; no trials compared selexipag with prostacyclin. There was a small 12.62 metre improvement in 6MWD (95% CI 1.90 to 23.34; high-certainty evidence), and weak evidence for haemodynamics. The effect was uncertain for WHO functional class. The risk of death with selexipag was five per 100 compared to three per 100 with placebo, though the CI crossed zero so the true effect is uncertain (risk difference (RD) 0.02 (95% CI -0.00 to 0.04). There was less clinical worsening with selexipag (OR 0.47, 95% CI 0.37 to 0.60), though more side effects, including vasodilation (OR 2.67, 95% CI 1.72 to 4.17), headache (OR 3.91, 95% CI 3.07 to 4.98), jaw pain (OR 5.33, 95% CI 3.64 to 7.81), diarrhoea (OR 3.11, 95% CI 2.39 to 4.05), nausea/vomiting (OR 2.92, 95% CI 2.29 to 3.73), pain in the extremities (OR 2.44, 95% CI 1.69 to 3.52), and myalgias (OR 3.05, 95% CI 2.02 to 4.58). Authors' conclusions This review demonstrates clinical and statistical benefit for intravenous prostacyclin (compared to control) with improved functional class, 6MWD, mortality, symptoms scores, and cardiopulmonary haemodynamics, but at a cost of adverse events. This may be due to a true effect, or may be overestimated due to the inclusion of small, short or open-label studies. There was a statistical and small clinical benefit in function and haemodynamics for inhaled prostacyclin, but the effect is uncertain for mortality. The effect of oral prostacyclins are less certain. Selexipag demonstrated less clinical worsening without discernable impact on survival, increased adverse events; and the effect on other outcomes is less certain. Real-world registry data may provide further information about clinical effect.</t>
  </si>
  <si>
    <t>[Barnes, Hayley; Yeoh, Hui-Ling; Williams, Trevor] Alfred Hosp, Dept Resp Med, Commercial Rd, Melbourne, Vic 3004, Australia; [Fothergill, Toby] Alfred Hosp, Melbourne, Vic, Australia; [Burns, Andrew] St Vincents Hosp, Melbourne, Vic, Australia; [Humbert, Marc] Univ Paris Saclay, Univ Paris Sud, Hop Bicetre, Assistance Publ Hop Paris,Inserm U999, Le Kremlin Bicetre, France; [Williams, Trevor] Monash Univ, Dept Med, Melbourne, Vic, Australia</t>
  </si>
  <si>
    <t>Florey Institute of Neuroscience &amp; Mental Health; Howard Florey Institute Affiliates; Florey Institute of Neuroscience &amp; Mental Health; Howard Florey Institute Affiliates; NSW Health; St Vincents Hospital Sydney; St Vincent's Health; St Vincent's Hospital Melbourne; Institut National de la Sante et de la Recherche Medicale (Inserm); Assistance Publique Hopitaux Paris (APHP); Hopital Universitaire Bicetre - APHP; Hopital Universitaire Antoine-Beclere - APHP; Universite Paris Saclay; Universite Paris Cite; Hopital Universitaire Saint-Louis - APHP; Monash University</t>
  </si>
  <si>
    <t>Barnes, H (corresponding author), Alfred Hosp, Dept Resp Med, Commercial Rd, Melbourne, Vic 3004, Australia.</t>
  </si>
  <si>
    <t>hayleynbarnes@gmail.com</t>
  </si>
  <si>
    <t>Barnes, Hayley/AAB-5524-2022; Humbert, Marc/AAC-8459-2019</t>
  </si>
  <si>
    <t>Yeoh, Hui-Ling/0000-0003-3836-5251; Barnes, Hayley/0000-0002-7615-4191; Humbert, Marc/0000-0003-0703-2892</t>
  </si>
  <si>
    <t>National Institute for Health Research (NIHR), via Cochrane</t>
  </si>
  <si>
    <t>National Institute for Health Research (NIHR), via Cochrane(National Institutes of Health Research (NIHR))</t>
  </si>
  <si>
    <t>This project was supported by the National Institute for Health Research (NIHR), via Cochrane Infrastructure funding to Cochrane Airways. The views and opinions expressed herein are those of the authors and do not necessarily reflect those of the Systematic Reviews Programme, NIHR, National Health Service (NHS) or the Department of Health.</t>
  </si>
  <si>
    <t>1469-493X</t>
  </si>
  <si>
    <t>1361-6137</t>
  </si>
  <si>
    <t>COCHRANE DB SYST REV</t>
  </si>
  <si>
    <t>Cochrane Database Syst Rev.</t>
  </si>
  <si>
    <t>CD012785</t>
  </si>
  <si>
    <t>10.1002/14651858.CD012785.pub2</t>
  </si>
  <si>
    <t>IB1HB</t>
  </si>
  <si>
    <t>WOS:000470014800015</t>
  </si>
  <si>
    <t>Boucly, A; Savale, L; Weatherald, JC; Montani, D; Cottin, V; Dauphin, C; Picard, F; Fard, D; Mignard, X; Jutant, E; Jevnikar, M; Jais, X; Simonneau, G; Humbert, M; Sitbon, O</t>
  </si>
  <si>
    <t>Boucly, A.; Savale, L.; Weatherald, J. C.; Montani, D.; Cottin, V.; Dauphin, C.; Picard, F.; Fard, D.; Mignard, X.; Jutant, E.; Jevnikar, M.; Jais, X.; Simonneau, G.; Humbert, M.; Sitbon, O.</t>
  </si>
  <si>
    <t>Impact of Initial Triple Combination Therapy on Long-Term Survival in Pulmonary Arterial Hypertension (PAH)</t>
  </si>
  <si>
    <t>MAY 17-22, 2019</t>
  </si>
  <si>
    <t>Dallas, TX</t>
  </si>
  <si>
    <t>[Boucly, A.; Savale, L.; Montani, D.; Fard, D.; Mignard, X.; Jutant, E.; Jevnikar, M.; Jais, X.; Simonneau, G.; Humbert, M.; Sitbon, O.] Hop Bicetre, Le Kremlin Bicetre, France; [Weatherald, J. C.] Univ Calgary, Respirol, Calgary, AB, Canada; [Cottin, V.] Univ Lyon, Louis Pradel Hosp, Bron, France; [Dauphin, C.] CHU Clermont Ferrand, Clermont Ferrand, France; [Picard, F.] CHU Bordeaux, Bordeaux, France</t>
  </si>
  <si>
    <t>Universite Paris Saclay; Assistance Publique Hopitaux Paris (APHP); Hopital Universitaire Bicetre - APHP; Hopital Universitaire Antoine-Beclere - APHP; University of Calgary; CHU Lyon; CHU Clermont Ferrand; CHU Bordeaux; Universite de Bordeaux</t>
  </si>
  <si>
    <t>A5585</t>
  </si>
  <si>
    <t>HW6CW</t>
  </si>
  <si>
    <t>WOS:000466776702184</t>
  </si>
  <si>
    <t>Garcia, G; Frija-Masson, J; Perez, T; Godinas, L; Piedvache, C; Belguendouz, A; Plantier, L; Rolland-Debord, C; Sattler, C; Chenivesse, C; Agostini, H; Humbert, M; Laveneziana, P; Taille, C</t>
  </si>
  <si>
    <t>Garcia, G.; Frija-Masson, J.; Perez, T.; Godinas, L.; Piedvache, C.; Belguendouz, A.; Plantier, L.; Rolland-Debord, C.; Sattler, C.; Chenivesse, C.; Agostini, H.; Humbert, M.; Laveneziana, P.; Taille, C.</t>
  </si>
  <si>
    <t>Prevalence of Dysfunctional Breathing in Severe Asthma: A Prospective Multicentric Study</t>
  </si>
  <si>
    <t>[Garcia, G.] CHU Bicetre, Pneumol, Le Kremlin Bicetre, France; [Frija-Masson, J.] Hop Bichat Claude Bernard, Paris, France; [Perez, T.] CHRU Lille, Pulm, Lille, France; [Godinas, L.] CHU UCL Namur, Resp Dis, Yvoir, Belgium; [Piedvache, C.; Belguendouz, A.; Sattler, C.; Agostini, H.] CHU Bicetre, Le Kremlin Bicetre, France; [Plantier, L.] CHU Tours, Tours, France; [Rolland-Debord, C.] Hop La Pitie Salpetriere, Paris, France; [Chenivesse, C.] CHU Lille, Lille, France; [Humbert, M.] Hop Bicetre, Pneumol, Le Kremlin Bicetre, France; [Laveneziana, P.] Hop La Pitie Salpetriere, Pneumol, Paris, France; [Taille, C.] Hop Bichat Claude Bernard, Pneumol, Paris, France</t>
  </si>
  <si>
    <t>Assistance Publique Hopitaux Paris (APHP); Hopital Universitaire Bicetre - APHP; Universite Paris Cite; Assistance Publique Hopitaux Paris (APHP); Hopital Universitaire Bichat-Claude Bernard - APHP; Universite de Lille; CHU Lille; Assistance Publique Hopitaux Paris (APHP); Hopital Universitaire Bicetre - APHP; CHU Tours; Assistance Publique Hopitaux Paris (APHP); Hopital Universitaire Pitie-Salpetriere - APHP; Sorbonne Universite; Universite de Lille; CHU Lille; Assistance Publique Hopitaux Paris (APHP); Hopital Universitaire Antoine-Beclere - APHP; Hopital Universitaire Bicetre - APHP; Universite Paris Saclay; Sorbonne Universite; Assistance Publique Hopitaux Paris (APHP); Hopital Universitaire Pitie-Salpetriere - APHP; Assistance Publique Hopitaux Paris (APHP); Universite Paris Cite; Hopital Universitaire Bichat-Claude Bernard - APHP</t>
  </si>
  <si>
    <t>Humbert, Marc/AAC-8459-2019; CHENIVESSE, Cécile/GPP-6628-2022; Plantier, Laurent/GVT-8757-2022; Godinas, Laurette/AAS-1059-2021; Frija-Masson, Justine/ACP-8584-2022; Taille, Camille/J-3751-2017; Laveneziana, Pierantonio/GWC-2028-2022; Thierry, PEREZ/AAB-4853-2020</t>
  </si>
  <si>
    <t>AP-HP</t>
  </si>
  <si>
    <t>This abstract is funded by: AP-HP</t>
  </si>
  <si>
    <t>A6111</t>
  </si>
  <si>
    <t>WOS:000466776703155</t>
  </si>
  <si>
    <t>Ghofrani, H; Gall, H; Grünig, E; Klose, H; Halank, M; Langleben, D; Snijder, R; Escribano, P; Mielniczuk, LM; Lange, T; Vachiery, JE; Wirtz, H; Helmersen, DS; Tsangaris, I; Barberá, JA; Pepke-Zaba, J; Boonstra, A; Rosenkranz, S; Ulrich, S; Steringer-Mascherbauer, R; Sanchez, MG; Humbert, M; Pittrow, D; Simonneau, G; Klotsche, J; Williams, E; Meier, C; Hoeper, M</t>
  </si>
  <si>
    <t>Ghofrani, H.; Gall, H.; Gruenig, E.; Klose, H.; Halank, M.; Langleben, D.; Snijder, R.; Escribano, P.; Mielniczuk, L. M.; Lange, T.; Vachiery, J. E.; Wirtz, H.; Helmersen, D. S.; Tsangaris, I.; Barbera, J. A.; Pepke-Zaba, J.; Boonstra, A.; Rosenkranz, S.; Ulrich, S.; Steringer-Mascherbauer, R.; Gomez Sanchez, M.; Humbert, M.; Pittrow, D.; Simonneau, G.; Klotsche, J.; Williams, E.; Meier, C.; Hoeper, M.</t>
  </si>
  <si>
    <t>Safety of Riociguat for the Treatment of Chronic Thromboembolic Pulmonary Hypertension: Final Data Cut from the EXPERT Registry</t>
  </si>
  <si>
    <t>[Ghofrani, H.; Gall, H.] Univ Giessen, Giessen, Germany; [Ghofrani, H.; Gall, H.] Marburg Lung Ctr UGMLC, Giessen, Germany; [Ghofrani, H.; Gall, H.] German Ctr Lung Res DZL, Giessen, Germany; [Gruenig, E.] Heidelberg Univ Hosp, Ctr Pulm Hypertens, Thoraxclin, Heidelberg, Germany; [Klose, H.] Univ Med Ctr Hamburg Eppendorf, Dept Pneumol, Hamburg, Germany; [Halank, M.] Univ Hosp Carl Gustav Carus, Dept Pneumol, Med Clin 1, Dresden, Germany; [Langleben, D.] McGill Univ, Jewish Gen Hosp, Montreal, PQ, Canada; [Snijder, R.] St Antonius Hosp, Dept Pulmonol, Nieuwegein, Netherlands; [Escribano, P.] Hosp 12 Octubre, Dept Cardiol, Madrid, Spain; [Mielniczuk, L. M.] Univ Ottawa Heart Inst, Div Cardiol, Dept Med, Ottawa, ON, Canada; [Lange, T.] Univ Med Ctr, Div Pneumol, Dept Internal Med 2, Regensburg, Germany; [Vachiery, J. E.] Hop Erasme, Clin Univ Bruxelles, Dept Cardiol, Brussels, Belgium; [Wirtz, H.] Univ Leipzig, Dept Resp Med, Leipzig, Germany; [Helmersen, D. S.] Univ Calgary, Alberta Hlth Serv, Calgary, AB, Canada; [Tsangaris, I.] Univ Hosp Attikon, Dept Crit Care 2, Athens, Germany; [Barbera, J. A.] Hosp Clin Barcelona, Inst Invest Biomed August Pi &amp; Sunyer, Barcelona, Spain; [Barbera, J. A.] Univ Barcelona, Barcelona, Spain; [Pepke-Zaba, J.] Papworth Hosp, Pulm Vasc Dis Unit, Cambridge, England; [Boonstra, A.] Vrije Univ Amsterdam Med Ctr, Amsterdam, Netherlands; [Rosenkranz, S.] Cologne Univ, Ctr Heart, Dept Internal Med 3, Cologne, Germany; [Rosenkranz, S.] Cologne Univ, Ctr Heart, CCRC, Cologne, Germany; [Ulrich, S.] Univ Spital Zurich, Klin Pneumol, Zurich, Switzerland; [Steringer-Mascherbauer, R.] Krankenhaus Elisabethinen Linz GmbH, Serv Stelle Klin Studien, Linz, Austria; [Gomez Sanchez, M.] Ramon &amp; Cajal Univ Hosp, IRYCIS, CIBER Resp Dis CIBERES, Resp Dept, Madrid, Spain; [Humbert, M.; Simonneau, G.] Univ Paris Sud 11, CHU Bicetre, Serv Pneumol &amp; Reanimat, Ctr Reference Hypertens Pulm Severe, Paris, France; [Pittrow, D.] Tech Univ, Fac Med, Inst Clin Pharmacol, Dresden, Germany; [Klotsche, J.] German Rheumatism Res Ctr Berlin, Leibniz Inst, Berlin, Germany; [Williams, E.; Meier, C.] Bayer AG, Global Dev, Global Med Affairs, Berlin, Germany; [Hoeper, M.] Hannover Med Sch, Dept Resp Med, Hannover, Germany; [Hoeper, M.] Hannover Med Sch, German Ctr Lung Res, Hannover, Germany</t>
  </si>
  <si>
    <t>Justus Liebig University Giessen; Ruprecht Karls University Heidelberg; University of Hamburg; University Medical Center Hamburg-Eppendorf; Technische Universitat Dresden; Carl Gustav Carus University Hospital; McGill University; St. Antonius Hospital Utrecht; Hospital Universitario 12 de Octubre; University of Ottawa; University of Ottawa Heart Institute; University of Regensburg; Universite Libre de Bruxelles; Leipzig University; Alberta Health Services (AHS); University of Calgary; University of Barcelona; Hospital Clinic de Barcelona; IDIBAPS; University of Barcelona; Papworth Hospital; Vrije Universiteit Amsterdam; VU UNIVERSITY MEDICAL CENTER; University of Cologne; University of Cologne; University of Zurich; University Zurich Hospital; Ordensklinikum Linz Elisabethinen; CIBER - Centro de Investigacion Biomedica en Red; CIBERES; Hospital Universitario Ramon y Cajal; Assistance Publique Hopitaux Paris (APHP); Hopital Universitaire Bicetre - APHP; Universite Paris Saclay; Technische Universitat Dresden; Leibniz Association; Deutsches Rheuma-Forschungszentrum (DRFZ); Bayer AG; Hannover Medical School; Hannover Medical School</t>
  </si>
  <si>
    <t>Pepke-Zaba, Joanna/AGW-3073-2022; Langleben, David/AAJ-9152-2020; Ghofrani, Ardeschir/AAD-5293-2020; Pittrow, David/AAY-5042-2021; Tsangaris, Iraklis/AAA-3627-2020; Simonneau, Gerald/ABE-6614-2020; Humbert, Marc/AAC-8459-2019; boonstra, anco/J-5446-2014; Hoeper, Marius/Z-1546-2019; Escribano, Pilar/R-5273-2017</t>
  </si>
  <si>
    <t>Escribano, Pilar/0000-0002-6640-4839; Hoeper, Marius/0000-0001-9086-2293</t>
  </si>
  <si>
    <t>A6067</t>
  </si>
  <si>
    <t>WOS:000466776703111</t>
  </si>
  <si>
    <t>Hoeper, M; Gall, H; Grünig, E; Klose, H; Halank, M; Langleben, D; Snijder, RJ; Escribano, P; Mielniczuk, LM; Lange, T; Vachiéry, JE; Wirtz, H; Helmersen, DS; Tsangaris, I; Barberá, JA; Pepke-Zaba, J; Boonstra, A; Rosenkranz, S; Ulrich, S; Steringer-Mascherbauer, R; Sanchez, MAG; Humbert, M; Pittrow, D; Simonneau, G; Klotsche, J; Williams, E; Meier, C; Ghofrani, HA</t>
  </si>
  <si>
    <t>Hoeper, M.; Gall, H.; Gruenig, E.; Klose, H.; Halank, M.; Langleben, D.; Snijder, R. J.; Escribano, P.; Mielniczuk, L. M.; Lange, T.; Vachiery, J. E.; Wirtz, H.; Helmersen, D. S.; Tsangaris, I.; Barbera, J. A.; Pepke-Zaba, J.; Boonstra, A.; Rosenkranz, S.; Ulrich, S.; Steringer-Mascherbauer, R.; Sanchez, M. A. Gomez; Humbert, M.; Pittrow, D.; Simonneau, G.; Klotsche, J.; Williams, E.; Meier, C.; Ghofrani, H. A.</t>
  </si>
  <si>
    <t>Safety of Riociguat for the Treatment of Pulmonary Arterial Hypertension: Final Data Cut from the EXPERT Registry</t>
  </si>
  <si>
    <t>[Hoeper, M.] Hannover Med Sch, Dept Resp Med, Hannover, Germany; [Hoeper, M.] Hannover Med Sch, German Ctr Lung Res, Hannover, Germany; [Gall, H.; Ghofrani, H. A.] UGMLC, Giessen, Germany; [Gall, H.; Ghofrani, H. A.] German Ctr Lung Res DZL, Giessen, Germany; [Gruenig, E.] Heidelberg Univ Hosp, Thoraxclin, Ctr Pulm Hypertens, Heidelberg, Germany; [Klose, H.] Univ Med Ctr Hamburg Eppendorf, Dept Pneumol, Hamburg, Germany; [Halank, M.] Univ Hosp Carl Gustav Carus, Dept Pneumol, Med Clin 1, Dresden, Germany; [Langleben, D.] McGill Univ, Jewish Gen Hosp, Montreal, PQ, Canada; [Snijder, R. J.] St Antonius Hosp, Dept Pulmonol, Nieuwegein, Netherlands; [Escribano, P.] Hosp 12 Octubre, Dept Cardiol, Madrid, Spain; [Mielniczuk, L. M.] Univ Ottawa, Div Cardiol, Dept Med, Heart Inst, Ottawa, ON, Canada; [Lange, T.] Univ Med Ctr, Div Pneumol, Dept Internal Med 2, Regensburg, Germany; [Vachiery, J. E.] Clin Univ Bruxelles, Hop Erasme, Dept Cardiol, Brussels, Belgium; [Wirtz, H.] Univ Leipzig, Dept Resp Med, Leipzig, Germany; [Helmersen, D. S.] Univ Calgary, Alberta Hlth Serv, Calgary, AB, Canada; [Tsangaris, I.] Univ Hosp Attikon, Dept Crit Care 2, Athens, Greece; [Barbera, J. A.] Inst Invest Biomed August Pi &amp; Sunyer, Hosp Clin, Barcelona, Spain; [Barbera, J. A.] Univ Barcelona, Barcelona, Spain; [Pepke-Zaba, J.] Papworth Hosp, Pulm Vasc Dis Unit, Cambridge, England; [Boonstra, A.] Vrije Univ Amsterdam Med Ctr, Amsterdam, Netherlands; [Rosenkranz, S.] Cologne Univ, Heart Ctr, Dept Internal Med 3, Cologne, Germany; [Rosenkranz, S.] Cologne Univ, Heart Ctr, CCRC, Cologne, Germany; [Ulrich, S.] Univ Spital Zurich, Klin Pneumol, Zurich, Switzerland; [Steringer-Mascherbauer, R.] Krankenhaus Elisabethinen Linz GmbH, Serv Klin Studien, Linz, Austria; [Sanchez, M. A. Gomez] Ramon y Cajal Univ Hosp IRYCIS, Resp Dept, CIBER Resp Dis CIBERES, Madrid, Spain; [Humbert, M.; Simonneau, G.] Univ Paris Sud 11, Ctr Reference Hypertens Pulm Severe, Serv Pneumol &amp; Reanimat, CHU Bicetre, Paris, France; [Pittrow, D.] Tech Univ, Med Fac, Inst Clin Pharmacol, Dresden, Germany; [Klotsche, J.] Leibniz Inst, German Rheumatism Res Ctr Berlin, Berlin, Germany; [Williams, E.; Meier, C.] Bayer AG, Global Dev, Global Med Affairs, Berlin, Germany</t>
  </si>
  <si>
    <t>Hannover Medical School; Hannover Medical School; Ruprecht Karls University Heidelberg; University of Hamburg; University Medical Center Hamburg-Eppendorf; Technische Universitat Dresden; Carl Gustav Carus University Hospital; McGill University; St. Antonius Hospital Utrecht; Hospital Universitario 12 de Octubre; University of Ottawa; University of Ottawa Heart Institute; University of Regensburg; Universite Libre de Bruxelles; Leipzig University; University of Calgary; Alberta Health Services (AHS); University Hospital Attikon; University of Barcelona; Hospital Clinic de Barcelona; IDIBAPS; University of Barcelona; Papworth Hospital; Vrije Universiteit Amsterdam; VU UNIVERSITY MEDICAL CENTER; University of Cologne; University of Cologne; University of Zurich; University Zurich Hospital; Ordensklinikum Linz Elisabethinen; CIBER - Centro de Investigacion Biomedica en Red; CIBERES; Assistance Publique Hopitaux Paris (APHP); Hopital Universitaire Bicetre - APHP; Universite Paris Saclay; Technische Universitat Dresden; Leibniz Association; Deutsches Rheuma-Forschungszentrum (DRFZ); Bayer AG</t>
  </si>
  <si>
    <t>Langleben, David/AAJ-9152-2020; Hoeper, Marius/Z-1546-2019; Ghofrani, Ardeschir/AAD-5293-2020; Humbert, Marc/AAC-8459-2019; Zafra, María/ABC-8520-2021; Pepke-Zaba, Joanna/AGW-3073-2022; Pittrow, David/AAY-5042-2021; Simonneau, Gerald/ABE-6614-2020; boonstra, anco/J-5446-2014; Tsangaris, Iraklis/AAA-3627-2020; Escribano, Pilar/R-5273-2017</t>
  </si>
  <si>
    <t>Hoeper, Marius/0000-0001-9086-2293; Escribano, Pilar/0000-0002-6640-4839</t>
  </si>
  <si>
    <t>A5063</t>
  </si>
  <si>
    <t>WOS:000466776701255</t>
  </si>
  <si>
    <t>Humbert, M; Guignabert, C; Bonnet, S; Dorfmüller, P; Klinger, JR; Nicolls, MR; Olschewski, AJ; Pullamsetti, SS; Schermuly, RT; Stenmark, KR; Rabinovitch, M</t>
  </si>
  <si>
    <t>Humbert, Marc; Guignabert, Christophe; Bonnet, Sebastien; Dorfmuller, Peter; Klinger, James R.; Nicolls, Mark R.; Olschewski, Andrea J.; Pullamsetti, Soni S.; Schermuly, Ralph T.; Stenmark, Kurt R.; Rabinovitch, Marlene</t>
  </si>
  <si>
    <t>Pathology and pathobiology of pulmonary hypertension: state of the art and research perspectives</t>
  </si>
  <si>
    <t>Article; Proceedings Paper</t>
  </si>
  <si>
    <t>6th World Symposium on Pulmonary Hypertension</t>
  </si>
  <si>
    <t>FEB 27-MAR 01, 2018</t>
  </si>
  <si>
    <t>Nice, FRANCE</t>
  </si>
  <si>
    <t>TO-MESENCHYMAL TRANSITION; PROTEIN-RECEPTOR 2; SMOOTH-MUSCLE-CELLS; GROWTH-FACTOR-BETA; ARTERIAL-HYPERTENSION; ENDOTHELIAL-CELLS; VASCULAR-LESIONS; ADVENTITIAL FIBROBLASTS; MITOCHONDRIAL-FUNCTION; MICROVASCULAR DISEASE</t>
  </si>
  <si>
    <t>Clinical and translational research has played a major role in advancing our understanding of pulmonary hypertension (PH), including pulmonary arterial hypertension and other forms of PH with severe vascular remodelling (e. g. chronic thromboembolic PH and pulmonary veno- occlusive disease). However, PH remains an incurable condition with a high mortality rate, underscoring the need for a better transfer of novel scientific knowledge into healthcare interventions. Herein, we review recent findings in pathology (with the questioning of the strict morphological categorisation of various forms of PH into pre- or post- capillary involvement of pulmonary vessels) and cellular mechanisms contributing to the onset and progression of pulmonary vascular remodelling associated with various forms of PH. We also discuss ways to improve management and to support and optimise drug development in this research field.</t>
  </si>
  <si>
    <t>[Humbert, Marc; Guignabert, Christophe; Dorfmuller, Peter] Univ Paris Sud, Fac Med, Le Kremlin Bicetre, France; [Humbert, Marc; Guignabert, Christophe; Dorfmuller, Peter] Univ Paris Saclay, Le Kremlin Bicetre, France; [Humbert, Marc; Guignabert, Christophe; Dorfmuller, Peter] INSERM, UMR S999, Le Plessis Robinson, France; [Humbert, Marc] Hop Bicetre, AP HP, DHU,Ctr Reference Hypertens Pulm Severe, Thorax Innovat TORINO,Serv Pneumol, Le Kremlin Bicetre, France; [Bonnet, Sebastien] Ctr Rech Inst Cardiol &amp; Pneumol Quebec, Pulm Hypertens Res Grp, Quebec City, PQ, Canada; [Bonnet, Sebastien] Univ Laval, Dept Med, Quebec City, PQ, Canada; [Dorfmuller, Peter] Hop Marie Lannelongue, Pathol Dept, Le Plessis Robinson, France; [Klinger, James R.] Brown Univ, Rhode Isl Hosp, Warren Alpert Med Sch, Div Pulm Crit Care &amp; Sleep Med,Dept Med, Providence, RI 02903 USA; [Nicolls, Mark R.; Rabinovitch, Marlene] Stanford Univ, Sch Med, Dept Pediat, Cardiovasc Inst, 269 Campus Dr,CCSR Bldg,Room 1215A, Stanford, CA 94305 USA; [Nicolls, Mark R.; Rabinovitch, Marlene] Stanford Univ, Sch Med, VA Palo Alto, Div Pulm &amp; Crit Care Med,Dept Med, Palo Alto, CA 94304 USA; [Nicolls, Mark R.; Rabinovitch, Marlene] Vera Moulton Wall Ctr Pulm Vasc Dis, Stanford, CA USA; [Olschewski, Andrea J.] Ludwig Boltzmann Inst Lung Vasc Res, Graz, Austria; [Olschewski, Andrea J.] Med Univ Graz, Inst Physiol, Graz, Austria; [Pullamsetti, Soni S.] Max Planck Inst Heart &amp; Lung Res Bad Nauheim, Bad Nauheim, Germany; [Pullamsetti, Soni S.] Justus Liebig Univ Giessen, Excellence Cluster Cardio Pulm Inst CPI, Giessen, Germany; [Schermuly, Ralph T.] Univ Giessen, Giessen, Germany; [Schermuly, Ralph T.] Justus Liebig Univ Giessen, Marburg Lung Ctr UGMLC, Giessen, Germany; [Schermuly, Ralph T.] German Ctr Lung Res DZL, Excellence Cluster Cardio Pulm Inst CPI, Giessen, Germany; [Stenmark, Kurt R.] Univ Colorado, Dev Lung Biol &amp; Cardiovasc Pulm Res Labs, Denver, CO 80202 USA</t>
  </si>
  <si>
    <t>Universite Paris Saclay; Universite Paris Saclay; Universite Paris Saclay; Institut National de la Sante et de la Recherche Medicale (Inserm); Assistance Publique Hopitaux Paris (APHP); Hopital Universitaire Antoine-Beclere - APHP; Hopital Universitaire Bicetre - APHP; Universite Paris Saclay; Laval University; Hopital Marie Lannelongue; Brown University; Lifespan Health Rhode Island; Rhode Island Hospital; Stanford University; US Department of Veterans Affairs; Veterans Health Administration (VHA); VA Palo Alto Health Care System; Stanford University; Ludwig Boltzmann Institute; Ludwig Boltzmann Institute for Lung Vascular Research; Medical University of Graz; Justus Liebig University Giessen; Justus Liebig University Giessen; Justus Liebig University Giessen; University of Colorado System; University of Colorado Denver</t>
  </si>
  <si>
    <t>Rabinovitch, M (corresponding author), Stanford Univ, Sch Med, Dept Pediat, Cardiovasc Inst, 269 Campus Dr,CCSR Bldg,Room 1215A, Stanford, CA 94305 USA.;Humbert, M (corresponding author), Univ Paris Sud, Hop Bicetre, AP HP, Serv Pneumol, 78 Rue Gen Leclerc, F-94270 Le Kremlin Bicetre, France.</t>
  </si>
  <si>
    <t>marc.humbert@aphp.fr; marlener@stanford.edu</t>
  </si>
  <si>
    <t>stenmark, kurt/AFI-6776-2022; Nicolls, Mark/K-6085-2019; Humbert, Marc/AAC-8459-2019; GUIGNABERT, Christophe/G-3873-2013</t>
  </si>
  <si>
    <t>Olschewski, Andrea/0000-0002-8189-3634; Dorfmuller, Peter/0000-0003-2499-6829; Pullamsetti, Soni Savai/0000-0003-0440-8831; Humbert, Marc/0000-0003-0703-2892; GUIGNABERT, Christophe/0000-0002-8545-4452; Schermuly, Ralph/0000-0002-5167-6970</t>
  </si>
  <si>
    <t>NHLBI NIH HHS [P01 HL014985, R01 HL074186, R01 HL122887, R01 HL138473, P01 HL108797] Funding Source: Medline</t>
  </si>
  <si>
    <t>NHLBI NIH HHS(United States Department of Health &amp; Human ServicesNational Institutes of Health (NIH) - USANIH National Heart Lung &amp; Blood Institute (NHLBI))</t>
  </si>
  <si>
    <t>10.1183/13993003.01887-2018</t>
  </si>
  <si>
    <t>HL1ML</t>
  </si>
  <si>
    <t>WOS:000458462600012</t>
  </si>
  <si>
    <t>McLaughlin, VV; Channick, R; Walsh, B; Keating, M; Gilder, K; Cabell, C; Klassen, P; Tapson, VF; Humbert, M</t>
  </si>
  <si>
    <t>McLaughlin, V. V.; Channick, R.; Walsh, B.; Keating, M.; Gilder, K.; Cabell, C.; Klassen, P.; Tapson, V. F.; Humbert, M.</t>
  </si>
  <si>
    <t>ADVANCE Program Global Steering</t>
  </si>
  <si>
    <t>Study Design of the Phase 3 ADVANCE Program Evaluating Time-to-Clinical Events and Exercise Capacity in Patients with Pulmonary Arterial Hypertension Treated with Ralinepag</t>
  </si>
  <si>
    <t>[McLaughlin, V. V.] Univ Michigan, Ann Arbor, MI 48109 USA; [Channick, R.] Univ Calif Los Angeles, David Geffen Sch Med, Los Angeles, CA 90095 USA; [Walsh, B.; Keating, M.; Gilder, K.; Cabell, C.; Klassen, P.] Arena Pharmaceut Inc, San Diego, CA USA; [Tapson, V. F.] Cedars Sinai Med Ctr, Pulm, Los Angeles, CA 90048 USA; [Humbert, M.] Univ Paris Sud, CHU Bicetre, INSERM, U999, Le Kremlin Bicetre, France</t>
  </si>
  <si>
    <t>University of Michigan System; University of Michigan; University of California System; University of California Los Angeles; University of California Los Angeles Medical Center; David Geffen School of Medicine at UCLA; Pfizer; Arena Pharmaceuticals, Inc.; Cedars Sinai Medical Center; Institut National de la Sante et de la Recherche Medicale (Inserm); Universite Paris Saclay; Assistance Publique Hopitaux Paris (APHP); Hopital Universitaire Bicetre - APHP</t>
  </si>
  <si>
    <t>Parthasarathy, Sairam/JFB-6298-2023; Humbert, Marc/AAC-8459-2019</t>
  </si>
  <si>
    <t>Arena Pharmaceuticals</t>
  </si>
  <si>
    <t>This abstract is funded by Arena Pharmaceuticals</t>
  </si>
  <si>
    <t>A5074</t>
  </si>
  <si>
    <t>WOS:000466776701266</t>
  </si>
  <si>
    <t>Mumby, S; Elyasigomari, V; Hui, CK; Perros, F; Hautefort, A; Humbert, M; Wort, J; Adcock, IM</t>
  </si>
  <si>
    <t>Mumby, S.; Elyasigomari, V.; Hui, C. K.; Perros, F.; Hautefort, A.; Humbert, M.; Wort, J.; Adcock, I. M.</t>
  </si>
  <si>
    <t>Evidence for Endothelial Barrier Dysfunction, Vascular Permeability and Altered Matrix Degradation in PAH Pathogenesis Using RNA-Sequence Analysis</t>
  </si>
  <si>
    <t>[Mumby, S.; Elyasigomari, V.; Wort, J.; Adcock, I. M.] Imperial Coll London, London, England; [Hui, C. K.] Univ Hong Kong, Shenzhen Hosp, Shenzhen, Peoples R China; [Perros, F.] INSERM, U999, Le Kremlin Bicetre, France; [Hautefort, A.] Univ Paris Sud, Le Plessis Robinson, France; [Humbert, M.] Hop Bicetre, Pneumol, Le Kremlin Bicetre, France</t>
  </si>
  <si>
    <t>Imperial College London; University of Hong Kong; Institut National de la Sante et de la Recherche Medicale (Inserm); Universite Paris Saclay; Universite Paris Saclay; Assistance Publique Hopitaux Paris (APHP); Hopital Universitaire Bicetre - APHP; Hopital Universitaire Antoine-Beclere - APHP</t>
  </si>
  <si>
    <t>Adcock, Ian/L-3217-2019; Humbert, Marc/AAC-8459-2019; Perros, Frédéric/N-6921-2017</t>
  </si>
  <si>
    <t>Adcock, Ian/0000-0003-2101-8843</t>
  </si>
  <si>
    <t>British Heart Foundation [PG/14/27/30679]; Sanming Project of Medicine in Shenzhen [SZSM201612096]</t>
  </si>
  <si>
    <t>British Heart Foundation(British Heart Foundation); Sanming Project of Medicine in Shenzhen</t>
  </si>
  <si>
    <t>This abstract is funded by: The British Heart Foundation PG/14/27/30679 and Sanming Project of Medicine in Shenzhen (SZSM201612096)</t>
  </si>
  <si>
    <t>A7194</t>
  </si>
  <si>
    <t>WOS:000466776705107</t>
  </si>
  <si>
    <t>Savale, L; Humbert, M; Wells, A; Nathan, SD; Gupta, R; Huitema, M; Jaïs, X; Grutters, JC; Kouranos, V; Montani, D; Shlobin, OA; Sitbon, O; Baughman, RP</t>
  </si>
  <si>
    <t>Savale, L.; Humbert, M.; Wells, A.; Nathan, S. D.; Gupta, R.; Huitema, M.; Jais, X.; Grutters, J. C.; Kouranos, V.; Montani, D.; Shlobin, O. A.; Sitbon, O.; Baughman, R. P.</t>
  </si>
  <si>
    <t>Algorithm for Pulmonary Hypertension Screening in Sarcoidosis: A Delphi Consensus</t>
  </si>
  <si>
    <t>[Savale, L.; Humbert, M.; Jais, X.; Montani, D.; Sitbon, O.] CHU Bicetre, Le Kremlin Bicetre, France; [Wells, A.; Kouranos, V.] Royal Brompton Hosp, London, England; [Nathan, S. D.] Inova Fairfax Hosp, Falls Church, VA USA; [Gupta, R.] Temple Univ Hosp &amp; Med Sch, Philadelphia, PA 19140 USA; [Huitema, M.; Grutters, J. C.] St Antonius Hosp, Nieuwegein, Netherlands; [Shlobin, O. A.] Inova Fairfax Heart &amp; Lung Inst, Falls Church, VA USA; [Baughman, R. P.] Univ Cincinnati, Med Ctr, Cincinnati, OH 45267 USA</t>
  </si>
  <si>
    <t>A4311</t>
  </si>
  <si>
    <t>WOS:000466776700075</t>
  </si>
  <si>
    <t>B</t>
  </si>
  <si>
    <t>Palange, P; Rohde, G</t>
  </si>
  <si>
    <t>RESPIRATORY MEDICINE, 3RD EDITION</t>
  </si>
  <si>
    <t>Article; Book Chapter</t>
  </si>
  <si>
    <t>[Weatherald, Jason] Univ Calgary, Dept Med, Div Respirol, Calgary, AB, Canada; [Weatherald, Jason] Libin Cardiovasc Inst Alberta, Calgary, AB, Canada; [Humbert, Marc] Univ Paris Saclay, Univ Paris Sud, Fac Med, Le Kremlin Bicetre, France; [Humbert, Marc] Hop Bicetre, AP HP, Serv Pneumol, Le Kremlin Bicetre, France; [Humbert, Marc] Hop Marie Lannelongue, INSERM, UMR S 999, Le Plessis Robinson, France</t>
  </si>
  <si>
    <t>University of Calgary; Libin Cardiovascular Institute Of Alberta; Universite Paris Saclay; Assistance Publique Hopitaux Paris (APHP); Hopital Universitaire Bicetre - APHP; Hopital Universitaire Antoine-Beclere - APHP; Universite Paris Saclay; Hopital Marie Lannelongue; Universite Paris Saclay; Institut National de la Sante et de la Recherche Medicale (Inserm)</t>
  </si>
  <si>
    <t>Weatherald, J (corresponding author), Univ Calgary, Dept Med, Div Respirol, Calgary, AB, Canada.;Weatherald, J (corresponding author), Libin Cardiovasc Inst Alberta, Calgary, AB, Canada.</t>
  </si>
  <si>
    <t>jason.weatherald@ucalgary.ca; marc.humbert@aphp.fr</t>
  </si>
  <si>
    <t>EUROPEAN RESPIRATORY SOCIETY</t>
  </si>
  <si>
    <t>442 GLOSSOP ROAD, SHEFFIELD, S10 2PX, ENGLAND</t>
  </si>
  <si>
    <t>978-1-84984-080-4; 978-1-84984-079-8</t>
  </si>
  <si>
    <t>Book Citation Index – Science (BKCI-S)</t>
  </si>
  <si>
    <t>BP4PE</t>
  </si>
  <si>
    <t>WOS:000553660300090</t>
  </si>
  <si>
    <t>Weatherald, J; Sitbon, O; Humbert, M</t>
  </si>
  <si>
    <t>Weatherald, Jason; Sitbon, Olivier; Humbert, Marc</t>
  </si>
  <si>
    <t>Validation of a risk assessment instrument for pulmonary arterial hypertension</t>
  </si>
  <si>
    <t>COMBINATION THERAPY; PREVALENT COHORTS; AMBRISENTAN; TADALAFIL; SURVIVAL; INCIDENT; REGISTRY</t>
  </si>
  <si>
    <t>[Weatherald, Jason] Univ Calgary, Cumming Sch Med, Dept Med, Div Respirol, Calgary, AB, Canada; [Weatherald, Jason; Sitbon, Olivier; Humbert, Marc] Univ Paris Saclay, Fac Med, Univ Paris Sud, Le Kremlin Bicetre, France; [Weatherald, Jason; Sitbon, Olivier; Humbert, Marc] Hop Bicetre, AP HP, Serv Pneumol, Le Kremlin Bicetre, France; [Weatherald, Jason; Sitbon, Olivier; Humbert, Marc] Hop Marie Lannelongue, INSERM UMR S 999, Le Plessis Robinson, France</t>
  </si>
  <si>
    <t>University of Calgary; Universite Paris Saclay; Universite Paris Saclay; Assistance Publique Hopitaux Paris (APHP); Hopital Universitaire Antoine-Beclere - APHP; Hopital Universitaire Bicetre - APHP; Universite Paris Saclay; Hopital Marie Lannelongue; Institut National de la Sante et de la Recherche Medicale (Inserm)</t>
  </si>
  <si>
    <t>Humbert, M (corresponding author), Univ Paris Sud, Ctr Reference Hypertens Pulm Severe, Serv Pneumol, Hop Bicetre, F-94270 Le Kremlin Bicetre, France.</t>
  </si>
  <si>
    <t>Weatherald, Jason/0000-0002-0615-4575; Humbert, Marc/0000-0003-0703-2892; SITBON, Olivier/0000-0002-1942-1951</t>
  </si>
  <si>
    <t>10.1093/eurheartj/ehx301</t>
  </si>
  <si>
    <t>HJ0MH</t>
  </si>
  <si>
    <t>WOS:000456854500011</t>
  </si>
  <si>
    <t>Albanese, P; Dumas, SJ; Ranchoux, B; Shamdani, S; Chantepie, S; Huynh, MB; Montani, D; Girerd, B; Dormuller, P; Fadel, E; Dartevelle, P; Perros, F; Humbert, M; Papy-Garcia, D; Cohen-Kaminsky, S</t>
  </si>
  <si>
    <t>Albanese, P.; Dumas, S. J.; Ranchoux, B.; Shamdani, S.; Chantepie, S.; Huynh, M. B.; Montani, D.; Girerd, B.; Dormuller, P.; Fadel, E.; Dartevelle, P.; Perros, F.; Humbert, M.; Papy-Garcia, D.; Cohen-Kaminsky, S.</t>
  </si>
  <si>
    <t>Fine structural modifications of heparan sulfate sulfation patterns in lung are associated with functional effects in precapillary pulmonary hypertension</t>
  </si>
  <si>
    <t>INTERNATIONAL JOURNAL OF EXPERIMENTAL PATHOLOGY</t>
  </si>
  <si>
    <t>Matrix Biology Europe Meeting</t>
  </si>
  <si>
    <t>JUL 21-24, 2018</t>
  </si>
  <si>
    <t>Manchester, ENGLAND</t>
  </si>
  <si>
    <t>British Soc Matrix Biol,Univ Manchester, Wellcome Trust Ctr Cell Matrix Res</t>
  </si>
  <si>
    <t>[Albanese, P.; Shamdani, S.; Chantepie, S.; Huynh, M. B.; Papy-Garcia, D.] Univ Paris Est, Univ Paris Est Creteil, CNRS,ERL 9215, Lab Croissance Regenerat Reparat &amp; Regenerat Tiss, F-94010 Creteil, France; [Dumas, S. J.; Ranchoux, B.; Montani, D.; Girerd, B.; Dormuller, P.; Fadel, E.; Dartevelle, P.; Perros, F.; Humbert, M.; Cohen-Kaminsky, S.] Hop Marie Lannelongue, INSERM, UMR S 999, F-92350 Le Plessis Robinson, France; [Dumas, S. J.; Ranchoux, B.; Montani, D.; Girerd, B.; Dormuller, P.; Fadel, E.; Dartevelle, P.; Perros, F.; Humbert, M.; Cohen-Kaminsky, S.] Univ Paris Saclay, Niv Paris Sud, Fac Med, F-94270 Le Kremlin Bicetre, France; [Montani, D.; Girerd, B.; Humbert, M.; Cohen-Kaminsky, S.] Hop Bicetre, AP HP, Serv Pneumol, F-94270 Le Kremlin Bicetre, France</t>
  </si>
  <si>
    <t>Universite Paris-Est-Creteil-Val-de-Marne (UPEC); Centre National de la Recherche Scientifique (CNRS); CNRS - National Institute for Biology (INSB); Institut National de la Sante et de la Recherche Medicale (Inserm); Universite Paris Saclay; Hopital Marie Lannelongue; Universite Paris Saclay; Assistance Publique Hopitaux Paris (APHP); Hopital Universitaire Antoine-Beclere - APHP; Universite Paris Saclay; Hopital Universitaire Bicetre - APHP</t>
  </si>
  <si>
    <t>David, Montani/I-6885-2019; shamdani, Sara/AAU-5836-2021; Ranchoux, Benoît/AAX-6037-2020; Humbert, Marc/AAC-8459-2019; Perros, Frédéric/N-6921-2017; Dumas, Sébastien/AAA-2056-2021; Cohen-Kaminsky, Sylvia/E-4837-2014</t>
  </si>
  <si>
    <t>Montani, David/0000-0002-9358-6922; Cohen-Kaminsky, Sylvia/0000-0002-6341-7482</t>
  </si>
  <si>
    <t>0959-9673</t>
  </si>
  <si>
    <t>1365-2613</t>
  </si>
  <si>
    <t>INT J EXP PATHOL</t>
  </si>
  <si>
    <t>Int. J. Exp. Pathol.</t>
  </si>
  <si>
    <t>A23</t>
  </si>
  <si>
    <t>A24</t>
  </si>
  <si>
    <t>HM4TP</t>
  </si>
  <si>
    <t>WOS:000459467900047</t>
  </si>
  <si>
    <t>Günther, S; Bordenave, J; Hua-Huy, T; Nicco, C; Cumont, A; Thuillet, R; Tu, L; Quatremarre, T; Guilbert, T; Jalce, G; Batteux, F; Humbert, M; Savale, L; Guignabert, C; Dinh-Xuan, AT</t>
  </si>
  <si>
    <t>Guenther, Sven; Bordenave, Jennifer; Hua-Huy, Thong; Nicco, Carole; Cumont, Amelie; Thuillet, Raphael; Tu, Ly; Quatremarre, Timothee; Guilbert, Thomas; Jalce, Gael; Batteux, Frederic; Humbert, Marc; Savale, Laurent; Guignabert, Christophe; Dinh-Xuan, Anh-Tuan</t>
  </si>
  <si>
    <t>Macrophage Migration Inhibitory Factor (MIF) Inhibition in a Murine Model of Bleomycin-Induced Pulmonary Fibrosis</t>
  </si>
  <si>
    <t>idiopathic pulmonary fibrosis associated with pulmonary hypertension (IPF-PH); pulmonary vascular remodeling; molecular target; macrophage migration inhibitory factor</t>
  </si>
  <si>
    <t>ARTERIAL-HYPERTENSION; STRUCTURAL FEATURES; CONTRIBUTES; DIAGNOSIS; CYTOKINE; SYSTEM; TARGET</t>
  </si>
  <si>
    <t>Background: Pulmonary hypertension (PH) is a common complication of idiopathic pulmonary fibrosis (IPF) that significantly contributes to morbidity and mortality. Macrophage migration inhibitory factor (MIF) is a critical factor in vascular remodeling of the pulmonary circulation. Objectives: We tested the effects of two small molecules targeting MIF on bleomycin (BLM)-induced collagen deposition, PH, and vascular remodeling in mouse lungs. Methods: We examined the distribution pattern of MIF, CD74, and CXCR4 in the lungs of patients with IPF-PH and the lungs of BLM-injected mice. Then, treatments were realized with (S,R)-3-(4-hydroxyphenyl)-4,5-dihydro-5-isoxazole acetic acid methyl ester (ISO-1) and N-(3-hydroxy-4-fluorobenzyl)-5 trifluoromethylbenzoxazol-2-thione 31 (20 mg/kg/day per os for 3 weeks) started 24 h after an intratracheal BLM administration. Results: More intense immunoreactivity was noted for MIF, CD74, and CXCR4 in lungs from IPF-PH patients and BLM-injected mice. Furthermore, we found that treatments of BLM-injected mice with ISO-1 or compound 31 attenuated lung collagen deposition and right ventricular systolic pressure increase. Additionally, reduced pulmonary inflammatory infiltration and pulmonary arterial muscularization were observed in the lungs of BLM-injected mice treated with ISO-1 or compound 31. Conclusions: Treatments with ISO-1 or compound 31 attenuates BLM-induced inflammation and fibrosis in lung, and prevents PH development in mice, suggesting that MIF is an important factor for IPF-PH development.</t>
  </si>
  <si>
    <t>[Guenther, Sven; Hua-Huy, Thong; Nicco, Carole; Guilbert, Thomas; Batteux, Frederic; Dinh-Xuan, Anh-Tuan] INSERM, UMR S 1016, Natl Inst Hlth &amp; Med Res, Cochin Inst, F-75014 Paris, France; [Guenther, Sven; Hua-Huy, Thong; Nicco, Carole; Guilbert, Thomas; Batteux, Frederic; Dinh-Xuan, Anh-Tuan] Univ Paris 05, Sorbonne Paris Cite, F-75014 Paris, France; [Guenther, Sven; Hua-Huy, Thong; Dinh-Xuan, Anh-Tuan] Hop Cochin, AP HP, Serv Physiol Explorat Fonct, F-75014 Paris, France; [Bordenave, Jennifer; Cumont, Amelie; Thuillet, Raphael; Tu, Ly; Quatremarre, Timothee; Humbert, Marc; Savale, Laurent; Guignabert, Christophe] Hop Marie Lannelongue, INSERM, UMR S 999, F-92350 Le Plessis Robinson, France; [Bordenave, Jennifer; Cumont, Amelie; Thuillet, Raphael; Tu, Ly; Quatremarre, Timothee; Humbert, Marc; Savale, Laurent; Guignabert, Christophe] Univ Paris Sud, Univ Paris Saclay, Fac Med, F-94270 Le Kremlin Bicetre, France; [Guilbert, Thomas] CNRS, UMR 8104, Natl Ctr Sci Res, F-75014 Paris, France; [Jalce, Gael] Apaxen, B-6041 Gosselies, Belgium; [Humbert, Marc; Savale, Laurent] Hop Bicetre, AP HP, Serv Pneumol, Ctr Reference Hypertens Pulm,DHU Thorax Innovat, F-94270 Le Kremlin Bicetre, France</t>
  </si>
  <si>
    <t>Universite Paris Cite; Institut National de la Sante et de la Recherche Medicale (Inserm); Universite Paris Cite; Assistance Publique Hopitaux Paris (APHP); Universite Paris Cite; Hopital Universitaire Cochin - APHP; Hopital Marie Lannelongue; Institut National de la Sante et de la Recherche Medicale (Inserm); Universite Paris Saclay; Universite Paris Saclay; Universite Paris Cite; Centre National de la Recherche Scientifique (CNRS); CNRS - National Institute for Biology (INSB); Institut National de la Sante et de la Recherche Medicale (Inserm); Assistance Publique Hopitaux Paris (APHP); Hopital Universitaire Bicetre - APHP; Hopital Universitaire Antoine-Beclere - APHP; Universite Paris Saclay</t>
  </si>
  <si>
    <t>Guignabert, C (corresponding author), Hop Marie Lannelongue, INSERM, UMR S 999, F-92350 Le Plessis Robinson, France.;Guignabert, C (corresponding author), Univ Paris Sud, Univ Paris Saclay, Fac Med, F-94270 Le Kremlin Bicetre, France.</t>
  </si>
  <si>
    <t>sven.gunther@aphp.fr; jennifer.bordenave@inserm.fr; huythonghua@yahoo.com; carole.nicco@parisdescartes.fr; amelie.cumont@laposte.net; raphael.thuillet@inserm.fr; ly.tu@inserm.fr; timothee.quatremare@inserm.fr; thomas.guilbert@inserm.fr; gael.jalce@apaxen.com; frederic.batteux@aphp.fr; marc.humbert@bct.aphp.fr; laurent.savale@gmail.com; christophe.guignabert@inserm.fr; anh-tuan.dinh-xuan@aphp.fr</t>
  </si>
  <si>
    <t>Hua-Huy, Thong/F-9662-2013; Günther, Sven/ACV-7191-2022; Savale, Laurent/AAJ-9781-2020; GUNTHER, Sven/P-4177-2017; Dinh-Xuan, Anh Tuan/A-9691-2008; TU, Ly/G-4035-2013; GUIGNABERT, Christophe/G-3873-2013; Nicco, Carole/O-8169-2017; Humbert, Marc/AAC-8459-2019</t>
  </si>
  <si>
    <t>GUNTHER, Sven/0000-0001-8388-6131; Hua-Huy, Thong/0000-0003-3212-0560; Dinh-Xuan, Anh Tuan/0000-0001-8651-5176; TU, Ly/0000-0003-2336-5099; GUIGNABERT, Christophe/0000-0002-8545-4452; Nicco, Carole/0000-0001-8211-2556; Thuillet, Raphael/0000-0002-1379-3797; Humbert, Marc/0000-0003-0703-2892; Jalce, Gael/0000-0002-2786-5763; bordenave, jennifer/0000-0001-8866-3666; Guilbert, Thomas/0000-0001-5069-0730</t>
  </si>
  <si>
    <t>French National Institute for Health and Medical Research (INSERM); University of Paris-Sud; University Paris-Saclay; Marie Lannelongue Hospital; French National Agency for Research (ANR) [ANR-16-CE17-0014]; Fondation de la Recherche Medicale (FRM) [DEQ20150331712]; Legs Poix (Chancellerie des Universites de Paris); Departement Hospitalo-Universitaire (DHU) Thorax Innovation (TORINO); Assistance Publique-Hopitaux de Paris (AP-HP), Service de Pneumologie, Centre de Reference de l'Hypertension Pulmonaire Severe; LabEx LERMIT [ANR-10-LABX-0033]; French PAH patient association (HTAP France); French Fonds de Dotation Recherche en Sante Respiratoire (FRSR), Fondation du Souffle (FdS); FRM; Agence Nationale de la Recherche (ANR) [ANR-16-CE17-0014] Funding Source: Agence Nationale de la Recherche (ANR)</t>
  </si>
  <si>
    <t>French National Institute for Health and Medical Research (INSERM)(Institut National de la Sante et de la Recherche Medicale (Inserm)); University of Paris-Sud; University Paris-Saclay; Marie Lannelongue Hospital; French National Agency for Research (ANR)(Agence Nationale de la Recherche (ANR)); Fondation de la Recherche Medicale (FRM)(Fondation pour la Recherche Medicale); Legs Poix (Chancellerie des Universites de Paris); Departement Hospitalo-Universitaire (DHU) Thorax Innovation (TORINO); Assistance Publique-Hopitaux de Paris (AP-HP), Service de Pneumologie, Centre de Reference de l'Hypertension Pulmonaire Severe; LabEx LERMIT; French PAH patient association (HTAP France); French Fonds de Dotation Recherche en Sante Respiratoire (FRSR), Fondation du Souffle (FdS); FRM(Fondation pour la Recherche Medicale); Agence Nationale de la Recherche (ANR)(Agence Nationale de la Recherche (ANR))</t>
  </si>
  <si>
    <t>This research was supported by grants from the French National Institute for Health and Medical Research (INSERM), the University of Paris-Sud and the University Paris-Saclay, the Marie Lannelongue Hospital, the French National Agency for Research (ANR) grant No. ANR-16-CE17-0014 (TAMIRAH), the Fondation de la Recherche Medicale (FRM) grant No. DEQ20150331712 (Equipe FRM 2015), the Legs Poix (Chancellerie des Universites de Paris), and in part by the Departement Hospitalo-Universitaire (DHU) Thorax Innovation (TORINO), the Assistance Publique-Hopitaux de Paris (AP-HP), Service de Pneumologie, Centre de Reference de l'Hypertension Pulmonaire Severe, the LabEx LERMIT (grant No ANR-10-LABX-0033), and the French PAH patient association (HTAP France). S.G. is supported by the French Fonds de Dotation Recherche en Sante Respiratoire (FRSR), Fondation du Souffle (FdS). J.B. is supported by the FRM.</t>
  </si>
  <si>
    <t>10.3390/ijms19124105</t>
  </si>
  <si>
    <t>HG9JM</t>
  </si>
  <si>
    <t>Green Submitted, Green Published, gold</t>
  </si>
  <si>
    <t>WOS:000455323500407</t>
  </si>
  <si>
    <t>Riou, M; Jutant, EM; Mignard, X; Canuet, M; Humbert, M; Sitbon, O; Savale, L; Montani, D</t>
  </si>
  <si>
    <t>Riou, M.; Jutant, E. -M.; Mignard, X.; Canuet, M.; Humbert, M.; Sitbon, O.; Savale, L.; Montani, D.</t>
  </si>
  <si>
    <t>Liver diseases and pulmonary vascular disorders</t>
  </si>
  <si>
    <t>REVUE DE MEDECINE INTERNE</t>
  </si>
  <si>
    <t>Portopulmonary hypertension; Pulmonary arterial hypertension; Hepatopulmonary syndrome; Portal hypertension</t>
  </si>
  <si>
    <t>HEPATOPULMONARY SYNDROME; PORTOPULMONARY HYPERTENSION; PORTAL-HYPERTENSION; TRANSPLANTATION CANDIDATES; BACTERIAL TRANSLOCATION; ARTERIAL-HYPERTENSION; EXERCISE CAPACITY; CIRRHOTIC RATS; HEMODYNAMICS; PREVALENCE</t>
  </si>
  <si>
    <t>About 70% patients waiting for liver transplantation have a dyspnea. Two pulmonary vascular disorders can be associated with portal hypertension or chronic liver diseases: portopulmonary hypertension (PoPH) related to pulmonary small arteries remodeling and obstruction and hepatopulmonary syndrome (HPS) characterized by pulmonary capillaries dilatations and proliferations. PoPH is defined by the combination of pulmonary arterial hypertension (PAH) (mean pulmonary artery pressure [PAP] &gt;= 25 mmHg, with normal pulmonary artery wedge pressure &lt;= 15 mmHg and pulmonary vascular resistance [PVR] &gt; 3 Wood units [WU]) and portal hypertension. HPS is a triad of intrapulmonary vascular dilatations, hypoxemia (increased alveolar-arterial oxygen gradient) and liver disease or isolated portal hypertension. The pathophysiology of both syndromes is complex and poorly understood. PoPH and HPS have a negative impact on functional and vital prognosis in patients with portal hypertension. Liver transplantation is the established treatment standard in HPS. PoPH treatment is improved over the years with the use of specific PAH treatment despite the lack of randomized assay in this indication. Liver transplantation could be considered in PoPH leading to stabilization, improvement or recovery in selected patients (mean PAP &lt; 35 mmHg without severe right ventricular dysfunction and PVR &lt; 4 WU). (C) 2018 Societe Nationale Francaise de Medecine Interne (SNFMI). Published by Elsevier Masson SAS. All rights reserved.</t>
  </si>
  <si>
    <t>[Riou, M.; Canuet, M.] Hop Univ Strasbourg, Nouvel Hop Civil, Serv Pneumol, F-67091 Strasbourg, France; [Jutant, E. -M.; Mignard, X.; Humbert, M.; Sitbon, O.; Savale, L.; Montani, D.] Univ Paris Sud, Hop Bicetre, AP HP, Fac Med,Serv Pneumol,Ctr Reference Hypertens Pulm, 78 Rue Gen Leclerc, F-94270 Le Kremlin Bicetre, France; [Jutant, E. -M.; Mignard, X.; Humbert, M.; Sitbon, O.; Savale, L.; Montani, D.] Hop Marie Lannelongue, INSERM, UMR S999, Hypertens Arterielle Pulm Physiopathol &amp; Innovat, 133 Ave Resistance, F-92350 Le Plessis Robinson, France</t>
  </si>
  <si>
    <t>CHU Strasbourg; Universites de Strasbourg Etablissements Associes; Universite de Strasbourg; Universite Paris Saclay; Assistance Publique Hopitaux Paris (APHP); Hopital Universitaire Bicetre - APHP; Hopital Universitaire Antoine-Beclere - APHP; Hopital Marie Lannelongue; Institut National de la Sante et de la Recherche Medicale (Inserm); Universite Paris Saclay</t>
  </si>
  <si>
    <t>Riou, M (corresponding author), Hop Univ Strasbourg, Nouvel Hop Civil, Serv Pneumol, F-67091 Strasbourg, France.</t>
  </si>
  <si>
    <t>marianne.riou@gmail.com; david.montani@aphp.fr</t>
  </si>
  <si>
    <t>Montani, David/0000-0002-9358-6922; Humbert, Marc/0000-0003-0703-2892; SITBON, Olivier/0000-0002-1942-1951</t>
  </si>
  <si>
    <t>ELSEVIER FRANCE-EDITIONS SCIENTIFIQUES MEDICALES ELSEVIER</t>
  </si>
  <si>
    <t>ISSY-LES-MOULINEAUX</t>
  </si>
  <si>
    <t>65 RUE CAMILLE DESMOULINS, CS50083, 92442 ISSY-LES-MOULINEAUX, FRANCE</t>
  </si>
  <si>
    <t>0248-8663</t>
  </si>
  <si>
    <t>REV MED INTERNE</t>
  </si>
  <si>
    <t>Rev. Med. Interne</t>
  </si>
  <si>
    <t>10.1016/j.revmed.2018.07.015</t>
  </si>
  <si>
    <t>HG0YE</t>
  </si>
  <si>
    <t>WOS:000454674400005</t>
  </si>
  <si>
    <t>Swietlik, EM; Hodgson, J; Hadinnapola, C; Bleda, M; Haimel, M; Church, C; Coghlan, G; Condliffe, R; Corris, PA; Gibbs, JSR; Holden, S; Howard, L; Humbert, M; Jonson, M; Kiely, DG; Lawrie, A; Lordan, J; Ross, RVM; Olschewski, H; Moledina, S; Peacock, AJ; Pepke-Zaba, J; Suntharalingam, J; Seeger, W; Toshner, MR; Trembath, RC; Noordegraaf, AV; Wharton, J; Wilkins, MR; Wort, SJ; Upton, PD; Gräf, S; Morrell, NW</t>
  </si>
  <si>
    <t>Swietlik, E. M.; Hodgson, J.; Hadinnapola, C.; Bleda, M.; Haimel, M.; Church, C.; Coghlan, G.; Condliffe, R.; Corris, P. A.; Gibbs, J. S. R.; Holden, S.; Howard, L.; Humbert, M.; Jonson, M.; Kiely, D. G.; Lawrie, A.; Lordan, J.; Ross, R. V. MacKenzie; Olschewski, H.; Moledina, S.; Peacock, A. J.; Pepke-Zaba, J.; Suntharalingam, J.; Seeger, W.; Toshner, M. R.; Trembath, R. C.; Noordegraaf, A. Vonk; Wharton, J.; Wilkins, M. R.; Wort, S. J.; Upton, P. D.; Graf, S.; Morrell, N. W.</t>
  </si>
  <si>
    <t>PHENOTYPIC CHARACTERISATION OF GDF2 MUTATION CARRIERS IN A LARGE COHORT OF PATIENTS WITH PULMONARY ARTERIAL HYPERTENSION</t>
  </si>
  <si>
    <t>DEC 05-07, 2018</t>
  </si>
  <si>
    <t>Westminster, ENGLAND</t>
  </si>
  <si>
    <t>[Swietlik, E. M.; Hodgson, J.; Hadinnapola, C.; Bleda, M.; Haimel, M.; Upton, P. D.; Graf, S.; Morrell, N. W.] Univ Cambridge, Dept Med, Cambridge, England; [Church, C.; Jonson, M.; Peacock, A. J.] Golden Jubilee Natl Hosp, Glasgow, Lanark, Scotland; [Coghlan, G.] Royal Free Hosp, London, England; [Condliffe, R.; Kiely, D. G.] Royal Hallamshire Hosp, Sheffield, S Yorkshire, England; [Corris, P. A.] Newcastle Univ, Newcastle Upon Tyne, Tyne &amp; Wear, England; [Gibbs, J. S. R.] Imperial Coll London, Natl Heart &amp; Lung Inst, London, England; [Holden, S.] Addenbrookes Hosp, Cambridge, England; [Howard, L.; Wharton, J.; Wilkins, M. R.] Imperial Coll London, London, England; [Humbert, M.] Univ Paris Sud, Hop Bicetre, Paris, France; [Lawrie, A.] Univ Sheffield, Sheffield, S Yorkshire, England; [Lordan, J.] Freeman Rd Hosp, Newcastle, England; [Ross, R. V. MacKenzie; Suntharalingam, J.] Royal United Hosp Bath NHS Fdn Trust, Bath, Avon, England; [Olschewski, H.] Med Univ Graz, Graz, Austria; [Moledina, S.] Great Ormond St Hosp Sick Children, London, England; [Pepke-Zaba, J.; Toshner, M. R.] Royal Papworth Hosp, Papworth Everard, England; [Seeger, W.] Univ Giessen, Giessen, Germany; [Seeger, W.] Marburg Lung Ctr, Giessen, Germany; [Trembath, R. C.] Kings Coll London, Fac Life Sci &amp; Med, London, England; [Noordegraaf, A. Vonk] Vrije Univ Amsterdam Med Ctr, Amsterdam, Netherlands; [Wort, S. J.] Royal Brompton Hosp, London, England</t>
  </si>
  <si>
    <t>University of Cambridge; Golden Jubilee Hospital; University of London; University College London; Royal Free London NHS Foundation Trust; UCL Medical School; University of Sheffield; Newcastle University - UK; Imperial College London; University of Cambridge; Cambridge University Hospitals NHS Foundation Trust; Addenbrooke's Hospital; Imperial College London; Universite Paris Saclay; Assistance Publique Hopitaux Paris (APHP); Hopital Universitaire Bicetre - APHP; University of Sheffield; Newcastle Freeman Hospital; Medical University of Graz; University of London; University College London; Great Ormond Street Hospital for Children NHS Foundation Trust; Papworth Hospital; Justus Liebig University Giessen; University of London; King's College London; Vrije Universiteit Amsterdam; VU UNIVERSITY MEDICAL CENTER; Royal Brompton Hospital</t>
  </si>
  <si>
    <t>Cardoso, Paulo/C-5768-2012; Olschewski, Horst/L-3547-2019; Bleda, Marta/A-9333-2014; Pepke-Zaba, Joanna/AGW-3073-2022; moledina, shahin/A-6466-2009; Humbert, Marc/AAC-8459-2019; Howard, Luke/HJP-3415-2023; Hadinnapola, Charaka/AAW-1229-2020; Lawrie, Allan/A-2708-2012</t>
  </si>
  <si>
    <t>Wharton, John/0000-0001-8110-2575; Hadinnapola, Charaka/0000-0002-7794-3432</t>
  </si>
  <si>
    <t>S40</t>
  </si>
  <si>
    <t>A26</t>
  </si>
  <si>
    <t>10.1136/thorax-2018-212555.46</t>
  </si>
  <si>
    <t>IC7WF</t>
  </si>
  <si>
    <t>WOS:000471187500042</t>
  </si>
  <si>
    <t>Savale, L; Loko, G; Lionnet, F; Maitre, B; Habibi, A; Inamo, J; Bachir, D; Driss, F; Audard, V; Audureau, E; Humbert, M; Simonneau, G; Galactéros, F; Parent, F; Bartolucci, P</t>
  </si>
  <si>
    <t>Savale, Laurent; Loko, Gylna; Lionnet, Francois; Maitre, Bernard; Habibi, Anoosha; Inamo, Jocelyn; Bachir, Dora; Driss, Francoise; Audard, Vincent; Audureau, Etienne; Humbert, Marc; Simonneau, Gerald; Galacteros, Frederic; Parent, Florence; Bartolucci, Pablo</t>
  </si>
  <si>
    <t>Predictive Factors for Survival in Sickle Cell Disease: A Cohort Study Using Etendard Data</t>
  </si>
  <si>
    <t>BLOOD</t>
  </si>
  <si>
    <t>60th Annual Meeting of the American-Society-of-Hematology (ASH)</t>
  </si>
  <si>
    <t>DEC 01-04, 2018</t>
  </si>
  <si>
    <t>San Diego, CA</t>
  </si>
  <si>
    <t>Amer Soc Hematol</t>
  </si>
  <si>
    <t>[Savale, Laurent] Univ Paris Saclay, Ctr Reference Hypertens Pulm Severe, Hop Bicetre, AP HP,Univ Paris Sud,Serv Pneumol,Fac Med, Le Kremlin Bicetre, France; [Loko, Gylna] Martinique Univ Hosp, Le Lamentin, Martinique, France; [Lionnet, Francois] Hop Tenon, APHP, Paris, France; [Maitre, Bernard; Bartolucci, Pablo] Henri Mondor, AP HP, Creteil, France; [Habibi, Anoosha; Galacteros, Frederic] Henri Mondor Hosp, Assistance Publ Hop Paris, Sickle Cell Referral Ctr, Internal Med Unit, Creteil, France; [Inamo, Jocelyn] CHU Martinique, Dept Cardiol, Fort De France, Martinique, France; [Bachir, Dora] Hop Henri Mondor, Creteil, France; [Bachir, Dora] Sickle Cell Dis Ctr, Creteil, France; [Driss, Francoise] Hop Univ Paris Sud Bicetre, Unite Therapeut Transfus, Le Kremlin Bicetre, France; [Audard, Vincent] Henri Mondor Hosp, Assistance Publ Hop Paris, Nephrol &amp; Renal Transplantat Dept, INSERMU955, Creteil, France; [Audard, Vincent] Paris Est Creteil Univ, Creteil, France; [Audureau, Etienne] Henri Mondor Albert Chenevier, CHU, APHP, Creteil, France; [Humbert, Marc] Univ Paris Sud, CHU Bicetre, APHP, Serv Pneumol,Paris Saclay, Le Kremlin Bicetre, France; [Simonneau, Gerald; Parent, Florence] Univ Paris Sud, CHU Bicetre, APHP, Paris Saclay, Le Kremlin Bicetre, France</t>
  </si>
  <si>
    <t>Assistance Publique Hopitaux Paris (APHP); Hopital Universitaire Antoine-Beclere - APHP; Hopital Universitaire Bicetre - APHP; Universite Paris Saclay; Institut National de la Sante et de la Recherche Medicale (Inserm); CHU Martinique; Assistance Publique Hopitaux Paris (APHP); Sorbonne Universite; Hopital Universitaire Tenon - APHP; Hopital Universitaire Ambroise-Pare - APHP; Universite Paris Cite; Hopital Universitaire Hotel-Dieu - APHP; Assistance Publique Hopitaux Paris (APHP); Universite Paris-Est-Creteil-Val-de-Marne (UPEC); Hopital Universitaire Henri-Mondor - APHP; Assistance Publique Hopitaux Paris (APHP); Universite Paris-Est-Creteil-Val-de-Marne (UPEC); Hopital Universitaire Henri-Mondor - APHP; Universite Paris Cite; Hopital Universitaire Saint-Louis - APHP; CHU Martinique; Assistance Publique Hopitaux Paris (APHP); Universite Paris-Est-Creteil-Val-de-Marne (UPEC); Hopital Universitaire Henri-Mondor - APHP; Assistance Publique Hopitaux Paris (APHP); Hopital Universitaire Bicetre - APHP; Institut National de la Sante et de la Recherche Medicale (Inserm); Universite Paris-Est-Creteil-Val-de-Marne (UPEC); Assistance Publique Hopitaux Paris (APHP); Hopital Universitaire Henri-Mondor - APHP; Universite Paris Cite; Hopital Universitaire Saint-Louis - APHP; Universite Paris-Est-Creteil-Val-de-Marne (UPEC); Assistance Publique Hopitaux Paris (APHP); Universite Paris-Est-Creteil-Val-de-Marne (UPEC); Hopital Universitaire Henri-Mondor - APHP; Universite Paris Saclay; Assistance Publique Hopitaux Paris (APHP); Hopital Universitaire Bicetre - APHP; Universite Paris Saclay; Assistance Publique Hopitaux Paris (APHP); Hopital Universitaire Bicetre - APHP</t>
  </si>
  <si>
    <t>INAMO, Jocelyn/AGZ-1674-2022; Savale, Laurent/AAJ-9781-2020; Humbert, Marc/AAC-8459-2019; Audureau, Etienne/AHE-2826-2022; Simonneau, Gerald/ABE-6614-2020</t>
  </si>
  <si>
    <t>AMER SOC HEMATOLOGY</t>
  </si>
  <si>
    <t>2021 L ST NW, SUITE 900, WASHINGTON, DC 20036 USA</t>
  </si>
  <si>
    <t>0006-4971</t>
  </si>
  <si>
    <t>1528-0020</t>
  </si>
  <si>
    <t>Blood</t>
  </si>
  <si>
    <t>NOV 29</t>
  </si>
  <si>
    <t>10.1182/blood-2018-99-113767</t>
  </si>
  <si>
    <t>HG2ZL</t>
  </si>
  <si>
    <t>WOS:000454837600061</t>
  </si>
  <si>
    <t>Lambert, M; Capuano, V; Hautefort, A; Boet, A; Manoury, B; Montani, D; Humbert, M; Perros, F; Antigny, F</t>
  </si>
  <si>
    <t>Lambert, Melanie; Capuano, Veronique; Hautefort, Aurelie; Boet, Angele; Manoury, Boris; Montani, David; Humbert, Marc; Perros, Frederic; Antigny, Fabrice</t>
  </si>
  <si>
    <t>Kcnk3 Channel Inactivation Leads to Pulmonary Vascular Alterations in Rat</t>
  </si>
  <si>
    <t>[Lambert, Melanie; Capuano, Veronique; Hautefort, Aurelie; Boet, Angele; Montani, David; Humbert, Marc; Perros, Frederic; Antigny, Fabrice] CCML, INSERM, U999, Le Plessis Robinson, France; [Manoury, Boris] INSERM, U1180, Chatenay Malabry, France</t>
  </si>
  <si>
    <t>Universite Paris Saclay; Institut National de la Sante et de la Recherche Medicale (Inserm); Institut National de la Sante et de la Recherche Medicale (Inserm); Universite Paris Saclay</t>
  </si>
  <si>
    <t>Manoury, Boris/P-1066-2016; Antigny, Fabrice/Q-3999-2018; Perros, Frédéric/N-6921-2017; Humbert, Marc/AAC-8459-2019; David, Montani/I-6885-2019</t>
  </si>
  <si>
    <t>NOV 6</t>
  </si>
  <si>
    <t>A13346</t>
  </si>
  <si>
    <t>VJ0TD</t>
  </si>
  <si>
    <t>WOS:000528619403169</t>
  </si>
  <si>
    <t>Nordon, C; Grimaldi-Bensouda, L; Pribil, C; Nachbaur, G; Amzal, B; Thabut, G; Marthan, R; Aubier, M; Aubier, M; Crestani, B; Taillé, C; Dombret, MC; Pretolani, M; Berger, P; Bourdin, A; Vachier, I; Molinari, N; Chanez, P; Similowski, T; Didier, A; De Blay, F; Humbert, M; Garcia, G; Magian, A; Maitre, B; Roche, N; Tsicopoulos, A; Chenivesse, C; Deslée, G; Marquette, CH; Devouassoux, G</t>
  </si>
  <si>
    <t>Nordon, Clementine; Grimaldi-Bensouda, Lamiae; Pribil, Celine; Nachbaur, Gaelle; Amzal, Billy; Thabut, Gabriel; Marthan, Roger; Aubier, Michel; Aubier, M.; Crestani, B.; Taille, C.; Dombret, M. C.; Pretolani, M.; Berger, P.; Bourdin, A.; Vachier, I; Molinari, N.; Chanez, P.; Similowski, T.; Didier, A.; De Blay, F.; Humbert, M.; Garcia, G.; Magian, A.; Maitre, B.; Roche, N.; Tsicopoulos, A.; Chenivesse, C.; Deslee, G.; Marquette, C. H.; Devouassoux, G.</t>
  </si>
  <si>
    <t>COBRA Study Grp</t>
  </si>
  <si>
    <t>Clinical and economic burden of severe asthma: A French cohort study</t>
  </si>
  <si>
    <t>Severe asthma; Status asthmaticus; Healthcare resource utilization; Observational study; Cohort</t>
  </si>
  <si>
    <t>RISK-FACTORS; ADULTS; PREVALENCE; GINA; GUIDELINES; VISITS; COSTS; LUNG</t>
  </si>
  <si>
    <t>Objective: To describe the clinical and economic burden of severe asthma in France over 12 months. Methods: Data were retrieved from the observational, prospective Cohorte Obstruction Bronchique et Asthme (COBRA) cohort, which has enrolled nearly 1000 asthma patients since 2007 from throughout France. Patients undergoing treatment with GINA step-4 or 5 medications uninterruptedly for 12 months (thus defining severe asthma) were identified and their clinical data used to describe the clinical burden of asthma (exacerbations, symptoms outside exacerbations, and level of asthma control). Patients' utilization of healthcare resources was described and used to estimate the direct medical costs incurred to treat severe asthma. Results: 155 patients were included in the present study. Over the 12-month period of interest, 128 (83%) patients experienced at least one asthma exacerbation, 22 (14%) patients were hospitalized for asthma, 133 (86%) patients experienced continuous symptoms outside exacerbations, and 77 (50%) patients experienced important limitations in daily life activities. The median number of asthma-related drugs used was 4. The mean estimated annual asthma-related cost was 8,222 euros (standard deviation, SD=11,886), including 7,229 euros (SD=11,703) for controller medications. Conclusion: Symptoms outside exacerbation periods are highly prevalent in severe asthma patients, for whom the main driver of medical costs is controller medication.</t>
  </si>
  <si>
    <t>[Nordon, Clementine; Grimaldi-Bensouda, Lamiae] Tour CIT, LASER, 3 Rue Arrivee, F-75015 Paris, France; [Pribil, Celine; Nachbaur, Gaelle] GlaxoSmithKline, 23 Rue Francois Jacob, F-92500 Rueil Malmaison, France; [Amzal, Billy] Analyt LA SER, Audrey House,16-20 Ely Pl, London EC1N 6SN, England; [Thabut, Gabriel; Aubier, Michel] Hop Xavier Bichat, AP HP, Inserm U1152, 46 Rue Henri Huchard, F-75877 Paris, France; [Thabut, Gabriel; Aubier, Michel] Paris Diderot Med Sch, 46 Rue Henri Huchard, F-75877 Paris, France; [Marthan, Roger] Bordeaux Segalen Univ, Inserm U1045, Case Courrier 13,146 Rue Leo Saignat, F-33076 Bordeaux, France; [Aubier, M.; Crestani, B.; Taille, C.; Dombret, M. C.; Pretolani, M.; COBRA Study Grp] Bichat Claude Berna Univ Hosp, Inserm UMR1152, Paris, France; [Berger, P.] Univ Hosp, Inserm UMR 1045, Bordeaux, France; [Bourdin, A.; Vachier, I; Molinari, N.] Univ Hosp, Montpellier, France; [Chanez, P.] St Marguerite Univ Hosp, Marseille, France; [Similowski, T.] La Pitie Salpetrietre Univ Hosp, Inserm UMR1158, Paris, France; [Didier, A.] Univ Hosp, Toulouse, France; [De Blay, F.] Univ Hosp, Strasbourg, France; [Humbert, M.; Garcia, G.] Univ Hosp Bicetre, Inserm UMR999, Clamart, France; [Magian, A.] Univ Hosp, Inst Thorax, Inserm UMR915, Nantes, France; [Maitre, B.] Univ Hosp, Inserm UMR 955, Mondor Creteil, France; [Roche, N.] Univ Hosp Cochin Broca Hotel Dieu, Paris, France; [Tsicopoulos, A.; Chenivesse, C.] Univ Hosp, Inserm UMR1019, Lille, France; [Deslee, G.] Maison Blanche Univ Hosp, Reims, France; [Marquette, C. H.] Pasteur Univ Hosp, Nice, France; [Devouassoux, G.] Croix Rousse Univ Hosp, Lyon, France</t>
  </si>
  <si>
    <t>GlaxoSmithKline; Assistance Publique Hopitaux Paris (APHP); Universite Paris Cite; Hopital Universitaire Bichat-Claude Bernard - APHP; Institut National de la Sante et de la Recherche Medicale (Inserm); Universite Paris Cite; Universite de Bordeaux; Institut National de la Sante et de la Recherche Medicale (Inserm); Assistance Publique Hopitaux Paris (APHP); Universite Paris Cite; Hopital Universitaire Bichat-Claude Bernard - APHP; Institut National de la Sante et de la Recherche Medicale (Inserm); CHU Bordeaux; Institut National de la Sante et de la Recherche Medicale (Inserm); Universite de Bordeaux; Universite de Montpellier; CHU de Montpellier; Aix-Marseille Universite; Assistance Publique-Hopitaux de Marseille; Assistance Publique Hopitaux Paris (APHP); CHU de Toulouse; CHU Strasbourg; Assistance Publique Hopitaux Paris (APHP); Hopital Universitaire Antoine-Beclere - APHP; Hopital Universitaire Bicetre - APHP; Nantes Universite; CHU de Nantes; Institut National de la Sante et de la Recherche Medicale (Inserm); Universite Paris-Est-Creteil-Val-de-Marne (UPEC); Institut National de la Sante et de la Recherche Medicale (Inserm); Assistance Publique Hopitaux Paris (APHP); Hopital Universitaire Henri-Mondor - APHP; Assistance Publique Hopitaux Paris (APHP); Universite Paris Cite; Hopital Universitaire Hotel-Dieu - APHP; Hopital Universitaire Cochin - APHP; Universite de Lille; CHU Lille; CHU de Reims; CHU Nice; CHU Lyon</t>
  </si>
  <si>
    <t>Nordon, C (corresponding author), Tour CIT, LASER, 3 Rue Arrivee, F-75015 Paris, France.</t>
  </si>
  <si>
    <t>nordon.clementine@gmail.com</t>
  </si>
  <si>
    <t>Similowski, Thomas/GQQ-9468-2022; CHENIVESSE, Cécile/GPP-6628-2022; Bourdin, Philippe/D-8149-2015; Vachier, Isabelle/AAV-5731-2020; Pretolani, Marina/G-6643-2017; Taille, Camille/J-3751-2017; Roche, Nicolas/AAP-4445-2021; molinari, nicolas/Y-9681-2019; Marquette, Charles/O-4084-2016; Humbert, Marc/AAC-8459-2019; DESLEE, Gaetan/G-2625-2013; TSICOPOULOS, Anne/C-2260-2019</t>
  </si>
  <si>
    <t>Humbert, Marc/0000-0003-0703-2892; Grimaldi-Bensouda, Lamiae/0000-0003-1952-5467; chanez, pascal/0000-0003-4059-0917; DESLEE, Gaetan/0000-0002-4919-5916; Marthan, Roger/0000-0001-5412-5712; Bourdin, Arnaud/0000-0002-4645-5209; TSICOPOULOS, Anne/0000-0002-1579-2763; Taille, Camille/0000-0001-9768-5728</t>
  </si>
  <si>
    <t>GSK [HO-14-15379]</t>
  </si>
  <si>
    <t>This study was funded by GSK (HO-14-15379).</t>
  </si>
  <si>
    <t>10.1016/j.rmed.2018.10.002</t>
  </si>
  <si>
    <t>GX9WL</t>
  </si>
  <si>
    <t>WOS:000448159000007</t>
  </si>
  <si>
    <t>Kovacs, G; Agusti, A; Barberà, JA; Celli, B; Criner, G; Humbert, M; Sin, DD; Voelkel, N; Olschewski, H</t>
  </si>
  <si>
    <t>Kovacs, Gabor; Agusti, Alvar; Barbera, Joan Albert; Celli, Bartolome; Criner, Gerard; Humbert, Marc; Sin, Don D.; Voelkel, Norbert; Olschewski, Horst</t>
  </si>
  <si>
    <t>Pulmonary Vascular Involvement in Chronic Obstructive Pulmonary Disease Is There a Pulmonary Vascular Phenotype?</t>
  </si>
  <si>
    <t>TERM OXYGEN-THERAPY; ADVANCED LUNG-DISEASE; CIGARETTE-SMOKE; ARTERIAL-PRESSURE; GUINEA-PIG; COMPUTED-TOMOGRAPHY; SEVERE EMPHYSEMA; CONTROLLED-TRIAL; COR-PULMONALE; HEART-FAILURE</t>
  </si>
  <si>
    <t>[Kovacs, Gabor; Olschewski, Horst] Med Univ Graz, Auenbruggerpl 15, A-8036 Graz, Austria; [Kovacs, Gabor; Olschewski, Horst] Ludwig Boltzmann Inst Lung Vasc Res, Graz, Austria; [Agusti, Alvar; Barbera, Joan Albert] Univ Barcelona, Resp Inst, Hosp Clin, August Pi &amp; Sunyer Biomed Res Inst, Barcelona, Spain; [Agusti, Alvar; Barbera, Joan Albert] Ctr Invest Biomed Red Enfermedades Resp, Madrid, Spain; [Celli, Bartolome] Brigham &amp; Womens Hosp, 75 Francis St, Boston, MA 02115 USA; [Criner, Gerard] Temple Univ, Dept Thorac Med &amp; Surg, Lewis Katz Sch Med, Philadelphia, PA 19122 USA; [Humbert, Marc] Univ Paris Saclay, Univ Paris Sud, Le Kremlin Bicetre, France; [Humbert, Marc] INSERM, U999, Le Kremlin Bicetre, France; [Humbert, Marc] Hop Bicetre, AP HP, Le Kremlin Bicetre, France; [Sin, Don D.] St Pauls Hosp, Ctr Heart Lung Innovat, Vancouver, BC, Canada; [Sin, Don D.] Univ British Columbia, Div Resp Med, Dept Med, Vancouver, BC, Canada; [Voelkel, Norbert] Frije Univ, Dept Pulm Med, Med Ctr, Amsterdam, Netherlands</t>
  </si>
  <si>
    <t>Medical University of Graz; Ludwig Boltzmann Institute; Ludwig Boltzmann Institute for Lung Vascular Research; University of Barcelona; Hospital Clinic de Barcelona; IDIBAPS; CIBER - Centro de Investigacion Biomedica en Red; CIBERES; Harvard University; Harvard University Medical Affiliates; Brigham &amp; Women's Hospital; Pennsylvania Commonwealth System of Higher Education (PCSHE); Temple University; Universite Paris Saclay; Institut National de la Sante et de la Recherche Medicale (Inserm); Universite Paris Saclay; Assistance Publique Hopitaux Paris (APHP); Hopital Universitaire Antoine-Beclere - APHP; Hopital Universitaire Bicetre - APHP; St. Paul's Hospital; University of British Columbia</t>
  </si>
  <si>
    <t>Olschewski, H (corresponding author), Med Univ Graz, Auenbruggerpl 15, A-8036 Graz, Austria.</t>
  </si>
  <si>
    <t>Sin, Don/AAC-2219-2021; Olschewski, Horst/L-3547-2019; Humbert, Marc/AAC-8459-2019; Agusti Garcia-Navarro, Alvar/F-4474-2015</t>
  </si>
  <si>
    <t>Humbert, Marc/0000-0003-0703-2892; Kovacs, Gabor/0000-0003-3709-2183; Agusti Garcia-Navarro, Alvar/0000-0003-3271-3788; Olschewski, Horst/0000-0002-2834-7466</t>
  </si>
  <si>
    <t>OCT 15</t>
  </si>
  <si>
    <t>10.1164/rccm.201801-0095PP</t>
  </si>
  <si>
    <t>GX0MP</t>
  </si>
  <si>
    <t>WOS:000447405000011</t>
  </si>
  <si>
    <t>Bohnen, MS; Ma, LJ; Zhu, N; Qi, HJ; McClenaghan, C; Gonzaga-Jauregui, C; Dewey, FE; Overton, JD; Reid, JG; Shuldiner, AR; Baras, A; Sampson, KJ; Bleda, M; Hadinnapola, C; Haimel, M; Bogaard, HJ; Church, C; Coghlan, G; Corris, PA; Eyries, M; Gibbs, JSR; Girerd, B; Houweling, AC; Humbert, M; Guignabert, C; Kiely, DG; Lawrie, A; Ross, RVM; Martin, JM; Montani, D; Peacock, AJ; Pepke-Zaba, J; Soubrier, F; Suntharalingam, J; Toshner, M; Treacy, CM; Trembath, RC; Noordegraaf, AV; Wharton, J; Wilkins, MR; Wort, SJ; Yates, K; Gräf, S; Morrell, NW; Krishnan, U; Rosenzweig, EB; Shen, YF; Nichols, CG; Kass, RS; Chung, WK</t>
  </si>
  <si>
    <t>Bohnen, Michael S.; Ma, Lijiang; Zhu, Na; Qi, Hongjian; McClenaghan, Conor; Gonzaga-Jauregui, Claudia; Dewey, Frederick E.; Overton, John D.; Reid, Jeffrey G.; Shuldiner, Alan R.; Baras, Aris; Sampson, Kevin J.; Bleda, Marta; Hadinnapola, Charaka; Haimel, Matthias; Bogaard, Harm J.; Church, Colin; Coghlan, Gerry; Corris, Paul A.; Eyries, Melanie; Gibbs, J. Simon R.; Girerd, Barbara; Houweling, Arjan C.; Humbert, Marc; Guignabert, Christophe; Kiely, David G.; Lawrie, Allan; Ross, Rob V. MacKenzie; Martin, Jennifer M.; Montani, David; Peacock, Andrew J.; Pepke-Zaba, Joanna; Soubrier, Florent; Suntharalingam, Jay; Toshner, Mark; Treacy, Carmen M.; Trembath, Richard C.; Noordegraaf, Anton Vonk; Wharton, John; Wilkins, Martin R.; Wort, Stephen J.; Yates, Katherine; Graf, Stefan; Morrell, Nicholas W.; Krishnan, Usha; Rosenzweig, Erika B.; Shen, Yufeng; Nichols, Colin G.; Kass, Robert S.; Chung, Wendy K.</t>
  </si>
  <si>
    <t>Loss-of-Function ABCC8 Mutations in Pulmonary Arterial Hypertension</t>
  </si>
  <si>
    <t>electrophysiology; genetics; humans; hypertension, pulmonary; ion channels</t>
  </si>
  <si>
    <t>K-ATP CHANNELS; CONGENITAL HYPERINSULINISM; GERMLINE MUTATIONS; RECEPTOR; GENE; EXPRESSION; DIAZOXIDE; DOMINANT; DEFECTS; INFANCY</t>
  </si>
  <si>
    <t>BACKGROUND: In pulmonary arterial hypertension (PAH), pathological changes in pulmonary arterioles progressively raise pulmonary artery pressure and increase pulmonary vascular resistance, leading to right heart failure and high mortality rates. Recently, the first potassium channelopathy in PAH, because of mutations in KCNK3, was identified as a genetic cause and pharmacological target. METHODS: Exome sequencing was performed to identify novel genes in a cohort of 99 pediatric and 134 adult-onset group I PAH patients. Novel rare variants in the gene identified were independently identified in a cohort of 680 adult-onset patients. Variants were expressed in COS cells and function assessed by patch-clamp and rubidium flux analysis. RESULTS: We identified a de novo novel heterozygous predicted deleterious missense variant c.G2873A (p.R958H) in ABCC8 in a child with idiopathic PAH. We then evaluated all individuals in the original and a second cohort for rare or novel variants in ABCC8 and identified 11 additional heterozygous predicted damaging ABCC8 variants. ABCC8 encodes SUR1 (sulfonylurea receptor 1)-a regulatory subunit of the ATP-sensitive potassium channel. We observed loss of ATP-sensitive potassium channel function for all ABCC8 variants evaluated and pharmacological rescue of all channel currents in vitro by the SUR1 activator, diazoxide. CONCLUSIONS: Novel and rare missense variants in ABCC8 are associated with PAH. Identified ABCC8 mutations decreased ATP-sensitive potassium channel function, which was pharmacologically recovered.</t>
  </si>
  <si>
    <t>[Ma, Lijiang; Zhu, Na; Krishnan, Usha; Rosenzweig, Erika B.; Chung, Wendy K.] Columbia Univ, Coll Phys &amp; Surg, Dept Pediat, 1150 St Nicholas Ave,Room 620, New York, NY 10032 USA; [Bohnen, Michael S.; Sampson, Kevin J.; Kass, Robert S.] Columbia Univ, Coll Phys &amp; Surg, Dept Pharmacol, New York, NY USA; [Qi, Hongjian; Shen, Yufeng] Columbia Univ, Dept Appl Phys &amp; Appl Math, New York, NY USA; [Zhu, Na; Qi, Hongjian; Shen, Yufeng] Columbia Univ, Dept Syst Biol, New York, NY USA; [McClenaghan, Conor; Gonzaga-Jauregui, Claudia] Washington Univ, Sch Med, Dept Cell Biol &amp; Physiol, St Louis, MO 63110 USA; [McClenaghan, Conor; Gonzaga-Jauregui, Claudia] Washington Univ, Sch Med, Ctr Invest Membrane Excitabil Dis, St Louis, MO USA; [Gonzaga-Jauregui, Claudia; Dewey, Frederick E.; Overton, John D.; Reid, Jeffrey G.; Shuldiner, Alan R.; Baras, Aris] Regeneron Pharmaceut Inc, Regeneron Genet Ctr, 777 Old Saw Mill River Rd, Tarrytown, NY 10591 USA; [Bleda, Marta; Hadinnapola, Charaka; Haimel, Matthias; Martin, Jennifer M.; Toshner, Mark; Treacy, Carmen M.; Yates, Katherine; Graf, Stefan; Morrell, Nicholas W.] Univ Cambridge, Addenbrookes Hosp, Dept Med, Cambridge, England; [Graf, Stefan] Univ Cambridge, Addenbrookes Hosp, Dept Hematol, Cambridge, England; [Bogaard, Harm J.; Houweling, Arjan C.; Noordegraaf, Anton Vonk] Vrije Univ Amsterdam, Med Ctr, Amsterdam, Netherlands; [Church, Colin; Peacock, Andrew J.] Golden Jubilee Natl Hosp, Glasgow, Lanark, Scotland; [Coghlan, Gerry] Royal Free Hosp, London, England; [Corris, Paul A.] Newcastle Univ, Newcastle Upon Tyne, Tyne &amp; Wear, England; [Corris, Paul A.] Newcastle Upon Tyne Hosp Natl Hlth Serv Fdn Trust, Newcastle Upon Tyne, Tyne &amp; Wear, England; [Eyries, Melanie; Soubrier, Florent] Sorbonne Univ, UPMC Pierre &amp; Marie Curie Univ, Hop Pitie Salpetriere, AP HP,Depat Genet, Paris, France; [Eyries, Melanie; Soubrier, Florent] Sorbonne Univ, UPMC Pierre &amp; Marie Curie Univ, INSERM, ICAN,UMR S 1166, Paris, France; [Gibbs, J. Simon R.; Wort, Stephen J.] Imperial Coll London, Natl Heart &amp; Lung Inst, London, England; [Girerd, Barbara; Humbert, Marc; Guignabert, Christophe; Montani, David] Univ Paris Saclay, Univ Paris Sud, Hop Bicetre,UMR S 999, AP HP,INSERM,Ctr Reference Hypertens Pulm Severe, Le Kremlin Bicetre, France; [Kiely, David G.] Royal Hallamshire, Sheffield Clin Res Facil, Sheffield, S Yorkshire, England; [Lawrie, Allan] Univ Sheffield, Dept Infect Immun &amp; Cardiovasc Dis, Sheffield, S Yorkshire, England; [Ross, Rob V. MacKenzie; Suntharalingam, Jay] Royal United Bath Hosp, Bath, Avon, England; [Pepke-Zaba, Joanna; Toshner, Mark] Papworth Hosp, Cambridge, England; [Trembath, Richard C.] Kings Coll London, Div Genet &amp; Mol Med, London, England; [Wharton, John; Wilkins, Martin R.] Imperial Coll London, Dept Med, Hammersmith Campus, London, England; [Wort, Stephen J.] Royal Brompton Hosp, London, England</t>
  </si>
  <si>
    <t>Columbia University; Columbia University; Columbia University; Columbia University; Washington University (WUSTL); Washington University (WUSTL); Regeneron; Cambridge University Hospitals NHS Foundation Trust; Addenbrooke's Hospital; University of Cambridge; University of Cambridge; Cambridge University Hospitals NHS Foundation Trust; Addenbrooke's Hospital; Vrije Universiteit Amsterdam; Golden Jubilee Hospital; University of London; University College London; Royal Free London NHS Foundation Trust; UCL Medical School; Newcastle University - UK; Newcastle Upon Tyne Hospitals NHS Foundation Trust; Sorbonne Universite; Assistance Publique Hopitaux Paris (APHP); Hopital Universitaire Pitie-Salpetriere - APHP; Sorbonne Universite; Institut National de la Sante et de la Recherche Medicale (Inserm); Imperial College London; Assistance Publique Hopitaux Paris (APHP); Hopital Universitaire Antoine-Beclere - APHP; Universite Paris Saclay; Institut National de la Sante et de la Recherche Medicale (Inserm); Hopital Universitaire Bicetre - APHP; University of Sheffield; Papworth Hospital; University of London; King's College London; Imperial College London; Royal Brompton Hospital</t>
  </si>
  <si>
    <t>Chung, WK (corresponding author), Columbia Univ, Coll Phys &amp; Surg, Dept Pediat, 1150 St Nicholas Ave,Room 620, New York, NY 10032 USA.</t>
  </si>
  <si>
    <t>wkc15@cumc.columbia.edu</t>
  </si>
  <si>
    <t>EYRIES, melanie/ABF-1034-2020; Lawrie, Allan/A-2708-2012; Bleda, Marta/A-9333-2014; Hadinnapola, Charaka/AAW-1229-2020; Pepke-Zaba, Joanna/AGW-3073-2022; Krishnan, Usha/AAI-2403-2021; Cardoso, Paulo/C-5768-2012; David, Montani/I-6885-2019; Zhu, Na/L-3444-2019; Yufeng, Shen/A-7490-2019; Wilkins, Martin/ABH-1140-2021; Gonzaga-Jauregui, Claudia/H-4752-2019; Rosenzweig, Erika/AAC-3680-2019; GUIGNABERT, Christophe/G-3873-2013; Humbert, Marc/AAC-8459-2019</t>
  </si>
  <si>
    <t>Rosenzweig, Erika B./0000-0003-4849-214X; McClenaghan, Conor/0000-0002-0859-3854; Kass, Robert/0000-0003-4377-3874; GUIGNABERT, Christophe/0000-0002-8545-4452; Humbert, Marc/0000-0003-0703-2892; Montani, David/0000-0002-9358-6922; Church, Alistair/0000-0002-4446-0100; Haimel, Matthias/0000-0002-0320-0214; Bogaard, Harm Jan/0000-0001-5371-0346; Wharton, John/0000-0001-8110-2575; Morrell, Nicholas/0000-0001-5700-9792; Wilkins, Martin/0000-0003-3926-1171; Vonk Noordegraaf, Anton/0000-0002-4057-758X; Krishnan, MD, Usha/0000-0002-5733-6096; Hadinnapola, Charaka/0000-0002-7794-3432; Gonzaga-Jauregui, Claudia/0000-0002-4667-3679; Toshner, Mark/0000-0002-3969-6143; Lawrie, Allan/0000-0003-4192-9505; Zhu, Na/0000-0001-6460-3087</t>
  </si>
  <si>
    <t>National Heart, Lung, and Blood Institute (NHLBI) [HL060056, HL129656, HL45742]; NHLBI R24 grant [R24HL123767]; Cardiovascular Medical Research and Education Fund (CMREF); Medical Research Council Experimental Challenge [MR/K020919/1]; British Heart Foundation Special Project [SP/12/12/29836]; National Institute for Health Research BioResource-Rare Diseases; National Institute for Health Research/Wellcome Trust Imperial Clinical Research Facility, at Imperial College Healthcare National Health Service Trust, London, United Kingdom; MRC [MR/K020919/1] Funding Source: UKRI</t>
  </si>
  <si>
    <t>National Heart, Lung, and Blood Institute (NHLBI)(United States Department of Health &amp; Human ServicesNational Institutes of Health (NIH) - USANIH National Heart Lung &amp; Blood Institute (NHLBI)); NHLBI R24 grant; Cardiovascular Medical Research and Education Fund (CMREF); Medical Research Council Experimental Challenge; British Heart Foundation Special Project; National Institute for Health Research BioResource-Rare Diseases; National Institute for Health Research/Wellcome Trust Imperial Clinical Research Facility, at Imperial College Healthcare National Health Service Trust, London, United Kingdom; MRC(UK Research &amp; Innovation (UKRI)Medical Research Council UK (MRC))</t>
  </si>
  <si>
    <t>Funding support was provided by National Heart, Lung, and Blood Institute (NHLBI) HL060056 (to Dr Chung), HL129656 (to Dr Bohnen), and HL45742 (to Dr Gonzaga-Jauregui). Funding for the Pulmonary Hypertension Breakthrough Initiative (PHBI) is provided under an NHLBI R24 grant, No. R24HL123767, and by the Cardiovascular Medical Research and Education Fund (CMREF). Additional funding was provided by a Medical Research Council Experimental Challenge Award MR/K020919/1 (to Dr Morrell); a British Heart Foundation Special Project Grant SP/12/12/29836 (to Dr Morrell); the National Institute for Health Research BioResource-Rare Diseases, and the National Institute for Health Research/Wellcome Trust Imperial Clinical Research Facility, at Imperial College Healthcare National Health Service Trust, London, United Kingdom.</t>
  </si>
  <si>
    <t>e002087</t>
  </si>
  <si>
    <t>10.1161/CIRCGEN.118.002087</t>
  </si>
  <si>
    <t>GX1HF</t>
  </si>
  <si>
    <t>WOS:000447465200004</t>
  </si>
  <si>
    <t>Chemla, D; Weatherald, J; Lau, EMT; Savale, L; Boucly, A; Attal, P; Jais, X; Parent, F; Girerd, B; Simonneau, G; Montani, D; Humbert, M; Sitbon, O; Herve, P</t>
  </si>
  <si>
    <t>Chemla, Denis; Weatherald, Jason; Lau, Edmund M. T.; Savale, Laurent; Boucly, Athenals; Attal, Pierre; Jais, Xavier; Parent, Florence; Girerd, Barbara; Simonneau, Gerald; Montani, David; Humbert, Marc; Sitbon, Olivier; Herve, Philippe</t>
  </si>
  <si>
    <t>Clinical and Hemodynamic Correlates of Pulmonary Arterial Stiffness in Incident, Untreated Patients With Idiopathic Pulmonary Arterial Hypertension</t>
  </si>
  <si>
    <t>heart failure; hemodynamics; pulmonary arterial hypertension</t>
  </si>
  <si>
    <t>RIGHT-VENTRICULAR AFTERLOAD; VASCULAR-RESISTANCE; CAPACITANCE; PRESSURE; DYSFUNCTION; MORTALITY; IMPEDANCE</t>
  </si>
  <si>
    <t>BACKGROUND: The role of decreased pulmonary arterial (PA) compliance (C), equivalent to increased PA stiffness (1/C), as a critical determinant of right ventricular dysfunction and prognosis has been emphasized in pulmonary arterial hypertension (PAH). METHODS: This study retrospectively reviewed all incident patients diagnosed with idiopathic PAH according to right heart catheterization who were enrolled in the French Pulmonary Arterial Hypertension Network registry between 2006 and 2016 and who had complete baseline data allowing calculation of stiffness (PA pulse pressure/stroke volume index). RESULTS: In the 719 patients included (median age: 66 years; 53.7% female), PA stiffness was 1.49 mm Hg x m(2)/mL (interquartile ratio: 1.08-2.04 mm Hg x m(2)/mL). Stiffness was related to mean pulmonary artery pressure (mPAP) (r(2) = 0.33) and heart rate (r(2) = 0.15) but not to age or sex. Higher PA stiffness and higher pulmonary vascular resistance (PVR) were documented in high-risk vs low-risk patients, as defined according to the European Society of Cardiology/European Respiratory Society guidelines. The dispersion of the PVR x C product was as variable as patient age and mPAP, and C could not be estimated on the basis of PVR alone (95% limits of agreement of the bias: -50% to 54%). Although transplant-free survival differed across PA stiffness quartiles (P = .04), stiffness was not an independent predictor of long-term outcome (median follow-up duration: 2.43 years). CONCLUSIONS: In incident idiopathic PAH, PA stiffness was related to mPAP and heart rate, and this finding outperformed the potential influences of age and sex. Baseline PA stiffness did not independently predict outcome. The great dispersion of the PVR x C product implied that PVR and PA stiffness were differently affected by the disease process.</t>
  </si>
  <si>
    <t>[Chemla, Denis] Hop Bicetre, AP HP, Serv Physiol, Le Kremlin Bicetre, France; [Savale, Laurent; Boucly, Athenals; Jais, Xavier; Parent, Florence; Girerd, Barbara; Montani, David; Humbert, Marc; Sitbon, Olivier] Hop Bicetre, AP HP, Serv Pneumol, Le Kremlin Bicetre, France; [Chemla, Denis; Savale, Laurent; Boucly, Athenals; Jais, Xavier; Parent, Florence; Girerd, Barbara; Simonneau, Gerald; Montani, David; Humbert, Marc; Sitbon, Olivier] Univ Paris Saclay, Fac Med, Univ Paris Sud, Le Kremlin Bicetre, France; [Chemla, Denis; Savale, Laurent; Boucly, Athenals; Jais, Xavier; Parent, Florence; Girerd, Barbara; Simonneau, Gerald; Montani, David; Sitbon, Olivier; Herve, Philippe] Hop Marie Lannelongue, INSERM UMR S 999, Le Plessis Robinson, France; [Weatherald, Jason] Univ Calgary, Dept Med, Div Respirol, Calgary, AB, Canada; [Weatherald, Jason] Libin Cardiovasc Inst Alberta, Div Respirol, Calgary, AB, Canada; [Lau, Edmund M. T.] Royal Prince Alfred Hosp, Dept Resp Med, Camperdown, NSW, Australia; [Attal, Pierre] Shaare Zedek Med Ctr, Dept Otolaryngol Head &amp; Neck Surg, Jerusalem, Israel; [Attal, Pierre] Hebrew Univ Jerusalem, Med Sch, Dept Otolaryngol Head &amp; Neck Surg, Jerusalem, Israel; [Herve, Philippe] Hop Marie Lannelongue, Dept Chirurg Thorac, Vasc &amp;Transplantat Pulm, Le Plessis Robinson, France</t>
  </si>
  <si>
    <t>Assistance Publique Hopitaux Paris (APHP); Hopital Universitaire Bicetre - APHP; Hopital Universitaire Antoine-Beclere - APHP; Universite Paris Saclay; Universite Paris Saclay; Assistance Publique Hopitaux Paris (APHP); Hopital Universitaire Bicetre - APHP; Hopital Universitaire Antoine-Beclere - APHP; Universite Paris Saclay; Institut National de la Sante et de la Recherche Medicale (Inserm); Hopital Marie Lannelongue; Universite Paris Saclay; University of Calgary; Libin Cardiovascular Institute Of Alberta; NSW Health; Royal Prince Alfred Hospital; University of Sydney; Hebrew University of Jerusalem; Shaare Zedek Medical Center; Hebrew University of Jerusalem; Hopital Marie Lannelongue</t>
  </si>
  <si>
    <t>Chemla, D (corresponding author), Hop Bicetre, Serv Explorat Fonct Broca 4, 78 Rue Gen Leclerc, F-94275 Le Kremlin Bicetre, France.</t>
  </si>
  <si>
    <t>Savale, Laurent/AAJ-9781-2020; David, Montani/I-6885-2019; Sitbon, Olivier/I-3623-2019; Simonneau, Gerald/ABE-6614-2020; Humbert, Marc/AAC-8459-2019</t>
  </si>
  <si>
    <t>Boucly, Athenais/0000-0001-6246-5557; Montani, David/0000-0002-9358-6922; Humbert, Marc/0000-0003-0703-2892; Weatherald, Jason/0000-0002-0615-4575; JAIS, XAVIER/0000-0002-4104-7994; CHEMLA, Denis/0000-0001-7479-9896; SITBON, Olivier/0000-0002-1942-1951</t>
  </si>
  <si>
    <t>European Respiratory Society/Canadian Thoracic Society Long-Term Research Fellowship [LTRF 2015-4780]</t>
  </si>
  <si>
    <t>J. W. is the recipient of a joint European Respiratory Society/Canadian Thoracic Society Long-Term Research Fellowship [Grant LTRF 2015-4780].</t>
  </si>
  <si>
    <t>10.1016/j.chest.2018.06.015</t>
  </si>
  <si>
    <t>GV4HV</t>
  </si>
  <si>
    <t>WOS:000446060400028</t>
  </si>
  <si>
    <t>Lambert, M; Capuano, V; Olschewski, A; Sabourin, J; Nagaraj, C; Girerd, B; Weatherald, J; Humbert, M; Antigny, F</t>
  </si>
  <si>
    <t>Lambert, Melanie; Capuano, Veronique; Olschewski, Andrea; Sabourin, Jessica; Nagaraj, Chandran; Girerd, Barbara; Weatherald, Jason; Humbert, Marc; Antigny, Fabrice</t>
  </si>
  <si>
    <t>Ion Channels in Pulmonary Hypertension: A Therapeutic Interest?</t>
  </si>
  <si>
    <t>PAH; TRPC; Orai; K+ channels; KCNK3; TMEM16A; Na+ channels; pulmonary hypertension</t>
  </si>
  <si>
    <t>SMOOTH-MUSCLE-CELLS; OPERATED CA2+ ENTRY; K-ATP CHANNEL; TRANSMEMBRANE CONDUCTANCE REGULATOR; ACTIVATED POTASSIUM CHANNELS; POTENTIAL CANONICAL CHANNELS; CHRONICALLY HYPOXIC RATS; PYRAZOLE DERIVATIVE BTP2; GATED CALCIUM-CHANNELS; NITRIC-OXIDE SYNTHASE</t>
  </si>
  <si>
    <t>Pulmonary arterial hypertension (PAH) is a multifactorial and severe disease without curative therapies. PAH pathobiology involves altered pulmonary arterial tone, endothelial dysfunction, distal pulmonary vessel remodeling, and inflammation, which could all depend on ion channel activities (K+, Ca2+, Na+ and Cl-). This review focuses on ion channels in the pulmonary vasculature and discusses their pathophysiological contribution to PAH as well as their therapeutic potential in PAH.</t>
  </si>
  <si>
    <t>[Lambert, Melanie; Capuano, Veronique; Girerd, Barbara; Weatherald, Jason; Humbert, Marc; Antigny, Fabrice] Univ Paris Sud, Fac Med, F-94270 Le Kremlin Bicetre, France; [Lambert, Melanie; Capuano, Veronique; Girerd, Barbara; Weatherald, Jason; Humbert, Marc; Antigny, Fabrice] Hop Bicetre, AP HP, Ctr Reference Hypertens Pulm Severe, Dept Hosp Univ DHU Thorax Innovat,Serv Pneumol &amp;, F-94270 Le Kremlin Bicetre, France; [Lambert, Melanie; Capuano, Veronique; Girerd, Barbara; Weatherald, Jason; Humbert, Marc; Antigny, Fabrice] INSERM, UMRS 999, F-92350 Le Plessis Robinson, France; [Lambert, Melanie; Capuano, Veronique; Girerd, Barbara; Weatherald, Jason; Humbert, Marc; Antigny, Fabrice] Univ Paris Sud, LERMIT, Hop Marie Lannelongue, F-92350 Le Plessis Robinson, France; [Olschewski, Andrea; Nagaraj, Chandran] Ludwig Boltzmann Inst Lung Vasc Res, Stiftingtalstr 24, A-8010 Graz, Austria; [Olschewski, Andrea] Med Univ Graz, Dept Physiol, Neue Stiftingtalstr 6, A-8010 Graz, Austria; [Sabourin, Jessica] Univ Paris Saclay, Univ Paris Sud, Signalisat &amp; Physiopathol Cardiovasc, UMRS 1180,INSERM, F-92296 Chatenay Malabry, France; [Weatherald, Jason] Univ Calgary, Div Respirol, Dept Med, Calgary, AB T1Y 6J4, Canada; [Weatherald, Jason] Univ Calgary, Libin Cardiovasc Inst Alberta, Calgary, AB T1Y 6J4, Canada</t>
  </si>
  <si>
    <t>Universite Paris Saclay; Assistance Publique Hopitaux Paris (APHP); Hopital Universitaire Antoine-Beclere - APHP; Universite Paris Saclay; Hopital Universitaire Bicetre - APHP; Institut National de la Sante et de la Recherche Medicale (Inserm); Hopital Marie Lannelongue; Universite Paris Saclay; Ludwig Boltzmann Institute; Ludwig Boltzmann Institute for Lung Vascular Research; Medical University of Graz; Institut National de la Sante et de la Recherche Medicale (Inserm); Universite Paris Saclay; University of Calgary; University of Calgary; Libin Cardiovascular Institute Of Alberta</t>
  </si>
  <si>
    <t>Antigny, F (corresponding author), Univ Paris Sud, Fac Med, F-94270 Le Kremlin Bicetre, France.;Antigny, F (corresponding author), Hop Bicetre, AP HP, Ctr Reference Hypertens Pulm Severe, Dept Hosp Univ DHU Thorax Innovat,Serv Pneumol &amp;, F-94270 Le Kremlin Bicetre, France.;Antigny, F (corresponding author), INSERM, UMRS 999, F-92350 Le Plessis Robinson, France.;Antigny, F (corresponding author), Univ Paris Sud, LERMIT, Hop Marie Lannelongue, F-92350 Le Plessis Robinson, France.</t>
  </si>
  <si>
    <t>melanie.lambert91@hotmail.fr; veronique.capuano@u-psud.fr; andrea.olschewski@lvr.lbg.ac.at; jessica.sabourin@u-psud.fr; nagaraj.chandran@lvr.lbg.ac.at; barbara.girerd19@gmail.com; jweatherald@gmail.com; mjc.humbert@gmail.com; fabrice.antigny@u-psud.fr</t>
  </si>
  <si>
    <t>Chandran, Nagaraj/AAP-2007-2020; Humbert, Marc/AAC-8459-2019; Antigny, Fabrice/Q-3999-2018</t>
  </si>
  <si>
    <t>Sabourin, Jessica/0000-0002-2980-8455; Humbert, Marc/0000-0003-0703-2892; Antigny, Fabrice/0000-0002-9515-6571; Chandran, Nagaraj/0000-0003-3825-8587; Weatherald, Jason/0000-0002-0615-4575; Olschewski, Andrea/0000-0002-8189-3634</t>
  </si>
  <si>
    <t>Fondation du Souffle et Fonds de Dotation Recherche en Sante Respiratoire; Fondation Lefoulon-Delalande; Fondation Legs Poix; Therapeutic Innovation Doctoral School [ED569]</t>
  </si>
  <si>
    <t>Fondation du Souffle et Fonds de Dotation Recherche en Sante Respiratoire; Fondation Lefoulon-Delalande; Fondation Legs Poix; Therapeutic Innovation Doctoral School</t>
  </si>
  <si>
    <t>F.A. receives funding from the Fondation du Souffle et Fonds de Dotation Recherche en Sante Respiratoire, from the Fondation Lefoulon-Delalande and from the Fondation Legs Poix. M.L. is supported by Therapeutic Innovation Doctoral School (ED569).</t>
  </si>
  <si>
    <t>10.3390/ijms19103162</t>
  </si>
  <si>
    <t>GY9HB</t>
  </si>
  <si>
    <t>WOS:000448951000317</t>
  </si>
  <si>
    <t>Tu, L; Phan, C; Humbert, M; Guignabert, C</t>
  </si>
  <si>
    <t>Tu, Ly; Phan, Carole; Humbert, Marc; Guignabert, Christophe</t>
  </si>
  <si>
    <t>Ectopic expression of membrane receptor interleukin-6 in pulmonary arterial hypertension</t>
  </si>
  <si>
    <t>[Tu, Ly; Phan, Carole; Humbert, Marc; Guignabert, Christophe] Hop Marie Lannelongue, INSERM, UMR S 999, 133 Ave Resistance, F-92350 Le Plessis Robinson, France; [Tu, Ly; Phan, Carole; Humbert, Marc; Guignabert, Christophe] Univ Paris Sud, Fac Med, Le Kremlin Bicetre, France; [Tu, Ly; Phan, Carole; Humbert, Marc; Guignabert, Christophe] Univ Paris Saclay, Le Kremlin Bicetre, France; [Humbert, Marc] Hop Bicetre, AP HP, Serv Pneumol, Ctr Reference Hypertens Pulm Severe,DHU Thorax In, Le Kremlin Bicetre, France</t>
  </si>
  <si>
    <t>Institut National de la Sante et de la Recherche Medicale (Inserm); Universite Paris Saclay; Hopital Marie Lannelongue; Universite Paris Saclay; Universite Paris Saclay; Assistance Publique Hopitaux Paris (APHP); Hopital Universitaire Bicetre - APHP; Hopital Universitaire Antoine-Beclere - APHP; Universite Paris Saclay</t>
  </si>
  <si>
    <t>Guignabert, C (corresponding author), Hop Marie Lannelongue, INSERM, UMR S 999, 133 Ave Resistance, F-92350 Le Plessis Robinson, France.;Guignabert, C (corresponding author), Univ Paris Sud, Fac Med, Le Kremlin Bicetre, France.;Guignabert, C (corresponding author), Univ Paris Saclay, Le Kremlin Bicetre, France.</t>
  </si>
  <si>
    <t>Humbert, Marc/0000-0003-0703-2892; TU, Ly/0000-0003-2336-5099; GUIGNABERT, Christophe/0000-0002-8545-4452</t>
  </si>
  <si>
    <t>10.1051/medsci/2018201</t>
  </si>
  <si>
    <t>HA8CI</t>
  </si>
  <si>
    <t>WOS:000450515300002</t>
  </si>
  <si>
    <t>Turpin, M; Chantalat-Auger, C; Parent, F; Driss, F; Lionnet, F; Habibi, A; Maître, B; Huertas, A; Jaïs, X; Weatherald, J; Montani, D; Sitbon, O; Simonneau, G; Galactéros, F; Humbert, M; Bartolucci, P; Savale, L</t>
  </si>
  <si>
    <t>Turpin, Matthieu; Chantalat-Auger, Christelle; Parent, Florence; Driss, Francoise; Lionnet, Francois; Habibi, Anoosha; Maitre, Bernard; Huertas, Alice; Jais, Xavier; Weatherald, Jason; Montani, David; Sitbon, Olivier; Simonneau, Gerald; Galacteros, Frederic; Humbert, Marc; Bartolucci, Pablo; Savale, Laurent</t>
  </si>
  <si>
    <t>Chronic blood exchange transfusions in the management of pre-capillary pulmonary hypertension complicating sickle cell disease</t>
  </si>
  <si>
    <t>ANEMIA; PREVENTION; GUIDELINES; MORTALITY; DIAGNOSIS; STROKE</t>
  </si>
  <si>
    <t>The long-term effects of chronic blood exchange transfusions (BETs) on pre-capillary pulmonary hypertension complicating sickle cell disease (SCD) are unknown. 13 homozygous SS SCD patients suffering from pre-capillary pulmonary hypertension and treated by chronic BETs were evaluated retrospectively. Assessments included haemodynamics, New York Heart Association Functional Class (NYHA FC), 6-min walk distance (6MWD) and blood tests. Before initiating BETs, all patients were NYHA FC III or IV, median (range) 6MWD was 223 (0-501) m and median (range) pulmonary vascular resistance (PVR) was 3.7 (2-12.5) Wood Units. After a median number of 4 BET sessions, all patients had improved to NYHA FC II or III. Significant improvements in haemodynamics were observed, including a decrease in PVR (p=0.01). There was a trend to higher 6MWD (p=0.09). Median (range) follow-up time after initiation of BETs was 25 (6-53) months. During this period, two patients decided to stop BETs. One of them died from acute right heart failure and the other experienced worsening pulmonary hypertension. Two other patients died during follow-up at 25 and 54 months after BET initiation. Chronic BETs may be a potential therapeutic option in pre-capillary pulmonary hypertension complicating SCD, leading to significant clinical and haemodynamic improvements. These data must be confirmed in a prospective study.</t>
  </si>
  <si>
    <t>[Turpin, Matthieu; Chantalat-Auger, Christelle; Parent, Florence; Driss, Francoise; Huertas, Alice; Jais, Xavier; Montani, David; Sitbon, Olivier; Simonneau, Gerald; Humbert, Marc; Savale, Laurent] Univ Paris Saclay, Univ Paris Sud, Fac Med, Le Kremlin Bicetre, France; [Turpin, Matthieu; Parent, Florence; Huertas, Alice; Jais, Xavier; Montani, David; Sitbon, Olivier; Simonneau, Gerald; Humbert, Marc; Savale, Laurent] Hop Bicetre, AP HP, Serv Pneumol, Ctr Reference Hypertens Pulm Severe, Le Kremlin Bicetre, France; [Turpin, Matthieu; Parent, Florence; Huertas, Alice; Jais, Xavier; Montani, David; Sitbon, Olivier; Simonneau, Gerald; Humbert, Marc; Savale, Laurent] Hop Marie Lannelongue, INSERM, UMR S 999, Le Plessis Robinson, France; [Chantalat-Auger, Christelle; Driss, Francoise] Hop Bicetre, AP HP, Serv Med Interne, Le Kremlin Bicetre, France; [Lionnet, Francois] Hop Tenon, AP HP, Serv Med Interne, Paris, France; [Habibi, Anoosha; Galacteros, Frederic; Bartolucci, Pablo] Hop Univ Henri Mondor, AP HP, Ctr Reference Pathol Globule Rouge, Unite Malad Genet Globule Rouge, Creteil, France; [Habibi, Anoosha; Galacteros, Frederic; Bartolucci, Pablo] UPEC, DHU A TVB, INSERM, IMRB,U955, Creteil, France; [Maitre, Bernard] Hop Univ Henri Mondor, AP HP, Unite Pneumol, Creteil, France; [Weatherald, Jason] Univ Calgary, Div Respirol, Dept Med, Calgary, AB, Canada; [Weatherald, Jason] Libin Cardiovasc Inst Alberta, Calgary, AB, Canada</t>
  </si>
  <si>
    <t>Universite Paris Saclay; Assistance Publique Hopitaux Paris (APHP); Hopital Universitaire Antoine-Beclere - APHP; Universite Paris Saclay; Hopital Universitaire Bicetre - APHP; Hopital Marie Lannelongue; Universite Paris Saclay; Institut National de la Sante et de la Recherche Medicale (Inserm); Assistance Publique Hopitaux Paris (APHP); Hopital Universitaire Antoine-Beclere - APHP; Hopital Universitaire Bicetre - APHP; Universite Paris Saclay; Assistance Publique Hopitaux Paris (APHP); Sorbonne Universite; Hopital Universitaire Tenon - APHP; Universite Paris-Est-Creteil-Val-de-Marne (UPEC); Assistance Publique Hopitaux Paris (APHP); Hopital Universitaire Henri-Mondor - APHP; Institut National de la Sante et de la Recherche Medicale (Inserm); Universite Paris-Est-Creteil-Val-de-Marne (UPEC); Universite Paris-Est-Creteil-Val-de-Marne (UPEC); Assistance Publique Hopitaux Paris (APHP); Hopital Universitaire Henri-Mondor - APHP; University of Calgary; Libin Cardiovascular Institute Of Alberta</t>
  </si>
  <si>
    <t>Savale, L (corresponding author), Univ Paris Sud, Ctr Reference Hypertens Pulm Severe, Serv Pneumol &amp; Soins Intensifs Resp, Hop Bicetre, 78 Rue Gen Leclerc, F-94270 Le Kremlin Bicetre, France.</t>
  </si>
  <si>
    <t>Sitbon, Olivier/I-3623-2019; David, Montani/I-6885-2019; Savale, Laurent/AAJ-9781-2020; Simonneau, Gerald/ABE-6614-2020; Humbert, Marc/AAC-8459-2019; Huertas, Alice/E-8244-2017</t>
  </si>
  <si>
    <t>Humbert, Marc/0000-0003-0703-2892; Weatherald, Jason/0000-0002-0615-4575; Bartolucci, Pablo/0000-0002-7007-1344; JAIS, XAVIER/0000-0002-4104-7994; Huertas, Alice/0000-0001-8545-747X; Montani, David/0000-0002-9358-6922</t>
  </si>
  <si>
    <t>Actelion; Bayer</t>
  </si>
  <si>
    <t>Actelion; Bayer(Bayer AG)</t>
  </si>
  <si>
    <t>M. Turpin has nothing to disclose. C. Chantalat-Auger has nothing to disclose. F. Parent has nothing to disclose. F. Driss has nothing to disclose. F. Lionnet has nothing to disclose. A. Habibi has nothing to disclose. B. Maitre has nothing to disclose. A. Huertas has nothing to disclose. X. Jais reports grants and personal fees from Actelion and GSK, personal fees from MSD, grants from Bayer, outside the submitted work. J. Weatherald reports personal fees and nonfinancial support from Actelion and Bayer, personal fees from Novartis, and grants from the Canadian Vascular Network, outside the submitted work. D. Montani reports grants and personal fees from Actelion and Bayer, personal fees from BMS, GSK, MSD and Pfizer, outside the submitted work. O. Sitbon reports grants, personal fees and nonfinancial support from Actelion, Bayer, Merck and GSK, personal fees from Acceleron and Arena, outside the submitted work. G. Simonneau reports grants, personal fees and nonfinancial support from Actelion, Bayer, Merck and GlaxoSmithKline, personal fees from Acceleron and Arena, outside the submitted work. F. Galacteros has nothing to disclose. M. Humbert has relationships with drug companies including Actelion, Bayer, GSK, Novartis, Pfizer and United Therapeutics. In addition to being investigator in trials involving these companies, relationships include consultancy service and membership of scientific advisory boards. P. Bartolucci has nothing to disclose. L. Savale reports grants and personal fees from Actelion and Bayer, personal fees from MSD and GSK, during the conduct of the study.</t>
  </si>
  <si>
    <t>10.1183/13993003.00272-2018</t>
  </si>
  <si>
    <t>HD3DU</t>
  </si>
  <si>
    <t>WOS:000452394200006</t>
  </si>
  <si>
    <t>Weatherald, J; Huertas, A; Boucly, A; Guignabert, C; Taniguchi, Y; Adir, Y; Jevnikar, M; Savale, L; Jaïs, X; Peng, MK; Simonneau, G; Montani, D; Humbert, M; Sitbon, O</t>
  </si>
  <si>
    <t>Weatherald, Jason; Huertas, Alice; Boucly, Athenais; Guignabert, Christophe; Taniguchi, Yu; Adir, Yochal; Jevnikar, Mitja; Savale, Laurent; Jais, Xavier; Peng, Mingkai; Simonneau, Gerald; Montani, David; Humbert, Marc; Sitbon, Olivier</t>
  </si>
  <si>
    <t>Association Between BMI and Obesity With Survival in Pulmonary Arterial Hypertension</t>
  </si>
  <si>
    <t>BMI; obesity; obesity paradox; prognosis; pulmonary arterial hypertension; survival</t>
  </si>
  <si>
    <t>BODY-MASS INDEX; ALL-CAUSE MORTALITY; HEART-FAILURE; METAANALYSIS; PARADOX; IMPACT; PREVALENCE; MANAGEMENT; OVERWEIGHT; OUTCOMES</t>
  </si>
  <si>
    <t>BACKGROUND: An obesity paradox, wherein patients who are obese have lower mortality, has been described in cardiopulmonary diseases, including pulmonary arterial hypertension (PAH). Our objective was to determine whether obesity and BMI are associated with mortality in patients with PAH. METHODS: We assessed incident patients with idiopathic, drug-induced, and heritable PAH from the French Pulmonary Hypertension Network registry. Cox regression and Kaplan-Meier analysis were used to assess the association between BMI and obesity with all-cause mortality. RESULTS: Of 1,255 patients included, 30% were obese. A higher proportion of women (65.1% vs 53.4%, P &lt; .01), drug-induced PAH (28.9% vs 9.2%, P &lt; .01), systemic hypertension, diabetes, and hypothyroidism were present in the obese group. More obese patients were in New York Heart Association class III (66.4% vs 57.1%), fewer were class IV (11.8% vs 16.9%, P&lt; .01), and 6-min walk distance was lower (276 +/- 121 vs 324 +/- 146, P &lt; .01). Right atrial pressure, pulmonary wedge pressure, and cardiac index were higher, whereas pulmonary vascular resistance was lower in patients who were obese. Neither BMI (hazard ratio [HR], 0.99; 95% CI, 0.97-1.01; P = .41) nor obesity (HR, 1.0; 95% CI, 0.99-1.01; P = .46) were associated with mortality in multivariable analyses. There was a significant interaction between age and obesity such that mortality increased among patients &lt; 65 years of age who were morbidly obese (HR, 3.01; 95% CI, 1.56-5.79; P = .001). CONCLUSIONS: Obesity was not associated with mortality in the overall population, but there was an age-obesity interaction with increased mortality among young patients who were morbidly obese. These results have implications for active weight management in younger patients who are morbidly obese who are otherwise candidates for lung transplantation.</t>
  </si>
  <si>
    <t>[Weatherald, Jason] Univ Calgary, Div Respirol, Dept Med, Calgary, AB, Canada; [Weatherald, Jason; Huertas, Alice; Boucly, Athenais; Guignabert, Christophe; Taniguchi, Yu; Jevnikar, Mitja; Savale, Laurent; Jais, Xavier; Simonneau, Gerald; Montani, David; Humbert, Marc; Sitbon, Olivier] Univ Paris Saclay, Fac Med, Univ Paris Sud, Le Kremlin Bicetre, France; [Weatherald, Jason; Huertas, Alice; Boucly, Athenais; Taniguchi, Yu; Jevnikar, Mitja; Savale, Laurent; Jais, Xavier; Simonneau, Gerald; Montani, David; Humbert, Marc; Sitbon, Olivier] Hop Bicetre, AP HP, Serv Pneumol, Le Kremlin Bicetre, France; [Weatherald, Jason; Huertas, Alice; Boucly, Athenais; Guignabert, Christophe; Taniguchi, Yu; Jevnikar, Mitja; Savale, Laurent; Jais, Xavier; Simonneau, Gerald; Montani, David; Humbert, Marc; Sitbon, Olivier] Hop Marie Lannelongue, INSERM UMR S 999, Le Plessis Robinson, France; [Weatherald, Jason; Peng, Mingkai] Libin Cardiovasc Inst Alberta, Calgary, AB, Canada; [Adir, Yochal] Technion Israel Inst Technol, Fac Med, Pulm Div, Lady Davis Carmel Med Ctr, Haifa, Israel; [Peng, Mingkai] Univ Calgary, Dept Community Hlth Sci, Calgary, AB, Canada</t>
  </si>
  <si>
    <t>University of Calgary; Universite Paris Saclay; Assistance Publique Hopitaux Paris (APHP); Hopital Universitaire Antoine-Beclere - APHP; Hopital Universitaire Bicetre - APHP; Universite Paris Saclay; Universite Paris Saclay; Hopital Marie Lannelongue; Institut National de la Sante et de la Recherche Medicale (Inserm); Libin Cardiovascular Institute Of Alberta; Technion Israel Institute of Technology; Rappaport Faculty of Medicine; Clalit Health Services; Carmel Medical Center; University of Calgary</t>
  </si>
  <si>
    <t>David, Montani/I-6885-2019; Savale, Laurent/AAJ-9781-2020; Simonneau, Gerald/ABE-6614-2020; Sitbon, Olivier/I-3623-2019; GUIGNABERT, Christophe/G-3873-2013; Huertas, Alice/E-8244-2017; Humbert, Marc/AAC-8459-2019</t>
  </si>
  <si>
    <t>Weatherald, Jason/0000-0002-0615-4575; Montani, David/0000-0002-9358-6922; Boucly, Athenais/0000-0001-6246-5557; GUIGNABERT, Christophe/0000-0002-8545-4452; Huertas, Alice/0000-0001-8545-747X; JAIS, XAVIER/0000-0002-4104-7994; Humbert, Marc/0000-0003-0703-2892; Jevnikar, Mitja/0000-0003-0727-6790; SITBON, Olivier/0000-0002-1942-1951</t>
  </si>
  <si>
    <t>European Respiratory Society [LTRF 2015 - 4780]; Canadian Thoracic Society [LTRF 2015 - 4780]</t>
  </si>
  <si>
    <t>European Respiratory Society; Canadian Thoracic Society</t>
  </si>
  <si>
    <t>This work was supported by a joint European Respiratory Society and Canadian Thoracic Society Long-Term Research Fellowship [LTRF 2015 - 4780].</t>
  </si>
  <si>
    <t>10.1016/j.chest.2018.05.006</t>
  </si>
  <si>
    <t>WOS:000446060400027</t>
  </si>
  <si>
    <t>Weatherald, J; Boucly, A; Launay, D; Cottin, V; Prévot, G; Bourlier, D; Dauphin, C; Chaouat, A; Savale, L; Jaïs, X; Jevnikar, M; Traclet, J; De Groote, P; Simonneau, G; Hachulla, E; Mouthon, L; Montani, D; Humbert, M; Sitbon, O</t>
  </si>
  <si>
    <t>Weatherald, Jason; Boucly, Athenais; Launay, David; Cottin, Vincent; Prevot, Gregoire; Bourlier, Delphine; Dauphin, Claire; Chaouat, Ari; Savale, Laurent; Jais, Xavier; Jevnikar, Mitja; Traclet, Julie; De Groote, Pascal; Simonneau, Gerald; Hachulla, Eric; Mouthon, Luc; Montani, David; Humbert, Marc; Sitbon, Olivier</t>
  </si>
  <si>
    <t>Haemodynamics and serial risk assessment in systemic sclerosis associated pulmonary arterial hypertension</t>
  </si>
  <si>
    <t>RIGHT-VENTRICULAR DYSFUNCTION; PROGNOSTIC-FACTORS; WALK TEST; SURVIVAL; DIAGNOSIS; IMPACT</t>
  </si>
  <si>
    <t>The prognostic importance of follow-up haemodynamics and the validity of multidimensional risk assessment are not well established for systemic sclerosis (SSc)-associated pulmonary arterial hypertension (PAH). We assessed incident SSc-PAH patients to determine the association between clinical and haemodynamic variables at baseline and first follow-up right heart catheterisation (RHC) with transplant-free survival. RHC variables included cardiac index, stroke volume index (SVI), pulmonary arterial compliance and pulmonary vascular resistance. Risk assessment was performed according to the number of low-risk criteria: functional class I or II, 6-min walking distance (6MWD) &gt;440 m, right atrial pressure &lt;8 mmHg and cardiac index &gt;= 2.5 L.min(-1).m(-2). Transplant-free survival from diagnosis (n=513) was 87%, 55% and 35% at 1, 3 and 5 years, respectively. At baseline, 6MWD was the only independent predictor. A follow-up RHC was available for 353 patients (median interval 4.6 months, interquartile range 3.9-6.4 months). The 6MWD, functional class, cardiac index, SVI, pulmonary arterial compliance and pulmonary vascular resistance were independently associated with transplant-free survival at follow-up, with SVI performing better than other haemodynamic variables. 1-year outcomes were better with increasing number of low-risk criteria at baseline (area under the curve (AUC) 0.63, 95% CI 0.56-0.69) and at first follow-up (AUC 0.71, 95% CI 0.64-0.78). Follow-up haemodynamics and multidimensional risk assessment had greater prognostic significance than at baseline in SSc-PAH.</t>
  </si>
  <si>
    <t>[Weatherald, Jason; Boucly, Athenais; Savale, Laurent; Jais, Xavier; Jevnikar, Mitja; Simonneau, Gerald; Montani, David; Humbert, Marc; Sitbon, Olivier] Univ Paris Sud, Univ Paris Saclay, Fac Med, Le Kremlin Bicetre, France; [Weatherald, Jason; Boucly, Athenais; Savale, Laurent; Jais, Xavier; Jevnikar, Mitja; Simonneau, Gerald; Montani, David; Humbert, Marc; Sitbon, Olivier] Hop Bicetre, APHP, Serv Pneumol, Le Kremlin Bicetre, France; [Weatherald, Jason; Boucly, Athenais; Savale, Laurent; Jais, Xavier; Jevnikar, Mitja; Simonneau, Gerald; Montani, David; Humbert, Marc; Sitbon, Olivier] Hop Marie Lannelongue, INSERM, UMR S 999, Le Plessis Robinson, France; [Weatherald, Jason] Univ Calgary, Div Respirol, Dept Med, Calgary, AB, Canada; [Weatherald, Jason] Univ Calgary, Libin Cardiovasc Inst Alberta, Calgary, AB, Canada; [Launay, David; Hachulla, Eric] Univ Lille, LIRIC, U995, Lille, France; [Launay, David; Hachulla, Eric] INSERM, U995, Lille, France; [Launay, David; Hachulla, Eric] CHU Lille, Dept Med Interne &amp; Immunol Clin, Lille, France; [Launay, David; Hachulla, Eric] Ctr Reference Malad Autoimmunes &amp; Syst Rares Nord, Lille, France; [Cottin, Vincent; Traclet, Julie] Hosp Civils Lyon, Louis Pradel Hosp, Dept Resp Med, Lyon, France; [Cottin, Vincent; Traclet, Julie] Univ Claude Bernard Lyon 1, Univ Lyon, UMR 754, Lyon, France; [Prevot, Gregoire] CHU Toulouse, Hop Larrey, Serv Pneumol, Toulouse, France; [Bourlier, Delphine] Univ Bordeaux, CHU Bordeaux, Hop Haut Leveque, Serv Malad Resp, Pessac, France; [Dauphin, Claire] Univ Auvergne, Dept Cardiol, CHU Clermont Ferrand, Clermont Ferrand, France; [Chaouat, Ari] CHU Nancy, Pale Specialites Med, Dept Pneumol, Vandoeuvre Les Nancy, France; [Chaouat, Ari] Univ Lorraine, INGRES, EA 7298, Vandoeuvre Les Nancy, France; [Chaouat, Ari; De Groote, Pascal] CHU Lille, Hop Cardiol Lille, Ctr Competences Hypertens Pulm, Lille, France; [Mouthon, Luc] Hop Cochin, APHP, Serv Med Interne, Ctr Reference Malad Autoimmunes Syst Rares Ile Fr, Paris, France; [Mouthon, Luc] Univ Paris 05, Paris, France</t>
  </si>
  <si>
    <t>Universite Paris Saclay; Assistance Publique Hopitaux Paris (APHP); Hopital Universitaire Bicetre - APHP; Hopital Universitaire Ambroise-Pare - APHP; Hopital Universitaire Antoine-Beclere - APHP; Universite Paris Saclay; Hopital Marie Lannelongue; Institut National de la Sante et de la Recherche Medicale (Inserm); Universite Paris Saclay; University of Calgary; University of Calgary; Libin Cardiovascular Institute Of Alberta; Universite de Lille; Universite de Lille; Institut National de la Sante et de la Recherche Medicale (Inserm); Universite de Lille; CHU Lille; CHU Lyon; Universite Claude Bernard Lyon 1; Universite de Toulouse; Universite Toulouse III - Paul Sabatier; CHU de Toulouse; CHU Bordeaux; Universite de Bordeaux; CHU Clermont Ferrand; Universite Clermont Auvergne (UCA); CHU de Nancy; Universite de Lorraine; Universite de Lille; CHU Lille; Assistance Publique Hopitaux Paris (APHP); Universite Paris Cite; Hopital Universitaire Cochin - APHP; Hopital Universitaire Hotel-Dieu - APHP; Universite Paris Cite</t>
  </si>
  <si>
    <t>Sitbon, O (corresponding author), CHU Bicetre, Serv Pneumol &amp; Soins Intensifs, 78 Rue Gen Leclerc, F-94275 Le Kremlin Bicetre, France.</t>
  </si>
  <si>
    <t>olivier.sitbon@aphp.fr</t>
  </si>
  <si>
    <t>HACHULLA, ERIC/R-8488-2018; Chaouat, Ari/AAP-6784-2021; Sitbon, Olivier/I-3623-2019; Simonneau, Gerald/ABE-6614-2020; David, Montani/I-6885-2019; Savale, Laurent/AAJ-9781-2020; meroni, pier/K-8473-2016; DE GROOTE, Pascal/LLL-9444-2024; Launay, David/H-1674-2016; Humbert, Marc/AAC-8459-2019</t>
  </si>
  <si>
    <t>Boucly, Athenais/0000-0001-6246-5557; Launay, David/0000-0003-1840-1817; HACHULLA, ERIC/0000-0001-7432-847X; Cottin, Vincent/0000-0002-5591-0955; Humbert, Marc/0000-0003-0703-2892; JAIS, XAVIER/0000-0002-4104-7994; Jevnikar, Mitja/0000-0003-0727-6790; Montani, David/0000-0002-9358-6922; de Groote, Pascal/0000-0002-6211-0147; Weatherald, Jason/0000-0002-0615-4575</t>
  </si>
  <si>
    <t>French National Research Agency (ANR) [ANR-15-RHUS-0002]; European Respiratory Society/Canadian Thoracic Society Long-Term Research Fellowship [LTRF 2015-4780]</t>
  </si>
  <si>
    <t>French National Research Agency (ANR)(Agence Nationale de la Recherche (ANR)Norwegian Agency for Development Cooperation - NORAD); European Respiratory Society/Canadian Thoracic Society Long-Term Research Fellowship</t>
  </si>
  <si>
    <t>This work was supported by a public grant overseen by the French National Research Agency (ANR) as part of the second Investissements d'Avenir programme (reference ANR-15-RHUS-0002). Jason Weatherald was the recipient of a joint European Respiratory Society/Canadian Thoracic Society Long-Term Research Fellowship (LTRF 2015-4780). Funding information for this article has been deposited with the Crossref Funder Registry.</t>
  </si>
  <si>
    <t>10.1183/13993003.00678-2018</t>
  </si>
  <si>
    <t>WOS:000452394200012</t>
  </si>
  <si>
    <t>Jutant, EM; Girerd, B; Jais, X; Savale, L; O'Connell, C; Perros, F; Sitbon, O; Humbert, M; Montani, D</t>
  </si>
  <si>
    <t>Jutant, Etienne-Marie; Girerd, Barbara; Jais, Xavier; Savale, Laurent; O'Connell, Caroline; Perros, Frederic; Sitbon, Olivier; Humbert, Marc; Montani, David</t>
  </si>
  <si>
    <t>Pulmonary hypertension associated with neurofibromatosis type 1</t>
  </si>
  <si>
    <t>CALCIUM-CHANNEL BLOCKERS; LONG-TERM RESPONSE; ARTERIAL-HYPERTENSION; NF1 GENE; VONRECKLINGHAUSEN NEUROFIBROMATOSIS; RECKLINGHAUSENS-DISEASE; FIBROSING ALVEOLITIS; LUNG-DISEASE; SECONDARY; PATIENT</t>
  </si>
  <si>
    <t>Neurofibromatosis type 1 (NF1), also known as von Recklinghausen disease, is a frequent autosomal dominant genetic disorder with a prevalence of 1 in 3000. Pulmonary hypertension (PH) associated with NF1 (PH-NF1) is a rare but severe complication of NF1 and is classified as Group 5 PH, defined as PH with unclear and/or multifactorial mechanisms. A literature review in PubMed on the association between NF1 and PH identified 18 articles describing 31 cases. PH-NF1 was characterised by a female predominance, an advanced age at diagnosis, an association with parenchymal lung disease in two out of three cases and poor long-term prognosis. NF1 is generally associated with interstitial lung disease but some cases of severe PH without parenchymal lung disease suggest that there could be a specific pulmonary vascular disease. There is no data available on the efficacy of specific pulmonary arterial hypertension treatment in PH-NF1. Therefore, these patients should be evaluated in expert PH centres and referred for lung transplantation at an early stage. As these patients have an increased risk of malignancy, careful assessment of the post-transplant malignancy risk prior to listing for transplantation is necessary. Clinical trials are needed to evaluate promising treatments targeting the RAS-downstream signalling pathways.</t>
  </si>
  <si>
    <t>[Jutant, Etienne-Marie; Girerd, Barbara; Jais, Xavier; Savale, Laurent; Perros, Frederic; Sitbon, Olivier; Humbert, Marc; Montani, David] Univ Paris Sud, Fac Med, Paris, France; [Jutant, Etienne-Marie; Girerd, Barbara; Jais, Xavier; Savale, Laurent; Sitbon, Olivier; Humbert, Marc; Montani, David] Hop Bicetre, AP HP, Dept Hosp Univ DHU Thorax Innovat TORINO, Ctr Reference Hypertens Pulm Severe,Serv Pneumol, Paris, France; [Jutant, Etienne-Marie; Girerd, Barbara; Jais, Xavier; Savale, Laurent; Perros, Frederic; Sitbon, Olivier; Humbert, Marc; Montani, David] Univ Paris Sud, Lab Excellence LabEx Rech Medicament &amp; Innovt The, Hop Marie Lannelongue, UMR S 999,INSERM, Paris, France; [O'Connell, Caroline] Hop Marie Lannelongue, Serv Chirurg Thorac Vasc &amp; Transplantat Pulm, Paris, France</t>
  </si>
  <si>
    <t>Universite Paris Saclay; Assistance Publique Hopitaux Paris (APHP); Hopital Universitaire Bicetre - APHP; Universite Paris Saclay; Institut National de la Sante et de la Recherche Medicale (Inserm); Hopital Marie Lannelongue; Universite Paris Saclay; Hopital Marie Lannelongue</t>
  </si>
  <si>
    <t>Montani, D (corresponding author), CHU Bicetre, Ctr Reference Hypertens Pulm, Serv Pneumol, 78 Rue Gen Leclerc, F-94275 Le Kremlin Bicetre, France.</t>
  </si>
  <si>
    <t>Sitbon, Olivier/I-3623-2019; Savale, Laurent/AAJ-9781-2020; David, Montani/I-6885-2019; Perros, Frederic/N-6921-2017; Humbert, Marc/AAC-8459-2019</t>
  </si>
  <si>
    <t>Montani, David/0000-0002-9358-6922; JAIS, XAVIER/0000-0002-4104-7994; Perros, Frederic/0000-0001-7730-2427; Jutant, Etienne-Marie/0000-0002-1374-1890; SITBON, Olivier/0000-0002-1942-1951; Humbert, Marc/0000-0003-0703-2892</t>
  </si>
  <si>
    <t>10.1183/16000617.0053-2018</t>
  </si>
  <si>
    <t>HA5PH</t>
  </si>
  <si>
    <t>WOS:000450326600007</t>
  </si>
  <si>
    <t>Albanese, P; Dumas, S; Ranchoux, B; Shamdani, S; Chantepie, S; Huynh, MB; Montani, D; Girerd, B; Dorfmuller, P; Fadel, E; Dartevelle, P; Perros, F; Humbert, M; Papy-Garcia, D; Cohen-Kaminsky, S</t>
  </si>
  <si>
    <t>Albanese, Patricia; Dumas, Sebastien; Ranchoux, Benoit; Shamdani, Sara; Chantepie, Sandrine; Minh Bao Huynh; Montani, David; Girerd, Barbara; Dorfmuller, Peter; Fadel, Elie; Dartevelle, Philippe; Perros, Frederic; Humbert, Marc; Papy-Garcia, Dulce; Cohen-Kaminsky, Sylvia</t>
  </si>
  <si>
    <t>Fine structural modifications of heparan sulfate sulfation patterns in lung are associated with functional effects in Precapillary Pulmonary Hypertension</t>
  </si>
  <si>
    <t>28th International Congress of the European-Respiratory-Society (ERS)</t>
  </si>
  <si>
    <t>SEP 15-19, 2018</t>
  </si>
  <si>
    <t>[Albanese, Patricia; Shamdani, Sara; Chantepie, Sandrine; Minh Bao Huynh; Papy-Garcia, Dulce] UPEC, CNRS, ERL 9215, Creteil, France; [Dumas, Sebastien; Ranchoux, Benoit; Dorfmuller, Peter; Fadel, Elie; Dartevelle, Philippe; Perros, Frederic; Cohen-Kaminsky, Sylvia] INSERM, UMR S 999, Le Plessis Robinson, France; [Montani, David; Girerd, Barbara; Humbert, Marc] INSERM, UMR S 999, Le Kremlin Bicetre, France</t>
  </si>
  <si>
    <t>Universite Paris-Est-Creteil-Val-de-Marne (UPEC); Centre National de la Recherche Scientifique (CNRS); CNRS - National Institute for Biology (INSB); Institut National de la Sante et de la Recherche Medicale (Inserm); Universite Paris Saclay; Universite Paris Saclay; Institut National de la Sante et de la Recherche Medicale (Inserm)</t>
  </si>
  <si>
    <t>Ranchoux, Benoît/AAX-6037-2020; shamdani, Sara/AAU-5836-2021; David, Montani/I-6885-2019; Humbert, Marc/AAC-8459-2019; Perros, Frédéric/N-6921-2017; Dumas, Sébastien/AAA-2056-2021; Cohen-Kaminsky, Sylvia/E-4837-2014</t>
  </si>
  <si>
    <t>Dumas, Sebastien/0000-0001-9958-3485; Huynh, Minh Bao/0000-0002-5195-4563; Montani, David/0000-0002-9358-6922; Cohen-Kaminsky, Sylvia/0000-0002-6341-7482</t>
  </si>
  <si>
    <t>PA3936</t>
  </si>
  <si>
    <t>10.1183/13993003.congress-2018.PA3936</t>
  </si>
  <si>
    <t>HH2RV</t>
  </si>
  <si>
    <t>WOS:000455567105070</t>
  </si>
  <si>
    <t>Albers, F; Khurana, S; Bradford, E; Gilson, M; Price, R; Brusselle, G; Bel, E; Fitzgerald, JM; Masoli, M; Korn, S; Humbert, M</t>
  </si>
  <si>
    <t>Albers, Frank; Khurana, Sandhya; Bradford, Eric; Gilson, Martyn; Price, Robert; Brusselle, Guy; Bel, Elisabeth; Fitzgerald, J. Mark; Masoli, Matthew; Korn, Stephanie; Humbert, Marc</t>
  </si>
  <si>
    <t>Late Breaking Abstract - Long-term safety &amp; durability of mepolizumab in life-threatening/seriously debilitating severe eosinophilic asthma (SEA): COSMEX</t>
  </si>
  <si>
    <t>[Albers, Frank] GSK, Resp Med Franchise, Res Triangle Pk, NC USA; [Khurana, Sandhya] Univ Rochester, Med Ctr, Dept Med Pulm, Rochester, NY 14627 USA; [Bradford, Eric] GSK, Resp Therapeut Area, Res Triangle Pk, NC USA; [Gilson, Martyn] GSK, Resp Res &amp; Dev, Stockley Pk, Uxbridge, Middx, England; [Price, Robert] GSK, Clin Stat, Stevenage, Herts, England; [Brusselle, Guy] Ghent Univ Hosp, Dept Resp Med, Ghent, Belgium; [Bel, Elisabeth] Univ Amsterdam, Acad Med Ctr, Dept Resp Med, Amsterdam, Netherlands; [Fitzgerald, J. Mark] Univ British Columbia, Dept Med, Vancouver, BC, Canada; [Masoli, Matthew] Plymouth Hosp NHS Trust, Dept Resp Med, Plymouth, Devon, England; [Korn, Stephanie] Univ Med Mainz, Mainz, Germany; [Humbert, Marc] Univ Paris Sud, Hop Bicetre, AP HP, Serv Pneumol, Le Kremlin Bicetre, France; [Humbert, Marc] INSERM, U999, Le Kremlin Bicetre, France</t>
  </si>
  <si>
    <t>GlaxoSmithKline; Glaxosmithkline USA; University of Rochester; GlaxoSmithKline; Glaxosmithkline USA; GlaxoSmithKline; Glaxosmithkline United Kingdom; GlaxoSmithKline; Glaxosmithkline United Kingdom; Ghent University; Ghent University Hospital; University of Amsterdam; Academic Medical Center Amsterdam; University of British Columbia; University of Plymouth; Johannes Gutenberg University of Mainz; Universite Paris Saclay; Assistance Publique Hopitaux Paris (APHP); Hopital Universitaire Antoine-Beclere - APHP; Hopital Universitaire Bicetre - APHP; Institut National de la Sante et de la Recherche Medicale (Inserm)</t>
  </si>
  <si>
    <t>Humbert, Marc/AAC-8459-2019; Khurana, Sandhya/HKO-2966-2023; Brusselle, Guy/AFU-8839-2022</t>
  </si>
  <si>
    <t>GSK [201312/NCT02135692]</t>
  </si>
  <si>
    <t>Funding: GSK [201312/NCT02135692]</t>
  </si>
  <si>
    <t>OA3566</t>
  </si>
  <si>
    <t>10.1183/13993003.congress-2018.OA3566</t>
  </si>
  <si>
    <t>WOS:000455567100278</t>
  </si>
  <si>
    <t>Boucly, A; Savale, L; Weatherald, J; Montani, D; Jevnikar, M; Jaïs, X; Simonneau, G; Humbert, M; Sitbon, O</t>
  </si>
  <si>
    <t>Boucly, Athenais; Savale, Laurent; Weatherald, Jason; Montani, David; Jevnikar, Mitja; Jais, Xavier; Simonneau, Gerald; Humbert, Marc; Sitbon, Olivier</t>
  </si>
  <si>
    <t>Impact of initial treatment strategy on long-term survival in pulmonary arterial hypertension (PAH)</t>
  </si>
  <si>
    <t>[Boucly, Athenais; Savale, Laurent; Weatherald, Jason; Montani, David; Jevnikar, Mitja; Jais, Xavier; Simonneau, Gerald; Humbert, Marc; Sitbon, Olivier] Univ Paris Sud, Hop Bicetre, AP HP, Serv Pneumol, Le Kremlin Bicetre, France</t>
  </si>
  <si>
    <t>Universite Paris Saclay; Assistance Publique Hopitaux Paris (APHP); Hopital Universitaire Antoine-Beclere - APHP; Hopital Universitaire Bicetre - APHP</t>
  </si>
  <si>
    <t>Humbert, Marc/AAC-8459-2019; David, Montani/I-6885-2019; Simonneau, Gerald/ABE-6614-2020; Sitbon, Olivier/I-3623-2019; Savale, Laurent/AAJ-9781-2020</t>
  </si>
  <si>
    <t>OA271</t>
  </si>
  <si>
    <t>10.1183/13993003.congress-2018.OA271</t>
  </si>
  <si>
    <t>WOS:000455567100176</t>
  </si>
  <si>
    <t>Chemla, D; Berthelot, E; Weatherald, J; Savale, L; Attal, P; Montani, D; Sitbon, O; Humbert, M; Herve, P; Assayag, P</t>
  </si>
  <si>
    <t>Chemla, Denis; Berthelot, Emmanuelle; Weatherald, Jason; Savale, Laurent; Attal, Pierre; Montani, David; Sitbon, Olivier; Humbert, Marc; Herve, Philippe; Assayag, Patrick</t>
  </si>
  <si>
    <t>Reappraising the effects of pulmonary artery wedge pressure on right ventricular pulsatile loading</t>
  </si>
  <si>
    <t>[Chemla, Denis] GHU Paris Sud Physiol, Le Kremlin Bicetre, France; [Berthelot, Emmanuelle; Assayag, Patrick] GHU Paris Sud Cardiol, Le Kremlin Bicetre, France; [Weatherald, Jason] Univ Calgary, Calgary, AB, Canada; [Savale, Laurent; Montani, David; Sitbon, Olivier] GHU Paris Sud Pneumol, Le Kremlin Bicetre, France; [Attal, Pierre] Shaare Zedek Med Ctr, Jerusalem, Israel; [Humbert, Marc] Hop Marie Lannelongue, INSERM, UMR S999, Le Plessis Robinson, France</t>
  </si>
  <si>
    <t>Assistance Publique Hopitaux Paris (APHP); Hopital Universitaire Bicetre - APHP; Assistance Publique Hopitaux Paris (APHP); Hopital Universitaire Bicetre - APHP; University of Calgary; Assistance Publique Hopitaux Paris (APHP); Hopital Universitaire Bicetre - APHP; Hebrew University of Jerusalem; Shaare Zedek Medical Center; Hopital Marie Lannelongue; Universite Paris Saclay; Institut National de la Sante et de la Recherche Medicale (Inserm)</t>
  </si>
  <si>
    <t>David, Montani/I-6885-2019; Assayag, Patrick/GPS-4910-2022; Savale, Laurent/AAJ-9781-2020; Sitbon, Olivier/I-3623-2019; Berthelot, Emmanuelle/JCE-5429-2023; Humbert, Marc/AAC-8459-2019</t>
  </si>
  <si>
    <t>PA3315</t>
  </si>
  <si>
    <t>10.1183/13993003.congress-2018.PA3315</t>
  </si>
  <si>
    <t>WOS:000455567104218</t>
  </si>
  <si>
    <t>Dumas, S; Bru-Mercier, G; Courboulin, A; Quatredeniers, M; Rucker-Martin, C; Antigny, F; Nakhleh, M; Ranchoux, B; Gouadon, E; Vinhas, MC; Vocelle, M; Raymond, N; Dorfmuller, P; Fadel, E; Perros, F; Humbert, M; Cohen-Kaminsky, S</t>
  </si>
  <si>
    <t>Dumas, Sebastien; Bru-Mercier, Gilles; Courboulin, Audrey; Quatredeniers, Marceau; Rucker-Martin, Catherine; Antigny, Fabrice; Nakhleh, Morad; Ranchoux, Benoit; Gouadon, Elodie; Vinhas, Maria-Candida; Vocelle, Matthieu; Raymond, Nicolas; Dorfmuller, Peter; Fadel, Elie; Perros, Frederic; Humbert, Marc; Cohen-Kaminsky, Sylvia</t>
  </si>
  <si>
    <t>NMDA receptor activation promotes vascular remodeling and pulmonary arterial hypertension</t>
  </si>
  <si>
    <t>[Dumas, Sebastien; Bru-Mercier, Gilles; Courboulin, Audrey; Quatredeniers, Marceau; Rucker-Martin, Catherine; Antigny, Fabrice; Nakhleh, Morad; Ranchoux, Benoit; Gouadon, Elodie; Vinhas, Maria-Candida; Vocelle, Matthieu; Raymond, Nicolas; Dorfmuller, Peter; Fadel, Elie; Perros, Frederic; Humbert, Marc; Cohen-Kaminsky, Sylvia] Univ Paris Saclay, Univ Paris Sud, Hop Marie Lannelongue, INSERM,Fac Med,UMR S 999, F-92350 Le Plessis Robinson, France; [Humbert, Marc] Hop Bicetre, AP HP, Serv Pneumol, Le Kremlin Bicetre, France</t>
  </si>
  <si>
    <t>Institut National de la Sante et de la Recherche Medicale (Inserm); Universite Paris Saclay; Hopital Marie Lannelongue; Assistance Publique Hopitaux Paris (APHP); Hopital Universitaire Antoine-Beclere - APHP; Hopital Universitaire Bicetre - APHP; Universite Paris Saclay</t>
  </si>
  <si>
    <t>Ranchoux, Benoît/AAX-6037-2020; Dumas, Sébastien/AAA-2056-2021; Perros, Frédéric/N-6921-2017; Humbert, Marc/AAC-8459-2019; Antigny, Fabrice/Q-3999-2018; Cohen-Kaminsky, Sylvia/E-4837-2014</t>
  </si>
  <si>
    <t>Dumas, Sebastien/0000-0001-9958-3485; Cohen-Kaminsky, Sylvia/0000-0002-6341-7482</t>
  </si>
  <si>
    <t>PA3938</t>
  </si>
  <si>
    <t>10.1183/13993003.congress-2018.PA3938</t>
  </si>
  <si>
    <t>WOS:000455567105072</t>
  </si>
  <si>
    <t>Dumas, S; Nakhleh, M; Montani, D; Girerd, B; Seferian, A; Dorfmuller, P; Klingel-Schmitt, I; Vocelle, M; Courtier, A; Filipe-Santo, O; Parmentier, G; Perez, S; Superbielle, C; Caillat-Zucman, S; Philippe, D; Simonneau, G; Perros, F; Humbert, M; Cohen-Kaminsky, S</t>
  </si>
  <si>
    <t>Dumas, Sebastien; Nakhleh, Morad; Montani, David; Girerd, Barbara; Seferian, Andreij; Dorfmuller, Peter; Klingel-Schmitt, Isabelle; Vocelle, Matthieu; Courtier, Anais; Filipe-Santo, Orchidee; Parmentier, Gilles; Perez, Solene; Superbielle, Caroline; Caillat-Zucman, Sophie; Philippe, Dartevelle; Simonneau, Gerald; Perros, Frederic; Humbert, Marc; Cohen-Kaminsky, Sylvia</t>
  </si>
  <si>
    <t>Immune repertoire-based signatures in pre-capillary pulmonary hypertension</t>
  </si>
  <si>
    <t>[Dumas, Sebastien; Nakhleh, Morad; Montani, David; Girerd, Barbara; Seferian, Andreij; Dorfmuller, Peter; Klingel-Schmitt, Isabelle; Vocelle, Matthieu; Philippe, Dartevelle; Simonneau, Gerald; Perros, Frederic; Humbert, Marc; Cohen-Kaminsky, Sylvia] Univ Paris Saclay, Univ Paris Sud, Hop Marie Lannelongue, INSERM,Fac Med,UMR S 999, F-92350 Le Plessis Robinson, France; [Montani, David; Girerd, Barbara; Seferian, Andreij; Simonneau, Gerald; Humbert, Marc] Hop Bicetre, AP HP, Serv Pneumol, Le Kremlin Bicetre, France; [Courtier, Anais; Filipe-Santo, Orchidee; Parmentier, Gilles; Perez, Solene] ImmunID Technol, Res &amp; Dev, Grenoble, France; [Superbielle, Caroline] Hop St Louis, AP HP, Reg Histocompatibil Lab IR7, Paris, France; [Caillat-Zucman, Sophie] Hop St Vincent de Paul, INSERM, Unit Immunol &amp; Genet Type Diabet 1, U986, Paris, France; [Caillat-Zucman, Sophie] Univ Paris 05, Fac Med, Paris, France</t>
  </si>
  <si>
    <t>Institut National de la Sante et de la Recherche Medicale (Inserm); Universite Paris Saclay; Hopital Marie Lannelongue; Universite Paris Saclay; Assistance Publique Hopitaux Paris (APHP); Hopital Universitaire Bicetre - APHP; Hopital Universitaire Antoine-Beclere - APHP; Universite Paris Cite; Assistance Publique Hopitaux Paris (APHP); Hopital Universitaire Saint-Louis - APHP; Institut National de la Sante et de la Recherche Medicale (Inserm); Assistance Publique Hopitaux Paris (APHP); Universite Paris Cite; Hopital Universitaire Cochin - APHP; Universite Paris Cite</t>
  </si>
  <si>
    <t>Perros, Frédéric/N-6921-2017; Dumas, Sébastien/AAA-2056-2021; David, Montani/I-6885-2019; Simonneau, Gerald/ABE-6614-2020; Humbert, Marc/AAC-8459-2019; Cohen-Kaminsky, Sylvia/E-4837-2014</t>
  </si>
  <si>
    <t>Dumas, Sebastien/0000-0001-9958-3485; Cohen-Kaminsky, Sylvia/0000-0002-6341-7482; Montani, David/0000-0002-9358-6922</t>
  </si>
  <si>
    <t>PA3932</t>
  </si>
  <si>
    <t>10.1183/13993003.congress-2018.PA3932</t>
  </si>
  <si>
    <t>WOS:000455567105066</t>
  </si>
  <si>
    <t>Elinoff, JM; Humbert, M; Solomon, MA</t>
  </si>
  <si>
    <t>Elinoff, Jason M.; Humbert, Marc; Solomon, Michael A.</t>
  </si>
  <si>
    <t>The Light at the End of the Long Pulmonary Hypertension Tunnel Brightens Reply</t>
  </si>
  <si>
    <t>ARTERIAL-HYPERTENSION; INSIGHTS; DISEASE</t>
  </si>
  <si>
    <t>[Elinoff, Jason M.; Solomon, Michael A.] NIH, Ctr Clin, Bethesda, MD 20892 USA; [Humbert, Marc] Univ Paris Sud, Le Kremlin Bicetre, France; [Humbert, Marc] Univ Paris Saclay, Le Kremlin Bicetre, France; [Humbert, Marc] INSERM, U999, Le Plessis Robinson, France; [Elinoff, Jason M.] Hop Bicetre, Le Kremlin Bicetre, France; [Solomon, Michael A.] NHLBI, Bldg 10, Bethesda, MD 20892 USA</t>
  </si>
  <si>
    <t>National Institutes of Health (NIH) - USA; NIH Clinical Center (CC); Universite Paris Saclay; Universite Paris Saclay; Institut National de la Sante et de la Recherche Medicale (Inserm); Universite Paris Saclay; Universite Paris Saclay; Assistance Publique Hopitaux Paris (APHP); Hopital Universitaire Antoine-Beclere - APHP; Hopital Universitaire Bicetre - APHP; National Institutes of Health (NIH) - USA; NIH National Heart Lung &amp; Blood Institute (NHLBI)</t>
  </si>
  <si>
    <t>Elinoff, JM (corresponding author), NIH, Ctr Clin, Bethesda, MD 20892 USA.</t>
  </si>
  <si>
    <t>Solomon, Michael/0000-0001-7400-6614; Humbert, Marc/0000-0003-0703-2892</t>
  </si>
  <si>
    <t>Intramural Research Program of the NIH Clinical Center</t>
  </si>
  <si>
    <t>Intramural Research Program of the NIH Clinical Center(United States Department of Health &amp; Human ServicesNational Institutes of Health (NIH) - USA)</t>
  </si>
  <si>
    <t>Supported in part by the Intramural Research Program of the NIH Clinical Center.</t>
  </si>
  <si>
    <t>10.1164/rccm.201804-0792LE</t>
  </si>
  <si>
    <t>GT8NY</t>
  </si>
  <si>
    <t>WOS:000444796300025</t>
  </si>
  <si>
    <t>Gabrielly, M; Bourlier, D; Taniguchi, Y; Jevnikar, M; Sekine, A; Boucly, A; Jutant, EM; Parent, F; Savale, L; Montani, D; Simonneau, G; Humbert, M; Sitbon, O; Jais, X</t>
  </si>
  <si>
    <t>Gabrielly, Michael; Bourlier, Delphine; Taniguchi, Yu; Jevnikar, Mitja; Sekine, Ayumi; Boucly, Athenais; Jutant, Etienne-Marie; Parent, Florence; Savale, Laurent; Montani, David; Simonneau, Gerald; Humbert, Marc; Sitbon, Olivier; Jais, Xavier</t>
  </si>
  <si>
    <t>Initial dual oral combination therapy in inoperable chronic thromboembolic pulmonary hypertension (CTEPH)</t>
  </si>
  <si>
    <t>[Gabrielly, Michael; Taniguchi, Yu; Jevnikar, Mitja; Sekine, Ayumi; Boucly, Athenais; Jutant, Etienne-Marie; Parent, Florence; Savale, Laurent; Montani, David; Simonneau, Gerald; Humbert, Marc; Sitbon, Olivier; Jais, Xavier] Univ Paris Sud, Hop Bicetre, AP HP, Serv Pneumol, Le Kremlin Bicetre, France; [Bourlier, Delphine] CHU Bordeaux, Hop Haut Leveque, Pessac, France</t>
  </si>
  <si>
    <t>Assistance Publique Hopitaux Paris (APHP); Hopital Universitaire Bicetre - APHP; Hopital Universitaire Antoine-Beclere - APHP; Universite Paris Saclay; Universite de Bordeaux; CHU Bordeaux</t>
  </si>
  <si>
    <t>Simonneau, Gerald/ABE-6614-2020; Humbert, Marc/AAC-8459-2019; Savale, Laurent/AAJ-9781-2020; Sitbon, Olivier/I-3623-2019; David, Montani/I-6885-2019</t>
  </si>
  <si>
    <t>PA3053</t>
  </si>
  <si>
    <t>10.1183/13993003.congress-2018.PA3053</t>
  </si>
  <si>
    <t>WOS:000455567104086</t>
  </si>
  <si>
    <t>Gunther, S; Hua, T; Nicco, C; Cumont, A; Thuillet, R; Tu, L; Bordenave, J; Guilbert, T; Batteux, F; Humbert, M; Guignabert, C; Dinh-Xuan, AT</t>
  </si>
  <si>
    <t>Gunther, Sven; Hua, Thong; Nicco, Carole; Cumont, Amelie; Thuillet, Raphael; Tu, Ly; Bordenave, Jennifer; Guilbert, Thomas; Batteux, Frederic; Humbert, Marc; Guignabert, Christophe; Dinh-Xuan, Anh-Tuan</t>
  </si>
  <si>
    <t>Late Breaking Abstract - MIF inhibition in a murine model of bleomycin-induced lung fibrosis</t>
  </si>
  <si>
    <t>[Gunther, Sven; Hua, Thong; Dinh-Xuan, Anh-Tuan] Paris Descartes Univ, Dept Resp Physiol, Cochin Hosp, Sorbonne Paris Cite, Paris, France; [Nicco, Carole; Guilbert, Thomas; Batteux, Frederic] Paris Descartes Univ, Cochin Inst, Sorbonne Paris Cite, INSERM,U1016, Paris, France; [Cumont, Amelie; Thuillet, Raphael; Tu, Ly; Bordenave, Jennifer; Humbert, Marc; Guignabert, Christophe] Univ Paris Sud, Fac Med, Hop Marie Lannelongue, INSERM,UMR S 999, Le Plessis Robinson, France; [Cumont, Amelie; Thuillet, Raphael; Tu, Ly; Bordenave, Jennifer; Humbert, Marc; Guignabert, Christophe] Univ Paris Saclay, Le Plessis Robinson, France</t>
  </si>
  <si>
    <t>Universite Paris Cite; Assistance Publique Hopitaux Paris (APHP); Hopital Universitaire Cochin - APHP; Institut National de la Sante et de la Recherche Medicale (Inserm); Universite Paris Cite; Institut National de la Sante et de la Recherche Medicale (Inserm); Universite Paris Saclay; Hopital Marie Lannelongue; Universite Paris Saclay</t>
  </si>
  <si>
    <t>GUIGNABERT, Christophe/G-3873-2013; TU, Ly/G-4035-2013; Humbert, Marc/AAC-8459-2019; Dinh-Xuan, Anh Tuan/A-9691-2008; Nicco, Carole/O-8169-2017</t>
  </si>
  <si>
    <t>Dinh-Xuan, Anh Tuan/0000-0001-8651-5176; Nicco, Carole/0000-0001-8211-2556</t>
  </si>
  <si>
    <t>OA3273</t>
  </si>
  <si>
    <t>10.1183/13993003.congress-2018.OA3273</t>
  </si>
  <si>
    <t>WOS:000455567100220</t>
  </si>
  <si>
    <t>Jais, X; Brenot, P; Taniguchi, Y; Garcia, C; Planché, O; Gérardin, B; Mussot, S; Mercier, O; Jevnikar, M; Savale, L; Parent, F; Sitbon, O; Montani, D; Humbert, M; Fadel, E; Simonneau, G</t>
  </si>
  <si>
    <t>Jais, Xavier; Brenot, Philippe; Taniguchi, Yu; Garcia, Carlos; Planche, Olivier; Gerardin, Benoit; Mussot, Sacha; Mercier, Olaf; Jevnikar, Mitja; Savale, Laurent; Parent, Florence; Sitbon, Olivier; Montani, David; Humbert, Marc; Fadel, Elie; Simonneau, Gerald</t>
  </si>
  <si>
    <t>Balloon pulmonary angioplasty (BPA) for inoperable chronic thromboembolic pulmonary hypertension (CTEPH)</t>
  </si>
  <si>
    <t>[Jais, Xavier; Taniguchi, Yu; Planche, Olivier; Jevnikar, Mitja; Savale, Laurent; Parent, Florence; Sitbon, Olivier; Montani, David; Humbert, Marc; Fadel, Elie; Simonneau, Gerald] Univ Paris Sud, Hop Bicetre, AP HP, Serv Pneumol, Le Kremlin Bicetre, France; [Brenot, Philippe] Univ Paris Sud, Hop Marie Lannelongue, Le Plessis Robinson, France; [Garcia, Carlos; Gerardin, Benoit; Mussot, Sacha; Mercier, Olaf] Univ Paris Sud, Hop Marie Lannelongue, Le Kremlin Bicetre, France</t>
  </si>
  <si>
    <t>Assistance Publique Hopitaux Paris (APHP); Hopital Universitaire Antoine-Beclere - APHP; Universite Paris Saclay; Hopital Universitaire Bicetre - APHP; Universite Paris Saclay; Hopital Marie Lannelongue; Hopital Marie Lannelongue; Universite Paris Saclay</t>
  </si>
  <si>
    <t>David, Montani/I-6885-2019; Humbert, Marc/AAC-8459-2019; Brenot, Philippe/HJB-1040-2022; Mussot, S/AAL-7512-2020; Savale, Laurent/AAJ-9781-2020; Sitbon, Olivier/I-3623-2019; Simonneau, Gerald/ABE-6614-2020</t>
  </si>
  <si>
    <t>OA4942</t>
  </si>
  <si>
    <t>10.1183/13993003.congress-2018.OA4942</t>
  </si>
  <si>
    <t>WOS:000455567100406</t>
  </si>
  <si>
    <t>Jevnikar, M; Ebstein, N; Jais, X; Boucly, A; Montani, D; Humbert, M; Sitbon, O; Savale, L</t>
  </si>
  <si>
    <t>Jevnikar, Mitja; Ebstein, Nathan; Jais, Xavier; Boucly, Athenais; Montani, David; Humbert, Marc; Sitbon, Olivier; Savale, Laurent</t>
  </si>
  <si>
    <t>Efficacy and safety of tadalafil in portopulmonary hypertension</t>
  </si>
  <si>
    <t>[Jevnikar, Mitja; Ebstein, Nathan; Jais, Xavier; Boucly, Athenais; Montani, David; Humbert, Marc; Sitbon, Olivier; Savale, Laurent] Univ Paris Sud, INSERM, Hop Bicetre,Ctr Reference Hypertens Pulm Severe, Serv Pneumol,AP HP,DHU Thorax Innovat,UMR S 999, Le Kremlin Bicetre, France; [Jevnikar, Mitja; Ebstein, Nathan; Jais, Xavier; Boucly, Athenais; Montani, David; Humbert, Marc; Sitbon, Olivier; Savale, Laurent] Univ Paris Saclay, Le Kremlin Bicetre, France</t>
  </si>
  <si>
    <t>Universite Paris Saclay; Assistance Publique Hopitaux Paris (APHP); Hopital Universitaire Bicetre - APHP; Hopital Universitaire Antoine-Beclere - APHP; Institut National de la Sante et de la Recherche Medicale (Inserm); Universite Paris Saclay</t>
  </si>
  <si>
    <t>PA3050</t>
  </si>
  <si>
    <t>10.1183/13993003.congress-2018.PA3050</t>
  </si>
  <si>
    <t>WOS:000455567104083</t>
  </si>
  <si>
    <t>Lambert, M; Capuano, V; Boet, A; Hautefort, A; Bertero, T; Manoury, B; Montani, D; Humbert, M; Perros, F; Antigny, F</t>
  </si>
  <si>
    <t>Lambert, Melanie; Capuano, Veronique; Boet, Angele; Hautefort, Aurelie; Bertero, Thomas; Manoury, Boris; Montani, David; Humbert, Marc; Perros, Frederic; Antigny, Fabrice</t>
  </si>
  <si>
    <t>KCNK3 channel inactivation leads to pulmonary vascular alterations in rat</t>
  </si>
  <si>
    <t>[Lambert, Melanie; Capuano, Veronique; Boet, Angele; Hautefort, Aurelie; Montani, David; Humbert, Marc; Perros, Frederic; Antigny, Fabrice] Hop Marie Lannelongue, INSERM, U999, Le Plessis Robinson, France; [Bertero, Thomas] CNRS, UMR 7284, Nice, France; [Manoury, Boris] INSERM, U1180, Fac Pharm, Chatenay Malabry, France</t>
  </si>
  <si>
    <t>Hopital Marie Lannelongue; Universite Paris Saclay; Institut National de la Sante et de la Recherche Medicale (Inserm); CHU Nice; Universite Cote d'Azur; Centre National de la Recherche Scientifique (CNRS); CNRS - National Institute for Biology (INSB); Universite Paris Saclay; Institut National de la Sante et de la Recherche Medicale (Inserm)</t>
  </si>
  <si>
    <t>Antigny, Fabrice/Q-3999-2018; Manoury, Boris/P-1066-2016; Humbert, Marc/AAC-8459-2019; Perros, Frédéric/N-6921-2017; David, Montani/I-6885-2019</t>
  </si>
  <si>
    <t>PA3924</t>
  </si>
  <si>
    <t>10.1183/13993003.congress-2018.PA3924</t>
  </si>
  <si>
    <t>WOS:000455567105057</t>
  </si>
  <si>
    <t>Poble, PB; Phan, C; Quatremare, T; Bordenave, J; Thuillet, R; Cumont, A; Huertas, A; Dorfmüller, P; Tu, L; Humbert, M; Ghigna, MR; Guignabert, C</t>
  </si>
  <si>
    <t>Poble, Paul-Benoit; Phan, Carole; Quatremare, Timothee; Bordenave, Jennifer; Thuillet, Raphael; Cumont, Amelie; Huertas, Alice; Dorfmuller, Peter; Tu, Ly; Humbert, Marc; Ghigna, Maria-Rosa; Guignabert, Christophe</t>
  </si>
  <si>
    <t>Pirfenidone protects against pulmonary hypertension in the Sugen5416/hypoxia rat model</t>
  </si>
  <si>
    <t>[Poble, Paul-Benoit; Phan, Carole; Quatremare, Timothee; Bordenave, Jennifer; Thuillet, Raphael; Cumont, Amelie; Huertas, Alice; Dorfmuller, Peter; Tu, Ly; Humbert, Marc; Ghigna, Maria-Rosa; Guignabert, Christophe] Paris Sud, INSERM, UMR S 999, Le Plessis Robinson, France; [Poble, Paul-Benoit; Phan, Carole; Quatremare, Timothee; Bordenave, Jennifer; Thuillet, Raphael; Cumont, Amelie; Huertas, Alice; Dorfmuller, Peter; Tu, Ly; Humbert, Marc; Ghigna, Maria-Rosa; Guignabert, Christophe] Paris Saclay Univ, Marie Lannelongue Hosp, AP HP,DHU Thorax Innovat,Pathol Dept, Serv Pneumol,Ctr Reference Hypertens Pulm Severe, Le Plessis Robinson, France</t>
  </si>
  <si>
    <t>Institut National de la Sante et de la Recherche Medicale (Inserm); Universite Paris Saclay; Universite Paris Saclay; Assistance Publique Hopitaux Paris (APHP); Hopital Marie Lannelongue</t>
  </si>
  <si>
    <t>OA274</t>
  </si>
  <si>
    <t>10.1183/13993003.congress-2018.OA274</t>
  </si>
  <si>
    <t>WOS:000455567100179</t>
  </si>
  <si>
    <t>Savale, L; Ebstein, N; Jevnikar, M; Jaïs, X; Parent, F; Boucly, A; Simonneau, G; Montani, D; Humbert, M; Sitbon, O</t>
  </si>
  <si>
    <t>Savale, Laurent; Ebstein, Nathan; Jevnikar, Mitja; Jais, Xavier; Parent, Florence; Boucly, Athenais; Simonneau, Gerald; Montani, David; Humbert, Marc; Sitbon, Olivier</t>
  </si>
  <si>
    <t>Survival in portopulmonary hypertension (PoPH) in the era of modern PAH-targeted therapy</t>
  </si>
  <si>
    <t>[Savale, Laurent; Ebstein, Nathan; Jevnikar, Mitja; Jais, Xavier; Parent, Florence; Boucly, Athenais; Simonneau, Gerald; Montani, David; Humbert, Marc; Sitbon, Olivier] Hop Bicetre, AP HP, Ctr Reference Hypertens Pulm Severe, Serv Pneumol,DHU Thorax Innovat, Le Kremlin Bicetre, France</t>
  </si>
  <si>
    <t>David, Montani/I-6885-2019; Savale, Laurent/AAJ-9781-2020; Humbert, Marc/AAC-8459-2019; Simonneau, Gerald/ABE-6614-2020; Sitbon, Olivier/I-3623-2019</t>
  </si>
  <si>
    <t>PA3081</t>
  </si>
  <si>
    <t>10.1183/13993003.congress-2018.PA3081</t>
  </si>
  <si>
    <t>WOS:000455567104113</t>
  </si>
  <si>
    <t>Savale, L; Akagi, S; Tu, L; Thuillet, R; Bordenave, J; Quatremare, T; Cumont, A; Phan, C; Huertas, A; Humbert, M; Tamura, Y; Guignabert, C</t>
  </si>
  <si>
    <t>Savale, Laurent; Akagi, Satoshi; Tu, Ly; Thuillet, Raphael; Bordenave, Jennifer; Quatremare, Thimote; Cumont, Amelie; Phan, Carole; Huertas, Alice; Humbert, Marc; Tamura, Yuichi; Guignabert, Chrsitope</t>
  </si>
  <si>
    <t>Uric acid contributes to the progression of pulmonary hypertension in rodents and humans</t>
  </si>
  <si>
    <t>[Savale, Laurent; Humbert, Marc; Tamura, Yuichi; Guignabert, Chrsitope] Hop Bicetre, AP HP, Ctr Reference Hypertens Pulm Severe, Serv Pneumol,DHU Thorax Innovat, Le Kremlin Bicetre, France; [Akagi, Satoshi; Tu, Ly; Thuillet, Raphael; Bordenave, Jennifer; Quatremare, Thimote; Cumont, Amelie; Phan, Carole; Huertas, Alice] INSERM, UMR S 999, Le Plessis Robinson, France</t>
  </si>
  <si>
    <t>Assistance Publique Hopitaux Paris (APHP); Hopital Universitaire Bicetre - APHP; Universite Paris Saclay; Hopital Universitaire Antoine-Beclere - APHP; Universite Paris Saclay; Institut National de la Sante et de la Recherche Medicale (Inserm)</t>
  </si>
  <si>
    <t>GUIGNABERT, Christophe/G-3873-2013; Humbert, Marc/AAC-8459-2019; Savale, Laurent/AAJ-9781-2020; Huertas, Alice/E-8244-2017; TU, Ly/G-4035-2013; Tamura, Yuichi/B-5991-2014</t>
  </si>
  <si>
    <t>PA3935</t>
  </si>
  <si>
    <t>10.1183/13993003.congress-2018.PA3935</t>
  </si>
  <si>
    <t>WOS:000455567105069</t>
  </si>
  <si>
    <t>Taniguchi, Y; Jaïs, X; Boucly, A; Weatherald, J; Jevnikar, M; Brenot, P; Planché, O; Parent, F; Savale, L; Fadel, E; Montani, D; Simonneau, G; Humbert, M; Sitbon, O</t>
  </si>
  <si>
    <t>Taniguchi, Yu; Jais, Xavier; Boucly, Athenais; Weatherald, Jason; Jevnikar, Mitja; Brenot, Philippe; Planche, Olivier; Parent, Florence; Savale, Laurent; Fadel, Elie; Montani, David; Simonneau, Gerald; Humbert, Marc; Sitbon, Olivier</t>
  </si>
  <si>
    <t>Factors associated with survival in patients with not-operated chronic thromboembolic pulmonary hypertension (CTEPH) in the modern management era</t>
  </si>
  <si>
    <t>[Taniguchi, Yu; Jais, Xavier; Boucly, Athenais; Jevnikar, Mitja; Planche, Olivier; Parent, Florence; Savale, Laurent; Montani, David; Simonneau, Gerald; Humbert, Marc; Sitbon, Olivier] Hop Bicetre, Le Kremlin Bicetre, France; [Weatherald, Jason] Univ Calgary, Calgary, AB, Canada; [Brenot, Philippe; Fadel, Elie] Hop Marie Lannelongue, Le Plessis Robinson, France</t>
  </si>
  <si>
    <t>Assistance Publique Hopitaux Paris (APHP); Hopital Universitaire Bicetre - APHP; Universite Paris Saclay; Hopital Universitaire Antoine-Beclere - APHP; University of Calgary; Hopital Marie Lannelongue</t>
  </si>
  <si>
    <t>Sitbon, Olivier/I-3623-2019; David, Montani/I-6885-2019; Savale, Laurent/AAJ-9781-2020; Simonneau, Gerald/ABE-6614-2020; Humbert, Marc/AAC-8459-2019</t>
  </si>
  <si>
    <t>OA4944</t>
  </si>
  <si>
    <t>10.1183/13993003.congress-2018.OA4944</t>
  </si>
  <si>
    <t>WOS:000455567100408</t>
  </si>
  <si>
    <t>Farmery, JHR; Smith, ML; Lynch, AG; Huissoon, A; Furnell, A; Mead, A; Levine, AP; Manzur, A; Thrasher, A; Greenhalgh, A; Parker, A; Sanchis-Juan, A; Richter, A; Gardham, A; Lawrie, A; Sohal, A; Creaser-Myers, A; Frary, A; Greinacher, A; Themistocleous, A; Peacock, AJ; Marshall, A; Mumford, A; Rice, A; Webster, A; Brady, A; Koziell, A; Manson, A; Chandra, A; Hensiek, A; in't Veld, AH; Maw, A; Kelly, AM; Moore, A; Noordegraaf, AV; Attwood, A; Herwadkar, A; Ghofrani, A; Houweling, AC; Girerd, B; Furie, B; Treacy, CM; Millar, CM; Sewell, C; Roughley, C; Titterton, C; Williamson, C; Hadinnapola, C; Deshpande, C; Toh, CH; Bacchelli, C; Patch, C; Van Geet, C; Babbs, C; Bryson, C; Penkett, CJ; Rhodes, CJ; Watt, C; Bethune, C; Booth, C; Lentaigne, C; McJannet, C; Church, C; French, C; Samarghitean, C; Halmagyi, C; Gale, D; Greene, D; Hart, D; Allsup, D; Bennett, D; Edgar, D; Kiely, DG; Gosal, D; Perry, DJ; Keeling, D; Montani, D; Shipley, D; Whitehorn, D; Fletcher, D; Krishnakumar, D; Grozeva, D; Kumararatne, D; Thompson, D; Josifova, D; Maher, E; Wong, EKS; Murphy, E; Dewhurst, E; Louka, E; Rosser, E; Chalmers, E; Colby, E; Drewe, E; McDermott, E; Thomas, E; Staples, E; Clement, E; Matthews, E; Wakeling, E; Oksenhendler, E; Turro, E; Reid, E; Wassmer, E; Raymond, FL; Hu, FY; Kennedy, F; Soubrier, F; Flinter, F; Kovacs, G; Polwarth, G; Ambegaonkar, G; Arno, G; Hudson, G; Woods, G; Coghlan, G; Hayman, G; Arumugakani, G; Schotte, G; Cook, HT; Alachkar, H; Allen, HL; Lango-Allen, H; Stark, H; Stauss, H; Schulze, H; Boggard, HJ; Baxendale, H; Dolling, H; Firth, H; Gall, H; Watson, H; Longhurst, H; Markus, HS; Watkins, H; Simeoni, I; Emmerson, I; Roberts, I; Quinti, I; Wanjiku, I; Gibbs, JSR; Thaventhiran, J; Whitworth, J; Hurst, J; Collins, J; Suntharalingam, J; Payne, J; Thachil, J; Martin, JM; Martin, J; Carmichael, J; Maimaris, J; Paterson, J; Pepke-Zaba, J; Heemskerk, JWM; Gebhart, J; Davis, J; Pasi, J; Bradley, JR; Wharton, J; Stephens, J; Rankin, J; Anderson, J; Vogt, J; von Ziegenweldt, J; Rehnstrom, K; Megy, K; Talks, K; Peerlinck, K; Yates, K; Freson, K; Stirrups, K; Gomez, K; Smith, KGC; Carss, K; Rue-Albrecht, K; Gilmour, K; Masati, L; Scelsi, L; Southgate, L; Ranganathan, L; Ginsberg, L; Devlin, L; Willcocks, L; Ormondroyd, L; Lorenzo, L; Harper, L; Allen, L; Daugherty, L; Chitre, M; Kurian, M; Humbert, M; Tischkowitz, M; Bitner-Glindzicz, M; Erwood, M; Scully, M; Veltman, M; Caulfield, M; Layton, M; McCarthy, M; Ponsford, M; Toshner, M; Bleda, M; Wilkins, M; Mathias, M; Reilly, M; Afzal, M; Brown, M; Rondina, M; Stubbs, M; Haimel, M; Lees, M; Laffan, MA; Browning, M; Gattens, M; Richards, M; Michaelides, M; Lambert, MP; Makris, M; De Vries, M; Mahdi-Rogers, M; Saleem, M; Thomas, M; Holder, M; Eyries, M; Clements-Brod, N; Canham, N; Dormand, N; Van Zuydam, N; Kingston, N; Ghali, N; Cooper, N; Morrell, NW; Yeatman, N; Roy, N; Shamardina, O; Alavijeh, OS; Gresele, P; Nurden, P; Chinnery, P; Deegan, P; Yong, P; Yu-Wai-Man, P; Corris, PA; Calleja, P; Gissen, P; Bolton-Maggs, P; Rayner-Matthews, P; Ghataorhe, PK; Gordins, P; Stein, P; Collins, P; Dixon, P; Kelleher, P; Ancliff, P; Yu, P; Tait, RC; Linger, R; Doffinger, R; Machado, R; Kazmi, R; Sargur, R; Favier, R; Tan, R; Liesner, R; Antrobus, R; Sandford, R; Scott, R; Trembath, R; Horvath, R; Hadden, R; MackenzieRoss, RV; Henderson, R; MacLaren, R; James, R; Ghurye, R; DaCosta, R; Hague, R; Mapeta, R; Armstrong, R; Noorani, S; Murng, S; Santra, S; Tuna, S; Johnson, S; Chong, S; Lear, S; Walker, S; Goddard, S; Mangles, S; Westbury, S; Mehta, S; Hackett, S; Nejentsev, S; Moledina, S; Bibi, S; Meehan, S; Othman, S; Revel-Vilk, S; Holden, S; McGowan, S; Staines, S; Savic, S; Burns, S; Grigoriadou, S; Papadia, S; Ashford, S; Schulman, S; Ali, S; Park, SM; Davies, S; Stock, S; Ali, S; Deevi, SVV; Gräf, S; Ghio, S; Wort, SJ; Jolles, S; Austin, S; Welch, S; Meacham, S; Rankin, S; Walker, S; Seneviratne, S; Holder, S; Sivapalaratnam, S; Richardson, S; Kuijpers, T; Kuijpers, TW; Bariana, TK; Bakchoul, T; Everington, T; Renton, T; Young, T; Aitman, T; Warner, TQ; Vale, T; Hammerton, T; Pollock, V; Matser, V; Cookson, V; Clowes, V; Qasim, W; Wei, W; Erber, WN; Ouwehand, WH; Astle, W; Egner, W; Turek, W; Henskens, Y; Tan, Y</t>
  </si>
  <si>
    <t>Farmery, James H. R.; Smith, Mike L.; Lynch, Andy G.; Huissoon, Aarnoud; Furnell, Abigail; Mead, Adam; Levine, Adam P.; Manzur, Adnan; Thrasher, Adrian; Greenhalgh, Alan; Parker, Alasdair; Sanchis-Juan, Alba; Richter, Alex; Gardham, Alice; Lawrie, Allan; Sohal, Aman; Creaser-Myers, Amanda; Frary, Amy; Greinacher, Andreas; Themistocleous, Andreas; Peacock, Andrew J.; Marshall, Andrew; Mumford, Andrew; Rice, Andrew; Webster, Andrew; Brady, Angie; Koziell, Ania; Manson, Ania; Chandra, Anita; Hensiek, Anke; in't Veld, Anna Huis; Maw, Anna; Kelly, Anne M.; Moore, Anthony; Noordegraaf, Anton Vonk; Attwood, Antony; Herwadkar, Archana; Ghofrani, Ardi; Houweling, Arjan C.; Girerd, Barbara; Furie, Bruce; Treacy, Carmen M.; Millar, Carolyn M.; Sewell, Carrock; Roughley, Catherine; Titterton, Catherine; Williamson, Catherine; Hadinnapola, Charaka; Deshpande, Charu; Toh, Cheng-Hock; Bacchelli, Chiara; Patch, Chris; Van Geet, Chris; Babbs, Christian; Bryson, Christine; Penkett, Christopher J.; Rhodes, Christopher J.; Watt, Christopher; Bethune, Claire; Booth, Claire; Lentaigne, Claire; McJannet, Coleen; Church, Colin; French, Courtney; Samarghitean, Crina; Halmagyi, Csaba; Gale, Daniel; Greene, Daniel; Hart, Daniel; Allsup, David; Bennett, David; Edgar, David; Kiely, David G.; Gosal, David; Perry, David J.; Keeling, David; Montani, David; Shipley, Debbie; Whitehorn, Deborah; Fletcher, Debra; Krishnakumar, Deepa; Grozeva, Detelina; Kumararatne, Dinakantha; Thompson, Dorothy; Josifova, Dragana; Maher, Eamonn; Wong, Edwin K. S.; Murphy, Elaine; Dewhurst, Eleanor; Louka, Eleni; Rosser, Elisabeth; Chalmers, Elizabeth; Colby, Elizabeth; Drewe, Elizabeth; McDermott, Elizabeth; Thomas, Ellen; Staples, Emily; Clement, Emma; Matthews, Emma; Wakeling, Emma; Oksenhendler, Eric; Turro, Ernest; Reid, Evan; Wassmer, Evangeline; Raymond, F. Lucy; Hu, Fengyuan; Kennedy, Fiona; Soubrier, Florent; Flinter, Frances; Kovacs, Gabor; Polwarth, Gary; Ambegaonkar, Gautum; Arno, Gavin; Hudson, Gavin; Woods, Geoff; Coghlan, Gerry; Hayman, Grant; Arumugakani, Gururaj; Schotte, Gwen; Cook, H. Terry; Alachkar, Hana; Allen, Hana Lango; Lango-Allen, Hana; Stark, Hannah; Stauss, Hans; Schulze, Harald; Boggard, Harm J.; Baxendale, Helen; Dolling, Helen; Firth, Helen; Gall, Henning; Watson, Henry; Longhurst, Hilary; Markus, Hugh S.; Watkins, Hugh; Simeoni, Ilenia; Emmerson, Ingrid; Roberts, Irene; Quinti, Isabella; Wanjiku, Ivy; Gibbs, J. Simon R.; Thaventhiran, James; Whitworth, James; Hurst, Jane; Collins, Janine; Suntharalingam, Jay; Payne, Jeanette; Thachil, Jecko; Martin, Jennifer M.; Martin, Jennifer; Carmichael, Jenny; Maimaris, Jesmeen; Paterson, Joan; Pepke-Zaba, Joanna; Heemskerk, Johan W. M.; Gebhart, Johanna; Davis, John; Pasi, John; Bradley, John R.; Wharton, John; Stephens, Jonathan; Rankin, Julia; Anderson, Julie; Vogt, Julie; von Ziegenweldt, Julie; Rehnstrom, Karola; Megy, Karyn; Talks, Kate; Peerlinck, Kathelijne; Yates, Katherine; Freson, Kathleen; Stirrups, Kathleen; Gomez, Keith; Smith, Kenneth G. C.; Carss, Keren; Rue-Albrecht, Kevin; Gilmour, Kimberley; Masati, Larahmie; Scelsi, Laura; Southgate, Laura; Ranganathan, Lavanya; Ginsberg, Lionel; Devlin, Lisa; Willcocks, Lisa; Ormondroyd, Liz; Lorenzo, Lorena; Harper, Lorraine; Allen, Louise; Daugherty, Louise; Chitre, Manali; Kurian, Manju; Humbert, Marc; Tischkowitz, Marc; Bitner-Glindzicz, Maria; Erwood, Marie; Scully, Marie; Veltman, Marijke; Caulfield, Mark; Layton, Mark; McCarthy, Mark; Ponsford, Mark; Toshner, Mark; Bleda, Marta; Wilkins, Martin; Mathias, Mary; Reilly, Mary; Afzal, Maryam; Brown, Matthew; Rondina, Matthew; Stubbs, Matthew; Haimel, Matthias; Lees, Melissa; Laffan, Michael A.; Browning, Michael; Gattens, Michael; Richards, Michael; Michaelides, Michel; Lambert, Michele P.; Makris, Mike; De Vries, Minka; Mahdi-Rogers, Mohamed; Saleem, Moin; Thomas, Moira; Holder, Muriel; Eyries, Melanie; Clements-Brod, Naomi; Canham, Natalie; Dormand, Natalie; Van Zuydam, Natalie; Kingston, Nathalie; Ghali, Neeti; Cooper, Nichola; Morrell, Nicholas W.; Yeatman, Nigel; Roy, Noemi; Shamardina, Olga; Alavijeh, Omid S.; Gresele, Paolo; Nurden, Paquita; Chinnery, Patrick; Deegan, Patrick; Yong, Patrick; Yu-Wai-Man, Patrick; Corris, Paul A.; Calleja, Paul; Gissen, Paul; Bolton-Maggs, Paula; Rayner-Matthews, Paula; Ghataorhe, Pavandeep K.; Gordins, Pavel; Stein, Penelope; Collins, Peter; Dixon, Peter; Kelleher, Peter; Ancliff, Phil; Yu, Ping; Tait, R. Campbell; Linger, Rachel; Doffinger, Rainer; Machado, Rajiv; Kazmi, Rashid; Sargur, Ravishankar; Favier, Remi; Tan, Rhea; Liesner, Ri; Antrobus, Richard; Sandford, Richard; Scott, Richard; Trembath, Richard; Horvath, Rita; Hadden, Rob; MackenzieRoss, Rob V.; Henderson, Robert; MacLaren, Robert; James, Roger; Ghurye, Rohit; DaCosta, Rosa; Hague, Rosie; Mapeta, Rutendo; Armstrong, Ruth; Noorani, Sadia; Murng, Sai; Santra, Saikat; Tuna, Salih; Johnson, Sally; Chong, Sam; Lear, Sara; Walker, Sara; Goddard, Sarah; Mangles, Sarah; Westbury, Sarah; Mehta, Sarju; Hackett, Scott; Nejentsev, Sergey; Moledina, Shahin; Bibi, Shahnaz; Meehan, Sharon; Othman, Shokri; Revel-Vilk, Shoshana; Holden, Simon; McGowan, Simon; Staines, Simon; Savic, Sinisa; Burns, Siobhan; Grigoriadou, Sofia; Papadia, Sofia; Ashford, Sofie; Schulman, Sol; Ali, Sonia; Park, Soo-Mi; Davies, Sophie; Stock, Sophie; Ali, Souad; Deevi, Sri V. V.; Graf, Stefan; Ghio, Stefano; Wort, Stephen J.; Jolles, Stephen; Austin, Steve; Welch, Steve; Meacham, Stuart; Rankin, Stuart; Walker, Suellen; Seneviratne, Suranjith; Holder, Susan; Sivapalaratnam, Suthesh; Richardson, Sylvia; Kuijpers, Taco; Kuijpers, Taco W.; Bariana, Tadbir K.; Bakchoul, Tamam; Everington, Tamara; Renton, Tara; Young, Tim; Aitman, Timothy; Warner, Timothy Q.; Vale, Tom; Hammerton, Tracey; Pollock, Val; Matser, Vera; Cookson, Victoria; Clowes, Virginia; Qasim, Waseem; Wei, Wei; Erber, Wendy N.; Ouwehand, Willem H.; Astle, William; Egner, William; Turek, Wojciech; Henskens, Yvonne; Tan, Yvonne</t>
  </si>
  <si>
    <t>NIHR BioResource-Rare Dis</t>
  </si>
  <si>
    <t>Telomerecat: A ploidy-agnostic method for estimating telomere length from whole genome sequencing data (vol 8, 1300, 2018)</t>
  </si>
  <si>
    <t>[Farmery, James H. R.; Lynch, Andy G.] Univ Cambridge, Li Ka Shing Ctr, Canc Res UK Cambridge Inst, Robinson Way, Cambridge CB2 0RE, England; [Smith, Mike L.] EMBL, Genome Biol Unit, D-69117 Heidelberg, Germany; [Lynch, Andy G.] Univ St Andrews, Sch Med, Sch Math &amp; Stat, St Andrews KY16 9SS, Fife, Scotland; [Huissoon, Aarnoud; Hackett, Scott; Welch, Steve] Birmingham Heartlands, Bordesley Green E, Birmingham B9 5SS, W Midlands, England; [Furnell, Abigail; Sanchis-Juan, Alba; Frary, Amy; Attwood, Antony; Titterton, Catherine; Bryson, Christine; Penkett, Christopher J.; Watt, Christopher; McJannet, Coleen; French, Courtney; Samarghitean, Crina; Halmagyi, Csaba; Greene, Daniel; Whitehorn, Deborah; Fletcher, Debra; Maher, Eamonn; Staples, Emily; Turro, Ernest; Reid, Evan; Raymond, F. Lucy; Hu, Fengyuan; Hudson, Gavin; Woods, Geoff; Allen, Hana Lango; Lango-Allen, Hana; Stark, Hannah; Dolling, Helen; Markus, Hugh S.; Simeoni, Ilenia; Thaventhiran, James; Whitworth, James; Martin, Jennifer; Davis, John; Stephens, Jonathan; Anderson, Julie; von Ziegenweldt, Julie; Rehnstrom, Karola; Megy, Karyn; Stirrups, Kathleen; Smith, Kenneth G. C.; Carss, Keren; Daugherty, Louise; Tischkowitz, Marc; Erwood, Marie; Veltman, Marijke; Bleda, Marta; Brown, Matthew; Haimel, Matthias; Clements-Brod, Naomi; Kingston, Nathalie; Morrell, Nicholas W.; Shamardina, Olga; Chinnery, Patrick; Yu-Wai-Man, Patrick; Calleja, Paul; Rayner-Matthews, Paula; Yu, Ping; Linger, Rachel; Doffinger, Rainer; Tan, Rhea; Sandford, Richard; James, Roger; Mapeta, Rutendo; Tuna, Salih; Nejentsev, Sergey; Staines, Simon; Papadia, Sofia; Ashford, Sofie; Stock, Sophie; Deevi, Sri V. V.; Graf, Stefan; Meacham, Stuart; Rankin, Stuart; Richardson, Sylvia; Young, Tim; Hammerton, Tracey; Matser, Vera; Wei, Wei; Ouwehand, Willem H.; Astle, William; Turek, Wojciech] Univ Cambridge, Old Sch, Trinity Lane, Cambridge CB2 1TN, England; [Mead, Adam; Babbs, Christian; Bennett, David; Louka, Eleni; Watkins, Hugh; Roberts, Irene; Ormondroyd, Liz; Roy, Noemi] Oxford Univ Hosp NHS Fdn Trust, John Radcliffe Hosp, Headley Way, Oxford OX3 9DU, England; [Mead, Adam; Themistocleous, Andreas; Babbs, Christian; Bennett, David; Louka, Eleni; Longhurst, Hilary; Watkins, Hugh; Roberts, Irene; Ormondroyd, Liz; McCarthy, Mark; Van Zuydam, Natalie; Roy, Noemi; McGowan, Simon; Vale, Tom] Univ Oxford, Univ Off, Wellington Sq, Oxford OX1 2JD, England; [Levine, Adam P.; Alavijeh, Omid S.] UCL, Ctr Nephrol, UCL Med Sch, Rowland Hill St, London NW3 2PF, England; [Manzur, Adnan; Thrasher, Adrian; Gardham, Alice; Thompson, Dorothy; Rosser, Elisabeth; Clement, Emma; Hurst, Jane; Bitner-Glindzicz, Maria; Lees, Melissa; Gissen, Paul; Ancliff, Phil; Scott, Richard; Henderson, Robert; Moledina, Shahin; Walker, Suellen; Cookson, Victoria] Children NHS Fdn Trust, Great Ormond St Hosp, Great Ormond St, London WC1N 3JH, England; [Thrasher, Adrian; Bacchelli, Chiara; Booth, Claire; Maimaris, Jesmeen; Gilmour, Kimberley; Kurian, Manju; Bibi, Shahnaz; Qasim, Waseem] UCL Great Ormond St Inst Child Hlth, 30 Guilford St, London WC1N 1EH, England; [Greenhalgh, Alan; Shipley, Debbie; Corris, Paul A.] Newcastle Freeman Hosp, Freeman Rd, Newcastle Upon Tyne NE7 7DN, Tyne &amp; Wear, England; [Parker, Alasdair; Manson, Ania; Chandra, Anita; Hensiek, Anke; Maw, Anna; Kelly, Anne M.; French, Courtney; Perry, David J.; Krishnakumar, Deepa; Kumararatne, Dinakantha; Maher, Eamonn; Staples, Emily; Reid, Evan; Raymond, F. Lucy; Ambegaonkar, Gautum; Hudson, Gavin; Woods, Geoff; Firth, Helen; Markus, Hugh S.; Whitworth, James; Carmichael, Jenny; Paterson, Joan; Bradley, John R.; Smith, Kenneth G. C.; Willcocks, Lisa; Allen, Louise; Chitre, Manali; Tischkowitz, Marc; Gattens, Michael; Morrell, Nicholas W.; Chinnery, Patrick; Deegan, Patrick; Yu-Wai-Man, Patrick; Stein, Penelope; Doffinger, Rainer; Tan, Rhea; Sandford, Richard; Armstrong, Ruth; Mehta, Sarju; Holden, Simon; Park, Soo-Mi; Davies, Sophie; Wei, Wei] Cambridge Univ Hosp NHS Fdn Trust, Addenbrookes Hosp, Hills Rd, Cambridge CB2 0QQ, England; [Richter, Alex; Antrobus, Richard] Univ Hosp Birmingham, Mindelsohn Way, Birmingham B15 2TH, W Midlands, England; [Lawrie, Allan; Creaser-Myers, Amanda; Kiely, David G.; Walker, Sara] Royal Hallamshire Hosp, Sheffield CRF, Glossop Rd, Sheffield S10 2JF, S Yorkshire, England; [Sohal, Aman; Wassmer, Evangeline; Vogt, Julie; Santra, Saikat] Birmingham Childrens Hosp NHS Fdn Trust, Steelhouse Ln, Birmingham B4 6NH, W Midlands, England; [Greinacher, Andreas; Bakchoul, Tamam] Ernst Moritz Arndt Univ Greifswald, Inst Immunol &amp; Transfus Med, Domstr 11, D-17489 Greifswald, Germany; [Peacock, Andrew J.; Church, Colin; Kennedy, Fiona; Pollock, Val] Golden Jubilee Natl Hosp, Agamemnon St, Clydebank G81 4DY, Scotland; [Marshall, Andrew; Herwadkar, Archana; Gosal, David; Alachkar, Hana] Salford Royal NHS Fdn Trust, Stott Ln, Salford M6 8HD, Lancs, England; [Mumford, Andrew; Westbury, Sarah] Univ Hosp Bristol NHS Fdn Trust, Trust Headquarters, Marlborough St, Bristol BS1 3NU, Avon, England; [Mumford, Andrew; Colby, Elizabeth; Afzal, Maryam; Saleem, Moin; Westbury, Sarah] Univ Bristol, Senate House,Tyndall Ave, Bristol BS8 1TH, Avon, England; [Rice, Andrew; Millar, Carolyn M.; Lentaigne, Claire; Stubbs, Matthew; Laffan, Michael A.; Aitman, Timothy] Imperial Coll, London SW7 2AZ, England; [Webster, Andrew; Moore, Anthony; Arno, Gavin; Michaelides, Michel; MacLaren, Robert] Moorfields Eye Hosp NHS Fdn Trust, 162 City Rd, London EC1V 2PD, England; [Webster, Andrew; Moore, Anthony; Gale, Daniel; Arno, Gavin; Gomez, Keith; Michaelides, Michel; Gissen, Paul; Bariana, Tadbir K.] UCL, Gower St, London WC1E 6BT, England; [Brady, Angie; Wakeling, Emma; Canham, Natalie; Ghali, Neeti; Holder, Susan; Clowes, Virginia] London North West Healthcare NHS Trust, Northwick Pk Hosp, Watford Rd, Harrow HA1 3UJ, Middx, England; [Koziell, Ania; Deshpande, Charu; Patch, Chris; Josifova, Dragana; Thomas, Ellen; Flinter, Frances; Holder, Muriel] Guys &amp; St Thomas NHS Fdn Trust, St Thomas Hosp, Westminster Bridge Rd, London SE1 7EH, ON, Canada; [in't Veld, Anna Huis; Noordegraaf, Anton Vonk; Houweling, Arjan C.; Schotte, Gwen; Boggard, Harm J.] Vrije Univ Amsterdam Med Ctr, De Boelelaan 1117, NL-1081 HV Amsterdam, Netherlands; [Ghofrani, Ardi; Gall, Henning] Univ Giessen, Ludwigstr 23, D-35390 Giessen, Germany; [Girerd, Barbara; Montani, David; Humbert, Marc] Univ South Paris, 15 Rue Georges Clemenceau, F-91400 Orsay, France; [Furie, Bruce; Schulman, Sol] Harvard Med Sch, Beth Israel Deaconess Med Ctr, 330 Brookline Ave, Boston, MA 02215 USA; [Treacy, Carmen M.; Hadinnapola, Charaka; Martin, Jennifer M.; Yates, Katherine; Bleda, Marta; Haimel, Matthias] Univ Cambridge, Addenbrookes Hosp, Dept Med, Hills Rd, Cambridge CB2 0SP, England; [Millar, Carolyn M.; Lentaigne, Claire; Layton, Mark; Stubbs, Matthew; Laffan, Michael A.; Cooper, Nichola; Kelleher, Peter] Imperial Coll Healthcare NHS Trust, St Marys Hosp, Bays, South Wharf Rd, London W2 1NY, England; [Sewell, Carrock] Scunthorpe Gen Hosp, Scunthorpe DN15 7BH, England; [Roughley, Catherine] East Kent Hosp Univ Fdn Trust, Kent &amp; Canterbury Hosp, Haemophilia Ctr, Ethelbert Rd, Canterbury TN24 0LZ, Kent, England; [Williamson, Catherine; Southgate, Laura; Dixon, Peter; Trembath, Richard] Kings Coll London, London WC2R 2LS, England; [Toh, Cheng-Hock; Dewhurst, Eleanor] Royal Liverpool Hosp, Roald Dahl Haemophilia Ctr, Prescot St, Liverpool L7 8XP, Merseyside, England; [Van Geet, Chris; Peerlinck, Kathelijne; Freson, Kathleen] Univ Leuven, Ctr Mol &amp; Vasc Biol, Dept Cardiovasc Sci, Ctr Mol &amp; Vasc Biol, Oude Markt 13, B-3000 Leuven, Belgium; [Rhodes, Christopher J.; Wanjiku, Ivy; Wharton, John; Rue-Albrecht, Kevin; Masati, Larahmie; Ranganathan, Lavanya; Wilkins, Martin; Ghataorhe, Pavandeep K.; Meehan, Sharon; Othman, Shokri; Ali, Sonia; Ali, Souad] Imperial &amp; Hammersmith Hosp, Du Cane Rd, London W12 0HS, England; [Bethune, Claire] Plymouth Hopsital, Derriford Rd,Crownhill, Clymouth PL6 8DH, Devon, England; [Greene, Daniel; Turro, Ernest; Papadia, Sofia] Univ Cambridge, Addenbrookes Hosp, Dept Haematol, Wellcome Trust Mrc Bldg,Hills Rd, Cambridge CB2 0XY, England; [Greene, Daniel; Turro, Ernest] MRC BSU, Cambridge Inst Publ Hlth, Forvie Site,Robinson Way, Cambridge CB2 0SR, England; [Hart, Daniel; Sivapalaratnam, Suthesh] Barts Hlth NHS Trust, Royal London Hosp, Whitechapel Rd, London E1 1BB, England; [Allsup, David] Hull &amp; East Yorkshire NHS Fdn Trust, Castle Hill Hosp, Dept Haematol, Castle Rd, Cottingham HU16 5JQ, England; [Edgar, David; Devlin, Lisa] Belfast City Hosp, Trust Headquarters, A Floor,Lisburn Rd, Belfast BT9 7AB, Antrim, North Ireland; [Keeling, David] Oxford Univ Hosp NHS Trust, Churchill Hosp, Oxford Haemophilia &amp; Thrombosis Ctr, Oxford OX3 7LE, England; [Grozeva, Detelina] Univ Cambridge, Cambridge Inst Med Res, CIMR Med Genet, Cambridge Biomedical Campus, Cambridge CB2 0XY, England; [Wong, Edwin K. S.; Johnson, Sally] Newcastle Univ, Royal Victoria Infirm, Natl Renal Complement Therapeut Ctr, Victoria Wing, Newcastle Upon Tyne NE1 4LP, Tyne &amp; Wear, England; [Murphy, Elaine; Scully, Marie] Univ Coll London Hosp NHS Fdn Trust, 235 Euston Rd, London NW1 2BU, England; [Chalmers, Elizabeth; Hague, Rosie] NHS Greater Glasgow &amp; Clyde, Royal Hosp Children, 1345 Govan Rd, Glasgow G51 4TF, Lanark, Scotland; [Drewe, Elizabeth; McDermott, Elizabeth] Nottingham Univ Hosp NHS Trust, Hucknall Rd, Nottingham NG5 1PB, England; [Matthews, Emma; Reilly, Mary; Chong, Sam] UCLH, Natl Hosp Neurol &amp; Neurosurg, Queen Sq, London WC1N 3BG, England; [Matthews, Emma; Reilly, Mary; Chong, Sam] UCL, Natl Hosp Neurol &amp; Neurosurg, Queen Sq, London WC1N 3BG, England; [Oksenhendler, Eric] Hop St Louis, 1 Ave Claude Vellefaux, F-75010 Paris, France; [Soubrier, Florent; Eyries, Melanie] Univ Sorbonne, F-75005 Paris, France; [Kovacs, Gabor] Karl Franzens Univ Graz, Univ 3, A-8010 Graz, Austria; [Polwarth, Gary; Baxendale, Helen; Pepke-Zaba, Joanna; Toshner, Mark] Papworth Hosp, Cambridge CB23 3RE, England; [Coghlan, Gerry; Stauss, Hans; Ginsberg, Lionel; Burns, Siobhan; Seneviratne, Suranjith; Tan, Yvonne] Royal Free Hosp, Pond St, London NW3 2CVG, England; [Hayman, Grant] Epsom St Helier niv Hosp NHS Trust, Wrythe Ln, Sutton SM5 1AA, Surrey, England; [Arumugakani, Gururaj; Richards, Michael; Savic, Sinisa] Leeds Teaching Hosp NHS Fdn Trust, Great George St, Leeds LS1 3EX, W Yorkshire, England; [Cook, H. Terry] Imperial Coll, Ctr Complement &amp; Inflammat Res, London SW7 2AZ, England; [Schulze, Harald] Univ Klinikum Wurzburg, Lehrstuhl Expt Biomed, Josef Schneider Str 2, D-97080 Wurzburg, Germany; [Watson, Henry] Aberdeen Royal Infirm, Foresterhill, Aberdeen AB25 2ZN, Scotland; [Collins, Janine; Pasi, John; Lorenzo, Lorena; Yeatman, Nigel; Ghurye, Rohit; Grigoriadou, Sofia; Warner, Timothy Q.] Barts Hlth NHS Trust, Turner St, London E1 1BB, England; [Emmerson, Ingrid; Horvath, Rita] Newcastle Univ, Newcastle Upon Tyne NE1 7RU, Tyne &amp; Wear, England; [Quinti, Isabella] Sapienza Univ Roma, Piazzale Aldo Moro 5, I-00185 Rome, RM, Italy; [Gibbs, J. Simon R.] Imperial Coll, Natl Heart &amp; Lung Inst, Dovehouse St, London SW3 6LR, England; [Suntharalingam, Jay; MackenzieRoss, Rob V.] Royal United Bath Hosp, Combe Pk, Bath BA1 3NG, Avon, England; [Payne, Jeanette] Sheffield Childrens Hosp NHS Fdn Trust, Dept Haematol, Western Bank, Sheffield S10 2TH, S Yorkshire, England; [Thachil, Jecko] Manchester Royal Infirm, Haematol Dept, Oxford Rd, Manchester M13 9WL, Lancs, England; [Heemskerk, Johan W. M.] Maastricht Univ, Minderbroedersberg 4-6, NL-6211 Maastricht, Netherlands; [Gebhart, Johanna] Med Univ Vienna, Spitalgasse 23, A-1090 Vienna, Austria; [Rankin, Julia] Royal Devon &amp; Exeter NHS Fdn Trust, Barrack Rd, Exeter EX2 5DW, Devon, England; [Talks, Kate] Royal Victoria Infirm, Haematol Dept, Queen Victoria Rd, Newcastle Upon Tyne NE1 4LP, Tyne &amp; Wear, England; [Gomez, Keith; Bariana, Tadbir K.] Royal Free London NHS Fdn Trust, Katharine Dormandy Haemophilia Ctr, Pond St, London NW3 2QG, England; [Gomez, Keith; Bariana, Tadbir K.] Royal Free London NHS Fdn Trust, Thrombosis Unit, Pond St, London NW3 2QG, England; [Scelsi, Laura; Ghio, Stefano] San Matteo Pavia, Viale Camillo Golgi 19, I-27100 Pavia, PV, Italy; [Harper, Lorraine] Birmingham Univ NHS Fdn Trust, Queen Elizabeth Hosp Birmingham, Level 1,Mindelsohn Way, Birmingham B15 2GW, W Midlands, England; [Caulfield, Mark] Queen Mary Univ London, Mile End Rd, London E1 4CS, England; [Ponsford, Mark; Jolles, Stephen] Univ Hosp Wales, Cardiff &amp; Vale UHB Headquarters, Heath Pk, Cardiff CF14 4XW, S Glam, Wales; [Mathias, Mary; Liesner, Ri] Great Ormond St Hosp Sick Children, Dept Haematol, Great Ormond St, London WC1N 3JH, England; [Rondina, Matthew] Madsen Hlth Ctr, 555 Foothill Dr, Salt Lake City, UT 84112 USA; [Browning, Michael] Leicester Royal Infirm, Infirm Sq, Leicester LE1 5WW, Leics, England; [Lambert, Michele P.] Univ Penn, Perelman Sch Med, Dept Pediat, 34th St &amp; Civic Ctr Blvd, Philadelphia, PA 19104 USA; [Lambert, Michele P.] Childrens Hosp Philadelphia, Div Hematol, 3401 Civic Ctr Blvd, Philadelphia, PA 19104 USA; [Makris, Mike] Royal Hallamshire NHS Fdn Trust, Glossop Rd, Sheffield S10 2JF, S Yorkshire, England; [De Vries, Minka; Henskens, Yvonne] Maastricht Univ, Med Ctr, Postbus 5800, NL-6202 AZ Maastricht, Netherlands; [Mahdi-Rogers, Mohamed; Hadden, Rob; Renton, Tara] Kings Coll Hosp NHS Fdn Trust, Denmark Hill, London SE5 9RS, England; [Thomas, Moira; Murng, Sai] NHS Greater Glasgow &amp; Clyde, Gartnavel Gen Hosp, 1055 Great Western Rd, Glasgow G12 0XH, Lanark, Scotland; [Dormand, Natalie; DaCosta, Rosa; Wort, Stephen J.] Royal Brompton Hosp, Sydney St, London SW3 6NP, England; [Gresele, Paolo] Univ Perugia, Piazza Univ, I-06123 Perugia, PG, Italy; [Nurden, Paquita] Inst Hosp Univ LIRYC, PTIB, Hop Xavier Arnozan Pessac, Ave Haut Leveque, F-33604 Pessac, France; [Yong, Patrick] Frimley Pk Hosp, Portsmouth Rd, Frimley, Camberley, England; [Bolton-Maggs, Paula] Manchester Blood Ctr, NHS Blood &amp; Transplant, Manchester M13 9LL, Lancs, England; [Gordins, Pavel] Hull &amp; East Yorkshire Hosp NHS Trust, Anlaby Rd, Kingston Upon Hull HU3 2JZ, N Humberside, England; [Collins, Peter] Univ Hosp Wales Heath Pk, Arthur Bloom Haemophilia Ctr, Heath Pk Way, Cardiff CF14 4XW, S Glam, Wales; [Tait, R. Campbell] NHS Greater Glasgow &amp; Clyde, Glasgow Royal Infirm, 84 Castle St, Glasgow G4 0SF, Lanark, Scotland; [Machado, Rajiv] Univ Lincoln, Lincoln LN6 7TS, England; [Kazmi, Rashid] Univ Hosp Southampton NHS Fdn Trust, Southampton Gen Hosp, Tremona Rd, Southampton, Hants, England; [Sargur, Ravishankar; Egner, William] Sheffield Teaching Hosp, Herries Rd, Sheffield S5 7AU, S Yorkshire, England; [Favier, Remi] Trousseau Childrens Hosp, Haematol Lab, 26 Ave Dr Arnold Netter, F-75012 Paris, France; [Noorani, Sadia] Sandwell &amp; West Birmingham Hosp, Dudley Rd, Birmingham B18 7QH, W Midlands, England; [Lear, Sara] Norfolk &amp; Norwich Univ Hosp, Colney Ln, Norwich NR4 7UY, Norfolk, England; [Goddard, Sarah] Royal Stoke Univ Hosp, Univ Hosp North Midlands, Newcastle Rd, Stoke On Trent ST4 6QG, Staffs, England; [Mangles, Sarah] Hampshire Hosp NHS Fdn Trust, Haemophilia Haemostasis &amp; Thrombosis Ctr, Aldermaston Rd, Basingstoke RG24 9NA, Hants, England; [Revel-Vilk, Shoshana] Hadassah Hebrew Univ Hosp, IL-91120 Jerusalem, Israel; [Austin, Steve] Guys &amp; St Thomas NHS Fdn Trust, Guys Hosp, Dept Haematol, London SE1 9RT, England; [Kuijpers, Taco; Kuijpers, Taco W.] Emma Childrens Hosp AMC, Meibergdreef 9, NL-1105 AZ Amsterdam, Netherlands; [Everington, Tamara] Salisbury NHS Fdn Trust, Salisbury Hosp, Odstock Rd, Salisbury SP2 8BJ, Wilts, England; [Aitman, Timothy] Univ Edinburgh, Old Coll, South Bridge, Edinburgh EH8 9YL, Midlothian, Scotland; [Erber, Wendy N.] Univ Western Australia, Pathol &amp; Lab Med, 35 Stirling Hwy, Crawley, WA 6009, Australia; [Ouwehand, Willem H.] Wellcome Trust Sanger Inst, Wellcome Trust Genome Campus, Hinxton CB10 1SA, England</t>
  </si>
  <si>
    <t>Cancer Research UK; University of Cambridge; CRUK Cambridge Institute; European Molecular Biology Laboratory (EMBL); University of St Andrews; Heart of England NHS Foundation Trust; Heartlands Hospital; University of Cambridge; Oxford University Hospitals NHS Foundation Trust; University of Oxford; University of Oxford; University of London; University College London; University of London; University College London; Great Ormond Street Hospital for Children NHS Foundation Trust; University of London; University College London; Newcastle Freeman Hospital; University of Cambridge; Cambridge University Hospitals NHS Foundation Trust; Addenbrooke's Hospital; University of Birmingham; University of Sheffield; University of Birmingham; Universitat Greifswald; Golden Jubilee Hospital; Salford Royal NHS Foundation Trust; University of Bristol; University of Bristol; Imperial College London; University of London; University College London; Moorfields Eye Hospital NHS Foundation Trust; University of London; University College London; Imperial College London; Vrije Universiteit Amsterdam; VU UNIVERSITY MEDICAL CENTER; Justus Liebig University Giessen; Universite Paris Saclay; Harvard University; Harvard University Medical Affiliates; Beth Israel Deaconess Medical Center; Harvard Medical School; University of Cambridge; Cambridge University Hospitals NHS Foundation Trust; Addenbrooke's Hospital; Imperial College London; University of Kent; University of London; King's College London; Royal Liverpool &amp; Broadgreen University Hospitals NHS Trust; Royal Liverpool University Hospital; KU Leuven; Cambridge University Hospitals NHS Foundation Trust; Addenbrooke's Hospital; University of Cambridge; University of Cambridge; MRC Biostatistics Unit; Barts Health NHS Trust; Royal London Hospital; University of Hull; Belfast City Hospital; University of Oxford; Oxford University Hospitals NHS Foundation Trust; University of Cambridge; Newcastle University - UK; University of London; University College London; University College London Hospitals NHS Foundation Trust; Nottingham University Hospital NHS Trust; University of London; University College London; UCL Medical School; University College London Hospitals NHS Foundation Trust; National Hospital for Neurology &amp; Neurosurgery; University of London; University College London; UCL Medical School; University College London Hospitals NHS Foundation Trust; National Hospital for Neurology &amp; Neurosurgery; Universite Paris Cite; Assistance Publique Hopitaux Paris (APHP); Hopital Universitaire Saint-Louis - APHP; Sorbonne Universite; University of Graz; Papworth Hospital; University of London; University College London; UCL Medical School; Imperial College London; University of Wurzburg; Barts Health NHS Trust; Newcastle University - UK; Sapienza University Rome; Imperial College London; Sheffield Children's NHS Foundation Trust; Sheffield Children's Hospital; University of Manchester; Maastricht University; Medical University of Vienna; University of Exeter; Newcastle University - UK; University of London; University College London; Royal Free London NHS Foundation Trust; University of London; University College London; Royal Free London NHS Foundation Trust; University of Birmingham; University of London; Queen Mary University London; Cardiff University; University of London; University College London; Great Ormond Street Hospital for Children NHS Foundation Trust; University of Leicester; University of Pennsylvania; University of Pennsylvania; Pennsylvania Medicine; Childrens Hospital of Philadelphia; Maastricht University; King's College Hospital NHS Foundation Trust; Royal Brompton Hospital; University of Perugia; Universite de Bordeaux; CHU Bordeaux; University of Glasgow; University of Lincoln; University of Southampton; University Hospital Southampton NHS Foundation Trust; University of Sheffield; Assistance Publique Hopitaux Paris (APHP); Sorbonne Universite; Hopital Universitaire Armand-Trousseau - APHP; Norfolk &amp; Norwich University Hospitals NHS Foundation Trust; Norfolk &amp; Norwich University Hospital; Royal Stoke University Hospital; Hebrew University of Jerusalem; Hadassah University Medical Center; Hadassah University Hospital; Guy's &amp; St Thomas' NHS Foundation Trust; University of Amsterdam; Academic Medical Center Amsterdam; Emma Children's Hospital; Salisbury District Hospital; University of Edinburgh; University of Western Australia; Wellcome Trust Sanger Institute</t>
  </si>
  <si>
    <t>Farmery, JHR (corresponding author), Univ Cambridge, Li Ka Shing Ctr, Canc Res UK Cambridge Inst, Robinson Way, Cambridge CB2 0RE, England.</t>
  </si>
  <si>
    <t>henry.farmery@cruk.cam.ac.uk</t>
  </si>
  <si>
    <t>Hurst, Jane/G-8793-2015; Bleda, Marta/A-9333-2014; Sanchis, Alba/JZD-7585-2024; Cortese, Andrea/GPC-5134-2022; Mead, Adam/A-8796-2012; Bitner-Glindzicz, Maria/A-4231-2009; Humbert, Marc/AAC-8459-2019; Reilly, Mary/C-8482-2013; Ghofrani, Ardeschir/AAD-5293-2020; Lawrie, Allan/A-2708-2012; Raymond, F/F-4018-2010; McCarthy, Mark/M-3763-2015; Marshall, Andy/JFJ-3331-2023; Wong, Edwin/B-8599-2014; Pepke-Zaba, Joanna/AGW-3073-2022; Ponsford, Mark/ABA-3891-2020; David, Montani/I-6885-2019; Hudson, Gavin/E-7117-2017; Gissen, Paul/A-4352-2010; Seneviratne, Suranjith/N-2617-2018; Allen, Louise/H-2771-2017; Machado, Rajiv David/AAD-7813-2019; Cheetham, Michael/B-4672-2011; Claes, Kathleen/AFR-6830-2022; Patch, Christine/JNR-7700-2023; Henskens, Yvonne/AAD-8596-2020; Savic, Sinisa/ADF-2880-2022; Revel-Vilk, Shoshana/AFD-0655-2022; Henderson, Robert/F-4129-2018; Rue-Albrecht, Kevin/O-8151-2019; Erber, Wendy/A-1955-2012; Heemskerk, Johan/AAM-8323-2021; BoltonMaggs, Paula/KPA-3344-2024; Davis, John/C-3234-2014; Allen, Hana/G-9026-2012; Southgate, Laura/H-7924-2019; Lambert, Michele/AAB-9225-2021; Hadinnapola, Charaka/AAW-1229-2020; Babbs, Christian/AAA-5917-2022; Gale, Daniel/D-5594-2013; bennett, david/ABG-1184-2020; gresele, paolo/AAG-8019-2019; Clements, Emma/HSG-3424-2023; QASIM, WASEEM/B-3036-2009; moledina, shahin/A-6466-2009; Cardoso, Paulo/C-5768-2012; Booth, Claire/I-3667-2016; Ghio, Stefano/ABH-1151-2021; Allsup, David/H-2195-2017; Scelsi, Laura/AAB-9729-2019; Matthews, Emma/AAI-6889-2021; Sargur, Ravishankar/C-2270-2009; Wassmer, Evangeline/K-5467-2019</t>
  </si>
  <si>
    <t>Booth, Claire/0000-0002-2626-5037; freson, kathleen/0000-0002-4381-2442; Ghio, Stefano/0000-0002-1858-1152; Austin, Steven/0000-0002-6791-3635; Hadden, Robert/0000-0002-9702-0256; Maimaris, Jesmeen/0000-0003-4169-8209; Michaelides, Michel/0000-0002-1552-7046; Smith, Kenneth/0000-0003-3829-4326; Matser, Vera/0000-0002-2010-6844; Van Geet, Chris/0000-0003-1342-6265; Deevi, Sri Vishnu Vardhan/0000-0002-0405-4335; Hudson, Gavin/0000-0001-7210-2733; Burns, Siobhan/0000-0002-3356-9506; Ponsford, Mark J/0000-0002-0236-1059; Lango Allen, Hana/0000-0002-7803-8688; james, roger/0000-0002-0058-1357; Chinnery, Patrick/0000-0002-7065-6617; Dolling, Helen/0000-0001-6279-3622; Bennett, David/0000-0002-7996-2696; Hadinnapola, Charaka/0000-0002-7794-3432; Gissen, Paul/0000-0002-9712-6122; Allsup, David/0000-0001-6159-6109; Kingston, Nathalie/0000-0002-9190-2231; Ghofrani, Ardeschir/0000-0002-2029-4419; Montani, David/0000-0002-9358-6922; QASIM, WASEEM/0000-0001-8353-4494; mumford, andrew/0000-0002-5523-511X; Toshner, Mark/0000-0002-3969-6143; Thompson, Dorothy/0000-0001-5491-3911; Rhodes, Christopher/0000-0002-4962-3204; Lynch, Andy/0000-0002-7876-7338; Scelsi, Laura/0000-0001-9409-691X; Matthews, Emma/0000-0002-3810-306X; Lawrie, Allan/0000-0003-4192-9505; Meacham, Stuart/0000-0002-3667-6059; Sargur, Ravishankar/0000-0002-8535-630X; Ormondroyd, Elizabeth/0000-0002-9116-4064; Church, Alistair/0000-0002-4446-0100; Themistocleous, Andreas/0000-0002-1089-1543; Morrell, Nicholas/0000-0001-5700-9792; Savic, Sinisa/0000-0001-7910-0554; Doffinger, R/0000-0002-9841-3617; Wassmer, Evangeline/0000-0002-2446-1106; Saleem, Moin/0000-0002-9808-4518; Aitman, Timothy/0000-0002-7875-4502; Jolles, Stephen/0000-0002-7394-6804</t>
  </si>
  <si>
    <t>MRC [MC_UU_00002/10, MR/J011711/1, MR/L006340/1] Funding Source: UKRI</t>
  </si>
  <si>
    <t>SEP 3</t>
  </si>
  <si>
    <t>10.1038/s41598-018-31524-0</t>
  </si>
  <si>
    <t>GS3HE</t>
  </si>
  <si>
    <t>WOS:000443479700003</t>
  </si>
  <si>
    <t>Amsallem, M; Guihaire, J; Ataam, JA; Lamrani, L; Boulate, D; Mussot, S; Fabre, D; Taniguchi, Y; Haddad, F; Sitbon, O; Jais, X; Humbert, M; Simonneau, G; Mercier, O; Brenot, P; Fadel, E</t>
  </si>
  <si>
    <t>Amsallem, Myriam; Guihaire, Julien; Ataam, Jennifer Arthur; Lamrani, Lilia; Boulate, David; Mussot, Sacha; Fabre, Dominique; Taniguchi, Yu; Haddad, Francois; Sitbon, Olivier; Jais, Xavier; Humbert, Marc; Simonneau, Gerald; Mercier, Olaf; Brenot, Philippe; Fadel, Elie</t>
  </si>
  <si>
    <t>Impact of the initiation of balloon pulmonary angioplasty program on referral of patients with chronic thromboembolic pulmonary hypertension to surgery</t>
  </si>
  <si>
    <t>angioplasty; epidemiology; endarterectomy; outcome; pulmonary hypertension</t>
  </si>
  <si>
    <t>RISK-FACTORS; ENDARTERECTOMY; HEMODYNAMICS; SPLENECTOMY; EXPERIENCE; DISEASE; CTEPH</t>
  </si>
  <si>
    <t>BACKGROUND: Balloon pulmonary angioplasty (BPA) is a technique proposed for inoperable patients with chronic thromboembolic pulmonary hypertension (CTEPH). In this study we aimed to determine whether initiation of the BPA program has modified the characteristics and outcome of patients undergoing pulmonary endarterectomy (PEA), and compared the characteristics of patients undergoing one or the other procedure. METHODS: This prospective registry study included all patients with CTEPH who underwent PEA in the French National Reference Center before (2012 to 2013) and after (2015 to 2016) BPA program initiation (February 2014). Pre-operative clinical and hemodynamics profiles, peri-operative (Jamieson classification, surgery duration, need of assistance) characteristics of both groups, and all-cause mortality were compared using the t-test or chi-square test. Characteristics of patients subjected to surgery or BPA since February 2014 were also compared. RESULTS: The total number of patients referred to the CTEPH team increased in the BPA era (n = 291 vs n= 484). The pre-operative characteristics of patients from the pre-BPA era (n = 240) were similar to those from the BPA era (n = 246). Despite more Jamieson Type 3 cases (29%) in the second period, 30- and 90-day mortality remained stable (both p &gt; 0.30). Patients subjected to BPA (n = 177) were older than those subjected to PEA (n = 364) (64 +/- 14 vs 60 +/- 14 years, respectively), and had higher rates of splenectomy (10% vs 1%) or implantable port (9% vs 3%), lower total pulmonary resistance, better cardiac index, and better renal function (all p &lt; 0.01). CONCLUSIONS: This study shows the influence of the initiation of the BPA program on the profile of patients with CTEPH undergoing PEA. (C) 2018 International Society for Heart and Lung Transplantation. All rights reserved.</t>
  </si>
  <si>
    <t>[Amsallem, Myriam; Brenot, Philippe] Marie Lannelongue Hosp, Dept Cardiovasc Imaging, 133 Ave Resistance, Le Plessis Robinson, France; [Amsallem, Myriam; Guihaire, Julien; Ataam, Jennifer Arthur; Lamrani, Lilia; Mercier, Olaf; Fadel, Elie] Paris Sud Univ, Res &amp; Innovat Unit, INSERM U999, Marie Lannelongue Hosp,DHU Torino, Le Plessis Robinson, France; [Amsallem, Myriam; Haddad, Francois] Stanford Univ, Div Cardiovasc Med, Stanford, CA 94305 USA; [Guihaire, Julien; Boulate, David; Mussot, Sacha; Fabre, Dominique; Mercier, Olaf; Fadel, Elie] Marie Lannelongue Hosp, Dept Cardiothorac Surg, Le Plessis Robinson, France; [Taniguchi, Yu; Sitbon, Olivier; Jais, Xavier; Humbert, Marc; Simonneau, Gerald] Kremlin Bicetre Hosp, AP HP, Dept Pulm Dis, Le Kremlin Bicetre, France</t>
  </si>
  <si>
    <t>Hopital Marie Lannelongue; Hopital Marie Lannelongue; Universite Paris Saclay; Institut National de la Sante et de la Recherche Medicale (Inserm); Stanford University; Hopital Marie Lannelongue; Universite Paris Saclay; Assistance Publique Hopitaux Paris (APHP); Hopital Universitaire Bicetre - APHP</t>
  </si>
  <si>
    <t>Amsallem, M (corresponding author), Marie Lannelongue Hosp, Dept Cardiovasc Imaging, 133 Ave Resistance, Le Plessis Robinson, France.</t>
  </si>
  <si>
    <t>myriam.amsallem@gmail.com</t>
  </si>
  <si>
    <t>Brenot, Philippe/HJB-1040-2022; Simonneau, Gerald/ABE-6614-2020; Mussot, S/AAL-7512-2020; Boulate, David/ABC-8057-2020; Sitbon, Olivier/I-3623-2019; Humbert, Marc/AAC-8459-2019</t>
  </si>
  <si>
    <t>Guihaire, Julien/0000-0001-7414-3176; JAIS, XAVIER/0000-0002-4104-7994; Mercier, Olaf/0000-0002-4760-6267; SITBON, Olivier/0000-0002-1942-1951; Humbert, Marc/0000-0003-0703-2892; Amsallem, Myriam/0000-0003-4821-5249; Boulate, David/0000-0003-4757-4565</t>
  </si>
  <si>
    <t>Programme Hospitalier de Recherche Clinique National 2009 of the French Ministry of Health [RCB 2009-A0098057]; public grant overseen by the French National Research Agency as part of the second Investissements d'Avenir program [ANR-15-RHUS-0002]</t>
  </si>
  <si>
    <t>Programme Hospitalier de Recherche Clinique National 2009 of the French Ministry of Health; public grant overseen by the French National Research Agency as part of the second Investissements d'Avenir program</t>
  </si>
  <si>
    <t>The prospective endarterectomy registry was funded by a grant from the Programme Hospitalier de Recherche Clinique National 2009 of the French Ministry of Health (RCB 2009-A0098057). M.A., J.G., J.A., L.L., F.H., O. M., E.F., and P.B. are supported by a public grant overseen by the French National Research Agency as part of the second Investissements d'Avenir program (ANR-15-RHUS-0002).</t>
  </si>
  <si>
    <t>360 PARK AVE SOUTH, NEW YORK, NY 10010-1710 USA</t>
  </si>
  <si>
    <t>10.1016/j.healun.2018.05.004</t>
  </si>
  <si>
    <t>GT4YK</t>
  </si>
  <si>
    <t>WOS:000444512200009</t>
  </si>
  <si>
    <t>Lessons from pulmonary hypertension registries</t>
  </si>
  <si>
    <t>REVISTA PORTUGUESA DE CARDIOLOGIA</t>
  </si>
  <si>
    <t>ARTERIAL-HYPERTENSION; SURVIVAL</t>
  </si>
  <si>
    <t>[Humbert, Marc] Univ Paris Saclay, Univ Paris Sud, Fac Med, Le Kremlin Bicetre, France; [Humbert, Marc] Hop Bicetre, AP HP, Serv Pneumol, Le Kremlin Bicetre, France; [Humbert, Marc] Hop Marie Lannelongue, INSERM, UMR S 999, Le Plessis Robinson, France</t>
  </si>
  <si>
    <t>Universite Paris Saclay; Assistance Publique Hopitaux Paris (APHP); Hopital Universitaire Bicetre - APHP; Hopital Universitaire Antoine-Beclere - APHP; Universite Paris Saclay; Institut National de la Sante et de la Recherche Medicale (Inserm); Hopital Marie Lannelongue; Universite Paris Saclay</t>
  </si>
  <si>
    <t>Humbert, M (corresponding author), Univ Paris Saclay, Univ Paris Sud, Fac Med, Le Kremlin Bicetre, France.;Humbert, M (corresponding author), Hop Bicetre, AP HP, Serv Pneumol, Le Kremlin Bicetre, France.;Humbert, M (corresponding author), Hop Marie Lannelongue, INSERM, UMR S 999, Le Plessis Robinson, France.</t>
  </si>
  <si>
    <t>0870-2551</t>
  </si>
  <si>
    <t>0304-4750</t>
  </si>
  <si>
    <t>REV PORT CARDIOL</t>
  </si>
  <si>
    <t>Rev. Port. Cardiol.</t>
  </si>
  <si>
    <t>10.1016/j.repc.2018.08.003</t>
  </si>
  <si>
    <t>GU6MY</t>
  </si>
  <si>
    <t>WOS:000445429600006</t>
  </si>
  <si>
    <t>Taniguchi, Y; Brenot, P; Jais, X; Garcia, C; Weatherald, J; Planche, O; Fadel, E; Humbert, M; Simonneau, G</t>
  </si>
  <si>
    <t>Taniguchi, Yu; Brenot, Philippe; Jais, Xavier; Garcia, Carlos; Weatherald, Jason; Planche, Olivier; Fadel, Elle; Humbert, Marc; Simonneau, Gerald</t>
  </si>
  <si>
    <t>Poor Subpleural Perfusion Predicts Failure After Balloon Pulmonary Angioplasty for Nonoperable Chronic Thromboembolic Pulmonary Hypertension</t>
  </si>
  <si>
    <t>balloon pulmonary angioplasty; chronic thromboembolic pulmonary hypertension; poor subpleural perfusion; predictive factor</t>
  </si>
  <si>
    <t>ARTERIAL-HYPERTENSION; PRESSURE-GRADIENT; DIAGNOSIS; PROGNOSIS</t>
  </si>
  <si>
    <t>BACKGROUND: Poor subpleural perfusion (PSP) in the capillary phase of pulmonary angiography predicts worse outcomes following pulmonary endarterectomy in operable chronic thromboembolic pulmonary hypertension (CTEPH). Balloon pulmonary angioplasty (BPA) has emerged as a treatment for nonoperable CTEPH. The goal of the present article was to assess the association between PSP and BPA failure. METHODS: Subpleural perfusion was classified as poor (defined as subpleural spaces either not perfused or minimally perfused in all segments) or normal. We retrospectively reviewed PSP and hemodynamic variables of 101 consecutive patients who underwent BPA from February 2014 to August 2016. The total cross-sectional area of bronchial arteries was also measured by using CT scanning. Patients were categorized according to hemodynamic results after the last BPA: a failure group (defined as mean pulmonary arterial pressure &gt; 30 mm Hg and a decrease in pulmonary vascular resistance &lt; 30% [n = 15]) or a success group (n = 86). RESULTS: Although baseline hemodynamic variables were similar between the two groups, PSP was observed in 46.7% of patients in the failure group vs 13.9% in the success group (P = .003). Multivariate analysis revealed that PSP was the only predictor of BPA failure (OR, 4.02 [95% CI, 1.17-13.89]; P = .028). Patients with PSP exhibited poorly developed bronchial arteries compared with patients with normal perfusion (7.0 [5.8-9.6] mm(2) vs 8.7 [6.9-11.3] mm(2); P = .032). CONCLUSIONS: PSP in the capillary phase, suggesting the presence of small vessel disease with diffuse distal thrombosis, is a predictor of BPA failure. PSP was also associated with less developed bronchial arteries, which suggests a key role of bronchial-pulmonary anastomoses in maintaining the pulmonary capillary bed open downstream of the pulmonary arterial obstruction. PSP affected approximately 15% of patients with nonoperable CTEPH who underwent BPA.</t>
  </si>
  <si>
    <t>[Taniguchi, Yu; Jais, Xavier; Weatherald, Jason; Planche, Olivier; Fadel, Elle; Humbert, Marc; Simonneau, Gerald] Univ Paris Saclay, Univ Paris Sud, Fac Med, Le Kremlin Bicetre, France; [Taniguchi, Yu; Jais, Xavier; Weatherald, Jason; Humbert, Marc; Simonneau, Gerald] Hop Bicetre, AP HP, Serv Pneumol, Ctr Reference Hypertens Pulm, Le Kremlin Bicetre, France; [Taniguchi, Yu; Brenot, Philippe; Jais, Xavier; Garcia, Carlos; Planche, Olivier; Fadel, Elle; Humbert, Marc; Simonneau, Gerald] Hop Marie Lannelongue, Inserm UMR S 999, Le Plessis Robinson, France; [Brenot, Philippe; Garcia, Carlos] Hop Marie Lannelongue, Serv Radiol, Le Plessis Robinson, France; [Weatherald, Jason] Univ Calgary, Dept Med, Div Respirol, Calgary, AB, Canada; [Weatherald, Jason] Libin Cardiovasc Inst Alberta, Calgary, AB, Canada; [Planche, Olivier] Hop Bicetre, AP HP, Serv Radiol, Le Kremlin Bicetre, France; [Fadel, Elle] Hop Marie Lannelongue, Serv Chirurg Thorac, Le Plessis Robinson, France</t>
  </si>
  <si>
    <t>Universite Paris Saclay; Assistance Publique Hopitaux Paris (APHP); Hopital Universitaire Antoine-Beclere - APHP; Universite Paris Saclay; Hopital Universitaire Bicetre - APHP; Hopital Marie Lannelongue; Universite Paris Saclay; Institut National de la Sante et de la Recherche Medicale (Inserm); Hopital Marie Lannelongue; University of Calgary; Libin Cardiovascular Institute Of Alberta; Universite Paris Saclay; Assistance Publique Hopitaux Paris (APHP); Hopital Universitaire Antoine-Beclere - APHP; Hopital Universitaire Bicetre - APHP; Hopital Marie Lannelongue</t>
  </si>
  <si>
    <t>Simonneau, G (corresponding author), Hop Bicetre, Serv Pneumol, 78 Rue Gen Leclerc, F-94275 Le Kremlin Bicetre, France.</t>
  </si>
  <si>
    <t>Brenot, Philippe/HJB-1040-2022; Simonneau, Gerald/ABE-6614-2020; Humbert, Marc/AAC-8459-2019</t>
  </si>
  <si>
    <t>JAIS, XAVIER/0000-0002-4104-7994; Humbert, Marc/0000-0003-0703-2892; Weatherald, Jason/0000-0002-0615-4575</t>
  </si>
  <si>
    <t>European Respiratory Society; Canadian Thoracic Society; Canadian Vascular Network; Actelion; Bayer; Novartis</t>
  </si>
  <si>
    <t>European Respiratory Society; Canadian Thoracic Society; Canadian Vascular Network; Actelion; Bayer(Bayer AG); Novartis(Novartis)</t>
  </si>
  <si>
    <t>The authors have reported to CHEST the following: G. S. has relationships with drug companies, including Actelion, Bayer, MSD, GlaxoSmithKline, Biotrial, and Arena; in addition to being investigator in trials involving these companies, his relationships include consultancy service and membership of scientific advisory boards. X. J. has relationships with drug companies, including Actelion, Bayer, GlaxoSmithKline, and MSD; in addition to being investigators in trials involving these companies, other relationships include research grants, speaking fees, consultancy services, and memberships of scientific advisory boards. J. W. has received research grants from the European Respiratory Society, Canadian Thoracic Society, and the Canadian Vascular Network; he has also received consultant fees from Actelion, advisory board activities from Actelion, travel support from Actelion and Bayer, and speaking fees from Actelion, Bayer, and Novartis. M. H. has relationships with drug companies, including Actelion, Bayer, GlaxoSmithKline, and Merck; in addition to being investigator in trials involving these companies, relationships include consultancy service and membership of scientific advisory boards. None declared (Y. T., P. B., C. G., O. P., E. F.).</t>
  </si>
  <si>
    <t>10.1016/j.chest.2018.03.059</t>
  </si>
  <si>
    <t>GS5RD</t>
  </si>
  <si>
    <t>WOS:000443725300020</t>
  </si>
  <si>
    <t>Montani, D; Dorfmüller, P; Girerd, B; Le Pavec, J; Fadel, E; Simonneau, G; Sitbon, O; Humbert, M</t>
  </si>
  <si>
    <t>Montani, David; Dorfmueller, Peter; Girerd, Barbara; Le Pavec, Jerome; Fadel, Elie; Simonneau, Gerald; Sitbon, Olivier; Humbert, Marc</t>
  </si>
  <si>
    <t>Natural History over 8 Years of Pulmonary Vascular Disease in a Patient Carrying Biallelic EIF2AK4 Mutations</t>
  </si>
  <si>
    <t>[Montani, David; Dorfmueller, Peter; Girerd, Barbara; Le Pavec, Jerome; Fadel, Elie; Simonneau, Gerald; Sitbon, Olivier; Humbert, Marc] Univ Paris Saclay, Le Kremlin Bicetre, France; [Montani, David; Dorfmueller, Peter; Girerd, Barbara; Simonneau, Gerald; Sitbon, Olivier; Humbert, Marc] INSERM, UMR S999, Le Plessis Robinson, France; [Le Pavec, Jerome; Fadel, Elie] Hop Marie Lannelongue, Le Plessis Robinson, France</t>
  </si>
  <si>
    <t>Universite Paris Saclay; Universite Paris Saclay; Institut National de la Sante et de la Recherche Medicale (Inserm); Hopital Marie Lannelongue</t>
  </si>
  <si>
    <t>Montani, D (corresponding author), Univ Paris Saclay, Le Kremlin Bicetre, France.;Montani, D (corresponding author), INSERM, UMR S999, Le Plessis Robinson, France.</t>
  </si>
  <si>
    <t>Sitbon, Olivier/I-3623-2019; David, Montani/I-6885-2019; Simonneau, Gerald/ABE-6614-2020; Humbert, Marc/AAC-8459-2019</t>
  </si>
  <si>
    <t>Le Pavec, Jerome/0000-0003-4426-9645; Dorfmuller, Peter/0000-0003-2499-6829; SITBON, Olivier/0000-0002-1942-1951; Montani, David/0000-0002-9358-6922; Humbert, Marc/0000-0003-0703-2892</t>
  </si>
  <si>
    <t>10.1164/rccm.201802-0317LE</t>
  </si>
  <si>
    <t>GQ5WL</t>
  </si>
  <si>
    <t>WOS:000441764900020</t>
  </si>
  <si>
    <t>Albers, FC; Bratton, DJ; Yancey, SW; Bradford, ES; Liu, MC; Hozawa, S; Humbert, M</t>
  </si>
  <si>
    <t>Albers, F. C.; Bratton, D. J.; Yancey, S. W.; Bradford, E. S.; Liu, M. C.; Hozawa, S.; Humbert, M.</t>
  </si>
  <si>
    <t>Effect of mepolizumab on exacerbation rate in patients with severe eosinophilic asthma by IgE level, atopic status and RAST score</t>
  </si>
  <si>
    <t>Congress of the European-Academy-of-Allergy-and-Clinical-Immunology (EAACI)</t>
  </si>
  <si>
    <t>MAY 26-30, 2018</t>
  </si>
  <si>
    <t>Munich, GERMANY</t>
  </si>
  <si>
    <t>European Acad Allergy &amp; Clin Immunol</t>
  </si>
  <si>
    <t>[Albers, F. C.] GSK, Resp Med Franchise, Res Triangle Pk, NC USA; [Bratton, D. J.] GSK, Clin Stat, Stockley Pk, Uxbridge, Middx, England; [Yancey, S. W.; Bradford, E. S.] GSK, Resp Therapeut Area, Res Triangle Pk, NC USA; [Liu, M. C.] Johns Hopkins Asthma &amp; Allergy Ctr, Baltimore, MD USA; [Hozawa, S.] Hiroshima Allergy &amp; Resp, Hiroshima, Japan; [Humbert, M.] Univ Paris Sud, Hop Bicetre, Assistance Publ Hop Paris, Serv Pneumol, Le Kremlin Bicetre, France; [Humbert, M.] INSERM, U999, Le Kremlin Bicetre, France</t>
  </si>
  <si>
    <t>GlaxoSmithKline; Glaxosmithkline USA; GlaxoSmithKline; Glaxosmithkline United Kingdom; GlaxoSmithKline; Glaxosmithkline USA; Johns Hopkins University; Johns Hopkins Medicine; Assistance Publique Hopitaux Paris (APHP); Hopital Universitaire Bicetre - APHP; Universite Paris Saclay; Universite Paris Cite; Hopital Universitaire Saint-Louis - APHP; Hopital Universitaire Antoine-Beclere - APHP; Institut National de la Sante et de la Recherche Medicale (Inserm)</t>
  </si>
  <si>
    <t>GSK [208116 [115588/NCT01691521], 208116 [200862/NCT02281318]]</t>
  </si>
  <si>
    <t>GSK (208116 [115588/NCT01691521; 200862/NCT02281318]).</t>
  </si>
  <si>
    <t>GQ5BD</t>
  </si>
  <si>
    <t>WOS:000441690401137</t>
  </si>
  <si>
    <t>Chaumais, MC; O'Connell, C; Savale, L; Guignabert, C; Perros, F; Jaïs, X; Sitbon, O; Humbert, M; Montani, D</t>
  </si>
  <si>
    <t>Chaumais, Marie-Camille; O'Connell, Caroline; Savale, Laurent; Guignabert, Christophe; Perros, Frederic; Jais, Xavier; Sitbon, Olivier; Humbert, Marc; Montani, David</t>
  </si>
  <si>
    <t>Pharmacovigilance in a rare disease: example of the VIGIAPATH program in pulmonary arterial hypertension</t>
  </si>
  <si>
    <t>INTERNATIONAL JOURNAL OF CLINICAL PHARMACY</t>
  </si>
  <si>
    <t>Rare diseases; Pulmonary arterial hypertension; Adverse drug reaction; Pharmacovigilance</t>
  </si>
  <si>
    <t>VENOOCCLUSIVE DISEASE; ANIMAL-MODELS; DASATINIB; DETERIORATION; TOXICITY; THERAPY</t>
  </si>
  <si>
    <t>Spontaneous reporting is the primary method used in pharmacovigilance (PV) to detect drug safety signal. Specific criteria used in pharmacovigilance to prove accountability of a drug are rarely present in rare disease. The low number of alerts also makes it challenging. The aim of this commentary is to raise awareness among pharmacists on issues and opportunities for pharmacovigilance in rare diseases, taking pulmonary arterial hypertension (PAH) as example, from which a subset of cases are drug-induced. It is demonstrated how a dedicated program named VIGIAPATH created to reinforce pharmacovigilance of drug-induced pulmonary arterial hypertension at a national level, led to increase self-reporting and confirm safety signals. Thanks to a specific program such as VIGIAPATH, pharmacists can play an important role in communication with clinicians, patients and regulatory agencies, facilitating the detection of potential safety signals at an early stage in rare disease.</t>
  </si>
  <si>
    <t>[Chaumais, Marie-Camille] Univ Paris Saclay, Univ Paris Sud, Fac Pharm, Chatenay Malabry, France; [Chaumais, Marie-Camille] Hop Antoine Beclere, AP HP, Serv Pharm, DHU Thorax Innovat, Clamart, France; [Chaumais, Marie-Camille; O'Connell, Caroline; Savale, Laurent; Guignabert, Christophe; Perros, Frederic; Jais, Xavier; Sitbon, Olivier; Humbert, Marc; Montani, David] Hop Marie Lannelongue, INSERM, UMR S 999, Le Plessis Robinson, France; [Perros, Frederic; Sitbon, Olivier] LavalUniv, Inst Univ Cardiol &amp; Pneumol Quebec, Ctr Rech, Quebec City, PQ, Canada; [O'Connell, Caroline; Savale, Laurent; Jais, Xavier; Sitbon, Olivier; Humbert, Marc; Montani, David] Univ Paris Sud, Univ Paris Saclay, Fac Med, Le Kremlin Bicetre, France; [O'Connell, Caroline; Savale, Laurent; Jais, Xavier; Humbert, Marc; Montani, David] Hop Bicetre, AP HP, Ctr Reference Hypertens Pulm, Serv Pneumol,DHU Thorax Innovat, Le Kremlin Bicetre, France</t>
  </si>
  <si>
    <t>Universite Paris Saclay; Assistance Publique Hopitaux Paris (APHP); Hopital Universitaire Antoine-Beclere - APHP; Universite Paris Saclay; Hopital Marie Lannelongue; Institut National de la Sante et de la Recherche Medicale (Inserm); Laval University; Universite Paris Saclay; Assistance Publique Hopitaux Paris (APHP); Hopital Universitaire Antoine-Beclere - APHP; Hopital Universitaire Bicetre - APHP; Universite Paris Saclay</t>
  </si>
  <si>
    <t>Chaumais, MC (corresponding author), Univ Paris Saclay, Univ Paris Sud, Fac Pharm, Chatenay Malabry, France.;Chaumais, MC (corresponding author), Hop Antoine Beclere, AP HP, Serv Pharm, DHU Thorax Innovat, Clamart, France.;Chaumais, MC (corresponding author), Hop Marie Lannelongue, INSERM, UMR S 999, Le Plessis Robinson, France.</t>
  </si>
  <si>
    <t>marie-camille.chaumais@u-psud.fr</t>
  </si>
  <si>
    <t>David, Montani/I-6885-2019; Savale, Laurent/AAJ-9781-2020; Sitbon, Olivier/I-3623-2019; Perros, Frederic/N-6921-2017; Humbert, Marc/AAC-8459-2019; GUIGNABERT, Christophe/G-3873-2013</t>
  </si>
  <si>
    <t>Perros, Frederic/0000-0001-7730-2427; Chaumais, Marie-Camille/0000-0002-1217-8442; Humbert, Marc/0000-0003-0703-2892; O'Connell, Caroline/0000-0001-6776-5110; JAIS, XAVIER/0000-0002-4104-7994; SITBON, Olivier/0000-0002-1942-1951; GUIGNABERT, Christophe/0000-0002-8545-4452; Montani, David/0000-0002-9358-6922</t>
  </si>
  <si>
    <t>Agence Nationale de Securite du Medicament et des Produits de Sante (ANSM)</t>
  </si>
  <si>
    <t>Agence Nationale de Securite du Medicament et des Produits de Sante (ANSM)(Agence Nationale de la Recherche (ANR))</t>
  </si>
  <si>
    <t>Development of the VIGIAPATH program was funded by the Agence Nationale de Securite du Medicament et des Produits de Sante (ANSM). This commentary is not funded.</t>
  </si>
  <si>
    <t>2210-7703</t>
  </si>
  <si>
    <t>2210-7711</t>
  </si>
  <si>
    <t>INT J CLIN PHARM-NET</t>
  </si>
  <si>
    <t>Int. J. Clin. Phar,.</t>
  </si>
  <si>
    <t>10.1007/s11096-018-0712-y</t>
  </si>
  <si>
    <t>GS5JV</t>
  </si>
  <si>
    <t>WOS:000443696700013</t>
  </si>
  <si>
    <t>Devillier, P; Humbert, M; Boye, A; Zachgo, W; Jacques, L; Nunn, C; West, S; Nicholls, A; Antoun, Z; Spinu, L; Grouin, JM</t>
  </si>
  <si>
    <t>Devillier, Philippe; Humbert, Marc; Boye, Alain; Zachgo, Wolfgang; Jacques, Loretta; Nunn, Carol; West, Sarah; Nicholls, Andy; Antoun, Zeina; Spinu, Luminita; Grouin, Jean-Marie</t>
  </si>
  <si>
    <t>Efficacy and safety of once-daily fluticasone furoate/vilanterol (FF/VI) versus twice-daily inhaled corticosteroids/long-acting β2-agonists (ICS/LABA) in patients with uncontrolled asthma: An open-label, randomized, controlled trial</t>
  </si>
  <si>
    <t>Asthma; Inhaled corticosteroids; Long-acting beta(2)-agonists; Fluticasone furoate/vilanterol</t>
  </si>
  <si>
    <t>VILANTEROL TRIFENATATE; FUROATE; PROPIONATE/SALMETEROL; COMBINATION; NONADHERENCE; MANAGEMENT; MEDICATION; COPD</t>
  </si>
  <si>
    <t>Background: A variety of different fixed-dose combinations of inhaled corticosteroids/long-acting beta(2)-agonists (ICS/LABA) are available for the treatment of asthma. The aim of this 24-week, open-label, multicenter, Phase IIIb randomized controlled trial was to evaluate the efficacy and safety of once-daily fluticasone furoate/vilanterol (FF/VI; 100/25 or 200/25 mu g) compared with twice-daily fixed combinations of ICS/LABA (fluticasone propionate/salmeterol [FP/S] and budesonide/formoterol [BUD/F]) as maintenance therapy in patients with uncontrolled asthma treated with ICS alone. Methods: Adult patients with documented physician-diagnosed asthma &gt;= 1 year with an Asthma Control Test (ACT) score &gt;= 15 and &lt; 20 were included. The primary study endpoint was change from baseline in ACT total score at Week 12. Results: Overall, 423 patients were randomized to receive study medication in France and Germany. The leastsquares mean change (standard error) in ACT total score at Week 12 was 3.6 units with FF/VI and 2.8 with usual ICS/LABA, giving a treatment difference of 0.8 (95% confidence interval 0.1, 1.5; p= 0.033). Non-inferiority of FF/VI to usual ICS/LABA was confirmed at Weeks 6, 18 and 24. The observed safety profile for FF/VI in this study was in line with previous experience with FF/VI. Conclusions: These findings suggest that, in a tightly controlled randomized controlled trial setting, once-daily FF/VI provides similar asthma control over 24 weeks to usual, twice-daily ICS/LABA in patients with asthma that is uncontrolled on ICS alone. FF/VI was well tolerated.</t>
  </si>
  <si>
    <t>[Devillier, Philippe] Univ Paris Saclay, Foch Hosp, Airway Dis Dept, UPRES EA220, Suresnes, France; [Humbert, Marc] Univ Paris Saclay, Univ Paris Sud, Fac Med, Le Kremlin Bicetre, France; [Humbert, Marc] Hop Bicetre, AP HP, Serv Pneumol, Le Kremlin Bicetre, France; [Boye, Alain] Nouvelles Clin Nantaises, Nantes, France; [Zachgo, Wolfgang] Lungenzentrum Geesthacht, Geesthacht, Germany; [Jacques, Loretta; Nunn, Carol] GlaxoSmithKline, Resp Med Dev Ctr, London, England; [West, Sarah; Nicholls, Andy] GlaxoSmithKline, Stockley Pk, Uxbridge, Middx, England; [Antoun, Zeina; Spinu, Luminita] GlaxoSmithKline, Rueil Malmaison, France; [Grouin, Jean-Marie] Univ Rouen, Rouen, France</t>
  </si>
  <si>
    <t>Universite Paris Saclay; Hospital Foch; Universite Paris Saclay; Assistance Publique Hopitaux Paris (APHP); Hopital Universitaire Antoine-Beclere - APHP; Hopital Universitaire Bicetre - APHP; Universite Paris Saclay; GlaxoSmithKline; Glaxosmithkline United Kingdom; GlaxoSmithKline; Glaxosmithkline United Kingdom; GlaxoSmithKline; Universite de Rouen Normandie</t>
  </si>
  <si>
    <t>Devillier, P (corresponding author), Univ Paris Saclay, Foch Hosp, Airway Dis Dept, UPRES EA220, Suresnes, France.</t>
  </si>
  <si>
    <t>P.DEVILLIER@hopital-foch.org; mjc.humbert@gmail.com; a.boye@clinouest.fr; wz@mikloweit-zachgo.de; loretta.a.jacques@gsk.com; carol.a.nunn@gsk.com; sarah.l.west@gsk.com; andy.p.nicholls@gsk.com; zeina.z.antoun@gsk.com; luminita.x.spinu@gsk.com; grouin2@wanadoo.fr</t>
  </si>
  <si>
    <t>Humbert, Marc/0000-0003-0703-2892; Nunn, Carol/0000-0002-4771-9982</t>
  </si>
  <si>
    <t>GlaxoSmithKline [NCT02446218, HZA116492]; GlaxoSmithKlin</t>
  </si>
  <si>
    <t>GlaxoSmithKline(GlaxoSmithKline); GlaxoSmithKlin</t>
  </si>
  <si>
    <t>This study was funded by GlaxoSmithKline (NCT02446218; HZA116492). The trial was conceived, sponsored and funded by GlaxoSmithKline. Data collection, analysis and interpretation was performed by employees of the Sponsor in collaboration with the academic investigators.</t>
  </si>
  <si>
    <t>10.1016/j.rmed.2018.06.009</t>
  </si>
  <si>
    <t>GO1KI</t>
  </si>
  <si>
    <t>WOS:000439709700017</t>
  </si>
  <si>
    <t>Humbert, M; Bratton, DJ; Yancey, SW; Bradford, ES; Liu, MC; Hozawa, S; Albers, FC</t>
  </si>
  <si>
    <t>Humbert, M.; Bratton, D. J.; Yancey, S. W.; Bradford, E. S.; Liu, M. C.; Hozawa, S.; Albers, F. C.</t>
  </si>
  <si>
    <t>Effect of mepolizumab on exacerbation rate in patients with severe eosinophilic asthma by omalizumab eligibility and prior omalizumab use</t>
  </si>
  <si>
    <t>[Humbert, M.] Univ Paris Sud, Hop Bicetre, Assistance Publ Hop Paris, Serv Pneumol, Le Kremlin Bicetre, France; [Humbert, M.] INSERM, U999, Le Kremlin Bicetre, France; [Bratton, D. J.] GSK, Clin Stat, Stockley Pk, Uxbridge, Middx, England; [Yancey, S. W.; Bradford, E. S.] GSK, Resp Therapeut Area, Res Triangle Pk, NC USA; [Liu, M. C.] Johns Hopkins Asthma &amp; Allergy Ctr, Baltimore, MD USA; [Hozawa, S.] Hiroshima Allergy &amp; Resp, Hiroshima, Japan; [Albers, F. C.] GSK, Resp Med Franchise, Res Triangle Pk, NC USA</t>
  </si>
  <si>
    <t>Universite Paris Saclay; Assistance Publique Hopitaux Paris (APHP); Hopital Universitaire Antoine-Beclere - APHP; Hopital Universitaire Bicetre - APHP; Universite Paris Cite; Hopital Universitaire Saint-Louis - APHP; Institut National de la Sante et de la Recherche Medicale (Inserm); GlaxoSmithKline; Glaxosmithkline United Kingdom; GlaxoSmithKline; Glaxosmithkline USA; Johns Hopkins University; Johns Hopkins Medicine; GlaxoSmithKline; Glaxosmithkline USA</t>
  </si>
  <si>
    <t>WOS:000441690401136</t>
  </si>
  <si>
    <t>Taniguchi, Y; Jais, X; Boucly, A; Weatherald, J; Jevnikar, M; Brenot, P; Planche, O; Parent, F; Savale, L; Montani, D; Fadel, E; Humbert, M; Simonneau, G; Sitbon, O</t>
  </si>
  <si>
    <t>Taniguchi, Y.; Jais, X.; Boucly, A.; Weatherald, J.; Jevnikar, M.; Brenot, P.; Planche, O.; Parent, F.; Savale, L.; Montani, D.; Fadel, E.; Humbert, M.; Simonneau, G.; Sitbon, O.</t>
  </si>
  <si>
    <t>European-Society-of-Cardiology Congress</t>
  </si>
  <si>
    <t>AUG 25-29, 2018</t>
  </si>
  <si>
    <t>[Taniguchi, Y.; Jais, X.; Boucly, A.; Jevnikar, M.; Planche, O.; Parent, F.; Savale, L.; Montani, D.; Humbert, M.; Simonneau, G.; Sitbon, O.] Hop Bicetre, Le Kremlin Bicetre, France; [Weatherald, J.] Univ Calgary, Calgary, AB, Canada; [Brenot, P.; Fadel, E.] Ctr Chirurg Marie Lannelongue, Le Plessis Robinson, France</t>
  </si>
  <si>
    <t>Universite Paris Saclay; Assistance Publique Hopitaux Paris (APHP); Hopital Universitaire Antoine-Beclere - APHP; Hopital Universitaire Bicetre - APHP; University of Calgary; Hopital Marie Lannelongue</t>
  </si>
  <si>
    <t>Simonneau, Gerald/ABE-6614-2020; Brenot, Philippe/HJB-1040-2022; Humbert, Marc/AAC-8459-2019; Sitbon, Olivier/I-3623-2019; Savale, Laurent/AAJ-9781-2020; David, Montani/I-6885-2019</t>
  </si>
  <si>
    <t>P2614</t>
  </si>
  <si>
    <t>HM9RZ</t>
  </si>
  <si>
    <t>WOS:000459824001636</t>
  </si>
  <si>
    <t>Elinoff, JM; Agarwal, R; Barnett, CF; Benza, RL; Cuttica, MJ; Gharib, AM; Gray, MP; Hassoun, PM; Hemnes, AR; Humbert, M; Kolb, TM; Lahm, T; Leopold, JA; Mathai, SC; McLaughlin, VV; Preston, IR; Rosenzweig, EB; Shlobin, OA; Steen, VD; Zamanian, RT; Solomon, MA</t>
  </si>
  <si>
    <t>Elinoff, Jason M.; Agarwal, Richa; Barnett, Christopher F.; Benza, Raymond L.; Cuttica, Michael J.; Gharib, Ahmed M.; Gray, Michael P.; Hassoun, Paul M.; Hemnes, Anna R.; Humbert, Marc; Kolb, Todd M.; Lahm, Tim; Leopold, Jane A.; Mathai, Stephen C.; McLaughlin, Vallerie V.; Preston, Ioana R.; Rosenzweig, Erika B.; Shlobin, Oksana A.; Steen, Virginia D.; Zamanian, Roham T.; Solomon, Michael A.</t>
  </si>
  <si>
    <t>Challenges in Pulmonary Hypertension: Controversies in Treating the Tip of the Iceberg A Joint National Institutes of Health Clinical Center and Pulmonary Hypertension Association Symposium Report</t>
  </si>
  <si>
    <t>PRESERVED EJECTION FRACTION; INTERSTITIAL LUNG-DISEASE; HEART-FAILURE; ARTERIAL-HYPERTENSION; MAGNETIC-RESONANCE; EXERCISE CAPACITY; PHOSPHODIESTERASE-5 INHIBITION; VENOOCCLUSIVE DISEASE; CONTROLLED-TRIAL; PRE-CAPILLARY</t>
  </si>
  <si>
    <t>[Elinoff, Jason M.; Solomon, Michael A.] Clin Ctr, Bethesda, MD USA; [Gharib, Ahmed M.] NIDDK, Bethesda, MD 20892 USA; [Solomon, Michael A.] NHLBI, NIH, Bldg 10, Bethesda, MD 20892 USA; [Agarwal, Richa; Benza, Raymond L.] Allegheny Gen Hosp, Dept Med, Div Cardiovasc Dis, Pittsburgh, PA 15212 USA; [Barnett, Christopher F.] MedStar Washington Hosp Ctr, Washington, DC USA; [Cuttica, Michael J.] Northwestern Univ, Feinberg Sch Med, Div Pulm &amp; Crit Care Med, Chicago, IL 60611 USA; [Gray, Michael P.] Pulm Hypertens Assoc, Silver Spring, MD USA; [Hassoun, Paul M.; Kolb, Todd M.; Mathai, Stephen C.] Johns Hopkins Univ, Dept Med, Div Pulm &amp; Crit Care Med, Baltimore, MD USA; [Hemnes, Anna R.] Vanderbilt Univ, Med Ctr, Dept Med, Div Allergy Pulm &amp; Crit Care Med, Nashville, TN USA; [Humbert, Marc] Univ Paris Saclay, Univ Paris Sud, Hop Bicetre, Assistance Publ Hop Paris,Serv Pneumol,INSERM,U99, Le Kremlin Bicetre, France; [Lahm, Tim] Indiana Univ, Dept Med, Div Pulm &amp; Crit Care Med, Indianapolis, IN USA; [Lahm, Tim] Richard L Roudebush VA Med Ctr, Indianapolis, IN USA; [Leopold, Jane A.] Harvard Med Sch, Brigham &amp; Womens Hosp, Dept Med, Div Cardiovasc Med, Boston, MA USA; [McLaughlin, Vallerie V.] Univ Michigan, Dept Med, Div Cardiol, Ann Arbor, MI 48109 USA; [Preston, Ioana R.] Tufts Univ, Sch Med, Dept Med, Tufts Med Ctr, Boston, MA 02111 USA; [Rosenzweig, Erika B.] Columbia Sch Med, Dept Med, New York, NY USA; [Shlobin, Oksana A.] Inova Fairfax Hosp, Pulm Vasc Dis Program, Falls Church, VA USA; [Steen, Virginia D.] Georgetown Univ, Dept Med, Div Rheumatol, Washington, DC USA; [Zamanian, Roham T.] Stanford Univ, Dept Med, Stanford, CA 94305 USA</t>
  </si>
  <si>
    <t>National Institutes of Health (NIH) - USA; NIH Clinical Center (CC); National Institutes of Health (NIH) - USA; NIH National Institute of Diabetes &amp; Digestive &amp; Kidney Diseases (NIDDK); National Institutes of Health (NIH) - USA; NIH National Heart Lung &amp; Blood Institute (NHLBI); Allegheny General Hospital; MedStar Washington Hospital Center; Northwestern University; Feinberg School of Medicine; Johns Hopkins University; Vanderbilt University; Assistance Publique Hopitaux Paris (APHP); Universite Paris Cite; Hopital Universitaire Saint-Louis - APHP; Institut National de la Sante et de la Recherche Medicale (Inserm); Hopital Universitaire Antoine-Beclere - APHP; Hopital Universitaire Bicetre - APHP; Universite Paris Saclay; Universite Paris-Est-Creteil-Val-de-Marne (UPEC); Indiana University System; Indiana University Indianapolis; US Department of Veterans Affairs; Veterans Health Administration (VHA); Richard L. Roudebush VA Medical Center; Harvard University; Harvard University Medical Affiliates; Brigham &amp; Women's Hospital; Harvard Medical School; University of Michigan System; University of Michigan; Tufts University; Tufts Medical Center; Columbia University; Inova Fairfax Hospital; Georgetown University; Stanford University</t>
  </si>
  <si>
    <t>Solomon, MA (corresponding author), NIH, CCMD, 10 Ctr Dr,Bldg 10,Room 2C145, Bethesda, MD 20892 USA.</t>
  </si>
  <si>
    <t>msolomon@nih.gov</t>
  </si>
  <si>
    <t>Rosenzweig, Erika/AAC-3680-2019; Barnett, Christopher/AAD-9872-2022; Agarwal, Richa/KZU-5076-2024; Lahm, Tim/AAF-7162-2020; Benza, Raymond/AAD-4885-2019; Kolb, Todd/ABD-8204-2020; Hemnes, Anna/HDN-4762-2022; Gharib, Ahmed/O-2629-2016; Humbert, Marc/AAC-8459-2019</t>
  </si>
  <si>
    <t>Gharib, Ahmed/0000-0002-2476-481X; Humbert, Marc/0000-0003-0703-2892; Barnett, Christopher/0000-0003-1095-5794; Rosenzweig, Erika B./0000-0003-4849-214X; Gray, Michael Patrick/0000-0003-1154-3011; Solomon, Michael/0000-0001-7400-6614</t>
  </si>
  <si>
    <t>Intramural Research Program of the NIH</t>
  </si>
  <si>
    <t>Intramural Research Program of the NIH(United States Department of Health &amp; Human ServicesNational Institutes of Health (NIH) - USA)</t>
  </si>
  <si>
    <t>Supported in part by the Intramural Research Program of the NIH.</t>
  </si>
  <si>
    <t>JUL 15</t>
  </si>
  <si>
    <t>10.1164/rccm.201710-2093PP</t>
  </si>
  <si>
    <t>GN3CH</t>
  </si>
  <si>
    <t>WOS:000438880000009</t>
  </si>
  <si>
    <t>Besson, FL; Henry, T; Meyer, C; Chevance, V; Roblot, V; Blanchet, E; Arnould, V; Grimon, G; Chekroun, M; Mabille, L; Parent, F; Seferian, A; Bulifon, S; Montani, D; Humbert, M; Chaumet-Riffaud, P; Lebon, V; Durand, E</t>
  </si>
  <si>
    <t>Besson, Florent L.; Henry, Theophraste; Meyer, Celine; Chevance, Virgile; Roblot, Victoire; Blanchet, Elise; Arnould, Victor; Grimon, Gilles; Chekroun, Malika; Mabille, Laurence; Parent, Florence; Seferian, Andrei; Bulifon, Sophie; Montani, David; Humbert, Marc; Chaumet-Riffaud, Philippe; Lebon, Vincent; Durand, Emmanuel</t>
  </si>
  <si>
    <t>Rapid Contour-based Segmentation for 18F-FDG PET Imaging of Lung Tumors by Using ITK-SNAP: Comparison to Expert-based Segmentation</t>
  </si>
  <si>
    <t>TARGET VOLUME; INTRATUMOR HETEROGENEITY; THRESHOLD SEGMENTATION; DELINEATION; RADIOTHERAPY; CONSENSUS; DEFINITION; VALIDATION; GUIDELINES; ALGORITHM</t>
  </si>
  <si>
    <t>Purpose: To assess the performance of the ITK-SNAP software for fluorodeoxyglucose (FDG) positron emission tomography (PET) segmentation of complex-shaped lung tumors compared with an optimized, expert-based manual reference standard. Materials and Methods: Seventy-six FDG PET images of thoracic lesions were retrospectively segmented by using ITK-SNAP software. Each tumor was manually segmented by six raters to generate an optimized reference standard by using the simultaneous truth and performance level estimate algorithm. Four raters segmented 76 FDG PET images of lung tumors twice by using ITK-SNAP active contour algorithm. Accuracy of ITK-SNAP procedure was assessed by using Dice coefficient and Hausdorff metric. Interrater and intrarater reliability were estimated by using intraclass correlation coefficients of output volumes. Finally, the ITK-SNAP procedure was compared with currently recommended PET tumor delineation methods on the basis of thresholding at 41% volume of interest (VOI; VOI41) and 50% VOI (VOI50) of the tumor's maximal metabolism intensity. Results: Accuracy estimates for the ITK-SNAP procedure indicated a Dice coefficient of 0.83 (95% confidence interval: 0.77, 0.89) and a Hausdorff distance of 12.6 mm (95% confidence interval: 9.82, 15.32). Interrater reliability was an intraclass correlation coefficient of 0.94 (95% confidence interval: 0.91, 0.96). The intrarater reliabilities were intraclass correlation coefficients above 0.97. Finally, VOI41 and VOI50 accuracy metrics were as follows: Dice coefficient, 0.48 (95% confidence interval: 0.44, 0.51) and 0.34 (95% confidence interval: 0.30, 0.38), respectively, and Hausdorff distance, 25.6 mm (95% confidence interval: 21.7, 31.4) and 31.3 mm (95% confidence interval: 26.8, 38.4), respectively. Conclusion: ITK-SNAP is accurate and reliable for active-contour-based segmentation of heterogeneous thoracic PET tumors. ITK-SNAP surpassed the recommended PET methods compared with ground truth manual segmentation. (c) RSNA, 2018</t>
  </si>
  <si>
    <t>[Besson, Florent L.; Henry, Theophraste; Meyer, Celine; Chevance, Virgile; Roblot, Victoire; Grimon, Gilles; Chekroun, Malika; Chaumet-Riffaud, Philippe; Durand, Emmanuel] Bicetre Univ Hosp, Assistance Publ Hop Paris, Dept Biophys &amp; Nucl Med, 78 Rue Gen Leclerc, F-94275 Le Kremlin Bicetre, France; [Besson, Florent L.; Durand, Emmanuel] Univ Paris Sud, Univ Paris Saclay, IR4M, CNRS,UMR 8081, Orsay, France; [Blanchet, Elise; Arnould, Victor; Lebon, Vincent] Univ Paris Sud, CEA, Serv Hosp Frederic Joliot, Orsay, France; [Mabille, Laurence] Hop Marie Lannelongue, Dept Nucl Med, Le Plessis Robinson, France; [Parent, Florence; Seferian, Andrei; Bulifon, Sophie; Montani, David; Humbert, Marc] Univ Paris Saclay, Univ Paris Sud, Fac Med, Le Kremlin Bicetre, France; [Parent, Florence; Seferian, Andrei; Bulifon, Sophie; Montani, David; Humbert, Marc] Hop Bicetre, AP HP, Serv Pneumol, Le Kremlin Bicetre, France; [Parent, Florence; Seferian, Andrei; Bulifon, Sophie; Montani, David; Humbert, Marc] Hop Marie Lannelongue, INSERM, UMR S 999, Le Plessis Robinson, France</t>
  </si>
  <si>
    <t>Assistance Publique Hopitaux Paris (APHP); Hopital Universitaire Bicetre - APHP; Universite Paris Cite; Hopital Universitaire Saint-Louis - APHP; Centre National de la Recherche Scientifique (CNRS); CNRS - Institute for Engineering &amp; Systems Sciences (INSIS); Universite Paris Saclay; Universite Paris Saclay; CEA; Hopital Marie Lannelongue; Universite Paris Saclay; Universite Paris Saclay; Assistance Publique Hopitaux Paris (APHP); Hopital Universitaire Bicetre - APHP; Hopital Universitaire Antoine-Beclere - APHP; Universite Paris Saclay; Institut National de la Sante et de la Recherche Medicale (Inserm); Hopital Marie Lannelongue</t>
  </si>
  <si>
    <t>Besson, FL (corresponding author), Bicetre Univ Hosp, Assistance Publ Hop Paris, Dept Biophys &amp; Nucl Med, 78 Rue Gen Leclerc, F-94275 Le Kremlin Bicetre, France.;Besson, FL (corresponding author), Univ Paris Sud, Univ Paris Saclay, IR4M, CNRS,UMR 8081, Orsay, France.</t>
  </si>
  <si>
    <t>florent.besson@aphp.fr</t>
  </si>
  <si>
    <t>Durand, Emmanuel/KFT-1030-2024; David, Montani/I-6885-2019; Besson, Florent/AEV-1339-2022; Humbert, Marc/AAC-8459-2019</t>
  </si>
  <si>
    <t>Henry, Theophraste/0000-0003-0672-415X; Besson, Florent/0000-0002-9826-3890; Lebon, Vincent/0000-0003-2992-8710; DURAND, Emmanuel/0000-0002-1378-8330; Humbert, Marc/0000-0003-0703-2892; Montani, David/0000-0002-9358-6922</t>
  </si>
  <si>
    <t>10.1148/radiol.2018171756</t>
  </si>
  <si>
    <t>GQ6GX</t>
  </si>
  <si>
    <t>WOS:000441805800043</t>
  </si>
  <si>
    <t>Humbert, M; Weatherald, J</t>
  </si>
  <si>
    <t>Humbert, Marc; Weatherald, Jason</t>
  </si>
  <si>
    <t>Right heart catheterisation is still a fundamental part of the follow-up assessment of pulmonary arterial hypertension</t>
  </si>
  <si>
    <t>PROGNOSTIC VALUE; HIGH PREVALENCE; REGISTRY; DISEASE</t>
  </si>
  <si>
    <t>[Humbert, Marc] Univ Paris Saclay, Fac Med, Univ Paris Sud, Le Kremlin Bicetre, France; [Humbert, Marc] Hop Bicetre, AP HP, Serv Pneumol, Le Kremlin Bicetre, France; [Humbert, Marc] Hop Marie Lannelongue, INSERM, UMR S 999, Le Plessis Robinson, France; [Weatherald, Jason] Univ Calgary, Div Respirol, Dept Med, Calgary, AB, Canada; [Weatherald, Jason] Univ Calgary, Libin Cardiovasc Inst Alberta, Calgary, AB, Canada</t>
  </si>
  <si>
    <t>Universite Paris Saclay; Universite Paris Saclay; Assistance Publique Hopitaux Paris (APHP); Hopital Universitaire Bicetre - APHP; Hopital Universitaire Antoine-Beclere - APHP; Universite Paris Saclay; Institut National de la Sante et de la Recherche Medicale (Inserm); Hopital Marie Lannelongue; University of Calgary; University of Calgary; Libin Cardiovascular Institute Of Alberta</t>
  </si>
  <si>
    <t>Humbert, M (corresponding author), Univ Paris Sud, Ctr Reference Hypertens Pulm, Serv Pneumol, Hop Bicetre, 78 Rue Gen Leclerc, F-94270 Le Kremlin Bicetre, France.</t>
  </si>
  <si>
    <t>Weatherald, Jason/0000-0002-0615-4575; Humbert, Marc/0000-0003-0703-2892</t>
  </si>
  <si>
    <t>Actelion Pharmaceuticals Ltd; United Therapeutics; Merck; Bayer; GSK</t>
  </si>
  <si>
    <t>Actelion Pharmaceuticals Ltd; United Therapeutics; Merck(Merck &amp; Company); Bayer(Bayer AG); GSK(GlaxoSmithKline)</t>
  </si>
  <si>
    <t>M. Humbert reports receiving personal fees from Actelion Pharmaceuticals Ltd, United Therapeutics and Merck, and grants and personal fees from Bayer and GSK. J. Weatherald reports receiving grants from the European Respiratory Society and the Canadian Thoracic Society; and personal fees and nonfinancial support from Actelion Pharmaceuticals and Bayer, personal fees from Novartis, and grants from Canadian Vascular Network, outside the submitted work.</t>
  </si>
  <si>
    <t>10.1183/13993003.00738-2018</t>
  </si>
  <si>
    <t>GM3DS</t>
  </si>
  <si>
    <t>WOS:000437979000001</t>
  </si>
  <si>
    <t>Khouri, C; Lepelley, M; Roustit, M; Montastruc, F; Humbert, M; Cracowski, JL</t>
  </si>
  <si>
    <t>Khouri, Charles; Lepelley, Marion; Roustit, Matthieu; Montastruc, Francois; Humbert, Marc; Cracowski, Jean-Luc</t>
  </si>
  <si>
    <t>Comparative Safety of Drugs Targeting the Nitric Oxide Pathway in Pulmonary Hypertension A Mixed Approach Combining a Meta-Analysis of Clinical Trials and a Disproportionality Analysis From the World Health Organization Pharmacovigilance Database</t>
  </si>
  <si>
    <t>Annual Meeting of the French-Society-of-Pharmacology-and-Therapeutics</t>
  </si>
  <si>
    <t>APR 19-21, 2017</t>
  </si>
  <si>
    <t>Rouen, FRANCE</t>
  </si>
  <si>
    <t>French Soc Pharmacol &amp; Therapeut</t>
  </si>
  <si>
    <t>adverse event; meta-analysis; pharmacovigilance; phosphodiesterase 5 inhibitors; soluble guanylate cyclase stimulators</t>
  </si>
  <si>
    <t>ARTERIAL-HYPERTENSION; ERECTILE DYSFUNCTION; INHIBITOR USE; DOUBLE-BLIND; SILDENAFIL; RIOCIGUAT; THERAPY; TADALAFIL; DISEASE; SIGNAL</t>
  </si>
  <si>
    <t>BACKGROUND: Recent guidelines recommend riociguat, a soluble guanylate cyclase (sGC) stimulator, and the type 5 phosphodiesterase inhibitor (PDE5i) tadalafil or sildenafil as treatments for pulmonary arterial hypertension. We compared the safety profiles of sildenafil, tadalafil, and riociguat in pulmonary hypertension. METHODS: We combined two approaches. First, we performed a meta-analysis of safety data extracted from randomized controlled trials. Second, we conducted a disproportionality analysis of data from VigiBase, the World Health Organization's global database of individual case safety reports, to compare the safety profiles with real-life data. RESULTS: In the meta-analysis, a significant difference between the three drugs was only detected for gastrointestinal disorders, in disfavor of riociguat (P &lt; .01 for interaction). In the disproportionality analysis, the use of riociguat was associated with fewer reports of visual disorders but increased reporting of gastrointestinal, hemorrhagic, and musculoskeletal disorders compared with sildenafil and tadalafil. Pharmacovigilance signals of hearing/vestibular disorders were heterogeneous: vestibular disorders (dizziness) were reported more frequently for riociguat, whereas hearing disorders (deafness) were reported less frequently compared with PDE5is. CONCLUSIONS: The safety profiles of PDE5is and sGC stimulators significantly differ in pulmonary hypertension. Accordingly, there is a safety rationale in switching between PDE5is and sGC stimulators because of their different side effects.</t>
  </si>
  <si>
    <t>[Khouri, Charles; Lepelley, Marion] Grenoble Alpes Univ Hosp, Pharmacovigilance Unit, Grenoble, France; [Khouri, Charles; Roustit, Matthieu; Cracowski, Jean-Luc] Grenoble Alpes Univ Hosp, INSERM CIC1406, Dept Clin Pharmacol, Grenoble, France; [Khouri, Charles; Roustit, Matthieu; Cracowski, Jean-Luc] Univ Grenoble Alpes, UMR HP2 1042, INSERM, Grenoble, France; [Montastruc, Francois] Toulouse Univ Hosp, Fac Med, Dept Med &amp; Clin Pharmacol, Toulouse, France; [Humbert, Marc] Hop Bicetre, AP HP, Serv Pneumol, DHU Thorax Innovat, Le Kremlin Bicetre, France; [Humbert, Marc] Univ Paris Sud, Lab Excellence Rech Medicament &amp; Innovat Therapeu, Le Kremlin Bicetre, France; [Humbert, Marc] INSERM, Unite 999, Le Kremlin Bicetre, France</t>
  </si>
  <si>
    <t>CHU Grenoble Alpes; Communaute Universite Grenoble Alpes; Universite Grenoble Alpes (UGA); CHU Grenoble Alpes; Communaute Universite Grenoble Alpes; Universite Grenoble Alpes (UGA); Institut National de la Sante et de la Recherche Medicale (Inserm); Institut National de la Sante et de la Recherche Medicale (Inserm); Communaute Universite Grenoble Alpes; Universite Grenoble Alpes (UGA); CHU de Toulouse; Universite de Toulouse; Universite Toulouse III - Paul Sabatier; Assistance Publique Hopitaux Paris (APHP); Hopital Universitaire Antoine-Beclere - APHP; Hopital Universitaire Bicetre - APHP; Universite Paris Saclay; Universite Paris Saclay; Institut National de la Sante et de la Recherche Medicale (Inserm)</t>
  </si>
  <si>
    <t>Khouri, C (corresponding author), CHU Grenoble Alpes, INSERM CIC1406, Ctr Invest Clin Grenoble, Unite Pharmacol Clin, F-38043 Grenoble 09, France.</t>
  </si>
  <si>
    <t>CKhouri@chu-grenoble.fr</t>
  </si>
  <si>
    <t>KHOURI, CHARLES/J-1090-2019; Montastruc, Francois/KBC-7136-2024; Humbert, Marc/AAC-8459-2019; Roustit, Matthieu/M-6927-2014; Cracowski, Jean-Luc/M-6946-2014</t>
  </si>
  <si>
    <t>Humbert, Marc/0000-0003-0703-2892; Khouri, Charles/0000-0002-8427-8573; Montastruc, Francois/0000-0001-7056-8126; Roustit, Matthieu/0000-0003-4475-1626; Cracowski, Jean-Luc/0000-0003-0787-1469</t>
  </si>
  <si>
    <t>Pfizer; Actelion; GlaxoSmithKline; Bioprojet; Actelion Pharmaceuticals Ltd; Bayer; GSK; United Therapeutics</t>
  </si>
  <si>
    <t>Pfizer(Pfizer); Actelion; GlaxoSmithKline(GlaxoSmithKline); Bioprojet; Actelion Pharmaceuticals Ltd; Bayer(Bayer AG); GSK(GlaxoSmithKline); United Therapeutics</t>
  </si>
  <si>
    <t>The authors have reported to CHEST the following: M. R. and J.-L. C. have received research grants from Pfizer, Actelion, GlaxoSmithKline, and Bioprojet for other studies. M. H. reports personal fees from Actelion Pharmaceuticals Ltd; personal fees from Bayer; personal fees from GSK; personal fees from Pfizer; personal fees from United Therapeutics, during the conduct of the study; and personal fees from Novartis, outside the submitted work. None declared (C. K., M. L., F. M.).</t>
  </si>
  <si>
    <t>10.1016/j.chest.2017.12.008</t>
  </si>
  <si>
    <t>GM5RP</t>
  </si>
  <si>
    <t>WOS:000438198300025</t>
  </si>
  <si>
    <t>Savale, L; Guignabert, C; Weatherald, J; Humbert, M</t>
  </si>
  <si>
    <t>Savale, Laurent; Guignabert, Christophe; Weatherald, Jason; Humbert, Marc</t>
  </si>
  <si>
    <t>Precision medicine and personalising therapy in pulmonary hypertension: seeing the Light from the dawn of a new era</t>
  </si>
  <si>
    <t>ANTIENDOTHELIAL CELL ANTIBODIES; ARTERY ENDOTHELIAL-CELLS; BMPR2 MUTATION STATUS; BETA-RECEPTOR; LARGE COHORT; GENE; SURVIVAL; EXPRESSION; DIAGNOSIS; PATHOLOGY</t>
  </si>
  <si>
    <t>Pulmonary hypertension (PH) and pulmonary arterial hypertension (PAH) include different cardiopulmonary disorders in which the interaction of multiple genes with environmental and behavioural factors modulates the onset and the progression of these severe conditions. Although the development of therapeutic agents that modulate abnormalities in three major pathobiological pathways for PAH has revolutionised our approach to the treatment of PAH, the long-term survival rate remains unsatisfactory. Accumulating evidence has underlined that clinical outcomes and responses to therapy in PAH are modified by multiple factors, including genetic variations, which will be different for each individual. Since precision medicine, also known as stratified medicine or personalised medicine, aims to better target intervention to the individual while maximising benefit and minimising harm, it has significant potential advantages. This article aims to assemble and discuss the different initiatives that are currently underway in the PH/PAH fields together with the opportunities and prospects for their use in the near future.</t>
  </si>
  <si>
    <t>[Savale, Laurent; Guignabert, Christophe; Humbert, Marc] Univ Paris Saclay, Univ Paris Sud, Fac Med, Le Kremlin Bicetre, France; [Savale, Laurent; Humbert, Marc] Hop Bicetre, AP HP, Ctr Reference Hypertens Pulm Severe, DHU Thorax Innovat,Serv Pneumol, Le Kremlin Bicetre, France; [Savale, Laurent; Guignabert, Christophe; Humbert, Marc] INSERM, UMR S 999, Le Plessis Robinson, France; [Weatherald, Jason] Univ Calgary, Div Respirol, Dept Med, Calgary, AB, Canada; [Weatherald, Jason] Libin Cardiovasc Inst Alberta, Calgary, AB, Canada</t>
  </si>
  <si>
    <t>Universite Paris Saclay; Assistance Publique Hopitaux Paris (APHP); Hopital Universitaire Antoine-Beclere - APHP; Universite Paris Saclay; Hopital Universitaire Bicetre - APHP; Universite Paris Saclay; Institut National de la Sante et de la Recherche Medicale (Inserm); University of Calgary; Libin Cardiovascular Institute Of Alberta</t>
  </si>
  <si>
    <t>Savale, L (corresponding author), Hop Bicetre, Assistance Publ Hop Paris, 78 Rue Gen Leclerc, F-94270 Le Kremlin Bicetre, France.</t>
  </si>
  <si>
    <t>Weatherald, Jason/0000-0002-0615-4575; Humbert, Marc/0000-0003-0703-2892; GUIGNABERT, Christophe/0000-0002-8545-4452</t>
  </si>
  <si>
    <t>Actelion; Bayer; MSD; GSK; Actelion Pharmaceuticals Ltd; United Therapeutics; Pfizer</t>
  </si>
  <si>
    <t>Actelion; Bayer(Bayer AG); MSD; GSK(GlaxoSmithKline); Actelion Pharmaceuticals Ltd; United Therapeutics; Pfizer(Pfizer)</t>
  </si>
  <si>
    <t>L. Savale reports grants and personal fees from Actelion and Bayer, and personal fees from MSD and GSK, during the conduct of the study. J. Weatherald reports grants from the European Respiratory Society and the Canadian Thoracic Society, as well as personal fees and non-financial support from Actelion and Bayer, outside the submitted work. M. Humbert reports personal fees from Actelion Pharmaceuticals Ltd, United Therapeutics and Pfizer, and grants and personal fees from Bayer, during the conduct of the study. He has received personal fees from Novartis, outside the submitted work. In addition to being investigator in trials involving these companies, relationships include consultancy service and membership of scientific advisory boards.</t>
  </si>
  <si>
    <t>10.1183/16000617.0004-2018</t>
  </si>
  <si>
    <t>GL8KU</t>
  </si>
  <si>
    <t>WOS:000437470300009</t>
  </si>
  <si>
    <t>Tromeur, C; Jaïs, X; Mercier, O; Couturaud, F; Montani, D; Savale, L; Jevnikar, M; Weatherald, J; Sitbon, O; Parent, F; Fabre, D; Mussot, S; Dartevelle, P; Humbert, M; Simonneau, G; Fadel, E</t>
  </si>
  <si>
    <t>Tromeur, Cecile; Jais, Xavier; Mercier, Olaf; Couturaud, Francis; Montani, David; Savale, Laurent; Jevnikar, Mitja; Weatherald, Jason; Sitbon, Olivier; Parent, Florence; Fabre, Dominique; Mussot, Sacha; Dartevelle, Philippe; Humbert, Marc; Simonneau, Gerald; Fadel, Elie</t>
  </si>
  <si>
    <t>Factors predicting outcome after pulmonary endarterectomy</t>
  </si>
  <si>
    <t>INTERNATIONAL PROSPECTIVE REGISTRY; LONG-TERM OUTCOMES; HYPERTENSION; THROMBOENDARTERECTOMY; EXPERIENCE; HEMODYNAMICS; DIFFUSION; DIAGNOSIS; CAPACITY</t>
  </si>
  <si>
    <t>Objective Few studies have reported predictive factors of outcome after pulmonary endarterectomy (PEA) in chronic thromboembolic pulmonary hypertension. The purpose of this study was to determine factors influencing mortality and predictors of hemodynamic improvement after PEA. Methods A total of 383 consecutive patients who underwent PEA between January 2005 and December 2009 were retrospectively reviewed. Among them, 150 were fully reevaluated 7.5 +/- 1 months after PEA by NYHA class, 6-minute walk distance (6MWD), percentage of predicted carbon monoxide transfer factor (TLCO) and right heart catheterisation. Results Mortality rates at 1 month, 1 year and 3 years were 2.8%, 6.9% and 7.5%, respectively. Preoperative pulmonary vascular resistance (PVR) independently predicted 1-month, 1- and 3-year mortality and age predicted mortality at 1 year and 3 years. Significant improvement in NYHA class and 6MWD were observed and PVR decreased from 773 +/- 353 to 307 +/- 221 dyn. sec.cm(-5) (p&lt;0.001). In 96 patients (64%), PVR decreased by at least 50% and/or was reduced to lower than 250 dyn.sec.cm(-5). Preoperative cardiac output (CO) and TLCO predicted hemodynamic improvement. Conclusion PEA is associated with an excellent long-term survival and a marked improvement in clinical status and hemodynamics. Some preoperative factors including PVR, CO and TLCO can predict postoperative outcomes.</t>
  </si>
  <si>
    <t>[Tromeur, Cecile; Couturaud, Francis] European Brittany Univ, Brest, France; [Tromeur, Cecile; Couturaud, Francis] Univ Hosp Ctr La Cavale Blanche, Dept Internal Med &amp; Chest Dis, Brest, France; [Tromeur, Cecile; Couturaud, Francis] GETBO, CIC INSERM 1412, EA 3878, Brest, France; [Jais, Xavier; Mercier, Olaf; Montani, David; Savale, Laurent; Jevnikar, Mitja; Weatherald, Jason; Sitbon, Olivier; Parent, Florence; Fabre, Dominique; Mussot, Sacha; Dartevelle, Philippe; Humbert, Marc; Simonneau, Gerald; Fadel, Elie] Univ Paris Saclay, Univ Paris Sud, Fac Med, Le Kremlin Bicetre, France; [Jais, Xavier; Montani, David; Savale, Laurent; Jevnikar, Mitja; Weatherald, Jason; Sitbon, Olivier; Parent, Florence; Humbert, Marc; Simonneau, Gerald] Hop Bicetre, Serv Pneumol, Ctr Reference Hypertens Pulm, AP HP, Le Kremlin Bicetre, France; [Jais, Xavier; Mercier, Olaf; Montani, David; Savale, Laurent; Jevnikar, Mitja; Weatherald, Jason; Sitbon, Olivier; Parent, Florence; Fabre, Dominique; Mussot, Sacha; Dartevelle, Philippe; Humbert, Marc; Simonneau, Gerald; Fadel, Elie] Hop Marie Lannelongue, INSERM UMR S 999, Le Plessis Robinson, France; [Mercier, Olaf; Fabre, Dominique; Mussot, Sacha; Dartevelle, Philippe; Fadel, Elie] Hop Marie Lannelongue, Serv Chirurg Thorac &amp; Vasc &amp; Transplantat Cardiop, Le Plessis Robinson, France; [Weatherald, Jason] Univ Calgary, Dept Med, Div Respirol, Calgary, AB, Canada</t>
  </si>
  <si>
    <t>Universite de Bretagne Occidentale; CHU Brest; Institut National de la Sante et de la Recherche Medicale (Inserm); Universite de Bretagne Occidentale; Universite Paris Saclay; Assistance Publique Hopitaux Paris (APHP); Hopital Universitaire Bicetre - APHP; Hopital Universitaire Antoine-Beclere - APHP; Universite Paris Saclay; Universite Paris Saclay; Institut National de la Sante et de la Recherche Medicale (Inserm); Hopital Marie Lannelongue; Hopital Marie Lannelongue; University of Calgary</t>
  </si>
  <si>
    <t>Tromeur, C (corresponding author), European Brittany Univ, Brest, France.;Tromeur, C (corresponding author), Univ Hosp Ctr La Cavale Blanche, Dept Internal Med &amp; Chest Dis, Brest, France.;Tromeur, C (corresponding author), GETBO, CIC INSERM 1412, EA 3878, Brest, France.</t>
  </si>
  <si>
    <t>tromeurcecile@gmail.com</t>
  </si>
  <si>
    <t>Sitbon, Olivier/I-3623-2019; David, Montani/I-6885-2019; Savale, Laurent/AAJ-9781-2020; Couturaud, Francis/Q-1366-2019; Simonneau, Gerald/ABE-6614-2020; Mussot, S/AAL-7512-2020; Humbert, Marc/AAC-8459-2019</t>
  </si>
  <si>
    <t>SITBON, Olivier/0000-0002-1942-1951; JAIS, XAVIER/0000-0002-4104-7994; Montani, David/0000-0002-9358-6922; tromeur, cecile/0000-0001-9161-7521; Weatherald, Jason/0000-0002-0615-4575; Couturaud, Francis/0000-0002-1855-8032; Jevnikar, Mitja/0000-0003-0727-6790; Humbert, Marc/0000-0003-0703-2892; Mercier, Olaf/0000-0002-4760-6267</t>
  </si>
  <si>
    <t>JUN 21</t>
  </si>
  <si>
    <t>e0198198</t>
  </si>
  <si>
    <t>10.1371/journal.pone.0198198</t>
  </si>
  <si>
    <t>GK0LV</t>
  </si>
  <si>
    <t>WOS:000435802500011</t>
  </si>
  <si>
    <t>Dumas, SJ; Bru-Mercier, G; Courboulin, A; Quatredeniers, M; Rücker-Martin, C; Antigny, F; Nakhleh, MK; Ranchoux, B; Gouadon, E; Vinhas, MC; Vocelle, M; Raymond, N; Dorfmüller, P; Fadel, E; Perros, F; Humbert, M; Cohen-Kaminsky, S</t>
  </si>
  <si>
    <t>Dumas, Sebastien J.; Bru-Mercier, Gilles; Courboulin, Audrey; Quatredeniers, Marceau; Rucker-Martin, Catherine; Antigny, Fabrice; Nakhleh, Morad K.; Ranchoux, Benoit; Gouadon, Elodie; Vinhas, Maria-Candida; Vocelle, Matthieu; Raymond, Nicolas; Dorfmuller, Peter; Fadel, Elie; Perros, Frederic; Humbert, Marc; Cohen-Kaminsky, Sylvia</t>
  </si>
  <si>
    <t>NMDA-Type Glutamate Receptor Activation Promotes Vascular Remodeling and Pulmonary Arterial Hypertension</t>
  </si>
  <si>
    <t>endothelin-1; glutamate; NMDA receptor; platelet-derived growth factor; pulmonary arterial hypertension; smooth muscle cell; vascular remodeling</t>
  </si>
  <si>
    <t>D-ASPARTATE RECEPTORS; SYNAPTIC PLASTICITY; GROWTH; ENDOTHELIUM; EXPRESSION; APOPTOSIS; MODEL; DEXTROMETHORPHAN; PHOSPHORYLATION; IDENTIFICATION</t>
  </si>
  <si>
    <t>Background: Excessive proliferation and apoptosis resistance in pulmonary vascular cells underlie vascular remodeling in pulmonary arterial hypertension (PAH). Specific treatments for PAH exist, mostly targeting endothelial dysfunction, but high pulmonary arterial pressure still causes heart failure and death. Pulmonary vascular remodeling may be driven by metabolic reprogramming of vascular cells to increase glutaminolysis and glutamate production. The N-methyl-D-aspartate receptor (NMDAR), a major neuronal glutamate receptor, is also expressed on vascular cells, but its role in PAH is unknown. Methods: We assessed the status of the glutamate-NMDAR axis in the pulmonary arteries of patients with PAH and controls through mass spectrometry imaging, Western blotting, and immunohistochemistry. We measured the glutamate release from cultured pulmonary vascular cells using enzymatic assays and analyzed NMDAR regulation/phosphorylation through Western blot experiments. The effect of NMDAR blockade on human pulmonary arterial smooth muscle cell proliferation was determined using a BrdU incorporation assay. We assessed the role of NMDARs in vascular remodeling associated to pulmonary hypertension, in both smooth muscle-specific NMDAR knockout mice exposed to chronic hypoxia and the monocrotaline rat model of pulmonary hypertension using NMDAR blockers. Results: We report glutamate accumulation, upregulation of the NMDAR, and NMDAR engagement reflected by increases in GluN1-subunit phosphorylation in the pulmonary arteries of human patients with PAH. K-v channel inhibition and type A-selective endothelin receptor activation amplified calcium-dependent glutamate release from human pulmonary arterial smooth muscle cell, and type A-selective endothelin receptor and platelet-derived growth factor receptor activation led to NMDAR engagement, highlighting crosstalk between the glutamate-NMDAR axis and major PAH-associated pathways. The platelet-derived growth factor-BB-induced proliferation of human pulmonary arterial smooth muscle cells involved NMDAR activation and phosphorylated GluN1 subunit localization to cell-cell contacts, consistent with glutamatergic communication between proliferating human pulmonary arterial smooth muscle cells via NMDARs. Smooth-muscle NMDAR deficiency in mice attenuated the vascular remodeling triggered by chronic hypoxia, highlighting the role of vascular NMDARs in pulmonary hypertension. Pharmacological NMDAR blockade in the monocrotaline rat model of pulmonary hypertension had beneficial effects on cardiac and vascular remodeling, decreasing endothelial dysfunction, cell proliferation, and apoptosis resistance while disrupting the glutamate-NMDAR pathway in pulmonary arteries. Conclusions: These results reveal a dysregulation of the glutamate-NMDAR axis in the pulmonary arteries of patients with PAH and identify vascular NMDARs as targets for antiremodeling treatments in PAH.</t>
  </si>
  <si>
    <t>[Dumas, Sebastien J.; Bru-Mercier, Gilles; Courboulin, Audrey; Quatredeniers, Marceau; Rucker-Martin, Catherine; Antigny, Fabrice; Nakhleh, Morad K.; Ranchoux, Benoit; Gouadon, Elodie; Vinhas, Maria-Candida; Vocelle, Matthieu; Raymond, Nicolas; Dorfmuller, Peter; Fadel, Elie; Perros, Frederic; Humbert, Marc; Cohen-Kaminsky, Sylvia] Hop Marie Lannelongue, INSERM, UMR S 999, 133 Ave Resistance, F-92350 Le Plessis Robinson, France; [Dumas, Sebastien J.; Bru-Mercier, Gilles; Courboulin, Audrey; Quatredeniers, Marceau; Rucker-Martin, Catherine; Antigny, Fabrice; Nakhleh, Morad K.; Ranchoux, Benoit; Gouadon, Elodie; Vinhas, Maria-Candida; Vocelle, Matthieu; Raymond, Nicolas; Dorfmuller, Peter; Fadel, Elie; Perros, Frederic; Humbert, Marc; Cohen-Kaminsky, Sylvia] Univ Paris Saclay, Univ Paris Sud, Fac Med, Le Kremlin Bicetre, France; [Humbert, Marc] Hop Bicetre, AP HP, Serv Pneumol, Le Kremlin Bicetre, France</t>
  </si>
  <si>
    <t>Cohen-Kaminsky, S (corresponding author), Hop Marie Lannelongue, INSERM, UMR S 999, 133 Ave Resistance, F-92350 Le Plessis Robinson, France.</t>
  </si>
  <si>
    <t>Dumas, Sébastien/AAA-2056-2021; Ranchoux, Benoît/AAX-6037-2020; Humbert, Marc/AAC-8459-2019; Cohen-Kaminsky, Sylvia/E-4837-2014; Antigny, Fabrice/Q-3999-2018; Perros, Frederic/N-6921-2017</t>
  </si>
  <si>
    <t>Humbert, Marc/0000-0003-0703-2892; Dumas, Sebastien/0000-0001-9958-3485; Dorfmuller, Peter/0000-0003-2499-6829; Cohen-Kaminsky, Sylvia/0000-0002-6341-7482; Antigny, Fabrice/0000-0002-9515-6571; Rucker-Martin, Catherine/0000-0002-1593-7432; Perros, Frederic/0000-0001-7730-2427</t>
  </si>
  <si>
    <t>LabEx LERMIT, Laboratory of Excellence in Research on Medication and Innovative Therapeutics under the Investment for the Future program Agence Nationale de la Recherche [(ANR)-11-IDEX-0003-01, ANR-10-LABX-0033]; Excellence Initiative IDEX Paris-Saclay Prematuration program; ANR Biomedical Innovation program [DS0404, ANR-14-CE16-0016]; Departement Hospitalo-Universitaire Thorax Innovation; Assistance Publique-Hopitaux de Paris; Institut National de la Sante Et de la Recherche Medicale (INSERM); Hopital Marie Lannelongue; Region Ile-de-France; Universite Paris-Sud; Fonds de Dotation Recherche en Sante Respiratoire; Fondation pour la Recherche Medicale [FDT20140931207, SPF20140129310]; ANR [ANR-13-JSV1-0011]; Aviesan (Alliance nationale pour les sciences de la vie et de la sante, Institut Immunologie, Hematologie et Pneumologie); Ministere de l'Education Nationale, de l'Enseignement Superieur et de la Recherche; LabEx LERMIT, Laboratory of Excellence in Research on Medication and Innovative Therapeutics; INSERM; Agence Nationale de la Recherche (ANR) [ANR-14-CE16-0016] Funding Source: Agence Nationale de la Recherche (ANR)</t>
  </si>
  <si>
    <t>LabEx LERMIT, Laboratory of Excellence in Research on Medication and Innovative Therapeutics under the Investment for the Future program Agence Nationale de la Recherche(Agence nationale pour le developpement de la recherche en sante (ANDRS)Agence Nationale de la Recherche (ANR)); Excellence Initiative IDEX Paris-Saclay Prematuration program; ANR Biomedical Innovation program; Departement Hospitalo-Universitaire Thorax Innovation; Assistance Publique-Hopitaux de Paris; Institut National de la Sante Et de la Recherche Medicale (INSERM)(Institut National de la Sante et de la Recherche Medicale (Inserm)); Hopital Marie Lannelongue; Region Ile-de-France(Region Ile-de-France); Universite Paris-Sud; Fonds de Dotation Recherche en Sante Respiratoire; Fondation pour la Recherche Medicale(Fondation pour la Recherche Medicale); ANR(Agence Nationale de la Recherche (ANR)); Aviesan (Alliance nationale pour les sciences de la vie et de la sante, Institut Immunologie, Hematologie et Pneumologie); Ministere de l'Education Nationale, de l'Enseignement Superieur et de la Recherche; LabEx LERMIT, Laboratory of Excellence in Research on Medication and Innovative Therapeutics; INSERM(Institut National de la Sante et de la Recherche Medicale (Inserm)); Agence Nationale de la Recherche (ANR)(Agence Nationale de la Recherche (ANR))</t>
  </si>
  <si>
    <t>The NUTS project (NMDA Receptors, Unexpected Targets in Pulmonary Arterial Hypertension) is supported by LabEx LERMIT, Laboratory of Excellence in Research on Medication and Innovative Therapeutics under the Investment for the Future program Agence Nationale de la Recherche (ANR)-11-IDEX-0003-01 within the ANR-10-LABX-0033 (to S.C.-K.), the Excellence Initiative IDEX Paris-Saclay Prematuration program (to S.C.-K.), ANR Biomedical Innovation program 2014 (DS0404) within ANR-14-CE16-0016 (to S.C.-K.), Departement Hospitalo-Universitaire Thorax Innovation, and Assistance Publique-Hopitaux de Paris. This work was also funded by Institut National de la Sante Et de la Recherche Medicale (INSERM), Universite Paris-Sud, and Hopital Marie Lannelongue. We thank Region Ile-de-France and Universite Paris-Sud for providing financial support for Institut Paris Saclay d'Innovation Therapeutique (IPSIT) facilities. The sponsors had no role in the design of the study, the collection and analysis of the data, or the preparation of the article. S.J.D. received doctoral support from Fonds de Dotation Recherche en Sante Respiratoire and Fondation pour la Recherche Medicale (grant FDT20140931207). F.P. was supported by the ANR (grant ANR-13-JSV1-0011), F.A. by a postdoctoral grant from Aviesan (Alliance nationale pour les sciences de la vie et de la sante, Institut Immunologie, Hematologie et Pneumologie), M.Q. by a PhD fellowship from the Ministere de l'Education Nationale, de l'Enseignement Superieur et de la Recherche, B.R. by a doctoral grant from LabEx LERMIT, Laboratory of Excellence in Research on Medication and Innovative Therapeutics, A.C. by a postdoctoral fellowship from Fondation pour la Recherche Medicale (grant SPF20140129310), MN by a postdoctoral fellowship from INSERM, and G.B.-M. by a postdoctoral fellowship from LabEx LERMIT, Laboratory of Excellence in Research on Medication and Innovative Therapeutics.</t>
  </si>
  <si>
    <t>MAY 29</t>
  </si>
  <si>
    <t>10.1161/CIRCULATIONAHA.117.029930</t>
  </si>
  <si>
    <t>GI3EV</t>
  </si>
  <si>
    <t>WOS:000434255300013</t>
  </si>
  <si>
    <t>Launay, D; Montani, D; Hassoun, PM; Cottin, V; Le Pavec, J; Clerson, P; Sitbon, O; Jaïs, X; Savale, L; Weatherald, J; Sobanski, V; Mathai, SC; Shafiq, M; Cordier, JF; Hachulla, E; Simonneau, G; Humbert, M</t>
  </si>
  <si>
    <t>Launay, David; Montani, David; Hassoun, Paul M.; Cottin, Vincent; Le Pavec, Jerome; Clerson, Pierre; Sitbon, Olivier; Jais, Xavier; Savale, Laurent; Weatherald, Jason; Sobanski, Vincent; Mathai, Stephen C.; Shafiq, Majid; Cordier, Jean-Francois; Hachulla, Eric; Simonneau, Gerald; Humbert, Marc</t>
  </si>
  <si>
    <t>Clinical phenotypes and survival of pre-capillary pulmonary hypertension in systemic sclerosis</t>
  </si>
  <si>
    <t>INTERSTITIAL LUNG-DISEASE; CLASSIFICATION; CRITERIA</t>
  </si>
  <si>
    <t>Pre-capillary pulmonary hypertension (PH) in systemic sclerosis (SSc) is a heterogeneous condition with an overall bad prognosis. The objective of this study was to identify and characterize homogeneous phenotypes by a cluster analysis in SSc patients with PH. Patients were identified from two prospective cohorts from the US and France. Clinical, pulmonary function, high-resolution chest tomography, hemodynamic and survival data were extracted. We performed cluster analysis using the k-means method and compared survival between clusters using Cox regression analysis. Cluster analysis of 200 patients identified four homogenous phenotypes. Cluster C1 included patients with mild to moderate risk pulmonary arterial hypertension (PAH) with limited or no interstitial lung disease (ILD) and low DLCO with a 3-year survival of 81.5% (95% CI: 71.4-88.2). C2 had pre-capillary PH due to extensive ILD and worse 3-year survival compared to C1 (adjusted hazard ratio [HR] 3.14; 95% CI 1.66-5.94; p = 0.0004). C3 had severe PAH and a trend towards worse survival (HR 2.53; 95% CI 0.99-6.49; p = 0.052). Cluster C4 and C1 were similar with no difference in survival (HR 0.65; 95% CI 0.19-2.27, p = 0.507) but with a higher DLCO in C4. PH in SSc can be characterized into distinct clusters that differ in prognosis.</t>
  </si>
  <si>
    <t>[Launay, David; Sobanski, Vincent; Hachulla, Eric] Univ Lille, U995, LIRIC, Lille, France; [Launay, David; Sobanski, Vincent; Hachulla, Eric] INSERM, U995, Lille, France; [Launay, David; Sobanski, Vincent; Hachulla, Eric] CHU Lille, Dept Med Interne &amp; Immunol Clin, Lille, France; [Launay, David; Sobanski, Vincent; Hachulla, Eric] Ctr Natl Reference Malad Syst Autoimmunes Rares S, Lille, France; [Montani, David; Le Pavec, Jerome; Sitbon, Olivier; Jais, Xavier; Savale, Laurent; Weatherald, Jason; Simonneau, Gerald; Humbert, Marc] Univ Paris Sud, Univ Paris Saclay, Fac Med, Le Kremlin Bicetre, France; [Montani, David; Sitbon, Olivier; Jais, Xavier; Savale, Laurent; Weatherald, Jason; Simonneau, Gerald; Humbert, Marc] Hop Bicetre, AP HP, Serv Pneumol, Le Kremlin Bicetre, France; [Montani, David; Le Pavec, Jerome; Sitbon, Olivier; Jais, Xavier; Savale, Laurent; Weatherald, Jason; Simonneau, Gerald; Humbert, Marc] Hop Marie Lannelongue, INSERM UMR S 999, Le Plessis Robinson, France; [Hassoun, Paul M.; Mathai, Stephen C.; Shafiq, Majid] Johns Hopkins Univ, Dept Med, Div Pulm &amp; Crit Care, Baltimore, MD USA; [Cottin, Vincent; Cordier, Jean-Francois] Univ Claude Bernard Lyon 1, Ctr Natl Reference Malad Pulm Rares, Hop Louis Pradel, Hosp Civils Lyon, Lyon, France; [Le Pavec, Jerome] Hop Marie Lannelongue, Serv Chirurg Thorac Vasc &amp; Transplantat Cardiopul, Le Plessis Robinson, France; [Clerson, Pierre] Soladis Clin Study, Roubaix, France; [Weatherald, Jason] Univ Calgary, Dept Med, Div Respirol, Calgary, AB, Canada</t>
  </si>
  <si>
    <t>Universite de Lille; Institut National de la Sante et de la Recherche Medicale (Inserm); Universite de Lille; Universite de Lille; CHU Lille; Universite Paris Saclay; Assistance Publique Hopitaux Paris (APHP); Hopital Universitaire Bicetre - APHP; Hopital Universitaire Antoine-Beclere - APHP; Universite Paris Saclay; Hopital Marie Lannelongue; Universite Paris Saclay; Institut National de la Sante et de la Recherche Medicale (Inserm); Johns Hopkins University; Universite Claude Bernard Lyon 1; CHU Lyon; Hopital Marie Lannelongue; University of Calgary</t>
  </si>
  <si>
    <t>Humbert, M (corresponding author), Univ Paris Sud, Univ Paris Saclay, Fac Med, Le Kremlin Bicetre, France.;Humbert, M (corresponding author), Hop Bicetre, AP HP, Serv Pneumol, Le Kremlin Bicetre, France.;Humbert, M (corresponding author), Hop Marie Lannelongue, INSERM UMR S 999, Le Plessis Robinson, France.</t>
  </si>
  <si>
    <t>david.launay@univ-lille2.fr; marc.humbert@aphp.fr</t>
  </si>
  <si>
    <t>Savale, Laurent/AAJ-9781-2020; HACHULLA, ERIC/R-8488-2018; David, Montani/I-6885-2019; Sitbon, Olivier/I-3623-2019; Simonneau, Gerald/ABE-6614-2020; Sobanski, Vincent/Q-6411-2016; Launay, David/H-1674-2016; Humbert, Marc/AAC-8459-2019</t>
  </si>
  <si>
    <t>Le Pavec, Jerome/0000-0003-4426-9645; Weatherald, Jason/0000-0002-0615-4575; Montani, David/0000-0002-9358-6922; Sobanski, Vincent/0000-0003-3083-2441; JAIS, XAVIER/0000-0002-4104-7994; SITBON, Olivier/0000-0002-1942-1951; Launay, David/0000-0003-1840-1817; Humbert, Marc/0000-0003-0703-2892; HACHULLA, ERIC/0000-0001-7432-847X</t>
  </si>
  <si>
    <t>Pfizer [WI176902]</t>
  </si>
  <si>
    <t>Pfizer(Pfizer)</t>
  </si>
  <si>
    <t>This work was funded in part by a restricted grant of Pfizer (WI176902 to Eric Hachulla). The funder had no role in study design, data collection and analysis, decision to publish, or preparation of the manuscript.</t>
  </si>
  <si>
    <t>MAY 15</t>
  </si>
  <si>
    <t>e0197112</t>
  </si>
  <si>
    <t>10.1371/journal.pone.0197112</t>
  </si>
  <si>
    <t>GF7AA</t>
  </si>
  <si>
    <t>WOS:000432118800025</t>
  </si>
  <si>
    <t>Simonneau, G; Humbert, M</t>
  </si>
  <si>
    <t>Simonneau, Gerald; Humbert, Marc</t>
  </si>
  <si>
    <t>Amphetamine Derivatives and the Risk of Pulmonary Arterial Hypertension: A Missing Chapter of the Story? Reply</t>
  </si>
  <si>
    <t>[Simonneau, Gerald] Univ Paris Saclay, Univ Paris Sud, Le Kremlin Bicetre, France; Hop Bicetre, AP HP, Le Kremlin Bicetre, France; Hop Marie Lannelongue, INSERM, UMR S 999, Le Plessis Robinson, France</t>
  </si>
  <si>
    <t>Universite Paris Saclay; Assistance Publique Hopitaux Paris (APHP); Hopital Universitaire Antoine-Beclere - APHP; Universite Paris Saclay; Hopital Universitaire Bicetre - APHP; Universite Paris Saclay; Institut National de la Sante et de la Recherche Medicale (Inserm); Hopital Marie Lannelongue</t>
  </si>
  <si>
    <t>Simonneau, G (corresponding author), Univ Paris Saclay, Univ Paris Sud, Le Kremlin Bicetre, France.</t>
  </si>
  <si>
    <t>10.1164/rccm.201712-2483LE</t>
  </si>
  <si>
    <t>GF8IY</t>
  </si>
  <si>
    <t>WOS:000432215400028</t>
  </si>
  <si>
    <t>Cartin-Ceba, R; Halank, M; Ghofrani, HA; Humbert, M; Mattson, J; Fritsch, A; Krowka, MJ</t>
  </si>
  <si>
    <t>Cartin-Ceba, Rodrigo; Halank, Michael; Ghofrani, Hossein-Ardeschir; Humbert, Marc; Mattson, John; Fritsch, Arno; Krowka, Michael J.</t>
  </si>
  <si>
    <t>Riociguat treatment for portopulmonary hypertension: a subgroup analysis from the PATENT-1/-2 studies</t>
  </si>
  <si>
    <t>soluble guanylate cyclase stimulator; portal hypertension; pulmonary arterial hypertension</t>
  </si>
  <si>
    <t>PULMONARY ARTERIAL-HYPERTENSION; DISEASE; GUIDELINES; MANAGEMENT; EXTENSION; DIAGNOSIS; REGISTRY; REVEAL</t>
  </si>
  <si>
    <t>In patients with portopulmonary hypertension (n=13) included in the 12-week randomized placebo-controlled PATENT-I trial, riociguat was well tolerated and improved 6-min walking distance (6MWD), World Health Organization functional class (WHO FC), and other efficacy parameters; 6MWD and WHO FC improvements were sustained over two years in the open-label extension, PATENT-2.</t>
  </si>
  <si>
    <t>[Cartin-Ceba, Rodrigo] Mayo Clin, Div Pulm Med, Dept Med, Scottsdale, AZ USA; [Halank, Michael] Tech Univ Dresden, Univ Hosp Carl Gustav Carus, Dept Internal Med 1, Dresden, Germany; [Ghofrani, Hossein-Ardeschir] UGMLC, German Ctr Lung Res DZL, Giessen, Germany; [Ghofrani, Hossein-Ardeschir] Imperial Coll London, Dept Med, London, England; [Humbert, Marc] Univ Paris Sud, Univ Paris Saclay, Le Kremlin Bicetre, France; [Humbert, Marc] Hop Bicetre, AP HP, Serv Pneumol, Le Kremlin Bicetre, France; [Humbert, Marc] Hop Marie Lannelongue, Inst Natl Sante &amp; Rech Med UMR S999, Le Plessis Robinson, France; [Mattson, John] Bayer US LLC, Med Affairs, Whippany, NJ USA; [Fritsch, Arno] Bayer AG, Pharmaceut Stat, Wuppertal, Germany; [Krowka, Michael J.] Mayo Clin, Transplant Ctr, Rochester, MN USA</t>
  </si>
  <si>
    <t>Mayo Clinic; Mayo Clinic Phoenix; Technische Universitat Dresden; Carl Gustav Carus University Hospital; Imperial College London; Universite Paris Saclay; Universite Paris Saclay; Assistance Publique Hopitaux Paris (APHP); Hopital Universitaire Antoine-Beclere - APHP; Hopital Universitaire Bicetre - APHP; Hopital Marie Lannelongue; Institut National de la Sante et de la Recherche Medicale (Inserm); Bayer AG; Mayo Clinic</t>
  </si>
  <si>
    <t>Cartin-Ceba, R (corresponding author), Mayo Clin Arizona, Pulm &amp; Crit Care Med, Med, 13400 East Shea Blvd, Scottsdale, AZ 85259 USA.;Cartin-Ceba, R (corresponding author), Mayo Clin Arizona, Pulm &amp; Crit Care Med, 13400 East Shea Blvd, Scottsdale, AZ 85259 USA.</t>
  </si>
  <si>
    <t>cartinceba.rodrigo@mayo.edu</t>
  </si>
  <si>
    <t>Ghofrani, Ardeschir/AAD-5293-2020; Humbert, Marc/AAC-8459-2019</t>
  </si>
  <si>
    <t>Ghofrani, Ardeschir/0000-0002-2029-4419; Humbert, Marc/0000-0003-0703-2892</t>
  </si>
  <si>
    <t>Bayer AG (Berlin, Germany)</t>
  </si>
  <si>
    <t>This study was supported by Bayer AG (Berlin, Germany).</t>
  </si>
  <si>
    <t>MAY 4</t>
  </si>
  <si>
    <t>10.1177/2045894018769305</t>
  </si>
  <si>
    <t>GF6ZE</t>
  </si>
  <si>
    <t>WOS:000432116500001</t>
  </si>
  <si>
    <t>Busse, WW; Humbert, M; Stephenson, P; Iqbal, A; Trzaskoma, BL; Conde, LG; Hepburn, J; Ortiz, B; Kianifard, F; Holgate, S</t>
  </si>
  <si>
    <t>Busse, William W.; Humbert, Marc; Stephenson, Patricia; Iqbal, Ahmar; Trzaskoma, Benjamin L.; Conde, Lorena Garcia.; Hepburn, Jenny; Ortiz, Benjamin; Kianifard, F.; Holgate, Stephen</t>
  </si>
  <si>
    <t>The effect of omalizumab on lung function in adolescents with moderate to severe allergic asthma</t>
  </si>
  <si>
    <t>PEDIATRICS</t>
  </si>
  <si>
    <t>[Busse, William W.] Univ Wisconsin, Sch Med &amp; Publ Hlth, Madison, WI USA; [Humbert, Marc] Univ Paris Sud, Le Kremlin Bicetre, France; [Stephenson, Patricia] Rho Inc, Chapel Hill, NC USA; [Iqbal, Ahmar; Trzaskoma, Benjamin L.] Genentech Inc, San Francisco, CA 94080 USA; [Conde, Lorena Garcia.] Novartis Pharma AG, Basel, Switzerland; [Hepburn, Jenny; Ortiz, Benjamin; Kianifard, F.] Novartis Pharmaceut, E Hanover, NJ USA; [Holgate, Stephen] Univ Southampton, Southampton, Hants, England</t>
  </si>
  <si>
    <t>University of Wisconsin System; University of Wisconsin Madison; Universite Paris Saclay; Rho; Roche Holding; Roche Holding USA; Genentech; Novartis; Novartis; Novartis USA; University of Southampton</t>
  </si>
  <si>
    <t>holgate, stephen/JOZ-4882-2023; Humbert, Marc/AAC-8459-2019; Busse, William/AFR-0848-2022</t>
  </si>
  <si>
    <t>AMER ACAD PEDIATRICS</t>
  </si>
  <si>
    <t>ELK GROVE VILLAGE</t>
  </si>
  <si>
    <t>141 NORTH-WEST POINT BLVD,, ELK GROVE VILLAGE, IL 60007-1098 USA</t>
  </si>
  <si>
    <t>0031-4005</t>
  </si>
  <si>
    <t>1098-4275</t>
  </si>
  <si>
    <t>10.1542/peds.142.1_MeetingAbstract.809</t>
  </si>
  <si>
    <t>VJ1QD</t>
  </si>
  <si>
    <t>WOS:000540807300756</t>
  </si>
  <si>
    <t>Henry, T; Meyer, CL; Chevance, V; Roblot, V; Blanchet, E; Arnould, V; Grimon, G; Chekroun, M; Parent, F; Seferian, A; Jovan, R; Bulifon, S; Jais, X; Montani, D; Humbert, M; Chaumet-Riffaud, P; Lebon, V; Durand, E; Besson, F</t>
  </si>
  <si>
    <t>Henry, Theophraste; Meyer, Celine; Chevance, Virgile; Roblot, Victoire; Blanchet, Elise; Arnould, Victor; Grimon, Gilles; Chekroun, Malika; Parent, Florence; Seferian, Andrei; Jovan, Roland; Bulifon, Sophie; Jais, Xavier; Montani, David; Humbert, Marc; Chaumet-Riffaud, Philippe; Lebon, Vincent; Durand, Emmanuel; Besson, Florent</t>
  </si>
  <si>
    <t>Automated PET segmentation for lung tumors: Can deep learning reach optimized expert-based performance?</t>
  </si>
  <si>
    <t>JOURNAL OF NUCLEAR MEDICINE</t>
  </si>
  <si>
    <t>Annual Meeting of the Society-of-Nuclear-Medicine-and-Molecular-Imaging (SNMMI)</t>
  </si>
  <si>
    <t>JUN 23-26, 2018</t>
  </si>
  <si>
    <t>Soc Nucl Med &amp; Mol Imaging</t>
  </si>
  <si>
    <t>[Henry, Theophraste; Meyer, Celine; Chevance, Virgile; Roblot, Victoire; Grimon, Gilles; Chekroun, Malika; Chaumet-Riffaud, Philippe; Durand, Emmanuel; Besson, Florent] Bicetre Univ Hosp, Dept Biophys &amp; Nucl Med, Paris, France; [Parent, Florence; Seferian, Andrei; Jovan, Roland; Bulifon, Sophie; Jais, Xavier; Montani, David; Humbert, Marc] Bicetre Univ Hosp, Dept Resp &amp; Intens Care Med, Paris, France; [Blanchet, Elise; Arnould, Victor; Lebon, Vincent] Univ Paris Sud, Serv Hosp Frederic Joliot, CEA, Orsay, France; [Montani, David; Humbert, Marc] Univ Paris Sud, Univ Paris Saclay, INSERM, U999, Le Plessis Robinson, France; [Durand, Emmanuel; Besson, Florent] Univ Paris Sud, Univ Paris Saclay, Ir4m, CNRS,Umr 8081, Orsay, France</t>
  </si>
  <si>
    <t>Assistance Publique Hopitaux Paris (APHP); Hopital Universitaire Bicetre - APHP; Assistance Publique Hopitaux Paris (APHP); Hopital Universitaire Bicetre - APHP; CEA; Universite Paris Saclay; Universite Paris Saclay; Institut National de la Sante et de la Recherche Medicale (Inserm); Centre National de la Recherche Scientifique (CNRS); CNRS - Institute for Engineering &amp; Systems Sciences (INSIS); Universite Paris Saclay</t>
  </si>
  <si>
    <t>Humbert, Marc/AAC-8459-2019; David, Montani/I-6885-2019; Durand, Emmanuel/KFT-1030-2024; Besson, Florent/AEV-1339-2022</t>
  </si>
  <si>
    <t>DURAND, Emmanuel/0000-0002-1378-8330; Montani, David/0000-0002-9358-6922; Besson, Florent/0000-0002-9826-3890</t>
  </si>
  <si>
    <t>SOC NUCLEAR MEDICINE INC</t>
  </si>
  <si>
    <t>RESTON</t>
  </si>
  <si>
    <t>1850 SAMUEL MORSE DR, RESTON, VA 20190-5316 USA</t>
  </si>
  <si>
    <t>0161-5505</t>
  </si>
  <si>
    <t>1535-5667</t>
  </si>
  <si>
    <t>J NUCL MED</t>
  </si>
  <si>
    <t>J. Nucl. Med.</t>
  </si>
  <si>
    <t>HX6BV</t>
  </si>
  <si>
    <t>WOS:000467489900322</t>
  </si>
  <si>
    <t>Humbert, M; Taillé, C; Mala, L; Le Gros, V; Just, J; Molimard, M</t>
  </si>
  <si>
    <t>Humbert, Marc; Taille, Camille; Mala, Laurence; Le Gros, Vincent; Just, Jocelyne; Molimard, Mathieu</t>
  </si>
  <si>
    <t>Omalizumab effectiveness in patients with severe allergic asthma according to blood eosinophil count: the STELLAIR study</t>
  </si>
  <si>
    <t>UNCONTROLLED ASTHMA; CHILDREN; THERAPY; PHENOTYPES; INNOVATE; COHORT; TRIAL</t>
  </si>
  <si>
    <t>Omalizumab is a monoclonal anti-IgE antibody used to treat severe allergic asthma (SAA). The aim of the STELLAIR study was to determine the importance of pre-treatment blood eosinophil count as a predictive measure for response to omalizumab. This retrospective real-life study was conducted in France between December 2015 and September 2016 using medical records of SAA omalizumab-treated patients. Response to omalizumab was assessed by three criteria: physician evaluation, reduction of &gt;= 40% in annual exacerbation rate and a combination of both. Response rate was calculated according to blood eosinophil count measured in the year prior to omalizumab initiation. 872 SAA omalizumab-treated patients were included by 78 physicians (723 adults (age. 18 years) and 149 minors (age 6-17 years)). Blood eosinophil count was &gt;= 300 cells center dot mu L-1 in 52.1% of adults and 73.8% of minors. By physician evaluation, 67.2% of adults and 77.2% of minors were responders and 71.1% adults and 78.5% minors had a. 40% reduction in the exacerbation rate. In adults, the response rate for combined criteria was 58.4% (95% CI 53.2-63.4%) for blood eosinophils. 300 cells center dot mu L-1 (n=377) and 58.1% (95% CI 52.7-63.4%) for blood eosinophils &lt; 300 cells center dot mu L-1 (n=346). This study shows that a large proportion of patients with SAA have a blood eosinophil count. 300 cells center dot mu L-1, and suggests that omalizumab effectiveness is similar in high and low eosinophil subgroups.</t>
  </si>
  <si>
    <t>[Humbert, Marc] Univ Paris Saclay, Fac Med, Univ Paris Sud, Le Kremlin Bicetre, France; [Humbert, Marc] Hop Bicetre, AP HP, Serv Pneumol, Le Kremlin Bicetre, France; [Humbert, Marc] Hop Marie Lannelongue, INSERM, UMR S 999, Le Plessis Robinson, France; [Taille, Camille] Hop Bichat Claude Bernard, AP HP, Serv Pneumol, Paris, France; [Taille, Camille] Univ Paris Diderot, Ctr Reference Malad Pulm Rares, Dept Hosp Univ FIRE, INSERM,UMR 1152, Paris, France; [Mala, Laurence; Le Gros, Vincent] Novartis Pharma SAS, Rueil Malmaison, France; [Just, Jocelyne] Univ Paris Sorbonne, Hop Trousseau, AP HP, Serv Allergol Pediat,Ctr Asthme, Paris, France; [Molimard, Mathieu] Univ Bordeaux, Dept Med Pharmacol, INSERM, UMR 1219, Bordeaux, France</t>
  </si>
  <si>
    <t>Universite Paris Saclay; Universite Paris Saclay; Assistance Publique Hopitaux Paris (APHP); Hopital Universitaire Antoine-Beclere - APHP; Hopital Universitaire Bicetre - APHP; Hopital Marie Lannelongue; Institut National de la Sante et de la Recherche Medicale (Inserm); Universite Paris Saclay; Universite Paris Cite; Assistance Publique Hopitaux Paris (APHP); Hopital Universitaire Bichat-Claude Bernard - APHP; Universite Paris Cite; Institut National de la Sante et de la Recherche Medicale (Inserm); Novartis; Assistance Publique Hopitaux Paris (APHP); Sorbonne Universite; Hopital Universitaire Armand-Trousseau - APHP; Institut National de la Sante et de la Recherche Medicale (Inserm); Universite de Bordeaux</t>
  </si>
  <si>
    <t>molimard, mathieu/T-2762-2019; Taille, Camille/J-3751-2017; Humbert, Marc/AAC-8459-2019; Caimmi, Davide/AAA-1277-2019</t>
  </si>
  <si>
    <t>Agossou, Moustapha/0000-0002-4922-5222; Molimard, Mathieu/0000-0002-4346-8346; Humbert, Marc/0000-0003-0703-2892; Caimmi, Davide/0000-0003-4481-6194; marchand-adam, sylvain/0000-0002-9522-3738</t>
  </si>
  <si>
    <t>Novartis Pharmaceuticals</t>
  </si>
  <si>
    <t>Novartis Pharmaceuticals(Novartis)</t>
  </si>
  <si>
    <t>Novartis Pharmaceuticals. The funder of the study contributed to the study design, data interpretation and writing of the report. The corresponding author had full access to all of the data and the final responsibility to submit for publication. Funding information for this article has been deposited with the Crossref Funder Registry.</t>
  </si>
  <si>
    <t>10.1183/13993003.02523-2017</t>
  </si>
  <si>
    <t>GJ3QY</t>
  </si>
  <si>
    <t>WOS:000435212900018</t>
  </si>
  <si>
    <t>Lambert, M; Boet, A; Rucker-Martin, C; Mendes-Ferreira, P; Capuano, V; Hatem, S; Adao, R; Brás-Silva, C; Hautefort, A; Michel, JB; Dorfmuller, P; Fadel, E; Kotsimbos, T; Price, L; Jourdon, P; Montani, D; Humbert, M; Perros, F; Antigny, F</t>
  </si>
  <si>
    <t>Lambert, Melanie; Boet, Angele; Rucker-Martin, Catherine; Mendes-Ferreira, Pedro; Capuano, Veronique; Hatem, Stephane; Adao, Rui; Bras-Silva, Carmen; Hautefort, Aurelie; Michel, Jean-Baptiste; Dorfmuller, Peter; Fadel, Elie; Kotsimbos, Tom; Price, Laura; Jourdon, Philippe; Montani, David; Humbert, Marc; Perros, Frederic; Antigny, Fabrice</t>
  </si>
  <si>
    <t>Loss of KCNK3 is a hallmark of RV hypertrophy/dysfunction associated with pulmonary hypertension</t>
  </si>
  <si>
    <t>K2P3.1; RV dysfunction; MCT; TASK-1; Ito; A293; KCNK3 inhibitor</t>
  </si>
  <si>
    <t>POTASSIUM CHANNEL TASK-1; RIGHT VENTRICLE; HEART-FAILURE; ENDOGENOUS ENDOTHELIN-1; DOWN-REGULATION; K-2P CHANNELS; UP-REGULATION; K+ CHANNELS; RATS; INTERLEUKIN-6</t>
  </si>
  <si>
    <t>Aims Mutations in the KCNK3 gene, which encodes for an outward-rectifier K+ channel, have been identified in patients suffering from pulmonary arterial hypertension (PAH), and constitute the first described channelopathy in PAH. In human PAH and experimental pulmonary hypertension (PH), we demonstrated that KCNK3 expression and function are severely reduced in pulmonary vascular cells, promoting PH-like phenotype at the morphologic and haemodynamic levels. Since KCNK3 channel is also expressed in both the human and rodent heart, we aimed to elucidate the pathophysiological role of KCNK3 channel in right ventricular (RV) hypertrophy (RVH) related to PH. Methods and results Using whole-cell Patch-clamp technique, we demonstrated that KCNK3 is predominantly expressed in adult rat RV cardiomyocytes compared to the left ventricle cardiomyocytes and participates in the repolarizing phase of the RV action potential. We revealed a reduction in KCNK3 function prior to development of RVH and the rise of pulmonary vascular resistance. KCNK3 function is severely reduced in RV cardiomyocytes during the development of RVH in several rat models of PH (exposure to monocrotaline, chronic hypoxia, and Sugen/hypoxia) and chronic RV pressure overload (pulmonary artery banding). In experimental PH, we revealed a reduction in KCNK3 function before any rise in pulmonary vascular resistance and the development of RVH. KCNK3 mRNA level is also reduced in human RV tissues from PAH patients compared to non-PAH patients. In line with these findings, chronic inhibition of KCNK3 in rats with the specific inhibitor (A293) induces RV hypertrophy which is associated with the reexpression of foetal genes, RV fibrosis, RV inflammation, and subsequent loss of RV performance as assessed by echocardiography. Conclusion Our data indicate that loss of KCNK3 function and expression is a hallmark of the RV hypertrophy/dysfunction associated with PH.</t>
  </si>
  <si>
    <t>[Lambert, Melanie; Boet, Angele; Rucker-Martin, Catherine; Capuano, Veronique; Hautefort, Aurelie; Dorfmuller, Peter; Fadel, Elie; Jourdon, Philippe; Montani, David; Humbert, Marc; Perros, Frederic; Antigny, Fabrice] Univ Paris Saclay, Univ Paris Sud, Fac Med, F-94270 Le Kremlin Bicetre, France; [Lambert, Melanie; Boet, Angele; Rucker-Martin, Catherine; Capuano, Veronique; Hautefort, Aurelie; Dorfmuller, Peter; Fadel, Elie; Jourdon, Philippe; Montani, David; Humbert, Marc; Perros, Frederic; Antigny, Fabrice] Hop Bicetre, AP HP, Serv Pneumol, F-94270 Le Kremlin Bicetre, France; [Lambert, Melanie; Boet, Angele; Rucker-Martin, Catherine; Capuano, Veronique; Hautefort, Aurelie; Dorfmuller, Peter; Fadel, Elie; Jourdon, Philippe; Montani, David; Humbert, Marc; Perros, Frederic; Antigny, Fabrice] Hop Marie Lannelongue, INSERM, UMR S 999, F-92350 Le Plessis Robinson, France; [Boet, Angele] Univ Paris Sud, Hop Marie Lannelongue, Reanimat Cardiopathies Congenitales, Le Plessis Robinson, France; [Mendes-Ferreira, Pedro; Adao, Rui; Bras-Silva, Carmen] Univ Porto, Fac Med, Cardiovasc Res Ctr, Dept Surg &amp; Physiol, P-4200319 Porto, Portugal; [Hatem, Stephane] Hop La Pitie Salpetriere, AP HP, Dept Cardiol, INSERM,UMR S1166,ICAN, F-75013 Paris, France; [Michel, Jean-Baptiste] Paris7 Denis Diderot Univ, Xavier Bichat Hosp, INSERM, UMR S1148, F-75018 Paris, France; [Fadel, Elie] Ctr Chirurg Marie Lannelongue, Serv Chirurg Thorac, Le Plessis Robinson, France; [Kotsimbos, Tom] Monash Univ, Alfred Hosp, Dept Resp Med, Melbourne, Vic 3181, Australia; [Price, Laura] Royal Brompton Hosp, Natl Pulm Hypertens Serv, London SW3 6NP, England</t>
  </si>
  <si>
    <t>Universite Paris Saclay; Universite Paris Saclay; Assistance Publique Hopitaux Paris (APHP); Hopital Universitaire Bicetre - APHP; Hopital Universitaire Antoine-Beclere - APHP; Institut National de la Sante et de la Recherche Medicale (Inserm); Hopital Marie Lannelongue; Universite Paris Saclay; Universite Paris Saclay; Hopital Marie Lannelongue; Universidade do Porto; Assistance Publique Hopitaux Paris (APHP); Hopital Universitaire Pitie-Salpetriere - APHP; Sorbonne Universite; Institut National de la Sante et de la Recherche Medicale (Inserm); Assistance Publique Hopitaux Paris (APHP); Universite Paris Cite; Hopital Universitaire Bichat-Claude Bernard - APHP; Institut National de la Sante et de la Recherche Medicale (Inserm); Hopital Marie Lannelongue; Monash University; Florey Institute of Neuroscience &amp; Mental Health; Howard Florey Institute Affiliates; Royal Brompton Hospital</t>
  </si>
  <si>
    <t>Antigny, F (corresponding author), Univ Paris Saclay, Univ Paris Sud, Fac Med, F-94270 Le Kremlin Bicetre, France.;Antigny, F (corresponding author), Hop Bicetre, AP HP, Serv Pneumol, F-94270 Le Kremlin Bicetre, France.;Antigny, F (corresponding author), Hop Marie Lannelongue, INSERM, UMR S 999, F-92350 Le Plessis Robinson, France.</t>
  </si>
  <si>
    <t>Adão, Rui/AAQ-1345-2020; Michel, Jean-Baptiste/AAH-9336-2020; Hatem, Stephane/D-1016-2017; David, Montani/I-6885-2019; Ferreira, Pedro/AAT-7296-2020; Humbert, Marc/AAC-8459-2019; Perros, Frederic/N-6921-2017; Antigny, Fabrice/Q-3999-2018; Bras Silva, Carmen/J-3754-2013</t>
  </si>
  <si>
    <t>Adao, Rui/0000-0003-2203-436X; Dorfmuller, Peter/0000-0003-2499-6829; Humbert, Marc/0000-0003-0703-2892; Rucker-Martin, Catherine/0000-0002-1593-7432; Montani, David/0000-0002-9358-6922; Perros, Frederic/0000-0001-7730-2427; Capuano, Veronique/0000-0001-8738-0947; Boet, Angele/0000-0003-1510-3347; Antigny, Fabrice/0000-0002-9515-6571; Ferreira, Pedro/0000-0003-3616-6785; Bras Silva, Carmen/0000-0003-1527-3776</t>
  </si>
  <si>
    <t>Laboratoire d'Excellence (LabEx) en Recherche sur le Medicament et l'Innovation Therapeutique (LERMIT); National Funding Agency for Research (ANR) [ANR-13-JSV1-0011-01]; Fondation du Grand defi Pierre Lavoie; Aviesan (ITMO IHP); Region Ile de France (CORDDIM); Fondation du Souffle et Fonds de Dotation Recherche en Sante Respiratoire; Fondation Lefoulon-Delalande; Fondation Legs Poix; patient association HTAPFrance; Agence Nationale de la Recherche (ANR) [ANR-13-JSV1-0011] Funding Source: Agence Nationale de la Recherche (ANR)</t>
  </si>
  <si>
    <t>Laboratoire d'Excellence (LabEx) en Recherche sur le Medicament et l'Innovation Therapeutique (LERMIT); National Funding Agency for Research (ANR)(Agence Nationale de la Recherche (ANR)); Fondation du Grand defi Pierre Lavoie; Aviesan (ITMO IHP); Region Ile de France (CORDDIM)(Region Ile-de-France); Fondation du Souffle et Fonds de Dotation Recherche en Sante Respiratoire; Fondation Lefoulon-Delalande; Fondation Legs Poix; patient association HTAPFrance; Agence Nationale de la Recherche (ANR)(Agence Nationale de la Recherche (ANR))</t>
  </si>
  <si>
    <t>This work was supported by Laboratoire d'Excellence (LabEx) en Recherche sur le Medicament et l'Innovation Therapeutique (LERMIT). F.P. receives funding from National Funding Agency for Research (ANR) (Grant ANR-13-JSV1-0011-01) and from Fondation du Grand defi Pierre Lavoie. F.A. is supported by a post-doctoral grant from Aviesan (ITMO IHP). A.H. is supported by a PhD grant from Region Ile de France (CORDDIM). F.A receives funding from the Fondation du Souffle et Fonds de Dotation Recherche en Sante Respiratoire, from the Fondation Lefoulon-Delalande and from the Fondation Legs Poix. Our research unit is also supported by the patient association HTAPFrance.</t>
  </si>
  <si>
    <t>10.1093/cvr/cvy016</t>
  </si>
  <si>
    <t>GF7XK</t>
  </si>
  <si>
    <t>WOS:000432181500020</t>
  </si>
  <si>
    <t>Nossent, EJ; Antigny, F; Montani, D; Bogaard, HJ; Ghigna, MR; Lambert, M; de Montpréville, VT; Girerd, B; Jaïs, X; Savale, L; Mercier, O; Fadel, E; Soubrier, F; Sitbon, O; Simonneau, G; Noordegraaf, AV; Humbert, M; Perros, F; Dorfmüller, P</t>
  </si>
  <si>
    <t>Nossent, Esther J.; Antigny, Fabrice; Montani, David; Bogaard, Harm Jan; Ghigna, Maria Rosa; Lambert, Melanie; de Montpreville, Vincent Thomas; Girerd, Barbara; Jais, Xavier; Savale, Laurent; Mercier, Olaf; Fadel, Elie; Soubrier, Florent; Sitbon, Olivier; Simonneau, Gerald; Noordegraaf, Anton Vonk; Humbert, Marc; Perros, Frederic; Dorfmuller, Peter</t>
  </si>
  <si>
    <t>Pulmonary vascular remodeling patterns and expression of general control nonderepressible 2 (GCN2) in pulmonary veno-occlusive disease</t>
  </si>
  <si>
    <t>pulmonary veno-occlusive disease; pulmonary arterial hypertension; eukaryotic initiation factor 2 alpha kinase 4 gene; general control nonderepressible 2; pulmonary vascular remodeling; experimental pulmonary hypertension</t>
  </si>
  <si>
    <t>ARTERIAL-HYPERTENSION; INFLAMMATION; CELLS</t>
  </si>
  <si>
    <t>BACKGROUND: Heritable pulmonary veno-occlusive disease (PVOD) is linked to mutations in the eukaryotic initiation factor 2 alpha kinase 4 (EIF2AK4) gene, leading to a loss of general control nonderepressible 2 (GCN2). The role of GCN2 expression in pulmonary vascular remodeling remains obscure. We sought to identify specific histologic and biologic features in heritable PVOD. METHODS: Clinical data and lung histology of 24 PVOD patients (12 EIF2AK4 mutation carriers, 12 non-carriers) were submitted to systematic histologic analysis and semiautomated morphometry. GCN2 expression was quantified by Western blotting in 24 PVOD patients, 44 patients with pulmonary arterial hypertension (PAH; 23 bone morphogenetic protein receptor type II [BMPR2] mutation carriers, 21 non carriers), and 3 experimental pulmonary hypertension models. RESULTS: PVOD patients showed a significant decrease of pulmonary arterial patency (p &lt; 0.0001) compared with healthy controls. Histology of EIF2AK4 mutation carriers was distinctive from non-carriers regarding (1) arterial remodeling, with significantly more severe intimal fibrosis (p = 0.001), less severe medial hypertrophy (p = 0.001), and (2) stronger muscular hyperplasia of interlobular septal veins (p = 0.002). GCN2 expression was abolished in heritable PVOD (p &lt; 0.0001), but also importantly decreased in sporadic PVOD (p = 0.03) as well as in heritable (p = 0.002) and idiopathic PAH (p = 0.003); moreover, GCN2 was abolished in 2 experimental pulmonary hypertension models and importantly decreased in 1 model (p &lt; 0.0001 for all models). CONCLUSIONS: Pulmonary arterial remodeling in PVOD is present to an important extent. A significant decrease of GCN2 expression is a common denominator of all tested groups of PVOD and PAH, including their respective experimental models. Our results underline specific morphologic and biologic similarities between PAH and PVOD and let us consider both conditions rather in one large spectrum of disease than as two distinct and clear-cut entities. (C) 2017 International Society for Heart and Lung Transplantation. All rights reserved.</t>
  </si>
  <si>
    <t>[Nossent, Esther J.; Bogaard, Harm Jan; Noordegraaf, Anton Vonk] Vrije Univ Univ, Med Ctr, Inst Cardiovasc Res, Dept Pulm Dis, Amsterdam, Netherlands; [Nossent, Esther J.; Antigny, Fabrice; Montani, David; Ghigna, Maria Rosa; Lambert, Melanie; Girerd, Barbara; Jais, Xavier; Savale, Laurent; Sitbon, Olivier; Simonneau, Gerald; Humbert, Marc; Perros, Frederic; Dorfmuller, Peter] Hop Marie Lannelongue, Inst Natl Sante &amp; Rech, Unites Mixtes Rech S 999, Pulm Hypertens Pathophysiol &amp; Novel Therapies, Paris, France; [Montani, David; Ghigna, Maria Rosa; Lambert, Melanie; Girerd, Barbara; Jais, Xavier; Savale, Laurent; Mercier, Olaf; Fadel, Elie; Sitbon, Olivier; Simonneau, Gerald; Humbert, Marc; Perros, Frederic; Dorfmuller, Peter] Paris South Univ, Fac Med, Paris, France; [Montani, David; Girerd, Barbara; Jais, Xavier; Savale, Laurent; Sitbon, Olivier; Simonneau, Gerald; Humbert, Marc] Hop Bicetre, AP HP, Natl Reference Ctr Pulm Hypertens, Dept Pulmonol, Paris, France; [Montani, David; Girerd, Barbara; Jais, Xavier; Savale, Laurent; Sitbon, Olivier; Simonneau, Gerald; Humbert, Marc] Hop Bicetre, AP HP, Intens Care Unit Resp Dis, Paris, France; [Ghigna, Maria Rosa; de Montpreville, Vincent Thomas; Dorfmuller, Peter] Hop Marie Lannelongue, Dept Pathol, Paris, France; [Mercier, Olaf; Fadel, Elie] Hop Marie Lannelongue, Dept Thorac &amp; Vasc Surg, Paris, France; [Soubrier, Florent] Univ Paris 06, Sorbonne Univ, Hop Pitie Salpetriere, AP HP,Dept Clin Genet, Paris, France; [Soubrier, Florent] Univ Paris 06, Sorbonne Univ, Inst Natl Sante &amp; Rech, Unites Mixtes Rech S 1166,Unites Mixtes Rech,ICAN, Paris, France</t>
  </si>
  <si>
    <t>Vrije Universiteit Amsterdam; VU UNIVERSITY MEDICAL CENTER; Hopital Marie Lannelongue; Institut National de la Sante et de la Recherche Medicale (Inserm); Universite Paris Saclay; Assistance Publique Hopitaux Paris (APHP); Hopital Universitaire Bicetre - APHP; Universite Paris Saclay; Assistance Publique Hopitaux Paris (APHP); Hopital Universitaire Bicetre - APHP; Universite Paris Saclay; Hopital Marie Lannelongue; Hopital Marie Lannelongue; Assistance Publique Hopitaux Paris (APHP); Hopital Universitaire Pitie-Salpetriere - APHP; Sorbonne Universite; Sorbonne Universite; Institut National de la Sante et de la Recherche Medicale (Inserm)</t>
  </si>
  <si>
    <t>Dorfmuller, P (corresponding author), Hop Marie Lannelongue, INSERM, UMR S 999, 133 Ave Resistance, F-92350 Le Plessis Robinson, France.;Dorfmuller, P (corresponding author), Hop Marie Lannelongue, Dept Pathol, 133 Ave Resistance, F-92350 Le Plessis Robinson, France.</t>
  </si>
  <si>
    <t>peter.dorfmuller@u-psud.fr</t>
  </si>
  <si>
    <t>Sitbon, Olivier/I-3623-2019; David, Montani/I-6885-2019; Simonneau, Gerald/ABE-6614-2020; Savale, Laurent/AAJ-9781-2020; Antigny, Fabrice/Q-3999-2018; Perros, Frederic/N-6921-2017; Humbert, Marc/AAC-8459-2019</t>
  </si>
  <si>
    <t>Antigny, Fabrice/0000-0002-9515-6571; JAIS, XAVIER/0000-0002-4104-7994; Ghigna, Maria Rosa/0000-0001-5996-665X; SITBON, Olivier/0000-0002-1942-1951; Perros, Frederic/0000-0001-7730-2427; Thomas de Montpreville, Vincent/0000-0001-7490-4000; Vonk Noordegraaf, Anton/0000-0002-4057-758X; Humbert, Marc/0000-0003-0703-2892; Bogaard, Harm Jan/0000-0001-5371-0346; Dorfmuller, Peter/0000-0003-2499-6829; Montani, David/0000-0002-9358-6922; Mercier, Olaf/0000-0002-4760-6267</t>
  </si>
  <si>
    <t>European Respiratory Society (ERS); Aviesan (ITMO IHP); Fondation du Souffle et Fonds de Dotation Recherche en Sante Respiratoire; Fondation Lefoulon-Delalande; Fondation Legs Poix</t>
  </si>
  <si>
    <t>E.J.N. was supported by a European Respiratory Society (ERS) PAH Long-Term Research Fellowship. F.A. is supported by a postdoctoral grant from Aviesan (ITMO IHP) and receives funding from Fondation du Souffle et Fonds de Dotation Recherche en Sante Respiratoire, Fondation Lefoulon-Delalande and Fondation Legs Poix.</t>
  </si>
  <si>
    <t>10.1016/j.healun.2017.09.022</t>
  </si>
  <si>
    <t>GF7RC</t>
  </si>
  <si>
    <t>WOS:000432164900017</t>
  </si>
  <si>
    <t>Sabourin, J; Boet, A; Rucker-Martin, C; Lambert, M; Gomez, AM; Benitah, JP; Perros, F; Humbert, M; Antigny, F</t>
  </si>
  <si>
    <t>Sabourin, Jessica; Boet, Angele; Rucker-Martin, Catherine; Lambert, Melanie; Gomez, Ana-Maria; Benitah, Jean-Pierre; Perros, Frederic; Humbert, Marc; Antigny, Fabrice</t>
  </si>
  <si>
    <t>Ca2+ handling remodeling and STIM1L/Orail/TRPC1/TRPC4 upregulation in monocrotaline-induced right ventricular hypertrophy</t>
  </si>
  <si>
    <t>JOURNAL OF MOLECULAR AND CELLULAR CARDIOLOGY</t>
  </si>
  <si>
    <t>[Ca2+](i) transients; STIM1L; Orail; TRPCs; Right ventricular hypertrophy; Pulmonary hypertension; Monocrotaline rat</t>
  </si>
  <si>
    <t>PULMONARY ARTERIAL-HYPERTENSION; OPERATED CALCIUM-ENTRY; PATHOLOGICAL CARDIAC-HYPERTROPHY; STROMAL INTERACTION MOLECULE-1; RECEPTOR POTENTIAL CHANNELS; HEART-FAILURE; MYOCARDIAL-INFARCTION; SARCOPLASMIC-RETICULUM; GENE-EXPRESSION; TRPC CHANNELS</t>
  </si>
  <si>
    <t>Background: Right ventricular (RV) function is the most important prognostic factor for pulmonary arterial hypertension (PAH) patients. The progressive increase of pulmonary vascular resistance induces RV hypertrophy (RVH) and at term RV failure (RVF). However, the molecular mechanisms of RVH and RVF remain understudied. In this study, we gained insights into cytosolic Ca2+ signaling remodeling in ventricular cardiomyocytes during the pathogenesis of severe pulmonary hypertension (PH) induced in rats by monocrotaline (MCT) exposure, and we further identified molecular candidates responsible for this Ca2+ remodeling. Methods and results: After PH induction, hypertrophied RV myocytes presented longer action potential duration, higher and faster [Ca2+], transients and increased sarcoplasmic reticulum (SR) Ca2+ content, whereas no changes in these parameters were detected in left ventricular (LV) myocytes. These modifications were associated with increased P-Ser16-phospholamban pentamer expression without altering SERCA2a (Sarco/ Endoplasmic Reticulum Ca2+-ATPase) pump abundance. Moreover, after PH induction, Ca2+ sparks frequency were higher in hypertrophied RV cells, while total RyR2 (Ryanodine Receptor) expression and phosphorylation were unaffected. Together with cellular hypertrophy, the T-tubules network was disorganized. Hypertrophied RV cardiomyocytes from MCT-exposed rats showed decreased expression of classical STIM1 (Stromal Interaction molecule) associated with increased expression of muscle-specific STIM1 Long isoform, glycosylated-Orail channel form, and TRPC1 and TRPC4 channels, which was correlated with an enhanced Ca2+-release-activated Ca2+ (CRAC)-like current. Pharmacological inhibition of TRPCs/Orail channels in hypertrophied RV cardiomyocytes normalized [Ca2+], transients amplitude, the SR Ca2+ content and cell contractility to control levels. Finally, we showed that most of these changes did not appear in LV cardiomyocytes. Conclusions: These new findings demonstrate RV-specific cellular Ca2+ cycling remodeling in PH rats with maladaptive RVH and that the STIM1L/Orail/TRPC1/C4-dependent Ca2+ current participates in this Ca2+ remodeling in RVH secondary to PH.</t>
  </si>
  <si>
    <t>[Sabourin, Jessica; Gomez, Ana-Maria; Benitah, Jean-Pierre] Univ Paris Saclay, Univ Paris Sud, Signalisat &amp; Physiopathol Cardiovasc, INSERM,UMR S 1180, F-92296 Chatenay Malabry, France; [Boet, Angele; Rucker-Martin, Catherine; Lambert, Melanie; Perros, Frederic; Humbert, Marc; Antigny, Fabrice] Univ Paris Saclay, Univ Paris Sud, Fac Med, Le Kremlin Bicetre, France; [Boet, Angele; Rucker-Martin, Catherine; Lambert, Melanie; Perros, Frederic; Humbert, Marc; Antigny, Fabrice] Hop Bicetre, AP HP, Serv Pneumol, Le Kremlin Bicetre, France; [Boet, Angele; Rucker-Martin, Catherine; Lambert, Melanie; Perros, Frederic; Humbert, Marc; Antigny, Fabrice] Hop Marie Lannelongue, Inserm UMR S 999, 133 Ave Resistance, F-92350 Le Plessis Robinson, France</t>
  </si>
  <si>
    <t>Institut National de la Sante et de la Recherche Medicale (Inserm); Universite Paris Saclay; Universite Paris Saclay; Assistance Publique Hopitaux Paris (APHP); Hopital Universitaire Antoine-Beclere - APHP; Universite Paris Saclay; Hopital Universitaire Bicetre - APHP; Universite Paris Saclay; Hopital Marie Lannelongue; Institut National de la Sante et de la Recherche Medicale (Inserm)</t>
  </si>
  <si>
    <t>Antigny, F (corresponding author), Hop Marie Lannelongue, Inserm UMR S 999, 133 Ave Resistance, F-92350 Le Plessis Robinson, France.</t>
  </si>
  <si>
    <t>Antigny, Fabrice/Q-3999-2018; Perros, Frederic/N-6921-2017; benitah, jean-pierre/L-6060-2018; Gomez, Ana Maria/B-5376-2013; Humbert, Marc/AAC-8459-2019</t>
  </si>
  <si>
    <t>Antigny, Fabrice/0000-0002-9515-6571; Perros, Frederic/0000-0001-7730-2427; benitah, jean-pierre/0000-0002-9866-9081; Gomez, Ana Maria/0000-0003-0009-2884; Boet, Angele/0000-0003-1510-3347; Rucker-Martin, Catherine/0000-0002-1593-7432; Sabourin, Jessica/0000-0002-2980-8455; Humbert, Marc/0000-0003-0703-2892</t>
  </si>
  <si>
    <t>INSERM, National Funding Agency for Research (ANR) [ANR-13-JSV1-0011-01, ANR-13-BSV1-0023, ANR-15-CE14-0005]; Laboratoire d'Excellence (LabEx) en Recherche sur le Medicament et l'Innovation Therapeutique (LERMIT); Legs Poix (Chancellerie des Universites de Paris); French patient association HTAP France; Aviesan; Lefoulon Delalande Institute; Agence Nationale de la Recherche (ANR) [ANR-15-CE14-0005] Funding Source: Agence Nationale de la Recherche (ANR)</t>
  </si>
  <si>
    <t>INSERM, National Funding Agency for Research (ANR); Laboratoire d'Excellence (LabEx) en Recherche sur le Medicament et l'Innovation Therapeutique (LERMIT); Legs Poix (Chancellerie des Universites de Paris); French patient association HTAP France; Aviesan; Lefoulon Delalande Institute; Agence Nationale de la Recherche (ANR)</t>
  </si>
  <si>
    <t>This work was supported by research grants from INSERM, National Funding Agency for Research (ANR) (Grant ANR-13-JSV1-0011-01, ANR-13-BSV1-0023 and ANR-15-CE14-0005), Laboratoire d'Excellence (LabEx) en Recherche sur le Medicament et l'Innovation Therapeutique (LERMIT), Legs Poix (Chancellerie des Universites de Paris) and by the French patient association HTAP France. We thank Katell Bon-Mardion for her excellent technical assistance. We thank the AnimEX platform from the University of Paris-Sud for animal care. F.A. is supported by a grant from Aviesan and by Lefoulon Delalande Institute.</t>
  </si>
  <si>
    <t>0022-2828</t>
  </si>
  <si>
    <t>1095-8584</t>
  </si>
  <si>
    <t>J MOL CELL CARDIOL</t>
  </si>
  <si>
    <t>J. Mol. Cell. Cardiol.</t>
  </si>
  <si>
    <t>10.1016/j.yjmcc.2018.04.003</t>
  </si>
  <si>
    <t>Cardiac &amp; Cardiovascular Systems; Cell Biology</t>
  </si>
  <si>
    <t>Cardiovascular System &amp; Cardiology; Cell Biology</t>
  </si>
  <si>
    <t>GG2DJ</t>
  </si>
  <si>
    <t>WOS:000432499700017</t>
  </si>
  <si>
    <t>Tamura, Y; Phan, C; Tu, L; Le Hiress, M; Thuillet, R; Jutant, EM; Fadel, E; Savale, L; Huertas, A; Humbert, M; Guignabert, C</t>
  </si>
  <si>
    <t>Tamura, Yuichi; Phan, Carole; Tu, Ly; Le Hiress, Morane; Thuillet, Raphael; Jutant, Etienne-Marie; Fadel, Elie; Savale, Laurent; Huertas, Alice; Humbert, Marc; Guignabert, Christophe</t>
  </si>
  <si>
    <t>Ectopic upregulation of membrane-bound IL6R drives vascular remodeling in pulmonary arterial hypertension</t>
  </si>
  <si>
    <t>JOURNAL OF CLINICAL INVESTIGATION</t>
  </si>
  <si>
    <t>FIBROBLAST GROWTH FACTOR-2; SMOOTH-MUSCLE-CELLS; INTERLEUKIN-6 RECEPTOR; IL-6 RECEPTOR; BMPR-II; MICE; CYTOKINE; BETA; OVEREXPRESSION; CONTRIBUTES</t>
  </si>
  <si>
    <t>Pulmonary arterial hypertension (PAH) is characterized by a progressive accumulation of pulmonary artery smooth muscle cells (PA-SMCs) in pulmonary arterioles leading to the narrowing of the lumen, right heart failure, and death. Although most studies have supported the notion of a role for IL-6/glycoprotein 130 (gp130) signaling in PAH, it remains unclear how this signaling pathway determines the progression of the disease. Here, we identify ectopic upregulation of membrane-bound IL-6 receptor (IL6R) on PA-SMCs in PAH patients and in rodent models of pulmonary hypertension (PH) and demonstrate its key role for PA-SMC accumulation in vitro and in vivo. Using Sm22a-Cre Il6r(fl/fl), which lack Il6r in SM22A-expressing cells, we found that these animals are protected against chronic hypoxia-induced PH with reduced PA-SMC accumulation, revealing the potent pro-survival potential of membrane-bound IL6R. Moreover, we determine that treatment with IL6R-specific antagonist reverses experimental PH in two rat models. This therapeutic strategy holds promise for future clinical studies in PAH.</t>
  </si>
  <si>
    <t>Hop Marie Lannelongue, INSERM, UMR S 999, Le Plessis Robinson, France; Univ Paris Saclay, Univ Paris Sud, Fac Med, Le Kremlin Bicetre, France; Hop Bicetre, AP HP, DHU Thorax Innovat, Serv Pneumol,Ctr Reference Hypertens Pulm, Le Kremlin Bicetre, France</t>
  </si>
  <si>
    <t>Institut National de la Sante et de la Recherche Medicale (Inserm); Hopital Marie Lannelongue; Universite Paris Saclay; Universite Paris Saclay; Universite Paris Saclay; Assistance Publique Hopitaux Paris (APHP); Hopital Universitaire Antoine-Beclere - APHP; Hopital Universitaire Bicetre - APHP</t>
  </si>
  <si>
    <t>Guignabert, C (corresponding author), INSERM, UMR S 999, 133 Ave Resistance, F-92350 Le Plessis Robinson, France.</t>
  </si>
  <si>
    <t>Savale, Laurent/AAJ-9781-2020; Tamura, Yuichi/B-5991-2014; Humbert, Marc/AAC-8459-2019; TU, Ly/G-4035-2013; Huertas, Alice/E-8244-2017; GUIGNABERT, Christophe/G-3873-2013</t>
  </si>
  <si>
    <t>Phan, Carole/0000-0002-7834-508X; Humbert, Marc/0000-0003-0703-2892; Tamura, Yuichi/0000-0002-4437-8019; Thuillet, Raphael/0000-0002-1379-3797; TU, Ly/0000-0003-2336-5099; Jutant, Etienne-Marie/0000-0002-1374-1890; Huertas, Alice/0000-0001-8545-747X; GUIGNABERT, Christophe/0000-0002-8545-4452</t>
  </si>
  <si>
    <t>INSERM, University Paris-Sud; University Paris-Saclay, Marie Lannelongue Hospital, Chancellerie des Universites de Paris (Legs Poix), French National Agency for Research (ANR) grant [ANR-16-CE17-0014]; Fondation de la Recherche Medicale (FRM) [DEQ20150331712]; National Agency for Drug Safety (ANSM) grant VIGIAPATH; Departement Hospitalo-Universitaire (DHU) Thorax Innovation (TORINO); AP-HP; Service de Pneumologie, Centre de Reference de l'Hypertension Pulmonaire Severe; LabEx LERMIT grant [ANR-10-LABX-0033]; French PAH patient association (HTAP France); French Fonds de Dotation Recherche en Sante Respiratoire-Fondation du Souffle (FRSR-FdS); European Respiratory Society/European Union [RESPIRE2-2013-4919]; FRSR-FdS</t>
  </si>
  <si>
    <t>INSERM, University Paris-Sud; University Paris-Saclay, Marie Lannelongue Hospital, Chancellerie des Universites de Paris (Legs Poix), French National Agency for Research (ANR) grant(Agence Nationale de la Recherche (ANR)); Fondation de la Recherche Medicale (FRM)(Fondation pour la Recherche Medicale); National Agency for Drug Safety (ANSM) grant VIGIAPATH; Departement Hospitalo-Universitaire (DHU) Thorax Innovation (TORINO); AP-HP; Service de Pneumologie, Centre de Reference de l'Hypertension Pulmonaire Severe; LabEx LERMIT grant; French PAH patient association (HTAP France); French Fonds de Dotation Recherche en Sante Respiratoire-Fondation du Souffle (FRSR-FdS); European Respiratory Society/European Union; FRSR-FdS</t>
  </si>
  <si>
    <t>The authors thank Amelie Cumont and Jennifer Bordenave for their technical assistance. This research was supported by grants from INSERM, University Paris-Sud and the University Paris-Saclay, Marie Lannelongue Hospital, Chancellerie des Universites de Paris (Legs Poix), French National Agency for Research (ANR) grant ANR-16-CE17-0014 (TAMIRAH), Fondation de la Recherche Medicale (FRM) grant DEQ20150331712 (Equipe FRM 2015), and National Agency for Drug Safety (ANSM) grant VIGIAPATH, and in part by Departement Hospitalo-Universitaire (DHU) Thorax Innovation (TORINO); AP-HP; Service de Pneumologie, Centre de Reference de l'Hypertension Pulmonaire Severe; LabEx LERMIT (grant ANR-10-LABX-0033); the French PAH patient association (HTAP France); and the French Fonds de Dotation Recherche en Sante Respiratoire-Fondation du Souffle (FRSR-FdS). YT (RESPIRE2-2013-4919) is the recipient of a European Respiratory Society/European Union RESPIRE2 Marie Curie research fellowship. CP is supported by the FRSR-FdS.</t>
  </si>
  <si>
    <t>0021-9738</t>
  </si>
  <si>
    <t>1558-8238</t>
  </si>
  <si>
    <t>J CLIN INVEST</t>
  </si>
  <si>
    <t>J. Clin. Invest.</t>
  </si>
  <si>
    <t>10.1172/JCI96462</t>
  </si>
  <si>
    <t>GF4UK</t>
  </si>
  <si>
    <t>WOS:000431959100024</t>
  </si>
  <si>
    <t>Zurlo, G; Piquereau, J; Moulin, M; Da Silva, JP; Gressette, M; Ranchoux, B; Garnier, A; Ventura-Clapier, R; Fadel, E; Humbert, M; Lemaire, C; Perros, F; Veksler, V</t>
  </si>
  <si>
    <t>Zurlo, Giada; Piquereau, Jerome; Moulin, Maryline; Da Silva, Julie Pires; Gressette, Melanie; Ranchoux, Benoit; Garnier, Anne; Ventura-Clapier, Renee; Fadel, Elie; Humbert, Marc; Lemaire, Christophe; Perros, Frederic; Veksler, Vladimir</t>
  </si>
  <si>
    <t>Sirtuin 1 regulates pulmonary artery smooth muscle cell proliferation: role in pulmonary arterial hypertension</t>
  </si>
  <si>
    <t>JOURNAL OF HYPERTENSION</t>
  </si>
  <si>
    <t>mitochondrial biogenesis; oxidative metabolism; proliferation; protein acetylation; pulmonary artery smooth muscle cells; sirtuin 1</t>
  </si>
  <si>
    <t>CALORIE RESTRICTION; THERAPEUTIC TARGET; RATS; MONOCROTALINE; TRANSCRIPTION; PREVENTS; PATHWAY; DICHLOROACETATE; DEFICIENCY; METABOLISM</t>
  </si>
  <si>
    <t>Objective:Energy metabolism shift from oxidative phosphorylation toward glycolysis in pulmonary artery smooth muscle cells (PASMCs) is suggested to be involved in their hyperproliferation in pulmonary arterial hypertension (PAH). Here, we studied the role of the deacetylase sirtuin1 (SIRT1) in energy metabolism regulation in PASMCs via various pathways including activation of peroxisome proliferator-activated receptor gamma coactivator 1-alpha (PGC-1), master regulator of mitochondrial biogenesis.Approach and results:Contents of PGC-1 and its downstream targets as well as markers of mitochondrial mass (voltage-dependent anion channel and citrate synthase) were diminished in human PAH PASMCs. These cells and platelet-derived growth factor-stimulated rat PASMCs demonstrated a shift in cellular acetylated/deacetylated state, as evidenced by the increase of the acetylated forms of SIRT1 targets: histone H1 and Forkhead box protein O1. Rat and human PASMC proliferation was potentiated by SIRT1 pharmacological inhibition or specific downregulation via short-interfering RNA. Moreover, after chronic hypoxia exposure, SIRT1 inducible knock out mice displayed a more intense vascular remodeling compared with their control littermates, which was associated with an increase in right ventricle pressure and hypertrophy. SIRT1 activator Stac-3 decreased the acetylation of histone H1 and Forkhead box protein O1 and strongly inhibited rat and human PASMC proliferation without affecting cell mortality. This effect was associated with the activation of mitochondrial biogenesis evidenced by higher expression of mitochondrial markers and downstream targets of PGC-1.Conclusion:Altered acetylation/deacetylation balance as the result of SIRT1 inactivation is involved in the pathogenesis of PAH, and this enzyme could be a promising therapeutic target for PAH treatment.</t>
  </si>
  <si>
    <t>[Zurlo, Giada; Piquereau, Jerome; Moulin, Maryline; Da Silva, Julie Pires; Gressette, Melanie; Garnier, Anne; Ventura-Clapier, Renee; Lemaire, Christophe; Veksler, Vladimir] Univ Paris Sud, Univ Paris Saclay, Fac Pharm, INSERM UMR S 1180, Chatenay Malabry, France; [Ranchoux, Benoit; Fadel, Elie; Humbert, Marc; Perros, Frederic] Univ Paris Sud, Univ Paris Saclay, INSERM UMR S 999, Hop Marie Lannelongue, Le Plessis Robinson, France; [Fadel, Elie] Hop Marie Lannelongue, Serv Chirurg Thorac, Paris, France; [Humbert, Marc] Univ Paris Sud, Univ Paris Saclay, Serv Pneumol &amp; Reanimat Resp, INSERM UMR S 999,Hop Bicetre, Le Kremlin Bicetre, France; [Lemaire, Christophe] Univ Paris Saclay, Univ Versailles St Quentin En Yvelines, Versailles, France</t>
  </si>
  <si>
    <t>Institut National de la Sante et de la Recherche Medicale (Inserm); Universite Paris Saclay; Hopital Marie Lannelongue; Universite Paris Saclay; Institut National de la Sante et de la Recherche Medicale (Inserm); Hopital Marie Lannelongue; Assistance Publique Hopitaux Paris (APHP); Hopital Universitaire Antoine-Beclere - APHP; Universite Paris Saclay; Institut National de la Sante et de la Recherche Medicale (Inserm); Hopital Universitaire Bicetre - APHP; Universite Paris Saclay</t>
  </si>
  <si>
    <t>Veksler, V (corresponding author), Univ Paris Sud, Univ Paris Saclay, INSERM UMR S1180, 5 Rue JB Clement, F-92296 Paris, France.</t>
  </si>
  <si>
    <t>Vladimir.veksler@u-psud.fr</t>
  </si>
  <si>
    <t>PIRES DA SILVA, Julie/ADU-7300-2022; Ranchoux, Benoît/AAX-6037-2020; Perros, Frederic/N-6921-2017; Humbert, Marc/AAC-8459-2019</t>
  </si>
  <si>
    <t>Garnier, Anne/0000-0002-6241-4554; PIRES DA SILVA, Julie/0000-0002-7718-7892; Perros, Frederic/0000-0001-7730-2427; Moulin, Maryline/0000-0002-1851-8727; Ventura-Clapier, Renee/0000-0002-7488-4123; Veksler, Vladimir/0000-0002-8869-9594; Piquereau, Jerome/0000-0002-6019-8683; Humbert, Marc/0000-0003-0703-2892; Lemaire, Christophe/0000-0001-6316-8781; GRESSETTE, Melanie/0000-0003-4942-2530</t>
  </si>
  <si>
    <t>INSERM (Institut national de la sante et de la recherche medicale, France); Laboratory of Excellence LERMIT; FRM (Fondation pour la Recherche Medicale) [DPM20121125546]; Region Ile de France CODDIM [cod110153]</t>
  </si>
  <si>
    <t>INSERM (Institut national de la sante et de la recherche medicale, France)(Institut National de la Sante et de la Recherche Medicale (Inserm)); Laboratory of Excellence LERMIT; FRM (Fondation pour la Recherche Medicale)(Fondation pour la Recherche Medicale); Region Ile de France CODDIM(Region Ile-de-France)</t>
  </si>
  <si>
    <t>The current work was supported by INSERM (Institut national de la sante et de la recherche medicale, France) as well as by grants from Laboratory of Excellence LERMIT, FRM (Fondation pour la Recherche Medicale) to AG (#DPM20121125546) and Region Ile de France CODDIM to RVC (#cod110153).</t>
  </si>
  <si>
    <t>0263-6352</t>
  </si>
  <si>
    <t>1473-5598</t>
  </si>
  <si>
    <t>J HYPERTENS</t>
  </si>
  <si>
    <t>J. Hypertens.</t>
  </si>
  <si>
    <t>10.1097/HJH.0000000000001676</t>
  </si>
  <si>
    <t>GC0BP</t>
  </si>
  <si>
    <t>WOS:000429441700026</t>
  </si>
  <si>
    <t>Gräf, S; Haimel, M; Bleda, M; Hadinnapola, C; Southgate, L; Li, W; Hodgson, J; Liu, B; Salmon, RM; Southwood, M; Machado, RD; Martin, JM; Treacy, CM; Yates, K; Daugherty, LC; Shamardina, O; Whitehorn, D; Holden, S; Aldred, M; Bogaard, HJ; Church, C; Coghlan, G; Condliffe, R; Corris, PA; Danesino, C; Eyries, M; Gall, H; Ghio, S; Ghofrani, HA; Gibbs, JSR; Girerd, B; Houweling, AC; Howard, L; Humbert, M; Kiely, DG; Kovacs, G; Ross, RVM; Moledina, S; Montani, D; Newnham, M; Olschewski, A; Olschewski, H; Peacock, AJ; Pepke-Zaba, J; Prokopenko, I; Rhodes, CJ; Scelsi, L; Seeger, W; Soubrier, F; Stein, DF; Suntharalingam, J; Swietlik, EM; Toshner, MR; van Heel, DA; Noordegraaf, AV; Waisfisz, Q; Wharton, J; Wort, SJ; Ouwehand, WH; Soranzo, N; Lawrie, A; Upton, PD; Wilkins, MR; Trembath, RC; Morrell, NW</t>
  </si>
  <si>
    <t>Graf, Stefan; Haimel, Matthias; Bleda, Marta; Hadinnapola, Charaka; Southgate, Laura; Li, Wei; Hodgson, Joshua; Liu, Bin; Salmon, Richard M.; Southwood, Mark; Machado, Rajiv D.; Martin, Jennifer M.; Treacy, Carmen M.; Yates, Katherine; Daugherty, Louise C.; Shamardina, Olga; Whitehorn, Deborah; Holden, Simon; Aldred, Micheala; Bogaard, Harm J.; Church, Colin; Coghlan, Gerry; Condliffe, Robin; Corris, Paul A.; Danesino, Cesare; Eyries, Melanie; Gall, Henning; Ghio, Stefano; Ghofrani, Hossein-Ardeschir; Gibbs, J. Simon R.; Girerd, Barbara; Houweling, Arjan C.; Howard, Luke; Humbert, Marc; Kiely, David G.; Kovacs, Gabor; Ross, Robert V. MacKenzie; Moledina, Shahin; Montani, David; Newnham, Michael; Olschewski, Andrea; Olschewski, Horst; Peacock, Andrew J.; Pepke-Zaba, Joanna; Prokopenko, Inga; Rhodes, Christopher J.; Scelsi, Laura; Seeger, Werner; Soubrier, Florent; Stein, Dan F.; Suntharalingam, Jay; Swietlik, Emilia M.; Toshner, Mark R.; van Heel, David A.; Noordegraaf, Anton Vonk; Waisfisz, Quinten; Wharton, John; Wort, Stephen J.; Ouwehand, Willem H.; Soranzo, Nicole; Lawrie, Allan; Upton, Paul D.; Wilkins, Martin R.; Trembath, Richard C.; Morrell, Nicholas W.</t>
  </si>
  <si>
    <t>Identification of rare sequence variation underlying heritable pulmonary arterial hypertension</t>
  </si>
  <si>
    <t>NONSENSE MUTATION; CRYSTAL-STRUCTURE; BETA-RECEPTOR; SOX17; BMP9; GENE; ANGIOGENESIS; ASSOCIATION; CAVEOLIN-1; EXPRESSION</t>
  </si>
  <si>
    <t>Pulmonary arterial hypertension (PAH) is a rare disorder with a poor prognosis. Deleterious variation within components of the transforming growth factor-beta pathway, particularly the bone morphogenetic protein type 2 receptor (BMPR2), underlies most heritable forms of PAH. To identify the missing heritability we perform whole-genome sequencing in 1038 PAH index cases and 6385 PAH-negative control subjects. Case-control analyses reveal significant overrepresentation of rare variants in ATP13A3, AQP1 and SOX17, and provide independent validation of a critical role for GDF2 in PAH. We demonstrate familial segregation of mutations in SOX17 and AQP1 with PAH. Mutations in GDF2, encoding a BMPR2 ligand, lead to reduced secretion from transfected cells. In addition, we identify pathogenic mutations in the majority of previously reported PAH genes, and provide evidence for further putative genes. Taken together these findings contribute new insights into the molecular basis of PAH and indicate unexplored pathways for therapeutic intervention.</t>
  </si>
  <si>
    <t>[Graf, Stefan; Haimel, Matthias; Bleda, Marta; Hadinnapola, Charaka; Li, Wei; Hodgson, Joshua; Liu, Bin; Salmon, Richard M.; Martin, Jennifer M.; Yates, Katherine; Newnham, Michael; Stein, Dan F.; Swietlik, Emilia M.; Toshner, Mark R.; Upton, Paul D.; Morrell, Nicholas W.] Univ Cambridge, Dept Med, Cambridge CB2 0QQ, England; [Graf, Stefan; Haimel, Matthias; Martin, Jennifer M.; Yates, Katherine; Daugherty, Louise C.; Shamardina, Olga; Whitehorn, Deborah; Ouwehand, Willem H.] Univ Cambridge, Dept Haematol, Cambridge CB2 0PT, England; [Graf, Stefan; Haimel, Matthias; Martin, Jennifer M.; Yates, Katherine; Daugherty, Louise C.; Shamardina, Olga; Whitehorn, Deborah; Ouwehand, Willem H.; Morrell, Nicholas W.] NIHR BioResource Rare Dis, Cambridge CB2 0PT, England; [Southgate, Laura] St Georges Univ London, Mol &amp; Clin Sci Res Inst, London SW17 0RE, England; [Southgate, Laura; Trembath, Richard C.] Kings Coll London, Div Genet &amp; Mol Med, London WC2R 2LS, England; [Southwood, Mark; Treacy, Carmen M.; Pepke-Zaba, Joanna] Royal Papworth Hosp, Cambridge CB23 3RE, England; [Machado, Rajiv D.] St Georges Univ London, Inst Med &amp; Biomed Educ, London SW17 0RE, England; [Holden, Simon] Addenbrookes Hosp, Cambridge CB2 0QQ, England; [Aldred, Micheala] Cleveland Clin, Cleveland, OH 44195 USA; [Bogaard, Harm J.; Houweling, Arjan C.; Noordegraaf, Anton Vonk; Waisfisz, Quinten] Vrije Univ Amsterdam Med Ctr, NL-1007 MB Amsterdam, Netherlands; [Church, Colin; Peacock, Andrew J.] Golden Jubilee Natl Hosp, Glasgow G81 4DY, Lanark, Scotland; [Coghlan, Gerry] Royal Free Hosp, London NW3 2QG, England; [Condliffe, Robin] Royal Hallamshire Hosp, Sheffield Pulm Vasc Dis Unit, Sheffield S10 2JF, S Yorkshire, England; [Corris, Paul A.] Univ Newcastle, Newcastle NE1 7RU, England; [Danesino, Cesare] Univ Pavia, Dept Mol Med, I-27100 Pavia, Italy; [Danesino, Cesare; Ghio, Stefano] Fdn IRCCS Policlin San Matteo, I-27100 Pavia, Italy; [Eyries, Melanie; Soubrier, Florent] UPMC Sorbonne Univ, INSERM, Hop Pitie Salpetriere, AP HP,Dept Genet, F-75252 Paris, France; [Eyries, Melanie; Soubrier, Florent] UPMC Sorbonne Univ, INSERM, UMR S ICAN 1166, F-75252 Paris, France; [Gall, Henning; Ghofrani, Hossein-Ardeschir; Seeger, Werner] Univ Giessen &amp; Marburg Lung Ctr, German Ctr Lung Res DZL, D-35392 Giessen, Germany; [Gall, Henning; Seeger, Werner] Excellence Cluster Cardiopulm Syst ECCCPS, D-35392 Giessen, Germany; [Ghofrani, Hossein-Ardeschir; Prokopenko, Inga; Rhodes, Christopher J.; Wharton, John; Wort, Stephen J.; Wilkins, Martin R.] Imperial Coll London, London SW7 2AZ, England; [Gibbs, J. Simon R.] Imperial Coll London, Natl Heart &amp; Lung Inst, London SW3 6LY, England; [Girerd, Barbara; Humbert, Marc] Univ Paris Saclay, Fac Med, Univ Paris Sud, F-94270 Paris, France; [Girerd, Barbara; Humbert, Marc] AP HP, Serv Pneumol, Ctr Reference Hypertens Pulm, F-94270 Paris, France; [Girerd, Barbara; Humbert, Marc] Hop Bicetre, INSERM, UMR S 999, F-94270 Paris, France; [Kovacs, Gabor; Olschewski, Andrea; Olschewski, Horst] Ludwig Boltzmann Inst Lung Vasc Res, A-8010 Graz, Austria; [Kovacs, Gabor; Olschewski, Horst] Med Univ Graz, A-8036 Graz, Austria; [Ross, Robert V. MacKenzie; Suntharalingam, Jay] Royal United Hosp Bath NHS Fdn Trust, Bath BA1 3NG, Avon, England; [Moledina, Shahin] Great Ormond St Hosp Sick Children, London WC1N 3JH, England; [van Heel, David A.] Queen Mary Univ London, Blizard Inst, London E1 2AT, England; [Wort, Stephen J.] Royal Brompton Hosp, London SW3 6NP, England; [Soranzo, Nicole] Wellcome Trust Sanger Inst, Hinxton CB10 1SA, England; [Lawrie, Allan] Univ Sheffield, Dept Infect Immun &amp; Cardiovasc Dis, Sheffield S10 2RX, S Yorkshire, England</t>
  </si>
  <si>
    <t>University of Cambridge; University of Cambridge; City St Georges, University of London; St Georges University London; University of London; King's College London; Papworth Hospital; City St Georges, University of London; St Georges University London; University of Cambridge; Cambridge University Hospitals NHS Foundation Trust; Addenbrooke's Hospital; Cleveland Clinic Foundation; Vrije Universiteit Amsterdam; VU UNIVERSITY MEDICAL CENTER; Golden Jubilee Hospital; University of London; University College London; UCL Medical School; Royal Free London NHS Foundation Trust; University of Sheffield; Newcastle University - UK; University of Pavia; IRCCS Fondazione San Matteo; Sorbonne Universite; Institut National de la Sante et de la Recherche Medicale (Inserm); Assistance Publique Hopitaux Paris (APHP); Hopital Universitaire Pitie-Salpetriere - APHP; Institut National de la Sante et de la Recherche Medicale (Inserm); Sorbonne Universite; Imperial College London; Imperial College London; Universite Paris Saclay; Assistance Publique Hopitaux Paris (APHP); Institut National de la Sante et de la Recherche Medicale (Inserm); Universite Paris Saclay; Assistance Publique Hopitaux Paris (APHP); Hopital Universitaire Bicetre - APHP; Ludwig Boltzmann Institute; Ludwig Boltzmann Institute for Lung Vascular Research; Medical University of Graz; University of London; University College London; Great Ormond Street Hospital for Children NHS Foundation Trust; University of London; Queen Mary University London; Royal Brompton Hospital; Wellcome Trust Sanger Institute; University of Sheffield</t>
  </si>
  <si>
    <t>Gräf, S; Morrell, NW (corresponding author), Univ Cambridge, Dept Med, Cambridge CB2 0QQ, England.;Gräf, S (corresponding author), Univ Cambridge, Dept Haematol, Cambridge CB2 0PT, England.;Gräf, S; Morrell, NW (corresponding author), NIHR BioResource Rare Dis, Cambridge CB2 0PT, England.</t>
  </si>
  <si>
    <t>sg550@cam.ac.uk; nwm23@cam.ac.uk</t>
  </si>
  <si>
    <t>Ghofrani, Ardeschir/AAD-5293-2020; Soranzo, Nicole/ADV-2707-2022; Machado, Rajiv David/AAD-7813-2019; Cardoso, Paulo/C-5768-2012; Pepke-Zaba, Joanna/AGW-3073-2022; David, Montani/I-6885-2019; Lawrie, Allan/A-2708-2012; Wilkins, Martin/ABH-1140-2021; newnham, michael/JCE-7072-2023; Prokopenko, Inga/AAU-9895-2020; Howard, Luke/HJP-3415-2023; Hadinnapola, Charaka/AAW-1229-2020; Olschewski, Horst/L-3547-2019; EYRIES, melanie/ABF-1034-2020; moledina, shahin/A-6466-2009; Scelsi, Laura/AAB-9729-2019; Prokopenko, Inga/H-3241-2014; Gale, Daniel/D-5594-2013; Ghio, Stefano/ABH-1151-2021; Bleda, Marta/A-9333-2014; Humbert, Marc/AAC-8459-2019; Southgate, Laura/H-7924-2019</t>
  </si>
  <si>
    <t>Graf, Stefan/0000-0002-1315-8873; Newnham, Michael/0000-0002-2972-6249; Scelsi, Laura/0000-0001-9409-691X; Toshner, Mark/0000-0002-3969-6143; Hodgson, Joshua/0009-0009-5966-2627; Seeger, Werner/0000-0003-1946-0894; Waisfisz, Quinten/0000-0002-7384-9182; Prokopenko, Inga/0000-0003-1624-7457; Hadinnapola, Charaka/0000-0002-7794-3432; Vonk Noordegraaf, Anton/0000-0002-4057-758X; Kovacs, Gabor/0000-0003-3709-2183; Machado, Rajiv David/0000-0001-9247-0744; Haimel, Matthias/0000-0002-0320-0214; Morrell, Nicholas/0000-0001-5700-9792; Gale, Daniel/0000-0002-9170-1579; Wharton, John/0000-0001-8110-2575; Ghio, Stefano/0000-0002-1858-1152; Ghofrani, Ardeschir/0000-0002-2029-4419; Stein, Dan/0000-0001-7904-832X; Bogaard, Harm Jan/0000-0001-5371-0346; Condliffe, Robin/0000-0002-3492-4143; Montani, David/0000-0002-9358-6922; moledina, shahin/0000-0003-0262-2340; Bleda, Marta/0000-0002-1287-6013; Rhodes, Christopher/0000-0002-4962-3204; Church, Alistair/0000-0002-4446-0100; Humbert, Marc/0000-0003-0703-2892; Southgate, Laura/0000-0002-2090-1450; Salmon, Richard/0000-0001-6327-5341; Olschewski, Andrea/0000-0002-8189-3634; van Heel, David/0000-0002-0637-2265; southwood, mark/0000-0002-3493-9599; Lawrie, Allan/0000-0003-4192-9505; Soranzo, Nicole/0000-0003-1095-3852; Olschewski, Horst/0000-0002-2834-7466; Daugherty, Louise/0000-0003-4546-6667; Wilkins, Martin/0000-0003-3926-1171</t>
  </si>
  <si>
    <t>NIHR; British Heart Foundation (BHF) [SP/12/12/29836]; BHF Cambridge Centre of Cardiovascular Research Excellence; UK Medical Research Council [MR/K020919/1]; Dinosaur Trust, BHF Programme grants [RG/08/006/25302, RG/13/4/30107]; UK NIHR Cambridge Biomedical Research Centre; Bart's Charity award [MGU0205]; Wellcome Trust Institutional Strategic Support Fund [204809/Z/16/Z]; BHF Intermediate Basic Science Research Fellowship [FS/15/59/31839]; BHF Senior Basic Science Research Fellowship [FS/13/48/30453]; Imperial NIHR Clinical Research Facility; Netherlands CardioVascular Research Initiative; Dutch Heart Foundation; Dutch Federation of University Medical Centres; Netherlands Organisation for Health Research and Development; Royal Netherlands Academy of Sciences; Pulmonary Hypertension Association (UK); MRC [MR/K020919/1] Funding Source: UKRI</t>
  </si>
  <si>
    <t>NIHR(National Institutes of Health Research (NIHR)); British Heart Foundation (BHF)(British Heart Foundation); BHF Cambridge Centre of Cardiovascular Research Excellence; UK Medical Research Council(UK Research &amp; Innovation (UKRI)Medical Research Council UK (MRC)); Dinosaur Trust, BHF Programme grants; UK NIHR Cambridge Biomedical Research Centre(National Institutes of Health Research (NIHR)); Bart's Charity award; Wellcome Trust Institutional Strategic Support Fund(Wellcome Trust); BHF Intermediate Basic Science Research Fellowship; BHF Senior Basic Science Research Fellowship; Imperial NIHR Clinical Research Facility; Netherlands CardioVascular Research Initiative; Dutch Heart Foundation(Netherlands Heart Foundation); Dutch Federation of University Medical Centres; Netherlands Organisation for Health Research and Development(Netherlands Organization for Health Research and Development); Royal Netherlands Academy of Sciences; Pulmonary Hypertension Association (UK); MRC(UK Research &amp; Innovation (UKRI)Medical Research Council UK (MRC))</t>
  </si>
  <si>
    <t>The UK National Institute for Health Research BioResource-Rare Diseases (NIHR BR-RD) and the BHF/MRC UK National Cohort of Idiopathic and Heritable PAH made this study possible. We gratefully acknowledge the participation of patients recruited to the NIHR BR-RD. We thank the NIHR BR-RD staff and co-ordination teams at the University of Cambridge, and the research nurses and coordinators at the specialist pulmonary hypertension centres involved in this study. The UK National Cohort of Idiopathic and Heritable PAH is supported by the NIHR, the British Heart Foundation (BHF) (SP/12/12/29836), the BHF Cambridge Centre of Cardiovascular Research Excellence, the UK Medical Research Council (MR/K020919/1), the Dinosaur Trust, BHF Programme grants to R.C.T. (RG/08/006/25302) and N.W.M. (RG/13/4/30107), and the UK NIHR Cambridge Biomedical Research Centre. Funding for whole-exome sequencing was provided through a Bart's Charity award (MGU0205) to R.C.T. and D.v.H. N.W.M. is a BHF Professor and NIHR Senior Investigator. CH is a NIHR Rare Disease Translational Research Collaboration Clinical PhD Fellow. L.S. is supported by the Wellcome Trust Institutional Strategic Support Fund (204809/Z/16/Z) awarded to St. George's, University of London. C.J.R. is supported by a BHF Intermediate Basic Science Research Fellowship (FS/15/59/31839). A.L. is supported by a BHF Senior Basic Science Research Fellowship (FS/13/48/30453). We acknowledge the support of the Imperial NIHR Clinical Research Facility, the Netherlands CardioVascular Research Initiative, the Dutch Heart Foundation, Dutch Federation of University Medical Centres, the Netherlands Organisation for Health Research and Development and the Royal Netherlands Academy of Sciences. We also gratefully acknowledge Dr Claudia Cabrera in the NIHR Barts Cardiovascular Biomedical Research Centre for bioinformatics support. We thank all the patients and their families who contributed to this research and the Pulmonary Hypertension Association (UK) for their support.</t>
  </si>
  <si>
    <t>APR 12</t>
  </si>
  <si>
    <t>10.1038/s41467-018-03672-4</t>
  </si>
  <si>
    <t>GC4ZD</t>
  </si>
  <si>
    <t>gold, Green Submitted, Green Published</t>
  </si>
  <si>
    <t>WOS:000429794300009</t>
  </si>
  <si>
    <t>Le Hiress, M; Akagah, B; Bernadat, G; Tu, L; Thuillett, R; Huertas, A; Phan, C; Fadel, E; Simonneau, G; Humbert, M; Jalce, G; Guignabert, C</t>
  </si>
  <si>
    <t>Le Hiress, Morane; Akagah, Bernardin; Bernadat, Guillaume; Tu, Ly; Thuillett, Raphael; Huertas, Alice; Phan, Carole; Fadel, Elie; Simonneau, Gerald; Humbert, Marc; Jalce, Gael; Guignabert, Christophe</t>
  </si>
  <si>
    <t>Design, Synthesis, and Biological Activity of New &amp;ITN&amp;IT-(Phenylmethyl)-benzoxazol-2-thiones as Macrophage Migration Inhibitory Factor (MIF) Antagonists: Efficacies in Experimental Pulmonary Hypertension</t>
  </si>
  <si>
    <t>JOURNAL OF MEDICINAL CHEMISTRY</t>
  </si>
  <si>
    <t>FIBROBLAST GROWTH FACTOR-2; TAUTOMERASE INHIBITORS; STRUCTURAL FEATURES; CELL-SURVIVAL; CD74; RECEPTOR; ACTIVATION; TARGET; CRYSTALLOGRAPHY; OPPORTUNITIES</t>
  </si>
  <si>
    <t>Macrophage migration inhibitory factor (MIF) is a key pleiotropic mediator and a promising therapeutic target in cancer as well as in several inflammatory and cardiovascular diseases including pulmonary arterial hypertension (PAH). Here, a novel series of N-(phenylmethyl)-benzoxazol-2-thiones 5-32 designed to target the MIF tautomerase active site was synthesized and evaluated for its effects on cell survival. Investigation of structure-activity relationship (SAR) particularly at the 5-position of the benzoxazole core led to the identification of 31 that potently inhibits cell survival in DU-145 prostate cancer cells and pulmonary endothelial cells derived from patients with idiopathic PAH (iPAH-ECs), two cell lines for which survival is MIF-dependent. Molecular docking studies helped to interpret initial SAR related to MIF tautomerase inhibition and propose preferred binding mode for 31 within the MIF tautomerase active site. Interestingly, daily treatment with 31 started 2 weeks after a subcutaneous monocrotaline injection regressed established pulmonary hypertension in rats.</t>
  </si>
  <si>
    <t>[Le Hiress, Morane; Tu, Ly; Thuillett, Raphael; Huertas, Alice; Phan, Carole; Fadel, Elie; Simonneau, Gerald; Humbert, Marc; Guignabert, Christophe] Hop Marie Lannelongue, INSERM UMR S 999, F-92350 Le Plessis Robinson, France; [Le Hiress, Morane; Tu, Ly; Thuillett, Raphael; Huertas, Alice; Phan, Carole; Fadel, Elie; Simonneau, Gerald; Humbert, Marc; Guignabert, Christophe] Univ Paris Sud, F-94270 Le Kremlin Bicetre, France; [Le Hiress, Morane; Tu, Ly; Thuillett, Raphael; Huertas, Alice; Phan, Carole; Fadel, Elie; Simonneau, Gerald; Humbert, Marc; Guignabert, Christophe] Univ Paris Saclay, F-94270 Le Kremlin Bicetre, France; [Huertas, Alice; Simonneau, Gerald; Humbert, Marc] DHU Thorax Innovat, Hop Bicetre, AP HP, Ctr Reference Hypertens Pulm Severe,Serv Pneumol, F-94270 Le Kremlin Bicetre, France; [Bernadat, Guillaume] Univ Paris Saclay, Univ Paris Sud, CNRS, BioCIS, F-92290 Chatenay Malabry, France; [Akagah, Bernardin; Jalce, Gael] MIFCARE, 24 Rue Faubourg St Jacques, F-75014 Paris, France</t>
  </si>
  <si>
    <t>Hopital Marie Lannelongue; Universite Paris Saclay; Institut National de la Sante et de la Recherche Medicale (Inserm); Universite Paris Saclay; Universite Paris Saclay; Assistance Publique Hopitaux Paris (APHP); Hopital Universitaire Bicetre - APHP; Universite Paris Saclay; Hopital Universitaire Antoine-Beclere - APHP; Centre National de la Recherche Scientifique (CNRS); Universite Paris Saclay</t>
  </si>
  <si>
    <t>Guignabert, C (corresponding author), Hop Marie Lannelongue, INSERM UMR S 999, F-92350 Le Plessis Robinson, France.;Guignabert, C (corresponding author), Univ Paris Sud, F-94270 Le Kremlin Bicetre, France.;Guignabert, C (corresponding author), Univ Paris Saclay, F-94270 Le Kremlin Bicetre, France.;Jalce, G (corresponding author), MIFCARE, 24 Rue Faubourg St Jacques, F-75014 Paris, France.</t>
  </si>
  <si>
    <t>gael.jalce@mifcare.com; christophe.guignabert@inserm.fr</t>
  </si>
  <si>
    <t>Simonneau, Gerald/ABE-6614-2020; TU, Ly/G-4035-2013; Humbert, Marc/AAC-8459-2019; Huertas, Alice/E-8244-2017; GUIGNABERT, Christophe/G-3873-2013</t>
  </si>
  <si>
    <t>TU, Ly/0000-0003-2336-5099; Humbert, Marc/0000-0003-0703-2892; Thuillet, Raphael/0000-0002-1379-3797; Bernadat, Guillaume/0000-0001-8955-0364; Jalce, Gael/0000-0002-2786-5763; Huertas, Alice/0000-0001-8545-747X; Phan, Carole/0000-0002-7834-508X; GUIGNABERT, Christophe/0000-0002-8545-4452</t>
  </si>
  <si>
    <t>French National Research Agency (ANR) through the EPINE Grant [ANR-12-JSV1-0004-01]; LabEx LERMIT [ANR-10-LABX-0033-LERMIT]; French Fonds de Dotation Recherche en Sante Respiratoire Fondation du Souffle; Agence Nationale de la Recherche (ANR) [ANR-12-JSV1-0004] Funding Source: Agence Nationale de la Recherche (ANR)</t>
  </si>
  <si>
    <t>French National Research Agency (ANR) through the EPINE Grant(Agence Nationale de la Recherche (ANR)); LabEx LERMIT; French Fonds de Dotation Recherche en Sante Respiratoire Fondation du Souffle; Agence Nationale de la Recherche (ANR)(Agence Nationale de la Recherche (ANR))</t>
  </si>
  <si>
    <t>The authors thank Jennifer Bordenave and Etienne-Marie Jutant for their help in the study. We also thank Karine Leblanc (Univ. Paris-Sud, BioCIS) for the HPLC and HRMS analyses. This work was partly supported by the French National Research Agency (ANR) through the EPINE Grant No. ANR-12-JSV1-0004-01. M.L.H. was supported by the LabEx LERMIT (Grant No. ANR-10-LABX-0033-LERMIT). C.P. was supported by the French Fonds de Dotation Recherche en Sante Respiratoire Fondation du Souffle.</t>
  </si>
  <si>
    <t>0022-2623</t>
  </si>
  <si>
    <t>1520-4804</t>
  </si>
  <si>
    <t>J MED CHEM</t>
  </si>
  <si>
    <t>J. Med. Chem.</t>
  </si>
  <si>
    <t>10.1021/acs.jmedchem.7b01312</t>
  </si>
  <si>
    <t>Chemistry, Medicinal</t>
  </si>
  <si>
    <t>Science Citation Index Expanded (SCI-EXPANDED); Index Chemicus (IC)</t>
  </si>
  <si>
    <t>GD1JQ</t>
  </si>
  <si>
    <t>WOS:000430256600007</t>
  </si>
  <si>
    <t>Hascoet, S; Pontailler, M; Mercier, O; Fabre, D; Mussot, S; Humbert, M; Simonneau, G; Jais, X; Sitbon, O; Fadel, E</t>
  </si>
  <si>
    <t>Hascoet, S.; Pontailler, M.; Mercier, O.; Fabre, D.; Mussot, S.; Humbert, M.; Simonneau, G.; Jais, X.; Sitbon, O.; Fadel, E.</t>
  </si>
  <si>
    <t>Outcome of Heart-Lung or Double-Lung Transplantation in Pulmonary Hypertension Secondary to Congenital Heart Diseases</t>
  </si>
  <si>
    <t>38th Annual Meeting and Scientific Sessions of the International-Society-for-Heart-and-Lung-Transplantation (ISHLT)</t>
  </si>
  <si>
    <t>APR 11-14, 2018</t>
  </si>
  <si>
    <t>[Hascoet, S.] Hop Marie Iannelongue, Congenital Heart Dis, Le Plessis Robinson, France; [Pontailler, M.; Mercier, O.; Fabre, D.; Mussot, S.; Fadel, E.] Hop Marie Iannelongue, Thorac Surg, Le Plessis Robinson, France; [Humbert, M.; Simonneau, G.; Jais, X.; Sitbon, O.] Hop Kremlin Bicetre, Pulm Hypertens, Le Kremlin Bicetre, France</t>
  </si>
  <si>
    <t>Assistance Publique Hopitaux Paris (APHP); Hopital Universitaire Bicetre - APHP; Universite Paris Saclay</t>
  </si>
  <si>
    <t>Mussot, S/AAL-7512-2020; Humbert, Marc/AAC-8459-2019; Sitbon, Olivier/I-3623-2019; Simonneau, Gerald/ABE-6614-2020; Hascoet, Sebastien/Q-3311-2018</t>
  </si>
  <si>
    <t>Hascoet, Sebastien/0000-0002-8695-0503</t>
  </si>
  <si>
    <t>S241</t>
  </si>
  <si>
    <t>10.1016/j.healun.2018.01.597</t>
  </si>
  <si>
    <t>GC6WS</t>
  </si>
  <si>
    <t>WOS:000429934300589</t>
  </si>
  <si>
    <t>Hoette, S; Creuzé, N; Günther, S; Montani, D; Savale, L; Jaïs, X; Parent, F; Sitbon, O; Rochitte, CE; Simonneau, G; Humbert, M; Souza, R; Chemla, D</t>
  </si>
  <si>
    <t>Hoette, Susana; Creuze, Nicolas; Gunther, Sven; Montani, David; Savale, Laurent; Jais, Xavier; Parent, Florence; Sitbon, Olivier; Rochitte, Carlos Eduardo; Simonneau, Gerald; Humbert, Marc; Souza, Rogerio; Chemla, Denis</t>
  </si>
  <si>
    <t>RV Fractional Area Change and TAPSE as Predictors of Severe Right Ventricular Dysfunction in Pulmonary Hypertension: A CMR Study</t>
  </si>
  <si>
    <t>LUNG</t>
  </si>
  <si>
    <t>Right ventricular dysfunction; Pulmonary hypertension; Cardiac ventricles; Hemodynamics; RVFAC; TAPSE</t>
  </si>
  <si>
    <t>CARDIAC MAGNETIC-RESONANCE; TRICUSPID ANNULAR MOTION; ARTERIAL-HYPERTENSION; THERAPY; HEMODYNAMICS; PRESSURE; SURVIVAL; MRI</t>
  </si>
  <si>
    <t>The right ventricular ejection fraction (RVEF) is a surrogate marker of right ventricular function in pulmonary hypertension (PH), but its measurement is complicated and time consuming. The tricuspid annular plane systolic excursion (TAPSE) measures only the longitudinal component of RV contraction while the right ventricular fractional area change (RVFAC) takes into account both the longitudinal and the transversal components. The aim of our study was to evaluate the relationship between RVEF, RVFAC, and TAPSE according to hemodynamic severity in two groups of patients with PH: pulmonary arterial hypertension (PAH) and chronic thromboembolic pulmonary hypertension (CTEPH). Fifty-four patients with PAH (n = 15) and CTEPH (n = 39) underwent right heart catheterization and cardiac magnetic resonance (CMR). The ventricular volumes and areas, TAPSE, and eccentricity index were measured. The RVFAC was more strongly correlated with the RVEF (r = 0.81, p &lt; 0.0001) than the TAPSE (r = 0.63, p &lt; 0.0001). RVEF &lt; 35% was better predicted by the RVFAC than the TAPSE (TAPSE: AUC = 0.77 and RVFAC: AUC = 0.91; p = 0.042). In the group with the worse hemodynamic status, the RVFAC correlated much better with the RVEF than the TAPSE. There were no significant differences in the CMR data analyzed between the groups of PAH and CETPH patients. The RVFAC is a good index to estimate RVEF in PH patients; even better than the TAPSE in patients with more severe hemodynamic profile, possibly for including the transversal component of right ventricular function in its measurement. Furthermore, RVFAC performance was similar in the two PH groups (PAH and CTEPH).</t>
  </si>
  <si>
    <t>[Hoette, Susana; Souza, Rogerio] Univ Sao Paulo, Inst Heart, Dept Pulm, Sch Med, Ave Dr Eneas de Carvalho Aguiar,44, BR-05403000 Sao Paulo, Brazil; [Creuze, Nicolas; Chemla, Denis] APHP, Physiol &amp; Radiol, Fac Med Paris 11, EA4533, Le Kremlin Bicetre, France; [Gunther, Sven; Montani, David; Savale, Laurent; Jais, Xavier; Parent, Florence; Sitbon, Olivier; Simonneau, Gerald; Humbert, Marc] Paris11 Univ, APHP, Pneumol, Inserm,UMR S999, Le Kremlin Bicetre, France; [Rochitte, Carlos Eduardo] Univ Sao Paulo, Inst Heart, Cardiovasc Imaging, Sch Med, Sao Paulo, Brazil</t>
  </si>
  <si>
    <t>Universidade de Sao Paulo; Universite Paris Saclay; Assistance Publique Hopitaux Paris (APHP); Hopital Universitaire Bicetre - APHP; Institut National de la Sante et de la Recherche Medicale (Inserm); Universite Paris Saclay; Assistance Publique Hopitaux Paris (APHP); Hopital Universitaire Bicetre - APHP; Universidade de Sao Paulo</t>
  </si>
  <si>
    <t>Souza, R (corresponding author), Univ Sao Paulo, Inst Heart, Dept Pulm, Sch Med, Ave Dr Eneas de Carvalho Aguiar,44, BR-05403000 Sao Paulo, Brazil.</t>
  </si>
  <si>
    <t>souza.rogerio@me.com</t>
  </si>
  <si>
    <t>Simonneau, Gerald/ABE-6614-2020; Savale, Laurent/AAJ-9781-2020; David, Montani/I-6885-2019; ROCHITTE, CARLOS/GYH-2098-2022; Sitbon, Olivier/I-3623-2019; Günther, Sven/ACV-7191-2022; Humbert, Marc/AAC-8459-2019; Rochitte, Carlos/M-1042-2017; GUNTHER, Sven/P-4177-2017; Souza, Rogerio/I-3584-2013</t>
  </si>
  <si>
    <t>CHEMLA, Denis/0000-0001-7479-9896; Humbert, Marc/0000-0003-0703-2892; SITBON, Olivier/0000-0002-1942-1951; Rochitte, Carlos/0000-0003-4505-3344; JAIS, XAVIER/0000-0002-4104-7994; GUNTHER, Sven/0000-0001-8388-6131; Montani, David/0000-0002-9358-6922; Souza, Rogerio/0000-0003-2789-9143</t>
  </si>
  <si>
    <t>0341-2040</t>
  </si>
  <si>
    <t>1432-1750</t>
  </si>
  <si>
    <t>Lung</t>
  </si>
  <si>
    <t>10.1007/s00408-018-0089-7</t>
  </si>
  <si>
    <t>FZ5JT</t>
  </si>
  <si>
    <t>WOS:000427629200004</t>
  </si>
  <si>
    <t>Huertas, A; Guignabert, C; Barberà, JA; Bärtsch, P; Bhattacharya, J; Bhattacharya, S; Bonsignore, MR; Dewachter, L; Dinh-Xuan, AT; Dorfmüller, P; Gladwin, MT; Humbert, M; Kotsimbos, T; Vassilakopoulos, T; Sanchez, O; Savale, L; Testa, U; Wilkins, MR</t>
  </si>
  <si>
    <t>Huertas, Alice; Guignabert, Christophe; Barbera, Joan A.; Baertsch, Peter; Bhattacharya, Jahar; Bhattacharya, Sunita; Bonsignore, Maria R.; Dewachter, Laurence; Anh Tuan Dinh-Xuan; Dorfmuller, Peter; Gladwin, Mark T.; Humbert, Marc; Kotsimbos, Tom; Vassilakopoulos, Theodoros; Sanchez, Olivier; Savale, Laurent; Testa, Ugo; Wilkins, Martin R.</t>
  </si>
  <si>
    <t>Pulmonary vascular endothelium: the orchestra conductor in respiratory diseases</t>
  </si>
  <si>
    <t>STRESS DOPPLER-ECHOCARDIOGRAPHY; FIBROBLAST GROWTH FACTOR-2; SOLUBLE GUANYLATE-CYCLASE; EXHALED NITRIC-OXIDE; CELL-FREE HEMOGLOBIN; HIGH-ALTITUDE; PROGENITOR CELLS; ARTERIAL-HYPERTENSION; SMOOTH-MUSCLE; RHO-KINASE</t>
  </si>
  <si>
    <t>The European Respiratory Society (ERS) Research Seminar entitled Pulmonary vascular endothelium: orchestra conductor in respiratory diseases - highlights from basic research to therapy brought together international experts in dysfunctional pulmonary endothelium, from basic science to translational medicine, to discuss several important aspects in acute and chronic lung diseases. This review will briefly sum up the different topics of discussion from this meeting which was held in Paris, France on October 27-28, 2016. It is important to consider that this paper does not address all aspects of endothelial dysfunction but focuses on specific themes such as: 1) the complex role of the pulmonary endothelium in orchestrating the host response in both health and disease (acute lung injury, chronic obstructive pulmonary disease, high-altitude pulmonary oedema and pulmonary hypertension); and 2) the potential value of dysfunctional pulmonary endothelium as a target for innovative therapies.</t>
  </si>
  <si>
    <t>[Huertas, Alice; Guignabert, Christophe; Dorfmuller, Peter; Humbert, Marc; Savale, Laurent] Univ Paris Sud, Univ Paris Saclay,INSERM UMR S 999, Hop Bicetre,Ctr Reference Hypertens Pulmonaire Se, Hop Marie Lannelongue,AP HP,Serv Pneumol,DHU Thor, Le Plessis Robinson, France; [Huertas, Alice; Guignabert, Christophe; Dorfmuller, Peter; Humbert, Marc; Savale, Laurent] Univ Paris Sud, Univ Paris Saclay,INSERM UMR S 999, Hop Bicetre,Ctr Reference Hypertens Pulmonaire Se, Hop Marie Lannelongue,AP HP,Serv Pneumol,DHU Thor, Le Kremlin Bicetre, France; [Barbera, Joan A.] Univ Barcelona, Inst Invest Biomed August Pi i Sunyer IDIBAPS, Hosp Clin, Dept Pulm Med, Barcelona, Spain; [Barbera, Joan A.] CIBERES, Madrid, Spain; [Baertsch, Peter] Univ Clin Heidelberg, Dept Internal Med, Heidelberg, Germany; [Bhattacharya, Jahar; Bhattacharya, Sunita] Columbia Univ, Med Ctr, Dept Med, Lung Biol Lab, New York, NY USA; [Bonsignore, Maria R.] Univ Palermo, Inst Biomed &amp; Mol Immunol IBIM, Biomed Dept Internal &amp; Specialist Med DiBiMIS, Natl Res Council CNR, Palermo, Italy; [Dewachter, Laurence] Univ Libre Bruxelles, Lab Physiol &amp; Pharmacol, Campus Erasme, Brussels, Belgium; [Anh Tuan Dinh-Xuan] Paris Descartes Univ, Cochin Hosp, Cardiothorac Dept, Resp Physiol Unit, Paris, France; [Gladwin, Mark T.] Univ Pittsburgh, Dept Med, Div Pulm Allergy &amp; Crit Care Med, Pittsburgh Heart Lung Blood &amp; Vasc Med Inst, Pittsburgh, PA USA; [Kotsimbos, Tom] Monash Univ, Alfred Hlth, Melbourne, Vic, Australia; [Vassilakopoulos, Theodoros] Natl &amp; Kapodistrian Univ Athens, Med Sch, Pulm &amp; Crit Care Med, Athens, Greece; [Sanchez, Olivier] Paris Descartes Univ, Georges Pompidou European Hosp, AP HP, Med Sch,Sorbonne Paris City,Dept Pulmonol, Paris, France; [Testa, Ugo] Ist Super Sanita, Dept Hematol Oncol &amp; Mol Med, Rome, Italy; [Wilkins, Martin R.] Imperial Coll London, Dept Med, Fac Med, London, England</t>
  </si>
  <si>
    <t>Institut National de la Sante et de la Recherche Medicale (Inserm); Assistance Publique Hopitaux Paris (APHP); Hopital Universitaire Bicetre - APHP; Hopital Marie Lannelongue; Universite Paris Saclay; Institut National de la Sante et de la Recherche Medicale (Inserm); Assistance Publique Hopitaux Paris (APHP); Hopital Universitaire Antoine-Beclere - APHP; Universite Paris Saclay; Hopital Marie Lannelongue; Hopital Universitaire Bicetre - APHP; University of Barcelona; Hospital Clinic de Barcelona; IDIBAPS; CIBER - Centro de Investigacion Biomedica en Red; CIBERES; Ruprecht Karls University Heidelberg; Columbia University; University of Palermo; Consiglio Nazionale delle Ricerche (CNR); Istituto di Biomedicina e di Immunologia Molecolare Alberto Monroy (IBIM-CNR); Universite Libre de Bruxelles; Universite Paris Cite; Assistance Publique Hopitaux Paris (APHP); Hopital Universitaire Cochin - APHP; Pennsylvania Commonwealth System of Higher Education (PCSHE); University of Pittsburgh; Monash University; National &amp; Kapodistrian University of Athens; Assistance Publique Hopitaux Paris (APHP); Universite Paris Cite; Hopital Universitaire Europeen Georges-Pompidou - APHP; Istituto Superiore di Sanita (ISS); Imperial College London</t>
  </si>
  <si>
    <t>Huertas, A (corresponding author), Hop Marie Lannelongue, Inserm UMR S 999, 133 Ave Resistance, F-92350 Paris, France.</t>
  </si>
  <si>
    <t>Sanchez-Ramon, Silvia/AAZ-7670-2020; Savale, Laurent/AAJ-9781-2020; Testa, Ugo/J-6472-2016; Bonsignore, Maria/T-3983-2019; Wilkins, Martin/ABH-1140-2021; Humbert, Marc/AAC-8459-2019; GUIGNABERT, Christophe/G-3873-2013; Huertas, Alice/E-8244-2017; Dinh-Xuan, Anh Tuan/A-9691-2008</t>
  </si>
  <si>
    <t>Humbert, Marc/0000-0003-0703-2892; GUIGNABERT, Christophe/0000-0002-8545-4452; Huertas, Alice/0000-0001-8545-747X; Dorfmuller, Peter/0000-0003-2499-6829; Dinh-Xuan, Anh Tuan/0000-0001-8651-5176; Wilkins, Martin/0000-0003-3926-1171</t>
  </si>
  <si>
    <t>European Respiratory Society (ERS); Association de Recherche en Physiopathologie Respiratoire; Elivie; GlaxoSmithKline; Miltenyi Biotec; Oxyvie; Teva; Vivisol</t>
  </si>
  <si>
    <t>European Respiratory Society (ERS); Association de Recherche en Physiopathologie Respiratoire; Elivie; GlaxoSmithKline(GlaxoSmithKline); Miltenyi Biotec; Oxyvie; Teva(Teva Pharmaceutical Industries); Vivisol</t>
  </si>
  <si>
    <t>The research seminar was sponsored by the European Respiratory Society (ERS) with the financial support of unrestricted grants from Association de Recherche en Physiopathologie Respiratoire, Elivie, GlaxoSmithKline, Miltenyi Biotec, Oxyvie, Teva and Vivisol. Funding information for this article has been deposited with the Crossref Funder Registry.</t>
  </si>
  <si>
    <t>10.1183/13993003.00745-2017</t>
  </si>
  <si>
    <t>GC8BH</t>
  </si>
  <si>
    <t>WOS:000430017400014</t>
  </si>
  <si>
    <t>Weatherald, J; Boucly, A; Sahay, S; Humbert, M; Sitbon, O</t>
  </si>
  <si>
    <t>Weatherald, Jason; Boucly, Athenais; Sahay, Sandeep; Humbert, Marc; Sitbon, Olivier</t>
  </si>
  <si>
    <t>The Low-Risk Profile in Pulmonary Arterial Hypertension Time for a Paradigm Shift to Goal-oriented Clinical Trial Endpoints?</t>
  </si>
  <si>
    <t>LONG-TERM SURVIVAL; COMBINATION THERAPY; PRECISION MEDICINE; HEMODYNAMIC PARAMETERS; PREDICTION MODEL; SCORE CALCULATOR; HEART-FAILURE; MANAGEMENT; DISEASE; VALIDATION</t>
  </si>
  <si>
    <t>[Weatherald, Jason] Univ Calgary, Div Respirol, Dept Med, Calgary, AB, Canada; [Weatherald, Jason] Libin Cardiovasc Inst Alberta, Calgary, AB, Canada; [Boucly, Athenais; Humbert, Marc; Sitbon, Olivier] Univ Paris Saclay, Univ Paris Sud, Fac Med, Le Kremlin Bicetre, France; [Boucly, Athenais; Humbert, Marc; Sitbon, Olivier] Hop Bicetre, AP HP, Serv Pneumol, Le Kremlin Bicetre, France; [Boucly, Athenais; Humbert, Marc; Sitbon, Olivier] Hop Marie Lannelongue, INSERM, UMR S 999, Le Plessis Robinson, France; [Sahay, Sandeep] Houston Methodist Hosp, Inst Acad Med, Weill Cornell Med Coll, Houston, TX USA</t>
  </si>
  <si>
    <t>University of Calgary; Libin Cardiovascular Institute Of Alberta; Universite Paris Saclay; Assistance Publique Hopitaux Paris (APHP); Hopital Universitaire Antoine-Beclere - APHP; Universite Paris Saclay; Hopital Universitaire Bicetre - APHP; Hopital Marie Lannelongue; Universite Paris Saclay; Institut National de la Sante et de la Recherche Medicale (Inserm); Cornell University; Houston Methodist</t>
  </si>
  <si>
    <t>Sahay, Sandeep/T-4291-2019; Sitbon, Olivier/I-3623-2019; Humbert, Marc/AAC-8459-2019</t>
  </si>
  <si>
    <t>Sahay, Sandeep/0000-0002-0672-1680; Humbert, Marc/0000-0003-0703-2892; SITBON, Olivier/0000-0002-1942-1951; Boucly, Athenais/0000-0001-6246-5557; Weatherald, Jason/0000-0002-0615-4575</t>
  </si>
  <si>
    <t>10.1164/rccm.201709-1840PP</t>
  </si>
  <si>
    <t>GB7GD</t>
  </si>
  <si>
    <t>WOS:000429242000012</t>
  </si>
  <si>
    <t>Amphetamine Derivatives and the Risk of Pulmonary Arterial Hypertension A New Chapter of the Story</t>
  </si>
  <si>
    <t>[Simonneau, Gerald; Humbert, Marc] Univ Paris Saclay, Univ Paris Sud, Fac Med, Le Kremlin Bicetre, France; [Simonneau, Gerald; Humbert, Marc] Hop Bicetre, AP HP, Ctr Reference Hypertens Pulm, Le Kremlin Bicetre, France; [Simonneau, Gerald; Humbert, Marc] Hop Marie Lannelongue, INSERM, UMR S999, Le Plessis Robinson, France</t>
  </si>
  <si>
    <t>Universite Paris Saclay; Assistance Publique Hopitaux Paris (APHP); Hopital Universitaire Antoine-Beclere - APHP; Hopital Universitaire Bicetre - APHP; Universite Paris Saclay; Institut National de la Sante et de la Recherche Medicale (Inserm); Universite Paris Saclay; Hopital Marie Lannelongue</t>
  </si>
  <si>
    <t>Simonneau, G (corresponding author), Univ Paris Saclay, Univ Paris Sud, Fac Med, Le Kremlin Bicetre, France.;Simonneau, G (corresponding author), Hop Bicetre, AP HP, Ctr Reference Hypertens Pulm, Le Kremlin Bicetre, France.;Simonneau, G (corresponding author), Hop Marie Lannelongue, INSERM, UMR S999, Le Plessis Robinson, France.</t>
  </si>
  <si>
    <t>10.1164/rccm.201709-1962ED</t>
  </si>
  <si>
    <t>FZ4ZL</t>
  </si>
  <si>
    <t>WOS:000427600800007</t>
  </si>
  <si>
    <t>IMPACT OF INITIATION OF BALLOON PULMONARY ANGIOPLASTY PROGRAM ON REFERRAL OF PATIENTS WITH CHRONIC THROMBOEMBOLIC PULMONARY HYPERTENSION TO SURGERY</t>
  </si>
  <si>
    <t>JOURNAL OF THE AMERICAN COLLEGE OF CARDIOLOGY</t>
  </si>
  <si>
    <t>67th Annual Scientific Session and Expo of the American-College-of-Cardiology (ACC)</t>
  </si>
  <si>
    <t>MAR 10-12, 2018</t>
  </si>
  <si>
    <t>Amer Coll Cardiol</t>
  </si>
  <si>
    <t>Marie Lannelongue Hosp, Le Plessis Robinson, France; Kremlin Bicetre Univ Hosp, Paris, France</t>
  </si>
  <si>
    <t>Brenot, Philippe/HJB-1040-2022; Humbert, Marc/AAC-8459-2019; Boulate, David/ABC-8057-2020; Sitbon, Olivier/I-3623-2019; Simonneau, Gerald/ABE-6614-2020; Mussot, S/AAL-7512-2020</t>
  </si>
  <si>
    <t>0735-1097</t>
  </si>
  <si>
    <t>1558-3597</t>
  </si>
  <si>
    <t>J AM COLL CARDIOL</t>
  </si>
  <si>
    <t>J. Am. Coll. Cardiol.</t>
  </si>
  <si>
    <t>MAR 10</t>
  </si>
  <si>
    <t>A1958</t>
  </si>
  <si>
    <t>10.1016/S0735-1097(18)32499-9</t>
  </si>
  <si>
    <t>GC3BT</t>
  </si>
  <si>
    <t>WOS:000429659704008</t>
  </si>
  <si>
    <t>Boucly, A; Weatherald, J; Humbert, M; Sitbon, O</t>
  </si>
  <si>
    <t>Boucly, Athenais; Weatherald, Jason; Humbert, Marc; Sitbon, Olivier</t>
  </si>
  <si>
    <t>Risk assessment in pulmonary arterial hypertension</t>
  </si>
  <si>
    <t>[Boucly, Athenais; Humbert, Marc; Sitbon, Olivier] Univ Paris Saclay, Univ Paris Sud, Fac Med, Le Kremlin Bicetre, France; [Boucly, Athenais; Humbert, Marc; Sitbon, Olivier] Hop Bicetre, AP HP, Serv Pneumol, Le Kremlin Bicetre, France; [Boucly, Athenais; Humbert, Marc; Sitbon, Olivier] Hop Marie Lannelongue, INSERM UMR S 999, Le Plessis Robinson, France; [Weatherald, Jason] Univ Calgary, Div Respirol, Dept Med, Calgary, AB, Canada</t>
  </si>
  <si>
    <t>Universite Paris Saclay; Assistance Publique Hopitaux Paris (APHP); Hopital Universitaire Antoine-Beclere - APHP; Hopital Universitaire Bicetre - APHP; Universite Paris Saclay; Hopital Marie Lannelongue; Institut National de la Sante et de la Recherche Medicale (Inserm); Universite Paris Saclay; University of Calgary</t>
  </si>
  <si>
    <t>Sitbon, O (corresponding author), Hop Bicetre, Serv Pneumol, 78 Ave Gen Leclerc, F-94275 Le Kremlin Bicetre, France.</t>
  </si>
  <si>
    <t>Humbert, Marc/0000-0003-0703-2892; Boucly, Athenais/0000-0001-6246-5557; Weatherald, Jason/0000-0002-0615-4575; SITBON, Olivier/0000-0002-1942-1951</t>
  </si>
  <si>
    <t>A. Boucly reports personal fees and non-financial support from Actelion, and non-financial support from GlaxoSmithKline and Merck, outside the submitted work. J. Weatherald reports grants from the European Respiratory Society and the Canadian Thoracic Society, during the conduct of the study, as well as personal fees and non-financial support from Actelion Pharmaceuticals and non-financial support from Bayer, for travel to scientific meetings outside the submitted work. M. Humbert reports grants, personal fees and non-financial support from Actelion, Bayer, GlaxoSmithKline and Merck, and personal fees from Arena and Novartis, all outside the submitted work. O. Sitbon reports grants, personal fees and non-financial support from Actelion, Bayer, GlaxoSmithKline and Merck, and personal fees from Arena, all outside the submitted work.</t>
  </si>
  <si>
    <t>10.1183/13993003.00279-2018</t>
  </si>
  <si>
    <t>GB9YD</t>
  </si>
  <si>
    <t>WOS:000429430000031</t>
  </si>
  <si>
    <t>Bós, DDG; Van Der Bruggen, CEE; Kurakula, K; Sun, XQ; Casali, KR; Casali, AG; Rol, N; Szulcek, R; dos Remedios, C; Guignabert, C; Tu, L; Dorfmüller, P; Humbert, M; Wijnker, PJM; Kuster, DWD; van der Velden, J; Goumans, MJ; Bogaard, HJ; Vonk-Noordegraaf, A; de Man, FS; Handoko, ML</t>
  </si>
  <si>
    <t>Bos, Denielli da Silva Goncalves; Van Der Bruggen, Cathelijne E. E.; Kurakula, Kondababu; Sun, Xiao-Qing; Casali, Karina R.; Casali, Adenauer G.; Rol, Nina; Szulcek, Robert; dos Remedios, Cris; Guignabert, Christophe; Tu, Ly; Dorfmueller, Peter; Humbert, Marc; Wijnker, Paul J. M.; Kuster, Diederik W. D.; van der Velden, Jolanda; Goumans, Marie-Jose; Bogaard, Harm-Jan; Vonk-Noordegraaf, Anton; de Man, Frances S.; Handoko, M. Louis</t>
  </si>
  <si>
    <t>Contribution of Impaired Parasympathetic Activity to Right Ventricular Dysfunction and Pulmonary Vascular Remodeling in Pulmonary Arterial Hypertension</t>
  </si>
  <si>
    <t>autonomic nervous system; cholinesterase inhibitors; heart failure; hypertension, pulmonary; parasympathetic nervous system</t>
  </si>
  <si>
    <t>NICOTINIC ACETYLCHOLINE-RECEPTOR; HEART-RATE-VARIABILITY; MYOCARDIAL-INFARCTION; NERVE ACTIVITY; RAT MODEL; PRESSURE; ACTIVATION; SURVIVAL; RECRUITMENT; MODULATION</t>
  </si>
  <si>
    <t>BACKGROUND: The beneficial effects of parasympathetic stimulation have been reported in left heart failure, but whether it would be beneficial for pulmonary arterial hypertension (PAH) remains to be explored. Here, we investigated the relationship between parasympathetic activity and right ventricular (RV) function in patients with PAH, and the potential therapeutic effects of pyridostigmine (PYR), an oral drug stimulating the parasympathetic activity through acetylcholinesterase inhibition, in experimental pulmonary hypertension (PH). METHODS: Heart rate recovery after a maximal cardiopulmonary exercise test was used as a surrogate for parasympathetic activity. RV ejection fraction was assessed in 112 patients with PAH. Expression of nicotinic (alpha-7 nicotinic acetylcholine receptor) and muscarinic (muscarinic acetylcholine type 2 receptor) receptors, and acetylcholinesterase activity were evaluated in RV (n=11) and lungs (n=7) from patients with PAH undergoing heart/lung transplantation and compared with tissue obtained from controls. In addition, we investigated the effects of PYR (40 mg/kg per day) in experimental PH. PH was induced in male rats by SU5416 (25 mg/kg subcutaneously) injection followed by 4 weeks of hypoxia. In a subgroup, sympathetic/parasympathetic modulation was assessed by power spectral analysis. At week 6, PH status was confirmed by echocardiography, and rats were randomly assigned to vehicle or treatment (both n=12). At the end of the study, echocardiography was repeated, with additional RV pressure-volume measurements, along with lung, RV histological, and protein analyses. RESULTS: Patients with PAH with lower RV ejection fraction (&lt;41%) had a significantly reduced heart rate recovery in comparison with patients with higher RV ejection fraction. In PAH RV samples, alpha-7 nicotinic acetylcholine receptor was increased and acetylcholinesterase activity was reduced versus controls. No difference in muscarinic acetylcholine type 2 receptor expression was observed. Chronic PYR treatment in PH rats normalized the cardiovascular autonomic function, demonstrated by an increase in parasympathetic activity and baroreflex sensitivity. PYR improved survival, increased RV contractility, and reduced RV stiffness, RV hypertrophy, RV fibrosis, RV inflammation, and RV alpha-7 nicotinic acetylcholine receptor and muscarinic acetylcholine type 2 receptor expression, as well. Furthermore, PYR reduced pulmonary vascular resistance, RV afterload, and pulmonary vascular remodeling, which was associated with reduced local and systemic inflammation. CONCLUSIONS: RV dysfunction is associated with reduced systemic parasympathetic activity in patients with PAH, with an inadequate adaptive response of the cholinergic system in the RV. Enhancing parasympathetic activity by PYR improved survival, RV function, and pulmonary vascular remodeling in experimental PH.</t>
  </si>
  <si>
    <t>[Bos, Denielli da Silva Goncalves; Van Der Bruggen, Cathelijne E. E.; Sun, Xiao-Qing; Rol, Nina; Szulcek, Robert; Bogaard, Harm-Jan; Vonk-Noordegraaf, Anton; de Man, Frances S.] Vrije Univ Amsterdam Med Ctr, Amsterdam Cardiovasc Sci, Dept Pulmonol, Amsterdam, Netherlands; [Wijnker, Paul J. M.; Kuster, Diederik W. D.; van der Velden, Jolanda] Vrije Univ Amsterdam Med Ctr, Amsterdam Cardiovasc Sci, Dept Physiol, Amsterdam, Netherlands; [Handoko, M. Louis] Vrije Univ Amsterdam Med Ctr, Amsterdam Cardiovasc Sci, Dept Cardiol, Amsterdam, Netherlands; [Kurakula, Kondababu; Goumans, Marie-Jose] Leiden Univ, Med Ctr, Dept Mol Cell Biol, Lab Expt Cardiol, Leiden, Netherlands; [Casali, Karina R.; Casali, Adenauer G.] Univ Fed Sao Paulo, Inst Sci &amp; Technol, Sao Paulo, Brazil; [dos Remedios, Cris] Univ Sydney, Heart &amp; Lung Transplant Unit, St Vincents Hosp, Sydney, NSW, Australia; [dos Remedios, Cris] Univ Sydney, Bosch Inst, Sydney, NSW, Australia; [Guignabert, Christophe; Tu, Ly; Dorfmueller, Peter; Humbert, Marc] Univ Paris Saclay, Univ Paris Sud, Le Kremlin Bicetre, France; [Guignabert, Christophe; Tu, Ly; Dorfmueller, Peter; Humbert, Marc] INSERM, UMR S 999, Le Plessis Robinson, France</t>
  </si>
  <si>
    <t>Vrije Universiteit Amsterdam; VU UNIVERSITY MEDICAL CENTER; Vrije Universiteit Amsterdam; VU UNIVERSITY MEDICAL CENTER; Vrije Universiteit Amsterdam; VU UNIVERSITY MEDICAL CENTER; Leiden University - Excl LUMC; Leiden University; Leiden University Medical Center (LUMC); Universidade Federal de Sao Paulo (UNIFESP); NSW Health; St Vincents Hospital Sydney; University of Sydney; University of Sydney; Universite Paris Saclay; Institut National de la Sante et de la Recherche Medicale (Inserm); Universite Paris Saclay</t>
  </si>
  <si>
    <t>de Man, FS; Handoko, ML (corresponding author), Vrije Univ Amsterdam Med Ctr, Dept Cardiol, De Boelelaan 1117, NL-1081 HV Amsterdam, Netherlands.</t>
  </si>
  <si>
    <t>fs.deman@vumc.nl; ml.handoko@vumc.nl</t>
  </si>
  <si>
    <t>Xiaoqing, Sun/HGE-6175-2022; van der Velden, J/D-1925-2016; Casali, Karina/I-7677-2012; Szulcek, Robert/D-7229-2013; Goumans, Marie/U-1455-2019; Kuster, Diederik/AAD-9272-2019; Humbert, Marc/AAC-8459-2019; TU, Ly/G-4035-2013; Girardi Casali, Adenauer/G-9911-2012; Da Silva Goncalves Bos, Denielli/O-9737-2018; GUIGNABERT, Christophe/G-3873-2013</t>
  </si>
  <si>
    <t>Humbert, Marc/0000-0003-0703-2892; TU, Ly/0000-0003-2336-5099; Vonk Noordegraaf, Anton/0000-0002-4057-758X; Handoko-de Man, Frances/0000-0002-5776-7793; Bogaard, Harm Jan/0000-0001-5371-0346; Girardi Casali, Adenauer/0000-0001-7024-9029; Szulcek, Robert/0000-0003-0450-7338; Kurakula, Konda Babu/0000-0002-9830-6344; Dorfmuller, Peter/0000-0003-2499-6829; Da Silva Goncalves Bos, Denielli/0000-0001-9213-5276; Goumans, Marie Jose/0000-0001-9344-6746; GUIGNABERT, Christophe/0000-0002-8545-4452; Kuster, Diederik/0000-0003-1498-6862; Casali, Karina/0000-0001-8281-0135; van der Velden, Jolanda/0000-0001-5224-5788</t>
  </si>
  <si>
    <t>Science Without Borders grant, Conselho Nacional de Desenvolvimento Cientifico e Tecnologico [CNPq-Brasil-245849/2012-2]; VICI grant from the Netherlands Organization for Scientific Research (NWO) [2002406]; Sao Paulo Research Foundation [FAPESP-2016/08263-9]; Netherlands CardioVascular Research Initiative grant [CVON 2012-08]; VENI grant from NWO [916.14.099]; L'Oreal/UNESCO for Women in Science; Netherlands Institute for Advanced Studies (NIAS); American Thoracic Society (ATS: Jerry Wojciechowski Memorial Pulmonary Hypertension Research Grant); European Respiratory Society; Institute for Cardiovascular Research (ICaR-VU); Fundacao de Amparo a Pesquisa do Estado de Sao Paulo (FAPESP) [16/08263-9] Funding Source: FAPESP</t>
  </si>
  <si>
    <t>Science Without Borders grant, Conselho Nacional de Desenvolvimento Cientifico e Tecnologico; VICI grant from the Netherlands Organization for Scientific Research (NWO)(Netherlands Organization for Scientific Research (NWO)); Sao Paulo Research Foundation(Fundacao de Amparo a Pesquisa do Estado de Sao Paulo (FAPESP)); Netherlands CardioVascular Research Initiative grant; VENI grant from NWO; L'Oreal/UNESCO for Women in Science(L'Oreal Group); Netherlands Institute for Advanced Studies (NIAS); American Thoracic Society (ATS: Jerry Wojciechowski Memorial Pulmonary Hypertension Research Grant); European Respiratory Society; Institute for Cardiovascular Research (ICaR-VU); Fundacao de Amparo a Pesquisa do Estado de Sao Paulo (FAPESP)(Fundacao de Amparo a Pesquisa do Estado de Sao Paulo (FAPESP))</t>
  </si>
  <si>
    <t>Dr da Silva Goncalves Bos is supported by the Science Without Borders grant, Conselho Nacional de Desenvolvimento Cientifico e Tecnologico (CNPq-Brasil-245849/2012-2). Drs da Silva Goncalves Bos and Vonk-Noordegraaf are supported by a VICI grant from the Netherlands Organization for Scientific Research (NWO; 2002406). Dr Casali is supported by the Sao Paulo Research Foundation (FAPESP-2016/08263-9). Drs Vonk-Noordegraaf, Bogaard, de Man, Van Der Bruggen, Szulcek, Rol, Kurakula, and Goumans are supported by the Netherlands CardioVascular Research Initiative grant (CVON 2012-08) awarded to the Phaedra consortium (www.phaedraresearch.nl). Dr de Man received a VENI grant from NWO (916.14.099), and is further supported by L'Oreal/UNESCO for Women in Science and Netherlands Institute for Advanced Studies (NIAS), the American Thoracic Society (ATS: Jerry Wojciechowski Memorial Pulmonary Hypertension Research Grant) and the European Respiratory Society. Dr Handoko received a MD/PhD grant by the Institute for Cardiovascular Research (ICaR-VU).</t>
  </si>
  <si>
    <t>FEB 27</t>
  </si>
  <si>
    <t>10.1161/CIRCULATIONAHA.117.027451</t>
  </si>
  <si>
    <t>FX6PC</t>
  </si>
  <si>
    <t>WOS:000426206800006</t>
  </si>
  <si>
    <t>Weatherald, J; Boucly, A; Chemla, D; Savale, L; Peng, MK; Jevnikar, M; Jaïs, X; Taniguchi, Y; O'Connell, C; Parent, F; Sattler, C; Hervé, P; Simonneau, G; Montani, D; Humbert, M; Adir, Y; Sitbon, O</t>
  </si>
  <si>
    <t>Weatherald, Jason; Boucly, Athenais; Chemla, Denis; Savale, Laurent; Peng, Mingkai; Jevnikar, Mitja; Jais, Xavier; Taniguchi, Yu; O'Connell, Caroline; Parent, Florence; Sattler, Caroline; Herve, Philippe; Simonneau, Gerald; Montani, David; Humbert, Marc; Adir, Yochai; Sitbon, Olivier</t>
  </si>
  <si>
    <t>Prognostic Value of Follow-Up Hemodynamic Variables After Initial Management in Pulmonary Arterial Hypertension</t>
  </si>
  <si>
    <t>follow-up studies; hypertension; pulmonary; hemodynamics; prognosis; pulmonary circulation; stroke volume; survival</t>
  </si>
  <si>
    <t>PARADOXICAL LOW-FLOW; SURVIVAL; IMPACT; THERAPY; PROGRESSION; DIAGNOSIS; OUTCOMES; REGISTRY; VOLUME</t>
  </si>
  <si>
    <t>BACKGROUND: Hemodynamic variables such as cardiac index and right atrial pressure have consistently been associated with survival in pulmonary arterial hypertension (PAH) at the time of diagnosis. Recent studies have suggested that pulmonary arterial compliance may also predict prognosis in PAH. The prognostic importance of hemodynamic values achieved after treatment initiation is less well established. METHODS: Our objective was to evaluate the prognostic importance of clinical and hemodynamic variables during follow-up, including pulmonary arterial compliance, after initial management in PAH. We evaluated incident patients with idiopathic, drug-and toxin-induced, or heritable PAH enrolled in the French pulmonary hypertension registry between 2006 and 2016 who had a follow-up right-sided heart catheterization (RHC). The primary outcome was death or lung transplantation. We used stepwise Cox regression and the Kaplan-Meier method to assess variables obtained at baseline and at first follow-up RHC. RESULTS: Of 981 patients, a primary outcome occurred in 331 patients (33.7%) over a median follow-up duration of 2.8 years (interquartile range, 1.1-4.6 years). In a multivariable model considering only baseline variables, no hemodynamic variables independently predicted prognosis. Median time to first follow-up RHC was 4.6 months (interquartile range, 3.7-7.8 months). At first follow-up RHC (n=763), New York Heart Association functional class, 6-minute walk distance, stroke volume index (SVI), and right atrial pressure were independently associated with death or lung transplantation, adjusted for age, sex, and type of PAH. Pulmonary arterial compliance did not independently predict outcomes at baseline or during follow-up. The adjusted hazard ratio for SVI was 1.28 (95% confidence interval, 1.11-1.49; P&lt;0.01) per 10-mL/m(2) decrease and for right atrial pressure was 1.05 (95% confidence interval, 1.021.09; P&lt;0.01) per 1-mm Hg increase. Among patients who had 2 (n=355) or 3 (n=193) low-risk prognostic features at follow-up, including a cardiac index = 2.5 L.min(-1).m(-2), 6-minute walk distance &gt;440 m, and New York Heart Association class I or II functional class, lower SVI was still associated with higher rates of death or lung transplantation (P&lt;0.01). CONCLUSIONS: SVI and right atrial pressure were the hemodynamic variables that were independently associated with death or lung transplantation at first follow-up RHC after initial PAH treatment. These findings suggest that the SVI could be a more appropriate treatment target than cardiac index in PAH.</t>
  </si>
  <si>
    <t>[Weatherald, Jason; Boucly, Athenais; Chemla, Denis; Savale, Laurent; Jevnikar, Mitja; Jais, Xavier; Taniguchi, Yu; O'Connell, Caroline; Parent, Florence; Sattler, Caroline; Herve, Philippe; Simonneau, Gerald; Montani, David; Humbert, Marc; Sitbon, Olivier] Univ Paris Saclay, Univ Paris Sud, Fac Med, Le Kremlin Bicetre, France; [Weatherald, Jason; Boucly, Athenais; Chemla, Denis; Savale, Laurent; Jevnikar, Mitja; Jais, Xavier; Taniguchi, Yu; O'Connell, Caroline; Parent, Florence; Sattler, Caroline; Herve, Philippe; Simonneau, Gerald; Montani, David; Humbert, Marc; Sitbon, Olivier] Hop Bicetre, AP HP, Serv Pneumol, Le Kremlin Bicetre, France; [Chemla, Denis] Hop Bicetre, AP HP, Serv Physiol, Le Kremlin Bicetre, France; [Weatherald, Jason; Boucly, Athenais; Savale, Laurent; Jevnikar, Mitja; Jais, Xavier; Taniguchi, Yu; O'Connell, Caroline; Parent, Florence; Sattler, Caroline; Herve, Philippe; Simonneau, Gerald; Montani, David; Humbert, Marc; Sitbon, Olivier] Hop Marie Lannelongue, INSERM, UMR S 999, Le Plessis Robinson, France; [Weatherald, Jason] Univ Calgary, Div Respirol, Dept Med, Calgary, AB, Canada; [Peng, Mingkai] Univ Calgary, Dept Community Hlth Sci, Calgary, AB, Canada; [Weatherald, Jason; Peng, Mingkai] Univ Calgary, Libin Cardiovasc Inst Alberta, Calgary, AB, Canada; [Adir, Yochai] Techn Inst Technol, Fac Med, Div Pulm, Lady Davis Carmel Med Ctr, Haifa, Israel</t>
  </si>
  <si>
    <t>Universite Paris Saclay; Assistance Publique Hopitaux Paris (APHP); Hopital Universitaire Bicetre - APHP; Hopital Universitaire Antoine-Beclere - APHP; Universite Paris Saclay; Universite Paris Saclay; Assistance Publique Hopitaux Paris (APHP); Hopital Universitaire Antoine-Beclere - APHP; Hopital Universitaire Bicetre - APHP; Universite Paris Saclay; Hopital Marie Lannelongue; Institut National de la Sante et de la Recherche Medicale (Inserm); University of Calgary; University of Calgary; University of Calgary; Libin Cardiovascular Institute Of Alberta; Technion Israel Institute of Technology; Rappaport Faculty of Medicine; Clalit Health Services; Carmel Medical Center</t>
  </si>
  <si>
    <t>Sitbon, O (corresponding author), CHU Bicetre, Serv Pneumol &amp; Soins Intensifs, 78 Rue Gen Leclerc, F-94275 Le Kremlin Bicetre, France.;Weatherald, J (corresponding author), Peter Lougheed Ctr, 3500 26 Ave NE, Calgary, AB T1Y 6J4, Canada.</t>
  </si>
  <si>
    <t>jcweathe@ucalgary.ca; olivier.sitbon@aphp.fr</t>
  </si>
  <si>
    <t>Sitbon, Olivier/I-3623-2019; Simonneau, Gerald/ABE-6614-2020; David, Montani/I-6885-2019; Savale, Laurent/AAJ-9781-2020; Humbert, Marc/AAC-8459-2019</t>
  </si>
  <si>
    <t>Jevnikar, Mitja/0000-0003-0727-6790; Boucly, Athenais/0000-0001-6246-5557; Humbert, Marc/0000-0003-0703-2892; CHEMLA, Denis/0000-0001-7479-9896; O'Connell, Caroline/0000-0001-6776-5110; Weatherald, Jason/0000-0002-0615-4575; Montani, David/0000-0002-9358-6922; JAIS, XAVIER/0000-0002-4104-7994; SITBON, Olivier/0000-0002-1942-1951</t>
  </si>
  <si>
    <t>joint European Respiratory Society/Canadian Thoracic Society Long-Term Research Fellowship [LTRF 2015-4780]</t>
  </si>
  <si>
    <t>joint European Respiratory Society/Canadian Thoracic Society Long-Term Research Fellowship</t>
  </si>
  <si>
    <t>Dr Weatherald is the recipient of a joint European Respiratory Society/Canadian Thoracic Society Long-Term Research Fellowship (LTRF 2015-4780).</t>
  </si>
  <si>
    <t>FEB 13</t>
  </si>
  <si>
    <t>10.1161/CIRCULATIONAHA.117.029254</t>
  </si>
  <si>
    <t>FW0BA</t>
  </si>
  <si>
    <t>WOS:000424954800009</t>
  </si>
  <si>
    <t>Boucly, A; Girerd, B; Bourlier, D; Nemlaghi, S; Caliez, J; Savale, L; Jaïs, X; Dorfmüller, P; Simonneau, G; Sitbon, O; Humbert, M; Montani, D</t>
  </si>
  <si>
    <t>Boucly, A.; Girerd, B.; Bourlier, D.; Nemlaghi, S.; Caliez, J.; Savale, L.; Jais, X.; Dorfmueller, P.; Simonneau, G.; Sitbon, O.; Humbert, M.; Montani, D.</t>
  </si>
  <si>
    <t>Pulmonary veno-occlusive disease</t>
  </si>
  <si>
    <t>Pulmonary veno-occlusive disease; Diagnosis; Therapy; Prognosis</t>
  </si>
  <si>
    <t>ARTERIAL-HYPERTENSION; KINASE GCN2; PROSTACYCLIN; THERAPY; PATIENT; EXPOSURE</t>
  </si>
  <si>
    <t>Pulmonary veno-occlusive disease (PVOD) is a rare form of pulmonary hypertension (PH) characterized by preferential remodelling of pulmonary venutes and angioproliferation. PVOD term includes idiopathic, heritable (biallelic mutations of EIF2AK4 gene), drugs and toxins induced (alkylating agents, organic solvents) and connectivite-associated forms (especially systemic-sclerosis associated form). PVOD and pulmonary arterial hypertension (PAH) share a similar clinical presentation. Lung biopsy is contraindicated in PVOD due to high risk of life-threatening bleeding. A noninvasive diagnostic approach, including oxygen parameters, low diffusing capacity for carbon monoxide and characteristic signs on high-resolution computed tomography of the chest, is used to support a diagnosis of PVOD. PVOD prognosis is worse than other forms of PAH. There is no evidence-based medical therapy for PVOD and life-threatening pulmonary edema may occur following PAH targeted therapy in PVOD. Lung transplantation remains the preferred definitive therapy for eligible patients. (C) 2017 SPLF. Published by Elsevier Masson SAS. All rights reserved.</t>
  </si>
  <si>
    <t>[Boucly, A.; Girerd, B.; Bourlier, D.; Nemlaghi, S.; Caliez, J.; Savale, L.; Jais, X.; Dorfmueller, P.; Simonneau, G.; Sitbon, O.; Humbert, M.; Montani, D.] Univ Paris Sud, Fac Med, F-94270 Le Kremlin Bicetre, France; [Boucly, A.; Girerd, B.; Bourlier, D.; Nemlaghi, S.; Caliez, J.; Savale, L.; Jais, X.; Dorfmueller, P.; Simonneau, G.; Sitbon, O.; Humbert, M.; Montani, D.] Univ Paris Sud, Hop Bicetre, AP HP,Ctr Reference Hypertens Pulm Severe, Dept Hosp Univ DHU Thorax Innovat TORINO,Serv Pne, 78 Rue Gen Leclerc, F-94270 Le Kremlin Bicetre, France; [Boucly, A.; Girerd, B.; Bourlier, D.; Nemlaghi, S.; Caliez, J.; Savale, L.; Jais, X.; Simonneau, G.; Sitbon, O.; Humbert, M.; Montani, D.] Univ Paris Sud, UMR S999, INSERM, Hop Marie Lannelongue,Lab Excellence LabEx Rech M, F-92350 Le Plessis Robinson, France; [Dorfmueller, P.] Ctr Chirurg Marie Lannelongue, Serv Anatomopathol, F-92350 Le Plessis Robinson, France</t>
  </si>
  <si>
    <t>Universite Paris Saclay; Assistance Publique Hopitaux Paris (APHP); Hopital Universitaire Bicetre - APHP; Hopital Universitaire Antoine-Beclere - APHP; Universite Paris Saclay; Universite Paris Saclay; Institut National de la Sante et de la Recherche Medicale (Inserm); Hopital Marie Lannelongue; Hopital Marie Lannelongue</t>
  </si>
  <si>
    <t>Montani, D (corresponding author), Univ Paris Sud, Fac Med, F-94270 Le Kremlin Bicetre, France.;Montani, D (corresponding author), Univ Paris Sud, Hop Bicetre, AP HP,Ctr Reference Hypertens Pulm Severe, Dept Hosp Univ DHU Thorax Innovat TORINO,Serv Pne, 78 Rue Gen Leclerc, F-94270 Le Kremlin Bicetre, France.;Montani, D (corresponding author), Univ Paris Sud, UMR S999, INSERM, Hop Marie Lannelongue,Lab Excellence LabEx Rech M, F-92350 Le Plessis Robinson, France.</t>
  </si>
  <si>
    <t>Sitbon, Olivier/I-3623-2019; Savale, Laurent/AAJ-9781-2020; David, Montani/I-6885-2019; Simonneau, Gerald/ABE-6614-2020; Humbert, Marc/AAC-8459-2019</t>
  </si>
  <si>
    <t>Dorfmuller, Peter/0000-0003-2499-6829; SITBON, Olivier/0000-0002-1942-1951; Montani, David/0000-0002-9358-6922; JAIS, XAVIER/0000-0002-4104-7994; Boucly, Athenais/0000-0001-6246-5557; Humbert, Marc/0000-0003-0703-2892</t>
  </si>
  <si>
    <t>10.1016/j.rmr.2017.11.005</t>
  </si>
  <si>
    <t>FZ3YH</t>
  </si>
  <si>
    <t>WOS:000427526800006</t>
  </si>
  <si>
    <t>Pavord, ID; Beasley, R; Agusti, A; Anderson, GP; Bel, E; Brusselle, G; Cullinan, P; Custovic, A; Ducharme, FM; Fahy, JV; Frey, U; Gibson, P; Heaney, LG; Holt, PG; Humbert, M; Lloyd, CM; Marks, G; Martinez, FD; Sly, PD; von Mutius, E; Wenzel, S; Zar, HJ; Bush, A</t>
  </si>
  <si>
    <t>Pavord, Ian D.; Beasley, Richard; Agusti, Alvar; Anderson, Gary P.; Bel, Elisabeth; Brusselle, Guy; Cullinan, Paul; Custovic, Adnan; Ducharme, Francine M.; Fahy, John V.; Frey, Urs; Gibson, Peter; Heaney, Liam G.; Holt, Patrick G.; Humbert, Marc; Lloyd, Clare M.; Marks, Guy; Martinez, Fernando D.; Sly, Peter D.; von Mutius, Erika; Wenzel, Sally; Zar, Heather J.; Bush, Andy</t>
  </si>
  <si>
    <t>After asthma: redefining airways diseases</t>
  </si>
  <si>
    <t>EXHALED NITRIC-OXIDE; OBSTRUCTIVE PULMONARY-DISEASE; RANDOMIZED DOUBLE-BLIND; INHALED FLUTICASONE PROPIONATE; UNCONTROLLED PERSISTENT ASTHMA; SPUTUM EOSINOPHIL COUNTS; NECROSIS-FACTOR-ALPHA; EARLY-LIFE INFLUENCES; LUNG-FUNCTION; CHILDHOOD ASTHMA</t>
  </si>
  <si>
    <t>[Pavord, Ian D.] Univ Oxford, Nuffield Dept Med, Resp Med Unit, Oxford OX3 7FZ, England; [Pavord, Ian D.] Univ Oxford, NIHR Oxford Biomed Res Ctr, Oxford, England; [Beasley, Richard] Med Res Inst New Zealand, Wellington, New Zealand; [Agusti, Alvar] Univ Barcelona, Hosp Clin, Resp Inst, IDIBAPS, Barcelona, Spain; [Agusti, Alvar] CIBER Enfermedades Resp CIBERES, Madrid, Spain; [Anderson, Gary P.] Univ Melbourne, Lung Hlth Res Ctr, Melbourne, Vic, Australia; [Bel, Elisabeth] Univ Amsterdam, Acad Med Ctr, Dept Resp Med, Amsterdam, Netherlands; [Brusselle, Guy] Ghent Univ Hosp, Dept Resp Med, Ghent, Belgium; [Brusselle, Guy] Erasmus MC, Dept Epidemiol, Rotterdam, Netherlands; [Brusselle, Guy] Erasmus MC, Dept Resp Med, Rotterdam, Netherlands; [Custovic, Adnan; Bush, Andy] Imperial Coll London, Dept Paediat, London, England; [Bush, Andy] Imperial Coll London, Dept Paediat Resp Med, London, England; [Cullinan, Paul; Lloyd, Clare M.] Imperial Coll London, Natl Heart &amp; Lung Inst, London, England; [Ducharme, Francine M.] Univ Montreal, Dept Paediat, Montreal, PQ, Canada; [Ducharme, Francine M.] Univ Montreal, Dept Social &amp; Prevent Med, Montreal, PQ, Canada; [Fahy, John V.] Univ Calif San Francisco, Inst Cardiovasc Res, San Francisco, CA USA; [Fahy, John V.] Univ Calif San Francisco, Dept Med, San Francisco, CA USA; [Frey, Urs] Univ Basel, Univ Childrens Hosp Basel, Basel, Switzerland; [Gibson, Peter] John Hunter Hosp, Hunter Med Res Inst, Dept Resp &amp; Sleep Med, Newcastle, NSW, Australia; [Gibson, Peter] Univ Newcastle, Prior Res Ctr Asthma &amp; Resp Dis, Newcastle, NSW, Australia; [Heaney, Liam G.] Queens Univ Belfast, Ctr Expt Med, Sch Med Dent &amp; Biomed Sci, Belfast, Antrim, North Ireland; [Holt, Patrick G.] Univ Western Australia, Telethon Kids Inst, Perth, WA, Australia; [Humbert, Marc] Univ Paris Saclay, Univ Paris Sud, Fac Med, Paris, France; [Humbert, Marc] Hop Bicetre, Serv Pneumol, Paris, France; [Humbert, Marc] Hop Marie Lannelongue, INSERM, UMR S 999, Paris, France; [Marks, Guy] Univ New South Wales, South Western Sydney Clin Sch, Dept Resp Med, Sydney, NSW, Australia; [Martinez, Fernando D.] Univ Arizona, Asthma &amp; Airway Dis Res Ctr, Tucson, AZ USA; [Sly, Peter D.] Childrens Hlth Queensland, Dept Childrens Hlth &amp; Environm, Brisbane, Qld, Australia; [Sly, Peter D.] Ctr Childrens Hlth Res, Brisbane, Qld, Australia; [von Mutius, Erika] Ludwig Maximilians Univ Munchen, Dr Haunersches Kinderspital, Munich, Germany; [Wenzel, Sally] Univ Pittsburgh, Asthma Inst, Pittsburgh, PA USA; [Zar, Heather J.] Univ Cape Town, Red Cross Childrens Hosp, Dept Paediat &amp; Child Hlth, Cape Town, South Africa; [Zar, Heather J.] Univ Cape Town, Med Res Council Unit Child &amp; Adolescent Hlth, Cape Town, South Africa</t>
  </si>
  <si>
    <t>University of Oxford; University of Oxford; Medical Research Institute Of New Zealand; University of Barcelona; Hospital Clinic de Barcelona; IDIBAPS; CIBER - Centro de Investigacion Biomedica en Red; CIBERES; University of Melbourne; University of Amsterdam; Academic Medical Center Amsterdam; Ghent University; Ghent University Hospital; Erasmus University Rotterdam; Erasmus MC; Erasmus University Rotterdam; Erasmus MC; Imperial College London; Imperial College London; Imperial College London; Universite de Montreal; Universite de Montreal; University of California System; University of California San Francisco; University of California System; University of California San Francisco; University of Basel; John Hunter Hospital; University of Newcastle; Hunter Medical Research Institute; University of Newcastle; Queens University Belfast; The Kids Research Institute Australia; University of Western Australia; Universite Paris Saclay; Universite Paris Saclay; Assistance Publique Hopitaux Paris (APHP); Hopital Universitaire Bicetre - APHP; Institut National de la Sante et de la Recherche Medicale (Inserm); Hopital Marie Lannelongue; University of New South Wales Sydney; University of Arizona; University of Munich; Pennsylvania Commonwealth System of Higher Education (PCSHE); University of Pittsburgh; University of Cape Town; University of Cape Town</t>
  </si>
  <si>
    <t>Pavord, ID (corresponding author), Univ Oxford, Nuffield Dept Med, Resp Med Unit, Oxford OX3 7FZ, England.</t>
  </si>
  <si>
    <t>ian.pavord@ndm.ox.ac.uk</t>
  </si>
  <si>
    <t>Zar, Heather/GZL-5350-2022; Garcia-Navarro, Alvar/F-4474-2015; Ducharme, Francine/N-8332-2013; Fahy, John/ABS-1213-2022; Beasley, Richard/AAH-3908-2019; Wenzel, Sally/ABY-1380-2022; Anagnostopoulou, Pinelopi/I-4713-2019; Cullinan, Paul/JYQ-4169-2024; Brusselle, Guy/AFU-8839-2022; Holt, Patrick/H-1548-2011; Sly, Peter/F-1486-2010; Marks, Guy/F-5058-2013; Humbert, Marc/AAC-8459-2019; Gibson, Peter/G-6194-2014; Custovic, Adnan/A-2435-2012; Mashiya, Nombeko Monica/AET-3950-2022</t>
  </si>
  <si>
    <t>Constantinescu, Teodora/0000-0002-0637-4068; Holt, Patrick/0000-0003-1193-0935; Sly, Peter/0000-0001-6305-2201; Frey, Urs/0000-0003-3773-2822; Marks, Guy/0000-0002-8976-8053; Humbert, Marc/0000-0003-0703-2892; Lloyd, Clare/0000-0001-8977-6726; Brusselle, Guy/0000-0001-7021-8505; Gibson, Peter/0000-0001-5865-489X; Heaney, Liam/0000-0002-9176-5564; Zar, Heather/0000-0002-9046-759X; Custovic, Adnan/0000-0001-5218-7071; Wenzel, Sally/0000-0002-4242-0164; Anderson, Gary P./0000-0001-6580-3398; Mashiya, Nombeko Monica/0000-0003-0124-9118</t>
  </si>
  <si>
    <t>MRC [MR/M016579/1, MR/K002449/2] Funding Source: UKRI; National Heart Lung and Blood Institute [P01HL107202] Funding Source: NIH RePORTER</t>
  </si>
  <si>
    <t>MRC(UK Research &amp; Innovation (UKRI)Medical Research Council UK (MRC)); National Heart Lung and Blood Institute(United States Department of Health &amp; Human ServicesNational Institutes of Health (NIH) - USANIH National Heart Lung &amp; Blood Institute (NHLBI))</t>
  </si>
  <si>
    <t>JAN 27</t>
  </si>
  <si>
    <t>10.1016/S0140-6736(17)30879-6</t>
  </si>
  <si>
    <t>FU5CE</t>
  </si>
  <si>
    <t>WOS:000423869500030</t>
  </si>
  <si>
    <t>Boucly, A; Weatherald, JC; Chaouat, A; Cottin, V; Dromer, C; Hachulla, E; Jais, X; Jevnikar, M; Launay, D; Magro, P; Montani, D; Mouthon, L; Pison, C; Prévôt, G; Savale, L; Simonneau, G; Humbert, M; Sitbon, O</t>
  </si>
  <si>
    <t>Boucly, A.; Weatherald, J. C.; Chaouat, A.; Cottin, V.; Dromer, C.; Hachulla, E.; Jais, X.; Jevnikar, M.; Launay, D.; Magro, P.; Montani, D.; Mouthon, L.; Pison, C.; Prevot, G.; Savale, L.; Simonneau, G.; Humbert, M.; Sitbon, O.</t>
  </si>
  <si>
    <t>Risk Assessment in Systemic Sclerosis-Associated Pulmonary Arterial Hypertension</t>
  </si>
  <si>
    <t>MAY 18-23, 2018</t>
  </si>
  <si>
    <t>Amer Thoracic Soc</t>
  </si>
  <si>
    <t>[Boucly, A.; Jais, X.; Jevnikar, M.; Montani, D.; Savale, L.; Simonneau, G.; Humbert, M.; Sitbon, O.] Hop Bicetre, Pneumol, Le Kremlin Bicetre, France; [Weatherald, J. C.] Univ Calgary, Respirol, Calgary, AB, Canada; [Chaouat, A.] CHU Nancy, Hop Brabois, Vandoeuvre Les Nancy, France; [Cottin, V.] Univ Lyon, Hop Louis Pradel, Lyon, France; [Dromer, C.] Hop Haut Leveque, Pessac, France; [Hachulla, E.; Launay, D.] CHRU, Hop Claude Huriez, Lille, France; [Magro, P.] CHU, Hop Bretonneau, Tours, France; [Mouthon, L.] Hop Cochin, Paris, France; [Pison, C.] CHU Grenoble, Grenoble, France; [Prevot, G.] CHU, Hop Larrey, Toulouse, France</t>
  </si>
  <si>
    <t>Assistance Publique Hopitaux Paris (APHP); Hopital Universitaire Bicetre - APHP; Universite Paris Saclay; Hopital Universitaire Antoine-Beclere - APHP; University of Calgary; CHU de Nancy; CHU Lyon; Universite de Bordeaux; CHU Bordeaux; Universite de Lille; CHU Lille; CHU Tours; Assistance Publique Hopitaux Paris (APHP); Universite Paris Cite; Hopital Universitaire Cochin - APHP; Communaute Universite Grenoble Alpes; Universite Grenoble Alpes (UGA); CHU Grenoble Alpes; CHU de Toulouse; Universite de Toulouse; Universite Toulouse III - Paul Sabatier</t>
  </si>
  <si>
    <t>Simonneau, Gerald/ABE-6614-2020; Launay, David/JDM-2536-2023; Savale, Laurent/AAJ-9781-2020; Humbert, Marc/AAC-8459-2019; Chaouat, Ari/AAP-6784-2021; Sitbon, Olivier/I-3623-2019; HACHULLA, ERIC/R-8488-2018; David, Montani/I-6885-2019</t>
  </si>
  <si>
    <t>A1178</t>
  </si>
  <si>
    <t>HA1NA</t>
  </si>
  <si>
    <t>WOS:000449978900179</t>
  </si>
  <si>
    <t>Brenot, P; Jais, X; Taniguchi, Y; Alonso, CG; Humbert, M; Fadel, E; Simonneau, G</t>
  </si>
  <si>
    <t>Brenot, P.; Jais, X.; Taniguchi, Y.; Alonso, C. Garcia; Humbert, M.; Fadel, E.; Simonneau, G.</t>
  </si>
  <si>
    <t>Balloon Pulmonary Angioplasty for Inoperable Chronic Thromboembolic Pulmonary Hypertension: The Initial Experience at Paris-Sud University</t>
  </si>
  <si>
    <t>[Brenot, P.; Alonso, C. Garcia] Marie Lannelongue Hosp, Le Plesis Robinson, France; [Jais, X.; Taniguchi, Y.; Simonneau, G.] Paris Sud Univ, Bicetre Hosp, Le Kremlin Bicetre, France; [Humbert, M.] Paris Sud Univ, Bicetre Hosp, Pneumol, Le Kremlin Bicetre, France; [Fadel, E.] Marie Lannelongue Hosp, F-92350 Le Plessis Robinson, France</t>
  </si>
  <si>
    <t>Hopital Marie Lannelongue; Assistance Publique Hopitaux Paris (APHP); Hopital Universitaire Bicetre - APHP; Universite Paris Saclay; Assistance Publique Hopitaux Paris (APHP); Hopital Universitaire Bicetre - APHP; Universite Paris Saclay; Hopital Marie Lannelongue</t>
  </si>
  <si>
    <t>p.brenot@ccml.fr</t>
  </si>
  <si>
    <t>Humbert, Marc/AAC-8459-2019; Simonneau, Gerald/ABE-6614-2020; Brenot, Philippe/HJB-1040-2022</t>
  </si>
  <si>
    <t>A7788</t>
  </si>
  <si>
    <t>HA1NM</t>
  </si>
  <si>
    <t>WOS:000449980305533</t>
  </si>
  <si>
    <t>Chemla, D; Weatherald, JC; Lau, E; Savale, L; Boucly, A; Montani, D; Humbert, M; Sitbon, O; Herve, P</t>
  </si>
  <si>
    <t>Chemla, D.; Weatherald, J. C.; Lau, E.; Savale, L.; Boucly, A.; Montani, D.; Humbert, M.; Sitbon, O.; Herve, P.</t>
  </si>
  <si>
    <t>Clinical and Hemodynamic Correlates of Pulmonary Arterial Stiffness in Incident, Untreated Patients with Idiopathic Pulmonary Arterial Hypertension</t>
  </si>
  <si>
    <t>[Chemla, D.] Univ Paris Sud, Physiol, Le Kremlin Bicetre, France; [Weatherald, J. C.] Univ Calgary, Respirol, Calgary, AB, Canada; [Lau, E.] Resp Med, Camperdown, NSW, Australia; [Savale, L.] Hop Bicetre, Le Kremlin Bicetre, France; [Boucly, A.] Hop Bicetre, Serv Pneumol &amp; Soins, Le Kremlin Bicetre, France; [Montani, D.] Hop Bicetre, Serv Pneumol, Ctr Reference Hypertens Pulm Severe, Le Kremlin Bicetre, France; [Humbert, M.] Hop Bicetre, Pneumol, Le Kremlin Bicetre, France; [Sitbon, O.] Hop Bicetre, Serv Pneumol, F-94270 Le Kremlin Bicetre, France; [Herve, P.] Hop Marie Lannelongue, Le Plessis Robinson, France</t>
  </si>
  <si>
    <t>Universite Paris Saclay; University of Calgary; Assistance Publique Hopitaux Paris (APHP); Hopital Universitaire Bicetre - APHP; Hopital Universitaire Antoine-Beclere - APHP; Universite Paris Saclay; Universite Paris Saclay; Assistance Publique Hopitaux Paris (APHP); Hopital Universitaire Antoine-Beclere - APHP; Hopital Universitaire Bicetre - APHP; Universite Paris Saclay; Assistance Publique Hopitaux Paris (APHP); Hopital Universitaire Bicetre - APHP; Hopital Universitaire Antoine-Beclere - APHP; Universite Paris Saclay; Assistance Publique Hopitaux Paris (APHP); Hopital Universitaire Antoine-Beclere - APHP; Hopital Universitaire Bicetre - APHP; Universite Paris Saclay; Assistance Publique Hopitaux Paris (APHP); Hopital Universitaire Bicetre - APHP; Hopital Universitaire Antoine-Beclere - APHP; Hopital Marie Lannelongue</t>
  </si>
  <si>
    <t>Humbert, Marc/AAC-8459-2019; Sitbon, Olivier/I-3623-2019; David, Montani/I-6885-2019; Savale, Laurent/AAJ-9781-2020</t>
  </si>
  <si>
    <t>A1173</t>
  </si>
  <si>
    <t>WOS:000449978900174</t>
  </si>
  <si>
    <t>Cohen-Kaminsky, S; Dumas, SJ; Bru-Mercier, G; Courboulin, A; Quatredeniers, M; Rucker-Martin, C; Antigny, F; Nakhleh, M; Ranchoux, B; Gouadon, E; Vinhas, M; Vocelle, M; Dorfmuller, P; Fadel, E; Perros, F; Humbert, M</t>
  </si>
  <si>
    <t>Cohen-Kaminsky, S.; Dumas, S. J.; Bru-Mercier, G.; Courboulin, A.; Quatredeniers, M.; Rucker-Martin, C.; Antigny, F.; Nakhleh, M.; Ranchoux, B.; Gouadon, E.; Vinhas, M.; Vocelle, M.; Dorfmuller, P.; Fadel, E.; Perros, F.; Humbert, M.</t>
  </si>
  <si>
    <t>The NMDA Receptor, an Unexpected Therapeutic Target in Pulmonary Arterial Hypertension</t>
  </si>
  <si>
    <t>[Cohen-Kaminsky, S.; Dumas, S. J.; Bru-Mercier, G.; Courboulin, A.; Quatredeniers, M.; Rucker-Martin, C.; Antigny, F.; Nakhleh, M.; Ranchoux, B.; Gouadon, E.; Vinhas, M.; Vocelle, M.; Dorfmuller, P.; Fadel, E.; Perros, F.] Univ Paris Sud, Pulm Arterial Hypertens Physiopathol &amp; Therapeut, LabEx LERMIT, INSERM,UMR S999, Le Plessis Robinson, France; [Humbert, M.] Univ Paris Sud, Hop Bicetre, Pneumol, LabEx LERMIT,INSERM,UMR S999, Le Kremlin Bicetre, France</t>
  </si>
  <si>
    <t>Institut National de la Sante et de la Recherche Medicale (Inserm); Universite Paris Saclay; Institut National de la Sante et de la Recherche Medicale (Inserm); Assistance Publique Hopitaux Paris (APHP); Hopital Universitaire Antoine-Beclere - APHP; Hopital Universitaire Bicetre - APHP; Universite Paris Saclay</t>
  </si>
  <si>
    <t>Ranchoux, Benoît/AAX-6037-2020; Humbert, Marc/AAC-8459-2019; Perros, Frédéric/N-6921-2017; Dumas, Sébastien/AAA-2056-2021; Cohen-Kaminsky, Sylvia/E-4837-2014</t>
  </si>
  <si>
    <t>ANR</t>
  </si>
  <si>
    <t>ANR(Agence Nationale de la Recherche (ANR))</t>
  </si>
  <si>
    <t>This abstract is funded by: ANR</t>
  </si>
  <si>
    <t>A7748</t>
  </si>
  <si>
    <t>WOS:000449980305494</t>
  </si>
  <si>
    <t>Dumas, O; Despreaux, T; Perros, F; Lau, E; Andujar, P; Humbert, M; Montani, D; Descatha, A</t>
  </si>
  <si>
    <t>Dumas, Orianne; Despreaux, Thomas; Perros, Frederic; Lau, Edmund; Andujar, Pascal; Humbert, Marc; Montani, David; Descatha, Alexis</t>
  </si>
  <si>
    <t>Respiratory effects of trichloroethylene</t>
  </si>
  <si>
    <t>Solvent; Lung cancer; Pulmonary veno-occlusive disease; Chronic respiratory diseases; Occupation; Toxicity</t>
  </si>
  <si>
    <t>PULMONARY ARTERIAL-HYPERTENSION; UNSCHEDULED DNA-SYNTHESIS; HALOTHANE INHIBIT UPTAKE; EXTENDED FOLLOW-UP; OCCUPATIONAL-EXPOSURE; ORGANIC-SOLVENTS; CANCER INCIDENCE; CHLORINATED SOLVENTS; SYSTEMIC-SCLEROSIS; AEROSPACE WORKERS</t>
  </si>
  <si>
    <t>Trichloroethylene (TCE) is a chlorinated solvent that has been used widely around the world in the twentieth century for metal degreasing and dry cleaning. Although TCE displays general toxicity and is classified as a human carcinogen, the association between TCE exposure and respiratory disorders are conflicting. In this review we aimed to systematically evaluate the current evidence for the respiratory effects of TCE exposure and the implications for the practicing clinician. There is limited evidence of an increased risk of lung cancer associated with TCE exposure based on animal and human data. However, the effect of other chlorinated solvents and mixed solvent exposure should be further investigated. Limited data are available to support an association between TCE exposure and respiratory tract disorders such as asthma, chronic bronchitis, or rhinitis. The most consistent data is the association of TCE with autoimmune and vascular diseases such as systemic sclerosis and pulmonary veno-occlusive disease. Although recent data are reassuring regarding the absence of an increased lung cancer risk with TCE exposure, clinicians should be aware of other potential respiratory effects of TCE. In particular, occupational exposure to TCE has been linked to less common conditions such as systemic sclerosis and pulmonary veno-occlusive disease.</t>
  </si>
  <si>
    <t>[Dumas, Orianne; Despreaux, Thomas; Descatha, Alexis] INSERM, U1168, VIMA Aging &amp; Chron Dis, Epidemiol &amp; Publ Hlth Approaches, F-94807 Villejuif, France; [Dumas, Orianne; Despreaux, Thomas; Descatha, Alexis] Univ Versailles St Quentin En Yvelines, UMR S 1168, F-78180 Montigny Le Bretonneux, France; [Despreaux, Thomas; Descatha, Alexis] Univ Hosp Poincare, AP HP, UVSQ,UMS 011, Occupat Hlth Unit,Populat Based Epidemiol Cohorts, Garches, France; [Perros, Frederic; Humbert, Marc; Montani, David] Univ Paris Sud, Fac Med, F-94270 Le Kremlin Bicetre, France; [Perros, Frederic; Humbert, Marc; Montani, David] Hop Bicetre, AP HP, Dept Hosp Univ DHU Thorax Innovat TORINO, Ctr Reference Hypertens Pulm Severe,Serv Pneumol, F-94270 Le Kremlin Bicetre, France; [Perros, Frederic; Humbert, Marc; Montani, David] Univ Paris Sud, Ctr Chirurg Marie Lannelongue, Lab Excellence LabEx Rech Medicament &amp; Innovat Th, INSERM,UMR S 999, F-92350 Le Plessis Robinson, France; [Lau, Edmund] Univ Sydney, Sydney Med Sch, Camperdown, NSW 2050, Australia; [Andujar, Pascal] CHI Creteil, Serv Pneumol &amp; Pathol Profess, F-94000 Creteil, France</t>
  </si>
  <si>
    <t>Institut National de la Sante et de la Recherche Medicale (Inserm); Universite Paris Saclay; Universite Paris Saclay; Universite Paris Saclay; Universite Paris Cite; Assistance Publique Hopitaux Paris (APHP); Hopital Universitaire Raymond-Poincare - APHP; Universite Paris Saclay; Assistance Publique Hopitaux Paris (APHP); Hopital Universitaire Bicetre - APHP; Universite Paris Saclay; Hopital Universitaire Antoine-Beclere - APHP; Institut National de la Sante et de la Recherche Medicale (Inserm); Hopital Marie Lannelongue; Universite Paris Saclay; University of Sydney; Universite Paris-Est-Creteil-Val-de-Marne (UPEC); CHI Creteil; Assistance Publique Hopitaux Paris (APHP); Hopital Universitaire Henri-Mondor - APHP</t>
  </si>
  <si>
    <t>Descatha, A (corresponding author), CHU Poincare, Unite Hosp Univ Sante Profess, 104 Bd Poincare, F-92380 Garches, France.</t>
  </si>
  <si>
    <t>alexis.descatha@inserm.fr</t>
  </si>
  <si>
    <t>David, Montani/I-6885-2019; Dumas, Orianne/R-8636-2016; Perros, Frederic/N-6921-2017; Andujar, Pascal/A-2395-2013; Humbert, Marc/AAC-8459-2019</t>
  </si>
  <si>
    <t>Dumas, Orianne/0000-0001-8423-2826; Perros, Frederic/0000-0001-7730-2427; Andujar, Pascal/0000-0002-9408-7033; Montani, David/0000-0002-9358-6922; Humbert, Marc/0000-0003-0703-2892</t>
  </si>
  <si>
    <t>10.1016/j.rmed.2017.11.021</t>
  </si>
  <si>
    <t>FW4LO</t>
  </si>
  <si>
    <t>WOS:000425285300008</t>
  </si>
  <si>
    <t>Farber, HW; Humbert, M; Hoeper, M; Busse, D; Meier, C; Ghofrani, H</t>
  </si>
  <si>
    <t>Farber, H. W.; Humbert, M.; Hoeper, M.; Busse, D.; Meier, C.; Ghofrani, H.</t>
  </si>
  <si>
    <t>Riociguat in Chronic Thromboembolic Pulmonary Hypertension (CTEPH): Evaluation of Abbreviated Versions of the ESC/ERS Risk Assessment Tool in CHEST-2</t>
  </si>
  <si>
    <t>[Farber, H. W.] Boston Univ, Sch Med, Pulm Ctr, Boston, MA 02118 USA; [Humbert, M.] Univ Paris Sud, Hop Bicetre, AP HP, Serv Pneumol,INSERM Unite 999, Le Kremlin Bicetre, France; [Hoeper, M.] Hannover Med Sch, Clin Resp Med, Hannover, Germany; [Hoeper, M.; Ghofrani, H.] German Ctr Lung Res DZL, Hannover, Germany; [Busse, D.] Chrestos Concept GmbH &amp; Co KG, Essen, Germany; [Meier, C.] Bayer AG, Berlin, Germany; [Ghofrani, H.] Univ Giessen, Giessen, Germany; [Ghofrani, H.] Marburg Lung Ctr, Giessen, Germany; [Ghofrani, H.] Imperial Coll London, Dept Med, London, England</t>
  </si>
  <si>
    <t>Boston University; Assistance Publique Hopitaux Paris (APHP); Hopital Universitaire Bicetre - APHP; Universite Paris Saclay; Institut National de la Sante et de la Recherche Medicale (Inserm); Hopital Universitaire Antoine-Beclere - APHP; Hannover Medical School; Bayer AG; Justus Liebig University Giessen; Imperial College London</t>
  </si>
  <si>
    <t>Hoeper, Marius/Z-1546-2019; Ghofrani, Ardeschir/AAD-5293-2020; Humbert, Marc/AAC-8459-2019</t>
  </si>
  <si>
    <t>A3787</t>
  </si>
  <si>
    <t>WOS:000449978904441</t>
  </si>
  <si>
    <t>Hachulla, E; Jais, X; Cinquetti, G; Clerson, P; Rottat, L; Launay, D; Cottin, V; Habib, G; Prevot, G; Chabanne, C; Foïs, E; Amoura, Z; Mouthon, L; Le Guern, V; Montani, D; Simonneau, G; Humbert, M; Sobanski, V; Sitbon, O</t>
  </si>
  <si>
    <t>Hachulla, Eric; Jais, Xavier; Cinquetti, Gael; Clerson, Pierre; Rottat, Laurence; Launay, David; Cottin, Vincent; Habib, Gilbert; Prevot, Gregoire; Chabanne, Celine; Fois, Elena; Amoura, Zahir; Mouthon, Luc; Le Guern, Veronique; Montani, David; Simonneau, Gerald; Humbert, Marc; Sobanski, Vincent; Sitbon, Olivier</t>
  </si>
  <si>
    <t>French Collaborators Recruiting Me</t>
  </si>
  <si>
    <t>Pulmonary Arterial Hypertension Associated With Systemic Lupus Erythematosus Results From the French Pulmonary Hypertension Registry</t>
  </si>
  <si>
    <t>pulmonary arterial hypertension; survival; systemic lupus erythematosus</t>
  </si>
  <si>
    <t>CONNECTIVE-TISSUE-DISEASE; ANTI-U1 RNP POSITIVITY; PREDICTING SURVIVAL; SCLEROSIS; ARTICLE; ANGEL</t>
  </si>
  <si>
    <t>BACKGROUND: Pulmonary arterial hypertension (PAH) is a rare complication of systemic lupus erythematosus (SLE). METHODS: We identified all patients with SLE and PAH (SLE-PAH) who were enrolled in the French Pulmonary Hypertension Registry with a diagnosis confirmed by right heart catheterization (RHC). A control group of 101 patients with SLE without known PAH was selected from SLE expert centers participating in the Pulmonary Hypertension Registry. Survival was estimated by the Kaplan-Meier method. Hazard ratios associated with potential predictors of death were estimated using Cox proportional hazard models. RESULTS: Of the 69 patients with SLE-PAH identified in the French Pulmonary Hypertension Registry, 51 were included in the study. They did not differ from the control group regarding age, sex, or duration of SLE at the time of the analysis but had a higher frequency of anti-SSA and anti-SSB antibodies. The delay between SLE diagnosis and PAH diagnosis was 4.9 years (range, 2.8-12.9) years. The 3- and 5-year overall survival rates were 89.4% (95% CI, 76.2%-96.5%) and 83.9% (95% CI, 68.8%-92.1%), respectively. The survival rate was significantly better in patients with anti-U1-RNP antibodies (P = .04). CONCLUSIONS: Patients with SLE-PAH have an overall 5-year survival rate of 83.9% after the PAH diagnosis. Anti-SSA/SSB antibodies may be a risk factor for PAH, and the presence of anti-U1-RNP antibodies appears to be a protective factor regarding survival.</t>
  </si>
  <si>
    <t>[Hachulla, Eric; Launay, David; Sobanski, Vincent] Univ Lille, Ctr Reference Malad Autoimmunes Syst Rares Nord &amp;, Hlth Care Provider European Reference Network,Rar, Hop Huriez,INSERM,LIRIC,Serv Med Interne,U995, Lille, France; [Jais, Xavier; Rottat, Laurence; Montani, David; Simonneau, Gerald; Humbert, Marc; Sitbon, Olivier] Univ Paris Saclay, Univ Paris Sud, Fac Med, Le Kremlin Bicetre, France; [Jais, Xavier; Rottat, Laurence; Montani, David; Simonneau, Gerald; Humbert, Marc; Sitbon, Olivier] Hop Bicetre, AP HP, Ctr Reference Hypertens Pulm, Serv Pneumol,DHU Thorax Innovat, Le Kremlin Bicetre, France; [Jais, Xavier; Rottat, Laurence; Montani, David; Simonneau, Gerald; Humbert, Marc; Sitbon, Olivier] INSERM, UMR S999, Ctr Chirurg Marie Lannelongue, LabEx LERMIT, Le Plessis Robinson, France; [Cinquetti, Gael] Hop Instruct Armees Legouest, Serv Malad Infect &amp; Syst, Metz, France; [Clerson, Pierre] Soladis Clin Studies, Roubaix, France; [Cottin, Vincent] Hop Louis Pradel, CHU Lyon HCL, Ctr Malad Orphelines Pulm, Serv Pneumol,GH Est, Bron, France; [Habib, Gilbert] CHU Marseille, Hop Timone, Serv Cardiol, Marseille, France; [Prevot, Gregoire] Hop Larrey, Serv Pneumol, Pole Voies Resp, Toulouse, France; [Chabanne, Celine] CHU Rennes, Hop Pontchaillou, Dept Cardiol &amp; Malad Vasc, Rennese, France; [Fois, Elena] Hop Henri Mondor, Unite Malad Genet Globule Rouge, Creteil, France; [Amoura, Zahir] Hop La Pitie Salpetriere, Inst E3M, Ctr Reference Lupus Syndrome Antiphospholipides &amp;, Serv Med Interne 2, Paris, France; [Amoura, Zahir] Univ Paris VI Pierre &amp; Marie Curie CIMI, CNRS, INSERM, UPMC,UMRS,CR7,U1135, Paris, France; [Mouthon, Luc; Le Guern, Veronique] Univ Paris 05, Ctr Reference Malad Autoimmunes Syst Rares Ile Fr, Hop Cochin, AP HP,Serv Med Interne, Paris, France</t>
  </si>
  <si>
    <t>Universite de Lille; CHU Lille; Institut National de la Sante et de la Recherche Medicale (Inserm); Universite Paris Saclay; Assistance Publique Hopitaux Paris (APHP); Hopital Universitaire Antoine-Beclere - APHP; Hopital Universitaire Bicetre - APHP; Universite Paris Saclay; Universite Paris Saclay; Hopital Marie Lannelongue; Institut National de la Sante et de la Recherche Medicale (Inserm); CHU Lyon; Aix-Marseille Universite; Assistance Publique-Hopitaux de Marseille; CHU de Toulouse; CHU Rennes; Assistance Publique Hopitaux Paris (APHP); Universite Paris-Est-Creteil-Val-de-Marne (UPEC); Hopital Universitaire Henri-Mondor - APHP; Assistance Publique Hopitaux Paris (APHP); Hopital Universitaire Pitie-Salpetriere - APHP; Sorbonne Universite; Institut National de la Sante et de la Recherche Medicale (Inserm); Sorbonne Universite; Centre National de la Recherche Scientifique (CNRS); Universite Paris Cite; Assistance Publique Hopitaux Paris (APHP); Hopital Universitaire Cochin - APHP</t>
  </si>
  <si>
    <t>Hachulla, E (corresponding author), Univ Lille, Hop Claude Huriez, Serv Med Interne, F-59037 Lille, France.</t>
  </si>
  <si>
    <t>HACHULLA, ERIC/R-8488-2018; Launay, David/A-5270-2018; meroni, pier/K-8473-2016; AMOURA, Zahir/P-5324-2017; Simonneau, Gerald/ABE-6614-2020; David, Montani/I-6885-2019; Sitbon, Olivier/I-3623-2019; Humbert, Marc/AAC-8459-2019; Launay, David/H-1674-2016; Sobanski, Vincent/Q-6411-2016</t>
  </si>
  <si>
    <t>Humbert, Marc/0000-0003-0703-2892; HACHULLA, ERIC/0000-0001-7432-847X; JAIS, XAVIER/0000-0002-4104-7994; Launay, David/0000-0003-1840-1817; Montani, David/0000-0002-9358-6922; Sobanski, Vincent/0000-0003-3083-2441; SITBON, Olivier/0000-0002-1942-1951</t>
  </si>
  <si>
    <t>Actelion Pharmaceuticals France; Assistance Publique Hopitaux de Paris; Institut National de la Sante et de la Recherche Medicale; Universite Paris-Sud</t>
  </si>
  <si>
    <t>Actelion Pharmaceuticals France; Assistance Publique Hopitaux de Paris; Institut National de la Sante et de la Recherche Medicale(Institut National de la Sante et de la Recherche Medicale (Inserm)); Universite Paris-Sud</t>
  </si>
  <si>
    <t>A research grant from Actelion Pharmaceuticals France was obtained for the logistical support, monitoring, project management, data management, and statistical analysis of the study. The French Pulmonary Hypertension Reference Centre is supported by Assistance Publique Hopitaux de Paris, Institut National de la Sante et de la Recherche Medicale, and Universite Paris-Sud.</t>
  </si>
  <si>
    <t>10.1016/j.chest.2017.08.014</t>
  </si>
  <si>
    <t>FS9XC</t>
  </si>
  <si>
    <t>WOS:000422771600026</t>
  </si>
  <si>
    <t>Harari, S; Elia, D; Humbert, M</t>
  </si>
  <si>
    <t>Harari, Sergio; Elia, Davide; Humbert, Marc</t>
  </si>
  <si>
    <t>Pulmonary Hypertension in Parenchymal Lung Diseases Any Future for New Therapies?</t>
  </si>
  <si>
    <t>6-MINUTE WALK DISTANCE; ARTERIAL-HYPERTENSION; CONTROLLED-TRIAL; DOUBLE-BLIND; FIBROSIS; SILDENAFIL; BOSENTAN; COPD; END; DYSFUNCTION</t>
  </si>
  <si>
    <t>Pulmonary hypertension (PH) due to chronic lung disease is associated with a poor prognosis, regardless of the underlying respiratory condition. Updated PH guidelines recommend optimal treatment of the underlying lung disease, including long-term oxygen therapy, in patients with chronic hypoxemia despite the lack of randomized controlled clinical trials supporting this statement. So far, randomized controlled trials of drugs approved for pulmonary arterial hypertension have yielded discouraging results in both interstitial lung diseases and COPD with PH. In some cases, the trials were terminated because of an increase in death and other major adverse events in the active treatment arm vs placebo. In cases of PH due to idiopathic pulmonary fibrosis, new therapies under investigation use a combination of novel antifibrotic treatments and other treatments approved for pulmonary arterial hypertension. The choice of robust end points as well as a target group of patients with specific hemodynamic criteria may help in the selection of innovative therapeutic strategies. The aim of this review is to discuss recent studies and clinical trials for the treatment of PH due to the main chronic respiratory diseases and to discuss possible future scenarios for the evaluation of new therapeutic strategies.</t>
  </si>
  <si>
    <t>[Harari, Sergio; Elia, Davide] Osped San Giuseppe, Unita Pneumol &amp; Terapia Semiintens Resp, Serv Fisiopatol Resp &amp; Emodinam Polmonare, I-20123 Milan, Italy; [Humbert, Marc] Univ Paris Sud, Fac Med, Le Kremlin Bicetre, France; [Humbert, Marc] Univ Paris Saclay, Serv Pneumol, Hop Bicetre, AP HP, Le Kremlin Bicetre, France; [Humbert, Marc] INSERM, UMR S 999, Le Kremlin Bicetre, France</t>
  </si>
  <si>
    <t>Universite Paris Saclay; Universite Paris Saclay; Assistance Publique Hopitaux Paris (APHP); Hopital Universitaire Antoine-Beclere - APHP; Institut National de la Sante et de la Recherche Medicale (Inserm); Hopital Universitaire Bicetre - APHP; Universite Paris Saclay; Institut National de la Sante et de la Recherche Medicale (Inserm)</t>
  </si>
  <si>
    <t>Harari, S (corresponding author), Osped San Giuseppe, Unita Pneumol &amp; Terapia Semiintens Resp, Serv Fisiopatol Resp &amp; Emodinam Polmonare, I-20123 Milan, Italy.</t>
  </si>
  <si>
    <t>sharari@hotmail.it</t>
  </si>
  <si>
    <t>Elia, Davide/AAF-9791-2020; Humbert, Marc/AAC-8459-2019</t>
  </si>
  <si>
    <t>Humbert, Marc/0000-0003-0703-2892; Elia, Davide/0000-0002-7440-4978</t>
  </si>
  <si>
    <t>Actelion; Bayer; GSK; Pfizer; Roche</t>
  </si>
  <si>
    <t>Actelion; Bayer(Bayer AG); GSK(GlaxoSmithKline); Pfizer(Pfizer); Roche(Roche Holding)</t>
  </si>
  <si>
    <t>The authors have reported to CHEST the following: S. H. has relationships with Actelion, Roche, Boehringer Ingelheim, and Intermune. In addition to being an investigator in trials involving these companies, S. H. is involved in lectures and is a member of scientific advisory boards. M. H. reports personal fees from Actelion, Bayer, GSK, Pfizer, and Roche. None declared (D. E.).</t>
  </si>
  <si>
    <t>10.1016/j.chest.2017.06.008</t>
  </si>
  <si>
    <t>WOS:000422771600034</t>
  </si>
  <si>
    <t>Humbert, M; Farber, HW; Ghofrani, H; Busse, D; Meier, C; Hoeper, MM</t>
  </si>
  <si>
    <t>Humbert, M.; Farber, H. W.; Ghofrani, H.; Busse, D.; Meier, C.; Hoeper, M. M.</t>
  </si>
  <si>
    <t>Riociguat in Pulmonary Arterial Hypertension (PAH): Evaluation of Abbreviated Versions of the ESC/ERS Risk Assessment Tool in PATENT-2</t>
  </si>
  <si>
    <t>[Humbert, M.] Univ Paris Sud, Hop Bicetre, AP HP, Serv Pneumol,INSERM,Unite 999, Le Kremlin Bicetre, France; [Farber, H. W.] Boston Univ, Sch Med, Pulm Ctr, Boston, MA 02118 USA; [Ghofrani, H.] Univ Giessen &amp; Marburg Lung Ctr, Giessen, Germany; [Ghofrani, H.; Hoeper, M. M.] German Ctr Lung Res DZL, Hannover, Germany; [Ghofrani, H.] Imperial Coll London, Dept Med, London, England; [Busse, D.] Chrestos Concept GmbH &amp; Co KG, Essen, Germany; [Meier, C.] Bayer AG, Berlin, Germany; [Hoeper, M. M.] Hannover Med Sch, Clin Resp Med, Hannover, Germany</t>
  </si>
  <si>
    <t>Assistance Publique Hopitaux Paris (APHP); Hopital Universitaire Bicetre - APHP; Institut National de la Sante et de la Recherche Medicale (Inserm); Universite Paris Saclay; Hopital Universitaire Antoine-Beclere - APHP; Boston University; Imperial College London; Bayer AG; Hannover Medical School</t>
  </si>
  <si>
    <t>A2123</t>
  </si>
  <si>
    <t>WOS:000449978901532</t>
  </si>
  <si>
    <t>Humbert, M; Busse, W; Hanania, NA</t>
  </si>
  <si>
    <t>Humbert, Marc; Busse, William; Hanania, Nicola A.</t>
  </si>
  <si>
    <t>Controversies and opportunities in severe asthma</t>
  </si>
  <si>
    <t>anti-immunoglobulin E; anti-interleukin 5; asthma; biologics; biomarker; endotype; oral corticosteroid; pediatric; asthma; phenotype; severe asthma</t>
  </si>
  <si>
    <t>SEVERE ALLERGIC-ASTHMA; ORAL CORTICOSTEROID USE; REAL-LIFE EFFECTIVENESS; TO-SEVERE ASTHMA; INHALED CORTICOSTEROIDS; DOUBLE-BLIND; UNCONTROLLED ASTHMA; PHARMACOLOGICAL-TREATMENT; MONOCLONAL-ANTIBODY; EARLY INTERVENTION</t>
  </si>
  <si>
    <t>Purpose of review Despite currently available treatments, many asthma patients remain inadequately controlled, but identifying distinct patient populations (phenotypes/endotypes) may optimize their management. This review discusses some of the controversies and opportunities for improved disease control in severe asthma. Recent findings Currently approved anti-immunoglobulin E and anti-interleukin 5 biologics, which target specific pathways instead of using a 'one size fits all' strategy, are efficacious and well tolerated therapies for severe asthma. The appropriate use of these biologics, and of those in development (e.g., benralizumab and dupilumab), should be aided by further understanding of asthma phenotypes and endotypes, utilizing appropriate biomarkers. Oral corticosteroids are often added as maintenance therapy for patients with severe uncontrolled asthma, but their use is associated with significant adverse effects and should be considered a last option. The true cost of this therapy, including the cost of morbidities associated with its use, remains to be determined. Severe asthma in pediatrics poses a unique opportunity for possible prevention strategies and the potential for primary prevention. Although several avenues for primary prevention are being explored and are out of the scope of this review, we focus our discussion on the use of omalizumab, which has been recently explored in clinical trials. Summary Appropriate use of biologics in severe asthma should be supported by further understanding of biomarkers predicting response to targeted therapy. Because of their association with significant adverse effects, add-on oral corticosteroids should be considered a last treatment option for patients with uncontrolled severe asthma. Finally, severe asthma in pediatrics poses a unique opportunity for potential prevention strategies.</t>
  </si>
  <si>
    <t>[Humbert, Marc] Univ Paris Saclay, Univ Paris Sud, Fac Med, Le Kremlin Bicetre, France; [Humbert, Marc] Hop Bicetre, AP HP, Serv Pneumol, Le Kremlin Bicetre, France; [Busse, William] Univ Wisconsin, Dept Med, Sch Med &amp; Publ Hlth, Madison, WI USA; [Hanania, Nicola A.] Baylor Coll Med, Sect Pulm Crit Care &amp; Sleep Med, Houston, TX 77030 USA</t>
  </si>
  <si>
    <t>Universite Paris Saclay; Assistance Publique Hopitaux Paris (APHP); Hopital Universitaire Antoine-Beclere - APHP; Hopital Universitaire Bicetre - APHP; Universite Paris Saclay; University of Wisconsin System; University of Wisconsin Madison; Baylor College of Medicine</t>
  </si>
  <si>
    <t>Busse, William/AFR-0848-2022; Hanania, Nicola/C-5875-2016; Humbert, Marc/AAC-8459-2019</t>
  </si>
  <si>
    <t>The review article was supported by Novartis Pharma AG (Basel, Switzerland).</t>
  </si>
  <si>
    <t>10.1097/MCP.0000000000000438</t>
  </si>
  <si>
    <t>GB0KS</t>
  </si>
  <si>
    <t>WOS:000428735600013</t>
  </si>
  <si>
    <t>Increasing confidence in the therapeutic relevance of eosinophils in severe asthma</t>
  </si>
  <si>
    <t>[Humbert, Marc] Univ Paris Saclay, Univ Paris Sud, Fac Med, Le Kremlin Bicetre, France; [Humbert, Marc] Hop Bicetre, AP HP, Serv Pneumol, F-94270 Le Kremlin Bicetre, France; [Humbert, Marc] Inserm UMR S 999, Le Kremlin Bicetre, France</t>
  </si>
  <si>
    <t>Universite Paris Saclay; Assistance Publique Hopitaux Paris (APHP); Hopital Universitaire Antoine-Beclere - APHP; Universite Paris Saclay; Hopital Universitaire Bicetre - APHP; Universite Paris Saclay; Institut National de la Sante et de la Recherche Medicale (Inserm)</t>
  </si>
  <si>
    <t>Humbert, M (corresponding author), Univ Paris Saclay, Univ Paris Sud, Fac Med, Le Kremlin Bicetre, France.;Humbert, M (corresponding author), Hop Bicetre, AP HP, Serv Pneumol, F-94270 Le Kremlin Bicetre, France.;Humbert, M (corresponding author), Inserm UMR S 999, Le Kremlin Bicetre, France.</t>
  </si>
  <si>
    <t>Sanofi/Regeneron; AstraZeneca; GlaxoSmithKline; Novartis; Roche; TEVA</t>
  </si>
  <si>
    <t>Sanofi/Regeneron(Regeneron); AstraZeneca(AstraZeneca); GlaxoSmithKline(GlaxoSmithKline); Novartis(Novartis); Roche(Roche Holding); TEVA(Teva Pharmaceutical Industries)</t>
  </si>
  <si>
    <t>I report personal fees from AstraZeneca, GlaxoSmithKline, Novartis, Roche, TEVA, and Sanofi/Regeneron.</t>
  </si>
  <si>
    <t>10.1016/S2213-2600(17)30343-0</t>
  </si>
  <si>
    <t>FQ9EI</t>
  </si>
  <si>
    <t>WOS:000418664800008</t>
  </si>
  <si>
    <t>Klose, H; Gall, H; Ghofrani, H; Grünig, E; Humbert, M; Simonneau, G; Halank, M; Langleben, D; Snijder, RJ; Escribano, P; Mielniczuk, LM; Lange, T; Vachiery, J; Wirtz, H; Helmersen, DS; Tsangaris, I; Barbera, JA; Pepke-Zaba, J; Boonstra, A; Rosenkranz, S; Ulrich, S; Mascherbauer, R; Delcroix, M; Jansa, P; Sanchez, MAG; Klotsche, J; Meier, C; Pittrow, D; Hoeper, MM</t>
  </si>
  <si>
    <t>Klose, H.; Gall, H.; Ghofrani, H.; Gruenig, E.; Humbert, M.; Simonneau, G.; Halank, M.; Langleben, D.; Snijder, R. J.; Escribano, P.; Mielniczuk, L. M.; Lange, T.; Vachiery, J.; Wirtz, H.; Helmersen, D. S.; Tsangaris, I.; Barbera, J. A.; Pepke-Zaba, J.; Boonstra, A.; Rosenkranz, S.; Ulrich, S.; Mascherbauer, R.; Delcroix, M.; Jansa, P.; Gomez Sanchez, M. A.; Klotsche, J.; Meier, C.; Pittrow, D.; Hoeper, M. M.</t>
  </si>
  <si>
    <t>Riociguat for the Treatment of Pulmonary Arterial Hypertension and Chronic Thromboembolic Pulmonary Hypertension: Safety Update from the EXPERT Registry</t>
  </si>
  <si>
    <t>[Klose, H.] Univ Med Ctr Hamburg Eppendorf, Hamburg, Germany; [Gall, H.; Ghofrani, H.] UGMLC, Giessen, Germany; [Gruenig, E.] Heidelberg Univ Hosp, Thoraxclin, Heidelberg, Germany; [Humbert, M.; Simonneau, G.] Univ Paris Sud, Serv Pneumol, Le Kremlin Bicetre, France; [Halank, M.] Univ Hosp Carl Gustav Carus, Dresden, Germany; [Langleben, D.] McGill Univ, Montreal, PQ, Canada; [Snijder, R. J.] St Antonius Hosp, Nieuwegein, Netherlands; [Escribano, P.] Hosp 12 Octubre, Madrid, Spain; [Mielniczuk, L. M.] Univ Ottawa Heart Inst, Ottawa, ON, Canada; [Lange, T.] Univ Med Ctr Regensburg, Regensburg, Germany; [Vachiery, J.] Clin Univ Bruxelles, Hop Erasme, Brussels, Belgium; [Wirtz, H.] Univ Leipzig, Leipzig, Germany; [Helmersen, D. S.] Univ Calgary, Calgary, AB, Canada; [Tsangaris, I.] Univ Hosp Attikon, Athens, Greece; [Barbera, J. A.] Hosp Clin Barcelona, Inst Invest Biomed August Pi &amp; Sunyer, Barcelona, Spain; [Barbera, J. A.] Univ Barcelona, Barcelona, Spain; [Pepke-Zaba, J.] Papworth Hosp, Cambridge, England; [Boonstra, A.] Vrije Univ Amsterdam Med Ctr, Amsterdam, Netherlands; [Rosenkranz, S.] Cologne Univ, Ctr Heart, Cologne, Germany; [Ulrich, S.] Univ Spital Zurich, Zurich, Switzerland; [Mascherbauer, R.] Krankenhaus Elisabethinen Linz GmbH, Linz, Austria; [Delcroix, M.] Katholieke Univ Leuven, Leuven, Belgium; [Jansa, P.] Charles Univ Prague, Prague, Czech Republic; [Gomez Sanchez, M. A.] Hosp Gen Nuestra Senora del Prado, Talavera De La Reina, Spain; [Klotsche, J.] Leibniz Inst, Berlin, Germany; [Meier, C.] Bayer AG, Berlin, Germany; [Pittrow, D.] Inst Clin Pharmacol, Dresden, Germany; [Hoeper, M. M.] Hannover Med Sch, Hannover, Germany</t>
  </si>
  <si>
    <t>University of Hamburg; University Medical Center Hamburg-Eppendorf; Ruprecht Karls University Heidelberg; Universite Paris Saclay; Technische Universitat Dresden; Carl Gustav Carus University Hospital; McGill University; St. Antonius Hospital Utrecht; Hospital Universitario 12 de Octubre; University of Ottawa; University of Ottawa Heart Institute; University of Regensburg; Universite Libre de Bruxelles; Leipzig University; University of Calgary; University Hospital Attikon; University of Barcelona; Hospital Clinic de Barcelona; IDIBAPS; University of Barcelona; Papworth Hospital; Vrije Universiteit Amsterdam; VU UNIVERSITY MEDICAL CENTER; University of Cologne; University of Zurich; University Zurich Hospital; Ordensklinikum Linz Elisabethinen; KU Leuven; Charles University Prague; Bayer AG; Technische Universitat Dresden; Hannover Medical School</t>
  </si>
  <si>
    <t>delcroix, marion/AAE-2712-2022; Vachiery, Jean-Luc/ABC-6631-2021; Humbert, Marc/AAC-8459-2019; Langleben, David/AAJ-9152-2020; Hoeper, Marius/Z-1546-2019; Tsangaris, Iraklis/AAA-3627-2020; Zafra, María/ABC-8520-2021; Pittrow, David/AAY-5042-2021; Pepke-Zaba, Joanna/AGW-3073-2022; boonstra, anco/J-5446-2014; Simonneau, Gerald/ABE-6614-2020; Jansa, Pavel/O-2302-2017; Ghofrani, Ardeschir/AAD-5293-2020; Escribano, Pilar/R-5273-2017</t>
  </si>
  <si>
    <t>A5682</t>
  </si>
  <si>
    <t>WOS:000449980302135</t>
  </si>
  <si>
    <t>Kovacs, G; Herve, P; Barbera, JA; Chaouat, A; Chemla, D; Condliffe, R; Garcia, G; Grünig, E; Howard, L; Humbert, M; Lau, E; Laveneziana, P; Lewis, GD; Naeije, R; Peacock, A; Rosenkranz, S; Saggar, R; Ulrich, S; Vizza, D; Noordegraaf, AV; Olschewski, H</t>
  </si>
  <si>
    <t>Kovacs, Gabor; Herve, Philippe; Barbera, Joan Albert; Chaouat, Ari; Chemla, Denis; Condliffe, Robin; Garcia, Gilles; Grunig, Ekkehard; Howard, Luke; Humbert, Marc; Lau, Edmund; Laveneziana, Pierantonio; Lewis, Gregory D.; Naeije, Robert; Peacock, Andrew; Rosenkranz, Stephan; Saggar, Rajeev; Ulrich, Silvia; Vizza, Dario; Noordegraaf, Anton Vonk; Olschewski, Horst</t>
  </si>
  <si>
    <t>An official European Respiratory Society statement: pulmonary haemodynamics during exercise (vol 50, 1700578, 2017)</t>
  </si>
  <si>
    <t>Laveneziana, Pierantonio/GWC-2028-2022; Chaouat, Ari/AAP-6784-2021; Humbert, Marc/AAC-8459-2019; Howard, Luke/HJP-3415-2023; Olschewski, Horst/L-3547-2019; vizza, carmine dario/AAC-5540-2020</t>
  </si>
  <si>
    <t>vizza, carmine dario/0000-0002-3540-4983</t>
  </si>
  <si>
    <t>10.1183/13993003.50578-2017</t>
  </si>
  <si>
    <t>FV1WI</t>
  </si>
  <si>
    <t>WOS:000424355100072</t>
  </si>
  <si>
    <t>Liu, MC; Humbert, M; Bratton, DJ; Yancey, SW; Bradford, ES; Hozawa, S; Albers, FC</t>
  </si>
  <si>
    <t>Liu, M. C.; Humbert, M.; Bratton, D. J.; Yancey, S. W.; Bradford, E. S.; Hozawa, S.; Albers, F. C.</t>
  </si>
  <si>
    <t>Effect of Mepolizumab (100 mg Subcutaneous) on Exacerbation Rate in Patients with Severe Eosinophilic Asthma by Omalizumab Eligibility (US Criteria), and Immunoglobulin E and Eosinophilic Subgroups</t>
  </si>
  <si>
    <t>[Liu, M. C.] Johns Hopkins Asthma &amp; Allergy Ctr, Baltimore, MD USA; [Humbert, M.] Univ Paris Sud, Hop Bicetre, AP HP, Serv Pneumol, Le Kremlin Bicetre, France; [Humbert, M.] INSERM, U 999, Le Kremlin Bicetre, France; [Bratton, D. J.] GSK, Clin Stat, Uxbridge, Middx, England; [Yancey, S. W.; Bradford, E. S.] GSK, Resp Therapeut Area, Durham, NC USA; [Hozawa, S.] Hiroshima Allergy &amp; Resp Clin, Hiroshima, Japan; [Albers, F. C.] GSK, Resp Med Franchise, Durham, NC USA</t>
  </si>
  <si>
    <t>Johns Hopkins University; Johns Hopkins Medicine; Universite Paris Saclay; Assistance Publique Hopitaux Paris (APHP); Hopital Universitaire Antoine-Beclere - APHP; Hopital Universitaire Bicetre - APHP; Institut National de la Sante et de la Recherche Medicale (Inserm); GlaxoSmithKline; Glaxosmithkline United Kingdom; GlaxoSmithKline; GlaxoSmithKline</t>
  </si>
  <si>
    <t>GSK [208116, 115588/NCT01691521, 200862/NCT02281318]</t>
  </si>
  <si>
    <t>GSK (meta-analysis: 208116 [studies: 115588/NCT01691521; 200862/NCT02281318])</t>
  </si>
  <si>
    <t>A7657</t>
  </si>
  <si>
    <t>WOS:000449980305403</t>
  </si>
  <si>
    <t>Montani, D; Henry, J; O'Connell, C; Jaïs, X; Cottin, V; Launay, D; Habib, G; Bourdin, A; Jevnikar, M; Savale, L; Rottat, L; Simonneau, G; Sitbon, O; Humbert, M; Allanore, Y</t>
  </si>
  <si>
    <t>Montani, David; Henry, Julien; O'Connell, Caroline; Jais, Xavier; Cottin, Vincent; Launay, David; Habib, Gilbert; Bourdin, Arnaud; Jevnikar, Mitja; Savale, Laurent; Rottat, Laurence; Simonneau, Gerald; Sitbon, Olivier; Humbert, Marc; Allanore, Yannick</t>
  </si>
  <si>
    <t>Association between Rheumatoid Arthritis and Pulmonary Hypertension: Data from the French Pulmonary Hypertension Registry</t>
  </si>
  <si>
    <t>RESPIRATION</t>
  </si>
  <si>
    <t>Rheumatoid arthritis; Pulmonary hypertension; Connective tissue disease</t>
  </si>
  <si>
    <t>SYSTEMIC-LUPUS-ERYTHEMATOSUS; BASE-LINE CHARACTERISTICS; OF-THE-LITERATURE; ARTERIAL-HYPERTENSION; PROGNOSTIC-FACTORS; REVEAL REGISTRY; DISEASE; SCLEROSIS; SURVIVAL; PREVALENCE</t>
  </si>
  <si>
    <t>Background: Precapillary pulmonary hypertension (PH), and particularly pulmonary arterial hypertension (PAH), is a life-threatening complication of connective tissue diseases (systemic sclerosis, systemic lupus erythematosus, and mixed connective tissue disease). The relationship between PH and rheumatoid arthritis (RA) has not been clearly established. Objectives: The aim of the study was to evaluate the relationship between precapillary PH and RA. Methods: We identified patients with PH and suspected RA included in the French PH Registry between 1 May 2004 and 31 December 2012 and evaluated the prevalence of confirmed RA in this population. RA phenotypes, clinical, functional, and hemodynamic data, and patient outcomes were recorded. Results: RA was confirmed in 20 patients (70% female; mean age 52 years) with precapillary PH, including 10 patients with PAH, 6 with severe PH due to lung disease, and 4 with chronic thromboembolic PH. The prevalence of RA was 0.35% (95% CI: 0.23-0.54) in the French PH Registry and 0.58% (95% CI: 0.30-1.11) in idiopathic PAH, comparable to that in the general population. The RA phenotype was characterized by the presence of specific RA autoantibodies and joint erosions in 75% of the patients. The outcomes of PH in the RA patients were unremarkable compared to those in other patients from the registry, and RA therapies had no major impact on the cardiopulmonary parameters. Conclusion: When precapillary PH occurs in RA patients, all PH subsets may be identified. The RA prevalence in the French PH Registry is similar to that in the general population, which does not support a specific association or an indication for PH screening in RA patients. (C) 2018 S. Karger AG, Basel</t>
  </si>
  <si>
    <t>[Montani, David; O'Connell, Caroline; Jais, Xavier; Jevnikar, Mitja; Savale, Laurent; Rottat, Laurence; Simonneau, Gerald; Sitbon, Olivier; Humbert, Marc] Univ Paris Saclay, Univ Paris Sud, Fac Med, Le Kremlin Bicetre, France; [Montani, David; O'Connell, Caroline; Jais, Xavier; Jevnikar, Mitja; Savale, Laurent; Rottat, Laurence; Simonneau, Gerald; Sitbon, Olivier; Humbert, Marc] Hop Bicetre, Serv Pneumol, AP HP, Le Kremlin Bicetre, France; [Montani, David; O'Connell, Caroline; Jais, Xavier; Jevnikar, Mitja; Savale, Laurent; Rottat, Laurence; Simonneau, Gerald; Sitbon, Olivier; Humbert, Marc] Hop Marie Lannelongue, Inserm UMR S 999, Le Plessis Robinson, France; [Henry, Julien; Allanore, Yannick] Univ Paris 5 Rene Descartes, Dept Rheumatol A, Hop Cochin, AP HP, Paris, France; [Cottin, Vincent] Univ Claude Bernard Lyon 1, Hop Louis Pradel, Serv Pneumol, Ctr Reference Natl Malad Pulm Rares, Lyon, France; [Launay, David] Univ Lille, U995, LIRIC, Lille, France; [Launay, David] CHU Lille, Dept Med Interne &amp; Immunol Clin, Lille, France; [Launay, David] Ctr Natl Reference Malad Syst &amp; Autoimmunes Rares, Lille, France; [Launay, David] FHU Immune Mediated Inflammatory Dis &amp; Targeted T, Lille, France; [Habib, Gilbert] Hop La Timone, Serv Cardiol, Marseille, France; [Bourdin, Arnaud] Univ Montpellier I &amp; II, Dept Resp Dis, INSERM U1046, Hop Arnaud de Villeneuve, Montpellier, France</t>
  </si>
  <si>
    <t>Universite Paris Saclay; Universite Paris Saclay; Assistance Publique Hopitaux Paris (APHP); Hopital Universitaire Antoine-Beclere - APHP; Hopital Universitaire Bicetre - APHP; Universite Paris Saclay; Institut National de la Sante et de la Recherche Medicale (Inserm); Hopital Marie Lannelongue; Universite Paris Cite; Assistance Publique Hopitaux Paris (APHP); Hopital Universitaire Cochin - APHP; CHU Lyon; Universite Claude Bernard Lyon 1; Universite de Lille; Universite de Lille; CHU Lille; Aix-Marseille Universite; Assistance Publique-Hopitaux de Marseille; Institut National de la Sante et de la Recherche Medicale (Inserm); Universite de Montpellier; CHU de Montpellier</t>
  </si>
  <si>
    <t>Allanore, Y (corresponding author), Hop Cochin, Dept Rheumatol A, 27 Rue Faubourg St Jacques, FR-75014 Paris, France.</t>
  </si>
  <si>
    <t>yannick.allanore@cch.aphp.fr</t>
  </si>
  <si>
    <t>Sitbon, Olivier/I-3623-2019; Launay, David/A-5270-2018; Bourdin, Philippe/D-8149-2015; Simonneau, Gerald/ABE-6614-2020; Savale, Laurent/AAJ-9781-2020; David, Montani/I-6885-2019; Launay, David/H-1674-2016; Humbert, Marc/AAC-8459-2019</t>
  </si>
  <si>
    <t>Bourdin, Arnaud/0000-0002-4645-5209; Montani, David/0000-0002-9358-6922; Launay, David/0000-0003-1840-1817; JAIS, XAVIER/0000-0002-4104-7994; Cottin, Vincent/0000-0002-5591-0955; Humbert, Marc/0000-0003-0703-2892; Jevnikar, Mitja/0000-0003-0727-6790; SITBON, Olivier/0000-0002-1942-1951</t>
  </si>
  <si>
    <t>French PH Network; Departements Hospitalo-Universitaire (DHU) Thorax Innovation (TORINO); Laboratoire d'Excellence (LabEx) en Recherche sur le Medicament et l'Innovation Therapeutique (LERMIT)</t>
  </si>
  <si>
    <t>This study was supported in part by the French PH Network, the Departements Hospitalo-Universitaire (DHU) Thorax Innovation (TORINO) and the Laboratoire d'Excellence (LabEx) en Recherche sur le Medicament et l'Innovation Therapeutique (LERMIT).</t>
  </si>
  <si>
    <t>KARGER</t>
  </si>
  <si>
    <t>ALLSCHWILERSTRASSE 10, CH-4009 BASEL, SWITZERLAND</t>
  </si>
  <si>
    <t>0025-7931</t>
  </si>
  <si>
    <t>1423-0356</t>
  </si>
  <si>
    <t>Respiration</t>
  </si>
  <si>
    <t>10.1159/000485631</t>
  </si>
  <si>
    <t>GB8XP</t>
  </si>
  <si>
    <t>WOS:000429358900006</t>
  </si>
  <si>
    <t>Phan, C; Jutant, EM; Tu, L; Thuillet, R; Seferian, A; Montani, D; Huertas, A; van Bezu, J; Breijer, F; Noordegraaf, AV; Humbert, M; Aman, J; Guignabert, C</t>
  </si>
  <si>
    <t>Phan, Carole; Jutant, Etienne-Marie; Tu, Ly; Thuillet, Raphael; Seferian, Andrei; Montani, David; Huertas, Alice; van Bezu, Jan; Breijer, Fabian; Noordegraaf, Anton Vonk; Humbert, Marc; Aman, Jurjan; Guignabert, Christophe</t>
  </si>
  <si>
    <t>Dasatinib increases endothelial permeability leading to pleural effusion</t>
  </si>
  <si>
    <t>CHRONIC MYELOID-LEUKEMIA; OXIDATIVE STRESS; TYROSINE PHOSPHORYLATION; TIGHT JUNCTIONS; PULMONARY-HYPERTENSION; BARRIER DYSFUNCTION; IMATINIB-RESISTANT; KINASE INHIBITORS; CELL PERMEABILITY; GROWTH-FACTOR</t>
  </si>
  <si>
    <t>Pleural effusion is a frequent side-effect of dasatinib, a second-generation tyrosine kinase inhibitor used in the treatment of chronic myelogenous leukaemia. However, the underlying mechanisms remain unknown. We hypothesised that dasatinib alters endothelial integrity, resulting in increased pulmonary vascular endothelial permeability and pleural effusion. To test this, we established the first animal model of dasatinib-related pleural effusion, by treating rats with a daily regimen of high doses of dasatinib (10 mg.kg(-1).day(-1) for 8 weeks). Pleural ultrasonography revealed that rats chronically treated with dasatinib developed pleural effusion after 5 weeks. Consistent with these in vivo observations, dasatinib led to a rapid and reversible increase in paracellular permeability of human pulmonary endothelial cell monolayers as reflected by increased macromolecule passage, loss of vascular endothelial cadherin and zonula occludens-1 from cell-cell junctions, and the development of actin stress fibres. These results were replicated using human umbilical vein endothelial cells and confirmed by decreased endothelial resistance. Interestingly, we demonstrated that this increased endothelial permeability is a reactive oxygen species (ROS)-dependent mechanism in vitro and in vivo using a cotreatment with an antioxidant agent, N-acetylcysteine. This study shows that dasatinib alters pulmonary endothelial permeability in a ROS-dependent manner in vitro and in vivo leading to pleural effusion.</t>
  </si>
  <si>
    <t>[Phan, Carole; Jutant, Etienne-Marie; Tu, Ly; Thuillet, Raphael; Seferian, Andrei; Montani, David; Huertas, Alice; Humbert, Marc; Guignabert, Christophe] INSERM, UMR S 999, 133 Ave Resistance, F-92350 Le Plessis Robinson, France; [Phan, Carole; Jutant, Etienne-Marie; Tu, Ly; Thuillet, Raphael; Seferian, Andrei; Montani, David; Huertas, Alice; Humbert, Marc; Guignabert, Christophe] Univ Paris Sud, Le Kremlin Bicetre, France; [Phan, Carole; Jutant, Etienne-Marie; Tu, Ly; Thuillet, Raphael; Seferian, Andrei; Montani, David; Huertas, Alice; Humbert, Marc; Guignabert, Christophe] Univ Paris Saclay, Le Kremlin Bicetre, France; [Phan, Carole; Jutant, Etienne-Marie; Tu, Ly; Thuillet, Raphael; Seferian, Andrei; Montani, David; Huertas, Alice; Humbert, Marc; Guignabert, Christophe] Hop Bicetre, AP HP, Ctr Reference Hypertens Pulm Severe, Serv Pneumol,DHU TORINO, Le Kremlin Bicetre, France; [van Bezu, Jan; Breijer, Fabian; Aman, Jurjan] Vrije Univ Amsterdam, Med Ctr, Dept Physiol, Amsterdam, Netherlands; [Noordegraaf, Anton Vonk; Aman, Jurjan] Inst Cardiovasc Res, Dept Pulm Dis, Amsterdam, Netherlands</t>
  </si>
  <si>
    <t>Universite Paris Saclay; Institut National de la Sante et de la Recherche Medicale (Inserm); Universite Paris Saclay; Universite Paris Saclay; Assistance Publique Hopitaux Paris (APHP); Hopital Universitaire Antoine-Beclere - APHP; Universite Paris Saclay; Hopital Universitaire Bicetre - APHP; Vrije Universiteit Amsterdam</t>
  </si>
  <si>
    <t>David, Montani/I-6885-2019; TU, Ly/AAK-4996-2020; TU, Ly/G-4035-2013; Humbert, Marc/AAC-8459-2019; Huertas, Alice/E-8244-2017; GUIGNABERT, Christophe/G-3873-2013</t>
  </si>
  <si>
    <t>TU, Ly/0000-0003-2336-5099; Montani, David/0000-0002-9358-6922; Vonk Noordegraaf, Anton/0000-0002-4057-758X; Humbert, Marc/0000-0003-0703-2892; Thuillet, Raphael/0000-0002-1379-3797; Jutant, Etienne-Marie/0000-0002-1374-1890; Phan, Carole/0000-0002-7834-508X; Huertas, Alice/0000-0001-8545-747X; GUIGNABERT, Christophe/0000-0002-8545-4452</t>
  </si>
  <si>
    <t>French National Institute for Health and Medical Research (INSERM); University Paris-Sud; University Paris-Saclay; Marie Lannelongue Hospital; National Agency for Drug Safety (ANSM) grant VIGIAPATH; Dept Hospitalo-Universitaire (DHU) Thorax Innovation (TORINO); Assistance Publique-Hopitaux de Paris (AP-HP); Service de Pneumologie; Centre de Reference de l'Hypertension Pulmonaire Severe; LabEx LERMIT [ANR-10-LABX-0033]; French Pulmonary Hypertension Patient Association (HTAP France); French Fonds de Dotation Recherche en Sante Respiratoire (FRSR) Fondation du Souffle (FdS); AP-HP; Dutch Heart Foundation (Nederlandse Hartstichting) [2014T064]; Crossref Funder Registry</t>
  </si>
  <si>
    <t>French National Institute for Health and Medical Research (INSERM)(Institut National de la Sante et de la Recherche Medicale (Inserm)); University Paris-Sud; University Paris-Saclay; Marie Lannelongue Hospital; National Agency for Drug Safety (ANSM) grant VIGIAPATH; Dept Hospitalo-Universitaire (DHU) Thorax Innovation (TORINO); Assistance Publique-Hopitaux de Paris (AP-HP); Service de Pneumologie; Centre de Reference de l'Hypertension Pulmonaire Severe; LabEx LERMIT; French Pulmonary Hypertension Patient Association (HTAP France); French Fonds de Dotation Recherche en Sante Respiratoire (FRSR) Fondation du Souffle (FdS); AP-HP; Dutch Heart Foundation (Nederlandse Hartstichting)(Netherlands Heart Foundation); Crossref Funder Registry</t>
  </si>
  <si>
    <t>This research was supported by grants from the French National Institute for Health and Medical Research (INSERM), the University Paris-Sud and University Paris-Saclay, the Marie Lannelongue Hospital, the National Agency for Drug Safety (ANSM) grant VIGIAPATH, and in part by the Dept Hospitalo-Universitaire (DHU) Thorax Innovation (TORINO), the Assistance Publique-Hopitaux de Paris (AP-HP), Service de Pneumologie, Centre de Reference de l'Hypertension Pulmonaire Severe, the LabEx LERMIT (grant ANR-10-LABX-0033), and the French Pulmonary Hypertension Patient Association (HTAP France). C. Phan was supported by the French Fonds de Dotation Recherche en Sante Respiratoire (FRSR) Fondation du Souffle (FdS). E.M. Jutant was the recipient of an Annee- Recherche fellowship from AP-HP. J. Aman was funded by the Dutch Heart Foundation (Nederlandse Hartstichting; grant 2014T064). Funding information for this article has been deposited with the Crossref Funder Registry.</t>
  </si>
  <si>
    <t>10.1183/13993003.01096-2017</t>
  </si>
  <si>
    <t>WOS:000424355100004</t>
  </si>
  <si>
    <t>Preston, I; Frantz, R; Hemnes, A; Rosenkranz, S; Skaara, H; Pfister, T; Humbert, M; Howard, LS</t>
  </si>
  <si>
    <t>Preston, I.; Frantz, R.; Hemnes, A.; Rosenkranz, S.; Skaara, H.; Pfister, T.; Humbert, M.; Howard, L. S.</t>
  </si>
  <si>
    <t>Rationale and Design of TRACE: A Double-Blind, Placebo-Controlled Phase 4 Study in Pulmonary Arterial Hypertension to Assess the Effect of Selexipag on Physical Activity, Patient-Reported Symptoms and Their Impact, in Daily Life</t>
  </si>
  <si>
    <t>[Preston, I.] Tufts Med Ctr, Boston, MA USA; [Frantz, R.] Mayo Clin, Rochester, MN USA; [Hemnes, A.] Vanderbilt Univ, 221 Kirkland Hall, Nashville, TN 37235 USA; [Rosenkranz, S.] Univ Cologne, Cologne, Germany; [Skaara, H.] Pulm Hypertens Assoc PHA Europe, Vienna, Austria; [Pfister, T.] Actel Pharmaceut Ltd, Allschwil, Switzerland; [Humbert, M.] Univ Paris Sud, Le Kremlin Bicetre, France; [Howard, L. S.] Hammersmith Hosp, London, England</t>
  </si>
  <si>
    <t>Tufts Medical Center; Mayo Clinic; Vanderbilt University; University of Cologne; Actelion Pharmaceuticals Ltd; Universite Paris Saclay; Imperial College London</t>
  </si>
  <si>
    <t>Hemnes, Anna/HDN-4762-2022; Howard, Luke/HJP-3415-2023; Humbert, Marc/AAC-8459-2019</t>
  </si>
  <si>
    <t>This abstract is funded by: Actelion Pharmaceuticals Ltd.</t>
  </si>
  <si>
    <t>A5680</t>
  </si>
  <si>
    <t>WOS:000449980302133</t>
  </si>
  <si>
    <t>Rhodes, CJ; Batai, K; Bleda, M; Haimel, M; Southgate, L; Germain, M; Pauciulo, MW; Hadinnapola, C; Girerd, B; Arora, A; Knight, J; Hanscombe, K; Karnes, J; Kaakinen, M; Gall, HH; Ulrich, A; Harbaum, L; Aman, J; Cebola, I; Ferrer, J; Martin, L; He, H; Frost, AE; White, R; Lutz, K; Walsworth, A; Wharton, J; Lawrie, A; Humbert, M; Soubrier, F; Tregouet, D; Prokopenko, I; Kittles, R; Graef, S; Nichols, WC; Trembath, R; Desai, AA; Morrell, N; Wilkins, M</t>
  </si>
  <si>
    <t>Rhodes, C. J.; Batai, K.; Bleda, M.; Haimel, M.; Southgate, L.; Germain, M.; Pauciulo, M. W.; Hadinnapola, C.; Girerd, B.; Arora, A.; Knight, J.; Hanscombe, K.; Karnes, J.; Kaakinen, M.; Gall, H. H.; Ulrich, A.; Harbaum, L.; Aman, J.; Cebola, I.; Ferrer, J.; Martin, L.; He, H.; Frost, A. E.; White, R.; Lutz, K.; Walsworth, A.; Wharton, J.; Lawrie, A.; Humbert, M.; Soubrier, F.; Tregouet, D.; Prokopenko, I.; Kittles, R.; Graef, S.; Nichols, W. C.; Trembath, R.; Desai, A. A.; Morrell, N.; Wilkins, M.</t>
  </si>
  <si>
    <t>NIHR BioResouce Rare Dis; UK PAH Cohort Study Consortium; US PAH Biobank Study Consortium</t>
  </si>
  <si>
    <t>Genetic Determinants of Risk and Survival in Pulmonary Arterial Hypertension</t>
  </si>
  <si>
    <t>[Rhodes, C. J.; Kaakinen, M.; Ulrich, A.; Harbaum, L.; Aman, J.; Wharton, J.; Prokopenko, I.; Wilkins, M.] Imperial Coll London, Pharmacol &amp; Therapeut, London, England; [Batai, K.; Arora, A.; Karnes, J.] Univ Arizona, Tucson, AZ USA; [Bleda, M.; Haimel, M.; Graef, S.] Univ Cambridge, Cambridge, England; [Southgate, L.] St Georges Univ London, London, England; [Germain, M.; Soubrier, F.; Tregouet, D.] Pierre &amp; Marie Curie Univ, Paris, France; [Pauciulo, M. W.] Cincinnati Childrens Hosp Med Ctr, Cincinnati, OH 45229 USA; [Hadinnapola, C.] Univ Cambridge, Cambridge, England; [Girerd, B.] Hop Antoine Beclere, F-92140 Clamart, France; [Knight, J.] Univ Lancaster, Lancaster, England; [Hanscombe, K.; Trembath, R.] Kings Coll London, London, England; [Gall, H. H.] Univ Giessen, Lung Ctr, Giessen, Germany; [Cebola, I.; Ferrer, J.] Imperial Coll London, London, England; [Martin, L.; He, H.; Lutz, K.; Walsworth, A.] Univ Cincinnati, Cincinnati, OH USA; [Frost, A. E.] Houston Methodist Lung Ctr, Smith Tower,Suite 1001, Houston, TX USA; [White, R.] Univ Rochester, Rochester, NY USA; [Lawrie, A.] Univ Sheffield, Dept Cardiovasc Sci, Sheffield, S Yorkshire, England; [Humbert, M.] Hop Bicetre, Pneumol, Le Kremlin Bicetre, France; [Kittles, R.] City Hope Natl Med Ctr, Duarte, CA USA; [Nichols, W. C.] Cincinnati Childrens Hosp Med Ctr, Div Human Genet, Cincinnati, OH 45229 USA; [Desai, A. A.] Univ Arizona, Med Cardiol, Tucson, AZ USA; [Morrell, N.] Univ Cambridge, Addenbrookes Hosp, Dept Med, Cambridge, England</t>
  </si>
  <si>
    <t>Imperial College London; University of Arizona; University of Cambridge; City St Georges, University of London; St Georges University London; Sorbonne Universite; Cincinnati Children's Hospital Medical Center; University of Cambridge; Assistance Publique Hopitaux Paris (APHP); Hopital Universitaire Antoine-Beclere - APHP; Lancaster University; University of London; King's College London; Justus Liebig University Giessen; Imperial College London; University System of Ohio; University of Cincinnati; Houston Methodist; University of Rochester; University of Sheffield; Assistance Publique Hopitaux Paris (APHP); Hopital Universitaire Antoine-Beclere - APHP; Universite Paris Saclay; Hopital Universitaire Bicetre - APHP; City of Hope; Cincinnati Children's Hospital Medical Center; University of Arizona; University of Cambridge; Cambridge University Hospitals NHS Foundation Trust; Addenbrooke's Hospital</t>
  </si>
  <si>
    <t>c.rhodes07@imperial.ac.uk</t>
  </si>
  <si>
    <t>Tregouet, David-Alexandre/E-3961-2016; Cebola, Inês/AAG-9652-2020; Hadinnapola, Charaka/AAW-1229-2020; Batai, Ken/AAG-5277-2019; Hanscombe, Ken/D-5101-2011; Lawrie, Allan/A-2708-2012; Humbert, Marc/AAC-8459-2019; Southgate, Laura/H-7924-2019; Prokopenko, Inga/AAU-9895-2020; debette, stephanie/T-4946-2019; Scelsi, Laura/AAB-9729-2019; Ghio, Stefano/ABH-1151-2021</t>
  </si>
  <si>
    <t>Wharton, John/0000-0001-8110-2575; debette, stephanie/0000-0001-8675-7968; Batai, Ken/0000-0002-0317-1118; Rhodes, Christopher/0000-0002-4962-3204; Hanscombe, Ken Benjamin/0000-0002-3715-6805; Scelsi, Laura/0000-0001-9409-691X; Bogaard, Harm Jan/0000-0001-5371-0346; Church, Alistair/0000-0002-4446-0100; Waisfisz, Quinten/0000-0002-7384-9182; Ghio, Stefano/0000-0002-1858-1152; Hadinnapola, Charaka/0000-0002-7794-3432</t>
  </si>
  <si>
    <t>NIHR NIH AHA MRC BHF</t>
  </si>
  <si>
    <t>This abstract is funded by: NIHR NIH AHA MRC BHF</t>
  </si>
  <si>
    <t>A7650</t>
  </si>
  <si>
    <t>WOS:000449980305396</t>
  </si>
  <si>
    <t>Weatherald, JC; Boucly, A; Taniguchi, Y; Launay, D; Hachulla, E; Prevot, G; Cottin, V; Jevnikar, M; Savale, L; Jais, X; Simonneau, G; Montani, D; Sitbon, O; Humbert, M</t>
  </si>
  <si>
    <t>Weatherald, J. C.; Boucly, A.; Taniguchi, Y.; Launay, D.; Hachulla, E.; Prevot, G.; Cottin, V.; Jevnikar, M.; Savale, L.; Jais, X.; Simonneau, G.; Montani, D.; Sitbon, O.; Humbert, M.</t>
  </si>
  <si>
    <t>Hemodynamics and Prognosis in Scleroderma-Associated PAH</t>
  </si>
  <si>
    <t>[Weatherald, J. C.] Univ Calgary, Respirol, Calgary, AB, Canada; [Boucly, A.] Hop Bicetre, Serv Pneumol &amp; Soins, Le Kremlin Bicetre, France; [Taniguchi, Y.; Savale, L.; Jais, X.; Simonneau, G.; Montani, D.] Hop Bicetre, Le Kremlin Bicetre, France; [Launay, D.; Hachulla, E.] Univ Lille, Lille, France; [Prevot, G.] Hop Larrey, Toulouse, France; [Cottin, V.] Univ Lyon, Louis Pradel Hosp, Lyon, France; [Jevnikar, M.] Hop Bicetre, Le Kremlin Bicetre, France; [Sitbon, O.] Hop Bicetre, Serv Pneumol, Le Kremlin Bicetre, France; [Humbert, M.] Hop Bicetre, Pneumol, Le Kremlin Bicetre, France</t>
  </si>
  <si>
    <t>University of Calgary; Assistance Publique Hopitaux Paris (APHP); Hopital Universitaire Antoine-Beclere - APHP; Hopital Universitaire Bicetre - APHP; Universite Paris Saclay; Assistance Publique Hopitaux Paris (APHP); Hopital Universitaire Antoine-Beclere - APHP; Hopital Universitaire Bicetre - APHP; Universite Paris Saclay; Universite de Lille; CHU de Toulouse; CHU Lyon; Assistance Publique Hopitaux Paris (APHP); Hopital Universitaire Bicetre - APHP; Hopital Universitaire Antoine-Beclere - APHP; Universite Paris Saclay; Assistance Publique Hopitaux Paris (APHP); Hopital Universitaire Bicetre - APHP; Hopital Universitaire Antoine-Beclere - APHP; Universite Paris Saclay; Assistance Publique Hopitaux Paris (APHP); Hopital Universitaire Bicetre - APHP; Universite Paris Saclay; Hopital Universitaire Antoine-Beclere - APHP</t>
  </si>
  <si>
    <t>jweatherald@gmail.com</t>
  </si>
  <si>
    <t>Launay, David/JDM-2536-2023; Simonneau, Gerald/ABE-6614-2020; Savale, Laurent/AAJ-9781-2020; Sitbon, Olivier/I-3623-2019; David, Montani/I-6885-2019; Humbert, Marc/AAC-8459-2019; HACHULLA, ERIC/R-8488-2018</t>
  </si>
  <si>
    <t>European Respiratory Society/Canadian Thoracic Society long term research fellowship</t>
  </si>
  <si>
    <t>This abstract is funded by: European Respiratory Society/Canadian Thoracic Society long term research fellowship</t>
  </si>
  <si>
    <t>A1179</t>
  </si>
  <si>
    <t>WOS:000449978900180</t>
  </si>
  <si>
    <t>Hemnes, AR; Humbert, M</t>
  </si>
  <si>
    <t>Hemnes, Anna R.; Humbert, Marc</t>
  </si>
  <si>
    <t>Pathobiology of pulmonary arterial hypertension: understanding the roads less travelled</t>
  </si>
  <si>
    <t>TO-MESENCHYMAL TRANSITION; FIBROBLAST GROWTH FACTOR-2; IRON-DEFICIENCY; ENDOTHELIAL DYSFUNCTION; POTASSIUM CHANNELS; IMATINIB MESYLATE; FACTOR EXPRESSION; II RECEPTOR; DNA-DAMAGE; SURVIVAL</t>
  </si>
  <si>
    <t>The pathobiology of pulmonary arterial hypertension (PAH) is complex and incompletely understood. Although three pathogenic pathways have been relatively well characterised, it is widely accepted that dysfunction in a multitude of other cellular processes is likely to play a critical role in driving the development of PAH. Currently available therapies, which all target one of the three well-characterised pathways, provide significant benefits for patients; however, PAH remains a progressive and ultimately fatal disease. The development of drugs to target alternative pathogenic pathways is, therefore, an attractive proposition and one that may complement existing treatment regimens to improve outcomes for patients. Considerable research has been undertaken to identify the role of the less well-understood pathways and in this review we will highlight some of the key discoveries and the potential for utility as therapeutic targets.</t>
  </si>
  <si>
    <t>[Hemnes, Anna R.] Vanderbilt Univ, Med Ctr, Dept Med, 1161 21st Ave South, Nashville, TN 37232 USA; [Humbert, Marc] Univ Paris Sud, Univ Paris Saclay, Fac Med, Le Kremlin Bicetre, France; [Humbert, Marc] Hop Bicetre, AP HP, Ctr Reference Hypertens Pulmonaire, Serv Pneumol, Le Kremlin Bicetre, France</t>
  </si>
  <si>
    <t>Vanderbilt University; Universite Paris Saclay; Assistance Publique Hopitaux Paris (APHP); Hopital Universitaire Antoine-Beclere - APHP; Universite Paris Saclay; Hopital Universitaire Bicetre - APHP</t>
  </si>
  <si>
    <t>Hemnes, AR (corresponding author), Vanderbilt Univ, Med Ctr, Dept Med, 1161 21st Ave South, Nashville, TN 37232 USA.</t>
  </si>
  <si>
    <t>anna.r.hemnes@vanderbilt.edu</t>
  </si>
  <si>
    <t>Actelion Pharmaceuticals Ltd, Allschwil, Switzerland</t>
  </si>
  <si>
    <t>Funding was received from Actelion Pharmaceuticals Ltd, Allschwil, Switzerland. Funding information for this article has been deposited with the Crossref Funder Registry.</t>
  </si>
  <si>
    <t>10.1183/16000617.0093-2017</t>
  </si>
  <si>
    <t>FQ5UI</t>
  </si>
  <si>
    <t>WOS:000418426100016</t>
  </si>
  <si>
    <t>Savale, L; Weatherald, J; Jaïs, X; Vuillard, C; Boucly, A; Jevnikar, M; Montani, D; Mercier, O; Simonneau, G; Fadel, E; Sitbon, O; Humbert, M</t>
  </si>
  <si>
    <t>Savale, Laurent; Weatherald, Jason; Jais, Xavier; Vuillard, Constance; Boucly, Athenais; Jevnikar, Mitja; Montani, David; Mercier, Olaf; Simonneau, Gerald; Fadel, Elie; Sitbon, Olivier; Humbert, Marc</t>
  </si>
  <si>
    <t>Acute decompensated pulmonary hypertension</t>
  </si>
  <si>
    <t>LUNG ALLOCATION SCORE; RIGHT-HEART-FAILURE; EXTRACORPOREAL LIFE-SUPPORT; RIGHT-VENTRICULAR HYPERTROPHY; ARTERIAL-HYPERTENSION; SUPRAVENTRICULAR TACHYARRHYTHMIAS; MEMBRANE-OXYGENATION; PROGNOSTIC-FACTORS; EJECTION TIME; TRANSPLANTATION</t>
  </si>
  <si>
    <t>Acute right heart failure in chronic precapillary pulmonary hypertension is characterised by a rapidly progressive syndrome with systemic congestion resulting from impaired right ventricular filling and/or reduced right ventricular flow output. This clinical picture results from an imbalance between the afterload imposed on the right ventricle and its adaptation capacity. Acute decompensated pulmonary hypertension is associated with a very poor prognosis in the short term. Despite its major impact on survival, its optimal management remains very challenging for specialised centres, without specific recommendations. Identification of trigger factors, optimisation of fluid volume and pharmacological support to improve right ventricular function and perfusion pressure are the main therapeutic areas to consider in order to improve clinical condition. At the same time, specific management of pulmonary hypertension according to the aetiology is mandatory to reduce right ventricular afterload. Over the past decade, the development of extracorporeal life support in refractory right heart failure combined with urgent transplantation has probably contributed to a significant improvement in survival for selected patients. However, there remains a considerable need for further research in this field.</t>
  </si>
  <si>
    <t>[Savale, Laurent; Jais, Xavier; Boucly, Athenais; Jevnikar, Mitja; Montani, David; Simonneau, Gerald; Sitbon, Olivier; Humbert, Marc] Univ Paris Sud, Univ Paris Saclay, Fac Med, Le Kremlin Bicetre, France; [Savale, Laurent; Jais, Xavier; Vuillard, Constance; Boucly, Athenais; Jevnikar, Mitja; Montani, David; Simonneau, Gerald; Sitbon, Olivier; Humbert, Marc] Hop Bicetre, AP HP, Ctr Reference Hypertens Pulmonaire Severe, Serv Pneumol, Le Kremlin Bicetre, France; [Savale, Laurent; Jais, Xavier; Boucly, Athenais; Jevnikar, Mitja; Montani, David; Mercier, Olaf; Simonneau, Gerald; Fadel, Elie; Sitbon, Olivier; Humbert, Marc] Hop Marie Lannelongue, INSERM, UMR S 999, Le Plessis Robinson, France; [Weatherald, Jason] Univ Calgary, Dept Med, Div Respirol, Calgary, AB, Canada; [Mercier, Olaf; Fadel, Elie] Marie Lannelongue Hosp, Dept Thorac &amp; Vasc Surg, Le Plessis Robinson, France; [Mercier, Olaf; Fadel, Elie] Marie Lannelongue Hosp, Dept Heart Lung Transplantat, Le Plessis Robinson, France</t>
  </si>
  <si>
    <t>Universite Paris Saclay; Assistance Publique Hopitaux Paris (APHP); Hopital Universitaire Antoine-Beclere - APHP; Universite Paris Saclay; Hopital Universitaire Bicetre - APHP; Universite Paris Saclay; Institut National de la Sante et de la Recherche Medicale (Inserm); Hopital Marie Lannelongue; University of Calgary; Hopital Marie Lannelongue; Hopital Marie Lannelongue</t>
  </si>
  <si>
    <t>Savale, L (corresponding author), Univ Paris Sud, Hop Bicetre, Ctr Reference Hypertens Pulmonaire Severe, Serv Pneumol &amp; Soins Intensifs Resp, 78 Rue Gen Leclerc, F-94270 Le Kremlin Bicetre, France.</t>
  </si>
  <si>
    <t>laurent.savale@bct.aphp.fr</t>
  </si>
  <si>
    <t>Simonneau, Gerald/ABE-6614-2020; David, Montani/I-6885-2019; Sitbon, Olivier/I-3623-2019; Savale, Laurent/AAJ-9781-2020; Humbert, Marc/AAC-8459-2019</t>
  </si>
  <si>
    <t>Humbert, Marc/0000-0003-0703-2892; Mercier, Olaf/0000-0002-4760-6267; Boucly, Athenais/0000-0001-6246-5557; Jevnikar, Mitja/0000-0003-0727-6790; Montani, David/0000-0002-9358-6922; SITBON, Olivier/0000-0002-1942-1951; JAIS, XAVIER/0000-0002-4104-7994; Weatherald, Jason/0000-0002-0615-4575</t>
  </si>
  <si>
    <t>10.1183/16000617.0092-2017</t>
  </si>
  <si>
    <t>WOS:000418426100015</t>
  </si>
  <si>
    <t>Bousquet, J; Brusselle, G; Buhl, R; Busse, WW; Cruz, AA; Djukanovic, R; Domingo, C; Hanania, NA; Humbert, M; Gow, AM; Phipatanakul, W; Wahn, U; Wechsler, ME</t>
  </si>
  <si>
    <t>Bousquet, Jean; Brusselle, Guy; Buhl, Roland; Busse, William W.; Cruz, Alvaro A.; Djukanovic, Ratko; Domingo, Christian; Hanania, Nicola A.; Humbert, Marc; Gow, Andrew Menzies; Phipatanakul, Wanda; Wahn, Ulrich; Wechsler, Michael E.</t>
  </si>
  <si>
    <t>Care pathways for the selection of a biologic in severe asthma</t>
  </si>
  <si>
    <t>PERSISTENT ALLERGIC-ASTHMA; SEVERE EOSINOPHILIC ASTHMA; OMALIZUMAB; MEPOLIZUMAB; EXACERBATIONS; TRIAL; METAANALYSIS; DEFINITION; CHILDREN; TARGETS</t>
  </si>
  <si>
    <t>[Bousquet, Jean] Contre Malad Chron VIeillissement Actif France, European Innovat Partnership Active &amp; Healthy Age, Montpellier, France; [Bousquet, Jean] Univ Versailles St Quentin en Yvelines, UMR S 1168, INSERM U 1168, VIMA Ageing &amp; Chron Dis Epidemiol &amp; Publ Hlth App, Villejuif, Montigny Le Bre, France; [Bousquet, Jean] Euforea, Brussels, Belgium; [Brusselle, Guy] Ghent Univ Hosp, Dept Resp Med, Ghent, Belgium; [Buhl, Roland] Mainz Univ Hosp, Dept Pulm Med, Mainz, Germany; [Busse, William W.] Univ Wisconsin, Dept Med, Div Allergy Pulm &amp; Crit Care Med, Sch Med &amp; Publ Hlth, Madison, WI USA; [Cruz, Alvaro A.] Univ Fed Bahia, ProAR Nucleo Excelencia Asma, Salvador, BA, Brazil; [Cruz, Alvaro A.] GARD Execut Comm, Salvador, BA, Brazil; [Djukanovic, Ratko] Univ Southampton, Fac Med, Southampton, Hants, England; [Djukanovic, Ratko] NIHR Southampton Resp Biomed Res Unit, Southampton, Hants, England; [Domingo, Christian] Univ Autonoma Barcelona, Dept Med, Pulmonary Serv, Corporacio Sanitaria Parc Tauli, Barcelona, Spain; [Hanania, Nicola A.] Amer Lung Assoc, Baylor Coll Med, Pulm &amp; Crit Care Med Sect, Asthma Clin Res Centers Network, Houston, TX USA; [Humbert, Marc] Univ Paris Sud, Le Kremlin Bicetre, France; [Humbert, Marc] Hop Bicetre, Serv Pneumol, Le Kremlin Bicetre, France; [Humbert, Marc] Inserm UMR S999, Le Kremlin Bicetre, France; [Gow, Andrew Menzies] Royal Brompton Hosp, London, England; [Phipatanakul, Wanda] Boston Childrens Hosp, Asthma Clin Res Ctr, Harvard Med Sch, Div Allergy &amp; Immunol, Boston, MA USA; [Wahn, Ulrich] Charite, Pediatr Dept, Berlin, Germany; [Wechsler, Michael E.] Natl Jewish Hlth, Dept Pulm &amp; Crit Care Med, Denver, CO USA</t>
  </si>
  <si>
    <t>Universite Paris Saclay; Institut National de la Sante et de la Recherche Medicale (Inserm); Ghent University; Ghent University Hospital; University Hospital Mainz; University of Wisconsin System; University of Wisconsin Madison; Universidade Federal da Bahia; University of Southampton; Autonomous University of Barcelona; Parc Tauli Hospital Universitari; Baylor College of Medicine; Universite Paris Saclay; Universite Paris Saclay; Assistance Publique Hopitaux Paris (APHP); Hopital Universitaire Antoine-Beclere - APHP; Hopital Universitaire Bicetre - APHP; Universite Paris Saclay; Institut National de la Sante et de la Recherche Medicale (Inserm); Royal Brompton Hospital; Harvard University; Harvard University Medical Affiliates; Boston Children's Hospital; Harvard Medical School; Berlin Institute of Health; Free University of Berlin; Humboldt University of Berlin; Charite Universitatsmedizin Berlin; National Jewish Health</t>
  </si>
  <si>
    <t>Bousquet, J (corresponding author), CHU Montpellier, 371 Ave Doyen Gaston Giraud, F-34295 Montpellier 5, France.</t>
  </si>
  <si>
    <t>Busse, William/AFR-0848-2022; Wechsler, Michael/AAC-5506-2019; Bousquet, Jean/O-4221-2019; Hanania, Nicola/C-5875-2016; Brusselle, Guy/AFU-8839-2022; Humbert, Marc/AAC-8459-2019</t>
  </si>
  <si>
    <t>DOMINGO RIBAS, christian/0000-0001-8358-773X; Djukanovic, Ratko/0000-0001-6039-5612; Bousquet, Jean/0000-0002-4061-4766; Humbert, Marc/0000-0003-0703-2892; Brusselle, Guy/0000-0001-7021-8505</t>
  </si>
  <si>
    <t>10.1183/13993003.01782-2017</t>
  </si>
  <si>
    <t>FQ3UG</t>
  </si>
  <si>
    <t>WOS:000418281900020</t>
  </si>
  <si>
    <t>Savale, L; Chaumais, MC; Dorfmuller, P; Humbert, M; Montani, D</t>
  </si>
  <si>
    <t>Savale, Laurent; Chaumais, Marie-Camille; Dorfmuller, Peter; Humbert, Marc; Montani, David</t>
  </si>
  <si>
    <t>Lung transplantation for mitomycin-induced pulmonary veno-occlusive disease</t>
  </si>
  <si>
    <t>[Savale, Laurent; Dorfmuller, Peter; Humbert, Marc; Montani, David] Univ Paris Sud, Fac Med, F-94270 Le Kremlin Bicetre, France; [Savale, Laurent; Humbert, Marc; Montani, David] Hop Bicetre, AP HP, Ctr Reference Hypertens Pulm,Serv Pneumol, Dept Hosp Univ DHU Thorax Innovat TORINO, F-94270 Le Kremlin Bicetre, France; [Savale, Laurent; Dorfmuller, Peter; Humbert, Marc; Montani, David] Univ Paris Sud, Ctr Chirurg Marie Lannelongue, Lab Excellence LabEx Rech Medicament &amp; &amp; Innovat, UMR S 999, F-92350 Le Plessis Robinson, France; [Chaumais, Marie-Camille] Hop Antoine Beclere, AP HP, DHU Thorax Innovat, Serv Pharm, Clamart, France; [Chaumais, Marie-Camille] Univ Paris Sud, Fac Pharm, Chatenay Malabry, France; [Dorfmuller, Peter] Hop Marie Lannelongue, Serv Anatomopathol, F-92350 Le Plessis Robinson, France</t>
  </si>
  <si>
    <t>Universite Paris Saclay; Universite Paris Saclay; Assistance Publique Hopitaux Paris (APHP); Hopital Universitaire Bicetre - APHP; Hopital Universitaire Antoine-Beclere - APHP; Universite Paris Saclay; Hopital Marie Lannelongue; Assistance Publique Hopitaux Paris (APHP); Hopital Universitaire Antoine-Beclere - APHP; Universite Paris Saclay; Hopital Marie Lannelongue</t>
  </si>
  <si>
    <t>Montani, D (corresponding author), Hop Bicetre, Ctr Reference Hypertens Pulm, 78 Rue Gen Leclerc, F-94270 Le Kremlin Bicetre, France.</t>
  </si>
  <si>
    <t>Dorfmuller, Peter/0000-0003-2499-6829; Chaumais, Marie-Camille/0000-0002-1217-8442; Montani, David/0000-0002-9358-6922; Humbert, Marc/0000-0003-0703-2892</t>
  </si>
  <si>
    <t>Agence nationale de securite du medicament et des produits de sante (ANSM)</t>
  </si>
  <si>
    <t>Agence nationale de securite du medicament et des produits de sante (ANSM)(Agence Nationale de la Recherche (ANR))</t>
  </si>
  <si>
    <t>we acknowledge the French pulmonary hypertension pharmacovigilance network, VIGIAPATH, supported by the Agence nationale de securite du medicament et des produits de sante (ANSM).</t>
  </si>
  <si>
    <t>10.1016/j.lpm.2017.09.026</t>
  </si>
  <si>
    <t>FP9YW</t>
  </si>
  <si>
    <t>WOS:000418006500016</t>
  </si>
  <si>
    <t>Hadinnapola, C; Bleda, M; Haimel, M; Screaton, N; Swift, A; Dorfmüller, P; Preston, SD; Southwood, M; Hernandez-Sanchez, J; Martin, J; Treacy, C; Yates, K; Bogaard, H; Church, C; Coghlan, G; Condliffe, R; Corris, PA; Gibbs, S; Girerd, B; Holden, S; Humbert, M; Kiely, DG; Lawrie, A; Machado, R; Ross, RM; Moledina, S; Montani, D; Newnham, M; Peacock, A; Pepke-Zaba, J; Rayner-Matthews, P; Shamardina, O; Soubrier, F; Southgate, L; Suntharalingam, J; Toshner, M; Trembath, R; Noordegraaf, AV; Wilkins, MR; Wort, SJ; Wharton, J; Gräf, S; Morrell, NW</t>
  </si>
  <si>
    <t>Hadinnapola, Charaka; Bleda, Marta; Haimel, Matthias; Screaton, Nicholas; Swift, Andrew; Dorfmuller, Peter; Preston, Stephen D.; Southwood, Mark; Hernandez-Sanchez, Jules; Martin, Jennifer; Treacy, Carmen; Yates, Katherine; Bogaard, Harm; Church, Colin; Coghlan, Gerry; Condliffe, Robin; Corris, Paul A.; Gibbs, Simon; Girerd, Barbara; Holden, Simon; Humbert, Marc; Kiely, David G.; Lawrie, Allan; Machado, Rajiv; Ross, Robert MacKenzie; Moledina, Shahin; Montani, David; Newnham, Michael; Peacock, Andrew; Pepke-Zaba, Joanna; Rayner-Matthews, Paula; Shamardina, Olga; Soubrier, Florent; Southgate, Laura; Suntharalingam, Jay; Toshner, Mark; Trembath, Richard; Noordegraaf, Anton Vonk; Wilkins, Martin R.; Wort, Stephen J.; Wharton, John; Graf, Stefan; Morrell, Nicholas W.</t>
  </si>
  <si>
    <t>BioResource-Rare Dis Consortium; UK Natl Cohort Study Idiopathic He</t>
  </si>
  <si>
    <t>Phenotypic Characterization of EIF2AK4 Mutation Carriers in a Large Cohort of Patients Diagnosed Clinically With Pulmonary Arterial Hypertension</t>
  </si>
  <si>
    <t>genetics; hypertension, pulmonary; mutation; prognosis; pulmonary veno-occlusive disease</t>
  </si>
  <si>
    <t>VENOOCCLUSIVE-DISEASE; DIFFUSION CAPACITY; BMPR2; CT</t>
  </si>
  <si>
    <t>BACKGROUND: Pulmonary arterial hypertension (PAH) is a rare disease with an emerging genetic basis. Heterozygous mutations in the gene encoding the bone morphogenetic protein receptor type 2 (BMPR2) are the commonest genetic cause of PAH, whereas biallelic mutations in the eukaryotic translation initiation factor 2 alpha kinase 4 gene (EIF2AK4) are described in pulmonary veno-occlusive disease/pulmonary capillary hemangiomatosis. Here, we determine the frequency of these mutations and define the genotype-phenotype characteristics in a large cohort of patients diagnosed clinically with PAH. METHODS: Whole-genome sequencing was performed on DNA from patients with idiopathic and heritable PAH and with pulmonary veno-occlusive disease/pulmonary capillary hemangiomatosis recruited to the National Institute of Health Research BioResource-Rare Diseases study. Heterozygous variants in BMPR2 and biallelic EIF2AK4 variants with a minor allele frequency of &lt; 1: 10 000 in control data sets and predicted to be deleterious (by combined annotation-dependent depletion, PolyPhen-2, and sorting intolerant from tolerant predictions) were identified as potentially causal. Phenotype data from the time of diagnosis were also captured. RESULTS: Eight hundred sixty-four patients with idiopathic or heritable PAH and 16 with pulmonary veno-occlusive disease/pulmonary capillary hemangiomatosis were recruited. Mutations in BMPR2 were identified in 130 patients (14.8%). Biallelic mutations in EIF2AK4 were identified in 5 patients with a clinical diagnosis of pulmonary veno-occlusive disease/pulmonary capillary hemangiomatosis. Furthermore, 9 patients with a clinical diagnosis of PAH carried biallelic EIF2AK4 mutations. These patients had a reduced transfer coefficient for carbon monoxide (Kco; 33% [interquartile range, 30%-35%] predicted) and younger age at diagnosis (29 years; interquartile range, 23-38 years) and more interlobular septal thickening and mediastinal lymphadenopathy on computed tomography of the chest compared with patients with PAH without EIF2AK4 mutations. However, radiological assessment alone could not accurately identify biallelic EIF2AK4 mutation carriers. Patients with PAH with biallelic EIF2AK4 mutations had a shorter survival. CONCLUSIONS: Biallelic EIF2AK4 mutations are found in patients classified clinically as having idiopathic and heritable PAH. These patients cannot be identified reliably by computed tomography, but a low Kco and a young age at diagnosis suggests the underlying molecular diagnosis. Genetic testing can identify these misclassified patients, allowing appropriate management and early referral for lung transplantation.</t>
  </si>
  <si>
    <t>[Hadinnapola, Charaka; Bleda, Marta; Haimel, Matthias; Martin, Jennifer; Treacy, Carmen; Yates, Katherine; Newnham, Michael; Toshner, Mark; Wort, Stephen J.; Morrell, Nicholas W.] Univ Cambridge, Dept Med, Cambridge, England; [Haimel, Matthias; Martin, Jennifer; Yates, Katherine; Rayner-Matthews, Paula; Shamardina, Olga; Graf, Stefan; Morrell, Nicholas W.] NIHR BioResource Rare Dis, Cambridge, England; [Screaton, Nicholas; Preston, Stephen D.; Southwood, Mark; Hernandez-Sanchez, Jules; Pepke-Zaba, Joanna; Toshner, Mark] Papworth Hosp, Cambridge, England; [Swift, Andrew; Lawrie, Allan] Univ Sheffield, Sheffield, S Yorkshire, England; [Dorfmuller, Peter; Girerd, Barbara; Humbert, Marc; Montani, David] Univ Paris Sud, Orsay, France; [Bogaard, Harm; Noordegraaf, Anton Vonk] Vrije Univ Amsterdam, Med Ctr, Amsterdam, Netherlands; [Church, Colin; Peacock, Andrew] Golden Jubilee Hosp, Glasgow, Lanark, Scotland; [Coghlan, Gerry] Royal Free Hosp, London, England; [Condliffe, Robin; Kiely, David G.] Royal Hallamshire Hosp, Sheffield, S Yorkshire, England; [Corris, Paul A.] Newcastle Univ, Newcastle Upon Tyne, Tyne &amp; Wear, England; [Gibbs, Simon; Wilkins, Martin R.; Wharton, John] Imperial Coll London, London, England; [Holden, Simon] Addenbrookes Hosp, Cambridge, England; [Machado, Rajiv] Univ Lincoln, Lincoln, England; [Ross, Robert MacKenzie; Suntharalingam, Jay] Royal United Hosp Bath NHS Fdn Trust, Bath, Avon, England; [Moledina, Shahin] Great Ormond St Hosp Sick Children, London, England; [Soubrier, Florent] Hop La Pitie Salpetriere, Paris, France; [Southgate, Laura; Trembath, Richard] Kings Coll London, London, England; [Southgate, Laura] St Georges Univ London, London, England; [Wort, Stephen J.] Royal Brompton Hosp, London, England; [Graf, Stefan] Univ Cambridge, Dept Haematol, Cambridge, England</t>
  </si>
  <si>
    <t>University of Cambridge; Papworth Hospital; University of Sheffield; Universite Paris Saclay; Vrije Universiteit Amsterdam; Golden Jubilee Hospital; University of London; University College London; Royal Free London NHS Foundation Trust; UCL Medical School; University of Sheffield; Newcastle University - UK; Imperial College London; Cambridge University Hospitals NHS Foundation Trust; Addenbrooke's Hospital; University of Cambridge; University of Lincoln; University of London; University College London; Great Ormond Street Hospital for Children NHS Foundation Trust; Sorbonne Universite; Assistance Publique Hopitaux Paris (APHP); Hopital Universitaire Pitie-Salpetriere - APHP; University of London; King's College London; City St Georges, University of London; St Georges University London; Royal Brompton Hospital; University of Cambridge</t>
  </si>
  <si>
    <t>Morrell, NW (corresponding author), Univ Cambridge, Sch Clin Med, Dept Med, Addenbrookes Hosp, Box 157,Hills Rd, Cambridge CB2 0QQ, England.</t>
  </si>
  <si>
    <t>nmw23@cam.ac.uk</t>
  </si>
  <si>
    <t>Pepke-Zaba, Joanna/AGW-3073-2022; Hadinnapola, Charaka/AAW-1229-2020; Machado, Rajiv David/AAD-7813-2019; Wilkins, Martin/ABH-1140-2021; Bleda, Marta/A-9333-2014; Swift, Andy/GYU-3283-2022; moledina, shahin/A-6466-2009; Cardoso, Paulo/C-5768-2012; David, Montani/I-6885-2019; Lawrie, Allan/A-2708-2012; newnham, michael/JCE-7072-2023; Wassmer, Evangeline/K-5467-2019; Gale, Daniel/D-5594-2013; Southgate, Laura/H-7924-2019; Allsup, David/H-2195-2017; Humbert, Marc/AAC-8459-2019</t>
  </si>
  <si>
    <t>Stark, Hannah/0000-0003-3095-5732; Wassmer, Evangeline/0000-0002-2446-1106; Newnham, Michael/0000-0002-2972-6249; Gale, Daniel/0000-0002-9170-1579; Vonk Noordegraaf, Anton/0000-0002-4057-758X; Machado, Rajiv David/0000-0001-9247-0744; Bogaard, Harm Jan/0000-0001-5371-0346; Condliffe, Robin/0000-0002-3492-4143; Lango Allen, Hana/0000-0002-7803-8688; Bradley, John/0000-0002-7774-8805; Maimaris, Jesmeen/0000-0003-4169-8209; schulman, sol/0000-0002-5229-3592; /0000-0003-2885-4692; Deevi, Sri Vishnu Vardhan/0000-0002-0405-4335; Southgate, Laura/0000-0002-2090-1450; Megy, Karyn/0000-0002-2826-3879; Church, Alistair/0000-0002-4446-0100; Doffinger, R/0000-0002-9841-3617; moledina, shahin/0000-0003-0262-2340; Montani, David/0000-0002-9358-6922; Haimel, Matthias/0000-0002-0320-0214; Toshner, Mark/0000-0002-3969-6143; Dorfmuller, Peter/0000-0003-2499-6829; Preston, Stephen/0000-0002-6836-3591; Wharton, John/0000-0001-8110-2575; Allsup, David/0000-0001-6159-6109; Hadinnapola, Charaka/0000-0002-7794-3432; Lawrie, Allan/0000-0003-4192-9505; Morrell, Nicholas/0000-0001-5700-9792; southwood, mark/0000-0002-3493-9599; freson, kathleen/0000-0002-4381-2442; Matser, Vera/0000-0002-2010-6844; Ponsford, Mark J/0000-0002-0236-1059; Kingston, Nathalie/0000-0002-9190-2231; Chinnery, Patrick/0000-0002-7065-6617; Aitman, Timothy/0000-0002-7875-4502; Meacham, Stuart/0000-0002-3667-6059; Wilkins, Martin/0000-0003-3926-1171; Humbert, Marc/0000-0003-0703-2892; Bryson, Christine Jane/0000-0002-2365-4395</t>
  </si>
  <si>
    <t>NIHR BioResource for Rare Diseases; British Heart Foundation; Medical Research Council (UK) Experimental Challenge Award; MRC [MR/L006197/1, MR/K023489/1, MR/K020919/1] Funding Source: UKRI</t>
  </si>
  <si>
    <t>NIHR BioResource for Rare Diseases; British Heart Foundation(British Heart Foundation); Medical Research Council (UK) Experimental Challenge Award(UK Research &amp; Innovation (UKRI)Medical Research Council UK (MRC)); MRC(UK Research &amp; Innovation (UKRI)Medical Research Council UK (MRC))</t>
  </si>
  <si>
    <t>The NIHR BioResource for Rare Diseases provided funding for sequencing and analysis. The study was supported by a British Heart Foundation Special Project Grant and a Medical Research Council (UK) Experimental Challenge Award.</t>
  </si>
  <si>
    <t>NOV 21</t>
  </si>
  <si>
    <t>10.1161/CIRCULATIONAHA.117.028351</t>
  </si>
  <si>
    <t>FN0ZT</t>
  </si>
  <si>
    <t>WOS:000415712900007</t>
  </si>
  <si>
    <t>Bohnen, MS; Ma, LJ; Zhu, N; Qi, HJ; McClenaghan, C; Gonzaga-Jauregui, C; Dewey, FE; Overton, JD; Reid, JG; Shuldiner, AR; Baras, A; Sampson, KJ; Bleda, M; Hadinnapola, C; Haimel, M; Bogaard, HJ; Church, C; Coghlan, G; Corris, PA; Eyries, M; Gibbs, JSR; Girerd, B; Houweling, AC; Humbert, M; Kiely, DG; Lawrie, A; Ross, RVM; Martin, JM; Montani, D; Peacock, AJ; Pepke-Zaba, J; Soubrier, F; Suntharalingam, J; Toshner, M; Treacy, CM; Trembath, RC; Noordegraaf, AV; Wharton, J; Wilkins, MR; Wort, SJ; Yates, K; Gräf, S; Morrell, NW; Krishnan, U; Rosenzweig, EB; Shen, YF; Nichols, CG; Kass, RS; Chung, WK</t>
  </si>
  <si>
    <t>Bohnen, Michael S.; Ma, Lijiang; Zhu, Na; Qi, Hongjian; McClenaghan, Conor; Gonzaga-Jauregui, Claudia; Dewey, Frederick E.; Overton, John D.; Reid, Jeffrey G.; Shuldiner, Alan R.; Baras, Aris; Sampson, Kevin J.; Bleda, Marta; Hadinnapola, Charaka; Haimel, Matthias; Bogaard, Harm J.; Church, Colin; Coghlan, Gerry; Corris, Paul A.; Eyries, Melanie; Gibbs, J. Simon R.; Girerd, Barbara; Houweling, Arjan C.; Humbert, Marc; Kiely, David G.; Lawrie, Allan; Ross, Rob V. MacKenzie; Martin, Jennifer M.; Montani, David; Peacock, Andrew J.; Pepke-Zaba, Joanna; Soubrier, Florent; Suntharalingam, Jay; Toshner, Mark; Treacy, Carmen M.; Trembath, Richard C.; Noordegraaf, Anton Vonk; Wharton, John; Wilkins, Martin R.; Wort, Stephen J.; Yates, Katherine; Graf, Stefan; Morrell, Nicholas W.; Krishnan, Usha; Rosenzweig, Erika B.; Shen, Yufeng; Nichols, Colin G.; Kass, Robert S.; Chung, Wendy K.</t>
  </si>
  <si>
    <t>Loss of Function ABCC8 Mutations Are Associated With Pulmonary Arterial Hypertension</t>
  </si>
  <si>
    <t>NOV 11-15, 2017</t>
  </si>
  <si>
    <t>Anaheim, CA</t>
  </si>
  <si>
    <t>Pulmonary hypertension; Electrophysiology; Genetics; Ion channels; Electrophysiology</t>
  </si>
  <si>
    <t>Yufeng, Shen/A-7490-2019; Bleda, Marta/A-9333-2014; Krishnan, Usha/AAI-2403-2021; EYRIES, melanie/ABF-1034-2020; wei, wei/HHR-8613-2022; Lawrie, Allan/A-2708-2012; Hadinnapola, Charaka/AAW-1229-2020; Pepke-Zaba, Joanna/AGW-3073-2022; Gonzaga-Jauregui, Claudia/H-4752-2019; Humbert, Marc/AAC-8459-2019; Zhu, Na/L-3444-2019; Rosenzweig, Erika/AAC-3680-2019; Cardoso, Paulo/C-5768-2012; David, Montani/I-6885-2019</t>
  </si>
  <si>
    <t>Wharton, John/0000-0001-8110-2575; Krishnan, MD, Usha/0000-0002-5733-6096; Hadinnapola, Charaka/0000-0002-7794-3432; Montani, David/0000-0002-9358-6922; Zhu, Na/0000-0001-6460-3087</t>
  </si>
  <si>
    <t>NOV 14</t>
  </si>
  <si>
    <t>GL3LH</t>
  </si>
  <si>
    <t>WOS:000437035901370</t>
  </si>
  <si>
    <t>Lambert, M; Hautefort, A; Manoury, B; Montani, D; Humbert, M; Perros, F; Antigny, F</t>
  </si>
  <si>
    <t>Lambert, Melanie; Hautefort, Aurelie; Manoury, Boris; Montani, David; Humbert, Marc; Perros, Frederic; Antigny, Fabrice</t>
  </si>
  <si>
    <t>Pulmonary hypertension; Potassium channel; Cellular Electrophysiology; Muscle, smooth; Pulmonary artery</t>
  </si>
  <si>
    <t>David, Montani/I-6885-2019; Manoury, Boris/P-1066-2016; Antigny, Fabrice/Q-3999-2018; Humbert, Marc/AAC-8459-2019; Perros, Frederic/N-6921-2017</t>
  </si>
  <si>
    <t>Perros, Frederic/0000-0001-7730-2427; Montani, David/0000-0002-9358-6922</t>
  </si>
  <si>
    <t>WOS:000437035902127</t>
  </si>
  <si>
    <t>Avouac, J; Guignabert, C; Hoffmann-Vold, AM; Ruiz, B; Dorfmuller, P; Pezet, S; Amar, O; Tu, L; Van Wassenhove, J; Sadoine, J; Launay, D; Elhai, M; Cauvet, A; Subramaniam, A; Resnick, R; Hachulla, E; Molberg, O; Kahan, A; Humbert, M; Allanore, Y</t>
  </si>
  <si>
    <t>Avouac, Jerome; Guignabert, Christophe; Hoffmann-Vold, Anna Maria; Ruiz, Barbara; Dorfmuller, Peter; Pezet, Sonia; Amar, Olivia; Tu, Ly; Van Wassenhove, Jerome; Sadoine, Jeremy; Launay, David; Elhai, Muriel; Cauvet, Anne; Subramaniam, Arun; Resnick, Robert; Hachulla, Eric; Molberg, Oyvind; Kahan, Andre; Humbert, Marc; Allanore, Yannick</t>
  </si>
  <si>
    <t>Role of Stromelysin 2 (Matrix Metalloproteinase 10) as a Novel Mediator of Vascular Remodeling Underlying Pulmonary Hypertension Associated With Systemic Sclerosis</t>
  </si>
  <si>
    <t>INFLAMMATION-DRIVEN FIBROSIS; ENDOTHELIAL PROGENITOR CELLS; ARTERIAL-HYPERTENSION; DERMAL FIBROSIS; EXPRESSION; IDENTIFICATION; ANGIOGENESIS; MIGRATION; PATHOBIOLOGY; FIBROBLASTS</t>
  </si>
  <si>
    <t>Objective. To elucidate the role of gene candidates involved in pulmonary hypertension (PH) associated with systemic sclerosis (SSc). Methods. Gene candidates were identified through microarray experiments performed on Affymetrix Gene-Chip Human Exon 1.0 ST arrays in endothelial progenitor cell (EPC)-derived endothelial cells (ECs) obtained from patients with SSc-associated PH, patients with SSc without PH, and healthy control subjects. Expression of identified gene candidates was assessed by quantitative sandwich enzyme-linked immunosorbent assay in the serum, and by immunohistochemistry in lesional lung tissue. The functional importance of the identified gene candidates was then evaluated in fos-related antigen 2-transgenic (Fra-2-Tg) mice that spontaneously develop SSc-like features associated with an intense pulmonary vascular remodeling. Results. Microarray experiments revealed that the matrix metalloproteinase 10 (MMP-10) gene was the top up-regulated gene in SSc-associated PH EPC-derived ECs. Circulating serum proMMP10 concentrations were markedly increased in patients with SSc-associated PH compared to SSc patients without PH and healthy controls. Consistent with these observations, a strong MMP10 staining of the thickened wall of distal pulmonary arteries was found both in the lungs of patients with SSc-associated PH and in the lungs of Fra-2-Tg mice. Daily treatment of Fra-2-Tg mice with neutralizing anti-MMP10 antibodies did not significantly affect the development and severity of pulmonary fibrosis, but did reverse established PH and markedly reduced pulmonary vascular remodeling by reducing cell proliferation, cell survival, and the platelet-derived growth factor signaling axis. Conclusion. Gene expression profiling of EPC-derived ECs identified MMP10 as a novel candidate gene in SSc-associated PH. MMP10 is overexpressed in the serum and pulmonary arteries of patients with SSc-associated PH, and its blockade alleviates PH in the Fra-2-Tg mouse model. MMP10 appears to be a prospective treatment target for this devastating disorder.</t>
  </si>
  <si>
    <t>[Avouac, Jerome; Ruiz, Barbara; Pezet, Sonia; Amar, Olivia; Van Wassenhove, Jerome; Elhai, Muriel; Cauvet, Anne; Allanore, Yannick] Univ Paris 05, Sorbonne Paris Cite, INSERM, U1016, Paris, France; [Avouac, Jerome; Ruiz, Barbara; Pezet, Sonia; Amar, Olivia; Van Wassenhove, Jerome; Elhai, Muriel; Cauvet, Anne; Allanore, Yannick] Inst Cochin, CNRS, UMR8104, Paris, France; [Avouac, Jerome; Elhai, Muriel; Kahan, Andre; Allanore, Yannick] Univ Paris 05, Sorbonne Paris Cite, Serv Rhumatol A, Hop Cochin, Paris, France; [Guignabert, Christophe; Dorfmuller, Peter; Tu, Ly; Humbert, Marc] INSERM, UMR S 999, Le Plessis Robinson, France; [Guignabert, Christophe; Dorfmuller, Peter; Tu, Ly; Humbert, Marc] Univ Paris Saclay, Univ Paris Sud, Le Kremlin Bicetre, France; [Hoffmann-Vold, Anna Maria; Molberg, Oyvind] Natl Hosp Norway, Oslo Univ Hosp, Oslo, Norway; [Hoffmann-Vold, Anna Maria; Molberg, Oyvind] Univ Oslo, Inst Clin Med, Oslo, Norway; [Sadoine, Jeremy] Univ Paris 05, EA Pathol Imagerie &amp; Biotherapies Orofaciales 249, UFR Odontol, Montrouge, France; [Sadoine, Jeremy] PRES Sorbonne Paris Cite, PIDV, Montrouge, France; [Launay, David; Hachulla, Eric] Univ Lille, Hop Huriez, Med Interne, Lille, France; [Subramaniam, Arun; Resnick, Robert] Sanofi, Immunol TA, Framingham, MA USA; [Humbert, Marc] Hop Bicetre, AP HP, Serv Pneumol, Le Kremlin Bicetre, France</t>
  </si>
  <si>
    <t>Universite Paris Cite; Institut National de la Sante et de la Recherche Medicale (Inserm); Centre National de la Recherche Scientifique (CNRS); CNRS - National Institute for Biology (INSB); Institut National de la Sante et de la Recherche Medicale (Inserm); Universite Paris Cite; Assistance Publique Hopitaux Paris (APHP); Universite Paris Cite; Hopital Universitaire Cochin - APHP; Institut National de la Sante et de la Recherche Medicale (Inserm); Universite Paris Saclay; Universite Paris Saclay; University of Oslo; National Hospital Norway; University of Oslo; Universite Paris Cite; Universite de Lille; CHU Lille; Sanofi-Aventis; Sanofi USA; Universite Paris Saclay; Assistance Publique Hopitaux Paris (APHP); Hopital Universitaire Antoine-Beclere - APHP; Hopital Universitaire Bicetre - APHP</t>
  </si>
  <si>
    <t>Avouac, J (corresponding author), Univ Paris 05, Hop Cochin, Serv Rhumatol A, 27 Rue Faubourg St Jacques, F-75014 Paris, France.</t>
  </si>
  <si>
    <t>jerome.avouac@cch.aphp.fr</t>
  </si>
  <si>
    <t>Elhai, Muriel/IYS-2654-2023; avouac, Jérôme/AAD-2101-2020; HACHULLA, ERIC/R-8488-2018; Launay, David/A-5270-2018; GUIGNABERT, Christophe/G-3873-2013; Humbert, Marc/AAC-8459-2019; Launay, David/H-1674-2016; TU, Ly/G-4035-2013</t>
  </si>
  <si>
    <t>GUIGNABERT, Christophe/0000-0002-8545-4452; Humbert, Marc/0000-0003-0703-2892; Pezet, Sonia/0000-0003-3716-7229; Launay, David/0000-0003-1840-1817; HACHULLA, ERIC/0000-0001-7432-847X; Sadoine, Jeremy/0000-0003-4809-3018; TU, Ly/0000-0003-2336-5099; Dorfmuller, Peter/0000-0003-2499-6829; van wassenhove, jerome/0000-0001-7298-465X; Elhai, Muriel/0000-0001-8627-5758</t>
  </si>
  <si>
    <t>Association des Sclerodermiques de France, INSERM, ATIP/AVENIR Program; Actelion; Pfizer; Bristol-Myers Squibb; Roche; Bayer; GlaxoSmithKline; Novartis; Biogen Idec; Genentech/Roche; Inventiva; Medac; Sanofi/Genzyme; Servier; UCB</t>
  </si>
  <si>
    <t>Association des Sclerodermiques de France, INSERM, ATIP/AVENIR Program; Actelion; Pfizer(Pfizer); Bristol-Myers Squibb(Bristol-Myers Squibb); Roche(Roche Holding); Bayer(Bayer AG); GlaxoSmithKline(GlaxoSmithKline); Novartis(Novartis); Biogen Idec(Biogen); Genentech/Roche(Roche HoldingGenentech); Inventiva; Medac; Sanofi/Genzyme(Sanofi-AventisGenzyme Corporation); Servier(Servier); UCB(UCB Pharma SA)</t>
  </si>
  <si>
    <t>Supported by the Association des Sclerodermiques de France, INSERM, ATIP/AVENIR Program.Dr. Avouac has received consulting fees from Actelion, Pfizer, and Bristol-Myers Squibb (less than $10,000 each) and research support from Roche, Pfizer, and Bristol-Myers Squibb. Dr. Humbert has received consulting fees, speaking fees, and/or honoraria from Actelion, Bayer, GlaxoSmithKline, Novartis, and Pfizer (less than $10,000 each). Dr. Allanore has received consulting fees from Actelion, Bayer, Biogen Idec, Bristol-Myers Squibb, Genentech/Roche, Inventiva, Medac, Pfizer, Sanofi/Genzyme, Servier, and UCB (less than $10,000 each) and research support from Bristol-Myers Squibb, Genentech/Roche, Inventiva, Pfizer, and Sanofi/Genzyme.</t>
  </si>
  <si>
    <t>10.1002/art.40229</t>
  </si>
  <si>
    <t>FL1YV</t>
  </si>
  <si>
    <t>WOS:000414011300017</t>
  </si>
  <si>
    <t>Condreay, L; Chiano, M; Ortega, H; Buchan, N; Harris, E; Bleecker, ER; Thompson, PJ; Humbert, M; Gibson, P; Yancey, S; Ghosh, S</t>
  </si>
  <si>
    <t>Condreay, Lynn; Chiano, Mathias; Ortega, Hector; Buchan, Natalie; Harris, Elizabeth; Bleecker, Eugene R.; Thompson, Philip J.; Humbert, Marc; Gibson, Peter; Yancey, Steven; Ghosh, Soumitra</t>
  </si>
  <si>
    <t>No genetic association detected with mepolizumab efficacy in severe asthma</t>
  </si>
  <si>
    <t>Severe asthma; Mepolizumab; Pharmacogenetics; Exacerbation</t>
  </si>
  <si>
    <t>OBSTRUCTIVE PULMONARY-DISEASE; COMMON VARIABLE IMMUNODEFICIENCY; IMMUNOGLOBULIN REPLACEMENT THERAPY; INTRAVENOUS IMMUNOGLOBULIN; HUMORAL IMMUNODEFICIENCY; CHRONIC RHINOSINUSITIS; RHINOVIRUS INFECTION; IGA DEFICIENCY; SEVERE COPD; RISK</t>
  </si>
  <si>
    <t>Background and objectives: Treatment with mepolizumab, a humanized monoclonal antibody to interleukin-5, reduces the rate of asthma exacerbations and the requirement for systemic glucocorticoids while maintaining asthma control. Treatment decisions are guided by predictors of response, including blood eosinophil thresholds in patients with frequent exacerbations despite intensive anti-inflammatory and controller treatment. Identification of additional predictors of response could aid treatment decisions. We investigated genetic associations that may predict response to mepolizumab-treatment. Methods: In this post hoc analysis of DREAM and MENSA, association of genetic markers was tested in patients with severe asthma treated with mepolizumab who provided consent for pharmacogenetic research. Association was tested in a tiered approach with alpha spend differing for candidate genetic markers selected for prior history of association with relevant traits or pathways and in a genome-wide analyses (p &lt; 4.7 x 10(-4) and p &lt; 5 x 10(-8), respectively). Efficacy endpoints included: clinically significant exacerbation rate (tested using a negative binomial model), time to first exacerbation (tested with a Cox proportional hazards model), change in exacerbation rate, change in eosinophil count, and change in IgE level (tested by linear regression). Results: No genetic marker was significantly associated with the primary endpoint, clinically significant exacerbation rate. One genetic marker was associated with time to first clinically significant exacerbation, but this association was driven by the DREAM data and was not supported in additional sensitivity analyses by treatment regimen/dose. Conclusion: No genetic effect on mepolizumab-treatment response was identified in this population on intensive asthma treatment, with history of frequent exacerbations and pre-selected for airway eosinophilia.</t>
  </si>
  <si>
    <t>[Condreay, Lynn; Ortega, Hector; Harris, Elizabeth; Yancey, Steven] GSK, Res Triangle Pk, NC USA; [Chiano, Mathias; Buchan, Natalie] GSK, Stevenage, Herts, England; [Bleecker, Eugene R.] Wake Forest Sch Med, Ctr Genom &amp; Personalized Med, Winston Salem, NC USA; [Thompson, Philip J.] Univ Western Australia, Lung Inst Western Australia, Perth, WA, Australia; [Thompson, Philip J.] Univ Western Australia, Ctr Asthma Allergy &amp; Resp Res, Perth, WA, Australia; [Humbert, Marc] Univ Paris Sud, Hop Bicetre, AP HP,Unites Mixte Rech 999, Serv Pneumol,INSERM,Dept Hosp Univ Thorax Innovat, Le Kremlin Bicetre, France; [Gibson, Peter] John Hunter Hosp, Hunter Med Res Inst, Dept Resp &amp; Sleep Med, Kookaburra Circuit, New Lambton Hts, NSW, Australia; [Ghosh, Soumitra] GSK, King Of Prussia, PA USA; [Condreay, Lynn] PAREXEL Int, 2520 Meridian Pkwy, Durham, NC 27713 USA</t>
  </si>
  <si>
    <t>GlaxoSmithKline; Glaxosmithkline USA; GlaxoSmithKline; Glaxosmithkline United Kingdom; Wake Forest University; University of Western Australia; University of Western Australia; Assistance Publique Hopitaux Paris (APHP); Hopital Universitaire Bicetre - APHP; Institut National de la Sante et de la Recherche Medicale (Inserm); Universite Paris Saclay; Hopital Universitaire Antoine-Beclere - APHP; University of Newcastle; Hunter Medical Research Institute; John Hunter Hospital; GlaxoSmithKline; Glaxosmithkline USA; Parexel International</t>
  </si>
  <si>
    <t>Condreay, L (corresponding author), PAREXEL Int, 2520 Meridian Pkwy, Durham, NC 27713 USA.</t>
  </si>
  <si>
    <t>Lynn.Condreay@parexel.com</t>
  </si>
  <si>
    <t>; Gibson, Peter/G-6194-2014; Humbert, Marc/AAC-8459-2019</t>
  </si>
  <si>
    <t>Ortega, Hector/0000-0002-2632-6370; Gibson, Peter/0000-0001-5865-489X; Humbert, Marc/0000-0003-0703-2892</t>
  </si>
  <si>
    <t>CSL Behring</t>
  </si>
  <si>
    <t>Editorial assistance was provided by Meridian HealthComms Ltd, with funding by CSL Behring.</t>
  </si>
  <si>
    <t>10.1016/j.rmed.2017.10.019</t>
  </si>
  <si>
    <t>FQ3EE</t>
  </si>
  <si>
    <t>WOS:000418239100028</t>
  </si>
  <si>
    <t>Godinas, L; Sattler, C; Lau, EM; Jaís, X; Taniguchi, Y; Jevnikar, M; Weatherald, J; Sitbon, O; Savale, L; Montani, D; Simonneau, G; Humbert, M; Laveneziana, P; Garcia, G</t>
  </si>
  <si>
    <t>Godinas, Laurent; Sattler, Caroline; Lau, Edmund M.; Jais, Xavier; Taniguchi, Yu; Jevnikar, Mitja; Weatherald, Jason; Sitbon, Olivier; Savale, Laurent; Montani, David; Simonneau, Gerald; Humbert, Marc; Laveneziana, Pierantonio; Garcia, Gilles</t>
  </si>
  <si>
    <t>Dead-space ventilation is linked to exercise capacity and survival in distal chronic thromboembolic pulmonary hypertension</t>
  </si>
  <si>
    <t>cardiopulmon exercise test; chronic thromboembolic disease; physiologic dead space; pulmonary artery hypertension; ventilatory efficiency; gas exchange</t>
  </si>
  <si>
    <t>GAS-EXCHANGE; ARTERIAL-HYPERTENSION; DIAGNOSIS; ENDARTERECTOMY; MECHANISMS; EMBOLISM; DISEASE</t>
  </si>
  <si>
    <t>BACKGROUND: Cardiopulmonary exercise testing (CPET) is frequently used for the evaluation of patients with pulmonary hypertension (PH). Non-operable distal chronic thromboembolic pulmonary hypertension (CTEPH) represents a unique subgroup of PH where microvascular disease resembling pulmonary arterial hypertension (PAH) may predominate and efficacious medical therapy is now available. However, little is known regarding the detailed CPET profile of patients with distal CTEPH, and whether ventilation and gas exchange responses are different from PAH. METHODS: Forty-nine consecutive patients with non-operable distal CTEPH according to multidisciplinary team assessment and 45 PAH patients underwent CPET and right heart catheterization. Patients were followed up for a median of 3.2 years (interquartile range: 1.8 to 4.4). RESULTS: Pulmonary hemodynamics were similar in distal CTEPH and PAH groups, but patients with distal CTEPH achieved a lower percent predicted peak oxygen consumption (59 13% vs 66 14%, p &lt; 0.05). At peak exercise, higher physiologic dead-space fraction (VD/VT) (0.45 +/- 0.07 vs 0.35 +/- 0.07, p &lt; 0.0001) and higher arterial-to-end-tidal carbon dioxide gradient (9 3 vs 5 3 mm Hg, p &lt; 0.0001) were observed in distal CTEPH compared with PAH. Ventilatory efficiency, expressed as VE/VCO2 slope, was also more impaired in distal CTEPH (52.2 +/- 10.1 vs 43.8 +/- 8.4 liters/min, p &lt; 0.0001). In the distal CTEPH group only, higher VD/VT was associated with lower peak oxygen consumption (r = 0.46, p = 0.003) and worse survival. CONCLUSIONS: Compared with PAH, a distinct pattern of response to exercise was observed in distal CTEPH, characterized by increased dead-space ventilation that resulted in worse ventilatory efficiency and greater impairment of exercise capacity. In distal CTEPH, dead-space ventilation correlated with exercise capacity and was associated with survival. (C) 2017 International Society for Heart and Lung Transplantation. All rights reserved.</t>
  </si>
  <si>
    <t>[Godinas, Laurent; Sattler, Caroline; Lau, Edmund M.; Jais, Xavier; Taniguchi, Yu; Jevnikar, Mitja; Weatherald, Jason; Sitbon, Olivier; Savale, Laurent; Montani, David; Simonneau, Gerald; Humbert, Marc; Garcia, Gilles] Univ Paris Sud, 78 Rue Gen Leclerc, F-94270 Le Kremlin Bicetre, France; [Godinas, Laurent; Sattler, Caroline; Lau, Edmund M.; Jais, Xavier; Taniguchi, Yu; Jevnikar, Mitja; Weatherald, Jason; Sitbon, Olivier; Savale, Laurent; Montani, David; Simonneau, Gerald; Humbert, Marc; Garcia, Gilles] Hop Bicetre, AP HP, Ctr Reference Hypertens Pulm Severe, Serv Pneumol,DHU Thorax Innovat, Le Kremlin Bicetre, France; [Godinas, Laurent; Sattler, Caroline; Lau, Edmund M.; Jais, Xavier; Taniguchi, Yu; Jevnikar, Mitja; Weatherald, Jason; Sitbon, Olivier; Savale, Laurent; Montani, David; Simonneau, Gerald; Humbert, Marc; Garcia, Gilles] Ctr Chirurg Marie Lannelongue, LabEx LERMIT, INSERM, UMR S999, Le Plessis Robinson, France; [Godinas, Laurent] Catholic Univ Louvain, CHU UCL Namur, Dept Pneumol, Yvoir, Belgium; [Lau, Edmund M.] Royal Prince Alfred Hosp, Dept Resp &amp; Sleep Med, Camperdown, NSW, Australia; [Weatherald, Jason] Univ Calgary, Div Respirol, Dept Med, Calgary, AB, Canada; [Laveneziana, Pierantonio] Grp Hosp Pitie Salpetriere Charles Foix, AP HP, Serv Explorat Fonct Respirat Exercice &amp; Dyspnee, Paris, France; [Laveneziana, Pierantonio] UPMC Univ Paris 06, Sorbonne Univ, UMR S 1158, Neurophysiol Resp Expt &amp; Clin, Paris, France</t>
  </si>
  <si>
    <t>Universite Paris Saclay; Assistance Publique Hopitaux Paris (APHP); Hopital Universitaire Antoine-Beclere - APHP; Universite Paris Saclay; Hopital Universitaire Bicetre - APHP; Hopital Marie Lannelongue; Universite Paris Saclay; Institut National de la Sante et de la Recherche Medicale (Inserm); Universite Catholique Louvain; University of Sydney; NSW Health; Royal Prince Alfred Hospital; University of Calgary; Assistance Publique Hopitaux Paris (APHP); Hopital Universitaire Pitie-Salpetriere - APHP; Hopital Universitaire Charles-Foix - APHP; Sorbonne Universite; Sorbonne Universite</t>
  </si>
  <si>
    <t>Godinas, L (corresponding author), Univ Paris Sud, 78 Rue Gen Leclerc, F-94270 Le Kremlin Bicetre, France.</t>
  </si>
  <si>
    <t>laurent.godinas@uclouvain.be</t>
  </si>
  <si>
    <t>Savale, Laurent/AAJ-9781-2020; David, Montani/I-6885-2019; Laveneziana, Pierantonio/GWC-2028-2022; Godinas, Laurette/AAS-1059-2021; Simonneau, Gerald/ABE-6614-2020; Sitbon, Olivier/I-3623-2019; Humbert, Marc/AAC-8459-2019</t>
  </si>
  <si>
    <t>Godinas, Laurent/0000-0003-2214-5879; Jevnikar, Mitja/0000-0003-0727-6790; garcia, gilles/0000-0001-5383-4189; SITBON, Olivier/0000-0002-1942-1951; Montani, David/0000-0002-9358-6922; Lau, Edmund/0000-0003-1473-0437; JAIS, XAVIER/0000-0002-4104-7994; Humbert, Marc/0000-0003-0703-2892; Weatherald, Jason/0000-0002-0615-4575</t>
  </si>
  <si>
    <t>ERS PAH [LTRF 2013-1592]; Fondation MontGodinne Appel</t>
  </si>
  <si>
    <t>ERS PAH; Fondation MontGodinne Appel</t>
  </si>
  <si>
    <t>The authors have no conflicts of interest to disclose. This study was supported by a Long-Term Research Fellowship Grant from the ERS PAH (LTRF 2013-1592 to L.G.) and the Fondation MontGodinne Appel a projet 2014-2015.</t>
  </si>
  <si>
    <t>10.1016/j.healun.2017.05.024</t>
  </si>
  <si>
    <t>FL9GO</t>
  </si>
  <si>
    <t>WOS:000414561500013</t>
  </si>
  <si>
    <t>Humbert, M; Molimard, M; Mala, L; Gavornikova, M</t>
  </si>
  <si>
    <t>Humbert, Marc; Molimard, Mathieu; Mala, Laurence; Gavornikova, Marcela</t>
  </si>
  <si>
    <t>RESPONSE TO OMALIZUMAB TREATMENT ACCORDING TO PRE-TREATMENT BLOOD EOSINOPHIL COUNT: RESULTS OF A FRENCH REAL-WORLD STUDY (STELLAIR)</t>
  </si>
  <si>
    <t>[Humbert, Marc] Univ Paris Sud, Hop Bicetre, AP HP, Serv Pneumol, Le Kremlin Bicetre, France; [Molimard, Mathieu] CHU Pellegrin, Serv Pharmacol, Bordeaux, France; [Mala, Laurence] Novartis Pharma SAS, Rueil Malmaison, France; [Gavornikova, Marcela] Novartis Pharma AG, Basel, Switzerland</t>
  </si>
  <si>
    <t>Assistance Publique Hopitaux Paris (APHP); Hopital Universitaire Antoine-Beclere - APHP; Hopital Universitaire Bicetre - APHP; Universite Paris Saclay; CHU Bordeaux; Novartis; Novartis</t>
  </si>
  <si>
    <t>molimard, mathieu/T-2762-2019; Humbert, Marc/AAC-8459-2019</t>
  </si>
  <si>
    <t>AP210</t>
  </si>
  <si>
    <t>FN3UE</t>
  </si>
  <si>
    <t>WOS:000415925700425</t>
  </si>
  <si>
    <t>An official European Respiratory Society statement: pulmonary haemodynamics during exercise</t>
  </si>
  <si>
    <t>STRESS DOPPLER-ECHOCARDIOGRAPHY; RIGHT HEART CATHETERIZATION; ARTERY PRESSURE RESPONSE; SYSTEMIC-SCLEROSIS; WEDGE PRESSURE; GAS-EXCHANGE; BODY POSITION; STROKE VOLUME; VENTILATORY INEFFICIENCY; PROGNOSTIC-SIGNIFICANCE</t>
  </si>
  <si>
    <t>There is growing recognition of the clinical importance of pulmonary haemodynamics during exercise, but several questions remain to be elucidated. The goal of this statement is to assess the scientific evidence in this field in order to provide a basis for future recommendations. Right heart catheterisation is the gold standard method to assess pulmonary haemodynamics at rest and during exercise. Exercise echocardiography and cardiopulmonary exercise testing represent non-invasive tools with evolving clinical applications. The term exercise pulmonary hypertension may be the most adequate to describe an abnormal pulmonary haemodynamic response characterised by an excessive pulmonary arterial pressure (PAP) increase in relation to flow during exercise. Exercise pulmonary hypertension may be defined as the presence of resting mean PAP &lt; 25 mmHg and mean PAP &gt; 30 mmHg during exercise with total pulmonary resistance &gt; 3 Wood units. Exercise pulmonary hypertension represents the haemodynamic appearance of early pulmonary vascular disease, left heart disease, lung disease or a combination of these conditions. Exercise pulmonary hypertension is associated with the presence of a modest elevation of resting mean PAP and requires clinical follow-up, particularly if risk factors for pulmonary hypertension are present. There is a lack of robust clinical evidence on targeted medical therapy for exercise pulmonary hypertension.</t>
  </si>
  <si>
    <t>[Kovacs, Gabor; Olschewski, Horst] Med Univ Graz, Dept Internal Med, Div Pulmonol, Graz, Austria; [Kovacs, Gabor; Olschewski, Horst] Ludwig Boltzmann Inst Lung Vasc Res, Graz, Austria; [Herve, Philippe] Ctr Chirug Marie Lannelongue Thorac &amp; Vasc Surg, Le Plessis Robinson, France; [Barbera, Joan Albert] Hosp Clin Barcelona, Pneumol, Barcelona, Spain; [Chaouat, Ari] CHRU Nancy, Dept Pneumol, Vandoeuvre Les Nancy, France; [Chaouat, Ari] Univ Lorraine, INGRES, EA 7298, Vandoeuvre Les Nancy, France; [Chemla, Denis; Garcia, Gilles; Humbert, Marc] Univ Paris Sud, Hop Bicetre, AP HP, Univ Paris Saclay,Ctr Reference Hypertens Pulmona, Le Kremlin Bicetre, France; [Condliffe, Robin] Royal Hallamshire Hosp, Sheffield Pulm Vasc Dis Unit, Sheffield, S Yorkshire, England; [Grunig, Ekkehard] Thoraxclin Heidelberg, Ctr Pulm Hypertens, Heidelberg, Germany; [Howard, Luke] Imperial Coll NHS Healthcare NHS Trust, Natl Pulm Hypertens Serv, London, England; [Lau, Edmund] Royal Prince Alfred Hosp, Resp Med, Camperdown, NSW, Australia; [Laveneziana, Pierantonio] UPMC Univ Paris 06, INSERM, UMRS Neurophysiol Resp Expt &amp; Clin 1158, Sorbonne Univ, Paris, France; [Laveneziana, Pierantonio] Grp Hosp Pitie Salpetriere Charles Foix, AP HP, Serv Explorat Fonct Respirat Exercice &amp; Dyspnee, Dept Pole PRAGUES R3S, Paris, France; [Lewis, Gregory D.] Massachusetts Gen Hosp, Cardiol Div &amp; Pulm Unit, Boston, MA 02114 USA; [Naeije, Robert] Free Univ Brussels, Fac Med, Physiol, Brussels, Belgium; [Peacock, Andrew] Scottish Pulm Vasc Unit, Glasgow, Lanark, Scotland; [Rosenkranz, Stephan] Univ Cologne, Klin Innere Med 3, Cologne, Germany; [Saggar, Rajeev] Univ Arizona, Banner Univ Med Ctr, Phoenix, AZ USA; [Ulrich, Silvia] Univ Hosp Zurich, Internal Med, Zurich, Switzerland; [Vizza, Dario] Univ Roma La Sapienza, Cardiovasc &amp; Resp Sci, Rome, Italy; [Noordegraaf, Anton Vonk] VU Medisch Centrum, Pulmonol, Amsterdam, Netherlands</t>
  </si>
  <si>
    <t>Medical University of Graz; Ludwig Boltzmann Institute; Ludwig Boltzmann Institute for Lung Vascular Research; Hopital Marie Lannelongue; University of Barcelona; Hospital Clinic de Barcelona; CHU de Nancy; Universite de Lorraine; Assistance Publique Hopitaux Paris (APHP); Hopital Universitaire Bicetre - APHP; Universite Paris Saclay; Institut National de la Sante et de la Recherche Medicale (Inserm); Hopital Universitaire Antoine-Beclere - APHP; University of Sheffield; NSW Health; Royal Prince Alfred Hospital; University of Sydney; Institut National de la Sante et de la Recherche Medicale (Inserm); Sorbonne Universite; Sorbonne Universite; Assistance Publique Hopitaux Paris (APHP); Hopital Universitaire Charles-Foix - APHP; Hopital Universitaire Pitie-Salpetriere - APHP; Harvard University; Harvard University Medical Affiliates; Massachusetts General Hospital; Universite Libre de Bruxelles; University of Cologne; University of Arizona; University of Zurich; University Zurich Hospital; Sapienza University Rome; Vrije Universiteit Amsterdam</t>
  </si>
  <si>
    <t>Kovacs, G (corresponding author), Med Univ Graz, Auenbruggerpl 20, A-8036 Graz, Austria.</t>
  </si>
  <si>
    <t>gabor.kovacs@klinikum-graz.at</t>
  </si>
  <si>
    <t>Chaouat, Ari/AAP-6784-2021; Howard, Luke/HJP-3415-2023; Laveneziana, Pierantonio/GWC-2028-2022; Olschewski, Horst/L-3547-2019; vizza, carmine dario/AAC-5540-2020; Humbert, Marc/AAC-8459-2019</t>
  </si>
  <si>
    <t>vizza, carmine dario/0000-0002-3540-4983; Kovacs, Gabor/0000-0003-3709-2183; Condliffe, Robin/0000-0002-3492-4143; Humbert, Marc/0000-0003-0703-2892; Ulrich, Silvia/0000-0002-5250-5022; Vonk Noordegraaf, Anton/0000-0002-4057-758X; Olschewski, Horst/0000-0002-2834-7466; CHEMLA, Denis/0000-0001-7479-9896</t>
  </si>
  <si>
    <t>The task force was funded by the European Respiratory Society. Funding information for this article has been deposited with the Crossref Funder Registry.</t>
  </si>
  <si>
    <t>10.1183/13993003.00578-2017</t>
  </si>
  <si>
    <t>FN9ED</t>
  </si>
  <si>
    <t>WOS:000416330200006</t>
  </si>
  <si>
    <t>Olschewski, A; Veale, EL; Nagy, BM; Nagaraj, C; Kwapiszewska, G; Antigny, F; Lambert, M; Humbert, M; Czirják, G; Enyedi, P; Mathie, A</t>
  </si>
  <si>
    <t>Olschewski, Andrea; Veale, Emma L.; Nagy, Bence M.; Nagaraj, Chandran; Kwapiszewska, Grazyna; Antigny, Fabrice; Lambert, Melanie; Humbert, Marc; Czirjak, Gabor; Enyedi, Peter; Mathie, Alistair</t>
  </si>
  <si>
    <t>TASK-1 (KCNK3) channels in the lung: from cell biology to clinical implications</t>
  </si>
  <si>
    <t>DOMAIN POTASSIUM CHANNEL; ARTERY SMOOTH-MUSCLE; UNION-OF-PHARMACOLOGY; HYPOXIC PULMONARY VASOCONSTRICTION; BACKGROUND K+ CHANNEL; 2 PORE DOMAINS; 2-PORE DOMAIN; MOLECULAR RELATIONSHIPS; ION CHANNELS; ENDOPLASMIC-RETICULUM</t>
  </si>
  <si>
    <t>TWIK-related acid-sensitive potassium channel 1 (TASK-1 encoded by KCNK3) belongs to the family of two-pore domain potassium channels. This gene subfamily is constitutively active at physiological resting membrane potentials in excitable cells, including smooth muscle cells, and has been particularly linked to the human pulmonary circulation. TASK-1 channels are sensitive to a wide array of physiological and pharmacological mediators that affect their activity such as unsaturated fatty acids, extracellular pH, hypoxia, anaesthetics and intracellular signalling pathways. Recent studies show that modulation of TASK-1 channels, either directly or indirectly by targeting their regulatory mechanisms, has the potential to control pulmonary arterial tone in humans. Furthermore, mutations in KCNK3 have been identified as a rare cause of both familial and idiopathic pulmonary arterial hypertension. This review summarises our current state of knowledge of the functional role of TASK-1 channels in the pulmonary circulation in health and disease, with special emphasis on current advancements in the field.</t>
  </si>
  <si>
    <t>[Olschewski, Andrea; Nagaraj, Chandran; Kwapiszewska, Grazyna] Ludwig Boltzmann Inst Lung Vasc Res Graz, Stiftingtalstr 24, A-8010 Graz, Austria; [Olschewski, Andrea; Nagy, Bence M.; Nagaraj, Chandran; Kwapiszewska, Grazyna] Med Univ Graz, Inst Physiol, Graz, Austria; [Veale, Emma L.; Mathie, Alistair] Univ Kent, Chatham Maritime, Medway Sch Pharm, Cent Ave, Canterbury, Kent, England; [Antigny, Fabrice; Lambert, Melanie; Humbert, Marc] Univ Paris Sud, Fac Med, Le Kremlin Bicetre, France; [Antigny, Fabrice; Lambert, Melanie; Humbert, Marc] Dept Hosp Univ DHU Thorax Innovat, Hop Bicetre, AP HP, Ctr Reference Hypertens Pulm Severe,Serv Pneumol, Le Kremlin Bicetre, France; [Antigny, Fabrice; Lambert, Melanie; Humbert, Marc] INSERM, UMRS 999, Le Plessis Robinson, France; [Antigny, Fabrice; Lambert, Melanie; Humbert, Marc] Univ Paris Sud, Lab Excellence LabEx Rech Medicament &amp; Innovat Th, Hop Marie Lannelongue, Le Plessis Robinson, France; [Czirjak, Gabor; Enyedi, Peter] Semmelweis Univ, Dept Physiol, Budapest, Hungary</t>
  </si>
  <si>
    <t>Medical University of Graz; University of Kent; 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 Semmelweis University</t>
  </si>
  <si>
    <t>Olschewski, A (corresponding author), Ludwig Boltzmann Inst Lung Vasc Res Graz, Stiftingtalstr 24, A-8010 Graz, Austria.</t>
  </si>
  <si>
    <t>andrea.olschewski@lvr.lbg.ac.at</t>
  </si>
  <si>
    <t>Chandran, Nagaraj/AAP-2007-2020; Mathie, Alistair/K-7198-2019; Veale, Emma/AAA-5022-2022; Humbert, Marc/AAC-8459-2019; Antigny, Fabrice/Q-3999-2018</t>
  </si>
  <si>
    <t>Humbert, Marc/0000-0003-0703-2892; NAGY, BENCE/0000-0003-3955-4863; Mathie, Alistair/0000-0001-6094-2890; Kwapiszewska, Grazyna/0000-0003-0518-9079; Olschewski, Andrea/0000-0002-8189-3634; Veale, Emma/0000-0002-6778-9929; Chandran, Nagaraj/0000-0003-3825-8587; Antigny, Fabrice/0000-0002-9515-6571</t>
  </si>
  <si>
    <t>Scientific and Technological Cooperation of OeAD [TET 15-1-2016-0001]; Anniversary Fund of the OeNB [16682, 16187]; FWF [DK-MOLIN - W1241, P27848]; Aviesan; Fondation du Souffle et Fonds de Dotation Recherche en Sante Respiratoire; Fondation Lefoulon-Delalande; Fondation Legs Poix; Austrian Science Fund (FWF) [P27848] Funding Source: Austrian Science Fund (FWF); BBSRC [BB/J000930/1] Funding Source: UKRI</t>
  </si>
  <si>
    <t>Scientific and Technological Cooperation of OeAD; Anniversary Fund of the OeNB; FWF(Austrian Science Fund (FWF)); Aviesan; Fondation du Souffle et Fonds de Dotation Recherche en Sante Respiratoire; Fondation Lefoulon-Delalande; Fondation Legs Poix; Austrian Science Fund (FWF)(Austrian Science Fund (FWF)); BBSRC(UK Research &amp; Innovation (UKRI)Biotechnology and Biological Sciences Research Council (BBSRC))</t>
  </si>
  <si>
    <t>A. Olschewski is supported by Scientific and Technological Cooperation of OeAD (TET 15-1-2016-0001), by the Anniversary Fund of the OeNB (16682) and by the FWF (DK-MOLIN - W1241); F. Antigny is supported by a postdoctoral grant from Aviesan (ITMO IHP). F. Antigny receives funding from the Fondation du Souffle et Fonds de Dotation Recherche en Sante Respiratoire, from the Fondation Lefoulon-Delalande and from the Fondation Legs Poix. G. Kwapiszewska receives funding from Anniversary Fund of the OeNB (16187) and FWF (P27848). P. Enyedi is supported by Scientific and Technological Cooperation of OeAD (TET 15-1-2016-0001).</t>
  </si>
  <si>
    <t>10.1183/13993003.00754-2017</t>
  </si>
  <si>
    <t>WOS:000416330200009</t>
  </si>
  <si>
    <t>Weatherald, J; Savale, L; Humbert, M</t>
  </si>
  <si>
    <t>Weatherald, Jason; Savale, Laurent; Humbert, Marc</t>
  </si>
  <si>
    <t>Medical Management of Pulmonary Hypertension with Unclear and/or Multifactorial Mechanisms (Group 5): Is There a Role for Pulmonary Arterial Hypertension Medications?</t>
  </si>
  <si>
    <t>CURRENT HYPERTENSION REPORTS</t>
  </si>
  <si>
    <t>Pulmonary arterial hypertension; PAH; Group 5 pulmonary hypertension; Hypertension treatment</t>
  </si>
  <si>
    <t>LANGERHANS CELL HISTIOCYTOSIS; GLYCOGEN-STORAGE-DISEASE; CHRONIC KIDNEY-DISEASE; LONG-TERM IMPROVEMENT; GAUCHER-DISEASE; VENOOCCLUSIVE DISEASE; LUNG TRANSPLANTATION; THERAPY; LYMPHANGIOLEIOMYOMATOSIS; SARCOIDOSIS</t>
  </si>
  <si>
    <t>Purpose of Review The purpose of this review was to outline the mechanisms and to review recent literature on pulmonary arterial hypertension (PAH) medications in group 5 pulmonary hypertension (PH). Recent Findings The first steps in management are to understand the mechanisms and hemodynamic profile and to exclude chronic thromboembolic disease. Recent studies in the past 5 years have found that PAH medications may improve hemodynamics in patients with pre-capillary pulmonary hypertension due to sarcoidosis, pulmonary Langerhans cell histiocytosis, lymphangioleiomyomatosis, and myeloproliferative disorders with dasatinib-induced PH. Improvements in exercise capacity are uncommon, and no survival benefit has been demonstrated. There is a risk of pulmonary edema in patients with pulmonary venous involvement or fibrosing mediastinitis when treated with PAH therapies. Summary There is limited evidence supporting the use of PAH medications in group 5 patients, and they may be harmful in certain cases. In most patients with group 5 PH, treatment should be directed to the underlying disease with PAH therapies reserved for patients with severe pre-capillary PH.</t>
  </si>
  <si>
    <t>[Weatherald, Jason; Savale, Laurent; Humbert, Marc] Univ Paris Saclay, Fac Med, Univ Paris Sud, Le Kremlin Bicetre, France; [Weatherald, Jason; Savale, Laurent; Humbert, Marc] Hop Bicetre, AP HP, Serv Pneumol, Le Kremlin Bicetre, France; [Weatherald, Jason; Savale, Laurent; Humbert, Marc] Hop Marie Lannelongue, INSERM, UMR S 999, Le Plessis Robinson, France; [Weatherald, Jason] Univ Calgary, Dept Med, Div Respirol, Calgary, AB, Canada</t>
  </si>
  <si>
    <t>Universite Paris Saclay; Assistance Publique Hopitaux Paris (APHP); Hopital Universitaire Antoine-Beclere - APHP; Universite Paris Saclay; Hopital Universitaire Bicetre - APHP; Universite Paris Saclay; Institut National de la Sante et de la Recherche Medicale (Inserm); Hopital Marie Lannelongue; University of Calgary</t>
  </si>
  <si>
    <t>Humbert, M (corresponding author), Univ Paris Saclay, Fac Med, Univ Paris Sud, Le Kremlin Bicetre, France.;Humbert, M (corresponding author), Hop Bicetre, AP HP, Serv Pneumol, Le Kremlin Bicetre, France.;Humbert, M (corresponding author), Hop Marie Lannelongue, INSERM, UMR S 999, Le Plessis Robinson, France.</t>
  </si>
  <si>
    <t>Humbert, Marc/0000-0003-0703-2892; Weatherald, Jason/0000-0002-0615-4575</t>
  </si>
  <si>
    <t>Actelion Pharmaceuticals Ltd.; Bayer; GSK; Pfizer; United Therapeutics</t>
  </si>
  <si>
    <t>Actelion Pharmaceuticals Ltd.; Bayer(Bayer AG); GSK(GlaxoSmithKline); Pfizer(Pfizer); United Therapeutics</t>
  </si>
  <si>
    <t>Dr. Humbert reports personal fees from Actelion Pharmaceuticals Ltd., grants and personal fees from Bayer, grants and personal fees from GSK, personal fees from Pfizer and United Therapeutics, during the conduct of the study; and personal fees from Novartis, outside the submitted work. Dr. Weatherald reports grants from the European Respiratory Society, grants from the Canadian Thoracic Society, grants from the Canadian Vascular Network, personal fees and non-financial support from Actelion, and personal fees and non-financial support from Bayer, outside the submitted work. Dr. Savale reports grants, personal fees and non-financial support from Actelion Pharmaceuticals, grants, personal fees and non-financial support from Bayer, grants and personal fees from Pfizer, grants, personal fees and non-financial support from GlaxoSmithKline, grants, personal fees and non-financial support from MSD, outside the submitted work.</t>
  </si>
  <si>
    <t>1522-6417</t>
  </si>
  <si>
    <t>1534-3111</t>
  </si>
  <si>
    <t>CURR HYPERTENS REP</t>
  </si>
  <si>
    <t>Curr. Hypertens. Rep.</t>
  </si>
  <si>
    <t>10.1007/s11906-017-0783-5</t>
  </si>
  <si>
    <t>FK1DY</t>
  </si>
  <si>
    <t>WOS:000413221600001</t>
  </si>
  <si>
    <t>Bergot, E; de Léotoing, L; Bendjenana; Tournier, C; Vainchtock, A; Nachbaur, G; Humbert, M</t>
  </si>
  <si>
    <t>Bergot, E.; de Leotoing, L.; Bendjenana, H.; Tournier, C.; Vainchtock, A.; Nachbaur, G.; Humbert, M.</t>
  </si>
  <si>
    <t>IS IT POSSIBLE TO ACCURATELY IDENTIFY RARE DISEASES USING NATIONAL HOSPITAL DISCHARGE DATABASES?</t>
  </si>
  <si>
    <t>[Bergot, E.] CHU Cote Nacre, Caen, France; [de Leotoing, L.; Tournier, C.; Vainchtock, A.] HEVA, Lyon, France; [Bendjenana, H.; Nachbaur, G.] GSK, Marly Le Roi, France; [Humbert, M.] Hop Bicetre, Le Kremlin Bicetre, France</t>
  </si>
  <si>
    <t>Universite de Caen Normandie; CHU de Caen NORMANDIE; GlaxoSmithKline; Assistance Publique Hopitaux Paris (APHP); Hopital Universitaire Bicetre - APHP; Hopital Universitaire Antoine-Beclere - APHP; Universite Paris Saclay</t>
  </si>
  <si>
    <t>OCT-NOV</t>
  </si>
  <si>
    <t>PRM60</t>
  </si>
  <si>
    <t>A741</t>
  </si>
  <si>
    <t>10.1016/j.jval.2017.08.2046</t>
  </si>
  <si>
    <t>FK6FX</t>
  </si>
  <si>
    <t>WOS:000413599902579</t>
  </si>
  <si>
    <t>Bergot, E; de Léotoing, L; Bendjenana, H; Tournier, C; Vainchtock, A; Nachbaur, G; Humbert, M</t>
  </si>
  <si>
    <t>ECONOMIC BURDEN OF HOSPITALIZATIONS RELATED TO PULMONARY ARTERIAL HYPERTENSION (PAH) IN FRANCE</t>
  </si>
  <si>
    <t>CHU de Caen NORMANDIE; Universite de Caen Normandie; GlaxoSmithKline; Assistance Publique Hopitaux Paris (APHP); Hopital Universitaire Antoine-Beclere - APHP; Hopital Universitaire Bicetre - APHP; Universite Paris Saclay</t>
  </si>
  <si>
    <t>PCV53</t>
  </si>
  <si>
    <t>A609</t>
  </si>
  <si>
    <t>A610</t>
  </si>
  <si>
    <t>10.1016/j.jval.2017.08.1199</t>
  </si>
  <si>
    <t>WOS:000413599901532</t>
  </si>
  <si>
    <t>Besson, F. L.; Henry, T.; Meyer, C.; Chevance, V.; Roblot, V.; Blanchet, E.; Arnould, V.; Grimon, G.; Chekroun, M.; Mabille, L.; Parent, F.; Seferian, A.; Bulifon, S.; Montani, D.; Humbert, M.; Chaumet-Riffaud, P.; Lebon, V.; Durand, E.</t>
  </si>
  <si>
    <t>User-guided 3D active contour segmentation of complexshaped tumours : an efficient semi-automatic approach in FDG PET thoracic oncology</t>
  </si>
  <si>
    <t>EUROPEAN JOURNAL OF NUCLEAR MEDICINE AND MOLECULAR IMAGING</t>
  </si>
  <si>
    <t>[Besson, F. L.; Henry, T.; Meyer, C.; Chevance, V.; Roblot, V.; Grimon, G.; Chekroun, M.; Parent, F.; Seferian, A.; Bulifon, S.; Montani, D.; Humbert, M.; Chaumet-Riffaud, P.; Durand, E.] Univ Paris Sud, AP HP, Le Kremlin Bicetre, France; [Besson, F. L.; Durand, E.] Univ Paris Saclay, Univ Paris Sud, IR4M, UMR 8081, Orsay, France; [Blanchet, E.; Arnould, V.; Lebon, V.] CEA SHFJ, Orsay, France; [Mabille, L.] CCML, Clamart, France</t>
  </si>
  <si>
    <t>Assistance Publique Hopitaux Paris (APHP); Hopital Universitaire Bicetre - APHP; Universite Paris Saclay; Centre National de la Recherche Scientifique (CNRS); CNRS - Institute for Engineering &amp; Systems Sciences (INSIS); Universite Paris Saclay; CEA; Universite Paris Saclay</t>
  </si>
  <si>
    <t>Humbert, Marc/AAC-8459-2019; Durand, Emmanuel/KFT-1030-2024; David, Montani/I-6885-2019; Besson, Florent/AEV-1339-2022</t>
  </si>
  <si>
    <t>Besson, Florent/0000-0002-9826-3890; DURAND, Emmanuel/0000-0002-1378-8330; Montani, David/0000-0002-9358-6922</t>
  </si>
  <si>
    <t>1619-7070</t>
  </si>
  <si>
    <t>1619-7089</t>
  </si>
  <si>
    <t>EUR J NUCL MED MOL I</t>
  </si>
  <si>
    <t>Eur. J. Nucl. Med. Mol. Imaging</t>
  </si>
  <si>
    <t>E-PW087</t>
  </si>
  <si>
    <t>S413</t>
  </si>
  <si>
    <t>S414</t>
  </si>
  <si>
    <t>VH7VV</t>
  </si>
  <si>
    <t>WOS:000455019401184</t>
  </si>
  <si>
    <t>Boucly, A; Cottin, V; Nunes, H; Jaïs, X; Tazi, A; Prévôt, G; Reynaud-Gaubert, M; Dromer, C; Viacroze, C; Horeau-Langlard, D; Pison, C; Bergot, E; Traclet, J; Weatherald, J; Simonneau, G; Valeyre, D; Montani, D; Humbert, M; Sitbonl, O; Savale, L</t>
  </si>
  <si>
    <t>Boucly, Athenais; Cottin, Vincent; Nunes, Hilario; Jais, Xavier; Tazi, Abdelatif; Prevot, Gregoire; Reynaud-Gaubert, Martine; Dromer, Claire; Viacroze, Catherine; Horeau-Langlard, Delphine; Pison, Christophe; Bergot, Emmanuel; Traclet, Julie; Weatherald, Jason; Simonneau, Gerald; Valeyre, Dominique; Montani, David; Humbert, Marc; Sitbonl, Olivier; Savale, Laurent</t>
  </si>
  <si>
    <t>Management and long-term outcomes of sarcoidosis-associated pulmonary hypertension</t>
  </si>
  <si>
    <t>BOSENTAN; HEMODYNAMICS; SURVIVAL</t>
  </si>
  <si>
    <t>Studies reporting the effects of modern strategies with pulmonary arterial hypertension (PAH)-targeted therapies in sarcoidosis-associated pulmonary hypertension (S-APH) are limited. Clinical and haemodynamic data from newly diagnosed patients with severe S-APH (mean pulmonary artery pressure (mPAP) &gt;35 mmHg or mPAP 25-35 mmHg with cardiac index &lt;2.5 L.min(-1).m(-2)) were collected from the French Pulmonary Hypertension Registry between 2004 and 2015. Data from 126 patients with severe S-APH were analysed (mean +/- SD age 57.5 +/- 11.6 years, 74% radiological stage IV). 97 patients (77%) received PAH-targeted therapy and immunosuppressive therapy was initiated or escalated in 33 patients at the time of pulmonary hypertension diagnosis. Four months after PAH-targeted therapy initiation, mean +/- SD pulmonary vascular resistance decreased from 9.7 +/- 4.4 to 6.9 +/- 3.0 Wood units (p&lt;0.001), without significant improvement in exercise capacity. Among the 11 patients treated only with immunosuppressive therapy, a haemodynamic improvement was observed in four patients, including two with compressive lymph nodes. After a median follow-up of 28 months, 39 patients needed PAH-targeted therapy escalation, nine underwent lung transplantation and 42 had died. Survival at 1, 3 and 5 years was 93%, 74% and 55%, respectively. PAH-targeted therapy improved short-term pulmonary haemodynamics in severe S-APH without change in exercise capacity. Immunosuppressive therapy improved haemodynamics in selected patients. Pulmonary hypertension in sarcoidosis remains associated with a poor prognosis.</t>
  </si>
  <si>
    <t>[Boucly, Athenais; Jais, Xavier; Weatherald, Jason; Simonneau, Gerald; Montani, David; Humbert, Marc; Sitbonl, Olivier; Savale, Laurent] Univ Paris Saclay, Fac Med, Univ Paris Sud, Le Kremlin Bicetre, France; [Boucly, Athenais; Jais, Xavier; Weatherald, Jason; Simonneau, Gerald; Montani, David; Humbert, Marc; Sitbonl, Olivier; Savale, Laurent] Hop Bicetre, Ctr Reference Hypertens Pulm, AP HP, Serv Pneumol, Le Kremlin Bicetre, France; [Boucly, Athenais; Jais, Xavier; Weatherald, Jason; Simonneau, Gerald; Montani, David; Humbert, Marc; Sitbonl, Olivier; Savale, Laurent] Hop Marie Lannelongue, INSERM, UMR S 999, Le Plessis Robinson, France; [Cottin, Vincent; Traclet, Julie] Univ Lyon 1, Hop Louis Pradel, Ctr Reference Malad Pulmonaires Rares, HCL,Serv Pneumol, Lyon, France; [Cottin, Vincent; Nunes, Hilario; Valeyre, Dominique] Univ Paris 13, Hop Avicenne, AP HP, Serv Pneumol, Bobigny, France; [Tazi, Abdelatif] Univ Paris Diderot, Hop St Louis, AP HP, Serv Pneumol, Paris, France; [Prevot, Gregoire] CHU Toulouse, Hop Larrey, Serv Pneumol, Toulouse, France; [Reynaud-Gaubert, Martine] Aix Marseille Univ, CHU Nord, Serv Pneumol, Marseille, France; [Dromer, Claire] Univ Bordeaux, Hop Haut Leveque, CHU Bordeaux, Serv Malad Resp, Pessac, France; [Viacroze, Catherine] CHU Rouen, Hop Bois Guillaume, Serv Pneumol, Rouen, France; [Horeau-Langlard, Delphine] CHU Nantes, Hop Laennec, Serv Pneumol, Nantes, France; [Pison, Christophe] Univ Grenoble Alpes, INSERM, CHU Grenoble Alpes Pale Thorax &amp; Vaisseaux, Clin Univ Pneumol,U1055, Grenoble, France; [Bergot, Emmanuel] Univ Caen Normandie, Hop Cote Nacre, CHRU Caen, Serv Pneumol, Caen, France; [Weatherald, Jason] Univ Calgary, Div Respirol, Dept Med, Calgary, AB, Canada</t>
  </si>
  <si>
    <t>Universite Paris Saclay; Assistance Publique Hopitaux Paris (APHP); Hopital Universitaire Bicetre - APHP; Universite Paris Saclay; Hopital Universitaire Antoine-Beclere - APHP; Institut National de la Sante et de la Recherche Medicale (Inserm); Hopital Marie Lannelongue; Universite Paris Saclay; Universite Claude Bernard Lyon 1; CHU Lyon; Universite Paris 13; Assistance Publique Hopitaux Paris (APHP); Hopital Universitaire Avicenne - APHP; Universite Paris Cite; Assistance Publique Hopitaux Paris (APHP); Hopital Universitaire Saint-Louis - APHP; Universite de Toulouse; Universite Toulouse III - Paul Sabatier; CHU de Toulouse; Aix-Marseille Universite; Assistance Publique-Hopitaux de Marseille; CHU Bordeaux; Universite de Bordeaux; Universite de Rouen Normandie; CHU de Rouen; Nantes Universite; CHU de Nantes; Institut National de la Sante et de la Recherche Medicale (Inserm); CHU Grenoble Alpes; Communaute Universite Grenoble Alpes; Universite Grenoble Alpes (UGA); CHU de Caen NORMANDIE; Universite de Caen Normandie; University of Calgary</t>
  </si>
  <si>
    <t>Boucly, A (corresponding author), Univ Paris Sud, Hop Bicetre, Ctr Reference Hypertens Pulm, Serv Pneumol &amp; Soins Intensifs Resp, 78 Rue Gen Leclerc, F-94270 Le Kremlin Bicetre, France.</t>
  </si>
  <si>
    <t>athenais.boucly@aphp.fr</t>
  </si>
  <si>
    <t>Nunes, Hilario/AAM-8127-2020; Simonneau, Gerald/ABE-6614-2020; Savale, Laurent/AAJ-9781-2020; David, Montani/I-6885-2019; Bergot, Emmanuel/KHZ-1685-2024; Sitbon, Olivier/I-3623-2019; Humbert, Marc/AAC-8459-2019</t>
  </si>
  <si>
    <t>JAIS, XAVIER/0000-0002-4104-7994; Cottin, Vincent/0000-0002-5591-0955; Boucly, Athenais/0000-0001-6246-5557; Humbert, Marc/0000-0003-0703-2892; Nunes, Hilario/0000-0003-2896-7347; SITBON, Olivier/0000-0002-1942-1951; Weatherald, Jason/0000-0002-0615-4575; Valeyre, dominique/0000-0003-4470-1776; Montani, David/0000-0002-9358-6922</t>
  </si>
  <si>
    <t>Departement Hospitalo-Universitaire Thorax Innovation (TORINO); Laboratoire d'Excellence en Recherche sur le Medicament et l'Innovation Therapeutique (LERMIT); Projet Hospitalier de Recherche Clinique (PHRC) HYpertension pulmonaire des Pneumopathies Interstitielles Diffuses (HYPID)</t>
  </si>
  <si>
    <t>This study was supported in part by the Departement Hospitalo-Universitaire Thorax Innovation (TORINO), the Laboratoire d'Excellence en Recherche sur le Medicament et l'Innovation Therapeutique (LERMIT) and the Projet Hospitalier de Recherche Clinique (PHRC) HYpertension pulmonaire des Pneumopathies Interstitielles Diffuses (HYPID).</t>
  </si>
  <si>
    <t>10.1183/13993003.00465-2017</t>
  </si>
  <si>
    <t>FK9VV</t>
  </si>
  <si>
    <t>WOS:000413860300010</t>
  </si>
  <si>
    <t>Boulet, LP; Bissonnette, E; Humbert, M; Maître, B; Pigearias, B</t>
  </si>
  <si>
    <t>Boulet, Louis-Philippe; Bissonnette, Elyse; Humbert, Marc; Maitre, Bernard; Pigearias, Bernard</t>
  </si>
  <si>
    <t>A unique event for the francophone respiratory community</t>
  </si>
  <si>
    <t>[Boulet, Louis-Philippe; Bissonnette, Elyse] IUCPQ UL, 2725 Chcmin Ste Foy, Quebec City, PQ G1V 4G5, Canada; [Humbert, Marc] Univ Paris Saclay, Univ Paris Sud, Fac Med, Le Kremlin Bicetre, France; [Humbert, Marc] Hop Bicetre, AP HP, Serv Pneumol, Le Kremlin Bicetre, France; [Maitre, Bernard] Hop Henri Mondor, Antenne Pneumol, Creteil, France; [Pigearias, Bernard] Soc Pneumol Langue Francaise, Secretaire Gen Relat Int, Lab Sommeil &amp; Effort, Nice, France</t>
  </si>
  <si>
    <t>Universite Paris Saclay; Assistance Publique Hopitaux Paris (APHP); Hopital Universitaire Bicetre - APHP; Universite Paris Saclay; Hopital Universitaire Antoine-Beclere - APHP; Universite Paris-Est-Creteil-Val-de-Marne (UPEC); Assistance Publique Hopitaux Paris (APHP); Hopital Universitaire Henri-Mondor - APHP</t>
  </si>
  <si>
    <t>Boulet, LP (corresponding author), IUCPQ UL, 2725 Chcmin Ste Foy, Quebec City, PQ G1V 4G5, Canada.</t>
  </si>
  <si>
    <t>lpboulet@med.ulaval.ca</t>
  </si>
  <si>
    <t>Bonniaud, Philippe/ITT-4660-2023; Humbert, Marc/AAC-8459-2019</t>
  </si>
  <si>
    <t>Humbert, Marc/0000-0003-0703-2892; Maitre, Bernard/0000-0002-8061-1252</t>
  </si>
  <si>
    <t>10.1183/13993003.01479-2017</t>
  </si>
  <si>
    <t>WOS:000413860300042</t>
  </si>
  <si>
    <t>Evolving Concepts in Pulmonary Hypertension</t>
  </si>
  <si>
    <t>COMBINATION THERAPY</t>
  </si>
  <si>
    <t>[Humbert, Marc] Univ Paris Saclay, Univ Paris Sud, Fac Med, Le Kremlin Bicetre, France; [Humbert, Marc] Hop Bicetre, Assistance Publ Hop Paris, Serv Pneumol, Le Kremlin Bicetre, France; [Humbert, Marc] Hop Marie Lannelongue, INSERM, UMR S999, Le Plessis Robinson, France</t>
  </si>
  <si>
    <t>Universite Paris Saclay; Assistance Publique Hopitaux Paris (APHP); Hopital Universitaire Bicetre - APHP; Universite Paris Cite; Hopital Universitaire Saint-Louis - APHP; Hopital Universitaire Antoine-Beclere - APHP; Universite Paris Saclay; Institut National de la Sante et de la Recherche Medicale (Inserm); Universite Paris Saclay; Hopital Marie Lannelongue</t>
  </si>
  <si>
    <t>Humbert, M (corresponding author), Univ Paris Saclay, Univ Paris Sud, Fac Med, Le Kremlin Bicetre, France.</t>
  </si>
  <si>
    <t>10.1055/s-0037-1606390</t>
  </si>
  <si>
    <t>FJ8YA</t>
  </si>
  <si>
    <t>WOS:000413053300001</t>
  </si>
  <si>
    <t>Lau, EMT; Giannoulatou, E; Celermajer, DS; Humbert, M</t>
  </si>
  <si>
    <t>Lau, Edmund M. T.; Giannoulatou, Eleni; Celermajer, David S.; Humbert, Marc</t>
  </si>
  <si>
    <t>Epidemiology and treatment of pulmonary arterial hypertension</t>
  </si>
  <si>
    <t>NATURE REVIEWS CARDIOLOGY</t>
  </si>
  <si>
    <t>ENDOTHELIN RECEPTOR ANTAGONIST; 5 INHIBITOR THERAPY; COMBINATION THERAPY; INTRAVENOUS EPOPROSTENOL; ORAL TREPROSTINIL; PREDICTING SURVIVAL; SILDENAFIL CITRATE; MOLECULAR TARGETS; INHALED ILOPROST; CHINESE PATIENTS</t>
  </si>
  <si>
    <t>In the past 2 decades, major changes have occurred in the epidemiological and treatment landscape of pulmonary arterial hypertension (PAH). Previously regarded as a disease of the young and middle-aged, contemporary registries from the Western world have demonstrated an increase in the age of patients with PAH, many of whom are elderly with multiple comorbidities. Another important observation is the improvement in survival of patients with PAH in the modern treatment era compared with historical cohorts, before the availability of advanced therapy. The management of PAH has also become more complex, and numerous drugs are now approved that target the endothelin 1, nitric oxide, and prostacyclin pathways. Combining drugs from different classes is now considered the standard of care and has been demonstrated to improve outcomes. Furthermore, the current treatment paradigm is the early use of combination therapy, often at the time of diagnosis, particularly in patients with severe disease. This Review provides a comprehensive update on the epidemiology and pharmacotherapy of PAH.</t>
  </si>
  <si>
    <t>[Humbert, Marc] Hop Bicetre, AP HP, Ctr Reference Hypertens Pulm Severe, Serv Pneumol,DHU Thorax Innovat, Rue Gen Leclerc, F-94270 Le Kremlin Bicetre, France; [Lau, Edmund M. T.] Royal Prince Alfred Hosp, Dept Resp Med, Missenden Rd, Camperdown, NSW 2050, Australia; [Giannoulatou, Eleni] Victor Chang Cardiac Res Inst, Computat Genom Lab, Liverpool St, Darlinghurst, NSW 2010, Australia; [Giannoulatou, Eleni] Univ New South Wales, St Vincents Clin Sch, Victoria St, Darlinghurst, NSW 2010, Australia; [Celermajer, David S.] Univ Sydney, Sydney Med Sch, Missenden Rd, Camperdown, NSW 2050, Australia; [Celermajer, David S.] Royal Prince Alfred Hosp, Dept Cardiol, Missenden Rd, Camperdown, NSW 2050, Australia; [Humbert, Marc] Univ Paris Saclay, Univ Paris Sud, Ctr Chirurg Marie Lannelongue, INSERM UMR S 999,LabEx LERMIT, Ave Resistance, F-92350 Le Plessis Robinson, France; [Humbert, Marc] Univ Paris Saclay, Univ Paris Sud, Fac Med, Rue Gabriel Peri, F-94270 Le Kremlin Bicetre, France</t>
  </si>
  <si>
    <t>Universite Paris Saclay; Assistance Publique Hopitaux Paris (APHP); Hopital Universitaire Antoine-Beclere - APHP; Hopital Universitaire Bicetre - APHP; NSW Health; Royal Prince Alfred Hospital; University of Sydney; Victor Chang Cardiac Research Institute; St Vincent's Clinic; University of New South Wales Sydney; University of Sydney; NSW Health; Royal Prince Alfred Hospital; University of Sydney; Hopital Marie Lannelongue; Institut National de la Sante et de la Recherche Medicale (Inserm); Universite Paris Saclay; Universite Paris Saclay</t>
  </si>
  <si>
    <t>Humbert, M (corresponding author), Hop Bicetre, AP HP, Ctr Reference Hypertens Pulm Severe, Serv Pneumol,DHU Thorax Innovat, Rue Gen Leclerc, F-94270 Le Kremlin Bicetre, France.</t>
  </si>
  <si>
    <t>Celermajer, David/KYZ-0123-2024; Humbert, Marc/AAC-8459-2019</t>
  </si>
  <si>
    <t>Celermajer, David/0000-0001-7640-0439; Lau, Edmund/0000-0003-1473-0437; Giannoulatou, Eleni/0000-0002-7084-6736; Humbert, Marc/0000-0003-0703-2892</t>
  </si>
  <si>
    <t>Actelion; AstraZeneca; GSK; Menarini</t>
  </si>
  <si>
    <t>Actelion; AstraZeneca(AstraZeneca); GSK(GlaxoSmithKline); Menarini(Menarini Group)</t>
  </si>
  <si>
    <t>E.M.T.L. has relationships with Actelion, AstraZeneca, GSK, and Menarini. Relationships include serving on speaker bureaus, consultancy on advisory boards, and research funding support. D.S.C. received support from Actelion, including serving on the speaker bureau and funding for research. M.H. has relationships with drug companies including Actelion, Bayer, GSK, Merck, Novartis, Pfizer, and United Therapeutics. In addition to being an investigator in trials involving these companies, relationships include consultancy service and membership of scientific advisory boards. E.G. declares no competing interests.</t>
  </si>
  <si>
    <t>75 VARICK ST, 9TH FLR, NEW YORK, NY 10013-1917 USA</t>
  </si>
  <si>
    <t>1759-5002</t>
  </si>
  <si>
    <t>1759-5010</t>
  </si>
  <si>
    <t>NAT REV CARDIOL</t>
  </si>
  <si>
    <t>Nat. Rev. Cardiol.</t>
  </si>
  <si>
    <t>10.1038/nrcardio.2017.84</t>
  </si>
  <si>
    <t>FG8HB</t>
  </si>
  <si>
    <t>WOS:000410669400013</t>
  </si>
  <si>
    <t>Sahay, S; Humbert, M; Sitbon, O</t>
  </si>
  <si>
    <t>Sahay, Sandeep; Humbert, Marc; Sitbon, Olivier</t>
  </si>
  <si>
    <t>Medical Treatment of Pulmonary Arterial Hypertension</t>
  </si>
  <si>
    <t>hypertension; pulmonary; pulmonary arterial hypertension; therapy; prostacyclin; endothelin; nitric oxide; phosphodiesterase type-5</t>
  </si>
  <si>
    <t>ENDOTHELIN-RECEPTOR ANTAGONIST; CALCIUM-CHANNEL BLOCKERS; QUALITY-OF-LIFE; CONTINUOUS INTRAVENOUS EPOPROSTENOL; 5 INHIBITOR THERAPY; LONG-TERM RESPONSE; DOUBLE-BLIND; COMBINATION THERAPY; IRON-DEFICIENCY; LUNG TRANSPLANTATION</t>
  </si>
  <si>
    <t>Pulmonary arterial hypertension (PAH) is a progressive and life-threatening disease leading to right ventricular failure and death if left untreated. Over the past two decades, progress in the understanding of pathophysiological mechanisms of the disease has led to the development of medications targeting the three major pathways of endothelial dysfunction: prostanoids, endothelin-receptor antagonists, and phosphodiesterase type-5 inhibitors. Efficacy of PAH-targeted medications has been demonstrated in monotherapy through randomized clinical trials leading to their regulatory approval. However, despite the growing numbers of available PAH-targeted medications, many patients with PAH continue to deteriorate and the disease ultimately remains fatal. The availability of multiple classes of drugs targeting different pathophysiological pathways provides strong biological rationale for the use of combination therapy in PAH. Evidence to support this strategy is growing, and many studies have demonstrated that combination therapy, administered as either a sequential or an initial regimen, can improve long-term outcomes in PAH. Treatment strategy for PAH has thereby changed significantly over the past decade, combination therapy becoming progressively the gold standard of care in patients with PAH. This is underscored by the current European Society of Cardiology/European Respiratory Society guidelines, in which combination therapy now plays a central part in the treatment algorithm.</t>
  </si>
  <si>
    <t>[Sahay, Sandeep] Houston Methodist Hosp, Inst Acad Med, Weill Cornell Med Coll, Houston Methodist Lung Ctr, Houston, TX USA; [Humbert, Marc; Sitbon, Olivier] Univ Paris Sud, Univ Paris Saclay, Fac Med, Le Kremlin Bicetre, France; [Humbert, Marc; Sitbon, Olivier] Hop Bicetre, Assistance Publ Hop Paris, Serv Pneumol, Le Kremlin Bicetre, France; [Humbert, Marc; Sitbon, Olivier] Hop Marie Lannelongue, INSERM, UMR S 999, Le Plessis Robinson, France</t>
  </si>
  <si>
    <t>Houston Methodist; Cornell University; Universite Paris Saclay; Assistance Publique Hopitaux Paris (APHP); Universite Paris Cite; Hopital Universitaire Saint-Louis - APHP; Universite Paris Saclay; Hopital Universitaire Bicetre - APHP; Hopital Universitaire Antoine-Beclere - APHP; Universite Paris Saclay; Hopital Marie Lannelongue; Institut National de la Sante et de la Recherche Medicale (Inserm)</t>
  </si>
  <si>
    <t>Sitbon, O (corresponding author), Hop Univ Bicetre, Serv Pneumol, 78 Rue Gen Leclerc, F-94275 Le Kremlin Bicetre, France.</t>
  </si>
  <si>
    <t>Sitbon, Olivier/I-3623-2019; Sahay, Sandeep/T-4291-2019; Humbert, Marc/AAC-8459-2019</t>
  </si>
  <si>
    <t>SITBON, Olivier/0000-0002-1942-1951; Humbert, Marc/0000-0003-0703-2892; Sahay, Sandeep/0000-0002-0672-1680</t>
  </si>
  <si>
    <t>10.1055/s-0037-1607208</t>
  </si>
  <si>
    <t>WOS:000413053300011</t>
  </si>
  <si>
    <t>Sankhe, S; Manousakidi, S; Antigny, F; Ataam, JA; Bentebbal, S; Ruchon, Y; Lecerf, F; Sabourin, J; Price, L; Fadel, E; Dorfmüller, P; Eddahibi, S; Humbert, M; Perros, F; Capuano, V</t>
  </si>
  <si>
    <t>Sankhe, Safietou; Manousakidi, Sevasti; Antigny, Fabrice; Ataam, Jennifer Arthur; Bentebbal, Sana; Ruchon, Yann; Lecerf, Florence; Sabourin, Jessica; Price, Laura; Fadel, Elie; Dorfmuller, Peter; Eddahibi, Saadia; Humbert, Marc; Perros, Frederic; Capuano, Veronique</t>
  </si>
  <si>
    <t>T-type Ca2+ channels elicit pro-proliferative and anti-apoptotic responses through impaired PP2A/Akt1 signaling in PASMCs from patients with pulmonary arterial hypertension</t>
  </si>
  <si>
    <t>BIOCHIMICA ET BIOPHYSICA ACTA-MOLECULAR CELL RESEARCH</t>
  </si>
  <si>
    <t>Lung; Cell cycle; MAPkinase; FoxO3A; Caspase; Survivin</t>
  </si>
  <si>
    <t>VASCULAR SMOOTH-MUSCLE; CALCIUM-CHANNELS; ACTIVATION; GENE; CONTRIBUTES; ALDOSTERONE; DEFICIENCY; EXPRESSION; INCREASE; RECEPTOR</t>
  </si>
  <si>
    <t>Idiopathic pulmonary arterial hypertension (iPAH) is characterized by obstructive hyperproliferation and apoptosis resistance of distal pulmonary artery smooth muscle cells (PASMCs). T-type Ca2+ channel blockers have been shown to reduce experimental pulmonary hypertension, although the impact of T-type channel inhibition remains unexplored in PASMCs from iPAH patients. Here we show that T-type channels Cav3.1 and Cav3.2 are present in the lung and PASMCs from iPAH patients and control subjects. The blockade of T-type channels by the specific blocker, TrA-A2, prevents cell cycle progression and PASMCs growth. In iPAH cells, Ttype channel signaling fails to activate phosphatase PP2A, leading to an increase in ERK1/2, P38 activation. Moreover, T-type channel signaling is redirected towards the activation of the kinase Aktl, leading to increased expression of the anti-apoptotic protein survivin, and a decrease in the pro-apoptotic mediator FoxO3A. Finally, in iPAH cells, Aktl is no longer able to regulate caspase 9 activation, whereas T-type channel overexpression reverses PP2A defect in iPAH cells but reinforces the deleterious effects of Aktl activation. Altogether, these data highlight T-type channel signaling as a strong trigger of the pathological phenotype of PASMCs from iPAH patients (hyper-proliferation/cells survival and apoptosis resistance), suggesting that both T-type channels and PP2A may be promising therapeutic targets for pulmonary hypertension.</t>
  </si>
  <si>
    <t>[Sankhe, Safietou; Manousakidi, Sevasti; Antigny, Fabrice; Ataam, Jennifer Arthur; Ruchon, Yann; Lecerf, Florence; Fadel, Elie; Dorfmuller, Peter; Humbert, Marc; Perros, Frederic; Capuano, Veronique] Hop Marie Lannelongue, INSERM U999, Le Plessis Robinson, France; [Sankhe, Safietou; Manousakidi, Sevasti; Antigny, Fabrice; Ataam, Jennifer Arthur; Ruchon, Yann; Lecerf, Florence; Fadel, Elie; Dorfmuller, Peter; Humbert, Marc; Perros, Frederic; Capuano, Veronique] Univ Paris Saclay, Fac Med, Univ Paris Sud, Le Kremlin Bicetre, France; [Sabourin, Jessica] Univ Paris Saclay, Univ Paris Sud, INSERM UMR S1180, F-92296 Chatenay Malabry, France; [Price, Laura] Royal Brompton Hosp, Natl Pulm Hypertens Serv, Sydney St, London SW3 6NP, England; [Bentebbal, Sana] Univ Montpellier, INSERM, U1046, CNRS MINSERM U1046 UMR9214 34295,PhyMedExp, Montpellier, France; [Humbert, Marc] Hop Bicetre, AP HP, Serv Pneumol, Le Kremlin Bicetre, France</t>
  </si>
  <si>
    <t>Institut National de la Sante et de la Recherche Medicale (Inserm); Universite Paris Saclay; Hopital Marie Lannelongue; Universite Paris Saclay; Institut National de la Sante et de la Recherche Medicale (Inserm); Universite Paris Saclay; Royal Brompton Hospital; Institut National de la Sante et de la Recherche Medicale (Inserm); Centre National de la Recherche Scientifique (CNRS); CNRS - National Institute for Biology (INSB); Universite de Montpellier; Assistance Publique Hopitaux Paris (APHP); Hopital Universitaire Antoine-Beclere - APHP; Hopital Universitaire Bicetre - APHP; Universite Paris Saclay</t>
  </si>
  <si>
    <t>Capuano, V (corresponding author), Hop Marie Lannelongue, 133 Ave Resistance, F-92350 Le Plessis Robinson, France.</t>
  </si>
  <si>
    <t>veronique.capuano@u-psud.fr</t>
  </si>
  <si>
    <t>; Antigny, Fabrice/Q-3999-2018; Perros, Frederic/N-6921-2017; Humbert, Marc/AAC-8459-2019</t>
  </si>
  <si>
    <t>SANKHE, Safietou/0000-0001-8559-2161; Sabourin, Jessica/0000-0002-2980-8455; Antigny, Fabrice/0000-0002-9515-6571; Bentebbal, Sana/0000-0001-8686-2434; Dorfmuller, Peter/0000-0003-2499-6829; Perros, Frederic/0000-0001-7730-2427; Capuano, Veronique/0000-0001-8738-0947; Humbert, Marc/0000-0003-0703-2892</t>
  </si>
  <si>
    <t>AP-HP; ANR (Departement Hospitalo-Universitaire Thorax Innovation); National Funding Agency for Research (ANR) [ANR-13-JSV1-0011-01]; Aviesan (ITMO IHP); Fondation du Souffle et Fonds de Dotation Recherche en Sante Respiratoire; Fondation Lefoulon-Delalande; Fondation Legs Poix; Inserm, Univ. Paris-Sud; ANR (Laboratoire d'Excellence sur le Medicament et 'Innovation Therageutique); Agence Nationale de la Recherche (ANR) [ANR-13-JSV1-0011] Funding Source: Agence Nationale de la Recherche (ANR)</t>
  </si>
  <si>
    <t>AP-HP; ANR (Departement Hospitalo-Universitaire Thorax Innovation)(Agence Nationale de la Recherche (ANR)); National Funding Agency for Research (ANR)(Agence Nationale de la Recherche (ANR)); Aviesan (ITMO IHP); Fondation du Souffle et Fonds de Dotation Recherche en Sante Respiratoire; Fondation Lefoulon-Delalande; Fondation Legs Poix; Inserm, Univ. Paris-Sud; ANR (Laboratoire d'Excellence sur le Medicament et 'Innovation Therageutique)(Agence Nationale de la Recherche (ANR)); Agence Nationale de la Recherche (ANR)(Agence Nationale de la Recherche (ANR))</t>
  </si>
  <si>
    <t>Our group receives support from AP-HP, Inserm, Univ. Paris-Sud and ANR (Departement Hospitalo-Universitaire Thorax Innovation and Laboratoire d'Excellence sur le Medicament et 'Innovation Therageutique) and patient association HTAPFrance. F.P. receives funding from National Funding Agency for Research (ANR) (Grant ANR-13-JSV1-0011-01). F.A. is supported by a post-doctoral grant from Aviesan (ITMO IHP) and receives funding from the Fondation du Souffle et Fonds de Dotation Recherche en Sante Respiratoire, from the Fondation Lefoulon-Delalande and from the Fondation Legs Poix.</t>
  </si>
  <si>
    <t>0167-4889</t>
  </si>
  <si>
    <t>1879-2596</t>
  </si>
  <si>
    <t>BBA-MOL CELL RES</t>
  </si>
  <si>
    <t>Biochim. Biophys. Acta-Mol. Cell Res.</t>
  </si>
  <si>
    <t>10.1016/j.bbamcr.2017.06.018</t>
  </si>
  <si>
    <t>Biochemistry &amp; Molecular Biology; Cell Biology</t>
  </si>
  <si>
    <t>FH4YG</t>
  </si>
  <si>
    <t>WOS:000411168100010</t>
  </si>
  <si>
    <t>Kimura, M; Tamura, Y; Guignabert, C; Takei, M; Kosaki, K; Tanabe, N; Tatsumi, K; Saji, T; Satoh, T; Kataoka, M; Kamitsuji, S; Kamatani, N; Thuillet, R; Tu, L; Humbert, M; Fukuda, K; Sano, M</t>
  </si>
  <si>
    <t>Kimura, Mai; Tamura, Yuichi; Guignabert, Christophe; Takei, Makoto; Kosaki, Kenjiro; Tanabe, Nobuhiro; Tatsumi, Koichiro; Saji, Tsutomu; Satoh, Toru; Kataoka, Masaharu; Kamitsuji, Shigeo; Kamatani, Naoyuki; Thuillet, Raphael; Tu, Ly; Humbert, Marc; Fukuda, Keiichi; Sano, Motoaki</t>
  </si>
  <si>
    <t>A genome-wide association analysis identifies PDE1A|DNAJC10 locus on chromosome 2 associated with idiopathic pulmonary arterial hypertension in a Japanese population</t>
  </si>
  <si>
    <t>ONCOTARGET</t>
  </si>
  <si>
    <t>pulmonary arterial hypertension; genome-wide association study; novel therapeutic target</t>
  </si>
  <si>
    <t>EXPRESSION; INHIBITION; MUTATIONS; VARIANTS; RECEPTOR; GENE</t>
  </si>
  <si>
    <t>Pulmonary arterial hypertension (PAH) is a lethal disease that often affects the young. Although Bone Morphogenetic Protein Receptor Type 2 gene (BMPR2) mutations are related with idiopathic and heritable PAH, the low penetrance and variable expressivity in PAH suggest the existence of other genetic and/or environmental factors. In this study, we aimed to identify novel genetic factors associated with PAH, irrespective of BMPR2 mutation. We performed genome-wide association study (GWAS) in a Japanese population comprising 44 individuals with idiopathic and heritable PAH, and 2,993 controls. Seven loci identified in the genome-wide study were submitted to the validation study, and a novel susceptibility locus, PDE1A|DNAJC10, was identified that maps to 2q32.1 (rs71427857, P = 7.9 x 10(-9), odds ratio in the validation study = 5.18; 95% CI 1.86 - 14.42). We also found the augmentation of PDE1A protein in distal remodeled pulmonary artery walls in idiopathic PAH patients. Given that phosphodiesterase 5 inhibitors are effective for the treatment of idiopathic and heritable PAH, our findings suggest that PDE1A could be a novel therapeutic target of PAH.</t>
  </si>
  <si>
    <t>[Kimura, Mai; Tamura, Yuichi; Takei, Makoto; Kataoka, Masaharu; Fukuda, Keiichi; Sano, Motoaki] Keio Univ, Sch Med, Dept Cardiol, Tokyo, Japan; [Tamura, Yuichi; Guignabert, Christophe; Thuillet, Raphael; Tu, Ly; Humbert, Marc] Univ Paris Saclay, Univ Paris Sud, Le Kremlin Bicetre, France; [Tamura, Yuichi; Humbert, Marc] Hop Bicetre, AP HP, Serv Pneumol, Le Kremlin Bicetre, France; [Tamura, Yuichi; Guignabert, Christophe; Thuillet, Raphael; Tu, Ly; Humbert, Marc] Hop Marie Lannelongue, Inserm, UMR S 999, Le Plessis Robinson, France; [Tamura, Yuichi] Int Univ Hlth &amp; Welf, Dept Cardiol, Mita Hosp, Tokyo, Japan; [Kosaki, Kenjiro] Keio Univ, Sch Med, Ctr Med Genet, Tokyo, Japan; [Tanabe, Nobuhiro; Tatsumi, Koichiro] Chiba Univ, Grad Sch Med, Dept Respirol, Chiba, Japan; [Tanabe, Nobuhiro] Chiba Univ, Grad Sch Med, Dept Adv Med Pulm Hypertens, Chiba, Japan; [Saji, Tsutomu] Toho Univ, Med Ctr, Omori Hosp, Dept Pediat, Tokyo, Japan; [Satoh, Toru] Kyorin Univ, Sch Med, Dept Cardiol, Tokyo, Japan; [Kamitsuji, Shigeo; Kamatani, Naoyuki] StaGen Co Ltd, Tokyo, Japan</t>
  </si>
  <si>
    <t>Keio University; Universite Paris Saclay; Assistance Publique Hopitaux Paris (APHP); Hopital Universitaire Bicetre - APHP; Hopital Universitaire Antoine-Beclere - APHP; Universite Paris Saclay; Hopital Marie Lannelongue; Universite Paris Saclay; Institut National de la Sante et de la Recherche Medicale (Inserm); International University of Health &amp; Welfare; Keio University; Chiba University; Chiba University; Toho University; Kyorin University</t>
  </si>
  <si>
    <t>Tamura, Y (corresponding author), Keio Univ, Sch Med, Dept Cardiol, Tokyo, Japan.;Tamura, Y (corresponding author), Univ Paris Saclay, Univ Paris Sud, Le Kremlin Bicetre, France.;Tamura, Y (corresponding author), Hop Bicetre, AP HP, Serv Pneumol, Le Kremlin Bicetre, France.;Tamura, Y (corresponding author), Hop Marie Lannelongue, Inserm, UMR S 999, Le Plessis Robinson, France.;Tamura, Y (corresponding author), Int Univ Hlth &amp; Welf, Dept Cardiol, Mita Hosp, Tokyo, Japan.</t>
  </si>
  <si>
    <t>u1@ta-mu.net</t>
  </si>
  <si>
    <t>Tamura, Yuichi/B-5991-2014; Satoh, Toru/KDM-6311-2024; Sano, Motoaki/L-3405-2013; TU, Ly/G-4035-2013; GUIGNABERT, Christophe/G-3873-2013; Humbert, Marc/AAC-8459-2019</t>
  </si>
  <si>
    <t>TU, Ly/0000-0003-2336-5099; Tamura, Yuichi/0000-0002-4437-8019; GUIGNABERT, Christophe/0000-0002-8545-4452; Thuillet, Raphael/0000-0002-1379-3797; Humbert, Marc/0000-0003-0703-2892</t>
  </si>
  <si>
    <t>Health and Labor Sciences Research Grants in Japan</t>
  </si>
  <si>
    <t>This work was supported by Health and Labor Sciences Research Grants in Japan.</t>
  </si>
  <si>
    <t>IMPACT JOURNALS LLC</t>
  </si>
  <si>
    <t>ORCHARD PARK</t>
  </si>
  <si>
    <t>6666 E QUAKER ST, STE 1, ORCHARD PARK, NY 14127 USA</t>
  </si>
  <si>
    <t>1949-2553</t>
  </si>
  <si>
    <t>Oncotarget</t>
  </si>
  <si>
    <t>SEP 26</t>
  </si>
  <si>
    <t>10.18632/oncotarget.20459</t>
  </si>
  <si>
    <t>Oncology; Cell Biology</t>
  </si>
  <si>
    <t>FI2HT</t>
  </si>
  <si>
    <t>WOS:000411760400126</t>
  </si>
  <si>
    <t>Bordenave, J; Thuillet, R; Tu, L; Phan, C; Simonneau, G; Huertas, A; Hibert, M; Bonnet, D; Humbert, M; Frossard, N; Guignabert, C</t>
  </si>
  <si>
    <t>Bordenave, Jennifer; Thuillet, Raphael; Tu, Ly; Phan, Carole; Simonneau, Gerald; Huertas, Alice; Hibert, Marcel; Bonnet, Dominique; Humbert, Marc; Frossard, Nelly; Guignabert, Christophe</t>
  </si>
  <si>
    <t>Neutralization of CXCL12 reverses established pulmonary hypertension in the sugen-hypoxia rat model</t>
  </si>
  <si>
    <t>SEP 09-13, 2017</t>
  </si>
  <si>
    <t>Simonneau, Gerald/ABE-6614-2020; Bonnet, Dominique/AAF-3831-2020; Huertas, Alice/E-8244-2017; GUIGNABERT, Christophe/G-3873-2013; TU, Ly/G-4035-2013; Humbert, Marc/AAC-8459-2019</t>
  </si>
  <si>
    <t>PA2385</t>
  </si>
  <si>
    <t>10.1183/1393003.congress-2017.PA2385</t>
  </si>
  <si>
    <t>GF2DO</t>
  </si>
  <si>
    <t>WOS:000431748901784</t>
  </si>
  <si>
    <t>Boucly, A; Weatherald, J; Jaïs, X; Cottin, V; Savale, L; Prévot, G; Picard, F; De Groote, P; O'Connell, C; Bergot, E; Chaouat, A; Chabanne, C; Bourdin, A; Rottat, L; Montani, D; Simonneau, G; Humbert, M; Sitbon, O</t>
  </si>
  <si>
    <t>Boucly, Athenais; Weatherald, Jason; Jais, Xavier; Cottin, Vincent; Savale, Laurent; Prevot, Gregoire; Picard, Francois; De Groote, Pascal; O'Connell, Caroline; Bergot, Emmanuel; Chaouat, Ari; Chabanne, Celine; Bourdin, Arnaud; Rottat, Laurence; Montani, David; Simonneau, Gerald; Humbert, Marc; Sitbon, Olivier</t>
  </si>
  <si>
    <t>Risk categories from European guidelines applied to the French Pulmonary Hypertension (PH) registry</t>
  </si>
  <si>
    <t>David, Montani/I-6885-2019; Chaouat, Ari/AAP-6784-2021; DE GROOTE, Pascal/LLL-9444-2024; Bergot, Emmanuel/KHZ-1685-2024; Humbert, Marc/AAC-8459-2019; Simonneau, Gerald/ABE-6614-2020; Sitbon, Olivier/I-3623-2019; Savale, Laurent/AAJ-9781-2020; Bourdin, Philippe/D-8149-2015</t>
  </si>
  <si>
    <t>de Groote, Pascal/0000-0002-6211-0147; Montani, David/0000-0002-9358-6922</t>
  </si>
  <si>
    <t>PA3527</t>
  </si>
  <si>
    <t>10.1183/1393003.congress-2017.PA3527</t>
  </si>
  <si>
    <t>WOS:000431748902584</t>
  </si>
  <si>
    <t>Bunel, V; Guyard, A; Dauriat, G; Danel, C; Montani, D; Gauvain, C; Thabut, G; Humbert, M; Dorfmüller, P; Mal, H</t>
  </si>
  <si>
    <t>Bunel, Vincent; Guyard, Alice; Dauriat, Gaelle; Danel, Claire; Montani, David; Gauvain, Clement; Thabut, Gabriel; Humbert, Marc; Dorfmueller, Peter; Mal, Herve</t>
  </si>
  <si>
    <t>Microvascular changes in COPD patients with severe pulmonary hypertension</t>
  </si>
  <si>
    <t>PA2430</t>
  </si>
  <si>
    <t>10.1183/1393003.congress-2017.PA2430</t>
  </si>
  <si>
    <t>WOS:000431748902021</t>
  </si>
  <si>
    <t>Chanez, P; Garin, M; McDonald, M; Humbert, M</t>
  </si>
  <si>
    <t>Chanez, Pascal; Garin, Margaret; McDonald, Mirna; Humbert, Marc</t>
  </si>
  <si>
    <t>Reslizumab reduces severe exacerbations associated with emergency department visit or hospitalization and improves measures of lung function in patients on maintenance oral corticosteroids (OCS) at baseline</t>
  </si>
  <si>
    <t>PA4691</t>
  </si>
  <si>
    <t>10.1183/1393003.congress-2017.PA4691</t>
  </si>
  <si>
    <t>WOS:000431748903596</t>
  </si>
  <si>
    <t>Fernandes, CJCD; Humbert, M; Souza, R</t>
  </si>
  <si>
    <t>dos Santos Fernandes, Caio J. C.; Humbert, Marc; Souza, Rogerio</t>
  </si>
  <si>
    <t>Challenging the concept of adding more drugs in pulmonary arterial hypertension</t>
  </si>
  <si>
    <t>COMBINATION THERAPY; MACITENTAN; SWITCH; TREPROSTINIL; SILDENAFIL; GUIDELINES; TADALAFIL; BOSENTAN; PLUS</t>
  </si>
  <si>
    <t>[dos Santos Fernandes, Caio J. C.; Souza, Rogerio] Univ Sao Paulo, Med Sch, Heart Inst, Pulm Circulat Unit, Av Dr Eneas de Carvalho Aguiar,44 Pinheiros, BR-05403900 Sao Paulo, Brazil; [Humbert, Marc] Univ Paris Saclay, Univ Paris Sud, Paris, France; [Humbert, Marc] Hop Bicetre, AP HP, Serv Pneumol, Paris, France; [Humbert, Marc] Hop Marie Lannelongue, Inserm UMR S 999, Paris, France</t>
  </si>
  <si>
    <t>Universidade de Sao Paulo; Universite Paris Saclay; Universite Paris Saclay; Assistance Publique Hopitaux Paris (APHP); Hopital Universitaire Bicetre - APHP; Hopital Marie Lannelongue; Institut National de la Sante et de la Recherche Medicale (Inserm)</t>
  </si>
  <si>
    <t>Souza, R (corresponding author), Univ Sao Paulo, Med Sch, Heart Inst, Pulm Circulat Unit, Av Dr Eneas de Carvalho Aguiar,44 Pinheiros, BR-05403900 Sao Paulo, Brazil.</t>
  </si>
  <si>
    <t>rogerio.souza@fm.usp.br</t>
  </si>
  <si>
    <t>Fernandes, Caio/W-8676-2019; Souza, Rogerio/I-3584-2013; Fernandes, Caio/K-9194-2016; Humbert, Marc/AAC-8459-2019</t>
  </si>
  <si>
    <t>Souza, Rogerio/0000-0003-2789-9143; Fernandes, Caio/0000-0002-4912-021X; Humbert, Marc/0000-0003-0703-2892</t>
  </si>
  <si>
    <t>10.1183/13993003.01527-2017</t>
  </si>
  <si>
    <t>FG3QB</t>
  </si>
  <si>
    <t>WOS:000410089300030</t>
  </si>
  <si>
    <t>Gall, H; Ghofrani, HA; Humbert, M; Simonneau, G; Grünig, E; Klose, H; Halank, M; Langleben, D; Mielniczuk, LM; Vachiéry, JL; Wirtz, H; Lange, T; Escribano, P; Helmersen, DS; Pepke-Zaba, J; Tsangaris, I; Boonstra, A; Barberá, JA; Snijder, RJ; Mascherbauer, R; Delcroix, M; Sánchez, MAG; Klotsche, J; Meier, C; Pittrow, D; Hoeper, MM</t>
  </si>
  <si>
    <t>Gall, Henning; Ghofrani, Hossein-Ardeschir; Humbert, Marc; Simonneau, Gerald; Grunig, Ekkehard; Klose, Hans; Halank, Michael; Langleben, David; Mielniczuk, Lisa M.; Vachiery, Jean-Luc; Wirtz, Hubert; Lange, Tobias; Escribano, Pilar; Helmersen, Douglas S.; Pepke-Zaba, Joanna; Tsangaris, Iraklis; Boonstra, Anco; Barbera, Joan Albert; Snijder, Repke J.; Mascherbauer, Regina; Delcroix, Marion; Sanchez, Miguel Angel Gomez; Klotsche, Jens; Meier, Christian; Pittrow, David; Hoeper, Marius M.</t>
  </si>
  <si>
    <t>Safety of riociguat for the treatment of pulmonary hypertension: Data from the EXPERT registry</t>
  </si>
  <si>
    <t>Langleben, David/AAJ-9152-2020; Pittrow, David/AAY-5042-2021; Humbert, Marc/AAC-8459-2019; Vachiery, Jean-Luc/ABC-6631-2021; Sánchez-Sánchez, Miguel Ángel/AAX-2796-2021; Tsangaris, Iraklis/AAA-3627-2020; Pepke-Zaba, Joanna/AGW-3073-2022; Ghofrani, Ardeschir/AAD-5293-2020; delcroix, marion/AAE-2712-2022; boonstra, anco/J-5446-2014; Hoeper, Marius/Z-1546-2019; Simonneau, Gerald/ABE-6614-2020; Escribano, Pilar/R-5273-2017</t>
  </si>
  <si>
    <t>Escribano, Pilar/0000-0002-6640-4839; Hoeper, Marius/0000-0001-9086-2293; delcroix, marion/0000-0001-8394-9809</t>
  </si>
  <si>
    <t>PA3534</t>
  </si>
  <si>
    <t>10.1183/1393003.congress-2017.PA3534</t>
  </si>
  <si>
    <t>WOS:000431748902592</t>
  </si>
  <si>
    <t>Girerd, B; Lau, E; Montani, D; Humbert, M</t>
  </si>
  <si>
    <t>Girerd, Barbara; Lau, Edmund; Montani, David; Humbert, Marc</t>
  </si>
  <si>
    <t>Genetics of pulmonary hypertension in the clinic</t>
  </si>
  <si>
    <t>genetic counseling; preimplantation genetic diagnosis; pulmonary arterial hypertension; pulmonary capillary hemangiomatosis; pulmonary veno-occlusive disease</t>
  </si>
  <si>
    <t>BONE MORPHOGENETIC PROTEIN; ARTERIAL-HYPERTENSION; GERMLINE MUTATIONS; VENOOCCLUSIVE DISEASE; BMPR2; RECEPTOR; OUTCOMES; CAVEOLIN-1; DIAGNOSIS; EXPOSURE</t>
  </si>
  <si>
    <t>Purpose of review Heritable pulmonary arterial hypertension (PAH) is an autosomal dominant disease with incomplete penetrance because of mutations in bone morphogenetic protein receptor-II (BMPR2), activin A receptor type II-like kinase 1, endoglin, caveolin-1, potassium channel subfamily K, member 3, and T-box gene 4 genes. Heritable pulmonary veno-occlusive disease and/or pulmonary capillary hemangiomatosis (PVOD/PCH) is an autosomal recessive disease because of biallelic mutations in the eukaryotic translation initiation factor 2 alpha kinase 4 gene. The 2015 european society of cardiology (ESC) and european respiratory society (ERS) pulmonary hypertension guidelines recommend genetic counselling and testing to adults and children with PAH or PVOD/PCH as well as in adult relatives at risk of carrying a predisposing mutation. Recent findings In France, genetic counseling and testing are offered to all patients displaying sporadic or familial form of PAH or PVOD/PCH and to their relatives at high risk of carrying a predisposing mutation. Patients with a heritable form of PAH are younger at diagnosis with a worse hemodynamic and a dismal prognosis. Patients with a heritable form of PVOD/PCH are younger at diagnosis with a worse response to specific PAH therapies. A program to detect PAH in an early phase was offered to all asymptomatic BMPR2 mutation carriers, according to the 2015 ESC/ERS guidelines. Finally, preimplantation genetic diagnosis has been performed in families with a history of BMPR2 mutations. Summary Genetic counseling and testing has to be implemented in pulmonary hypertension centers.</t>
  </si>
  <si>
    <t>[Girerd, Barbara; Lau, Edmund; Montani, David; Humbert, Marc] Univ Paris Sud, Univ Paris Saclay, Fac Med, Paris, France; [Girerd, Barbara; Lau, Edmund; Montani, David; Humbert, Marc] Hop Bicetre, AP HP, Serv Pneumol, Ctr Reference Hypertens Pulm, Le Kremlin Bicetre, France; [Girerd, Barbara; Lau, Edmund; Montani, David; Humbert, Marc] Hop Marie Lannelongue, INSERM, UMR S 999, Le Plessis Robinson, France</t>
  </si>
  <si>
    <t>Universite Paris Saclay; Assistance Publique Hopitaux Paris (APHP); Hopital Universitaire Bicetre - APHP; Universite Paris Saclay; Hopital Universitaire Antoine-Beclere - APHP; Universite Paris Saclay; Institut National de la Sante et de la Recherche Medicale (Inserm); Hopital Marie Lannelongue</t>
  </si>
  <si>
    <t>Humbert, M (corresponding author), Univ Paris Sud, Hop Bicetre, Serv Pneumol, 78 Rue Gen Leclerc, F-94270 Le Kremlin Bicetre, France.</t>
  </si>
  <si>
    <t>Montani, David/0000-0002-9358-6922; Lau, Edmund/0000-0003-1473-0437; Humbert, Marc/0000-0003-0703-2892</t>
  </si>
  <si>
    <t>10.1097/MCP.0000000000000414</t>
  </si>
  <si>
    <t>FC7YG</t>
  </si>
  <si>
    <t>WOS:000407057800002</t>
  </si>
  <si>
    <t>Girerd, B; Weatherald, J; Montani, D; Humbert, M</t>
  </si>
  <si>
    <t>Girerd, Barbara; Weatherald, Jason; Montani, David; Humbert, Marc</t>
  </si>
  <si>
    <t>Heritable pulmonary hypertension: from bench to bedside</t>
  </si>
  <si>
    <t>HEREDITARY HEMORRHAGIC TELANGIECTASIA; ARTERIAL-HYPERTENSION; VENOOCCLUSIVE DISEASE; GERMLINE MUTATIONS; ARTERIOVENOUS-MALFORMATIONS; CLINICAL-OUTCOMES; EIF2AK4 MUTATIONS; BETA-RECEPTOR; BMPR2; GENE</t>
  </si>
  <si>
    <t>Mutations in the BMPR2 gene, and more rarely in ACVRL1, endoglin, caveolin-1, KCNK3 and TBX4 genes predispose to heritable pulmonary arterial hypertension, an autosomal dominant disease with incomplete penetrance. Bi-allelic mutations in the EIF2AK4 gene predispose to heritable pulmonary veno-occlusive disease/pulmonary capillary haemangiomatosis, an autosomal recessive disease with an unknown penetrance. In France, the national pulmonary hypertension referral centre offers genetic counselling and testing to adults and children. Predictive testing is also proposed to adult relatives at risk of carrying a predisposing mutation. In that context, we offer all asymptomatic BMPR2 mutation carriers a programme to detect pulmonary arterial hypertension at an early phase, as recommended by the 2015 European Society Society of Cardiology/European Respiratory Society pulmonary hypertension guidelines. Finally, pre- implantation genetic diagnosis has been conducted on five embryos from two couples in which the fathers were carriers of a pathogenic BMPR2 mutation.</t>
  </si>
  <si>
    <t>[Girerd, Barbara; Weatherald, Jason; Montani, David; Humbert, Marc] Univ Paris Saclay, Univ Paris Sud, Fac Med, Le Kremlin Bicetre, France; [Girerd, Barbara; Weatherald, Jason; Montani, David; Humbert, Marc] Hop Bicetre, AP HP, Ctr Reference Hypertens Pulm, Serv Pneumol, Le Kremlin Bicetre, France; [Girerd, Barbara; Weatherald, Jason; Montani, David; Humbert, Marc] Hop Marie Lannelongue, INSERM, UMR S 999, Le Plessis Robinson, France; [Weatherald, Jason] Univ Calgary, Div Respirol, Dept Med, Calgary, AB, Canada</t>
  </si>
  <si>
    <t>Universite Paris Saclay; Assistance Publique Hopitaux Paris (APHP); Hopital Universitaire Antoine-Beclere - APHP; Universite Paris Saclay; Hopital Universitaire Bicetre - APHP; Universite Paris Saclay; Hopital Marie Lannelongue; Institut National de la Sante et de la Recherche Medicale (Inserm); University of Calgary</t>
  </si>
  <si>
    <t>Weatherald, Jason/0000-0002-0615-4575; Humbert, Marc/0000-0003-0703-2892; Montani, David/0000-0002-9358-6922</t>
  </si>
  <si>
    <t>European Respiratory Society/Canadian Thoracic Society Long-Term Research Fellowship [LTRF 2015-4780]; Crossref Funder Registry</t>
  </si>
  <si>
    <t>European Respiratory Society/Canadian Thoracic Society Long-Term Research Fellowship; Crossref Funder Registry</t>
  </si>
  <si>
    <t>J. Weatherald is the recipient of a joint European Respiratory Society/Canadian Thoracic Society Long-Term Research Fellowship (LTRF 2015-4780). Funding information for this article has been deposited with the Crossref Funder Registry.</t>
  </si>
  <si>
    <t>10.1183/16000617.0037-2017</t>
  </si>
  <si>
    <t>FI8YM</t>
  </si>
  <si>
    <t>WOS:000412289200006</t>
  </si>
  <si>
    <t>Rare pulmonary diseases: a common fight</t>
  </si>
  <si>
    <t>[Harari, Sergio] Osped San Giuseppe, UO Pneumol &amp; Terapia Semiintens Resp, Serv Fisiopatol Resp &amp; Emodinam Polmonare, MultiMed IRCCS, Via San Vittore 12, I-20123 Milan, Italy; [Humbert, Marc] Univ Paris Saclay, Univ Paris Sud, Fac Med, Le Kremlin Bicetre, France; [Humbert, Marc] Hop Bicetre, AP HP, Ctr Reference Hypertens Pulm, Serv Pneumol, Le Kremlin Bicetre, France; [Humbert, Marc] Hop Marie Lannelongue, INSERM, UMR S 999, Le Plessis Robinson, France</t>
  </si>
  <si>
    <t>IRCCS Multimedica; Universite Paris Saclay; Assistance Publique Hopitaux Paris (APHP); Hopital Universitaire Bicetre - APHP; Universite Paris Saclay; Hopital Universitaire Antoine-Beclere - APHP; Hopital Marie Lannelongue; Institut National de la Sante et de la Recherche Medicale (Inserm); Universite Paris Saclay</t>
  </si>
  <si>
    <t>Harari, S (corresponding author), Osped San Giuseppe, UO Pneumol &amp; Terapia Semiintens Resp, Serv Fisiopatol Resp &amp; Emodinam Polmonare, MultiMed IRCCS, Via San Vittore 12, I-20123 Milan, Italy.</t>
  </si>
  <si>
    <t>10.1183/16000617.0059-2017</t>
  </si>
  <si>
    <t>WOS:000412289200001</t>
  </si>
  <si>
    <t>Humbert, M; Mala, L; Molimard, M</t>
  </si>
  <si>
    <t>Humbert, Marc; Mala, Laurence; Molimard, Mathieu</t>
  </si>
  <si>
    <t>Response to omalizumab treatment according to blood eosinophil count: Results of a French real-world study (STELLAIR)</t>
  </si>
  <si>
    <t>Humbert, Marc/AAC-8459-2019; molimard, mathieu/T-2762-2019</t>
  </si>
  <si>
    <t>PA4696</t>
  </si>
  <si>
    <t>10.1183/1393003.congress-2017.PA4696</t>
  </si>
  <si>
    <t>WOS:000431748903601</t>
  </si>
  <si>
    <t>Humbert, M; Singh, M; Furst, DE; Khanna, D; Seibold, JR</t>
  </si>
  <si>
    <t>Humbert, Marc; Singh, Manjit; Furst, Daniel E.; Khanna, Dinesh; Seibold, James R.</t>
  </si>
  <si>
    <t>Pulmonary hypertension related to systemic sclerosis: points to consider for clinical trials</t>
  </si>
  <si>
    <t>biomarkers; echocardiography; event-driven study design; functional class; pulmonary arterial hypertension; pulmonary hypertension; randomized controlled trials; right heart catheterization; six-minute walk test; systemic sclerosis</t>
  </si>
  <si>
    <t>6-MINUTE WALK TEST; INTERSTITIAL LUNG-DISEASE; ARTERIAL-HYPERTENSION; OUTCOME MEASURE; SCLERODERMA; THERAPY; TADALAFIL</t>
  </si>
  <si>
    <t>There are proven successful approaches to clinical trial design in pulmonary arterial hypertension (PAH), which in turn have led to the licensing of a number of effective therapies. SSc has been included in trials of World Health Organization Group 1 PAH but has been under-represented. Responses in outcomes as diverse as exercise capacity, quality of life, durability of drug effect and survival have been reduced in comparison with those seen in idiopathic PAH. The PAH community has achieved international and interdisciplinary consensus guidelines for future studies. We consider the diverse outcome measures used in trials in the context of the complexities of scleroderma. An argument is advanced in favour of future trials focused exclusively on SSc but with adaptations of the core outcome measures and trial design templates applicable to more general studies of PAH.</t>
  </si>
  <si>
    <t>[Humbert, Marc] Univ Paris Sud, Fac Med, Le Kremlin Bicetre, France; [Humbert, Marc] Hop Bicetre, AP HP, DHU Thorax Innovat, Serv Pneumol, Le Kremlin Bicetre, France; [Humbert, Marc] Ctr Chirurg Marie Lannelongue, LabEx LERMIT, Inserm U999, Le Plessis Robinson, France; [Singh, Manjit] Rochester Gen Hosp, Internal Med, Rochester, NY 14621 USA; [Furst, Daniel E.] UCLA, David Geffen Sch Med, Dept Rheumatol, Los Angeles, CA 90095 USA; [Khanna, Dinesh] Univ Michigan, Dept Med, Scleroderma Program, Ann Arbor, MI 48109 USA; [Seibold, James R.] Scleroderma Res Consultants, Litchfield, CT USA</t>
  </si>
  <si>
    <t>Universite Paris Saclay; Assistance Publique Hopitaux Paris (APHP); Hopital Universitaire Antoine-Beclere - APHP; Hopital Universitaire Bicetre - APHP; Universite Paris Saclay; Hopital Marie Lannelongue; Institut National de la Sante et de la Recherche Medicale (Inserm); Universite Paris Saclay; Rochester General Hospital; University of California System; University of California Los Angeles; University of California Los Angeles Medical Center; David Geffen School of Medicine at UCLA; University of Michigan System; University of Michigan</t>
  </si>
  <si>
    <t>furst, daniel/B-7316-2014; Humbert, Marc/AAC-8459-2019</t>
  </si>
  <si>
    <t>EULAR; National Institute of Arthritis and Musculoskeletal and Skin Diseases [K24AR063120] Funding Source: NIH RePORTER</t>
  </si>
  <si>
    <t>EULAR; National Institute of Arthritis and Musculoskeletal and Skin Diseases(United States Department of Health &amp; Human ServicesNational Institutes of Health (NIH) - USANIH National Institute of Arthritis &amp; Musculoskeletal &amp; Skin Diseases (NIAMS))</t>
  </si>
  <si>
    <t>This paper is part of the supplement titled Points to consider: systemic sclerosis and was funded by an unrestricted educational grant from EULAR.</t>
  </si>
  <si>
    <t>V33</t>
  </si>
  <si>
    <t>V37</t>
  </si>
  <si>
    <t>10.1093/rheumatology/kex197</t>
  </si>
  <si>
    <t>FI9BA</t>
  </si>
  <si>
    <t>WOS:000412297100007</t>
  </si>
  <si>
    <t>Launay, D; Sobanski, V; Hachulla, E; Humbert, M</t>
  </si>
  <si>
    <t>Launay, David; Sobanski, Vincent; Hachulla, Eric; Humbert, Marc</t>
  </si>
  <si>
    <t>Pulmonary hypertension in systemic sclerosis: different phenotypes</t>
  </si>
  <si>
    <t>INTERSTITIAL LUNG-DISEASE; ARTERIAL-HYPERTENSION; VENOOCCLUSIVE DISEASE; COMPUTED-TOMOGRAPHY; SCLERODERMA; FIBROSIS; EMPHYSEMA; SURVIVAL; THROMBOEMBOLISM; PREVALENCE</t>
  </si>
  <si>
    <t>Pulmonary hypertension (PH) is a frequent and severe complication of systemic sclerosis (SSc). PH in SSc is highly heterogeneous because of the various clinical phenotypes of SSc itself and because the mechanisms of PH can vary from one patient to another. PH in SSc may be due to vasculopathy of the small pulmonary arteries (group 1; pulmonary arterial hypertension), interstitial lung disease (group 3; PH due to lung disease or chronic hypoxia) or myocardial fibrosis leading to left ventricular systolic or diastolic dysfunction (group 2; PH due to chronic left-heart disease). Pulmonary veno-occlusive disease is not uncommon in SSc and may also cause PH in some patients (group 1'). There is a high prevalence of each of these conditions in SSc and, as such, it may be difficult to determine the dominant cause of PH in a particular patient. However, careful phenotyping of PH in SSc is important as the therapy required for each of these underlying conditions is very different. In this review, we will decipher the different phenotypes of SSc-PH.</t>
  </si>
  <si>
    <t>[Launay, David; Sobanski, Vincent; Hachulla, Eric] Univ Lille, Lille Inflammat Res Int Ctr LIRIC, UMR 995, Lille, France; [Launay, David; Sobanski, Vincent; Hachulla, Eric] INSERM, UMR 995, Lille, France; [Launay, David; Sobanski, Vincent; Hachulla, Eric] CHU Lille, Dept Med Interne, Lille, France; [Launay, David; Sobanski, Vincent; Hachulla, Eric] CHU Lille, Immunol Clin, Lille, France; [Launay, David; Sobanski, Vincent; Hachulla, Eric] Ctr Natl Reference Malad Syst &amp; Autoimmunes Rares, Lille, France; [Humbert, Marc] Univ Paris Saclay, Univ Paris Sud, Fac Med, Le Kremlin Bicetre, France; [Humbert, Marc] Hop Bicetre, AP HP, Serv Pneumol, Ctr Natl Reference Hypertens Pulm, Le Kremlin Bicetre, France; [Humbert, Marc] Hop Marie Lannelongue, INSERM, UMR S999, Paris, France</t>
  </si>
  <si>
    <t>Universite de Lille; Institut National de la Sante et de la Recherche Medicale (Inserm); Universite de Lille; Universite de Lille; CHU Lille; Universite de Lille; CHU Lille; Universite Paris Saclay; Assistance Publique Hopitaux Paris (APHP); Hopital Universitaire Antoine-Beclere - APHP; Universite Paris Saclay; Hopital Universitaire Bicetre - APHP; Institut National de la Sante et de la Recherche Medicale (Inserm); Hopital Marie Lannelongue; Universite Paris Saclay</t>
  </si>
  <si>
    <t>Launay, D (corresponding author), CHRU Lille, Hop Claude Huriez, Serv Med Interne, Rue M Polonowski, F-59037 Lille, France.</t>
  </si>
  <si>
    <t>david.launay@univ-lille2.fr</t>
  </si>
  <si>
    <t>Launay, David/A-5270-2018; HACHULLA, ERIC/R-8488-2018; Launay, David/H-1674-2016; Sobanski, Vincent/Q-6411-2016; Humbert, Marc/AAC-8459-2019</t>
  </si>
  <si>
    <t>Launay, David/0000-0003-1840-1817; HACHULLA, ERIC/0000-0001-7432-847X; Sobanski, Vincent/0000-0003-3083-2441; Humbert, Marc/0000-0003-0703-2892</t>
  </si>
  <si>
    <t>10.1183/16000617.0056-2017</t>
  </si>
  <si>
    <t>WOS:000412289200007</t>
  </si>
  <si>
    <t>Perros, F; Ranchoux, B; Bigorgne, A; Hautefort, A; Girerd, B; Sitbon, O; Montani, D; Humbert, M; Tcherakian, C</t>
  </si>
  <si>
    <t>Perros, Frederic; Ranchoux, Benoit; Bigorgne, Amelie; Hautefort, Aurelie; Girerd, Barbara; Sitbon, Olivier; Montani, David; Humbert, Marc; Tcherakian, Colas</t>
  </si>
  <si>
    <t>Bacterial translocation in pulmonary hypertension</t>
  </si>
  <si>
    <t>Sitbon, Olivier/I-3623-2019; Tcherakian, Colas/D-8813-2016; Ranchoux, Benoît/AAX-6037-2020; Humbert, Marc/AAC-8459-2019; David, Montani/I-6885-2019; Perros, Frederic/N-6921-2017</t>
  </si>
  <si>
    <t>Montani, David/0000-0002-9358-6922; Perros, Frederic/0000-0001-7730-2427</t>
  </si>
  <si>
    <t>OA4657</t>
  </si>
  <si>
    <t>10.1183/1393003.congress-2017.OA4657</t>
  </si>
  <si>
    <t>WOS:000431748900425</t>
  </si>
  <si>
    <t>Phan, C; Jutant, EM; Tu, L; Thuillet, R; Seferian, A; Montani, D; Huertas, A; Noordegraaf, AV; Humbert, M; Aman, J; Guignabert, C</t>
  </si>
  <si>
    <t>Phan, Carole; Jutant, Etienne-Marie; Tu, Ly; Thuillet, Raphael; Seferian, Andrei; Montani, David; Huertas, Alice; Noordegraaf, Anton Vonk; Humbert, Marc; Aman, Jurjan; Guignabert, Christophe</t>
  </si>
  <si>
    <t>Huertas, Alice/E-8244-2017; Humbert, Marc/AAC-8459-2019; David, Montani/I-6885-2019; GUIGNABERT, Christophe/G-3873-2013; TU, Ly/G-4035-2013</t>
  </si>
  <si>
    <t>PA2375</t>
  </si>
  <si>
    <t>10.1183/1393003.congress-2017.PA2375</t>
  </si>
  <si>
    <t>WOS:000431748901774</t>
  </si>
  <si>
    <t>Rhodes, CJ; Wharton, J; Ghataorhe, P; Watson, G; Girerd, B; Howard, LS; Gibbs, JSR; Condliffe, R; Elliot, CA; Kiely, DG; Simonneau, G; Montani, D; Sitbon, O; Gall, H; Schermuly, RT; Ghofrani, HA; Lawrie, A; Humbert, M; Wilkins, MR</t>
  </si>
  <si>
    <t>Rhodes, Christopher J.; Wharton, John; Ghataorhe, Pavandeep; Watson, Geoffrey; Girerd, Barbara; Howard, Luke S.; Gibbs, J. Simon R.; Condliffe, Robin; Elliot, Charles A.; Kiely, David G.; Simonneau, Gerald; Montani, David; Sitbon, Olivier; Gall, Henning; Schermuly, Ralph T.; Ghofrani, H. Ardeschir; Lawrie, Allan; Humbert, Marc; Wilkins, Martin R.</t>
  </si>
  <si>
    <t>Plasma proteome analysis in patients with pulmonary arterial hypertension: an observational cohort study</t>
  </si>
  <si>
    <t>PREDICTING SURVIVAL; EXPRESSION; IDENTIFICATION; BIOMARKERS; DIAGNOSIS; RECEPTOR; ST2</t>
  </si>
  <si>
    <t>Background Idiopathic and heritable pulmonary arterial hypertension form a rare but molecularly heterogeneous disease group. We aimed to measure and validate differences in plasma concentrations of proteins that are associated with survival in patients with idiopathic or heritable pulmonary arterial hypertension to improve risk stratification. Methods In this observational cohort study, we enrolled patients with idiopathic or heritable pulmonary arterial hypertension from London (UK; cohorts 1 and 2), Giessen (Germany; cohort 3), and Paris (France; cohort 4). Blood samples were collected at routine clinical appointment visits, clinical data were collected within 30 days of blood sampling, and biochemical data were collected within 7 days of blood sampling. We used an aptamer-based assay of 1129 plasma proteins, and patient clinical details were concealed to the technicians. We identified a panel of prognostic proteins, confirmed with alternative targeted assays, which we evaluated against the established prognostic risk equation for pulmonary arterial hypertension derived from the REVEAL registry. All-cause mortality was the primary endpoint. Findings 20 proteins differentiated survivors and non-survivors in 143 consecutive patients with idiopathic or heritable pulmonary arterial hypertension with 2 years' follow-up (cohort 1) and in a further 75 patients with 2.5 years' follow-up (cohort 2). Nine proteins were both prognostic independent of plasma NT-proBNP concentrations and confirmed by targeted assays. The functions of these proteins relate to myocardial stress, inflammation, pulmonary vascular cellular dysfunction and structural dysregulation, iron status, and coagulation. A cutoff-based score using the panel of nine proteins provided prognostic information independent of the REVEAL equation, improving the C statistic from area under the curve 0.83 (for REVEAL risk score, 95% CI 0.77-0.89; p&lt;0.0001) to 0.91 (for panel and REVEAL 0.87-0.96; p&lt;0.0001) and improving reclassification indices without detriment to calibration. Poor survival was preceded by an adverse change in panel score in paired samples from 43 incident patients with pulmonary arterial hypertension in cohort 3 (p=.0133). The protein panel was validated in 93 patients with idiopathic or heritable pulmonary arterial hypertension in cohort 4, with 4.4 years' follow-up and improved risk estimates, providing complementary information to the clinical risk equation. Interpretation A combination of nine circulating proteins identifies patients with pulmonary arterial hypertension with a high risk of mortality, independent of existing clinical assessments, and might have a use in clinical management and the evaluation of new therapies. Copyright (C) The Author(s). Published by Elsevier Ltd. This is an Open Access article under the CC BY 4.0 licence.</t>
  </si>
  <si>
    <t>[Rhodes, Christopher J.; Wharton, John; Ghataorhe, Pavandeep; Watson, Geoffrey; Wilkins, Martin R.] Imperial Coll London, Dept Med, Hammersmith Campus, London W12 0NN, England; [Howard, Luke S.; Gibbs, J. Simon R.] Imperial Coll London, Natl Heart &amp; Lung Inst, Hammersmith Campus, London, England; [Howard, Luke S.; Gibbs, J. Simon R.] Imperial Coll Healthcare NHS Trust, Hammersmith Hosp, Natl Pulm Hypertens Serv, London, England; [Lawrie, Allan] Univ Sheffield, Dept Infect Immun &amp; Cardiovasc Dis, Sheffield, S Yorkshire, England; [Condliffe, Robin; Elliot, Charles A.; Kiely, David G.] Royal Hallamshire Hosp, Sheffield Pulm Vasc Dis Unit, Sheffield, S Yorkshire, England; [Girerd, Barbara; Simonneau, Gerald; Montani, David; Sitbon, Olivier; Humbert, Marc] Univ Paris Sud, Univ Paris Saclay, Paris, France; [Girerd, Barbara; Simonneau, Gerald; Montani, David; Sitbon, Olivier; Humbert, Marc] Hop Bicetre, AP HP, Serv Pneumol, Paris, France; [Girerd, Barbara; Simonneau, Gerald; Montani, David; Sitbon, Olivier; Humbert, Marc] Hop Marie Lannelongue, Inserm UMR S 999, Paris, France; [Gall, Henning; Schermuly, Ralph T.; Ghofrani, H. Ardeschir] Univ Giessen, Giessen, Germany; [Gall, Henning; Schermuly, Ralph T.; Ghofrani, H. Ardeschir] German Ctr Lung Res DZL, Marburg Lung Ctr, Giessen, Germany</t>
  </si>
  <si>
    <t>Imperial College London; Imperial College London; Imperial College London; University of Sheffield; University of Sheffield; Universite Paris Saclay; Universite Paris Saclay; Assistance Publique Hopitaux Paris (APHP); Hopital Universitaire Bicetre - APHP; Hopital Marie Lannelongue; Institut National de la Sante et de la Recherche Medicale (Inserm); Justus Liebig University Giessen</t>
  </si>
  <si>
    <t>Wilkins, MR (corresponding author), Imperial Coll London, Dept Med, Hammersmith Campus, London W12 0NN, England.</t>
  </si>
  <si>
    <t>Sitbon, Olivier/I-3623-2019; Wilkins, Martin/ABH-1140-2021; Ghofrani, Ardeschir/AAD-5293-2020; David, Montani/I-6885-2019; Howard, Luke/HJP-3415-2023; Lawrie, Allan/A-2708-2012; Simonneau, Gerald/ABE-6614-2020; Humbert, Marc/AAC-8459-2019</t>
  </si>
  <si>
    <t>Condliffe, Robin/0000-0002-3492-4143; Rhodes, Christopher/0000-0002-4962-3204; SITBON, Olivier/0000-0002-1942-1951; Wilkins, Martin/0000-0003-3926-1171; Montani, David/0000-0002-9358-6922; Lawrie, Allan/0000-0003-4192-9505; Ghofrani, Ardeschir/0000-0002-2029-4419; Wharton, John/0000-0001-8110-2575; Humbert, Marc/0000-0003-0703-2892; Schermuly, Ralph/0000-0002-5167-6970</t>
  </si>
  <si>
    <t>National Institute for Health Research; Wellcome Trust; British Heart Foundation; Assistance Publique-Hopitaux de Paris; Inserm; Universite Paris-Sud; Agence Nationale de la Recherche; MRC [MC_PC_14100] Funding Source: UKRI</t>
  </si>
  <si>
    <t>National Institute for Health Research(National Institutes of Health Research (NIHR)); Wellcome Trust(Wellcome Trust); British Heart Foundation(British Heart Foundation); Assistance Publique-Hopitaux de Paris; Inserm(Institut National de la Sante et de la Recherche Medicale (Inserm)); Universite Paris-Sud; Agence Nationale de la Recherche(Agence Nationale de la Recherche (ANR)); MRC(UK Research &amp; Innovation (UKRI)Medical Research Council UK (MRC))</t>
  </si>
  <si>
    <t>National Institute for Health Research, Wellcome Trust, British Heart Foundation, Assistance Publique-Hopitaux de Paris, Inserm, Universite Paris-Sud, and Agence Nationale de la Recherche.</t>
  </si>
  <si>
    <t>10.1016/S2213-2600(17)30161-3</t>
  </si>
  <si>
    <t>FE7DN</t>
  </si>
  <si>
    <t>Green Published, hybrid, Green Submitted, Green Accepted</t>
  </si>
  <si>
    <t>WOS:000408367900020</t>
  </si>
  <si>
    <t>Sekine, A; Tu, L; Mallet, C; Bordenave, J; Thuillet, R; Phan, C; Poble, PB; Huertas, A; Humbert, M; Bailly, S; Guignabert, C</t>
  </si>
  <si>
    <t>Sekine, Ayumi; Tu, Ly; Mallet, Christine; Bordenave, Jennifer; Thuillet, Raphael; Phan, Carole; Poble, Paul-Benoit; Huertas, Alice; Humbert, Marc; Bailly, Sabine; Guignabert, Christophe</t>
  </si>
  <si>
    <t>Contribution of BMP9 to Pulmonary Arterial Hypertension</t>
  </si>
  <si>
    <t>TU, Ly/G-4035-2013; GUIGNABERT, Christophe/G-3873-2013; Huertas, Alice/E-8244-2017; Humbert, Marc/AAC-8459-2019</t>
  </si>
  <si>
    <t>OA4658</t>
  </si>
  <si>
    <t>10.1183/1393003.congress-2017.OA4658</t>
  </si>
  <si>
    <t>WOS:000431748900426</t>
  </si>
  <si>
    <t>Taniguchi, Y; Brenot, P; Jais, X; Garcia, C; Planche, O; Fadel, E; Humbert, M; Simonneau, G</t>
  </si>
  <si>
    <t>Taniguchi, Yu; Brenot, Philippe; Jais, Xavier; Garcia, Carlos; Planche, Olivier; Fadel, Elie; Humbert, Marc; Simonneau, Gerald</t>
  </si>
  <si>
    <t>Poor Subpleural Perfusion as a predictor of Failure after Balloon Pulmonary Angioplasty for non-operable Chronic Thromboembolic Pulmonary Hypertension</t>
  </si>
  <si>
    <t>Simonneau, Gerald/ABE-6614-2020; Humbert, Marc/AAC-8459-2019; Llorca, Carlos/K-5180-2016; Brenot, Philippe/HJB-1040-2022</t>
  </si>
  <si>
    <t>PA3529</t>
  </si>
  <si>
    <t>10.1183/1393003.congress-2017.PA3529</t>
  </si>
  <si>
    <t>WOS:000431748902586</t>
  </si>
  <si>
    <t>Vuillard, C; Jaïs, X; Sattler, C; Boucly, A; Montani, D; Savale, L; Simonneau, G; Sitbon, O; Humbert, M</t>
  </si>
  <si>
    <t>Vuillard, Constance; Jais, Xavier; Sattler, Caroline; Boucly, Athenais; Montani, David; Savale, Laurent; Simonneau, Gerald; Sitbon, Olivier; Humbert, Marc</t>
  </si>
  <si>
    <t>Outcomes of patients with precapillary pulmonary hypertension admitted to an intensive care unit for acute right heart failure</t>
  </si>
  <si>
    <t>PA3526</t>
  </si>
  <si>
    <t>10.1183/1393003.congress-2017.PA3526</t>
  </si>
  <si>
    <t>WOS:000431748902583</t>
  </si>
  <si>
    <t>Weatherald, J; Adir, Y; Boucly, A; Savale, L; Simonneau, G; Montani, D; Jaïs, X; Humbert, M; Chemla, D; Sitbon, O; Hervé, P</t>
  </si>
  <si>
    <t>Weatherald, Jason; Adir, Yochai; Boucly, Athenais; Savale, Laurent; Simonneau, Gerald; Montani, David; Jais, Xavier; Humbert, Marc; Chemla, Denis; Sitbon, Olivier; Herve, Philippe</t>
  </si>
  <si>
    <t>Prognostic value of hemodynamics following treatment initiation in pulmonary arterial hypertension</t>
  </si>
  <si>
    <t>David, Montani/I-6885-2019; Sitbon, Olivier/I-3623-2019; Savale, Laurent/AAJ-9781-2020; Humbert, Marc/AAC-8459-2019; Simonneau, Gerald/ABE-6614-2020</t>
  </si>
  <si>
    <t>OA1507</t>
  </si>
  <si>
    <t>10.1183/1393003.congress-2017.OA1507</t>
  </si>
  <si>
    <t>WOS:000431748900093</t>
  </si>
  <si>
    <t>Weatherald, J; Huertas, A; Boucly, A; Sitbon, O; Humbert, M; Simonneau, G; Montani, D; Savale, L; Jaïs, X</t>
  </si>
  <si>
    <t>Weatherald, Jason; Huertas, Alice; Boucly, Athenais; Sitbon, Olivier; Humbert, Marc; Simonneau, Gerald; Montani, David; Savale, Laurent; Jais, Xavier</t>
  </si>
  <si>
    <t>Is there an obesity paradox in pulmonary arterial hypertension?</t>
  </si>
  <si>
    <t>Savale, Laurent/AAJ-9781-2020; Humbert, Marc/AAC-8459-2019; Simonneau, Gerald/ABE-6614-2020; David, Montani/I-6885-2019; Sitbon, Olivier/I-3623-2019; Huertas, Alice/E-8244-2017</t>
  </si>
  <si>
    <t>PA3521</t>
  </si>
  <si>
    <t>10.1183/1393003.congress-2017.PA3521</t>
  </si>
  <si>
    <t>WOS:000431748902578</t>
  </si>
  <si>
    <t>Weatherald, J; Boucly, A; Lau, E; Godinas, L; Savale, L; Jaïs, X; Montani, D; Sitbon, O; Simonneau, G; Humbert, M; Chemla, D; Hervé, P</t>
  </si>
  <si>
    <t>Weatherald, Jason; Boucly, Athenais; Lau, Edmund; Godinas, Laurent; Savale, Laurent; Jais, Xavier; Montani, David; Sitbon, Olivier; Simonneau, Gerald; Humbert, Marc; Chemla, Denis; Herve, Philippe</t>
  </si>
  <si>
    <t>Are indexed values better for defining exercise pulmonary hypertension?</t>
  </si>
  <si>
    <t>ARTERIAL-HYPERTENSION; DIAGNOSIS; HEMODYNAMICS; PRESSURE; CRITERIA</t>
  </si>
  <si>
    <t>[Weatherald, Jason] Univ Calgary, Div Respirol, Dept Med, Calgary, AB, Canada; [Weatherald, Jason; Boucly, Athenais; Lau, Edmund; Godinas, Laurent; Savale, Laurent; Jais, Xavier; Montani, David; Sitbon, Olivier; Simonneau, Gerald; Humbert, Marc] Univ Paris Saclay, Univ Paris Sud, Fac Med, Le Kremlin Bicetre, France; [Weatherald, Jason; Boucly, Athenais; Lau, Edmund; Godinas, Laurent; Savale, Laurent; Jais, Xavier; Montani, David; Sitbon, Olivier; Simonneau, Gerald; Humbert, Marc; Herve, Philippe] Assistance Publ Hop Paris, Serv Pneumol, Le Kremlin Bicetre, France; [Weatherald, Jason; Boucly, Athenais; Lau, Edmund; Godinas, Laurent; Savale, Laurent; Jais, Xavier; Montani, David; Sitbon, Olivier; Simonneau, Gerald; Humbert, Marc; Chemla, Denis; Herve, Philippe] Hop Marie Lannelongue, INSERM, UMR S 999, Le Plessis Robinson, France; [Lau, Edmund] Univ Sydney, Sydney Med Sch, Sydney, NSW, Australia; [Lau, Edmund] Royal Prince Alfred Hosp, Dept Resp Med, Camperdown, NSW, Australia; [Godinas, Laurent] CHU UcL Namur, Serv Pneumol, Yvoir, Belgium; [Chemla, Denis] Assistance Publ Hop Paris, Serv Physiol, Le Kremlin Bicetre, France; [Herve, Philippe] Ctr Chirurg Marie Lannelongue, Dept Chirurg Thorac &amp; Vasc &amp; Transplantat Cardiop, Le Plessis Robinson, France</t>
  </si>
  <si>
    <t>University of Calgary; Universite Paris Saclay; Assistance Publique Hopitaux Paris (APHP); Hopital Universitaire Bicetre - APHP; Universite Paris Cite; Hopital Universitaire Saint-Louis - APHP; Universite Paris Saclay; Hopital Marie Lannelongue; Institut National de la Sante et de la Recherche Medicale (Inserm); University of Sydney; NSW Health; Royal Prince Alfred Hospital; University of Sydney; Assistance Publique Hopitaux Paris (APHP); Hopital Universitaire Bicetre - APHP; Universite Paris Cite; Hopital Universitaire Saint-Louis - APHP; Hopital Marie Lannelongue</t>
  </si>
  <si>
    <t>Weatherald, J (corresponding author), Peter Lougheed Ctr, 3500 26 Ave NE, Calgary, AB, Canada.</t>
  </si>
  <si>
    <t>jason.weatherald@ucalgary.ca</t>
  </si>
  <si>
    <t>Savale, Laurent/AAJ-9781-2020; Sitbon, Olivier/I-3623-2019; Godinas, Laurette/AAS-1059-2021; David, Montani/I-6885-2019; Simonneau, Gerald/ABE-6614-2020; Humbert, Marc/AAC-8459-2019</t>
  </si>
  <si>
    <t>CHEMLA, Denis/0000-0001-7479-9896; Montani, David/0000-0002-9358-6922; Weatherald, Jason/0000-0002-0615-4575; SITBON, Olivier/0000-0002-1942-1951; Humbert, Marc/0000-0003-0703-2892; Boucly, Athenais/0000-0001-6246-5557; Godinas, Laurent/0000-0003-2214-5879; JAIS, XAVIER/0000-0002-4104-7994</t>
  </si>
  <si>
    <t>Support statement: J. Weatherald is the recipient of a joint European Respiratory Society/Canadian Thoracic Society Long-Term Research Fellowship (LTRF 2015-4780). Funding information for this article has been deposited with the Crossref Funder Registry.</t>
  </si>
  <si>
    <t>10.1183/13993003.00240-2017</t>
  </si>
  <si>
    <t>WOS:000410089300009</t>
  </si>
  <si>
    <t>Martinez-Anton, A; Humbert, M; Chanez, P</t>
  </si>
  <si>
    <t>Martinez-Anton, Asuncion; Humbert, Marc; Chanez, Pascal</t>
  </si>
  <si>
    <t>Novel Treatments for Airway Disease</t>
  </si>
  <si>
    <t>RECEPTOR</t>
  </si>
  <si>
    <t>[Martinez-Anton, Asuncion; Chanez, Pascal] Aix Marseille Univ, Marseille, France; [Humbert, Marc] Univ Paris Sud, Le Kremlin Bicetre, France</t>
  </si>
  <si>
    <t>Aix-Marseille Universite; Universite Paris Saclay</t>
  </si>
  <si>
    <t>Chanez, P (corresponding author), Aix Marseille Univ, Marseille, France.</t>
  </si>
  <si>
    <t>pascal.chanez@univ-amu.fr</t>
  </si>
  <si>
    <t>Akuthota, Praveen/0000-0001-6655-7520; Humbert, Marc/0000-0003-0703-2892; chanez, pascal/0000-0003-4059-0917; Cahill, Katherine/0000-0002-8549-1835</t>
  </si>
  <si>
    <t>AstraZeneca; Teva Pharmaceuticals; GlaxoSmithKline; Novartis; Roche; Boehringer Ingelheim; Johnson Johnson; Merck Sharp Dohme; Chiesi; Sanofi; SNCF; Centocor; Boston Scientific; ALK</t>
  </si>
  <si>
    <t>AstraZeneca(AstraZeneca); Teva Pharmaceuticals(Teva Pharmaceutical Industries); GlaxoSmithKline(GlaxoSmithKline); Novartis(Novartis); Roche(Roche Holding); Boehringer Ingelheim(Boehringer Ingelheim); Johnson Johnson(Johnson &amp; JohnsonJohnson &amp; Johnson USA); Merck Sharp Dohme(Merck &amp; Company); Chiesi(Chiesi Pharmaceuticals Inc); Sanofi; SNCF; Centocor; Boston Scientific(Boston Scientific); ALK</t>
  </si>
  <si>
    <t>Dr. Humbert reports receiving lecture fees from and serving on advisory boards for AstraZeneca and Teva Pharmaceuticals, receiving lecture and consulting fees from and serving on advisory boards for GlaxoSmithKline and Novartis, and receiving consulting fees from and serving on an advisory board for Roche. Dr. Chanez reports receiving consulting fees from Boehringer Ingelheim, Johnson &amp; Johnson, GlaxoSmithKline, Merck Sharp &amp; Dohme, AstraZeneca, Novartis, Teva Pharmaceuticals, Chiesi, Sanofi, and SNCF, lecture fees from Boehringer Ingelheim, Centocor, GlaxoSmithKline, AstraZeneca, Novartis, Teva Pharmaceuticals, Chiesi, Boston Scientific, and ALK, and industry-sponsored grants from Roche, Boston Scientific, Boehringer Ingelheim, Centocor, GlaxoSmithKline, AstraZeneca, ALK, Novartis, Teva Pharmaceuticals, and Chiesi and serving on advisory boards for Almirall, Boehringer Ingelheim, Johnson &amp; Johnson, GlaxoSmithKline, AstraZeneca, Novartis, Teva Pharmaceuticals, Chiesi, and Sanofi. No other potential conflict of interest relevant to this letter was reported.</t>
  </si>
  <si>
    <t>AUG 10</t>
  </si>
  <si>
    <t>10.1056/NEJMc1708004</t>
  </si>
  <si>
    <t>FD0EM</t>
  </si>
  <si>
    <t>WOS:000407212600016</t>
  </si>
  <si>
    <t>Hautefort, A; Chesné, J; Preussner, J; Pullamsetti, SS; Tost, J; Looso, M; Antigny, F; Girerd, B; Riou, M; Eddahibi, S; Deleuze, JF; Seeger, W; Fadel, E; Simonneau, G; Montani, D; Humbert, M; Perros, F</t>
  </si>
  <si>
    <t>Hautefort, Aurelie; Chesne, Julie; Preussner, Jens; Pullamsetti, Soni S.; Tost, Jorg; Looso, Mario; Antigny, Fabrice; Girerd, Barbara; Riou, Marianne; Eddahibi, Saadia; Deleuze, Jean-Francois; Seeger, Werner; Fadel, Elie; Simonneau, Gerald; Montani, David; Humbert, Marc; Perros, Frederic</t>
  </si>
  <si>
    <t>Pulmonary endothelial cell DNA methylation signature in pulmonary arterial hypertension</t>
  </si>
  <si>
    <t>pulmonary arterial hypertension; epigenetic; DNA methylation; endothelial cells; ABC transporters</t>
  </si>
  <si>
    <t>HIGH-DENSITY-LIPOPROTEIN; SMOOTH-MUSCLE-CELLS; CHOLESTEROL LEVELS; EPIGENETIC FIELD; PLASMA-LEVELS; DYSFUNCTION; CANCER; DISEASE; ACTIVATION; EXPRESSION</t>
  </si>
  <si>
    <t>Pulmonary arterial hypertension (PAH) is a severe and incurable pulmonary vascular disease. One of the primary origins of PAH is pulmonary endothelial dysfunction leading to vasoconstriction, aberrant angiogenesis and smooth muscle cell proliferation, endothelial-to-mesenchymal transition, thrombosis and inflammation. Our objective was to study the epigenetic variations in pulmonary endothelial cells (PEC) through a specific pattern of DNA methylation. DNA was extracted from cultured PEC from idiopathic PAH (n = 11), heritable PAH (n = 10) and controls (n = 18). DNA methylation was assessed using the Illumina HumanMethylation450 Assay. After normalization, samples and probes were clustered according to their methylation profile. Differential clusters were functionally analyzed using bioinformatics tools. Unsupervised hierarchical clustering allowed the identification of two clusters of probes that discriminates controls and PAH patients. Among 147 differential methylated promoters, 46 promoters coding for proteins or miRNAs were related to lipid metabolism. Top 10 up and down-regulated genes were involved in lipid transport including ABCA1, ABCB4, ADIPOQ, miR-26A, BCL2L11. NextBio meta-analysis suggested a contribution of ABCA1 in PAH. We confirmed ABCA1 mRNA and protein downregulation specifically in PAH PEC by qPCR and immunohistochemistry and made the proof-of-concept in an experimental model of the disease that its targeting may offer novel therapeutic options. In conclusion, DNA methylation analysis identifies a set of genes mainly involved in lipid transport pathway which could be relevant to PAH pathophysiology.</t>
  </si>
  <si>
    <t>[Hautefort, Aurelie; Antigny, Fabrice; Girerd, Barbara; Riou, Marianne; Simonneau, Gerald; Montani, David; Humbert, Marc; Perros, Frederic] Hop Marie Lannelongue, INSERM, UMR S 999, Le Plessis Robinson, France; [Hautefort, Aurelie; Antigny, Fabrice; Girerd, Barbara; Riou, Marianne; Simonneau, Gerald; Montani, David; Humbert, Marc; Perros, Frederic] Univ Paris Saclay, Fac Med, Univ Paris Sud, Le Kremlin Bicetre, France; [Chesne, Julie] Univ Nantes, CHU Nantes, Ctr Natl Reference Mucoviscidose Nantes Roscoff, Inst Thorax,CNRS,UMR S 1087,UMR 6291, Nantes, France; [Preussner, Jens; Pullamsetti, Soni S.; Looso, Mario; Seeger, Werner] Max Planck Inst Heart &amp; Lung Res, Bad Nauheim, Germany; [Preussner, Jens; Pullamsetti, Soni S.; Looso, Mario; Seeger, Werner] German Ctr Lung Res DZL, Bad Nauheim, Germany; [Tost, Jorg; Deleuze, Jean-Francois] CEA Inst Genom, Ctr Natl Genotypage, Evry, France; [Girerd, Barbara; Simonneau, Gerald; Montani, David; Humbert, Marc] Hop Bicetre, AP HP, Serv Pneumol, Le Kremlin Bicetre, France; [Eddahibi, Saadia] Ctr Hosp Univ Arnaud Villeneuve, INSERM, U1046, Montpellier, France; [Fadel, Elie] Hop Marie Lannelongue, Serv Chirurg Thorac &amp; Vasc, Le Plessis Robinson, France</t>
  </si>
  <si>
    <t>Institut National de la Sante et de la Recherche Medicale (Inserm); Universite Paris Saclay; Hopital Marie Lannelongue; Universite Paris Saclay; Institut National de la Sante et de la Recherche Medicale (Inserm); Nantes Universite; CHU de Nantes; Centre National de la Recherche Scientifique (CNRS); CNRS - National Institute for Biology (INSB); Max Planck Society; Universite Paris Saclay; CEA; Universite Paris Saclay; Assistance Publique Hopitaux Paris (APHP); Hopital Universitaire Antoine-Beclere - APHP; Hopital Universitaire Bicetre - APHP; Universite de Montpellier; CHU de Montpellier; Institut National de la Sante et de la Recherche Medicale (Inserm); Hopital Marie Lannelongue</t>
  </si>
  <si>
    <t>Perros, F (corresponding author), Hop Marie Lannelongue, INSERM, UMR S 999, Le Plessis Robinson, France.;Perros, F (corresponding author), Univ Paris Saclay, Fac Med, Univ Paris Sud, Le Kremlin Bicetre, France.</t>
  </si>
  <si>
    <t>Danion, François/Q-2764-2017; David, Montani/I-6885-2019; Simonneau, Gerald/ABE-6614-2020; Perros, Frederic/N-6921-2017; Antigny, Fabrice/Q-3999-2018; Tost, Jorg/H-7129-2019; Humbert, Marc/AAC-8459-2019</t>
  </si>
  <si>
    <t>Perros, Frederic/0000-0001-7730-2427; Preussner, Jens/0000-0003-1927-3458; Seeger, Werner/0000-0003-1946-0894; Antigny, Fabrice/0000-0002-9515-6571; Tost, Jorg/0000-0002-2683-0817; Looso, Mario/0000-0003-1495-9530; Montani, David/0000-0002-9358-6922; Humbert, Marc/0000-0003-0703-2892</t>
  </si>
  <si>
    <t>INSERM; National Funding Agency for Research (ANR) [ANR-13-JSV1-0011-01]; Laboratoire d'Excellence (LabEx) en Recherche sur le Medicament et l'Innovation Therapeutique (LERMIT); Assistance Publique Hopitaux de Paris (Departement Hospitalo-Universitaire Thorax Innovation); Legs Poix (Chancellerie des Universites de Paris); Federal Ministry of Education and Research (BMBF) [FKZ-01KX1314]; French patient association HTAPFrance; Region Ile de France (CORDDIM); Aviesan; Lefoulon Delalande Institute; Agence Nationale de la Recherche (ANR) [ANR-13-JSV1-0011] Funding Source: Agence Nationale de la Recherche (ANR)</t>
  </si>
  <si>
    <t>INSERM(Institut National de la Sante et de la Recherche Medicale (Inserm)); National Funding Agency for Research (ANR)(Agence Nationale de la Recherche (ANR)); Laboratoire d'Excellence (LabEx) en Recherche sur le Medicament et l'Innovation Therapeutique (LERMIT); Assistance Publique Hopitaux de Paris (Departement Hospitalo-Universitaire Thorax Innovation); Legs Poix (Chancellerie des Universites de Paris); Federal Ministry of Education and Research (BMBF)(Federal Ministry of Education &amp; Research (BMBF)); French patient association HTAPFrance; Region Ile de France (CORDDIM)(Region Ile-de-France); Aviesan; Lefoulon Delalande Institute; Agence Nationale de la Recherche (ANR)(Agence Nationale de la Recherche (ANR))</t>
  </si>
  <si>
    <t>This work was supported by research grants from INSERM, National Funding Agency for Research (ANR) (Grant ANR-13-JSV1-0011-01), Laboratoire d'Excellence (LabEx) en Recherche sur le Medicament et l'Innovation Therapeutique (LERMIT), Assistance Publique Hopitaux de Paris (Departement Hospitalo-Universitaire Thorax Innovation), Legs Poix (Chancellerie des Universites de Paris), and Federal Ministry of Education and Research (BMBF) (Grant FKZ-01KX1314) and by the French patient association HTAPFrance. A.H. is supported by a PhD grant from Region Ile de France (CORDDIM). F.A. is supported by a post-doctoral grant from Aviesan and by Lefoulon Delalande Institute.</t>
  </si>
  <si>
    <t>AUG 8</t>
  </si>
  <si>
    <t>10.18632/oncotarget.18031</t>
  </si>
  <si>
    <t>FC8XE</t>
  </si>
  <si>
    <t>WOS:000407124100082</t>
  </si>
  <si>
    <t>Boucly, A; Weatherald, J; Savale, L; Jaïs, X; Cottin, V; Prevot, G; Picard, F; de Groote, P; Jevnikar, M; Bergot, E; Chaouat, A; Chabanne, C; Bourdin, A; Parent, F; Montani, D; Simonneau, G; Humbert, M; Sitbon, O</t>
  </si>
  <si>
    <t>Boucly, Athenais; Weatherald, Jason; Savale, Laurent; Jais, Xavier; Cottin, Vincent; Prevot, Gregoire; Picard, Francois; de Groote, Pascal; Jevnikar, Mitja; Bergot, Emmanuel; Chaouat, Ari; Chabanne, Celine; Bourdin, Arnaud; Parent, Florence; Montani, David; Simonneau, Gerald; Humbert, Marc; Sitbon, Olivier</t>
  </si>
  <si>
    <t>Risk assessment, prognosis and guideline implementation in pulmonary arterial hypertension</t>
  </si>
  <si>
    <t>COMBINATION THERAPY; DIAGNOSIS; SURVIVAL; REGISTRY</t>
  </si>
  <si>
    <t>Current European guidelines recommend periodic risk assessment for patients with pulmonary arterial hypertension (PAH). The aim of our study was to determine the association between the number of low-risk criteria achieved within 1 year of diagnosis and long-term prognosis. Incident patients with idiopathic, heritable and drug-induced PAH between 2006 and 2016 were analysed. The number of low-risk criteria present at diagnosis and at first re-evaluation were assessed: World Health Organization (WHO)/New York Heart Association (NYHA) functional class I or II, 6-min walking distance (6MWD) &gt;440 m, right atrial pressure &lt;8 mmHg and cardiac index &gt;= 2.5 L.min(-1).m(-2). 1017 patients were included (mean age 57 years, 59% female, 75% idiopathic PAH). After a median follow-up of 34 months, 238 (23%) patients had died. Each of the four low-risk criteria independently predicted transplant-free survival at first re-evaluation. The number of low-risk criteria present at diagnosis (p&lt;0.001) and at first re-evaluation (p&lt;0.001) discriminated the risk of death or lung transplantation. In addition, in a subgroup of 603 patients with brain natriuretic peptide (BNP) or N-terminal pro-brain natriuretic peptide (NT-proBNP) measurements, the number of three noninvasive criteria (WHO/NYHA functional class, 6MWD and BNP/NT-proBNP) present at first re-evaluation discriminated prognostic groups (p&lt;0.001). A simplified risk assessment tool that quantifies the number of low-risk criteria present accurately predicted transplant-free survival in PAH.</t>
  </si>
  <si>
    <t>[Boucly, Athenais; Savale, Laurent; Jais, Xavier; Jevnikar, Mitja; Parent, Florence; Montani, David; Simonneau, Gerald; Humbert, Marc; Sitbon, Olivier] Univ Paris Saclay, Univ Paris Sud, Fac Med, Le Kremlin Bicetre, France; [Boucly, Athenais; Weatherald, Jason; Savale, Laurent; Jais, Xavier; Jevnikar, Mitja; Parent, Florence; Montani, David; Simonneau, Gerald; Humbert, Marc; Sitbon, Olivier] Hop Bicetre, AP HP, Serv Pneumol, Le Kremlin Bicetre, France; [Boucly, Athenais; Weatherald, Jason; Savale, Laurent; Jais, Xavier; Jevnikar, Mitja; Parent, Florence; Montani, David; Simonneau, Gerald; Humbert, Marc; Sitbon, Olivier] Hop Marie Lannelongue, INSERM, UMR S 999, Le Plessis Robinson, France; [Weatherald, Jason] Univ Calgary, Div Respirol, Dept Med, Calgary, AB, Canada; [Cottin, Vincent] Univ Lyon 1, Hop Louis Pradel, Hosp Civils Lyon, Ctr Reference Malad Pulm Rares,Ctr Competences Hy, Lyon, France; [Prevot, Gregoire] Hop Larrey, Serv Pneumol, Toulouse, France; [Picard, Francois] Hop Haut Leveque, Serv Cardiol, Pessac, France; [de Groote, Pascal] Hop Cardiol, Ctr Competences Hypertens Pulm, Lille, France; [Bergot, Emmanuel] Univ Caen Basse Normandie, Hop Cote de Nacre, Ctr Competences Basse Normandie Hypertens Pulm, Caen, France; [Chaouat, Ari] CHU Nancy, Pole Specialites Med, Dept Pneumol, Vandoeuvre Les Nancy, France; [Chaouat, Ari] Univ Lorraine, INGRES, EA 7298, Vandoeuvre Les Nancy, France; [Chabanne, Celine] CHU Rennes, INSERM, Serv Cardiol &amp; Malad Vasc, U1099, Rennes, France; [Bourdin, Arnaud] Univ Montpellier, Hop Arnaud de Villeneuve, Serv Pneumol, INSERM,U1046,UMR 9214, Montpellier, France</t>
  </si>
  <si>
    <t>Universite Paris Saclay; Assistance Publique Hopitaux Paris (APHP); Hopital Universitaire Bicetre - APHP; Hopital Universitaire Antoine-Beclere - APHP; Universite Paris Saclay; Universite Paris Saclay; Hopital Marie Lannelongue; Institut National de la Sante et de la Recherche Medicale (Inserm); University of Calgary; Universite Claude Bernard Lyon 1; CHU Lyon; CHU de Toulouse; CHU Bordeaux; Universite de Bordeaux; Universite de Lille; CHU Lille; CHU de Caen NORMANDIE; Universite de Caen Normandie; CHU de Nancy; Universite de Lorraine; Institut National de la Sante et de la Recherche Medicale (Inserm); Universite de Rennes; CHU Rennes; Universite de Montpellier; CHU de Montpellier; Institut National de la Sante et de la Recherche Medicale (Inserm); Centre National de la Recherche Scientifique (CNRS); CNRS - National Institute for Biology (INSB)</t>
  </si>
  <si>
    <t>DE GROOTE, Pascal/LLL-9444-2024; Chaouat, Ari/AAP-6784-2021; David, Montani/I-6885-2019; Sitbon, Olivier/I-3623-2019; Savale, Laurent/AAJ-9781-2020; Bergot, Emmanuel/KHZ-1685-2024; Bourdin, Philippe/D-8149-2015; Simonneau, Gerald/ABE-6614-2020; Humbert, Marc/AAC-8459-2019</t>
  </si>
  <si>
    <t>Jevnikar, Mitja/0000-0003-0727-6790; JAIS, XAVIER/0000-0002-4104-7994; de Groote, Pascal/0000-0002-6211-0147; Montani, David/0000-0002-9358-6922; Humbert, Marc/0000-0003-0703-2892; Boucly, Athenais/0000-0001-6246-5557; SITBON, Olivier/0000-0002-1942-1951; Weatherald, Jason/0000-0002-0615-4575; Cottin, Vincent/0000-0002-5591-0955; Bourdin, Arnaud/0000-0002-4645-5209</t>
  </si>
  <si>
    <t>Assistance Publique-Hopitaux de Paris (PHRC EFORT); INSERM; Universite Paris-Sud; Agence Nationale de la Recherche (Departement Hospitalo-Universitaire Thorax Innovation); Agence Nationale de la Recherche (LabEx LERMIT) [ANR-10-LABX-0033]; Agence Nationale de la Recherche (RHU BIO-ART LUNG 2020) [ANR-15-RHUS-0002]; European Respiratory Society/Canadian Thoracic Society Long-Term Research Fellowship [LTRF 2015 - 4780]; Crossref Funder Registry; Agence Nationale de la Recherche (ANR) [ANR-10-LABX-0033] Funding Source: Agence Nationale de la Recherche (ANR)</t>
  </si>
  <si>
    <t>Assistance Publique-Hopitaux de Paris (PHRC EFORT); INSERM(Institut National de la Sante et de la Recherche Medicale (Inserm)); Universite Paris-Sud; Agence Nationale de la Recherche (Departement Hospitalo-Universitaire Thorax Innovation)(Agence Nationale de la Recherche (ANR)); Agence Nationale de la Recherche (LabEx LERMIT)(Agence Nationale de la Recherche (ANR)); Agence Nationale de la Recherche (RHU BIO-ART LUNG 2020)(Agence Nationale de la Recherche (ANR)); European Respiratory Society/Canadian Thoracic Society Long-Term Research Fellowship; Crossref Funder Registry; Agence Nationale de la Recherche (ANR)(Agence Nationale de la Recherche (ANR))</t>
  </si>
  <si>
    <t>This work was supported in part by the Assistance Publique-Hopitaux de Paris (PHRC EFORT: ClinicalTrials.gov Identifier NCT01185730), INSERM, Universite Paris-Sud and Agence Nationale de la Recherche (Departement Hospitalo-Universitaire Thorax Innovation; LabEx LERMIT, ANR-10-LABX-0033; and RHU BIO-ART LUNG 2020, ANR-15-RHUS-0002). J. Weatherald is the recipient of a joint European Respiratory Society/Canadian Thoracic Society Long-Term Research Fellowship (LTRF 2015 - 4780). Funding information for this article has been deposited with the Crossref Funder Registry.</t>
  </si>
  <si>
    <t>10.1183/13993003.00889-2017</t>
  </si>
  <si>
    <t>FD6GW</t>
  </si>
  <si>
    <t>WOS:000407628000016</t>
  </si>
  <si>
    <t>Girerd, B; Montani, D; Jais, X; Levy, M; Savale, L; Dorfmuller, P; Lau, E; Le Pavec, J; Parent, F; Bonnet, D; Soubrier, F; Fadel, E; Sitbon, O; Simonneau, G; Humbert, M</t>
  </si>
  <si>
    <t>Girerd, B.; Montani, D.; Jais, X.; Levy, M.; Savale, L.; Dorfmuller, P.; Lau, E.; Le Pavec, J.; Parent, F.; Bonnet, D.; Soubrier, F.; Fadel, E.; Sitbon, O.; Simonneau, G.; Humbert, M.</t>
  </si>
  <si>
    <t>Clinical phenotypes and outcomes of heritable and sporadic pulmonary veno-occlusive disease</t>
  </si>
  <si>
    <t>[Girerd, B.; Montani, D.; Jais, X.; Savale, L.; Dorfmuller, P.; Lau, E.; Parent, F.; Sitbon, O.; Simonneau, G.; Humbert, M.] Hop Bicetre, Serv Pneumol, Le Kremlin Bicetre, France; [Levy, M.; Bonnet, D.] Hosp Necker, Reference Ctr Complex Congenital Heart Dis, Paris, France; [Le Pavec, J.; Fadel, E.] Surg Ctr Marie Lannelongue, Serv Chirurg Thorac Vasc &amp; Transplantat Cardiopul, Le Plessis Robinson, France; [Soubrier, F.] Hosp Pitie Salpetriere, AP HP, Paris, France</t>
  </si>
  <si>
    <t>Assistance Publique Hopitaux Paris (APHP); Hopital Universitaire Antoine-Beclere - APHP; Hopital Universitaire Bicetre - APHP; Universite Paris Saclay; Assistance Publique Hopitaux Paris (APHP); Universite Paris Cite; Hopital Universitaire Necker-Enfants Malades - APHP; Sorbonne Universite; Assistance Publique Hopitaux Paris (APHP); Hopital Universitaire Pitie-Salpetriere - APHP</t>
  </si>
  <si>
    <t>GP0OH</t>
  </si>
  <si>
    <t>WOS:000440509304205</t>
  </si>
  <si>
    <t>Montani, D; Seferian, A; Parent, F; Humbert, M</t>
  </si>
  <si>
    <t>Montani, David; Seferian, Andrei; Parent, Florence; Humbert, Marc</t>
  </si>
  <si>
    <t>Immune checkpoint inhibitor-associated interstitial lung diseases: some progress but still many issues</t>
  </si>
  <si>
    <t>ADVERSE EVENTS; PNEUMONITIS; CANCER</t>
  </si>
  <si>
    <t>[Montani, David; Seferian, Andrei; Parent, Florence; Humbert, Marc] Univ Paris Sud, Fac Med, Le Kremlin Bicetre, France; [Montani, David; Seferian, Andrei; Parent, Florence; Humbert, Marc] Hop Bicetre, AP HP, Dept Hosp Univ DHU Thorax Innovat TORINO, Serv Pneumol,Ctr Reference Hypertens Pulm Severe, Le Kremlin Bicetre, France; [Montani, David; Seferian, Andrei; Parent, Florence; Humbert, Marc] Univ Paris Sud, Ctr Chirurg Marie Lannelongue, Lab Excellence LabEx Rech Medicament &amp; Innovat Th, UMR S 999,INSERM, Le Plessis Robinson, France</t>
  </si>
  <si>
    <t>Universite Paris Saclay; Assistance Publique Hopitaux Paris (APHP); Hopital Universitaire Antoine-Beclere - APHP; Universite Paris Saclay; Hopital Universitaire Bicetre - APHP; Institut National de la Sante et de la Recherche Medicale (Inserm); Universite Paris Saclay; Hopital Marie Lannelongue</t>
  </si>
  <si>
    <t>Montani, D (corresponding author), Hop Bicetre, Serv Pneumol, Ctr Reference Hypertens Pulm Severe, 78 Rue Gen Leclerc, F-94270 Le Kremlin Bicetre, France.</t>
  </si>
  <si>
    <t>Montani, David/0000-0002-9358-6922; Humbert, Marc/0000-0003-0703-2892; Seferian, Andrei/0000-0003-1007-433X</t>
  </si>
  <si>
    <t>10.1183/13993003.01319-2017</t>
  </si>
  <si>
    <t>WOS:000407628000021</t>
  </si>
  <si>
    <t>Savale, L; Le Pavec, J; Mercier, O; Mussot, S; Jaís, X; Fabre, D; O'Connell, C; Montani, D; Stephan, F; Sitbon, O; Simonneau, G; Dartevelle, P; Humbert, M; Fadel, E</t>
  </si>
  <si>
    <t>Savale, Laurent; Le Pavec, Jerome; Mercier, Olaf; Mussot, Sacha; Jais, Xavier; Fabre, Dominique; O'Connell, Caroline; Montani, David; Stephan, Francois; Sitbon, Olivier; Simonneau, Gerald; Dartevelle, Philippe; Humbert, Marc; Fadel, Elie</t>
  </si>
  <si>
    <t>Impact of High-Priority Allocation on Lung and Heart-Lung Transplantation for Pulmonary Hypertension</t>
  </si>
  <si>
    <t>ANNALS OF THORACIC SURGERY</t>
  </si>
  <si>
    <t>ARTERIAL-HYPERTENSION; INTERNATIONAL SOCIETY; CYSTIC-FIBROSIS; WAITING-LIST; ADULT LUNG; MANAGEMENT; SURVIVAL; REGISTRY; SCORE; EXPERIENCE</t>
  </si>
  <si>
    <t>Background. Since 2006 and 2007, patients in France with severe pulmonary hypertension (PH) who are at imminent risk of death, despite optimal treatment in the intensive care unit, are placed on a high-priority list (HPL) for heart-lung transplantation (HLT) or double-lung transplantation (DLT). We assessed the effect of this approach on the waiting list and outcomes after transplantation. Methods. We conducted a single-center, retrospective, before-and-after study of consecutive patients with severe group 1, 1', or 4 PH listed for DLT or HLT between 2000 and 2013 (ie, 6 years before and 6 years after HPL implementation). Results. We included 234 patients. HPL implementation resulted in a significant decrease of the cumulative incidence of death on the waiting list at 1 and 2 years (p &lt; 0.0001). The cumulative incidence of transplantation increased significantly from 48% to 76% after 2 years (p &lt; 0.0001). Overall survival after transplantation was not significantly different between the pre-HPL and post-HPL era. In the HPL period, patients on the regular list who received a transplant had a nonsignificant trend toward improved overall survival compared with those on the HPL who received a transplant (at 1, 2, 3, and 5 years: 85%, 77%, 72%, and 72% vs 67%, 61%, 58%, and 50%; p = 0.053). Finally, survival after listing improved significantly after HPL implementation (at 1, 2, 3, and 5 years: 69%, 62%, 58%, and 54% vs 54%, 45%, 34%, and 26% before the HPL; p &lt; 0.001). Conclusions. HPL implementation was followed by higher survival of PH patients after registration on the DLT or HLT waiting list and by a higher cumulative incidence of transplantation among waiting-list patients. (C) 2017 by The Society of Thoracic Surgeons</t>
  </si>
  <si>
    <t>Univ Paris Saclay, Univ Paris Sud, Fac Med, Le Kremlin Bicetre, France; Hop Bicetre, AP HP, Serv Pneumol, Le Kremlin Bicetre, France; Hop Marie Lannelongue, INSERM UMR 999, Le Plessis Robinson, France</t>
  </si>
  <si>
    <t>Savale, L (corresponding author), DHU Thorax Innovat, Le Kremlin Bicetre, France.</t>
  </si>
  <si>
    <t>Savale, Laurent/AAJ-9781-2020; Mussot, S/AAL-7512-2020; Simonneau, Gerald/ABE-6614-2020; Sitbon, Olivier/I-3623-2019; David, Montani/I-6885-2019; Humbert, Marc/AAC-8459-2019</t>
  </si>
  <si>
    <t>Le Pavec, Jerome/0000-0003-4426-9645; SITBON, Olivier/0000-0002-1942-1951; Montani, David/0000-0002-9358-6922; JAIS, XAVIER/0000-0002-4104-7994; Mercier, Olaf/0000-0002-4760-6267; O'Connell, Caroline/0000-0001-6776-5110; Humbert, Marc/0000-0003-0703-2892</t>
  </si>
  <si>
    <t>Actelion; Bayer; GSK; Novartis; Pfizer</t>
  </si>
  <si>
    <t>Actelion; Bayer(Bayer AG); GSK(GlaxoSmithKline); Novartis(Novartis); Pfizer(Pfizer)</t>
  </si>
  <si>
    <t>Drs Savale, Jais, Montani, Sitbon, Simonneau, and Humbert disclose a financial relationship with Actelion, Bayer, GSK, Novartis, and Pfizer.</t>
  </si>
  <si>
    <t>0003-4975</t>
  </si>
  <si>
    <t>1552-6259</t>
  </si>
  <si>
    <t>ANN THORAC SURG</t>
  </si>
  <si>
    <t>Ann. Thorac. Surg.</t>
  </si>
  <si>
    <t>10.1016/j.athoracsur.2017.02.034</t>
  </si>
  <si>
    <t>FC4AQ</t>
  </si>
  <si>
    <t>WOS:000406781200035</t>
  </si>
  <si>
    <t>Taniguchi, Y.; Brenot, P.; Jais, X.; Garcia, C.; Planche, O.; Fadel, E.; Humbert, M.; Simonneau, G.</t>
  </si>
  <si>
    <t>Poor subpleural perfusion as a predictor of failure after balloon pulmonary angioplasty for non-operable chronic thromboembolic pulmonary hypertension</t>
  </si>
  <si>
    <t>[Taniguchi, Y.; Jais, X.; Planche, O.; Humbert, M.; Simonneau, G.] Hop Bicetre, Le Kremlin Bicetre, France; [Brenot, P.; Garcia, C.; Fadel, E.] Surg Ctr Marie Lannelongue, Le Plessis Robinson, France</t>
  </si>
  <si>
    <t>Simonneau, Gerald/ABE-6614-2020; Humbert, Marc/AAC-8459-2019; Brenot, Philippe/HJB-1040-2022</t>
  </si>
  <si>
    <t>P4005</t>
  </si>
  <si>
    <t>WOS:000440509303274</t>
  </si>
  <si>
    <t>Weatherald, J; Humbert, M; Guignabert, C; Montani, D</t>
  </si>
  <si>
    <t>Weatherald, Jason; Humbert, Marc; Guignabert, Christophe; Montani, David</t>
  </si>
  <si>
    <t>Response to the article Sorafenib as a potential strategy for refractory pulmonary arterial hypertension</t>
  </si>
  <si>
    <t>PULMONARY PHARMACOLOGY &amp; THERAPEUTICS</t>
  </si>
  <si>
    <t>TYROSINE KINASE INHIBITORS; MULTIKINASE INHIBITOR; VENOOCCLUSIVE DISEASE; DASATINIB; IMATINIB; CARDIOTOXICITY</t>
  </si>
  <si>
    <t>[Weatherald, Jason; Humbert, Marc; Guignabert, Christophe; Montani, David] Univ Paris Saclay, Fac Med, Univ Paris Sud, Le Kremlin Bicetre, France; [Weatherald, Jason; Humbert, Marc; Montani, David] Hop Bicetre, AP HP, Serv Pneumol, Le Kremlin Bicetre, France; [Weatherald, Jason; Humbert, Marc; Guignabert, Christophe; Montani, David] Hop Marie Lannelongue, INSERM, UMR S 999, Le Plessis Robinson, France; [Weatherald, Jason] Univ Calgary, Dept Med, Div Respirol, Calgary, AB, Canada</t>
  </si>
  <si>
    <t>Universite Paris Saclay; Assistance Publique Hopitaux Paris (APHP); Hopital Universitaire Antoine-Beclere - APHP; Universite Paris Saclay; Hopital Universitaire Bicetre - APHP; Hopital Marie Lannelongue; Institut National de la Sante et de la Recherche Medicale (Inserm); Universite Paris Saclay; University of Calgary</t>
  </si>
  <si>
    <t>Montani, D (corresponding author), Univ Paris Saclay, Fac Med, Univ Paris Sud, Le Kremlin Bicetre, France.</t>
  </si>
  <si>
    <t>david.montani@bct.aphp.fr</t>
  </si>
  <si>
    <t>David, Montani/I-6885-2019; Humbert, Marc/AAC-8459-2019; GUIGNABERT, Christophe/G-3873-2013</t>
  </si>
  <si>
    <t>Weatherald, Jason/0000-0002-0615-4575; Montani, David/0000-0002-9358-6922; Humbert, Marc/0000-0003-0703-2892; GUIGNABERT, Christophe/0000-0002-8545-4452</t>
  </si>
  <si>
    <t>ACADEMIC PRESS LTD- ELSEVIER SCIENCE LTD</t>
  </si>
  <si>
    <t>24-28 OVAL RD, LONDON NW1 7DX, ENGLAND</t>
  </si>
  <si>
    <t>1094-5539</t>
  </si>
  <si>
    <t>PULM PHARMACOL THER</t>
  </si>
  <si>
    <t>Pulm. Pharmacol. Ther.</t>
  </si>
  <si>
    <t>10.1016/j.pupt.2017.03.017</t>
  </si>
  <si>
    <t>Pharmacology &amp; Pharmacy; Respiratory System</t>
  </si>
  <si>
    <t>FD6VC</t>
  </si>
  <si>
    <t>WOS:000407665000002</t>
  </si>
  <si>
    <t>Weatherald, J; Chaumais, MC; Savale, L; Jaïs, X; Seferian, A; Canuet, M; Bouvaist, H; Magro, P; Bergeron, A; Guignabert, C; Sitbon, O; Simonneau, G; Humbert, M; Montani, D</t>
  </si>
  <si>
    <t>Weatherald, Jason; Chaumais, Marie-Camille; Savale, Laurent; Jais, Xavier; Seferian, Andrei; Canuet, Matthieu; Bouvaist, Helene; Magro, Pascal; Bergeron, Anne; Guignabert, Christophe; Sitbon, Olivier; Simonneau, Gerald; Humbert, Marc; Montani, David</t>
  </si>
  <si>
    <t>Long-term outcomes of dasatinib-induced pulmonary arterial hypertension: a population-based study</t>
  </si>
  <si>
    <t>CHRONIC MYELOID-LEUKEMIA; ABL INHIBITORS IMATINIB; TYROSINE KINASE; CHRONIC-PHASE; PLEURAL EFFUSION; NILOTINIB; THERAPY; DETERIORATION; RESISTANT; DIAGNOSIS</t>
  </si>
  <si>
    <t>This study aimed to describe the long-term outcomes of pulmonary arterial hypertension (PAH) induced by dasatinib. 21 incident, right heart catheterisation-confirmed cases of dasatinib-induced PAH were identified from the French Pulmonary Hypertension Registry. Clinical and haemodynamic variables were compared from baseline to last follow-up (median (range) 24 (1-81) months). Median age was 52 years and 15 patients were female (71%). 19 patients received dasatinib for chronic myelogenous leukaemia for a median (range) duration of 42 (8-74) months before PAH diagnosis. No bone morphogenic protein receptor-2 (BMPR2) mutations were found in the 10 patients tested. Dasatinib was uniformly discontinued and 11 patients received PAH medications. Four patients died during follow-up. New York Heart Association functional class improved from 76% in class III/IV to 90% in class I/II (p&lt;0.01). Median (range) 6-min walk distance improved from 306 (0-660) to 430 (165-635) m (p&lt;0.01). Median (range) mean pulmonary arterial pressure improved from 45 (30-70) to 26 (17-50) mmHg (p&lt;0.01) and pulmonary vascular resistance from 6.1 (3.2-27.3) to 2.6 (1.2-5.9) Wood units (p&lt;0.01). Patients treated with PAH medications had worse baseline haemodynamics but similar long-term outcomes to untreated patients. PAH persisted in 37% of patients. Dasatinib-induced PAH frequently improves after discontinuation but persisted in over one-third of patients, therefore systematic follow-up is essential.</t>
  </si>
  <si>
    <t>[Weatherald, Jason; Savale, Laurent; Jais, Xavier; Seferian, Andrei; Guignabert, Christophe; Sitbon, Olivier; Simonneau, Gerald; Humbert, Marc; Montani, David] Univ Paris Saclay, Univ Paris Sud, Fac Med, Le Kremlin Bicetre, France; [Weatherald, Jason; Savale, Laurent; Jais, Xavier; Seferian, Andrei; Sitbon, Olivier; Simonneau, Gerald; Humbert, Marc; Montani, David] Hop Bicetre, AP HP, Serv Pneumol, Le Kremlin Bicetre, France; [Weatherald, Jason; Chaumais, Marie-Camille; Savale, Laurent; Jais, Xavier; Seferian, Andrei; Guignabert, Christophe; Sitbon, Olivier; Simonneau, Gerald; Humbert, Marc; Montani, David] Hop Marie Lannelongue, INSERM UMR S 999, Le Plessis Robinson, France; [Weatherald, Jason] Univ Calgary, Dept Med, Div Respirol, Calgary, AB, Canada; [Chaumais, Marie-Camille] Univ Paris Saclay, Univ Paris Sud, Fac Pharm, Chatenay Malabry, France; [Chaumais, Marie-Camille] Hop Antoine Beclere, Serv Pharm, DHU TORINO, Clamart, France; [Canuet, Matthieu] Hop Univ Strasbourg, Nouvel Hop Civil, Serv Pneumol, Strasbourg, France; [Bouvaist, Helene] CHU Genoble Alpes, Serv Cardiol, Grenoble, France; [Magro, Pascal] CHRU Tours, Serv Pneumol, Tours, France; [Bergeron, Anne] Hop St Louis, AP HP, Serv Pneumol, Paris, France; [Bergeron, Anne] Univ Paris Diderot, UMR CRESS 1153, Sorbonne Paris Cite, Biostat &amp; Clin Epidemiol Res Team, Paris, France</t>
  </si>
  <si>
    <t>Universite Paris Saclay; Assistance Publique Hopitaux Paris (APHP); Hopital Universitaire Bicetre - APHP; Hopital Universitaire Antoine-Beclere - APHP; Universite Paris Saclay; Universite Paris Saclay; Institut National de la Sante et de la Recherche Medicale (Inserm); Hopital Marie Lannelongue; University of Calgary; Universite Paris Saclay; Assistance Publique Hopitaux Paris (APHP); Hopital Universitaire Antoine-Beclere - APHP; Universites de Strasbourg Etablissements Associes; Universite de Strasbourg; CHU Strasbourg; CHU Tours; Assistance Publique Hopitaux Paris (APHP); Universite Paris Cite; Hopital Universitaire Saint-Louis - APHP; Universite Paris Cite</t>
  </si>
  <si>
    <t>Montani, D (corresponding author), Univ Paris Sud, Ctr Reference Hypertens Pulmonaire, Serv Pneumol, Hop Bicetre, 78 Rue Gen Leclerc, F-94270 Le Kremlin Bicetre, France.</t>
  </si>
  <si>
    <t>Bergeron, Anne/HNS-7099-2023; David, Montani/I-6885-2019; Simonneau, Gerald/ABE-6614-2020; Savale, Laurent/AAJ-9781-2020; Sitbon, Olivier/I-3623-2019; GUIGNABERT, Christophe/G-3873-2013; Humbert, Marc/AAC-8459-2019</t>
  </si>
  <si>
    <t>Weatherald, Jason/0000-0002-0615-4575; JAIS, XAVIER/0000-0002-4104-7994; Montani, David/0000-0002-9358-6922; GUIGNABERT, Christophe/0000-0002-8545-4452; SITBON, Olivier/0000-0002-1942-1951; Humbert, Marc/0000-0003-0703-2892; Seferian, Andrei/0000-0003-1007-433X; Bergeron, Anne/0000-0003-2156-254X; Chaumais, Marie-Camille/0000-0002-1217-8442</t>
  </si>
  <si>
    <t>European Respiratory Society (ERS); Canadian Thoracic Society (CTS); joint ERS/CTS Fellowship LTRF</t>
  </si>
  <si>
    <t>We acknowledge the French pulmonary hypertension pharmacovigilance network (VIGIAPATH), supported by the Agence Nationale de Securite du Medicament et des Produits de Sante (ANSM). We thank the patients, their families and healthcare providers from the French Pulmonary Hypertension Network for agreeing to collaborate. We acknowledge the support of the European Respiratory Society (ERS) and the Canadian Thoracic Society (CTS), joint ERS/CTS Fellowship LTRF 2015.</t>
  </si>
  <si>
    <t>10.1183/13993003.00217-2017</t>
  </si>
  <si>
    <t>FC5JZ</t>
  </si>
  <si>
    <t>WOS:000406879200023</t>
  </si>
  <si>
    <t>Bardin, PG; Price, D; Chanez, P; Humbert, M; Bourdin, A</t>
  </si>
  <si>
    <t>Bardin, Philip G.; Price, David; Chanez, Pascal; Humbert, Marc; Bourdin, Arnaud</t>
  </si>
  <si>
    <t>Managing asthma in the era of biological therapies</t>
  </si>
  <si>
    <t>INHALER</t>
  </si>
  <si>
    <t>[Bardin, Philip G.] Monash Hosp &amp; Univ, Monash Lung &amp; Sleep, Clayton, Vic, Australia; [Bardin, Philip G.] Hudson Inst Med Res, Clayton, Vic, Australia; [Price, David] Observat &amp; Pragmat Res Inst, Singapore, Singapore; [Price, David] Univ Aberdeen, Acad Ctr Primary Care, Aberdeen, Scotland; [Chanez, Pascal] France Aix Marseille Univ, INSERM, CNRS 7333, UMR 1067, Marseille, France; [Chanez, Pascal] Hop Nord Marseille, AP HM, Clin Bronches Allergie &amp; Sommeil, Marseille, France; [Humbert, Marc] Univ Paris Sud, Hop Bicetre, AP HP, Serv Pneumol, Orsay, France; [Humbert, Marc] Univ Paris Saclay, INSERM, U999, Le Kremlin Bicetre, France; [Bourdin, Arnaud] Hop Arnaud Villeneuve, Dept Pneumol &amp; Addictol, Montpellier, France; [Bourdin, Arnaud] Univ Montpellier, INSERM, CNRS, PhyMedExp,U1046,UMR 9214, Montpellier, France</t>
  </si>
  <si>
    <t>Hudson Institute of Medical Research; University of Aberdeen; Institut National de la Sante et de la Recherche Medicale (Inserm); Aix-Marseille Universite; Aix-Marseille Universite; Assistance Publique-Hopitaux de Marseille; Universite Paris Saclay; Assistance Publique Hopitaux Paris (APHP); Hopital Universitaire Bicetre - APHP; Universite Paris Saclay; Institut National de la Sante et de la Recherche Medicale (Inserm); Universite de Montpellier; CHU de Montpellier; Institut National de la Sante et de la Recherche Medicale (Inserm); Centre National de la Recherche Scientifique (CNRS); CNRS - National Institute for Biology (INSB); Universite de Montpellier</t>
  </si>
  <si>
    <t>Bourdin, A (corresponding author), Hop Arnaud Villeneuve, Dept Pneumol &amp; Addictol, Montpellier, France.;Bourdin, A (corresponding author), Univ Montpellier, INSERM, CNRS, PhyMedExp,U1046,UMR 9214, Montpellier, France.</t>
  </si>
  <si>
    <t>a-bourdin@chu-montpellier.fr</t>
  </si>
  <si>
    <t>Bourdin, Philippe/D-8149-2015; Price, David/H-2837-2019; Bonniaud, Philippe/ITT-4660-2023; Humbert, Marc/AAC-8459-2019</t>
  </si>
  <si>
    <t>Bourdin, Arnaud/0000-0002-4645-5209; Humbert, Marc/0000-0003-0703-2892; chanez, pascal/0000-0003-4059-0917</t>
  </si>
  <si>
    <t>AstraZeneca; Boehringer Ingelheim; GlaxoSmithKline; Novartis; Teva; Cephalon; Chiesi; Sanofi; Almirall; Johnson Johnson; Merck Sharp Dohme; SNCF; Centocor; Boston Scientific; ALK; Roche; Meda; Mundipharma; Napp; Teva Pharmaceuticals; Aerocrine; AKL Ltd; British Lung Foundation; Pfizer; Respiratory Effectiveness Group; Takeda; Theravance; UK National Health Service; Zentiva; Cipla; Kyorin; Merck; Skyepharma</t>
  </si>
  <si>
    <t>AstraZeneca(AstraZeneca); Boehringer Ingelheim(Boehringer Ingelheim); GlaxoSmithKline(GlaxoSmithKline); Novartis(Novartis); Teva(Teva Pharmaceutical Industries); Cephalon; Chiesi(Chiesi Pharmaceuticals Inc); Sanofi; Almirall(Almirall); Johnson Johnson(Johnson &amp; JohnsonJohnson &amp; Johnson USA); Merck Sharp Dohme(Merck &amp; Company); SNCF; Centocor; Boston Scientific(Boston Scientific); ALK; Roche(Roche Holding); Meda; Mundipharma; Napp; Teva Pharmaceuticals(Teva Pharmaceutical Industries); Aerocrine; AKL Ltd; British Lung Foundation; Pfizer(Pfizer); Respiratory Effectiveness Group; Takeda(Takeda Pharmaceutical Company Ltd); Theravance; UK National Health Service; Zentiva; Cipla; Kyorin; Merck(Merck &amp; Company); Skyepharma</t>
  </si>
  <si>
    <t>AB was an investigator in clinical trials funded by AstraZeneca, Boehringer Ingelheim, GlaxoSmithKline, Novartis, Teva, Cephalon, Chiesi, and Sanofi; participated in advisory boards for AstraZeneca, GlaxoSmithKline, Boehringer Ingelheim, Novartis, Teva, Sanofi, Chiesi, Roche, Regeneron, and Bioprojet; participated in Congresses with support of AstraZeneca, Actelion, GlaxoSmithKline, Boehringer Ingelheim, Novartis, Chiesi, and PneumRx; and received unrestricted research funds from Boehringer Ingelheim, GlaxoSmithKline, and AstraZeneca. PGB has been an investigator in clinical trials funded by AstraZeneca, Boehringer Ingelheim, GlaxoSmithKline and Teva; participated in advisory boards for AstraZeneca, GlaxoSmithKline, Boehringer Ingelheim, and Novartis; attended Scientific Congresses with support of AstraZeneca, GlaxoSmithKline, Boehringer Ingelheim, Menarini, and Novartis; and received unrestricted research funds from GlaxoSmithKline, Teva and Novartis. PC has received consultancy fees for Almirall, Boehringer Ingelheim, Johnson &amp; Johnson, GlaxoSmithKline, Merck Sharp &amp; Dohme, AstraZeneca, Novartis, Teva, Chiesi, Sanofi, and SNCF; served on advisory boards for Almirall, Boehringer Ingelheim, Johnson &amp; Johnson, GlaxoSmithKline, AstraZeneca, Novartis, Teva, Chiesi, Schering Plough, and Sanofi; received lecture fees from Almirall, Boehringer Ingelheim, Centocor, GlaxoSmithKline, AstraZeneca, Novartis, Teva, Chiesi, Boston Scientific, and ALK; and received industry-sponsored grants from Almirall, Boston Scientific, Boehringer Ingelheim, Centocor, GlaxoSmithKline, AstraZeneca, Novartis, Teva, and Chiesi. MH reports personal fees from AstraZeneca, GlaxoSmithKline, Novartis, Roche, and Teva. DP has board membership with Aerocrine, Amgen, AstraZeneca, Boehringer Ingelheim, Chiesi, Meda, Mundipharma, Napp, Novartis, and Teva Pharmaceuticals; consultancy agreements with Almirall, Amgen, AstraZeneca, Boehringer Ingelheim, Chiesi, GlaxoSmithKline, Meda, Mundipharma, Napp, Novartis, Pfizer, Teva Pharmaceuticals, and Theravance; grants and unrestricted funding for investigator-initiated studies (done through the Observational and Pragmatic Research Institute) from Aerocrine, AKL Ltd, AstraZeneca, Boehringer Ingelheim, British Lung Foundation, Chiesi, Meda, Mundipharma, Napp, Novartis, Pfizer, Respiratory Effectiveness Group, Takeda, Teva, Theravance, UK National Health Service, and Zentiva; payment for lectures/speaking engagements from Almirall, AstraZeneca, Boehringer Ingelheim, Chiesi, Cipla, GlaxoSmithKline, Kyorin, Meda, Merck, Mundipharma, Novartis, Pfizer, Skyepharma, Takeda, and Teva; payment for manuscript preparation from Mundipharma and Teva; payment for the development of educational materials from Mundipharma and Novartis; payment for travel/accommodation/meeting expenses from Aerocrine, AstraZeneca, Boehringer Ingelheim, Mundipharma, Napp, Novartis, and Teva Pharmaceuticals; funding for patient enrolment or completion of research from Chiesi, Novartis, Teva, and Zentiva; stock or stock options from AKL Ltd which produces phytopharmaceuticals; owns 74% of the social enterprise Optimum Patient Care Ltd, UK and 74% of Observational and Pragmatic Research Institute, Singapore; and is a peer reviewer for grant committees of the Efficacy and Mechanism Evaluation programme, HTA, and Medical Research Council.</t>
  </si>
  <si>
    <t>10.1016/S2213-2600(17)30124-8</t>
  </si>
  <si>
    <t>EV9FH</t>
  </si>
  <si>
    <t>WOS:000402090600015</t>
  </si>
  <si>
    <t>Buhl, R; Humbert, M; Bjermer, L; Chanez, P; Heaney, LG; Pavord, I; Quirce, S; Virchow, JC; Holgate, S</t>
  </si>
  <si>
    <t>Buhl, Roland; Humbert, Marc; Bjermer, Leif; Chanez, Pascal; Heaney, Liam G.; Pavord, Ian; Quirce, Santiago; Virchow, Johann C.; Holgate, Stephen</t>
  </si>
  <si>
    <t>Expert Grp European Consensus Meet</t>
  </si>
  <si>
    <t>Severe eosinophilic asthma: a roadmap to consensus</t>
  </si>
  <si>
    <t>MONOCLONAL-ANTIBODY; DOUBLE-BLIND; PLACEBO; BENRALIZUMAB; MULTICENTER; MEPOLIZUMAB; PHENOTYPES; RECEPTOR; DREAM</t>
  </si>
  <si>
    <t>[Buhl, Roland] Mainz Univ Hosp, Dept Pulm Med, Mainz, Germany; [Humbert, Marc] Univ Paris Sud, Dept Resp Med, Paris, France; [Bjermer, Leif] Skane Univ Hosp, Dept Resp Med &amp; Allergol, Lund, Sweden; [Chanez, Pascal] Aix Marseille Univ, Dept Resp Med, Marseille, France; [Heaney, Liam G.] Queens Univ Belfast, Dept Resp Med, Belfast, Antrim, North Ireland; [Pavord, Ian] Univ Oxford, Nuffield Dept Med, Oxford, England; [Quirce, Santiago] La Paz Univ Hosp, Dept Allergy Med, Madrid, Spain; [Virchow, Johann C.] Univ Rostock, Dept Pulm Med, Rostock, Germany; [Holgate, Stephen] Univ Southampton, Dept Clin &amp; Expt Sci, Southampton, Hants, England</t>
  </si>
  <si>
    <t>University Hospital Mainz; Universite Paris Saclay; Lund University; Skane University Hospital; Aix-Marseille Universite; Queens University Belfast; University of Oxford; Hospital Universitario La Paz; University of Rostock; University of Southampton</t>
  </si>
  <si>
    <t>Holgate, S (corresponding author), Southampton Gen Hosp, Mail Point 810,Level F,South Block,Tremona Rd, Southampton SO16 6YD, Hants, England.</t>
  </si>
  <si>
    <t>S.Holgate@soton.ac.uk</t>
  </si>
  <si>
    <t>Bjermer, Leif/I-4899-2014; holgate, stephen/JOZ-4882-2023; s, q/AAD-7171-2020; CANONICA, GIORGIO WALTER/ABF-2037-2020; Humbert, Marc/AAC-8459-2019</t>
  </si>
  <si>
    <t>Kuna, Piotr/0000-0003-2401-0070; CANONICA, GIORGIO WALTER/0000-0001-8467-2557; Heaney, Liam/0000-0002-9176-5564; chanez, pascal/0000-0003-4059-0917; Humbert, Marc/0000-0003-0703-2892; Rabe, Klaus F./0000-0002-7020-1401; brightling, chris/0000-0002-9345-4903</t>
  </si>
  <si>
    <t>TEVA Pharmaceuticals Europe B.V.</t>
  </si>
  <si>
    <t>TEVA Pharmaceuticals Europe B.V.(Teva Pharmaceutical Industries)</t>
  </si>
  <si>
    <t>TEVA Pharmaceuticals Europe B.V. provided financial and logistical support for the European Consensus Meeting for Severe Eosinophilic Asthma (November 24, 2016; Amsterdam, The Netherlands) from which discussions this article is derived. In addition, TEVA provided administrative and medical writing support to the authors to prepare this manuscript through their appointed agency (Sciterion London Ltd, London, UK). Funding information for this article has been deposited with the Crossref Funder Registry</t>
  </si>
  <si>
    <t>10.1183/13993003.00634-2017</t>
  </si>
  <si>
    <t>EV5FV</t>
  </si>
  <si>
    <t>WOS:000401788800053</t>
  </si>
  <si>
    <t>Gabè, N; Grimminger, F; Grünig, E; Hoeper, MM; Humbert, M; Jing, ZC; Keogh, AM; Langleben, D; Rubin, LJ; Fritsch, A; Davie, N; Ghofrani, HA</t>
  </si>
  <si>
    <t>Gabe, Nazzareno; Grimminger, Friedrich; Gruenig, Ekkehard; Hoeper, Marius M.; Humbert, Marc; Jing, Zhi-Cheng; Keogh, Anne M.; Langleben, David; Rubin, Lewis J.; Fritsch, Arno; Davie, Neil; Ghofrani, Hossein-Ardeschir</t>
  </si>
  <si>
    <t>Comparison of hemodynamic parameters in treatment-naive and pre-treated patients with pulmonary arterial hypertension in the randomized phase III PATENT-1 study</t>
  </si>
  <si>
    <t>pulmonary arterial; hypertension; clinical trial; pulmonary; riociguat; soluble guanylate; cyclase stimulator</t>
  </si>
  <si>
    <t>SOLUBLE GUANYLATE-CYCLASE; LONG-TERM SURVIVAL; REGISTRY; STIMULATORS; DIAGNOSIS; RIOCIGUAT; IMATINIB; THERAPY; IMPACT</t>
  </si>
  <si>
    <t>BACKGROUND: Detailed hemodynamic data from the phase III PATENT-I study of riociguat in patients with pulmonary arterial hypertension (PAH) were investigated. METHODS: Patients with PAH who were treatment naive or pre-treated with endothelin receptor antagonists or non-intravenous prostanoids were randomly assigned to riociguat up to 2.5 mg(-3) times a day or placebo. Hemodynamic parameters were assessed at baseline and week 12. RESULTS: Riociguat significantly decreased pulmonary vascular resistance in treatment-nave (n = 221; least squares [LS] mean difference 266 dyne.sec.cm(-5) [95% confidence interval (Cl) -357 to -175; p &lt; 0.0001]) and pre-treated (n = 222; LS mean difference -186 dyne.sec.cm(-5) [95% CI -252 to -120; p &lt; 0.0001]) patients and significantly increased cardiac index (LS mean difference +0.7 [95% CI 0.5 to 0.8] and +0.5 [95% CI 0.3 to 0.7], respectively [both p &lt; 0.0001]). Mean pulmonary artery pressure (p = 0.0056 and p = 0.0019 for treatment-naive and pre-treated patients, respectively), mean arterial pressure (both p &lt; 0.0001), and systemic vascular resistance (both p &lt; 0.0001) were significantly reduced, and there was an increase in mixed venous oxygen saturation (p &lt; 0.0001 and p = 0.0004, respectively). Results were similar in patients pre-treated with endothelin receptor antagonists and patients pre-treated with non-intravenous prostanoids. Improvements in 6-minute walking distance correlated very weakly with improvements in pulmonary vascular resistance (r = -0.21 [95% CI -0.30 to -0.11; p &lt; 0.0001]) and cardiac index (r = 0.16 [95% CI 0.06 to 0.25; p &lt; 0.0016]). CONCLUSIONS: Riociguat significantly improved hemodynamic parameters in pre-treated and treatment-naive patients with PAH. (C) 2017 The Authors. Published by Elsevier Inc.</t>
  </si>
  <si>
    <t>[Gabe, Nazzareno] Bologna Univ Hosp, Dept Expt Diagnost &amp; Specialty Med DIMES, Bologna, Italy; [Grimminger, Friedrich; Ghofrani, Hossein-Ardeschir] Univ Giessen, Giessen, Germany; [Grimminger, Friedrich; Ghofrani, Hossein-Ardeschir] Marburg Lung Ctr, Giessen, Germany; [Grimminger, Friedrich; Hoeper, Marius M.; Ghofrani, Hossein-Ardeschir] German Ctr Lung Res, Giessen, Germany; [Gruenig, Ekkehard] Univ Hosp Heidelberg, Thoraxclin, Ctr Pulm Hypertens, Heidelberg, Germany; [Hoeper, Marius M.] Hannover Med Sch, Clin Resp Med, Hannover, Germany; [Humbert, Marc] Univ Paris Sud, Lab Excellence Rech Medicament &amp; Innovat Therapeu, Assistance Publ Hop Paris, Serv Pneumol,Hop Bicetre, Le Kremlin Bicetre, France; [Humbert, Marc] Inst Natl Sante &amp; Rech Med, Unite 999, Le Kremlin Bicetre, France; [Jing, Zhi-Cheng] Peking Union Med Coll, Fu Wai Hosp, State Key Lab Cardiovasc Dis, Beijing, Peoples R China; [Jing, Zhi-Cheng] Chinese Acad Med Sci, Beijing, Peoples R China; [Keogh, Anne M.] St Vincents Hosp, Heart Transplant Unit, Sydney, NSW, Australia; [Langleben, David] McGill Univ, Ctr Pulm Vasc Dis, Montreal, PQ, Canada; [Langleben, David] McGill Univ, Lady Davis Inst, Jewish Gen Hosp, Montreal, PQ, Canada; [Rubin, Lewis J.] Univ Calif San Diego, Pulm &amp; Crit Care Div, La Jolla, CA 92093 USA; [Fritsch, Arno; Davie, Neil] Bayer Pharma AG, Global Clin Dev, Wuppertal, Germany; [Ghofrani, Hossein-Ardeschir] Imperial Coll London, Dept Med, London, England</t>
  </si>
  <si>
    <t>IRCCS Azienda Ospedaliero-Universitaria di Bologna; Justus Liebig University Giessen; Ruprecht Karls University Heidelberg; Hannover Medical School; Assistance Publique Hopitaux Paris (APHP); Hopital Universitaire Bicetre - APHP; Hopital Universitaire Antoine-Beclere - APHP; Universite Paris Cite; Hopital Universitaire Saint-Louis - APHP; Universite Paris Saclay; Institut National de la Sante et de la Recherche Medicale (Inserm); Chinese Academy of Medical Sciences - Peking Union Medical College; Peking Union Medical College; Fu Wai Hospital - CAMS; Chinese Academy of Medical Sciences - Peking Union Medical College; NSW Health; St Vincents Hospital Sydney; McGill University; McGill University; Lady Davis Institute; University of California System; University of California San Diego; Bayer AG; Bayer Healthcare Pharmaceuticals; Imperial College London</t>
  </si>
  <si>
    <t>Gabè, N (corresponding author), Univ Bologna, Inst Cardiol, Via Massarenti 9, I-40138 Bologna, Italy.</t>
  </si>
  <si>
    <t>nazzareno.galie@unibo.it</t>
  </si>
  <si>
    <t>Langleben, David/AAJ-9152-2020; Rubin, Lewis/AEW-1719-2022; Hoeper, Marius/Z-1546-2019; Ghofrani, Ardeschir/AAD-5293-2020; Humbert, Marc/AAC-8459-2019; Jing, Zhi-Cheng/AAT-9081-2021</t>
  </si>
  <si>
    <t>Humbert, Marc/0000-0003-0703-2892; Jing, Zhi-Cheng/0000-0003-0493-0929; Grimminger, Friedrich/0000-0001-8725-6276; Hoeper, Marius/0000-0001-9086-2293; Ghofrani, Ardeschir/0000-0002-2029-4419</t>
  </si>
  <si>
    <t>Actelion; Pfizer; Eli Lilly and Company; GlaxoSmithKline; Novartis; Bayer; Miltenyi Biotec; United Therapeutics; Bayer HealthCare Pharmaceuticals; Aires; GeNO; Ergonex; Gilead; Merck; Bayer Pharma AG (Berlin, Germany); Bayer Pharma AG</t>
  </si>
  <si>
    <t>Actelion; Pfizer(Pfizer); Eli Lilly and Company(Eli Lilly); GlaxoSmithKline(GlaxoSmithKline); Novartis(Novartis); Bayer(Bayer AG); Miltenyi Biotec; United Therapeutics; Bayer HealthCare Pharmaceuticals(Bayer AGBayer Healthcare Pharmaceuticals); Aires; GeNO; Ergonex; Gilead(Gilead Sciences); Merck(Merck &amp; Company); Bayer Pharma AG (Berlin, Germany); Bayer Pharma AG</t>
  </si>
  <si>
    <t>N.G. reports grants, personal fees, and non-financial support from Bayer; grants and personal fees from Actelion and Pfizer; and personal fees from Eli Lilly and Company, GlaxoSmithKline, and Novartis. F.G. reports grants, personal fees, and non-financial support from Bayer and personal fees from Actelion, Eli Lilly and Company, Novartis, and Pfizer. E.G. reports grants, personal fees, and non-financial support from Bayer; grants and personal fees from Actelion, GlaxoSmithKline, Eli Lilly and Company, and Pfizer; non-financial support from Alexion Pharmaceuticals; and personal fees from Miltenyi Biotec, Novartis, and United Therapeutics. M.M.H. reports grants, personal fees, and non-financial support from Bayer HealthCare Pharmaceuticals and personal fees from Actelion, GlaxoSmithKline, Eli Lilly and Company, Novartis, and Pfizer. M.H. reports personal fees from Actelion, Bayer, GlaxoSmithKline, Novartis, Pfizer, and Aires. Z.-C.J. reports personal fees from Bayer, Actelion, Pfizer, and United Therapeutics. A.M.K. reports grants and personal fees from Bayer, Actelion, GlaxoSmithKline, and United Therapeutics. D.L. reports grants, personal fees, and non-financial support from Bayer. L.J.R. reports personal fees and non-financial support from Bayer; personal fees and stock options from GeNO; and personal and other fees from Actelion, Pfizer, United Therapeutics, Lung Biotechnology, Gilead Sciences, GlaxoSmithKline, National Heart, Lung, and Blood Institute, US Food and Drug Administration, mondoBIOTECH, Arena Pharmaceuticals, Liquidia Technologies, and Regeneron, although many of these consultancies are not currently viable. A.F. is an employee of Bayer Pharma AG. N.D. is an employee of Bayer Pharma AG. H.-A.G. reports grants from Actelion, Bayer, Ergonex, and Pfizer and personal fees from Actelion, Bayer, Ergonex, Gilead, GlaxoSmithKline, Merck, Novartis, and Pfizer. This study was funded by Bayer Pharma AG (Berlin, Germany). Editorial support was provided by Adelphi Communications Ltd (Bollington, United Kingdom), funded by Bayer Pharma AG.</t>
  </si>
  <si>
    <t>10.1016/j.healun.2016.12.012</t>
  </si>
  <si>
    <t>ET9NG</t>
  </si>
  <si>
    <t>WOS:000400633600006</t>
  </si>
  <si>
    <t>Hascoet, S; Fournier, E; Jaïs, X; Le Gloan, L; Dauphin, C; Houeijeh, A; Godart, F; Iriart, X; Richard, A; Radojevic, J; Amedro, P; Bosser, G; Souletie, N; Bernard, Y; Moceri, P; Bouvaist, H; Mauran, P; Barre, E; Basquin, A; Karsenty, C; Bonnet, D; Iserin, L; Sitbon, O; Petit, J; Fadel, E; Humbert, M; Ladouceur, M</t>
  </si>
  <si>
    <t>Hascoet, Sebastien; Fournier, Emmanuelle; Jais, Xavier; Le Gloan, Lauriane; Dauphin, Claire; Houeijeh, Ali; Godart, Francois; Iriart, Xavier; Richard, Adelaide; Radojevic, Jelena; Amedro, Pascal; Bosser, Gilles; Souletie, Nathalie; Bernard, Yvette; Moceri, Pamela; Bouvaist, Helene; Mauran, Pierre; Barre, Elise; Basquin, Adeline; Karsenty, Clement; Bonnet, Damien; Iserin, Laurence; Sitbon, Olivier; Petit, Jerome; Fadel, Elie; Humbert, Marc; Ladouceur, Magalie</t>
  </si>
  <si>
    <t>Outcome of adults with Eisenmenger syndrome treated with drugs specific to pulmonary arterial hypertension: A French multicentre study</t>
  </si>
  <si>
    <t>Eisenmenger syndrome; Drug therapy; Outcome; Pulmonary arterial hypertension; Congenital heart diseases</t>
  </si>
  <si>
    <t>CONGENITAL HEART-DISEASE; BOSENTAN THERAPY; SURVIVAL; PREDICTORS</t>
  </si>
  <si>
    <t>Background. - The relationship between pulmonary arterial hypertension-specific drug therapy (PAH-SDT) and mortality in Eisenmenger syndrome (ES) is controversial. Aims. - To investigate outcomes in patients with ES, and their relationship with PAH-SDT. Methods. - Retrospective, observational, nationwide, multicentre cohort study. Results. - We included 340 patients with ES: genetic syndrome (n =119; 35.3%); pretricuspid defect (n=75; 22.1%). Overall, 276 (81.2%) patients received PAH-SDT: monotherapy (endothelin receptor antagonist [ERA] or phosphodiesterase 5 inhibitor [PDE51]) 46.7%; dual therapy (ERA + PDE51) 40.9%; triple therapy (ERA+PDE51+prostanoid) 9.1%. Median PAH-SDT duration was 5.5 years [3.0-9.1 years]. Events (death, lung or heart-lung transplantation) occurred in 95 (27.9%) patients at a median age of 40.5 years [29.4-47.6]. The cumulative occurrence of events was 16.7% [95% confidence interval 12.8-21.6%] and 46.4% [95% confidence interval 38.2-55.4%] at age 40 and 60 years, respectively. With age at evaluation or time since PAH diagnosis as time, scales, cumulative occurrence of events was lower in patients taking one or two PAH-SDTs (P=0.0001 and P=0.004, respectively), with the largest differences in the post-tricuspid defect subgroup (P&lt; 0.001 and P&lt; 0.02, respectively) versus patients without PAH-SDT. By multivariable Cox analysis, with time since PAH diagnosis as time scale, New York Heart Association/World Health Organization functional class III/IV, lower peripheral arterial oxygen saturation and pretricuspid defect were associated with a higher risk of events (P=0.002, P=0.01 and P=0.04, respectively), and one or two PAH-SDTs with a lower risk of events (P=0.009). Conclusions. - Outcomes are poor in ES, but seem better with PAH-SDT. ES with pretricuspid defects has worse outcomes despite the delayed disease onset. (C) 2017 Elsevier Masson SAS. All rights reserved.</t>
  </si>
  <si>
    <t>[Hascoet, Sebastien; Fournier, Emmanuelle; Petit, Jerome] Hop Marie Lannelongue, Ctr Reference Malformat Cardiaques Congenitales C, Dept Congenital Heart Dis, 133 Ave Resistance, Le Plessis Robinson, France; [Hascoet, Sebastien; Fournier, Emmanuelle; Petit, Jerome] Univ Paris Saclay, Univ Paris Sud, Fac Med Paris Sud, Paris, France; [Fournier, Emmanuelle; Iriart, Xavier] CHU Bordeaux, Ctr Competence M3C, Dept Congenital Heart Dis, Bordeaux, France; [Jais, Xavier; Sitbon, Olivier] Hop Bicetre, DHU Thorax Innovat, Ctr Reference Hypertens Pulm Severe, Serv Pneumol, Le Kremlin Bicetre, France; [Jais, Xavier; Fadel, Elie; Humbert, Marc] Univ Paris Saclay, Univ Paris Sud, UMR S 999, INSERM,Hop Marie Lannelongue, Paris, France; [Le Gloan, Lauriane] CHU Nantes, Ctr Competence M3C, Dept Cardiol, Nantes, France; [Dauphin, Claire] CHU Clermont Ferrand, Dept Cardiol, Ctr Competence M3C, Clermont Ferrand, France; [Houeijeh, Ali; Godart, Francois] CHRU Lille, Dept Paediat Cardiol, Ctr Competence M3C, Lille, France; [Richard, Adelaide] Cabinet Intercard Vendome, Paediat &amp; Adult Congenital Heart Dis Ctr, Lille, France; [Radojevic, Jelena] Clin Orangerie, Fetal Paediat &amp; Congenital Cardiol, Strasbourg, France; [Amedro, Pascal] Univ Montpellier, Paediat &amp; Congenital Cardiol Dept, Reg Reference Ctr M3C, PHYMEDEXP,UMR CNRS 9214,INSERM,U1046,Univ Hosp,Ph, Montpellier, France; [Bosser, Gilles] CHRU Nancy, Dept Congenital Heart Dis &amp; Paediat Cardiol, Ctr Competence M3C, Nancy, France; [Souletie, Nathalie; Karsenty, Clement] CHU Toulouse, Dept Cardiol, Ctr Competence M3C, Toulouse, France; [Bernard, Yvette] CHU Besancon, Dept Cardiol, Ctr Competence M3C, Besancon, France; [Moceri, Pamela] CHU Nice, Dept Cardiol, Ctr Competence M3C, Nice, France; [Bouvaist, Helene] CHU Grenoble, Dept Cardiol, Ctr Competence M3C, Grenoble, France; [Mauran, Pierre] CHU Reims, Amer Mem Hosp, Dept Paediat &amp; Congenital Cardiol, Ctr Competence M3C, Reims, France; [Barre, Elise] CHU Rouen, Dept Paediat &amp; Congenital Cardiol, Ctr Competence M3C, Rouen, France; [Basquin, Adeline] CHU Rennes, Dept Cardiol, Ctr Competence M3C, Rennes, France; [Iserin, Laurence] Hop Europeen Georges Pompidou, AP HP, Dept Cardiol, Adult Congenital Heart Dis Unit,Ctr Reference M3C, Paris, France; [Karsenty, Clement; Iserin, Laurence; Ladouceur, Magalie] Paris Descartes Univ, INSERM, U970, Paris Cardiovasc Res Ctr PARCC, Paris, France; [Bonnet, Damien; Ladouceur, Magalie] Univ Paris 05, Hop Univ Necker Enfants Malad, AP HP,Sorbonne Paris Cite, Ctr Reference Malformat Cardiaques Congenitales C, Paris, France; [Fadel, Elie] Hop Marie Lannelongue, Dept Thorac Surg, Le Plessis Robinson, France; [Fadel, Elie] Univ Paris Sud, Fac Med, Univ Paris Saclay, Paris, France</t>
  </si>
  <si>
    <t>Hopital Marie Lannelongue; Universite Paris Saclay; Universite de Bordeaux; CHU Bordeaux; Assistance Publique Hopitaux Paris (APHP); Hopital Universitaire Bicetre - APHP; Hopital Universitaire Antoine-Beclere - APHP; Universite Paris Saclay; Hopital Marie Lannelongue; Institut National de la Sante et de la Recherche Medicale (Inserm); Universite Paris Saclay; Nantes Universite; CHU de Nantes; CHU Clermont Ferrand; Universite de Lille; CHU Lille; Universite de Montpellier; CHU de Montpellier; Institut National de la Sante et de la Recherche Medicale (Inserm); CHU de Nancy; CHU de Toulouse; Universite de Toulouse; Universite Toulouse III - Paul Sabatier; Universite de Franche-Comte; CHU Besancon; CHU Nice; CHU Grenoble Alpes; Communaute Universite Grenoble Alpes; Universite Grenoble Alpes (UGA); Universite de Reims Champagne-Ardenne; CHU de Reims; Universite de Rouen Normandie; CHU de Rouen; CHU Rennes; Universite de Rennes; Assistance Publique Hopitaux Paris (APHP); Universite Paris Cite; Hopital Universitaire Europeen Georges-Pompidou - APHP; Institut National de la Sante et de la Recherche Medicale (Inserm); Universite Paris Cite; Assistance Publique Hopitaux Paris (APHP); Universite Paris Cite; Hopital Universitaire Necker-Enfants Malades - APHP; Hopital Marie Lannelongue; Universite Paris Saclay</t>
  </si>
  <si>
    <t>Hascoet, S (corresponding author), Hop Marie Lannelongue, Ctr Reference Malformat Cardiaques Congenitales C, Dept Congenital Heart Dis, 133 Ave Resistance, Le Plessis Robinson, France.</t>
  </si>
  <si>
    <t>s.hascoet@ccml.fr</t>
  </si>
  <si>
    <t>Sitbon, Olivier/I-3623-2019; Fournier, Emmanuelle/AAK-2245-2021; HOUEIJEH, ali/AAP-5295-2020; Moceri, Pamela/D-3053-2014; BOSSER, Gilles/AAM-6468-2020; Karsenty, Clément/ABG-8662-2020; AMEDRO, Pascal/L-7610-2018; Humbert, Marc/AAC-8459-2019; Hascoet, Sebastien/Q-3311-2018</t>
  </si>
  <si>
    <t>AMEDRO, Pascal/0000-0003-3649-0294; LADOUCEUR, Magalie/0000-0002-4325-3521; karsenty, clement/0000-0002-3303-5854; JAIS, XAVIER/0000-0002-4104-7994; SITBON, Olivier/0000-0002-1942-1951; BOSSER, Gilles/0000-0002-2790-8604; Humbert, Marc/0000-0003-0703-2892; Bonnet, Damien/0000-0002-8722-5805; Hascoet, Sebastien/0000-0002-8695-0503</t>
  </si>
  <si>
    <t>10.1016/j.acvd.2017.01.006</t>
  </si>
  <si>
    <t>FA0OM</t>
  </si>
  <si>
    <t>WOS:000405135200005</t>
  </si>
  <si>
    <t>Montani, D; Lau, E; Descatha, A; Humbert, M</t>
  </si>
  <si>
    <t>Montani, David; Lau, Edmund; Descatha, Alexis; Humbert, Marc</t>
  </si>
  <si>
    <t>Pulmonary veno-occlusive disease as an occupational lung disease</t>
  </si>
  <si>
    <t>EXPOSURE</t>
  </si>
  <si>
    <t>[Montani, David; Humbert, Marc] Univ Paris Sud, Univ Paris Saclay, Fac Med, Le Kremlin Bicetre, France; [Montani, David; Humbert, Marc] Hop Bicetre, AP HP, Serv Pneumol, Le Kremlin Bicetre, France; [Montani, David; Humbert, Marc] Hop Marie Lannelongue, INSERM UMR S 999, Le Plessis Robinson, France; [Lau, Edmund] Univ Sydney, Sydney Med Sch, Camperdown, NSW, Australia; [Descatha, Alexis] Univ Versailles St Quentin En Yvelines, UMR S 1168, F-78180 Montigny Le Bretonneux, France; [Descatha, Alexis] UVSQ, Univ Hosp Poincare, AP HP,UMS 011, Occupat Hlth Unit,Populat Based Epidemiol Cohorts, Garches, France; [Descatha, Alexis] INSERM U1168, VIMA Aging &amp; Chron Dis, Epidemiol &amp; Publ Hlth Approaches, F-94807 Villejuif, France</t>
  </si>
  <si>
    <t>Universite Paris Saclay; Universite Paris Saclay; Assistance Publique Hopitaux Paris (APHP); Hopital Universitaire Antoine-Beclere - APHP; Hopital Universitaire Bicetre - APHP; Universite Paris Saclay; Institut National de la Sante et de la Recherche Medicale (Inserm); Hopital Marie Lannelongue; University of Sydney; Universite Paris Saclay; Universite Paris Saclay; Universite Paris Cite; Assistance Publique Hopitaux Paris (APHP); Hopital Universitaire Raymond-Poincare - APHP; Universite Paris Saclay; Institut National de la Sante et de la Recherche Medicale (Inserm)</t>
  </si>
  <si>
    <t>Montani, D (corresponding author), Univ Paris Sud, Univ Paris Saclay, Fac Med, Le Kremlin Bicetre, France.;Montani, D (corresponding author), Hop Bicetre, AP HP, Serv Pneumol, Le Kremlin Bicetre, France.;Montani, D (corresponding author), Hop Marie Lannelongue, INSERM UMR S 999, Le Plessis Robinson, France.</t>
  </si>
  <si>
    <t>E19</t>
  </si>
  <si>
    <t>10.1016/S2213-2600(17)30128-5</t>
  </si>
  <si>
    <t>WOS:000402090600004</t>
  </si>
  <si>
    <t>Savale, L; Sattler, C; Coilly, A; Conti, F; Renard, S; Francoz, C; Bouvaist, H; Feray, C; Borentain, P; Jaïs, X; Montani, D; Parent, F; O'Connell, C; Hervé, P; Humbert, M; Simonneau, G; Samuel, D; Calmus, Y; Duvoux, C; Durand, F; Duclos-Vallée, JC; Sitbon, O</t>
  </si>
  <si>
    <t>Savale, Laurent; Sattler, Caroline; Coilly, Audrey; Conti, Filomena; Renard, Sebastien; Francoz, Claire; Bouvaist, Helene; Feray, Cyrille; Borentain, Patrick; Jais, Xavier; Montani, David; Parent, Florence; O'Connell, Caroline; Herve, Philippe; Humbert, Marc; Simonneau, Gerald; Samuel, Didier; Calmus, Yvon; Duvoux, Christophe; Durand, Francois; Duclos-Vallee, Jean Charles; Sitbon, Olivier</t>
  </si>
  <si>
    <t>Long-Term Outcome in Liver Transplantation Candidates With Portopulmonary Hypertension</t>
  </si>
  <si>
    <t>HEPATOLOGY</t>
  </si>
  <si>
    <t>PULMONARY-HYPERTENSION; FOLLOW-UP; SILDENAFIL; SURVIVAL; EFFICACY; BOSENTAN; THERAPY; SAFETY; HEMODYNAMICS; EXCEPTIONS</t>
  </si>
  <si>
    <t>Portopulmonary hypertension (PoPH) is diagnosed in 2-6% of liver transplantation (LT) candidates. We studied outcomes of candidates for LT suffering from PoPH. Data were collected retrospectively from a prospective registry. Pulmonary hemodynamic variables were collected at the time of PoPH diagnosis, at last evaluation before LT, and within 6 months and beyond 6 months after LT. Forty-nine patients (35 males, 48 +/- 8 years) were analyzed (median Model for End-Stage Liver Disease score 20). At baseline, mean pulmonary artery pressure (mPAP) was 44 +/- 10 mm Hg (range 26-73 mm Hg), cardiac index was 3.5 +/- 0.9 L/min/m(2), and pulmonary vascular resistance was 5.6 +/- 2.8 Wood units. Hemodynamic reassessment performed in 35 patients who were treated with pulmonary arterial hypertension-targeted therapies before LT resulted in significant decreases in both mPAP (36 +/- 7 versus 47 6 10 mm Hg, P &lt; 0.0001) and pulmonary vascular resistance (3.0 +/- 1.4 versus 6.1 +/- 3.1 Wood units, P &lt; 0.0001). Fourteen patients (29%) died without having had access to LT. Thirty-five patients underwent LT and were followed up for a median of 38 months. Eight patients (23%) died after LT including 5 due to PoPH (after 1 day to 6 months). Among survivors (n = 27), all patients treated with intravenous epoprostenol were weaned off post-LT, and endothelin receptor antagonist or phosphodiesterase type 5 inhibitors were continued in 15/27 patients (55%). At last evaluation, 20/27 patients (74%) had mPAP &lt; 35 mm Hg and 8 of them (30%) had mPAP &lt; 25mmHg. Overall survival estimates after LT were 80%, 77%, and 77% at 6 months, 1 year, and 3 years, respectively. Conclusion: Stabilization or reversibility of PoPH seems to be an attainable goal using the combination of pulmonary arterial hypertension-targeted therapies and LT in patients who are transplantation candidates.</t>
  </si>
  <si>
    <t>[Savale, Laurent; Sattler, Caroline; Jais, Xavier; Montani, David; Parent, Florence; O'Connell, Caroline; Herve, Philippe; Humbert, Marc; Simonneau, Gerald; Sitbon, Olivier] Univ Paris Saclay, Fac Med, Univ Paris Sud, Le Kremlin Bicetre, France; [Savale, Laurent; Sattler, Caroline; Jais, Xavier; Montani, David; Parent, Florence; O'Connell, Caroline; Herve, Philippe; Humbert, Marc; Simonneau, Gerald; Sitbon, Olivier] Hop Bicetre, AP HP, Serv Pneumol, Le Kremlin Bicetre, France; [Savale, Laurent; Sattler, Caroline; Jais, Xavier; Montani, David; Parent, Florence; O'Connell, Caroline; Herve, Philippe; Humbert, Marc; Simonneau, Gerald; Sitbon, Olivier] Hop Marie Lannelongue, INSERM UMR S 999, Le Plessis Robinson, France; [Coilly, Audrey; Samuel, Didier; Duclos-Vallee, Jean Charles] Hop Paul Brousse, AP HP, Ctr Hepatobiliaire, F-94800 Villejuif, France; [Coilly, Audrey; Samuel, Didier; Duclos-Vallee, Jean Charles] Univ Paris Saclay, Univ Paris Sud, UMR S 1193, F-94800 Villejuif, France; [Coilly, Audrey; Samuel, Didier; Duclos-Vallee, Jean Charles] Univ Paris Saclay, INSERM, Unite 1193, F-94800 Villejuif, France; [Coilly, Audrey; Samuel, Didier; Duclos-Vallee, Jean Charles] DHU Hepatinov, F-94800 Villejuif, France; [Conti, Filomena; Calmus, Yvon] Hop La Pitie Salpetriere, AP HP, Serv Transplantat Hepat, Paris, France; [Renard, Sebastien] Aix Marseille Univ, Hop La Timone, Dept Cardiol, Marseille, France; [Francoz, Claire; Durand, Francois] Hop Beaujon, AP HP, Serv Transplantat Hepat, Paris, France; [Bouvaist, Helene] CHU Grenoble, Dept Cardiol, Grenoble, France; [Feray, Cyrille; Duvoux, Christophe] Hop Henri Mondor, AP HP, Serv Transplantat Hepat, Paris, France; [Borentain, Patrick] Aix Marseille Univ, Hop La Timone, Serv Hepatogastroenterol, Marseille, France</t>
  </si>
  <si>
    <t>Universite Paris Saclay; Universite Paris Saclay; Assistance Publique Hopitaux Paris (APHP); Hopital Universitaire Bicetre - APHP; Hopital Universitaire Antoine-Beclere - APHP; Universite Paris Saclay; Institut National de la Sante et de la Recherche Medicale (Inserm); Hopital Marie Lannelongue; Assistance Publique Hopitaux Paris (APHP); Hopital Universitaire Paul-Brousse - APHP; Universite Paris Saclay; Institut National de la Sante et de la Recherche Medicale (Inserm); Universite Paris Saclay; Institut National de la Sante et de la Recherche Medicale (Inserm); Assistance Publique Hopitaux Paris (APHP); Hopital Universitaire Pitie-Salpetriere - APHP; Sorbonne Universite; Aix-Marseille Universite; Assistance Publique-Hopitaux de Marseille; Assistance Publique Hopitaux Paris (APHP); Universite Paris Cite; Hopital Universitaire Beaujon - APHP; Communaute Universite Grenoble Alpes; Universite Grenoble Alpes (UGA); CHU Grenoble Alpes; Universite Paris-Est-Creteil-Val-de-Marne (UPEC); Assistance Publique Hopitaux Paris (APHP); Hopital Universitaire Henri-Mondor - APHP; Aix-Marseille Universite; Assistance Publique-Hopitaux de Marseille</t>
  </si>
  <si>
    <t>FERAY, Cyrille/T-7370-2018; Duvoux, Christophe/CAH-9481-2022; David, Montani/I-6885-2019; Savale, Laurent/AAJ-9781-2020; Simonneau, Gerald/ABE-6614-2020; Sitbon, Olivier/I-3623-2019; Humbert, Marc/AAC-8459-2019; Samuel, Didier/U-5265-2018</t>
  </si>
  <si>
    <t>Durand, Francois/0000-0002-0357-1090; JAIS, XAVIER/0000-0002-4104-7994; Humbert, Marc/0000-0003-0703-2892; Montani, David/0000-0002-9358-6922; Samuel, Didier/0000-0001-9481-3616; SITBON, Olivier/0000-0002-1942-1951; Francoz, Claire/0000-0001-7391-8507; O'Connell, Caroline/0000-0001-6776-5110</t>
  </si>
  <si>
    <t>Departement Hospitalo-Universitaire Thorax Innovation; Departement Hospitalo-Universitaire HEPATINOV; Laboratoire d'Excellence en Recherche sur le Medicament et l'Innovation Therapeutique; Projet Hospitalier de Recherche Clinique LUNGOLT</t>
  </si>
  <si>
    <t>Supported in part by the Departement Hospitalo-Universitaire Thorax Innovation, the Departement Hospitalo-Universitaire HEPATINOV, the Laboratoire d'Excellence en Recherche sur le Medicament et l'Innovation Therapeutique, and the Projet Hospitalier de Recherche Clinique LUNGOLT.</t>
  </si>
  <si>
    <t>0270-9139</t>
  </si>
  <si>
    <t>1527-3350</t>
  </si>
  <si>
    <t>Hepatology</t>
  </si>
  <si>
    <t>10.1002/hep.28990</t>
  </si>
  <si>
    <t>ES3WG</t>
  </si>
  <si>
    <t>WOS:000399459800020</t>
  </si>
  <si>
    <t>Weatherald, J; Taniguchi, Y; Humbert, M</t>
  </si>
  <si>
    <t>Weatherald, Jason; Taniguchi, Yu; Humbert, Marc</t>
  </si>
  <si>
    <t>Novelties in the Treatment of Pulmonary Hypertension</t>
  </si>
  <si>
    <t>LONG-TERM EXTENSION; ARTERIAL-HYPERTENSION; ANGIOPLASTY; RIOCIGUAT; THERAPY</t>
  </si>
  <si>
    <t>[Weatherald, Jason; Taniguchi, Yu; Humbert, Marc] Univ Paris Saclay, Univ Paris Sud, Fac Med, Le Kremlin Bicetre, France; [Weatherald, Jason; Taniguchi, Yu; Humbert, Marc] AP HP, Serv Pneumol, Le Kremlin Bicetre, France; [Weatherald, Jason; Taniguchi, Yu; Humbert, Marc] Hop Marie Lannelongue, INSERM UMR S 999, Le Plessis Robinson, France; [Weatherald, Jason] Univ Calgary, Div Respirol, Dept Med, Calgary, AB, Canada; [Taniguchi, Yu] Kobe Univ, Grad Sch Med, Dept Internal Med, Div Cardiovasc Med, Kobe, Hyogo, Japan</t>
  </si>
  <si>
    <t>Universite Paris Saclay; Assistance Publique Hopitaux Paris (APHP); Hopital Universitaire Bicetre - APHP; Universite Paris Saclay; Institut National de la Sante et de la Recherche Medicale (Inserm); Hopital Marie Lannelongue; University of Calgary; Kobe University</t>
  </si>
  <si>
    <t>Humbert, M (corresponding author), Univ Paris Saclay, Univ Paris Sud, Fac Med, Le Kremlin Bicetre, France.;Humbert, M (corresponding author), AP HP, Serv Pneumol, Le Kremlin Bicetre, France.;Humbert, M (corresponding author), Hop Marie Lannelongue, INSERM UMR S 999, Le Plessis Robinson, France.</t>
  </si>
  <si>
    <t>ERS/CTS [LTRF 2015-4780]</t>
  </si>
  <si>
    <t>ERS/CTS</t>
  </si>
  <si>
    <t>Dr. Jason Weatherald is the recipient of a joint ERS/CTS Fellowship (LTRF 2015-4780).</t>
  </si>
  <si>
    <t>ELSEVIER DOYMA SL</t>
  </si>
  <si>
    <t>TRAVESERA DE GARCIA, 17-21, BARCELONA, 08021, SPAIN</t>
  </si>
  <si>
    <t>10.1016/j.arbres.2017.01.016</t>
  </si>
  <si>
    <t>EV1HG</t>
  </si>
  <si>
    <t>WOS:000401496700004</t>
  </si>
  <si>
    <t>Eyries, M; Girerd, B; Montani, D; Coulet, F; Humbert, M; Soubrier, F</t>
  </si>
  <si>
    <t>Eyries, Melanie; Girerd, Barbara; Montani, David; Coulet, Florence; Humbert, Marc; Soubrier, Florent</t>
  </si>
  <si>
    <t>Genetic features of pulmonary hypertension: from genes to treatments</t>
  </si>
  <si>
    <t>HYPERTENSION; PULMONARY; PULMONARY VENO-OCCLUSIVE DISEASE; TELANGIECTASIA; HEREDITARY HEMORRHAGIC</t>
  </si>
  <si>
    <t>VENO-OCCLUSIVE DISEASE; ARTERIAL-HYPERTENSION; VENOOCCLUSIVE DISEASE; CAVEOLIN-1 MUTATION; CELL PROLIFERATION; NONSENSE MUTATION; ENDOTHELIAL-CELLS; APELIN EXPRESSION; BETA-RECEPTOR; BMP9</t>
  </si>
  <si>
    <t>The discovery of new susceptibility genes to pulmonary hypertension has improved our knowledge of the pathophysiology of the disease. In addition to mutations in the BMPR2 gene, that are the main mutations responsible for the heritable forms of pulmonary arterial hypertension (PAH), by their frequencies and their effects, mutations have been described in the potassium channel KCNK3 gene (TASK1), the SMAD8 gene encoding a BMP signaling molecule, and the CAV1 gene encoding caveolin-1. Mutations in the Endoglin and ACVRL1 genes are responsible for Rendu-Osler disease increasing its severity and mutations in the TBX4 gene are responsible for syndromic firms of PAH that rarely complicate the Small Patella Syndrome. Mutations of the EIF2AK4 (GCN2) gene are responsible for a rare and severe form of pulmonary hypertension, the pulmonary veno-occlusive disease also called pulmonary capillary hemangiomatosis. The analysis of the mechanisms of action and regulation of these genes and of the functional consequences of the mutations leads to the design of new treatments aiming at treating the cause of pulmonary hypertension.</t>
  </si>
  <si>
    <t>[Eyries, Melanie; Coulet, Florence; Soubrier, Florent] Hop La Pitie Salpetriere, AP HP, Dept Genet, 47 Blvd Hop, F-75013 Paris, France; [Eyries, Melanie; Soubrier, Florent] INSERM, ICAN, UMR S1166, Paris, France; [Eyries, Melanie; Soubrier, Florent] UPMC, Sorbonne Univ, Paris, France; [Girerd, Barbara; Montani, David; Humbert, Marc] Hop Bicetre, AP HP, Serv Pneumol, Ctr Reference Hypertens Pulmonaire Severe, Paris, France; [Girerd, Barbara; Montani, David; Humbert, Marc] Univ Paris Sud, Ctr Chirurg Marie Lannelongue, INSERM, UMR S 999, Paris, France</t>
  </si>
  <si>
    <t>Assistance Publique Hopitaux Paris (APHP); Hopital Universitaire Pitie-Salpetriere - APHP; Sorbonne Universite; Institut National de la Sante et de la Recherche Medicale (Inserm); Sorbonne Universite; Sorbonne Universite; Assistance Publique Hopitaux Paris (APHP); Hopital Universitaire Bicetre - APHP; Universite Paris Saclay; Institut National de la Sante et de la Recherche Medicale (Inserm); Universite Paris Saclay; Hopital Marie Lannelongue</t>
  </si>
  <si>
    <t>Soubrier, F (corresponding author), Hop La Pitie Salpetriere, AP HP, Dept Genet, 47 Blvd Hop, F-75013 Paris, France.</t>
  </si>
  <si>
    <t>florent.soubrier@aphp.fr</t>
  </si>
  <si>
    <t>David, Montani/I-6885-2019; EYRIES, melanie/ABF-1034-2020; Humbert, Marc/AAC-8459-2019</t>
  </si>
  <si>
    <t>APR-JUN</t>
  </si>
  <si>
    <t>4-6</t>
  </si>
  <si>
    <t>10.1016/S0001-4079(19)30470-4</t>
  </si>
  <si>
    <t>GI4WT</t>
  </si>
  <si>
    <t>WOS:000434372600038</t>
  </si>
  <si>
    <t>Hascoët, S; Baruteau, AE; Humbert, M; Simonneau, G; Jais, X; Petit, J; Laux, D; Sitbon, O; Lambert, V; Capderou, A</t>
  </si>
  <si>
    <t>Hascoet, Sebastien; Baruteau, Alban-Elouen; Humbert, Marc; Simonneau, Gerald; Jais, Xavier; Petit, Jerome; Laux, Daniela; Sitbon, Olivier; Lambert, Virginie; Capderou, Andre</t>
  </si>
  <si>
    <t>Long-term outcomes of pulmonary arterial hypertension under specific drug therapy in Eisenmenger syndrome</t>
  </si>
  <si>
    <t>Eisenmenger syndrome; catheterization; drug therapy; outcome; pulmonary arterial hypertension; congenital heart diseases</t>
  </si>
  <si>
    <t>OXYGEN-CONSUMPTION; CARDIAC-OUTPUT; BOSENTAN THERAPY; CATHETERIZATION; SILDENAFIL; BREATHE-5; DISEASE</t>
  </si>
  <si>
    <t>BACKGROUND: The long-term effectiveness of pulmonary arterial hypertension specific drug therapy (PAH-SDT) in Eisenmenger syndrome is controversial. We investigated short-term and long-term hemodynamic changes under PAH-SDT and their associations with outcomes in a bicentric cohort. METHODS: Over 20 years, we included 69 patients with congenital heart disease, an indexed pulmonary vascular resistance (PVRi) &gt; 8 WU . m(2), and 292 standardized catheterizations at baseline and after PAH-SDT initiation or intensification. Oxygen consumption was measured and the Fick principle applied to calculate indexed pulmonary output (Qpi) and PVRi. RESULTS: After PAH-SDT initiation or intensification, median (interquartile range) PVRi decrease was 5.1 WU . m(2) (-1.4, 12.6) (p &lt; 0.0001). Median Qpi and 6-minute walk test increases were +0.4 liter/min/m(2) (0.0, +0.9) (p &lt; 0.0001) and +49 m (+15, +93) (p = 0.0003), respectively. Hemodynamic response combining increased Qpi with decreases in transpulmonary gradient and PVRi occurred in 68.0% of patients. After a median of 4.9 years, PVRi and Qpi changes were no longer significant. Over a median of 7.2 years, 23 (33.3%) patients met a composite criterion (death, n = 8; heart-lung transplantation or listing for transplantation, n = 15). The 15-year cumulative event rate was 49.2%. By multivariate analysis, independent predictors of events were superior vena cava oxygen saturation and hemodynamic response (p = 0.048 and p &lt; 0.0001). CONCLUSIONS: In Eisenmenger syndrome, PAH-SDT induces early hemodynamic improvements, which decline over time. Hemodynamic changes under PAH-SDT vary across patients. Hemodynamic parameters at baseline and under PAH-SDT are associated with events. PAH-SDT may need to be individualized based on hemodynamic changes. (C) 2017 International Society for Heart and Lung Transplantation. All rights reserved.</t>
  </si>
  <si>
    <t>[Hascoet, Sebastien; Baruteau, Alban-Elouen; Petit, Jerome; Laux, Daniela; Lambert, Virginie] Hop Marie Lannelongue, Pole Cardiopathies Congenitales Enfant &amp; Adulte, Ctr Reference Malformat Cardiaques Congenitales C, Le Plessis Robinson, France; [Humbert, Marc; Simonneau, Gerald; Jais, Xavier; Sitbon, Olivier] Hop Bicetre, Serv Pneumol, Ctr Reference Hypertens Pulm Severe, DHU Thorax Innovat, Le Kremlin Bicetre, France; [Humbert, Marc; Simonneau, Gerald; Jais, Xavier; Sitbon, Olivier; Capderou, Andre] Univ Paris Saclay, Univ Paris Sud, Fac Med Paris Sud, Le Kremlin Bicetre, France; [Humbert, Marc; Simonneau, Gerald; Jais, Xavier; Sitbon, Olivier; Lambert, Virginie; Capderou, Andre] Univ Paris Saclay, Univ Paris Sud, Inserm UMR S 999, Hop Marie Lannelongue, Le Kremlin Bicetre, France; [Capderou, Andre] Hop Marie Lannelongue, Physiol Lab, Le Plessis Robinson, France</t>
  </si>
  <si>
    <t>Hopital Marie Lannelongue; Universite Paris Saclay; Assistance Publique Hopitaux Paris (APHP); Hopital Universitaire Antoine-Beclere - APHP; Hopital Universitaire Bicetre - APHP; Universite Paris Saclay; Hopital Marie Lannelongue; Universite Paris Saclay; Institut National de la Sante et de la Recherche Medicale (Inserm); Hopital Marie Lannelongue</t>
  </si>
  <si>
    <t>Hascoët, S (corresponding author), Hop Marie Lannelongue, 133 Ave Resistance, F-92350 Le Plessis Robinson, France.</t>
  </si>
  <si>
    <t>Sitbon, Olivier/I-3623-2019; Simonneau, Gerald/ABE-6614-2020; Baruteau, Alban-Elouen/LDF-8902-2024; Humbert, Marc/AAC-8459-2019; Hascoet, Sebastien/Q-3311-2018</t>
  </si>
  <si>
    <t>SITBON, Olivier/0000-0002-1942-1951; Baruteau, Alban-Elouen/0000-0003-2548-7858; Humbert, Marc/0000-0003-0703-2892; Laux, Daniela/0000-0002-1057-9314; JAIS, XAVIER/0000-0002-4104-7994; Hascoet, Sebastien/0000-0002-8695-0503</t>
  </si>
  <si>
    <t>Bayer; Pfizer; Actelion; GlaxoSmithKline; Sanofi</t>
  </si>
  <si>
    <t>Bayer(Bayer AG); Pfizer(Pfizer); Actelion; GlaxoSmithKline(GlaxoSmithKline); Sanofi</t>
  </si>
  <si>
    <t>M.H. has disclosed the following relevant financial relationships: direct personal payment in the form of speaker fees, honoraria, consultancy, advisory board fees, investigator, and committee member from Novartis, GlaxoSmithKline, Actelion, Bayer, and Pfizer; research funding (departmental or institutional) from Bayer, Pfizer, Actelion, GlaxoSmithKline, and Sanofi. G.S. has disclosed the following relevant financial relationships: direct personal payment in the form of speaker fees, honoraria, consultancy, advisory board fees, investigator, and committee member from Actelion, Bayer, GlaxoSmithKline, and Pfizer; research funding (personal, departmental, or institutional) from Actelion, Bayer, GlaxoSmithKline, and Pfizer. X.J. has disclosed the following relevant financial relationships: direct personal payment in the form of speaker fees, honoraria, consultancy, advisory board fees, investigator, and committee member from Actelion, Bayer, GlaxoSmithKline, and Pfizer; research funding (departmental or institutional) from Actelion, Bayer, GlaxoSmithKline, and Pfizer. O.S. has disclosed the following relevant financial relationships: direct personal payment in the form of speaker fees, honoraria, consultancy, advisory board fees, investigator, and committee member from Actelion, Bayer, GlaxoSmithKline, and Pfizer; research funding (departmental or institutional) from Actelion, Bayer, GlaxoSmithKline, and Pfizer. None of the other authors has a financial relationship with a commercial entity that has an interest in the subject of the presented manuscript or other conflicts of interest to disclose.</t>
  </si>
  <si>
    <t>10.1016/j.healun.2016.10.006</t>
  </si>
  <si>
    <t>EQ5SA</t>
  </si>
  <si>
    <t>WOS:000398141700005</t>
  </si>
  <si>
    <t>Khouri, C.; Lepelley, M.; Roustit, M.; Montastruc, F.; Humbert, M.; Cracowski, J. L.</t>
  </si>
  <si>
    <t>Comparative safety of drugs targeting the NO-sGC-cGMP pathway in pulmonary hypertension: a meta-analysis and a disproportionality analysis from Vigibase®</t>
  </si>
  <si>
    <t>[Khouri, C.; Lepelley, M.] Grenoble Univ Hosp CHU Grenoble Alpes, Pharmacovigilance, Grenoble, France; [Roustit, M.; Cracowski, J. L.] Grenoble Univ Hosp CHU Grenoble Alpes, Clin Pharmacol, INSERM, CIC1406, Grenoble, France; [Montastruc, F.] Ctr Hosp Univ Toulouse, Ctr Midi Pyrenees PharmacoVigilance Pharmacoepide, Pharmacopole Midi Pyrenees, Toulouse, France; [Humbert, M.] Univ Paris Saclay, Univ Paris Sud, Hop Bicetre, AP HP,Serv Pneumol, Le Kremlin Bicetre, France</t>
  </si>
  <si>
    <t>Communaute Universite Grenoble Alpes; Universite Grenoble Alpes (UGA); CHU Grenoble Alpes; CHU Grenoble Alpes; Communaute Universite Grenoble Alpes; Universite Grenoble Alpes (UGA); Institut National de la Sante et de la Recherche Medicale (Inserm); Universite de Toulouse; Universite Toulouse III - Paul Sabatier; CHU de Toulouse; Assistance Publique Hopitaux Paris (APHP); Hopital Universitaire Antoine-Beclere - APHP; Hopital Universitaire Bicetre - APHP; Universite Paris Saclay; Institut National de la Sante et de la Recherche Medicale (Inserm)</t>
  </si>
  <si>
    <t>, CRACOWSKI/M-6946-2014; Humbert, Marc/AAC-8459-2019</t>
  </si>
  <si>
    <t>CO - 024</t>
  </si>
  <si>
    <t>EQ4WT</t>
  </si>
  <si>
    <t>WOS:000398082700025</t>
  </si>
  <si>
    <t>Perros, F; de Man, FS; Bogaard, HJ; Antigny, F; Simonneau, G; Bonnet, S; Provencher, S; Galiè, N; Humbert, M</t>
  </si>
  <si>
    <t>Perros, Frederic; de Man, Frances S.; Bogaard, Harm J.; Antigny, Fabrice; Simonneau, Gerald; Bonnet, Sebastien; Provencher, Steeve; Galie, Nazzareno; Humbert, Marc</t>
  </si>
  <si>
    <t>Use of β-Blockers in Pulmonary Hypertension</t>
  </si>
  <si>
    <t>CIRCULATION-HEART FAILURE</t>
  </si>
  <si>
    <t>beta-blocker; heart failure; heart ventricles; hypertension, pulmonary; receptors, adrenergic; sympathetic nervous system</t>
  </si>
  <si>
    <t>CHRONIC HEART-FAILURE; POSITRON-EMISSION-TOMOGRAPHY; SYMPATHETIC-NERVOUS-SYSTEM; ARTERIAL-HYPERTENSION; EXERCISE CAPACITY; RIGHT VENTRICLE; VASCULAR-TONE; DOUBLE-BLIND; SILDENAFIL; DYSFUNCTION</t>
  </si>
  <si>
    <t>Contrasting with the major attention that left heart failure has received, right heart failure remains understudied both at the preclinical and clinical levels. However, right ventricle failure is a major predictor of outcomes in patients with precapillary pulmonary hypertension because of pulmonary arterial hypertension, and in patients with postcapillary pulmonary hypertension because of left heart disease. In pulmonary hypertension, the status of the right ventricle is one of the most important predictors of both morbidity and mortality. Paradoxically, there are currently no approved therapies targeting the right ventricle in pulmonary hypertension. By analogy with the key role of beta-blockers in the management of left heart failure, some authors have proposed to use these agents to support the right ventricle function in pulmonary hypertension. In this review, we summarize the current knowledge on the use of beta-blockers in pulmonary hypertension.</t>
  </si>
  <si>
    <t>[Perros, Frederic; Antigny, Fabrice; Simonneau, Gerald; Humbert, Marc] Univ Paris Sud, Univ Paris Saclay, Fac Med, Le Kremlin Bicetre, France; [Perros, Frederic; Antigny, Fabrice; Simonneau, Gerald; Humbert, Marc] Hop Bicetre, AP HP, Serv Pneumol, Le Kremlin Bicetre, France; [Perros, Frederic; Antigny, Fabrice; Simonneau, Gerald; Humbert, Marc] Hop Marie Lannelongue, INSERM, UMR S 999, Le Plessis Robinson, France; [de Man, Frances S.; Bogaard, Harm J.] Vrije Univ Amsterdam, Med Ctr, Dept Pulmonol, Amsterdam, Netherlands; [Bonnet, Sebastien; Provencher, Steeve] Univ Laval, Pulm Hypertens Res Grp, Ctr Rech, Inst Univ Cardiol &amp; Pneumol Quebec, Ville De Quebec, PQ, Canada; [Galie, Nazzareno] Univ Bologna, Dept Expt Diagnost &amp; Specialty Med DIMES, Bologna, Italy</t>
  </si>
  <si>
    <t>Universite Paris Saclay; Assistance Publique Hopitaux Paris (APHP); Hopital Universitaire Bicetre - APHP; Hopital Universitaire Antoine-Beclere - APHP; Universite Paris Saclay; Universite Paris Saclay; Institut National de la Sante et de la Recherche Medicale (Inserm); Hopital Marie Lannelongue; Vrije Universiteit Amsterdam; Laval University; University of Bologna</t>
  </si>
  <si>
    <t>Perros, F (corresponding author), Ctr Chirurg Marie Lannelongue, INSERM, U999, 133 Ave Resistance, F-92350 Le Plessis Robinson, France.</t>
  </si>
  <si>
    <t>Simonneau, Gerald/ABE-6614-2020; Antigny, Fabrice/Q-3999-2018; Perros, Frederic/N-6921-2017; Humbert, Marc/AAC-8459-2019</t>
  </si>
  <si>
    <t>Handoko-de Man, Frances/0000-0002-5776-7793; Antigny, Fabrice/0000-0002-9515-6571; Perros, Frederic/0000-0001-7730-2427; Humbert, Marc/0000-0003-0703-2892; Bogaard, Harm Jan/0000-0001-5371-0346</t>
  </si>
  <si>
    <t>Agence National de la Recherche [ANR-13-JSV1-0011-01]; patient association HTAP France; Netherlands Organization for Scientific Research [NWO: 916.14.099]; L'Oreal/Unesco for Women in Science; Netherlands Institute for Advanced Studies; American Thoracic Society; European Respiratory Society; Netherlands Cardio Vascular Research Initiative: the Dutch Heart Foundation, Dutch federation of University Medical Centers; Organization for Health Research, and Development; Royal Netherlands Academy of Sciences [CVON 2012-08]; Fondation du Souffle et Fonds de Dotation Recherche en Sante Respiratoire; Fondation Lefoulon-Delalande; Fondation Legs Poix; Canadian Institutes of Health Research (CIHR) [MOP 142358, MPO 137085]; Bayer PH award program; Agence Nationale de la Recherche (ANR) [ANR-13-JSV1-0011] Funding Source: Agence Nationale de la Recherche (ANR)</t>
  </si>
  <si>
    <t>Agence National de la Recherche(Agence Nationale de la Recherche (ANR)); patient association HTAP France; Netherlands Organization for Scientific Research(Netherlands Organization for Scientific Research (NWO)); L'Oreal/Unesco for Women in Science(L'Oreal Group); Netherlands Institute for Advanced Studies; American Thoracic Society; European Respiratory Society; Netherlands Cardio Vascular Research Initiative: the Dutch Heart Foundation, Dutch federation of University Medical Centers; Organization for Health Research, and Development; Royal Netherlands Academy of Sciences; Fondation du Souffle et Fonds de Dotation Recherche en Sante Respiratoire; Fondation Lefoulon-Delalande; Fondation Legs Poix; Canadian Institutes of Health Research (CIHR)(Canadian Institutes of Health Research (CIHR)); Bayer PH award program; Agence Nationale de la Recherche (ANR)(Agence Nationale de la Recherche (ANR))</t>
  </si>
  <si>
    <t>Dr Perros receives funding from Agence National de la Recherche (ANR-13-JSV1-0011-01) and patient association HTAP France. Dr de Man received a Innovational Research Incentives Scheme (VENI) grant from the Netherlands Organization for Scientific Research (NWO: 916.14.099) and is further supported by L'Oreal/Unesco for Women in Science and Netherlands Institute for Advanced Studies, the American Thoracic Society (Jerry Wojciechowski Memorial Pulmonary Hypertension Research Grant) and the European Respiratory Society. Drs de Man and Bogaard were further supported by the Netherlands Cardio Vascular Research Initiative: the Dutch Heart Foundation, Dutch federation of University Medical Centers, the Organization for Health Research, and Development and the Royal Netherlands Academy of Sciences (CVON 2012-08). Dr Antigny receives funding from the Fondation du Souffle et Fonds de Dotation Recherche en Sante Respiratoire, from the Fondation Lefoulon-Delalande and from the Fondation Legs Poix. Dr Provencher is clinician-scientist of the Fonds de Recherche en Sante du Quebec and has received research grants from the Canadian Institutes of Health Research (CIHR; MOP 142358 and MPO 137085). He also received peer-reviewed grant funding from the Bayer PH award program. Dr Bonnet holds the Canadian Research Chair of Canada in translational research in pulmonary vascular diseases and is supported by several CIHR and Heart and Stroke Foundation of Canada grants.</t>
  </si>
  <si>
    <t>1941-3289</t>
  </si>
  <si>
    <t>1941-3297</t>
  </si>
  <si>
    <t>CIRC-HEART FAIL</t>
  </si>
  <si>
    <t>Circ.-Heart Fail.</t>
  </si>
  <si>
    <t>e003703</t>
  </si>
  <si>
    <t>10.1161/CIRCHEARTFAILURE.116.003703</t>
  </si>
  <si>
    <t>FX9JT</t>
  </si>
  <si>
    <t>WOS:000426415500006</t>
  </si>
  <si>
    <t>Bonnet, S; Provencher, S; Guignabert, C; Perros, F; Boucherat, O; Schermuly, RT; Hassoun, PM; Rabinovitch, M; Nicolls, MR; Humbert, M</t>
  </si>
  <si>
    <t>Bonnet, Sebastien; Provencher, Steeve; Guignabert, Christophe; Perros, Frederic; Boucherat, Olivier; Schermuly, Ralph Theo; Hassoun, Paul M.; Rabinovitch, Marlene; Nicolls, Mark R.; Humbert, Marc</t>
  </si>
  <si>
    <t>Translating Research into Improved Patient Care in Pulmonary Arterial Hypertension</t>
  </si>
  <si>
    <t>TO-MESENCHYMAL TRANSITION; ENDOTHELIAL-CELL PROLIFERATION; FIBROBLAST GROWTH FACTOR-2; SMOOTH-MUSCLE-CELLS; QUALITY-OF-LIFE; ADVENTITIAL FIBROBLASTS; TRANSCRIPTION FACTOR; THERAPEUTIC TARGETS; TRANSGENIC MICE; DOWN-REGULATION</t>
  </si>
  <si>
    <t>[Bonnet, Sebastien; Provencher, Steeve; Boucherat, Olivier] Inst Cardiol &amp; Pneumol Quebec, Ctr Rech, Pulm Hypertens Res Grp, Quebec City, PQ, Canada; [Bonnet, Sebastien; Provencher, Steeve] Univ Laval, Dept Med, Quebec City, PQ, Canada; [Guignabert, Christophe; Perros, Frederic; Humbert, Marc] Hop Marie Lannelongue, INSERM, UMR S 999, Paris, France; [Guignabert, Christophe; Perros, Frederic; Humbert, Marc] Univ Paris Sud, Paris, France; [Guignabert, Christophe; Perros, Frederic; Humbert, Marc] Univ Paris Saclay, Paris, France; [Schermuly, Ralph Theo] Justus Liebig Univ Giessen, Univ Giessen &amp; Marburg Lung Ctr, German Ctr Lung Res, Giessen, Germany; [Hassoun, Paul M.] Johns Hopkins Univ, Dept Med, Div Pulm &amp; Crit Care Med, Baltimore, MD USA; [Rabinovitch, Marlene] Stanford Univ, Dept Pediat, Sch Med, Div Pediat Cardiol, Stanford, CA 94305 USA; [Nicolls, Mark R.] Stanford Univ, Dept Med, Sch Med, Div Pulm &amp; Crit Care Med, Stanford, CA 94305 USA; [Nicolls, Mark R.] VA Palo Alto Hlth Care Syst, Palo Alto, CA USA; [Humbert, Marc] Hop Bicetre, AP HP, Dept Hosp Univ Thorax Innovat, Serv Pneumol,Ctr Reference Hypertens Pulm Severe, Paris, France</t>
  </si>
  <si>
    <t>Laval University; Laval University Hospital; Laval University; Institut National de la Sante et de la Recherche Medicale (Inserm); Hopital Marie Lannelongue; Universite Paris Saclay; Universite Paris Saclay; Justus Liebig University Giessen; Johns Hopkins University; Stanford University; Stanford University; US Department of Veterans Affairs; Veterans Health Administration (VHA); VA Palo Alto Health Care System; Assistance Publique Hopitaux Paris (APHP); Hopital Universitaire Bicetre - APHP; Universite Paris Saclay</t>
  </si>
  <si>
    <t>Bonnet, S (corresponding author), 2725 Chemin St Foy,Off A2134, Quebec City, PQ G1V 4G5, Canada.</t>
  </si>
  <si>
    <t>sebastien.bonnet@criucpq.ulaval.ca</t>
  </si>
  <si>
    <t>Nicolls, Mark/K-6085-2019; GUIGNABERT, Christophe/G-3873-2013; Humbert, Marc/AAC-8459-2019; Perros, Frederic/N-6921-2017</t>
  </si>
  <si>
    <t>GUIGNABERT, Christophe/0000-0002-8545-4452; Schermuly, Ralph/0000-0002-5167-6970; Humbert, Marc/0000-0003-0703-2892; Perros, Frederic/0000-0001-7730-2427</t>
  </si>
  <si>
    <t>NHLBI NIH HHS [R01 HL087118, R01 HL122887, U01 HL107393, R01 HL138473, R01 HL074186] Funding Source: Medline</t>
  </si>
  <si>
    <t>10.1164/rccm.201607-1515PP</t>
  </si>
  <si>
    <t>EM5ND</t>
  </si>
  <si>
    <t>WOS:000395357400008</t>
  </si>
  <si>
    <t>Godinas, L; Lau, E; Montani, D; Jais, X; Sitbon, O; Simonneau, G; Humbert, M; Laveneziana, P; Garcia, G</t>
  </si>
  <si>
    <t>Godinas, Laurent; Lau, Edmund; Montani, David; Jais, Xavier; Sitbon, Olivier; Simonneau, Gerald; Humbert, Marc; Laveneziana, Pierantonio; Garcia, Gilles</t>
  </si>
  <si>
    <t>DEAD SPACE VENTILATION IS LINKED TO EXERCISE CAPACITY AND SURVIVAL IN DISTAL CHRONIC THROMBOEMBOLIC PULMONARY HYPERTENSION</t>
  </si>
  <si>
    <t>[Godinas, Laurent] Univ Catholique Louvain Mt Godinne, Ctr Hosp Univ, Dept Pneumol, Yvoir, Belgium; [Lau, Edmund] Royal Prince Alfred Hosp, Dept Resp Med, Camperdown, NSW 2050, Australia; [Montani, David; Jais, Xavier; Sitbon, Olivier; Simonneau, Gerald; Humbert, Marc; Laveneziana, Pierantonio; Garcia, Gilles] Hop Bicetre, AP HP, Ctr Referencedel Hypertens Pulm Severe, Dept Hosp Univ Thorax Innovat,Serv Pneumol, Lekremlin Bicetre, France</t>
  </si>
  <si>
    <t>Universite Catholique Louvain; NSW Health; Royal Prince Alfred Hospital; University of Sydney; Assistance Publique Hopitaux Paris (APHP); Hopital Universitaire Bicetre - APHP</t>
  </si>
  <si>
    <t>Sitbon, Olivier/I-3623-2019; David, Montani/I-6885-2019; Humbert, Marc/AAC-8459-2019; Laveneziana, Pierantonio/GWC-2028-2022; Godinas, Laurette/AAS-1059-2021; Simonneau, Gerald/ABE-6614-2020</t>
  </si>
  <si>
    <t>Montani, David/0000-0002-9358-6922; Godinas, Laurent/0000-0003-2214-5879</t>
  </si>
  <si>
    <t>TO-028</t>
  </si>
  <si>
    <t>EO6GU</t>
  </si>
  <si>
    <t>WOS:000396791000054</t>
  </si>
  <si>
    <t>Manga, V; Humbert, M; Djukanovic, R; Greenberg, S; Omachi, TA; Trzaskoma, B; Buhl, R</t>
  </si>
  <si>
    <t>Manga, Volkan; Humbert, Marc; Djukanovic, Ratko; Greenberg, Steve; Omachi, Theodore A.; Trzaskoma, Benjamin; Buhl, Roland</t>
  </si>
  <si>
    <t>BLOOD EOSINOPHILS AND SERUM IgE PREDICT RESPONSE TO OMALIZUMAB IN PATIENTS WITH SEVERE ALLERGIC ASTHMA: INNOVATE TRIAL POST-HOC ANALYSIS</t>
  </si>
  <si>
    <t>[Manga, Volkan] Novartis Pharma AG, Basel, Switzerland; [Humbert, Marc] Univ Paris Sud, Hosp Antoine Beclere, Clamart, France; [Djukanovic, Ratko] Univ Southampton, Southampton, Hants, England; [Greenberg, Steve] Novartis Pharmaceut, E Hanover, NJ USA; [Omachi, Theodore A.; Trzaskoma, Benjamin] Genentech Inc, San Francisco, CA 94080 USA; [Buhl, Roland] Univ Hosp Mainz, Mainz, Germany</t>
  </si>
  <si>
    <t>Novartis; Assistance Publique Hopitaux Paris (APHP); Hopital Universitaire Antoine-Beclere - APHP; Universite Paris Saclay; University of Southampton; Novartis; Novartis USA; Roche Holding; Genentech; Roche Holding USA; University Hospital Mainz</t>
  </si>
  <si>
    <t>Novartis Pharma AG; Genentech</t>
  </si>
  <si>
    <t>Novartis Pharma AG; Genentech(Roche HoldingGenentech)</t>
  </si>
  <si>
    <t>This analysis was supported by Novartis Pharma AG and Genentech.</t>
  </si>
  <si>
    <t>TO-067</t>
  </si>
  <si>
    <t>WOS:000396791000093</t>
  </si>
  <si>
    <t>Ranchoux, B; Bigorgne, A; Hautefort, A; Girerd, B; Sitbon, O; Montani, D; Humbert, M; Tcherakian, C; Perros, F</t>
  </si>
  <si>
    <t>Ranchoux, Benoit; Bigorgne, Amelie; Hautefort, Aurelie; Girerd, Barbara; Sitbon, Olivier; Montani, David; Humbert, Marc; Tcherakian, Colas; Perros, Frederic</t>
  </si>
  <si>
    <t>Gut-Lung Connection in Pulmonary Arterial Hypertension</t>
  </si>
  <si>
    <t>CHRONIC HEART-FAILURE; IMMUNE ACTIVATION; RECEPTOR; DYSFUNCTION; CYTOKINES; ENDOTOXIN; DEATH; MICE; CD14</t>
  </si>
  <si>
    <t>[Ranchoux, Benoit; Hautefort, Aurelie; Girerd, Barbara; Sitbon, Olivier; Montani, David; Humbert, Marc; Perros, Frederic] Univ Paris Sud, Le Kremlin Bicetre, France; [Ranchoux, Benoit; Hautefort, Aurelie; Girerd, Barbara; Sitbon, Olivier; Montani, David; Humbert, Marc; Perros, Frederic] Hop Bicetre, Le Kremlin Bicetre, France; [Ranchoux, Benoit; Hautefort, Aurelie; Girerd, Barbara; Sitbon, Olivier; Montani, David; Humbert, Marc] Inserm U999, Le Plessis Robinson, France; [Bigorgne, Amelie] Inserm U1163, Imagine Inst, Paris, France; [Bigorgne, Amelie] Univ Paris 05, Paris, France; [Tcherakian, Colas] Hop Foch, Suresnes, France; [Tcherakian, Colas] Univ Versailles St Quentin En Yvelines, Versailles, France</t>
  </si>
  <si>
    <t>Universite Paris Saclay; Assistance Publique Hopitaux Paris (APHP); Hopital Universitaire Bicetre - APHP; Hopital Universitaire Antoine-Beclere - APHP; Universite Paris Saclay; Universite Paris Saclay; Institut National de la Sante et de la Recherche Medicale (Inserm); Institut National de la Sante et de la Recherche Medicale (Inserm); Universite Paris Cite; Universite Paris Cite; Hospital Foch; Universite Paris Saclay</t>
  </si>
  <si>
    <t>Ranchoux, B (corresponding author), Univ Paris Sud, Le Kremlin Bicetre, France.;Ranchoux, B (corresponding author), Hop Bicetre, Le Kremlin Bicetre, France.;Ranchoux, B (corresponding author), Inserm U999, Le Plessis Robinson, France.</t>
  </si>
  <si>
    <t>David, Montani/I-6885-2019; Sitbon, Olivier/I-3623-2019; Ranchoux, Benoît/AAX-6037-2020; Tcherakian, Colas/D-8813-2016; Perros, Frederic/N-6921-2017; Humbert, Marc/AAC-8459-2019</t>
  </si>
  <si>
    <t>Perros, Frederic/0000-0001-7730-2427; Humbert, Marc/0000-0003-0703-2892; SITBON, Olivier/0000-0002-1942-1951; Montani, David/0000-0002-9358-6922</t>
  </si>
  <si>
    <t>Labe LERMIT; Region Ile de France; National Funding Agency for Research [ANR-13-JSV1-0011-01]</t>
  </si>
  <si>
    <t>Labe LERMIT; Region Ile de France(Region Ile-de-France); National Funding Agency for Research</t>
  </si>
  <si>
    <t>B.R. is supported by the Labe LERMIT. A.H. is supported by a Ph.D. grant from Region Ile de France. F.P. receives funding from the National Funding Agency for Research (Grant ANR-13-JSV1-0011-01).</t>
  </si>
  <si>
    <t>ER4YL</t>
  </si>
  <si>
    <t>WOS:000398808300017</t>
  </si>
  <si>
    <t>Bousquet, J; Farrell, J; Crooks, G; Hellings, P; Bel, EH; Bewick, M; Chavannes, NH; de Sousa, JC; Cruz, AA; Haahtela, T; Joos, G; Khaltaev, N; Malva, J; Muraro, A; Nogues, M; Palkonen, S; Pedersen, S; Robalo-Cordeiro, C; Samolinski, B; Strandberg, T; Valiulis, A; Yorgancioglu, A; Zuberbier, T; Bedbrook, A; Aberer, W; Adachi, M; Agusti, A; Akdis, CA; Akdis, M; Ankri, J; Alonso, A; Annesi-Maesano, I; Ansotegui, IJ; Anto, JM; Arnavielhe, S; Arshad, H; Bai, C; Baiardini, I; Bachert, C; Baigenzhin, AK; Barbara, C; Bateman, ED; Beghé, B; Ben Kheder, A; Bennoor, KS; Benson, M; Bergmann, KC; Bieber, T; Bindslev-Jensen, C; Bjermer, L; Blain, H; Blasi, F; Boner, AL; Bonini, M; Bonini, S; Bosnic-Anticevitch, S; Boulet, LP; Bourret, R; Bousquet, PJ; Braido, F; Briggs, AH; Brightling, CE; Brozek, J; Buhl, R; Burney, PG; Bush, A; Caballero-Fonseca, F; Caimmi, D; Calderon, MA; Calverley, PM; Camargos, PAM; Canonica, GW; Camuzat, T; Carlsen, KH; Carr, W; Carriazo, A; Casale, T; Sarabia, AMC; Chatzi, L; Chen, YZ; Chiron, R; Chkhartishvili, E; Chuchalin, AG; Chung, KF; Ciprandi, G; Cirule, I; Cox, L; Costa, DJ; Custovic, A; Dahl, R; Dahlen, SE; Darsow, U; De Carlo, G; De Blay, F; Dedeu, T; Deleanu, D; Keenoy, ED; Demoly, P; Denburg, JA; Devillier, P; Didier, A; Dinh-Xuan, AT; Djukanovic, R; Dokic, D; Douagui, H; Dray, G; Dubakiene, R; Durham, SR; Dykewicz, MS; El-Gamal, Y; Emuzyte, R; Fabbri, LM; Fletcher, M; Fiocchi, A; Wagner, AF; Fonseca, J; Fokkens, WJ; Forastiere, F; Frith, P; Gaga, M; Gamkrelidze, A; Garces, J; Garcia-Aymerich, J; Gemicioglu, B; Gereda, JE; Diaz, SG; Gotua, M; Grisle, I; Grouse, L; Gutter, Z; Guzmán, MA; Heaney, LG; Hellquist-Dahl, B; Henderson, D; Hendry, A; Heinrich, J; Heve, D; Horak, F; Hourihane, JOB; Howarth, P; Humbert, M; Hyland, ME; Illario, M; Ivancevich, JC; Jardim, JR; Jares, EJ; Jeandel, C; Jenkins, C; Johnston, SL; Jonquet, O; Julge, K; Jung, KS; Just, J; Kaidashev, I; Khaitov, MR; Kalayci, O; Kalyoncu, AF; Keil, T; Keith, PK; Klimek, L; N'Goran, BK; Kolek, V; Koppelman, GH; Kowalski, ML; Kull, I; Kuna, P; Kvedariene, V; Lambrecht, B; Lau, S; Larenas-Linnemann, D; Laune, D; Le, LTT; Lieberman, P; Lipworth, B; Li, J; Carlsen, KL; Louis, R; MacNee, W; Magard, Y; Magnan, A; Mahboub, B; Mair, A; Majer, I; Makela, MJ; Manning, P; Mara, S; Marshall, GD; Masjedi, MR; Matignon, P; Maurer, M; Mavale-Manuel, S; Melén, E; Melo-Gomes, E; Meltzer, EO; Menzies-Gow, A; Merk, H; Michel, JP; Miculinic, N; Mihaltan, F; Milenkovic, B; Mohammad, GMY; Molimard, M; Momas, I; Montilla-Santana, A; Morais-Almeida, M; Morgan, M; Mösges, R; Mullol, J; Nafti, S; Namazova-Baranova, L; Naclerio, R; Neou, A; Neffen, H; Nekam, K; Niggemann, B; Ninot, G; Nyembue, TD; O'Hehir, RE; Ohta, K; Okamoto, Y; Okubo, K; Ouedraogo, S; Paggiaro, P; Pali-Schöll, I; Panzner, P; Papadopoulos, N; Papi, A; Park, HS; Passalacqua, G; Pavord, I; Pawankar, R; Pengelly, R; Pfaar, O; Picard, R; Pigearias, B; Pin, I; Plavec, D; Poethig, D; Pohl, W; Popov, TA; Portejoie, F; Potter, P; Postma, D; Price, D; Rabe, KF; Raciborski, F; Pontal, FR; Repka-Ramirez, S; Reitamo, S; Rennard, S; Rodenas, F; Roberts, J; Roca, J; Mañas, LR; Rolland, C; Rodriguez, MR; Romano, A; Rosado-Pinto, J; Rosario, N; Rosenwasser, L; Rottem, M; Ryan, D; Sanchez-Borges, M; Scadding, GK; Schunemann, HJ; Serrano, E; Schmid-Grendelmeier, P; Schulz, H; Sheikh, A; Shields, M; Siafakas, N; Sibille, Y; Similowski, T; Simons, FER; Sisul, JC; Skrindo, I; Smit, HA; Solé, D; Sooronbaev, T; Spranger, O; Stelmach, R; Sterk, PJ; Sunyer, J; Thijs, C; To, T; Todo-Bom, A; Triggiani, M; Valenta, R; Valero, AL; Valia, E; Valovirta, E; Van Ganse, E; van Hage, M; Vandenplas, O; Vasankari, T; Vellas, B; Vestbo, J; Vezzani, G; Vichyanond, P; Viegi, G; Vogelmeier, C; Vontetsianos, T; Wagenmann, M; Wallaert, B; Walker, S; Wang, DY; Wahn, U; Wickman, M; Williams, DM; Williams, S; Wright, J; Yawn, BP; Yiallouros, PK; Yusuf, OM; Zaidi, A; Zar, HJ; Zernotti, ME; Zhang, L; Zhong, N; Zidarn, M; Mercier, J</t>
  </si>
  <si>
    <t>Bousquet, J.; Farrell, J.; Crooks, G.; Hellings, P.; Bel, E. H.; Bewick, M.; Chavannes, N. H.; de Sousa, J. Correia; Cruz, A. A.; Haahtela, T.; Joos, G.; Khaltaev, N.; Malva, J.; Muraro, A.; Nogues, M.; Palkonen, S.; Pedersen, S.; Robalo-Cordeiro, C.; Samolinski, B.; Strandberg, T.; Valiulis, A.; Yorgancioglu, A.; Zuberbier, T.; Bedbrook, A.; Aberer, W.; Adachi, M.; Agusti, A.; Akdis, C. A.; Akdis, M.; Ankri, J.; Alonso, A.; Annesi-Maesano, I.; Ansotegui, I. J.; Anto, J. M.; Arnavielhe, S.; Arshad, H.; Bai, C.; Baiardini, I.; Bachert, C.; Baigenzhin, A. K.; Barbara, C.; Bateman, E. D.; Beghe, B.; Ben Kheder, A.; Bennoor, K. S.; Benson, M.; Bergmann, K. C.; Bieber, T.; Bindslev-Jensen, C.; Bjermer, L.; Blain, H.; Blasi, F.; Boner, A. L.; Bonini, M.; Bonini, S.; Bosnic-Anticevitch, S.; Boulet, L. P.; Bourret, R.; Bousquet, P. J.; Braido, F.; Briggs, A. H.; Brightling, C. E.; Brozek, J.; Buhl, R.; Burney, P. G.; Bush, A.; Caballero-Fonseca, F.; Caimmi, D.; Calderon, M. A.; Calverley, P. M.; Camargos, P. A. M.; Canonica, G. W.; Camuzat, T.; Carlsen, K. H.; Carr, W.; Carriazo, A.; Casale, T.; Sarabia, A. M. Cepeda; Chatzi, L.; Chen, Y. Z.; Chiron, R.; Chkhartishvili, E.; Chuchalin, A. G.; Chung, K. F.; Ciprandi, G.; Cirule, I.; Cox, L.; Costa, D. J.; Custovic, A.; Dahl, R.; Dahlen, S. E.; Darsow, U.; De Carlo, G.; De Blay, F.; Dedeu, T.; Deleanu, D.; Keenoy, E. De Manuel; Demoly, P.; Denburg, J. A.; Devillier, P.; Didier, A.; Dinh-Xuan, A. T.; Djukanovic, R.; Dokic, D.; Douagui, H.; Dray, G.; Dubakiene, R.; Durham, S. R.; Dykewicz, M. S.; El-Gamal, Y.; Emuzyte, R.; Fabbri, L. M.; Fletcher, M.; Fiocchi, A.; Wagner, A. Fink; Fonseca, J.; Fokkens, W. J.; Forastiere, F.; Frith, P.; Gaga, M.; Gamkrelidze, A.; Garces, J.; Garcia-Aymerich, J.; Gemicioglu, B.; Gereda, J. E.; Diaz, S. Gonzalez; Gotua, M.; Grisle, I.; Grouse, L.; Gutter, Z.; Guzman, M. A.; Heaney, L. G.; Hellquist-Dahl, B.; Henderson, D.; Hendry, A.; Heinrich, J.; Heve, D.; Horak, F.; Hourihane, J. O'. B.; Howarth, P.; Humbert, M.; Hyland, M. E.; Illario, M.; Ivancevich, J. C.; Jardim, J. R.; Jares, E. J.; Jeandel, C.; Jenkins, C.; Johnston, S. L.; Jonquet, O.; Julge, K.; Jung, K. S.; Just, J.; Kaidashev, I.; Khaitov, M. R.; Kalayci, O.; Kalyoncu, A. F.; Keil, T.; Keith, P. K.; Klimek, L.; N'Goran, B. Koffi; Kolek, V.; Koppelman, G. H.; Kowalski, M. L.; Kull, I.; Kuna, P.; Kvedariene, V.; Lambrecht, B.; Lau, S.; Larenas-Linnemann, D.; Laune, D.; Le, L. T. T.; Lieberman, P.; Lipworth, B.; Li, J.; Carlsen, K. Lodrup; Louis, R.; MacNee, W.; Magard, Y.; Magnan, A.; Mahboub, B.; Mair, A.; Majer, I.; Makela, M. J.; Manning, P.; Mara, S.; Marshall, G. D.; Masjedi, M. R.; Matignon, P.; Maurer, M.; Mavale-Manuel, S.; Melen, E.; Melo-Gomes, E.; Meltzer, E. O.; Menzies-Gow, A.; Merk, H.; Michel, J. P.; Miculinic, N.; Mihaltan, F.; Milenkovic, B.; Mohammad, G. M. Y.; Molimard, M.; Momas, I.; Montilla-Santana, A.; Morais-Almeida, M.; Morgan, M.; Mosges, R.; Mullol, J.; Nafti, S.; Namazova-Baranova, L.; Naclerio, R.; Neou, A.; Neffen, H.; Nekam, K.; Niggemann, B.; Ninot, G.; Nyembue, T. D.; O'Hehir, R. E.; Ohta, K.; Okamoto, Y.; Okubo, K.; Ouedraogo, S.; Paggiaro, P.; Pali-Scholl, I.; Panzner, P.; Papadopoulos, N.; Papi, A.; Park, H. S.; Passalacqua, G.; Pavord, I.; Pawankar, R.; Pengelly, R.; Pfaar, O.; Picard, R.; Pigearias, B.; Pin, I.; Plavec, D.; Poethig, D.; Pohl, W.; Popov, T. A.; Portejoie, F.; Potter, P.; Postma, D.; Price, D.; Rabe, K. F.; Raciborski, F.; Pontal, F. Radier; Repka-Ramirez, S.; Reitamo, S.; Rennard, S.; Rodenas, F.; Roberts, J.; Roca, J.; Manas, L. Rodriguez; Rolland, C.; Rodriguez, M. Roman; Romano, A.; Rosado-Pinto, J.; Rosario, N.; Rosenwasser, L.; Rottem, M.; Ryan, D.; Sanchez-Borges, M.; Scadding, G. K.; Schunemann, H. J.; Serrano, E.; Schmid-Grendelmeier, P.; Schulz, H.; Sheikh, A.; Shields, M.; Siafakas, N.; Sibille, Y.; Similowski, T.; Simons, F. E. R.; Sisul, J. C.; Skrindo, I.; Smit, H. A.; Sole, D.; Sooronbaev, T.; Spranger, O.; Stelmach, R.; Sterk, P. J.; Sunyer, J.; Thijs, C.; To, T.; Todo-Bom, A.; Triggiani, M.; Valenta, R.; Valero, A. L.; Valia, E.; Valovirta, E.; Van Ganse, E.; van Hage, M.; Vandenplas, O.; Vasankari, T.; Vellas, B.; Vestbo, J.; Vezzani, G.; Vichyanond, P.; Viegi, G.; Vogelmeier, C.; Vontetsianos, T.; Wagenmann, M.; Wallaert, B.; Walker, S.; Wang, D. Y.; Wahn, U.; Wickman, M.; Williams, D. M.; Williams, S.; Wright, J.; Yawn, B. P.; Yiallouros, P. K.; Yusuf, O. M.; Zaidi, A.; Zar, H. J.; Zernotti, M. E.; Zhang, L.; Zhong, N.; Zidarn, M.; Mercier, J.</t>
  </si>
  <si>
    <t>Scaling up strategies of the chronic respiratory disease programme of the European Innovation Partnership on Active and Healthy Ageing (Action Plan B3: Area 5) (vol 6, 29, 2016)</t>
  </si>
  <si>
    <t>[Bousquet, J.] Univ Hosp, CHRU, 371 Ave Doyen Gaston Giraud, F-34295 Montpellier 5, France; [Bousquet, J.; Bedbrook, A.; Costa, D. J.; Heve, D.; Jeandel, C.; Portejoie, F.] European Innovat Partnership Act &amp; Healthy Ageing, Malad Chron VIeillissement Actif Languedoc Roussi, MACVIA LR, Montpellier, France; [Bousquet, J.] INSERM, VIMA Ageing &amp; Chron Dis, Epidemiol &amp; Publ Hlth Approaches, U1168, Paris, France; [Bousquet, J.] Univ Versailles St Quentin En Yvelines, UVSQ, UMR S 1168, Paris, France; [Farrell, J.] Dept Hlth Social Serv &amp; Publ Safety, Belfast, Antrim, North Ireland; [Crooks, G.; Henderson, D.] Scottish Ctr Telehealth &amp; Telecare, Reference Site, European Innovat Partnership Act &amp; Healthy Ageing, EIP AHA, Glasgow NHS24, Lanark, Scotland; [Hellings, P.] Katholieke Univ Leuven, Dept Microbiol &amp; Immunol, Clin Immunol Lab, Louvain, Belgium; [Hellings, P.; Muraro, A.] European Acad Allergy &amp; Clin Immunol, Zurich, Switzerland; [Bel, E. H.] Univ Amsterdam, Acad Med Ctr, Dept Resp Med, Amsterdam, Netherlands; [Bel, E. H.] European Resp Soc, Lausanne, Switzerland; [Bewick, M.] iQ4U Consultants Ltd, London, England; [Chavannes, N. H.; Costa, D. J.] Leiden Univ, Med Ctr, Dept Publ Hlth &amp; Primary Care, Leiden, Netherlands; [Chavannes, N. H.; Cruz, A. A.; Khaltaev, N.; Yorgancioglu, A.] Global Alliance Chron Resp Dis GARD, Cape Town, South Africa; [Chavannes, N. H.; Williams, S.] Int Primary Care Resp Grp, Westhill, Scotland; [de Sousa, J. Correia] Univ Minho, Sch Hlth Sci, ICVS, Life &amp; Hlth Sci Res Inst, Braga, Portugal; [Cruz, A. A.] Univ Fed Bahia, ProAR Nucleo Excelencia Asma, Salvador, BA, Brazil; [Cruz, A. A.; Chuchalin, A. G.] GARD Execut Comm, Salvador, BA, Brazil; [Haahtela, T.; Yorgancioglu, A.] EIP AHA Commitment Act, Lisbon, Portugal; [Haahtela, T.; Makela, M. J.; Reitamo, S.] Helsinki Univ Hosp, Skin &amp; Allergy Hosp, Helsinki, Finland; [Joos, G.] Ghent Univ Hosp, Dept Resp Med, Ghent, Belgium; [Malva, J.] Univ Coimbra, Fac Med, Coimbra, Portugal; [Malva, J.] Ageing Coimbra Reference Site, Coimbra, Portugal; [Muraro, A.] Padua Gen Univ Hosp, Dept Women &amp; Child Hlth, Food Allergy Referral Ctr Veneto Reg, Padua, Italy; [Nogues, M.] CARSAT LR, F-34000 Montpellier, France; [Palkonen, S.; De Carlo, G.] EFA European Federat Allergy &amp; Airways Dis Patien, Brussels, Belgium; [Pedersen, S.] Univ Southern Denmark, Kolding, Denmark; [Robalo-Cordeiro, C.] Coimbra Univ Hosp, Ctr Pneumol, Coimbra, Portugal; [Samolinski, B.; Raciborski, F.] Med Univ Warsaw, Dept Prevent Environm Hazards &amp; Allergol, Warsaw, Poland; [Strandberg, T.] Univ Helsinki, Helsinki Univ Hosp, Helsinki, Finland; [Strandberg, T.] Univ Oulu, Ctr Life Course Hlth Res, Oulu, Finland; [Michel, J. P.] EUGMS, Oslo, Norway; [Valiulis, A.] Vilnius Univ, Inst Publ Hlth, Vilnius Univ Clin Childrens Dis, Ctr Qual Life Res, Vilnius, Lithuania; [Valiulis, A.] UEMS SP, EAP, Brussels, Belgium; [Yorgancioglu, A.; Ankri, J.] Celal Bayar Univ, Dept Pulmonol, Manisa, Turkey; [Yorgancioglu, A.] Turkish Thorac Soc, Antalya, Turkey; [Zuberbier, T.; Bergmann, K. C.; Neou, A.] Charite, Allergy Ctr Charite, Berlin, Germany; [Zuberbier, T.; Bergmann, K. C.; Neou, A.] Charite, Dept Dermatol, Berlin, Germany; [Zuberbier, T.; Bergmann, K. C.] GA2LEN, Berlin, Germany; [Aberer, W.] Med Univ Graz, Dept Dermatol, Graz, Austria; [Adachi, M.] Int Univ Hlth &amp; Welf, Sanno Hosp, Dept Clin Res Ctr, Tokyo, Japan; [Agusti, A.; Alonso, A.; Roca, J.] Univ Barcelona, IDIBAPS, Hosp Clin, Thorax Inst, Barcelona, Spain; [Agusti, A.; Alonso, A.] CIBER Enfermedades Resp, Barcelona, Spain; [Akdis, C. A.; Akdis, M.] Univ Zurich, Swiss Inst Allergy &amp; Asthma Res SIAF, Davos, Switzerland; [Annesi-Maesano, I.; Bousquet, P. J.; Demoly, P.] INSERM, EPAR, U707, Paris, France; [Ansotegui, I. J.] Hosp Quiron Bizkaia, Dept Allergy &amp; Immunol, Erandio, Spain; [Anto, J. M.; Garcia-Aymerich, J.; Sunyer, J.] Ctr Res Environm Epidemiol CREAL, Barcelona, Spain; [Anto, J. M.; Garcia-Aymerich, J.; Sunyer, J.] Hosp del Mar, Res Inst IMIM, Barcelona, Spain; [Anto, J. M.; Garcia-Aymerich, J.; Sunyer, J.] CIBERESP, Barcelona, Spain; [Anto, J. M.; Garcia-Aymerich, J.; Sunyer, J.] Univ Pompeu Fabra, Dept Expt &amp; Hlth Sci, Barcelona, Spain; [Arnavielhe, S.; Laune, D.] Digi Hlth, Montpellier, France; [Arshad, H.] David Hide Asthma &amp; Allergy Res Ctr, Newport, Wight, England; [Bai, C.] Chinese Med Assoc, Shanghai Resp Res Inst, Resp Soc, Shanghai, Peoples R China; [Bai, C.] Chinese Alliance Lung Canc, Shanghai, Peoples R China; [Baiardini, I.; Braido, F.; Canonica, G. W.; Passalacqua, G.] Univ Genoa, IRCCS AOU San Martino IST, DIMI, Allergy &amp; Resp Dis Clin, Genoa, Italy; [Bachert, C.] Ghent Univ Hosp, ENT Dept, Upper Airways Res Lab, Ghent, Belgium; [Baigenzhin, A. K.] EuroAsian Resp Soc, Astana City, Kazakhstan; [Barbara, C.] Fac Med Lisbon, Portuguese Natl Programme Resp Dis PNDR, Lisbon, Portugal; [Bateman, E. D.] Univ Cape Town, Dept Med, Cape Town, South Africa; [Beghe, B.] Univ Modena &amp; Reggio Emilia, Dept Oncol Haematol &amp; Resp Dis, Sect Resp Dis, Modena, Italy; [Ben Kheder, A.] Hop Abderrahman Mami, Serv Pneumol 4, Tunis 2080, Tunisia; [Bennoor, K. S.] Natl Inst Dis Chest &amp; Hosp, Dept Resp Med, Dhaka, Bangladesh; [Benson, M.] Linkoping Univ, Fac Med, Dept Pediat, Ctr Individualized Med, Linkoping, Sweden; [Bieber, T.] Rhein Friedrich Wilhelms Univ Bonn, Dept Dermatol &amp; Allergy, Bonn, Germany; [Bindslev-Jensen, C.; Dahl, R.] Odense Univ Hosp, Dept Dermatol, Odense, Denmark; [Bindslev-Jensen, C.; Dahl, R.] Odense Univ Hosp, Allergy Ctr, Odense, Denmark; [Bjermer, L.] Univ Hosp, Dept Resp Med &amp; Allergol, Lund, Sweden; [Blain, H.; Jeandel, C.] Montpellier Univ Hosp, Dept Geriatr, Montpellier, France; [Blain, H.] Univ Montpellier, Euromov, EA 2991, Montpellier, France; [Blasi, F.] Univ Milan, IRCCS Fdn CaGranda Osped Maggiore Policlin, Dept Pathophysiol &amp; Transplantat, Via F Sforza 35, Milan, Italy; [Boner, A. L.] Univ Verona Hosp, Dept Pediat, Verona, Italy; [Bonini, M.] Sapienza Univ Rome, Dept Publ Hlth &amp; Infect Dis, Rome, Italy; [Bonini, S.] Univ Naples 2, Naples, Italy; [Bonini, S.] Italian Natl Res Council, Inst Translat Med, Naples, Italy; [Bosnic-Anticevitch, S.] Univ Sydney, Woolcock Inst Med Res, Glebe, NSW, Australia; [Bosnic-Anticevitch, S.] Sydney Local Hlth Dist, Glebe, NSW, Australia; [Boulet, L. P.] Univ Laval, Quebec Heart &amp; Lung Inst, Quebec City, PQ, Canada; [Bourret, R.] Montpellier Univ Hosp, Montpellier, France; [Briggs, A. H.] Univ Glasgow, Inst Hlth &amp; Wellbeing, Hlth Econ &amp; Hlth Technol Assessment, Glasgow, Lanark, Scotland; [Brightling, C. E.] Univ Hosp Leicester NHS Trust, Inst Lung Hlth, Resp Biomed Unit, Leicester, Leics, England; [Brightling, C. E.] Univ Leicester, Dept Infect Immun &amp; Inflammat, Leicester, Leics, England; [Brozek, J.; Schunemann, H. J.] McMaster Univ, Dept Clin Epidemiol &amp; Biostat, HSC Room 2C16,1280 Main St West Hamilton, Hamilton, ON, Canada; [Buhl, R.] Johannes Gutenberg Univ Mainz, Univ Med Zin, Mainz, Germany; [Burney, P. G.] Imperial Coll, Natl Heart &amp; Lung Inst, London, England; [Burney, P. G.] Imperial Coll, Wellcome Ctr Global Hlth, London, England; Imperial Coll, MRC PHE Ctr Environm &amp; Hlth, London, England; [Bush, A.] Imperial Coll, London, England; [Bush, A.] Royal Brompton Hosp, London, England; [Caballero-Fonseca, F.] Ctr Med Docente Trinidad, Caracas, Venezuela; [Caimmi, D.; Chiron, R.; Demoly, P.] Montpellier Univ Hosp, Dept Resp Dis, Montpellier, France; [Calderon, M. A.] Royal Brompton Hosp NHS, Imperial Coll London, Natl Heart &amp; Lung Inst, London, England; [Calverley, P. M.] Univ Liverpool, Inst Ageing &amp; Chron Dis, Liverpool, Merseyside, England; [Calverley, P. M.] Aintree Univ Hosp NHS Fdn Trust, Liverpool, Merseyside, England; [Camargos, P. A. M.] Univ Fed Minas Gerais, Sch Med, Dept Pediat, Belo Horizonte, MG, Brazil; [Camuzat, T.] Reg Languedoc Roussillon, Montpellier, France; [Carlsen, K. H.] Oslo Univ Hosp, Dept Paediat, Oslo, Norway; [Carlsen, K. H.] Univ Oslo, Oslo, Norway; [Carr, W.] Allergy &amp; Asthma Associates Southern Calif, Mission Viejo, CA USA; [Carriazo, A.] Reg Minist Equal Hlth &amp; Social Policies Andalusia, Seville, Spain; [Casale, T.] Univ S Florida, Div Allergy Immunol, Tampa, FL USA; [Sarabia, A. M. Cepeda] Univ Simon Bolivar, Metropolitan Univ, Allergy &amp; Immunol Lab, Barranquilla, Colombia; [Sarabia, A. M. Cepeda] Soc Latinoamer Allergia, Asma &amp; Immunol, SLaai, Barranquilla, Colombia; [Chatzi, L.] Univ Crete, Fac Med, Dept Social Med, POB 2208, Iraklion 71003, Crete, Greece; [Chen, Y. Z.] Peking, Capital Inst Pediat, Asthma Clin &amp; Educ Ctr, Natl Cooperat Grp Paediat Res Asthma, Beijing, Peoples R China; [Chen, Y. Z.] Ctr Asthma Res &amp; Educ, Beijing, Peoples R China; [Chkhartishvili, E.] Grigol Robakidze Univ, David Tvildiani Med Univ AIETI Med Sch, Chachava Clin, Tbilisi, Georgia; [Chuchalin, A. G.] Pulmonolory Res Inst FMBA, Moscow, Russia; [Chung, K. F.] Imperial Coll, Natl Heart &amp; Lung Inst, London, England; [Ciprandi, G.] IRCCS Azienda Osped Univ San Martino, Dept Med, Genoa, Italy; [Cirule, I.] Latvian Allergy Assoc, Riga, Latvia; [Cox, L.] Nova Southeastern Univ, Dept Med, Davie, FL USA; [Custovic, A.] Imperial Coll London, Dept Paediat, London, England; [Dahlen, S. E.] Karolinska Inst, Inst Environm Med, Ctr Allergy Res, Stockholm, Sweden; [Darsow, U.] Tech Univ Munich, Dept Dermatol &amp; Allergy, Munich, Germany; [Darsow, U.] Tech Univ Munich, Helmholtz Ctr Munich, ZAUM Ctr Allergy &amp; Environm, Munich, Germany; [De Blay, F.] Univ Hosp Strasbourg, Chest Dis Dept, Div Allergy, Strasbourg, France; [Dedeu, T.] European Reg &amp; Local Hlth Assoc, EUREGHA, Brussels, Belgium; [Dedeu, T.] Univ Edinburgh, Edinburgh, Midlothian, Scotland; [Deleanu, D.] Iuliu Hatieganu Univ Med &amp; Pharm, Allergol &amp; Immunol Discipline, Cluj Napoca, Romania; [Keenoy, E. De Manuel] Kronikgune, Bilbao, Spain; [Denburg, J. A.] McMaster Univ, Div Clin Immunol &amp; Allergy, Dept Med, Hamilton, ON, Canada; [Devillier, P.] Suresnes Univ Versailles Saint Quentin, Hop Foch, UPRES EA220, Lab Pharmacol Resp, Suresnes, France; [Didier, A.] Rangueil Larrey Hosp, Dept Resp Dis, Toulouse, France; [Dinh-Xuan, A. T.] Univ Paris 05, Hop Cochin, AP HP, Serv Physiol Resp, Paris, France; [Djukanovic, R.] Univ Southampton, Fac Med, NIHR Southampton Resp Biomed Res Unit, Southampton, Hants, England; [Dokic, D.] Univ Clin Pulmonol &amp; Allergy, Med Fac Skopje, Skopje, Macedonia; [Douagui, H.] Ctr Hosp Univ Beni Messous, Serv Pneumoallergol, Algiers, Algeria; [Dray, G.] Ecole Mines, Ales, France; [Dubakiene, R.] Vilnius Univ, Fac Med, Vilnius, Lithuania; [Durham, S. R.] Imperial Coll London, Natl Heart &amp; Lung Inst, Allergy &amp; Clin Immunol Sect, London, England; [Dykewicz, M. S.] St Louis Univ, Sch Med, Sect Allergy &amp; Immunol, St Louis, MO USA; [El-Gamal, Y.] Ain Shams Univ, Pediat Allergy &amp; Immunol Unit, Cairo, Egypt; [Emuzyte, R.] Vilnius Univ, Fac Med, Clin Childrens Dis, Vilnius, Lithuania; [Fabbri, L. M.] Univ Modena, Modena, Italy; [Fletcher, M.] Educ Hlth, Warwick, England; [Fiocchi, A.] Bambino Gesu Childrens Res Hosp Holy See, Dept Pediat Med, Div Allergy, Rome, Italy; [Wagner, A. Fink; Spranger, O.] GAAPP, Altgasse 8-10, A-1130 Vienna, Austria; [Fonseca, J.] Univ Porto, Fac Med, Ctr Hlth Technol &amp; Serv Res CINTESIS, Porto, Portugal; [Fonseca, J.] CUF Porto Inst &amp; Hosp, Allergy Unit, Porto, Portugal; [Fokkens, W. J.] Acad Med Ctr, Dept Otorhinolaryngol, Amsterdam, Netherlands; [Forastiere, F.] Reg Hlth Serv Lazio Reg, Dept Epidemiol, Rome, Italy; [Frith, P.] Repatriat Gen Hosp, Adelaide, SA, Australia; [Gaga, M.] Athens Chest Hosp, Athens, Greece; [Gamkrelidze, A.] Natl Ctr Dis Control &amp; Publ Hlth Georgia, Tbilisi, Georgia; [Garces, J.; Rodenas, F.; Valia, E.] Univ Valencia, Polibienestar Res Inst, Valencia, Spain; [Gemicioglu, B.] Istanbul Univ, Cerrahpasa Fac Med, Dept Pulm Dis, Istanbul, Turkey; [Gereda, J. E.] Clin Ricardo Palma, Allergy &amp; Immunol Div, Lima, Peru; [Diaz, S. Gonzalez] Univ Autonoma Nuevo Leon, San Nicolas De La Garza, Mexico; [Gotua, M.] Georgian Assoc Allergol &amp; Clin Immunol, Ctr Allergy &amp; Immunol, Tbilisi, Georgia; [Grisle, I.] Latvian Assoc Allergists, Ctr TB &amp; Lung Dis, Riga, Latvia; [Grouse, L.] Washington Univ, Sch Med, Dept Neurol, St Louis, MO 63110 USA; [Gutter, Z.] Univ Hosp Olomouc, Natl eHlth Ctr, Olomouc, Czech Republic; [Guzman, M. A.] Univ Chile, Clin Hosp, Immunol &amp; Allergy Div, Santiago, Chile; [Heaney, L. G.] Queens Univ Belfast, Sch Med Dent &amp; Biomed Sci, Ctr Infect &amp; Immun, Belfast, Antrim, North Ireland; [Hellquist-Dahl, B.] Odense Univ Hosp, Dept Resp Dis, Odense, Denmark; [Hendry, A.] NHS Scotland, Edinburgh, Midlothian, Scotland; [Heinrich, J.] Helmholtz Zentrum Munchen, German Res Ctr Environm Hlth, Inst Epidemiol 1, Neuherberg, Germany; [Heve, D.] Agence Reg Sante, F-34067 Montpellier 2, France; [Horak, F.] Vienna Challenge Chamber, Vienna, Austria; [Hourihane, J. O'. B.] Univ Coll Cork, Dept Paediat &amp; Child Hlth, Cork, Ireland; [Howarth, P.] Univ Southampton, Southampton Univ Hosp, Fac Med, Southampton, Hants, England; [Humbert, M.] Univ Paris 11, INSERM, UMR S999, Hop Bicetre,Serv Pneumol, Le Kremlin Bicetre, France; [Hyland, M. E.] Univ Plymouth, Sch Psychol, Plymouth, Devon, England; [Illario, M.] Federico II Univ Hosp Campania RS, Naples, Italy; [Ivancevich, J. C.] Clin Santa Isabel, Serv Alergia &amp; Immunol, Buenos Aires, DF, Argentina; [Jardim, J. R.] Univ Fed Sao Paulo, Sao Paulo, Brazil; [Jares, E. J.] Libra Fdn, Buenos Aires, DF, Argentina; [Jenkins, C.] Univ Sydney, George Inst Global Hlth, Camperdown, NSW, Australia; [Johnston, S. L.] Imperial Coll, Natl Heart &amp; Lung Inst, Airway Dis Infect Sect, London, England; [Johnston, S. L.] MRC &amp; Asthma UK Ctr Allerg Mech Asthma, London, England; [Jonquet, O.] Montpellier Univ Hosp, Med Commiss, Montpellier, France; [Julge, K.] Tartu Univ Hosp, Childrens Clin, Tartu, Estonia; [Jung, K. S.] Hallym Univ, Sacred Heart Hosp, Coll Med, Chunchon, Gyeonggi Do, South Korea; [Just, J.] Hop Enfants Armand Trousseau, AP HP, Ctr Asthme &amp; Allergies, Dept Allergol, Paris, France; [Just, J.] Sorbonne Univ, UPMC Univ Paris 06, UMR S 1136, Inst Pierre Louis Epidemiol &amp; Sante Publ,Equipe E, F-75013 Paris, France; [Kaidashev, I.] Ukrainian Med Stomatol Acad, Poltava, Ukraine; [Khaitov, M. R.] Fed Medicobiol Agcy, Lab Mol Immunol, Inst Immunol, Natl Res Ctr, Moscow, Russia; [Kalayci, O.] Hacettepe Univ, Sch Med, Pediat Allergy &amp; Asthma Unit, Ankara, Turkey; [Kalyoncu, A. F.] Hacettepe Univ, Sch Med, Dept Chest Dis, Immunol &amp; Allergy Div, Ankara, Turkey; [Keil, T.] Charite, Inst Social Med Epidemiol &amp; Hlth Econ, Berlin, Germany; [Keil, T.] Univ Wurzburg, Inst Clin Epidemiol &amp; Biometry, Wurzburg, Germany; [Keith, P. K.] McMaster Univ, Hlth Sci Ctr 3V47, Dept Med, 1280 Main St West, Hamilton, ON, Canada; [Klimek, L.] Ctr Rhinol &amp; Allergol, Wiesbaden, Germany; [N'Goran, B. Koffi; Pigearias, B.] Soc Pneumol Langue Francaise, Espace Francophone Pneumol, Paris, France; [Kolek, V.] Univ Hosp Olomouc, Fac Med &amp; Dent, Dept Resp Med, Olomouc, Czech Republic; [Koppelman, G. H.] Univ Groningen, Univ Med Ctr Groningen, Beatrix Childrens Hosp, GRIACRes Inst,Dept Pediat Pulmonol &amp; Pediat Aller, Groningen, Netherlands; [Kowalski, M. L.] Med Univ Lodz, Dept Immunol Rheumatol &amp; Allergy, Lodz, Poland; [Kowalski, M. L.] HARC, Lodz, Poland; [Kull, I.; Mullol, J.] Sachs Childrens Hosp, Stockholm, Sweden; [Kull, I.; Mullol, J.] Karolinska Inst, Inst Environm Med, Stockholm, Sweden; [Kuna, P.] Med Univ Lodz, Barlicki Univ Hosp, Div Internal Med Asthma &amp; Allergy, Lodz, Poland; [Kvedariene, V.] Vilnius Univ, Clin Infect Chest Dis Dermatol &amp; Allergol, Vilnius, Lithuania; [Lambrecht, B.] Univ Ghent, VIB Inflammat Res Ctr, Ghent, Belgium; [Lau, S.] Charite, Dept Pediat Pneumol &amp; Immunol, Berlin, Germany; [Larenas-Linnemann, D.] Hosp Med Sur, Clin Alergia Asma &amp; Pediat, Mexico City, DF, Mexico; [Le, L. T. T.] Univ Med &amp; Pharm, Hochiminh City, Vietnam; [Lieberman, P.] Univ Tennessee, Coll Med, Dept Internal Med, Div Allergy, Germantown, TN USA; [Lieberman, P.] Univ Tennessee, Coll Med, Dept Internal Med, Div Immunol, Germantown, TN USA; [Lieberman, P.] Univ Tennessee, Coll Med, Dept Pediat, Div Allergy, Germantown, TN USA; [Lieberman, P.] Univ Tennessee, Coll Med, Dept Pediat, Div Immunol, Germantown, TN USA; [Lipworth, B.] Univ Dundee, Ninewells Hosp, Med Res Inst, Scottish Ctr Resp Res Cardiovasc &amp; Diabet Med, Dundee, Scotland; [Li, J.; Zhong, N.] Guangzhou Med Univ, Affiliated Hosp 1, Guangzhou Inst Resp Dis, State Key Lab Resp Dis, Guangzhou 510120, Guangdong, Peoples R China; [Carlsen, K. Lodrup; Skrindo, I.] Oslo Univ Hosp, Dept Paediat, Oslo, Norway; [Carlsen, K. Lodrup; Skrindo, I.] Univ Oslo, Inst Clin Med, Fac Med, Oslo, Norway; [Louis, R.] CHU Sart Tilman, Dept Pulm Med, Liege, Belgium; [MacNee, W.] Univ Edinburgh, Queens Med Res Inst, Edinburgh, Midlothian, Scotland; [Magard, Y.] Hop St Joseph, Serv Pneumoallergol, Paris, France; [Magnan, A.] Univ Nantes, Inst Thorax, UMR1087, Serv Pneumol,UMR INSERM, Nantes, France; [Magnan, A.] Univ Nantes, Inst Thorax, CNR 6291, Nantes, France; [Mahboub, B.] Rashid Hosp, Dept Pulm Med, Dubai, U Arab Emirates; [Mair, A.] Scottish Govt Hlth Dept eHlth &amp; Pharmaceut, Edinburgh, Midlothian, Scotland; [Majer, I.] Univ Bratislava, Dept Resp Med, Bratislava, Slovakia; [Manning, P.] Bon Secours Hosp, Dept Med RCSI, Dublin, Ireland; [Mara, S.] AOU Citta Salute &amp; Sci Torino, Cardiovasc &amp; Thorac Dept, Turin, Italy; [Marshall, G. D.] Univ Mississippi, Med Ctr, Lab Behav Immunol Res, Div Clin Immunol &amp; Allergy, Jackson, MS 39216 USA; [Masjedi, M. R.] Shahid Beheshti Univ Med Sci, Resp Med Res, Tehran, Iran; [Matignon, P.] VingCard Elsafe, Moss, Norway; [Maurer, M.] Charite, Dept Dermatol &amp; Allergy, Allergie Ctr Charite, Berlin, Germany; [Mavale-Manuel, S.] Maputo Cent Hosp, Dept Paediat, Maputo, Mozambique; [Melen, E.; Wickman, M.] Karolinska Inst, Inst Environm Med, Stockholm, Sweden; [Melo-Gomes, E.] PNDR Portuguese Natl Programme Resp Dis, Lisbon, Portugal; [Meltzer, E. O.] Allergy &amp; Asthma Med Grp &amp; Res Ctr, San Diego, CA USA; [Menzies-Gow, A.] Royal Brompton Hosp, London, England; [Merk, H.] Rhein Westfal TH Aachen, Univ Klinikum, Klin Dermatol &amp; Allergol, Hautklin, Aachen, Germany; [Miculinic, N.] Croatian Pulm Soc, Zagreb, Croatia; [Mihaltan, F.] Natl Inst Pneumol M Nasta, Bucharest, Romania; [Milenkovic, B.] Univ Belgrade, Fac Med, Belgrade, Serbia; [Milenkovic, B.] Serbian Assoc Asthma, Belgrade, Serbia; [Milenkovic, B.] COPD, Belgrade, Serbia; [Mohammad, G. M. Y.] Tishreen Univ, Sch Med, Natl Ctr Res Chron Resp Dis, Latakia, Syria; [Molimard, M.] Univ Bordeaux, CHU Bordeaux, Dept Pharmacol, INSERM,U657, Bordeaux, France; [Momas, I.] Paris Descartes Univ, Dept Publ Hlth &amp; Biostat, EA 4064, Paris, France; [Momas, I.] Paris Municipal Dept Social Act Childhood &amp; Hlth, Paris, France; [Montilla-Santana, A.] Aura Andalucia, Andalucia, Spain; [Morais-Almeida, M.] Hosp CUF Descobertas, Allergy &amp; Clin Immunol Dept, Lisbon, Portugal; [Morgan, M.] NHS England, Natl Clin Director Resp Serv, Leeds, W Yorkshire, England; [Mosges, R.] Univ Cologne, Fac Med, Inst Med Stat Informat &amp; Epidemiol, Cologne, Germany; [Mullol, J.] Hosp Clin Barcelona, Clin &amp; Expt Resp Immunoallergy, IDIBAPS, Serv dORL,Unitat Rinol &amp; Clin Olfacte, Barcelona, Spain; [Nafti, S.] Mustapha Hosp, Algiers, Algeria; [Namazova-Baranova, L.] Russian Acad Med Sci, Sci Ctr Childrens Hlth, Moscow, Russia; [Naclerio, R.] Univ Chicago, Med Ctr, Sect Otolaryngol Head &amp; Neck Surg, Chicago, IL 60637 USA; [Naclerio, R.] Univ Chicago, Pritzker Sch Med, Chicago, IL 60637 USA; [Neffen, H.] Hosp Ninos Orlando Alassia, Santa Fe, Santa Fe, Argentina; [Nekam, K.] Hosp Hospitaller Bros Buda, Budapest, Hungary; [Niggemann, B.; Wahn, U.] Charite, Pediat Pneumol &amp; Immunol, Berlin, Germany; [Ninot, G.] Univ Montpellier I, Epsylon EA4556, Montpellier, France; [Nyembue, T. D.] Univ Hosp Kinshasa, ENT Dept, Kinshasa, DEM REP CONGO; [O'Hehir, R. E.] Alfred Hosp, Dept Allergy Immunol &amp; Resp Med, Melbourne, Vic, Australia; [O'Hehir, R. E.] Monash Univ, Cent Clin Sch, Melbourne, Vic, Australia; [O'Hehir, R. E.] Monash Univ, Dept Immunol, Melbourne, Vic, Australia; [Ohta, K.] Tokyo Natl Hosp, Natl Hosp Org, Tokyo, Japan; [Okamoto, Y.] Chiba Univ Hosp, Dept Otorhinolaryngol, Chiba, Japan; [Okubo, K.] Nippon Med Sch, Dept Otolaryngol, Tokyo, Japan; [Ouedraogo, S.] Ctr Hosp Univ Pediat Charles de Gaulle, Ouagadougou, Burkina Faso; [Paggiaro, P.] Univ Hosp Pisa, Cardiothorac &amp; Vasc Dept, Pisa, Italy; [Pali-Scholl, I.] Univ Vet Med, Res Inst, Messerli, Dept Comparat Med, Vienna, Austria; [Pali-Scholl, I.] Med Univ, Vienna, Austria; [Panzner, P.] Charles Univ Prague, Fac Med, Dept Immunol &amp; Allergol, Plzen, Czech Republic; [Panzner, P.] Charles Univ Prague, Fac Hosp Pilsen, Plzen, Czech Republic; [Papadopoulos, N.] Univ Manchester, Royal Manchester Childrens Hosp, Inst Human Dev, Ctr Pediat &amp; Child Hlth, Manchester M13 9WL, Lancs, England; [Papadopoulos, N.] Univ Athens, Athens Gen Childrens Hosp P&amp;A Kyriakou, Dept Allergy, Pediat Clin 2, Athens 11527, Greece; [Papi, A.] Univ Ferrara, Dept Med Sci, Resp Med, Ferrara, Italy; [Park, H. S.] Ajou Univ, Sch Med, Dept Allergy &amp; Clin Immunol, Suwon, South Korea; [Pavord, I.] Univ Oxford, Nuffield Dept Med, Oxford, England; [Pawankar, R.] Nippon Med Sch, Dept Pediat, Tokyo, Japan; [Pengelly, R.] Dept Hlth Social Serv &amp; Publ Safety, Belfast, Antrim, North Ireland; [Pfaar, O.] Ctr Rhinol &amp; Allergol, Wiesbaden, Germany; [Pfaar, O.] Heidelberg Univ, Med Fac Mannheim, Univ Med Mannheim, Dept Otorhinolaryngol Head &amp; Neck Surg, Mannheim, Germany; [Picard, R.] Minist Econ Ind &amp; Numer, Conseil Gen Econ, Paris, France; [Pin, I.] CHU Grenoble, Dept Pediat, BP 217, F-38043 Grenoble 9, France; [Plavec, D.] Univ JJ Strossmayer, Sch Med, Childrens Hosp Srebrnjak, Osijek, Croatia; [Poethig, D.] Europe Europa Vereinigung Vitalitat &amp; Aktives Alt, GerontoLab, Leipzig, Germany; [Pohl, W.] Hietzing Hosp, Karl Landsteiner Inst Clin &amp; Expt Pneumol, Wolkersbergenstr 1, A-1130 Vienna, Austria; [Popov, T. A.] Med Univ Sofia, Clin Allergy &amp; Asthma, 1Sv Georgi Sofiyski St, Sofia 1431, Bulgaria; [Potter, P.] Univ Cape Town, Lung Inst, Allergy Diagnost &amp; Clin Res Unit, Cape Town, South Africa; [Postma, D.] Univ Groningen, Univ Med Ctr Groningen, GRIAC Res Inst, Dept Pulm Med &amp; TB, Groningen, Netherlands; [Price, D.] Univ Aberdeen, Acad Ctr Primary Care, Aberdeen, Scotland; [Price, D.] Res Real Life, Cambridge, England; [Rabe, K. F.] German Ctr Lung Res DZL, Airway Res Ctr North, LungenClin Grosshansdorf, Grosshansdorf, Germany; [Rabe, K. F.] Univ Kiel, German Ctr Lung Res DZL, Airway Res Ctr North, Dept Med, Kiel, Germany; [Pontal, F. Radier] Maison Profess Liberales, Conseil Dept Ordre Pharm, F-34000 Montpellier, France; [Repka-Ramirez, S.] SLAAI, Barranquilla, Colombia; [Rennard, S.] Univ Nebraska Med Ctr, Div Pulm Crit Care Sleep &amp; Allergy, Omaha, NE USA; [Roberts, J.] Royal NHS Fdn Trust &amp; NHS England North, London, England; [Manas, L. Rodriguez] Hosp Univ Getafe, Serv Madrileno Salud, Madrid, Spain; [Rolland, C.] Assoc Asthme &amp; Allergie, Paris, France; [Rodriguez, M. Roman] Invest Sanitaria Palma IdisPa, Primary Care Resp Res Unit, Palma De Mallorca, Spain; [Romano, A.] Complesso integrato Columbus, Allergy Unit, Rome, Italy; [Rosado-Pinto, J.] Hosp Luz, Serv Imunoalergol, Lisbon, Portugal; [Rosario, N.] Univ Parana, Hosp Clin, Curitiba, Parana, Brazil; [Rosenwasser, L.] Med Univ Misouri Kansas City, Sch Med, Childrens Mercy Hosp, Dept Allergy Asthma &amp; Immunol, Kansas City, MO USA; [Rosenwasser, L.] Med Univ Misouri Kansas City, Sch Med, Clin &amp; Pediat, Kansas City, MO USA; [Rottem, M.] Emek Med Ctr, Div Allergy Asthma &amp; Clin Immunol, Afula, Israel; [Ryan, D.] Woodbrook Med Ctr, Loughborough, Leics, England; [Ryan, D.] Univ Edinburgh, Allergy &amp; Resp Res Grp, Edinburgh, Midlothian, Scotland; [Sanchez-Borges, M.] Ctr Medicodocente la Trinidad &amp; Clin El Avila, Allergy &amp; Clin Immunol Dept, 6A Transversal Urb,Altamira,Piso 8,Consultorio 80, Caracas 1060, Venezuela; [Scadding, G. K.] UCL, Royal Natl TNE Hosp, London, England; [Serrano, E.] CHU Rangueil Larrey, Otolaryngol &amp; Head &amp; Neck Surg, Toulouse, France; [Schmid-Grendelmeier, P.] Univ Zurich Hosp, Dept Dermatol, Allergy Unit, Zurich, Switzerland; [Schulz, H.] Helmholtz Zentrum Munchen, Inst Epidemiol 1, Neuherberg, Germany; [Sheikh, A.] Univ Edinburgh, Sch Med, Ctr Populat Hlth Sci, Allergy &amp; Resp Res Grp, Edinburgh, Midlothian, Scotland; [Shields, M.] Queens Univ Belfast, Child Hlth, Belfast, Antrim, North Ireland; [Shields, M.] Royal Belfast Hosp Sick Children, Belfast, Antrim, North Ireland; [Siafakas, N.] Univ Hosp Heraklion, Dept Thorac Med, Iraklion, Crete, Greece; [Sibille, Y.] Catholic Univ Louvain, Univ Hosp Mt Godinne, Yvoir, Belgium; [Similowski, T.] Sorbonne Univ, UPMC Univ Paris 06, UMR S Neurophysiol Respt Expt &amp; Clin 1158, Paris, France; [Similowski, T.] INSERM, UMR S Neurophysiol Respt Expt &amp; Clin 1158, Paris, France; [Similowski, T.] Groupe, AP HP, Dept R3S, Paris, France; [Simons, F. E. R.] Univ Manitoba, Fac Med, Dept Immunol, Dept Pediat &amp; Child Hlth, Winnipeg, MB, Canada; [Sisul, J. C.] Soc Paraguaya Alergia Asma &amp; Inmunol, Asuncion, Paraguay; [Smit, H. A.] Univ Utrecht, Univ Med Ctr Utrecht, Julius Ctr Hlth Sci &amp; Primary Care, Utrecht, Netherlands; [Sole, D.] Univ Fed Sao Paulo, Dept Pediat, Div Allergy Clin Immunol &amp; Rheumatol, Sao Paulo, Brazil; [Sooronbaev, T.] Euro Asian Resp Soc, Kyrgyzstan Natl Ctr Cardiol &amp; Internal Med, Bishkek, Kyrgyzstan; [Stelmach, R.] Univ Sao Paulo, Fac Med, Hosp Clin, Heart Inst InCor,Pulm Div, Sao Paulo, Brazil; [Sterk, P. J.] Univ Amsterdam, Acad Med Ctr, Amsterdam, Netherlands; [Thijs, C.] Maastricht Univ, CAPHRI Sch Publ Hlth &amp; Primary Care, Dept Epidemiol, Maastricht, Netherlands; [To, T.] Sidkkids Hosp, Toronto, ON, Canada; [To, T.] Inst Hlth Policy Management &amp; Evaluat, Toronto, ON, Canada; [Todo-Bom, A.] Univ Coimbra, Fac Med, Ctr Pneumol, Coimbra, Portugal; [Triggiani, M.] Univ Salerno, Div Allergy &amp; Clin Immunol, Salerno, Italy; [Valenta, R.] Med Univ Vienna, Ctr Pathophysiol Infectiol &amp; Immunol, Dept Pathophysiol &amp; Allergy Res, Div Immunopathol, Vienna, Austria; [Valero, A. L.] Hosp Clin Barcelona, Clin &amp; Expt Resp Immunoallergy, IDIBAPS, Pneumol &amp; Allergy Dept, Barcelona, Spain; [Valovirta, E.] Univ Turku, Dept Lung Dis &amp; Clin Allergol, Turku, Finland; [Van Ganse, E.] Univ Claude Bernard, CNRS, CHU Lyon, Unite Pharmacoepidemiol,UR 5558, Lyon, France; [van Hage, M.] Karolinska Inst, Dept Med Solna, Clin Immunol &amp; Allergy Unit, Stockholm, Sweden; [van Hage, M.] Univ Hosp, Stockholm, Sweden; [Vandenplas, O.] Catholic Univ Louvain, Ctr Hosp Univ Dinant Godinne, Dept Chest Med, Yvoir, Belgium; [Vasankari, T.] Finnish Lung Assoc, FILHA, Helsinki, Finland; [Vellas, B.] CHU Toulouse, Gerontopole, Toulouse, France; [Vestbo, J.] Univ Manchester, Manchester Acad Hlth Sci Ctr, Inst Inflammat &amp; Repair, Ctr Resp Med &amp; Allergy, Manchester, Lancs, England; [Vestbo, J.] Manchester NHS Fdn Trust, Univ Hosp South Manchester, Manchester, Lancs, England; [Vezzani, G.] Res Hosp, IRCCS, Arcispedale S Maria Nuova, Pulm Unit,Dept Cardiol Thorac &amp; Vasc Med, Reggio Emilia, Italy; [Vezzani, G.] Reg Agcy Hlth &amp; Social Care, Reggio Emilia, Italy; [Vichyanond, P.] Mahidol Univ, Fac Med, Siriraj Hosp, Div Allergy &amp; Immunol,Dept Pediat, Bangkok 10700, Thailand; [Viegi, G.] CNR, Inst Clin Physiol, Pulm Environm Epidemiol Unit, Via Trieste 41, I-56126 Pisa, Italy; [Viegi, G.] CNR, Inst Biomed &amp; Mol Immunol A Monroy, Via U La Malfa 153, I-90146 Palermo, Italy; [Vogelmeier, C.] Philipps Univ Marburg, Univ Med Ctr Giessen &amp; Marburg, Dept Med Pulm &amp; Crit Care Med, Marburg, Germany; [Vontetsianos, T.] Sotiria Hosp, Athens, Greece; [Wagenmann, M.] Univ Klinikum Dusseldorf, HNO Klin, Dept Otorhinolaryngol, Dusseldorf, Germany; [Wallaert, B.] CHRU, Hop Albert Calmette, Lille, France; [Walker, S.] Asthma UK, Mansell St, London, England; [Wang, D. Y.] Natl Univ Singapore, Yong Loo Lin Sch Med, Dept Otolaryngol, Singapore, Singapore; [Williams, D. M.] Univ N Carolina, Eshelman Sch Pharm, Chapel Hill, NC USA; [Wright, J.] Bradford Royal Infirm, Bradford Inst Hlth Res, Bradford, W Yorkshire, England; [Yawn, B. P.] Olmsted Med Ctr, Dept Res, Rochester, MN USA; [Yiallouros, P. K.] Cyprus Univ Technol, Harvard Sch Publ Hlth, Cyprus Int Inst Environm &amp; Publ Hlth, Limassol, Cyprus; [Yiallouros, P. K.] Hosp Archbishop Makarios III, Dept Pediat, Nicosia, Cyprus; [Yusuf, O. M.] Allergy &amp; Asthma Inst, Lahore, Pakistan; [Zaidi, A.] Univ Southampton, Social Sci, Southampton, Hants, England; [Zar, H. J.] Univ Cape Town, Red Cross Childrens Hosp, Dept Paediat &amp; Child Hlth, Cape Town, South Africa; [Zernotti, M. E.] Univ Catolica Cordoba, Cordoba, Argentina; [Zhang, L.] Capital Med Univ, Beijing Tongren Hosp, Dept Otolaryngol Head &amp; Neck Surg, Beijing 100730, Peoples R China; [Zidarn, M.] Univ Clin Resp &amp; Allerg Dis, Golnik, Slovenia; [Mercier, J.] Univ Montpellier, CHRU, Dept Physiol, Montpellier, France; [Mercier, J.] Univ Montpellier, Res, Montpellier, France; [Annesi-Maesano, I.] UPMC, EPAR UMR S, Paris, France</t>
  </si>
  <si>
    <t>Universite de Montpellier; CHU de Montpellier; Universite de Montpellier; Institut National de la Sante et de la Recherche Medicale (Inserm); Universite Paris Saclay; Universite Paris Saclay; KU Leuven; University of Amsterdam; Academic Medical Center Amsterdam; Leiden University; Leiden University Medical Center (LUMC); Leiden University - Excl LUMC; Universidade do Minho; Universidade Federal da Bahia; University of Helsinki; Helsinki University Central Hospital; Ghent University; Ghent University Hospital; Universidade de Coimbra; University of Padua; Azienda Ospedaliera - Universita di Padova; University of Southern Denmark; Universidade de Coimbra; Centro Hospitalar e Universitario de Coimbra (CHUC); Medical University of Warsaw; University of Helsinki; Helsinki University Central Hospital; University of Oulu; Vilnius University; Celal Bayar University; Berlin Institute of Health; Free University of Berlin; Humboldt University of Berlin; Charite Universitatsmedizin Berlin; Berlin Institute of Health; Free University of Berlin; Humboldt University of Berlin; Charite Universitatsmedizin Berlin; Medical University of Graz; International University of Health &amp; Welfare; University of Barcelona; Hospital Clinic de Barcelona; IDIBAPS; CIBER - Centro de Investigacion Biomedica en Red; CIBERES; Swiss Institute of Allergy &amp; Asthma Research; University of Zurich; Institut National de la Sante et de la Recherche Medicale (Inserm); Pompeu Fabra University; Centre de Recerca en Epidemiologia Ambiental (CREAL); Hospital del Mar Research Institute; Hospital del Mar; CIBER - Centro de Investigacion Biomedica en Red; CIBERESP; Pompeu Fabra University; University of Genoa; IRCCS AOU San Martino IST; Ghent University; Ghent University Hospital; Universidade de Lisboa; University of Cape Town; Universita di Modena e Reggio Emilia; Universite de Tunis-El-Manar; Hopital Abderrahmene Mami; Linkoping University; University of Bonn; University of Southern Denmark; Odense University Hospital; University of Southern Denmark; Odense University Hospital; Lund University; Skane University Hospital; Universite de Montpellier; CHU de Montpellier; Universite de Montpellier; IRCCS Ca Granda Ospedale Maggiore Policlinico; University of Milan; University of Verona; Azienda Ospedaliera Universitaria Integrata Verona; Sapienza University Rome; Universita della Campania Vanvitelli; Consiglio Nazionale delle Ricerche (CNR); University of Sydney; Woolcock Institute of Medical Research; Sydney Local Health District; Laval University; Quebec Heart &amp; Lung Institute; Universite de Montpellier; CHU de Montpellier; University of Glasgow; University of Leicester; University Hospitals of Leicester NHS Trust; University of Leicester; McMaster University; Johannes Gutenberg University of Mainz; Imperial College London; Imperial College London; Imperial College London; Imperial College London; Royal Brompton Hospital; Universite de Montpellier; CHU de Montpellier; Royal Brompton Hospital; Imperial College London; University of Liverpool; Aintree University Hospitals NHS Foundation Trust; Universidade Federal de Minas Gerais; University of Oslo; University of Oslo; State University System of Florida; University of South Florida; University of Crete; Capital Institute of Pediatrics (CIP); Imperial College London; University of Genoa; IRCCS AOU San Martino IST; Nova Southeastern University; Imperial College London; Karolinska Institutet; Technical University of Munich; Technical University of Munich; Helmholtz Association; Helmholtz-Center Munich - German Research Center for Environmental Health; CHU Strasbourg; University of Edinburgh; Iuliu Hatieganu University of Medicine &amp; Pharmacy; McMaster University; Universite Paris Saclay; Hospital Foch; CHU de Toulouse; Assistance Publique Hopitaux Paris (APHP); Universite Paris Cite; Hopital Universitaire Cochin - APHP; University of Southampton; Saints Cyril &amp; Methodius University of Skopje; IMT - Institut Mines-Telecom; IMT Mines Ales; Vilnius University; Imperial College London; Saint Louis University; Egyptian Knowledge Bank (EKB); Ain Shams University; Vilnius University; Universita di Modena e Reggio Emilia; Universidade do Porto; University of Amsterdam; Academic Medical Center Amsterdam; Flinders University South Australia; National Center for Disease Control &amp; Public Health - Georgia; University of Valencia; Istanbul University; Istanbul University - Cerrahpasa; Universidad Autonoma de Nuevo Leon; Washington University (WUSTL); University Hospital Olomouc; Universidad de Chile; Queens University Belfast; University of Southern Denmark; Odense University Hospital; NHS National Services Scotland; Helmholtz Association; Helmholtz-Center Munich - German Research Center for Environmental Health; University College Cork; University of Southampton; Universite Paris Saclay; Institut National de la Sante et de la Recherche Medicale (Inserm); Assistance Publique Hopitaux Paris (APHP); Hopital Universitaire Bicetre - APHP; Hopital Universitaire Antoine-Beclere - APHP; University of Plymouth; Universidade Federal de Sao Paulo (UNIFESP); University of Sydney; George Institute for Global Health; Imperial College London; University of London; King's College London; Universite de Montpellier; CHU de Montpellier; Hallym University; Assistance Publique Hopitaux Paris (APHP); Sorbonne Universite; Hopital Universitaire Armand-Trousseau - APHP; Sorbonne Universite; Institut National de la Sante et de la Recherche Medicale (Inserm); Poltava State Medical University; NRC Institute of Immunology FMBA of Russia; Hacettepe University; Hacettepe University; Berlin Institute of Health; Free University of Berlin; Humboldt University of Berlin; Charite Universitatsmedizin Berlin; University of Wurzburg; McMaster University; University Hospital Olomouc; University of Groningen; Medical University Lodz; Karolinska Institutet; Medical University Lodz; Vilnius University; Flanders Institute for Biotechnology (VIB); Ghent University; Berlin Institute of Health; Free University of Berlin; Humboldt University of Berlin; Charite Universitatsmedizin Berlin; Tecnologico de Monterrey; Hochiminh City University of Medicine &amp; Pharmacy; University of Tennessee System; University of Tennessee Health Science Center; University of Tennessee System; University of Tennessee Health Science Center; University of Tennessee System; University of Tennessee Health Science Center; University of Tennessee System; University of Tennessee Health Science Center; University of Dundee; State Key Laboratory of Respiratory Disease; Guangzhou Medical University; University of Oslo; University of Oslo; University of Liege; University of Edinburgh; Universite Paris Cite; Hopital Paris Saint-Joseph; Nantes Universite; CHU de Nantes; Institut National de la Sante et de la Recherche Medicale (Inserm); Nantes Universite; CHU de Nantes; Institut National de la Sante et de la Recherche Medicale (Inserm); Comenius University Bratislava; Royal College of Surgeons - Ireland; A.O.U. Citta della Salute e della Scienza di Torino; University of Mississippi Medical Center; University of Mississippi; Shahid Beheshti University Medical Sciences; Berlin Institute of Health; Free University of Berlin; Humboldt University of Berlin; Charite Universitatsmedizin Berlin; Karolinska Institutet; Allergy &amp; Asthma Medical Group &amp; Research Center; Royal Brompton Hospital; RWTH Aachen University; RWTH Aachen University Hospital; Marius Nasta Pneumophtisiology Institute; University of Belgrade; Tishreen University; CHU Bordeaux; Universite de Bordeaux; Institut National de la Sante et de la Recherche Medicale (Inserm); Universite Paris Cite; University of Cologne; University of Barcelona; Hospital Clinic de Barcelona; IDIBAPS; Russian Academy of Medical Sciences; University of Chicago; University of Chicago Medical Center; University of Chicago; Berlin Institute of Health; Free University of Berlin; Humboldt University of Berlin; Charite Universitatsmedizin Berlin; Universite de Montpellier; Florey Institute of Neuroscience &amp; Mental Health; Howard Florey Institute Affiliates; Monash University; Monash University; Chiba University; Nippon Medical School; University of Pisa; Azienda Ospedaliero Universitaria Pisana; University of Veterinary Medicine Vienna; Charles University Prague; Charles University Prague; Royal Manchester Children's Hospital; University of Manchester; National &amp; Kapodistrian University of Athens; University of Ferrara; Ajou University; University of Oxford; Nippon Medical School; Ruprecht Karls University Heidelberg; Communaute Universite Grenoble Alpes; Universite Grenoble Alpes (UGA); CHU Grenoble Alpes; University of JJ Strossmayer Osijek; Hietzing Hospital; Medical University Sofia; University of Cape Town; University of Groningen; University of Aberdeen; Grosshansdorf Hospital; University of Kiel; University of Nebraska System; University of Nebraska Medical Center; Hospital Universitario de Getafe; Atencio Primaria de Mallorca; Children's Mercy Hospital; Emek Medical Center; University of Edinburgh; University of London; University College London; CHU de Toulouse; University of Zurich; University Zurich Hospital; Helmholtz Association; Helmholtz-Center Munich - German Research Center for Environmental Health; University of Edinburgh; Queens University Belfast; University Hospital of Heraklion; Universite Catholique Louvain; Universite Catholique Louvain Hospital; Sorbonne Universite; Institut National de la Sante et de la Recherche Medicale (Inserm); Assistance Publique Hopitaux Paris (APHP); University of Manitoba; Utrecht University; Utrecht University Medical Center; Universidade Federal de Sao Paulo (UNIFESP); Universidade de Sao Paulo; University of Amsterdam; Academic Medical Center Amsterdam; Maastricht University; Universidade de Coimbra; University of Salerno; Medical University of Vienna; University of Barcelona; Hospital Clinic de Barcelona; IDIBAPS; University of Turku; Universite Claude Bernard Lyon 1; CHU Lyon; Centre National de la Recherche Scientifique (CNRS); Karolinska Institutet; Universite Catholique Louvain; Universite de Toulouse; Universite Toulouse III - Paul Sabatier; CHU de Toulouse; University of Manchester; Wythenshawe Hospital NHS Foundation Trust; IRCCS Arcispedale S. Maria Nuova; Mahidol University; Consiglio Nazionale delle Ricerche (CNR); Istituto di Fisiologia Clinica (IFC-CNR); Consiglio Nazionale delle Ricerche (CNR); Istituto di Biomedicina e di Immunologia Molecolare Alberto Monroy (IBIM-CNR); University Hospital of Giessen &amp; Marburg; Philipps University Marburg; Heinrich Heine University Dusseldorf; Heinrich Heine University Dusseldorf Hospital; Universite de Lille; CHU Lille; National University of Singapore; University of North Carolina; University of North Carolina Chapel Hill; Bradford Royal Infirmary; Olmsted Medical Center; Cyprus International Institute for Environmental &amp; Public Health; Cyprus University of Technology; University of Southampton; University of Cape Town; Catholic University of Cordoba; Capital Medical University; Universite de Montpellier; CHU de Montpellier; Universite de Montpellier; Sorbonne Universite</t>
  </si>
  <si>
    <t>Bousquet, J (corresponding author), Univ Hosp, CHRU, 371 Ave Doyen Gaston Giraud, F-34295 Montpellier 5, France.</t>
  </si>
  <si>
    <t>Bousquet, Philippe Jean/AAW-8608-2021; Todo Bom, Ana/AHD-3630-2022; Kaidashev, Igor/L-2606-2019; Zar, Heather/GZL-5350-2022; Plavec, Davor/HKM-7822-2023; Klimek, Ludger/AFJ-9880-2022; Bachert, Claus/J-8825-2012; Bosnic-Anticevich, Sinthia/AAD-2526-2021; J, Garcia-Aymerich/G-6867-2014; Frith, Peter/G-5079-2013; Annesi-Maesano, Isabella/D-9173-2016; Anto, J/H-2676-2014; Jardim, Jose/E-3205-2016; costa, david/AAA-1971-2020; Vicheva, Dilyana/AAI-7136-2020; van Hage, Marianne/A-9678-2017; Akdis, Cezmi/AAV-4844-2020; Demoly, Pascal/Y-9938-2019; Correia de Sousa, Jaime/H-5607-2015; stelmach, rafael/AAH-1638-2019; Barone-Adesi, Francesco/ABG-1580-2020; Sterk, P.J./AAK-8175-2020; LOUIS, Renaud/HMO-7349-2023; Ninot, Gregory/AAD-3211-2019; Yorgancioglu, Arzu/AAC-7548-2020; molimard, mathieu/T-2762-2019; Fiocchi, Alessandro/K-9235-2016; Bateman, Eric/B-7042-2011; Bjermer, Leif/I-4899-2014; MAGNAN, ANTOINE/GVT-4308-2022; Rodriguez-Manas, Leocadio/AFL-1127-2022; Popov, Todor/Q-9928-2016; Solé, Dirceu/JAO-0340-2023; Makela, Mika/ADV-7407-2022; VAN GANSE, Eric/D-5876-2015; Gemicioglu, Bilun/AAH-6927-2019; Johnston, Sebastian/I-2423-2012; Briggs, Andrew/ABA-9009-2020; Bieber, Thomas/AFM-9906-2022; Yiallouros, Panayiotis/AAF-6026-2019; Brozek, Jan/ADG-1130-2022; Siafakas, Nikolas/AAI-3324-2020; Zuberbier, Torsten/AFM-9173-2022; Ciprandi, Giorgio/G-7462-2012; Bonniaud, Philippe/ITT-4660-2023; Papi, alberto/AAC-1888-2019; Jung, Ki-Suck/AAN-2473-2021; Similowski, Thomas/GQQ-9468-2022; Kvedarienė, Violeta/GON-7937-2022; Gotua, Maia/ABA-1648-2021; Cox, Linda/AAP-1697-2021; Ryan, Dermot/AAJ-2329-2021; Schulz, Holger/J-5643-2015; Rabe, Klaus/AAW-6296-2021; Park, Hae-Sim/S-7974-2019; Shields, Mike/AGG-3437-2022; Thijs, Carel/H-8340-2019; Barbara, C./AAF-3397-2020; Fokkens, Wytske/ABF-2185-2020; Bousquet, Jean/O-4221-2019; Yusuf, Osman/AAI-1142-2020; Chung, Kian/B-1872-2012; Djokic, Dejan/V-9813-2017; Triggiani, Massimo/K-8271-2016; Blain, Hubert/AAZ-8017-2020; Gaga, Mina/AAP-8348-2020; Nadif, Rachel/R-2876-2016; Price, David/H-2837-2019; Ivancevich, Juan/AAB-4937-2020; Muraro, Antonella/AFO-2033-2022; Viegi, Giovanni/K-2746-2016; Deleanu, Diana/G-3963-2015; Akdis, Mubeccel/JCE-1576-2023; Valenta, Richard/K-4072-2017; Schmid, Peter/D-1717-2013; Bergmann, Karl-Christian/AAA-4104-2019; Valiulis, Arunas/JEZ-2972-2023; Rosario Filho, Nelson/HSE-9522-2023; Lambrecht, Bart/H-4420-2017; Koppelman, Gerard/AAG-9187-2020; Dray, Gerard/ACO-1836-2022; Asarnoj, Anna/ABC-4112-2020; Iaccarino, Guido/D-4540-2009; Sunyer Deu, Jordi/G-6909-2014; Gonzalez-Diaz, Sandra Nora/H-3271-2018; Khaitov, Musa/L-3369-2017; Romano, Antonino/D-3102-2017; Cucalin, Aleksandr/P-5678-2018; Bindslev-Jensen, Carsten/H-1877-2011; Humbert, Marc/AAC-8459-2019; Masjedi, Mohammad Reza/J-9776-2017; Dinh-Xuan, Anh Tuan/A-9691-2008; Papadopoulos, Nikolaos/L-8670-2013; Roca, Josep/J-2583-2015; Namazova-Baranova, Leyla/C-9485-2019; Schunemann, Holger/LRB-7016-2024; Christoff, George/ABF-9789-2021; Maurer, Marcus/ABG-2174-2020; Caimmi, Davide/AAA-1277-2019; Panzner, Petr/I-7034-2017; Fabbri, Leonardo/I-4055-2012; Blasi, Francesco/O-5885-2017; O'Hehir, Robyn/H-3627-2011; Wright, John/H-1624-2012; Malva, Joao/L-3557-2014; CANONICA, GIORGIO WALTER/ABF-2037-2020; Bonini, Sergio/T-6594-2019; Kaidashev, Igor/H-3827-2016; Hellings, Peter/I-4068-2018; Robalo Cordeiro, Carlos Manuel da Silva/I-4864-2012; Fonseca, Joao/B-7562-2008; Namazova-Baranova, Leyla/C-9485-2019; Heinrich, Joachim/N-1720-2013; Chavannes, Niels Henrik/F-1148-2011; Casale, Thomas/K-4334-2013; Forastiere, Francesco/J-9067-2016; Custovic, Adnan/A-2435-2012</t>
  </si>
  <si>
    <t>Ankri, Joel/0000-0002-0070-6471; Rottem, Menachem/0000-0002-9915-0273; Burney, Peter/0000-0001-8635-5678; TRIGGIANI, MASSIMO/0000-0001-7318-2093; Sunyer Deu, Jordi/0000-0002-2602-4110; Gonzalez-Diaz, Sandra Nora/0000-0002-3612-0042; Bousquet, Jean/0000-0002-4061-4766; Khaitov, Musa/0000-0003-4961-9640; Kuna, Piotr/0000-0003-2401-0070; Romano, Antonino/0000-0001-9742-9898; Kvedariene, Violeta/0000-0002-6119-211X; Cucalin, Aleksandr/0000-0002-6808-5528; Bindslev-Jensen, Carsten/0000-0002-8940-038X; Humbert, Marc/0000-0003-0703-2892; Masjedi, Mohammad Reza/0000-0002-6871-382X; Gemicioglu, Bilun/0000-0001-5953-4881; Johnston, Sebastian/0000-0003-3009-9200; Dinh-Xuan, Anh Tuan/0000-0001-8651-5176; Papadopoulos, Nikolaos/0000-0002-4448-3468; Dray, Gerard/0000-0003-1525-5682; Zar, Heather/0000-0002-9046-759X; Roca, Josep/0000-0003-4768-8722; Namazova-Baranova, Leyla/0000-0002-2209-7531; Rodriguez-Manas, Leocadio/0000-0002-6551-1333; Koppelman, Gerard/0000-0001-8567-3252; Larenas Linnemann, Desiree/0000-0002-5713-5331; Thijs, Carel/0000-0001-6646-5458; Heaney, Liam/0000-0002-9176-5564; Djukanovic, Ratko/0000-0001-6039-5612; stelmach, rafael/0000-0002-5132-1934; Bai, Chunxue/0000-0001-5798-3130; brightling, chris/0000-0002-9345-4903; Schunemann, Holger/0000-0003-3211-8479; Popov, Todor/0000-0001-5052-5866; Valenta, Rudolf/0000-0001-5944-3365; Christoff, George/0000-0003-4549-7711; Maurer, Marcus/0000-0002-4121-481X; Ryan, Dermot/0000-0002-4115-7376; Ninot, Gregory/0000-0001-8248-9169; Barbara, Cristina/0000-0003-0915-4105; Caimmi, Davide/0000-0003-4481-6194; momas, isabelle/0000-0003-4344-3787; Panzner, Petr/0000-0002-1291-450X; Todo-Bom, Ana/0000-0002-1850-6689; Rabe, Klaus F./0000-0002-7020-1401; yorgancioglu, arzu/0000-0002-4032-0944; Fabbri, Leonardo/0000-0001-8894-1689; Blasi, Francesco/0000-0002-2285-9970; Akdis, Cezmi/0000-0001-8020-019X; Zuberbier, Torsten/0000-0002-1466-8875; O'Hehir, Robyn/0000-0002-3489-7595; Wright, John/0000-0001-9572-7293; Malva, Joao/0000-0002-5438-4447; CANONICA, GIORGIO WALTER/0000-0001-8467-2557; Park, Hae-Sim/0000-0003-2614-0303; Menzies-Gow, Andrew/0000-0001-9707-4986; Bonini, Sergio/0000-0003-0079-3031; Kaidashev, Igor/0000-0002-4708-0859; Hellings, Peter/0000-0001-6898-688X; Raciborski, Filip/0000-0003-0562-0260; Fiocchi, Alessandro/0000-0002-2549-0523; Gaga, Mina/0000-0002-9949-6012; Ivancevich, Juan Carlos/0000-0001-8713-6258; Robalo Cordeiro, Carlos Manuel da Silva/0000-0002-8264-3856; cox, linda/0000-0002-5258-6870; Molimard, Mathieu/0000-0002-4346-8346; Fonseca, Joao/0000-0002-0887-8796; Ciprandi, Giorgio/0000-0001-7016-8421; Namazova-Baranova, Leyla/0000-0002-7902-6427; Heinrich, Joachim/0000-0002-9620-1629; Briggs, Andrew/0000-0002-0777-1997; Chavannes, Niels Henrik/0000-0002-8607-9199; Gotua, Maia/0000-0003-2497-4128; Casale, Thomas/0000-0002-3149-7377; Howarth, Peter/0000-0003-0619-7927; Forastiere, Francesco/0000-0002-9162-5684; Hyland, Michael/0000-0003-3879-0469; El-Gamal, Yehia/0000-0002-8177-4520; Zhang, Luo/0000-0002-0910-9884; Custovic, Adnan/0000-0001-5218-7071</t>
  </si>
  <si>
    <t>Medical Research Council [G1000758] Funding Source: Medline</t>
  </si>
  <si>
    <t>Medical Research Council(UK Research &amp; Innovation (UKRI)Medical Research Council UK (MRC))</t>
  </si>
  <si>
    <t>FEB 20</t>
  </si>
  <si>
    <t>10.1186/s13601-016-0135-6</t>
  </si>
  <si>
    <t>EN5VH</t>
  </si>
  <si>
    <t>Green Published, Green Accepted, Green Submitted, gold</t>
  </si>
  <si>
    <t>WOS:000396073300001</t>
  </si>
  <si>
    <t>Aiello, RJ; Bourassa, PA; Zhang, Q; Dubins, J; Goldberg, DR; De Lombaert, S; Humbert, M; Guignabert, C; Cavasin, MA; McKinsey, TA; Paralkar, V</t>
  </si>
  <si>
    <t>Aiello, Robert J.; Bourassa, Patricia-Ann; Zhang, Qing; Dubins, Jeffrey; Goldberg, Daniel R.; De Lombaert, Stephane; Humbert, Marc; Guignabert, Christophe; Cavasin, Maria A.; McKinsey, Timothy A.; Paralkar, Vishwas</t>
  </si>
  <si>
    <t>Tryptophan hydroxylase 1 Inhibition Impacts Pulmonary Vascular Remodeling in Two Rat Models of Pulmonary Hypertension</t>
  </si>
  <si>
    <t>JOURNAL OF PHARMACOLOGY AND EXPERIMENTAL THERAPEUTICS</t>
  </si>
  <si>
    <t>FIBROBLAST GROWTH FACTOR-2; SMOOTH-MUSCLE HYPERPLASIA; ARTERIAL-HYPERTENSION; SEROTONIN TRANSPORTER; THERAPEUTIC TARGETS; MOLECULAR TARGETS; MICE; HYPOXIA; 5-HYDROXYTRYPTAMINE; PATHOLOGY</t>
  </si>
  <si>
    <t>Pulmonary arterial hypertension (PAH) is a progressive disease defined by a chronic elevation in pulmonary arterial pressure with extensive pulmonary vascular remodeling and perivascular inflammation characterized by an accumulation of macrophages, lymphocytes, dendritic cells, and mast cells. Although the exact etiology of the disease is unknown, clinical as well as preclinical data strongly implicate a role for serotonin (5-HT) in the process. Here, we investigated the chronic effects of pharmacological inhibition of tryptophan hydroxylase 1 (TPH1), the rate-limiting enzyme in peripheral 5-HT biosynthesis, in two preclinical models of pulmonary hypertension (PH), the monocrotaline (MCT) rat and the semaxanib (SUGEN, Medinoah, Suzhou, China)-hypoxia rat. In both PH models, ethyl (S)-8-(2-amino-6-((R)-1-(5-chloro-[1,19-biphenyl]-2-yl)-2,2,2-trifluoroethoxy) pyrimidin-4-yl)-2,8-diazaspiro[4.5] decane-3-carboxylate and ethyl (S)-8-(2-amino-6-((R)-1-(39,49-dimethyl-3-(3-methyl-1 H-pyrazol-1-yl)-[1,19-biphenyl]-4-yl)-2,2,2-trifluoroethoxy) pyrimidin-4-yl)-2,8-diazaspiro[4.5] decane-3-carboxylate, novel orally active TPH1 inhibitors with nanomolar in vitro potency, decreased serum, gut, and lung 5-HT levels in a dose-dependent manner and significantly reduced pulmonary arterial pressure, and pulmonary vessel wall thickness and occlusion in male rats. In the MCT rat model, decreases in lung 5-HT significantly correlated with reductions in histamine levels and mast cell number (P &lt; 0.001, r(2) = 0.88). In contrast, neither ambrisentan nor tadalafil, which are vasodilators approved for the treatment of PAH, reduced mast cell number or 5-HT levels, nor were they as effective in treating the vascular remodeling as were the TPH1 inhibitors. When administered in combination with ambrisentan, the TPH1 inhibitors showed an additive effect on pulmonary vascular remodeling and pressures. These data demonstrate that in addition to reducing vascular remodeling, TPH1 inhibition has the added benefit of reducing the perivascular mast cell accumulation associated with PH.</t>
  </si>
  <si>
    <t>[Aiello, Robert J.; Bourassa, Patricia-Ann; Zhang, Qing; Dubins, Jeffrey; Goldberg, Daniel R.; De Lombaert, Stephane; Paralkar, Vishwas] Karos Pharmaceut, 5 Sci Pk, New Haven, CT 06511 USA; [Humbert, Marc; Guignabert, Christophe] INSERM, UMR S 999, Le Plessis Robinson, France; [Humbert, Marc; Guignabert, Christophe] Univ Paris Saclay, Univ Paris Sud, Le Kremlin Bicetre, France; [Humbert, Marc] Hop Bicetre, AP HP, Serv Pneumol, Le Kremlin Bicetre, France; [Cavasin, Maria A.; McKinsey, Timothy A.] Univ Colorado Denver, Div Cardiol, Aurora, CO USA; [Cavasin, Maria A.; McKinsey, Timothy A.] Univ Colorado Denver, Consortium Fibrosis Res &amp; Translat, Dept Med, Aurora, CO USA</t>
  </si>
  <si>
    <t>Universite Paris Saclay; Institut National de la Sante et de la Recherche Medicale (Inserm); Universite Paris Saclay; Universite Paris Saclay; Assistance Publique Hopitaux Paris (APHP); Hopital Universitaire Bicetre - APHP; Hopital Universitaire Antoine-Beclere - APHP; University of Colorado System; University of Colorado Anschutz Medical Campus; Children's Hospital Colorado; University of Colorado System; University of Colorado Anschutz Medical Campus; Children's Hospital Colorado</t>
  </si>
  <si>
    <t>Aiello, RJ (corresponding author), Karos Pharmaceut, 5 Sci Pk, New Haven, CT 06511 USA.</t>
  </si>
  <si>
    <t>raiello@karospharma.com</t>
  </si>
  <si>
    <t>GUIGNABERT, Christophe/0000-0002-8545-4452; Humbert, Marc/0000-0003-0703-2892</t>
  </si>
  <si>
    <t>Karos Pharmaceuticals, New Haven, CT</t>
  </si>
  <si>
    <t>INSERM UMR_S 999 received financial support from Karos Pharmaceuticals, New Haven, CT, to conduct the in vitro study.M.H. has relationships with drug companies (Actelion, Bayer, Gilead, GSK, Karos Pharmaceuticals, and Pfizer) that relate to products or molecules under investigation in pulmonary hypertension. In addition to being investigator in trials involving these companies, relationships include consultancy service and membership of scientific advisory boards. T.A.M. at the Division of Cardiology and Consortium for Fibrosis Research and Translation, Department of Medicine, University of Colorado Denver-Anschutz Medical Campus, received financial support from Karos Pharmaceuticals, New Haven, CT, to conduct in vivo studies.</t>
  </si>
  <si>
    <t>AMER SOC PHARMACOLOGY EXPERIMENTAL THERAPEUTICS</t>
  </si>
  <si>
    <t>9650 ROCKVILLE PIKE, BETHESDA, MD 20814-3995 USA</t>
  </si>
  <si>
    <t>0022-3565</t>
  </si>
  <si>
    <t>1521-0103</t>
  </si>
  <si>
    <t>J PHARMACOL EXP THER</t>
  </si>
  <si>
    <t>J. Pharmacol. Exp. Ther.</t>
  </si>
  <si>
    <t>10.1124/jpet.116.237933</t>
  </si>
  <si>
    <t>EJ6QW</t>
  </si>
  <si>
    <t>WOS:000393344900003</t>
  </si>
  <si>
    <t>Ghofrani, HA; Humbert, M; Langleben, D; Schermuly, R; Stasch, JP; Wilkins, MR; Klinger, JR</t>
  </si>
  <si>
    <t>Ghofrani, Hossein-Ardeschir; Humbert, Marc; Langleben, David; Schermuly, Ralph; Stasch, Johannes-Peter; Wilkins, Martin R.; Klinger, James R.</t>
  </si>
  <si>
    <t>Riociguat: Mode of Action and Clinical Development in Pulmonary Hypertension</t>
  </si>
  <si>
    <t>chronic thromboembolic pulmonary hypertension; pulmonary arterial hypertension; sGC stimulator</t>
  </si>
  <si>
    <t>SOLUBLE GUANYLATE-CYCLASE; RESPONDER THRESHOLD CRITERIA; NITRIC-OXIDE SYNTHASE; LONG-TERM EXTENSION; ARTERIAL-HYPERTENSION; SILDENAFIL CITRATE; OXIDATIVE STRESS; DOUBLE-BLIND; STIMULATORS; TADALAFIL</t>
  </si>
  <si>
    <t>Pulmonary arterial hypertension (PAH) and chronic thromboembolic pulmonary hypertension (CTEPH) are progressive and debilitating diseases characterized by gradual obstruction of the pulmonary vasculature, leading to elevated pulmonary artery pressure (PAP) and increased pulmonary vascular resistance (PVR). If untreated, they can result in death due to right-sided heart failure. Riociguat is a novel soluble guanylate cyclase (sGC) stimulator that is approved for the treatment of PAH and CTEPH. We describe in detail the role of the nitric oxide-sGC-cyclic guanosine monophosphate (cGMP) signaling pathway in the pathogenesis of PAH and CTEPH and the mode of action of riociguat. We also review the preclinical data associated with the development of riociguat, along with the efficacy and safety data of riociguat from initial clinical trials and pivotal phase III randomized clinical trials in PAH and CTEPH.</t>
  </si>
  <si>
    <t>[Ghofrani, Hossein-Ardeschir; Schermuly, Ralph] Univ Giessen &amp; Marburg Lung Ctr, Giessen, Germany; [Ghofrani, Hossein-Ardeschir; Schermuly, Ralph] German Ctr Lung Res, Giessen, Germany; [Ghofrani, Hossein-Ardeschir; Wilkins, Martin R.] Imperial Coll London, Dept Med, London, England; [Humbert, Marc] Hop Bicetre, Publ Hop Paris, Serv Pneumol DHU Thorax Innovat, Le Kremlin Bicetre, France; [Humbert, Marc] Univ Paris Sud, Lab Excellence Rech Med &amp; Innovat Therapeut, Le Kremlin Bicetre, France; [Humbert, Marc] INSERM, Unit 999, Le Kremlin Bicetre, France; [Langleben, David] Ctr Pulm Vasc Dis, Montreal, PQ, Canada; [Langleben, David] McGill Univ, Jewish Gen Hosp, Lady Davis Inst, Montreal, PQ, Canada; [Stasch, Johannes-Peter] Bayer Pharma AG, Wuppertal, Germany; [Stasch, Johannes-Peter] Univ Halle, Inst Pharm, Halle, Germany; [Klinger, James R.] Brown Univ, Rhode Isl Hosp, Alpert Med Sch, Div Pulm Sleep &amp; Crit Care Med, Providence, RI USA</t>
  </si>
  <si>
    <t>Imperial College London; Assistance Publique Hopitaux Paris (APHP); Hopital Universitaire Antoine-Beclere - APHP; Hopital Universitaire Bicetre - APHP; Universite Paris Saclay; Universite Paris Saclay; Institut National de la Sante et de la Recherche Medicale (Inserm); McGill University; Lady Davis Institute; Bayer AG; Bayer Healthcare Pharmaceuticals; Martin Luther University Halle Wittenberg; Brown University; Lifespan Health Rhode Island; Rhode Island Hospital</t>
  </si>
  <si>
    <t>Ghofrani, HA (corresponding author), Univ Hosp Giessen &amp; Marburg, Dept Internal Med, Med Clin 2 4, Klinikstr 33, D-35392 Giessen, Germany.</t>
  </si>
  <si>
    <t>ardeschir.ghofrani@innere.med.uni-giessen.de</t>
  </si>
  <si>
    <t>Wilkins, Martin/ABH-1140-2021; Ghofrani, Ardeschir/AAD-5293-2020; Langleben, David/AAJ-9152-2020; Humbert, Marc/AAC-8459-2019</t>
  </si>
  <si>
    <t>Humbert, Marc/0000-0003-0703-2892; Ghofrani, Ardeschir/0000-0002-2029-4419; Schermuly, Ralph/0000-0002-5167-6970; Wilkins, Martin/0000-0003-3926-1171</t>
  </si>
  <si>
    <t>Bayer Pharma AG (Berlin, Germany)</t>
  </si>
  <si>
    <t>Editorial assistance was provided by Adelphi Communications, Ltd (Bollington, England), supported by Bayer Pharma AG (Berlin, Germany).</t>
  </si>
  <si>
    <t>10.1016/j.chest.2016.05.024</t>
  </si>
  <si>
    <t>EP1OU</t>
  </si>
  <si>
    <t>WOS:000397155000035</t>
  </si>
  <si>
    <t>Guignabert, C; Bailly, S; Humbert, M</t>
  </si>
  <si>
    <t>Guignabert, Christophe; Bailly, Sabine; Humbert, Marc</t>
  </si>
  <si>
    <t>Restoring BMPRII functions in pulmonary arterial hypertension: opportunities, challenges and limitations</t>
  </si>
  <si>
    <t>EXPERT OPINION ON THERAPEUTIC TARGETS</t>
  </si>
  <si>
    <t>Pulmonary hypertension; genetic predisposition; vasculature; BMP receptor activation; BMP</t>
  </si>
  <si>
    <t>BONE MORPHOGENETIC PROTEIN; SMOOTH-MUSCLE-CELLS; RECEPTOR TYPE-II; TRANSGENIC MICE; ENDOTHELIAL DYSFUNCTION; SPATIAL REGULATION; MOLECULAR TARGETS; SIGNALING PATHWAY; CLINICAL-OUTCOMES; OXIDATIVE STRESS</t>
  </si>
  <si>
    <t>Introduction: Pulmonary arterial hypertension (PAH) is a cardiopulmonary disorder in which mechanical obstruction of the pulmonary vascular bed is largely responsible for the rise in pulmonary arterial pressures. The discovery of heterozygous BMPR2 germline mutations as critical predisposing factors together with a remarkable progress in our understanding of the pathogenic mechanisms have helped identify the significant and complex roles of the BMPRII axis in PAH. However, their precise contributions to the condition are still incompletely understood.Areas covered: This review aims to assemble and discuss the cellular actions of BMPs together with the possible clinical applications and prospects for their use in the near future.Expert opinion: Although major advances have been made, several questions remain unanswered regarding development of efficacious therapies targeting the BMPRII axis in PAH. Specifically, the reasons why BMPRII signaling is reduced in PAH and how the alterations influence or even drive the pathogenesis need to be understood. Because the BMPRII axis is ubiquitously expressed and exhibits a wide variety of functions in organ regeneration and homeostasis, a better understanding of the overall risk-benefit ratio of these strategies with long-term follow-up is needed. This knowledge will lay the foundation for discovery of innovative therapeutics for PAH.</t>
  </si>
  <si>
    <t>[Guignabert, Christophe; Humbert, Marc] INSERM, UMR S 999, 133 Ave Resistance, F-92350 Le Plessis Robinson, France; [Guignabert, Christophe; Humbert, Marc] Univ Paris Saclay, Univ Paris Sud, Le Kremlin Bicetre, France; [Bailly, Sabine] INSERM, U1036, Grenoble, France; [Bailly, Sabine] Biosci &amp; Biotechnol Inst Grenoble, Commissariat Energie Atom &amp; Energies Alternat, Lab Biol Canc &amp; Infect, Grenoble, France; [Bailly, Sabine] Univ Grenoble Alpes, Grenoble, France; [Humbert, Marc] Hop Bicetre, AP HP, Serv Pneumol, Ctr Reference Hypertens Pulm Severe,DHU Thorax In, Le Kremlin Bicetre, France</t>
  </si>
  <si>
    <t>Universite Paris Saclay; Institut National de la Sante et de la Recherche Medicale (Inserm); Universite Paris Saclay; Institut National de la Sante et de la Recherche Medicale (Inserm); Communaute Universite Grenoble Alpes; Universite Grenoble Alpes (UGA); CEA; Communaute Universite Grenoble Alpes; Universite Grenoble Alpes (UGA); Assistance Publique Hopitaux Paris (APHP); Hopital Universitaire Bicetre - APHP; Hopital Universitaire Antoine-Beclere - APHP; Universite Paris Saclay</t>
  </si>
  <si>
    <t>bailly, sabine/G-3540-2013; Humbert, Marc/AAC-8459-2019; GUIGNABERT, Christophe/G-3873-2013</t>
  </si>
  <si>
    <t>bailly, sabine/0000-0003-1043-7030; Humbert, Marc/0000-0003-0703-2892; GUIGNABERT, Christophe/0000-0002-8545-4452</t>
  </si>
  <si>
    <t>1472-8222</t>
  </si>
  <si>
    <t>1744-7631</t>
  </si>
  <si>
    <t>EXPERT OPIN THER TAR</t>
  </si>
  <si>
    <t>Expert Opin. Ther. Targets</t>
  </si>
  <si>
    <t>10.1080/14728222.2017.1275567</t>
  </si>
  <si>
    <t>EK2LK</t>
  </si>
  <si>
    <t>WOS:000393758600007</t>
  </si>
  <si>
    <t>Humbert, M; Coghlan, JG; Ghofrani, HA; Grimminger, F; He, JG; Riemekasten, G; Vizza, CD; Boeckenhoff, A; Meier, C; Pena, JD; Denton, CP</t>
  </si>
  <si>
    <t>Humbert, Marc; Coghlan, J. Gerry; Ghofrani, Hossein-Ardeschir; Grimminger, Friedrich; He, Jian-Guo; Riemekasten, Gabriela; Vizza, Carmine Dario; Boeckenhoff, Annette; Meier, Christian; Pena, Janethe de Oliveira; Denton, Christopher P.</t>
  </si>
  <si>
    <t>Riociguat for the treatment of pulmonary arterial hypertension associated with connective tissue disease: results from PATENT-1 and PATENT-2</t>
  </si>
  <si>
    <t>SYSTEMIC-SCLEROSIS; OPEN-LABEL; STIMULATORS; PREDICTORS; SURVIVAL; BOSENTAN; TRIAL</t>
  </si>
  <si>
    <t>Background The 12-week, phase III Pulmonary Arterial hyperTENsion sGC-stimulator Trial (PATENT)-1 study investigated riociguat in patients with pulmonary arterial hypertension (PAH). Here, we present a prospectively planned analysis of the safety and efficacy of riociguat in the subgroup of patients with PAH associated with connective tissue disease (PAH-CTD). Methods Patients with PAH-CTD were further classified post hoc as having PAH associated with systemic sclerosis or PAH-other defined CTD. In PATENT-1, patients received riociguat (maximum 2.5 or 1.5 mg three times daily) or placebo. Efficacy endpoints included change from baseline in 6-minute walking distance (6MWD; primary endpoint), haemodynamics and WHO functional class (WHO FC). In the long-term extension PATENT-2, patients received riociguat (maximum 2.5 mg three times daily); the primary endpoint was safety and tolerability. Results In patients with PAH-CTD, riociguat increased mean 6MWD, WHO FC, pulmonary vascular resistance and cardiac index. Improvements in 6MWD and WHO FC persisted at 2 years. Two-year survival of patients with PAH-CTD was the same as for idiopathic PAH (93%). Riociguat had a similar safety profile in patients with PAH-CTD to that of the overall population. Conclusions Riociguat was well tolerated and associated with positive trends in 6MWD and other endpoints that were sustained at 2 years in patients with PAH-CTD.</t>
  </si>
  <si>
    <t>[Humbert, Marc] Univ Paris Saclay, Fac Med, Univ Paris Sud, Le Kremlin Bicetre, France; [Humbert, Marc] Hop Bicetre, AP HP, Serv Pneumol, Le Kremlin Bicetre, France; [Humbert, Marc] Hop Marie Lannelongue, INSERM, UMR S 999, Le Plessis Robinson, France; [Coghlan, J. Gerry] Royal Free London NHS Fdn Trust, London, England; [Ghofrani, Hossein-Ardeschir; Grimminger, Friedrich] Univ Giessen &amp; Marburg Lung Ctr, Giessen, Germany; [Ghofrani, Hossein-Ardeschir; Grimminger, Friedrich] German Ctr Lung Res DZL, Giessen, Germany; [Ghofrani, Hossein-Ardeschir] Imperial Coll London, Dept Med, London, England; [He, Jian-Guo] Chinese Acad Med Sci, Beijing, Peoples R China; [He, Jian-Guo] Peking Union Med Coll, Beijing, Peoples R China; [Riemekasten, Gabriela] Univ Lubeck, Dept Rheumatol, Lubeck, Germany; [Vizza, Carmine Dario] Univ Roma La Sapienza, Rome, Italy; [Boeckenhoff, Annette] Bayer Pharma AG, Wuppertal, Germany; [Meier, Christian] Bayer Pharma AG, Berlin, Germany; [Pena, Janethe de Oliveira] Bayer HealthCare Pharmaceut Inc, Whippany, NJ USA; [Denton, Christopher P.] UCL, Royal Free Campus, London, England</t>
  </si>
  <si>
    <t>Universite Paris Saclay; Assistance Publique Hopitaux Paris (APHP); Hopital Universitaire Antoine-Beclere - APHP; Hopital Universitaire Bicetre - APHP; Universite Paris Saclay; Hopital Marie Lannelongue; Universite Paris Saclay; Institut National de la Sante et de la Recherche Medicale (Inserm); University of London; University College London; Royal Free London NHS Foundation Trust; Imperial College London; Chinese Academy of Medical Sciences - Peking Union Medical College; Chinese Academy of Medical Sciences - Peking Union Medical College; Peking Union Medical College; University of Lubeck; Sapienza University Rome; Bayer AG; Bayer Healthcare Pharmaceuticals; Bayer AG; Bayer Healthcare Pharmaceuticals; Bayer AG; Bayer Healthcare Pharmaceuticals; University of London; University College London</t>
  </si>
  <si>
    <t>Denton, CP (corresponding author), UCL, Div Med, Ctr Rheumatol, Rowland Hill St, London NW3 2PF, England.</t>
  </si>
  <si>
    <t>c.denton@ucl.ac.uk</t>
  </si>
  <si>
    <t>Ghofrani, Ardeschir/AAD-5293-2020; vizza, carmine dario/AAC-5540-2020; Humbert, Marc/AAC-8459-2019</t>
  </si>
  <si>
    <t>Ghofrani, Ardeschir/0000-0002-2029-4419; vizza, carmine dario/0000-0002-3540-4983; Humbert, Marc/0000-0003-0703-2892; Grimminger, Friedrich/0000-0001-8725-6276</t>
  </si>
  <si>
    <t>Bayer Pharma AG, Berlin, Germany</t>
  </si>
  <si>
    <t>This study was supported by Bayer Pharma AG, Berlin, Germany. Editorial support was provided by Adelphi Communications Ltd, Bollington, UK, supported by Bayer Pharma AG.</t>
  </si>
  <si>
    <t>10.1136/annrheumdis-2015-209087</t>
  </si>
  <si>
    <t>EI3XT</t>
  </si>
  <si>
    <t>WOS:000392426900016</t>
  </si>
  <si>
    <t>Humbert, M; Wagner, TO</t>
  </si>
  <si>
    <t>Humbert, Marc; Wagner, Thomas O.</t>
  </si>
  <si>
    <t>Rare respiratory diseases are ready for primetime: from Rare Disease Day to the European Reference Networks</t>
  </si>
  <si>
    <t>PRIMARY CILIARY DYSKINESIA; IDIOPATHIC PULMONARY-FIBROSIS; INTERSTITIAL LUNG-DISEASES; CYSTIC-FIBROSIS; CLINICAL-PRACTICE; MANAGEMENT; HYPERTENSION; SARCOIDOSIS; ADULTS; CARE</t>
  </si>
  <si>
    <t>[Humbert, Marc] Univ Paris Sud, Univ Paris Saclay, Fac Med, Le Kremlin Bicetre, France; [Humbert, Marc] Hop Bicetre, AP HP, Serv Pneumol, Ctr Reference Hypertens Pulm, 78 Rue Gen Leclerc, F-94270 Le Kremlin Bicetre, France; [Humbert, Marc] Hop Marie Lannelongue, Inserm UMR S 999, Le Plessis Robinson, France; [Wagner, Thomas O.] Univ Klinikum Frankfurt Main, Dept Pneumol &amp; Allergol, Frankfurt Reference Ctr Rare Dis FRZSE, Frankfurt, Germany</t>
  </si>
  <si>
    <t>Universite Paris Saclay; Assistance Publique Hopitaux Paris (APHP); Hopital Universitaire Bicetre - APHP; Universite Paris Saclay; Hopital Universitaire Antoine-Beclere - APHP; Hopital Marie Lannelongue; Universite Paris Saclay; Institut National de la Sante et de la Recherche Medicale (Inserm); Goethe University Frankfurt; Goethe University Frankfurt Hospital</t>
  </si>
  <si>
    <t>Humbert, M (corresponding author), Hop Bicetre, AP HP, Serv Pneumol, Ctr Reference Hypertens Pulm, 78 Rue Gen Leclerc, F-94270 Le Kremlin Bicetre, France.</t>
  </si>
  <si>
    <t>10.1183/13993003.00085-2017</t>
  </si>
  <si>
    <t>EQ1VQ</t>
  </si>
  <si>
    <t>WOS:000397858100049</t>
  </si>
  <si>
    <t>Montani, D; Chaumais, MC; Seferian, A; Humbert, M</t>
  </si>
  <si>
    <t>Montani, David; Chaumais, Marie-Camille; Seferian, Andrei; Humbert, Marc</t>
  </si>
  <si>
    <t>Mitomycin-induced pulmonary veno-occlusive disease: A rare but severe complication</t>
  </si>
  <si>
    <t>BULLETIN DU CANCER</t>
  </si>
  <si>
    <t>ANIMAL-MODELS; HYPERTENSION; GUIDELINES; DIAGNOSIS</t>
  </si>
  <si>
    <t>[Montani, David; Seferian, Andrei; Humbert, Marc] Univ Paris Sud, Univ Paris Saclay, Fac Med, 78 Rue Gen Leclerc, F-94270 Le Kremlin Bicetre, France; [Montani, David; Seferian, Andrei; Humbert, Marc] Hop Bicetre, Ctr Reference Hypertens Pulm Severe, AP HP, Dept Hosp Univ DHU Thorax Innovat Torino,Serv Pne, 78 Rue Gen Leclerc, F-94270 Le Kremlin Bicetre, France; [Montani, David; Chaumais, Marie-Camille; Seferian, Andrei; Humbert, Marc] Univ Paris Sud, Ctr Chirurg Marie Lannelongue, Inserm,UMR S999, Lab Excellence LabEx Rech Medcament Innovat Thera, 133 Ave Resistance, F-92350 Le Plessis Robinson, France; [Chaumais, Marie-Camille] Hop Antoine Beclere, AP HP, Serv Pharm, 157 Rue Porte de Trivaux, F-92140 Clamart, France; [Chaumais, Marie-Camille] Univ Paris Sud, Fac Pharm, 5 Rue Jean Baptiste Clement, F-92290 Chatenay Malabry, France</t>
  </si>
  <si>
    <t>Universite Paris Saclay; Universite Paris Saclay; Assistance Publique Hopitaux Paris (APHP); Hopital Universitaire Bicetre - APHP; Hopital Universitaire Antoine-Beclere - APHP; Hopital Marie Lannelongue; Institut National de la Sante et de la Recherche Medicale (Inserm); Universite Paris Saclay; Assistance Publique Hopitaux Paris (APHP); Hopital Universitaire Antoine-Beclere - APHP; Universite Paris Saclay</t>
  </si>
  <si>
    <t>Montani, D (corresponding author), Hop Bicetre, Ctr Reference Hypertens Pulm Severe, AP HP, Dept Hosp Univ DHU Thorax Innovat Torino,Serv Pne, 78 Rue Gen Leclerc, F-94270 Le Kremlin Bicetre, France.</t>
  </si>
  <si>
    <t>Seferian, Andrei/0000-0003-1007-433X; Montani, David/0000-0002-9358-6922; Humbert, Marc/0000-0003-0703-2892</t>
  </si>
  <si>
    <t>JOHN LIBBEY EUROTEXT LTD</t>
  </si>
  <si>
    <t>MONTROUGE</t>
  </si>
  <si>
    <t>127 AVE DE LA REPUBLIQUE, 92120 MONTROUGE, FRANCE</t>
  </si>
  <si>
    <t>0007-4551</t>
  </si>
  <si>
    <t>1769-6917</t>
  </si>
  <si>
    <t>B CANCER</t>
  </si>
  <si>
    <t>Bull. Cancer</t>
  </si>
  <si>
    <t>10.1016/j.bulcan.2016.10.012</t>
  </si>
  <si>
    <t>EP3GG</t>
  </si>
  <si>
    <t>WOS:000397270200014</t>
  </si>
  <si>
    <t>Montani, D; Girerd, B; Jaïs, X; Levy, M; Amar, D; Savale, L; Dorfmller, P; Seferian, A; Lau, EM; Eyries, M; Le Pavec, J; Parent, F; Bonnet, D; Soubrier, F; Fadel, E; Sitbon, O; Simonneau, G; Humbert, M</t>
  </si>
  <si>
    <t>Montani, David; Girerd, Barbara; Jais, Xavier; Levy, Marilyne; Amar, David; Savale, Laurent; Dorfmller, Peter; Seferian, Andrei; Lau, Edmund M.; Eyries, Melanie; Le Pavec, Jerome; Parent, Florence; Bonnet, Damien; Soubrier, Florent; Fadel, Elie; Sitbon, Olivier; Simonneau, Gerald; Humbert, Marc</t>
  </si>
  <si>
    <t>Clinical phenotypes and outcomes of heritable and sporadic pulmonary veno-occlusive disease: a population-based study</t>
  </si>
  <si>
    <t>ARTERIAL-HYPERTENSION; COMPETING RISKS; MUTATIONS; GENE</t>
  </si>
  <si>
    <t>Background Bi-allelic mutations of the EIF2AK4 gene cause heritable pulmonary veno-occlusive disease and/or pulmonary capillary haemangiomatosis (PVOD/PCH). We aimed to assess the effect of EIF2AK4 mutations on the clinical phenotypes and outcomes of PVOD/PCH. Methods We did a population-based study using clinical, functional, and haemodynamic data from the registry of the French Pulmonary Hypertension Network. We reviewed the clinical data and outcomes from all patients referred to the French Referral Centre (Pulmonary Department, Hospital Kremlin-Bicetre, University Paris-Sud) with either confirmed or highly probable PVOD/PCH with DNA available for mutation screening (excluding patients with other risk factors of pulmonary hypertension, such as chronic respiratory diseases). We sequenced the coding sequence and intronic junctions of the EIF2AK4 gene, and compared clinical characteristics and outcomes between EIF2AK4 mutation carriers and non-carriers. Medical therapies approved for pulmonary arterial hypertension (prostacyclin derivatives, endothelin receptor antagonists and phosphodiesterase type-5 inhibitors) were given to patients according to the clinical judgment and discretion of treating physicians. The primary outcome was the event-free survival (death or transplantation). Secondary outcomes included response to therapies for pulmonary arterial hypertension and survival after lung transplantation. A satisfactory clinical response to specific therapy for pulmonary arterial hypertension was defined by achieving New York Heart Association functional class I or II, a 6-min walk distance of more than 440 m, and a cardiac index greater than 2.5 L/min per m(2) at the first reassessment after initiation of specific therapy for pulmonary arterial hypertension. Findings We obtained data from Jan 1, 2003, to June 1, 2016, and identified 94 patients with sporadic or heritable PVOD/PCH (confirmed or highly probable). 27 (29%) of these patients had bi-allelic EIF2AK4 mutations. PVOD/PCH due to EIF2AK4 mutations occurred from birth to age 50 years, and these patients were younger at presentation than non-carriers (median 26.0 years [range 0-50.3] vs 60.0 years [6.7-81.4] years; p&lt;0.0001). At diagnosis, both mutations carriers and non-carriers had similarly severe precapillary pulmonary hypertension and functional impairment. 22 (81%) of mutations carriers and 63 (94%) of non-carriers received therapy approved for pulmonary arterial hypertension. Drug-induced pulmonary oedema occurred in five (23%) of treated EIF2AK4 mutations carriers and 13 (21%) of treated non-carriers. Follow-up assessment after initiation of treatment showed that only three (4%) patients with PVOD/PCH reached the predefined criteria for satisfactory clinical response. The probabilities of event-free survival (death or transplantation) at 1 and 3 years were 63% and 32% in EIF2AK4 mutations carriers, and 75% and 34% in non-carriers. No significant differences occurred in event-free survival between the 2 groups (p=0.38). Among the 33 patients who had lung transplantation, estimated post-transplantation survival rates at 1, 2, and 5 years were 84%, 81%, and 73%, respectively. Interpretation Heritable PVOD/PCH due to bi-allelic EIF2AK4 mutations is characterised by a younger age at diagnosis but these patients display similar disease severity compared with mutation non-carriers. Response to therapy approved for pulmonary arterial hypertension in PVOD/PCH is rare. PVOD/PCH is a devastating condition and lung transplantation should be considered for eligible patients.</t>
  </si>
  <si>
    <t>[Montani, David; Girerd, Barbara; Jais, Xavier; Amar, David; Savale, Laurent; Dorfmller, Peter; Seferian, Andrei; Lau, Edmund M.; Parent, Florence; Sitbon, Olivier; Simonneau, Gerald; Humbert, Marc] Univ Paris Sud, Fac Med, F-94270 Le Kremlin Bicetre, France; [Montani, David; Girerd, Barbara; Jais, Xavier; Amar, David; Savale, Laurent; Dorfmller, Peter; Seferian, Andrei; Lau, Edmund M.; Parent, Florence; Sitbon, Olivier; Simonneau, Gerald; Humbert, Marc] Hop Bicetre, AP HP, Ctr Reference Hypertens Pulm Severe, DHU,Thorax Innovat TORINO,Serv Pneumol, Paris, France; [Montani, David; Girerd, Barbara; Jais, Xavier; Amar, David; Savale, Laurent; Dorfmller, Peter; Seferian, Andrei; Parent, Florence; Simonneau, Gerald; Humbert, Marc] Univ Paris Sud, UMR S 999, INSERM, LERMIT,Ctr Chirurg Marie Lannelongue, Paris, France; [Levy, Marilyne; Bonnet, Damien] Univ Paris 05, Hop Univ Necker Enfants Malad, AP HP, Reference Ctr Complex Congenital Heart Dis,Necker, Paris, France; [Dorfmller, Peter; Le Pavec, Jerome; Fadel, Elie] Ctr Chirurg Marie Lannelongue, Serv Chirurg Thorac Vascul &amp; Transplantat Cardiop, Paris, France; [Lau, Edmund M.] Univ Sydney, Sydney Med Sch, Camperdown, Vic, Australia; [Lau, Edmund M.] Royal Prince Alfred Hosp, Camperdown, Vic, Australia; [Eyries, Melanie; Soubrier, Florent] Hop La Pitie Salpetriere, AP HP, UMR ICAN S1166, Dept Genet,INSERM, Paris, France; [Eyries, Melanie; Soubrier, Florent] UPMC Sorbonne Univ, Paris, France</t>
  </si>
  <si>
    <t>Universite Paris Saclay; Assistance Publique Hopitaux Paris (APHP); Hopital Universitaire Bicetre - APHP; Universite Paris Saclay; Universite Paris Saclay; Hopital Marie Lannelongue; Institut National de la Sante et de la Recherche Medicale (Inserm); Universite Paris Cite; Assistance Publique Hopitaux Paris (APHP); Hopital Universitaire Necker-Enfants Malades - APHP; Hopital Marie Lannelongue; University of Sydney; University of Sydney; NSW Health; Royal Prince Alfred Hospital; Sorbonne Universite; Assistance Publique Hopitaux Paris (APHP); Hopital Universitaire Pitie-Salpetriere - APHP; Institut National de la Sante et de la Recherche Medicale (Inserm); Sorbonne Universite</t>
  </si>
  <si>
    <t>Humbert, M (corresponding author), Univ Paris Sud, Ctr Reference Hypertens Pulm Severe, Serv Pneumol, Hop Bicetre, F-94270 Paris, France.</t>
  </si>
  <si>
    <t>Sitbon, Olivier/I-3623-2019; David, Montani/I-6885-2019; Simonneau, Gerald/ABE-6614-2020; EYRIES, melanie/ABF-1034-2020; Savale, Laurent/AAJ-9781-2020; Humbert, Marc/AAC-8459-2019</t>
  </si>
  <si>
    <t>JAIS, XAVIER/0000-0002-4104-7994; Montani, David/0000-0002-9358-6922; Dorfmuller, Peter/0000-0003-2499-6829; Humbert, Marc/0000-0003-0703-2892; SITBON, Olivier/0000-0002-1942-1951; Le Pavec, Jerome/0000-0003-4426-9645; Seferian, Andrei/0000-0003-1007-433X; Bonnet, Damien/0000-0002-8722-5805</t>
  </si>
  <si>
    <t>Fondation de France; Fondation Maladies Rares</t>
  </si>
  <si>
    <t>Fondation de France(Fondation de France); Fondation Maladies Rares</t>
  </si>
  <si>
    <t>We thank the patients, their families, health-care providers from the French Pulmonary Hypertension Network for agreeing to collaborate, the patient association HTaP France, Pierre Clerson (Soladis Clinical Studies Roubaix) for the statistical analysis, the Fondation Eliane et Gerard Pauthier, under the auspices of Fondation de France, and the Fondation Maladies Rares. MH was awarded the Eliane and Gerard Pauthier 2016 Prize.</t>
  </si>
  <si>
    <t>10.1016/S2213-2600(16)30438-6</t>
  </si>
  <si>
    <t>EN9WA</t>
  </si>
  <si>
    <t>WOS:000396349100024</t>
  </si>
  <si>
    <t>Nakhleh, MK; Haick, H; Humbert, M; Cohen-Kaminsky, S</t>
  </si>
  <si>
    <t>Nakhleh, Morad K.; Haick, Hossam; Humbert, Marc; Cohen-Kaminsky, Sylvia</t>
  </si>
  <si>
    <t>Volatolomics of breath as an emerging frontier in pulmonary arterial hypertension</t>
  </si>
  <si>
    <t>VOLATILE ORGANIC-COMPOUNDS; EXHALED BREATH; LUNG-CANCER; PREDICTING SURVIVAL; DISEASE DETECTION; DIAGNOSTIC-TOOL; ANIMAL-MODELS; MANAGEMENT; NANOPARTICLES; CLASSIFICATION</t>
  </si>
  <si>
    <t>There is accumulating evidence in support of the significant improvement in survival rates and clinical outcomes when pulmonary arterial hypertension (PAH) is diagnosed at early stages. Nevertheless, it remains a major clinical challenge and the outcomes are dependent on invasive right heart catheterisation. Resulting from pathophysiological processes and detectable in exhaled breath, volatile organic compounds (VOCs) have been proposed as noninvasive biomarkers for PAH. Studies have confirmed significant alterations of the exhaled VOCs among PAH patients when compared to controls and/or patients with other respiratory diseases. This suggests exhaled breath analysis as a potential noninvasive medical application in the field of PAH. In this article, we review and discuss the progress made so far in the field of exhaled volatolomics (the omics of VOCs) as a potential noninvasive diagnostics of PAH. In addition, we propose a model including possible biochemical pathways on the level of the remodelled artery, in which specific VOCs could be detectable in exhaled breath during the early phases of PAH. We debate the different analytical approaches used and recommend a diagram including a bottom-top strategy, from basic to translational studies, required for promoting the field.</t>
  </si>
  <si>
    <t>[Nakhleh, Morad K.; Humbert, Marc; Cohen-Kaminsky, Sylvia] Univ Paris Saclay, Univ Paris Sud, Fac Med, Paris, France; [Nakhleh, Morad K.; Humbert, Marc; Cohen-Kaminsky, Sylvia] Hop Bicetre, AP HP, DHU TORINO, Serv Pneumol, Paris, France; [Nakhleh, Morad K.; Humbert, Marc; Cohen-Kaminsky, Sylvia] Hop Marie Lannelongue, LabEx LERMIT, Inserm UMR S 999, Paris, France; [Haick, Hossam] Technion IIT, Dept Chem Engn, Haifa, Israel; [Haick, Hossam] Technion IIT, Russell Berrie Nanotechnol Inst, Haifa, Israel</t>
  </si>
  <si>
    <t>Universite Paris Saclay; Assistance Publique Hopitaux Paris (APHP); Hopital Universitaire Bicetre - APHP; Universite Paris Saclay; Hopital Marie Lannelongue; Institut National de la Sante et de la Recherche Medicale (Inserm); Technion Israel Institute of Technology; Technion Israel Institute of Technology</t>
  </si>
  <si>
    <t>Nakhleh, MK (corresponding author), Univ Paris Sud, Hop Marie Lannelongue, INSERM UMR S 999, 133 Ave Resistance, F-92350 Le Plessis Robinson, France.</t>
  </si>
  <si>
    <t>mnakhleh@gmail.com</t>
  </si>
  <si>
    <t>Cohen-Kaminsky, Sylvia/E-4837-2014; Humbert, Marc/AAC-8459-2019</t>
  </si>
  <si>
    <t>Cohen-Kaminsky, Sylvia/0000-0002-6341-7482; Humbert, Marc/0000-0003-0703-2892</t>
  </si>
  <si>
    <t>International Associated Laboratory Inserm-Technion; European Respiratory Society Long-Term PAH; Assistance Publique - Hopitaux de Paris (AP-HP, Contrat Local d'Interface); Departement Hospitalo-Universitaire Thorax Innovation (DHU TORINO)</t>
  </si>
  <si>
    <t>M.K. Nakhleh acknowledges the International Associated Laboratory Inserm-Technion and the European Respiratory Society Long-Term PAH for the post-doctoral grants and support.The authors thank Assistance Publique - Hopitaux de Paris (AP-HP, Contrat Local d'Interface 2014 to S. Cohen-Kaminsky) and Departement Hospitalo-Universitaire Thorax Innovation (DHU TORINO) for financial support.</t>
  </si>
  <si>
    <t>10.1183/13993003.01897-2016</t>
  </si>
  <si>
    <t>WOS:000397858100027</t>
  </si>
  <si>
    <t>Robinson, D; Humbert, M; Buhl, R; Cruz, AA; Inoue, H; Korom, S; Hanania, NA; Nair, P</t>
  </si>
  <si>
    <t>Robinson, D.; Humbert, M.; Buhl, R.; Cruz, A. A.; Inoue, H.; Korom, S.; Hanania, N. A.; Nair, P.</t>
  </si>
  <si>
    <t>Revisiting Type 2-high and Type 2-low airway inflammation in asthma: current knowledge and therapeutic implications</t>
  </si>
  <si>
    <t>PLACEBO-CONTROLLED TRIAL; EXHALED NITRIC-OXIDE; CHITINASE-LIKE PROTEIN; INNATE LYMPHOID-CELLS; CD4(+) T-CELLS; UNCONTROLLED PERSISTENT ASTHMA; SEVERE EOSINOPHILIC ASTHMA; POORLY CONTROLLED ASTHMA; CONTROLLED PHASE-3 TRIAL; SEVERE ALLERGIC-ASTHMA</t>
  </si>
  <si>
    <t>Asthma is a complex respiratory disorder characterized by marked heterogeneity in individual patient disease triggers and response to therapy. Several asthma phenotypes have now been identified, each defined by a unique interaction between genetic and environmental factors, including inflammatory, clinical and trigger-related phenotypes. Endotypes further describe the functional or pathophysiologic mechanisms underlying the patient's disease. type 2-driven asthma is an emerging nomenclature for a common subtype of asthma and is characterized by the release of signature cytokines IL-4, IL-5 and IL-13 from cells of both the innate and adaptive immune systems. A number of well-recognized biomarkers have been linked to mechanisms involved in type 2 airway inflammation, including fractional exhaled nitric oxide, serum IgE, periostin, and blood and sputum eosinophils. These type 2 cytokines are targets for pharmaceutical intervention, and a number of therapeutic options are under clinical investigation for the management of patients with uncontrolled severe asthma. Anticipating and understanding the heterogeneity of asthma and subsequent improved characterization of different phenotypes and endotypes must guide the selection of treatment to meet individual patients' needs.</t>
  </si>
  <si>
    <t>[Robinson, D.] UCLH NHS Trust, Severe Asthma Serv, Dept Resp Med, 250 Euston Rd, London NW1 2PG, England; [Humbert, M.] Univ Paris Saclay, Univ Paris Sud, Hop Bicetre, Serv Pneumol,Assistance Publ Hop Paris,INSERM U99, Le Kremlin Bicetre, France; [Buhl, R.] Mainz Univ Hosp, Pulm Dept, Mainz, Germany; [Cruz, A. A.] Univ Fed Bahia, ProAR Ctr Excellence Asthma, Sch Med, Salvador, BA, Brazil; [Inoue, H.] Kagoshima Univ, Grad Sch Med &amp; Dent Sci, Dept Pulm Med, Kagoshima, Japan; [Korom, S.] F Hoffmann La Roche Ltd, Basel, Switzerland; [Hanania, N. A.] Baylor Coll Med, Sect Pulm &amp; Crit Care Med, Houston, TX 77030 USA; [Nair, P.] McMaster Univ, Dept Med, Div Respirol, Hamilton, ON, Canada</t>
  </si>
  <si>
    <t>University College London Hospitals NHS Foundation Trust; Universite Paris Saclay; Assistance Publique Hopitaux Paris (APHP); Universite Paris Cite; Hopital Universitaire Saint-Louis - APHP; Universite Paris-Est-Creteil-Val-de-Marne (UPEC); Institut National de la Sante et de la Recherche Medicale (Inserm); Hopital Universitaire Antoine-Beclere - APHP; Hopital Universitaire Bicetre - APHP; University Hospital Mainz; Universidade Federal da Bahia; Kagoshima University; Roche Holding; Baylor College of Medicine; McMaster University</t>
  </si>
  <si>
    <t>Robinson, D (corresponding author), UCLH NHS Trust, Severe Asthma Serv, Dept Resp Med, 250 Euston Rd, London NW1 2PG, England.</t>
  </si>
  <si>
    <t>douglas.robinson@uclh.nhs.uk</t>
  </si>
  <si>
    <t>Hanania, Nicola/C-5875-2016; Humbert, Marc/AAC-8459-2019</t>
  </si>
  <si>
    <t>Nair, Parameswaran/0000-0002-1041-9492; Humbert, Marc/0000-0003-0703-2892</t>
  </si>
  <si>
    <t>10.1111/cea.12880</t>
  </si>
  <si>
    <t>EO8AX</t>
  </si>
  <si>
    <t>WOS:000396912300003</t>
  </si>
  <si>
    <t>Berthelot, E; Montani, D; Algalarrondo, V; Dreyfuss, C; Rifai, R; Benmalek, A; Jais, X; Bouchachi, A; Savale, L; Simonneau, G; Chemla, D; Humbert, M; Sitbon, O; Assayag, P</t>
  </si>
  <si>
    <t>Berthelot, Emmanuelle; Montani, David; Algalarrondo, Vincent; Dreyfuss, Celine; Rifai, Raed; Benmalek, Anouar; Jais, Xavier; Bouchachi, Amir; Savale, Laurent; Simonneau, Gerald; Chemla, Denis; Humbert, Marc; Sitbon, Olivier; Assayag, Patrick</t>
  </si>
  <si>
    <t>A Clinical and Echocardiographic Score to Identify Pulmonary Hypertension Due to HFpEF</t>
  </si>
  <si>
    <t>JOURNAL OF CARDIAC FAILURE</t>
  </si>
  <si>
    <t>Heart failure with preserved ejection fraction; pulmonary hypertension; hemodynamics; echocardiography; atrial fibrillation</t>
  </si>
  <si>
    <t>HEART-FAILURE; ARTERIAL-HYPERTENSION; EUROPEAN ASSOCIATION; EJECTION FRACTION; AMERICAN SOCIETY; FILLING PRESSURE; DIAGNOSIS; PREVALENCE; RECOMMENDATIONS; GUIDELINES</t>
  </si>
  <si>
    <t>Background: Heart failure with preserved ejection fraction (HFpEF) is a frequent cause of pulmonary hypertension (PH) that is not easy to differentiate from precapillary PH. We aimed to determine whether the characteristic features of the patients may help differentiate between HFpEF and precapillary PH. Methods and results: Clinical and echocardiographic parameters were analyzed in 156 patients referred to our PH referral center. Right heart catheterization identified 78 PH-HFpEF patients and 78 with pre capillary PH. Compared with precapillary PH, PH-HFpEF patients were older, with a smaller proportion of women, a higher proportion of hypertension, diabetes mellitus, atrial fibrillation and sleep apnea syndrome, and a higher body mass index. On echocardiography, PH-HFpEF patients had higher left ventricular mass index, higher left atrial area, and smaller right ventricular end-diastolic area. Following multivariate analysis, a model predicting the probability of PH-HFpEF was built with history of diabetes mellitus, presence of atrial fibrillation, left atrial area, right ventricular end-diastolic area, and left ventricular mass index. The score was internally validated using bootstrap method (area under the curve 0.93 [95% confidence interval 0.918-0.938]). A score &lt;5 ruled out PH-HFpEF. Conclusion: A score including clinical and echocardiographic criteria may help physicians to identify PH-HFpEF from precapillary PH.</t>
  </si>
  <si>
    <t>[Berthelot, Emmanuelle; Dreyfuss, Celine; Rifai, Raed; Bouchachi, Amir; Chemla, Denis; Assayag, Patrick] Hop Bicetre, AP HP, Serv Cardiol, Le Kremlin Bicetre, France; [Montani, David; Algalarrondo, Vincent; Jais, Xavier; Savale, Laurent; Simonneau, Gerald; Humbert, Marc; Sitbon, Olivier; Assayag, Patrick] Univ Paris Sud, Le Kremlin Bicetre, France; [Montani, David; Jais, Xavier; Savale, Laurent; Simonneau, Gerald; Humbert, Marc; Sitbon, Olivier] Hop Bicetre, AP HP, DHU Thorax Innovat DHU TORINO, Serv Pneumol, Le Kremlin Bicetre, France; [Montani, David; Jais, Xavier; Savale, Laurent; Simonneau, Gerald; Humbert, Marc; Sitbon, Olivier] Hop Bicetre, LabEx LERMIT, INSERM, UMR S 999, Le Kremlin Bicetre, France; [Algalarrondo, Vincent] Hop Bicetre, AP HP, Serv Cardiol, Clamart, France; [Benmalek, Anouar] Fac Pharm Chatenay Malabry, Chatenay Malabry, France; [Benmalek, Anouar] INSERM, UMR S 1180, Chatenay Malabry, France; [Chemla, Denis] Hop Bicetre, AP HP, Serv Physiol, Le Kremlin Bicetre, France</t>
  </si>
  <si>
    <t>Assistance Publique Hopitaux Paris (APHP); Hopital Universitaire Antoine-Beclere - APHP; Hopital Universitaire Bicetre - APHP; Universite Paris Saclay; Universite Paris Saclay; Assistance Publique Hopitaux Paris (APHP); Hopital Universitaire Bicetre - APHP; Hopital Universitaire Antoine-Beclere - APHP; Universite Paris Saclay; Assistance Publique Hopitaux Paris (APHP); Hopital Universitaire Antoine-Beclere - APHP; Hopital Universitaire Bicetre - APHP; Institut National de la Sante et de la Recherche Medicale (Inserm); Universite Paris Saclay; Assistance Publique Hopitaux Paris (APHP); Hopital Universitaire Antoine-Beclere - APHP; Hopital Universitaire Bicetre - APHP; Universite Paris Saclay; Universite Paris Saclay; Institut National de la Sante et de la Recherche Medicale (Inserm); Assistance Publique Hopitaux Paris (APHP); Hopital Universitaire Antoine-Beclere - APHP; Universite Paris Saclay; Hopital Universitaire Bicetre - APHP</t>
  </si>
  <si>
    <t>Berthelot, E (corresponding author), CHU Bicetre, Serv Cardiol, 78 Rue Gen Leclerc, F-94275 Le Kremlin Bicetre, France.</t>
  </si>
  <si>
    <t>emmanuelle.berthelot@aphp.fr</t>
  </si>
  <si>
    <t>Savale, Laurent/AAJ-9781-2020; David, Montani/I-6885-2019; Simonneau, Gerald/ABE-6614-2020; Sitbon, Olivier/I-3623-2019; Algalarrondo, Vincent/HJY-6339-2023; Assayag, Patrick/GPS-4910-2022; Humbert, Marc/AAC-8459-2019</t>
  </si>
  <si>
    <t>Berthelot, Emmanuelle/0000-0002-0418-3110; ALGALARRONDO, Vincent/0000-0001-5971-1235; Humbert, Marc/0000-0003-0703-2892; Assayag, Patrick/0000-0001-9406-4555; JAIS, XAVIER/0000-0002-4104-7994; SITBON, Olivier/0000-0002-1942-1951; Montani, David/0000-0002-9358-6922; CHEMLA, Denis/0000-0001-7479-9896</t>
  </si>
  <si>
    <t>CHURCHILL LIVINGSTONE INC MEDICAL PUBLISHERS</t>
  </si>
  <si>
    <t>CURTIS CENTER, INDEPENDENCE SQUARE WEST, PHILADELPHIA, PA 19106-3399 USA</t>
  </si>
  <si>
    <t>1071-9164</t>
  </si>
  <si>
    <t>1532-8414</t>
  </si>
  <si>
    <t>J CARD FAIL</t>
  </si>
  <si>
    <t>J. Card. Fail.</t>
  </si>
  <si>
    <t>10.1016/j.cardfail.2016.10.002</t>
  </si>
  <si>
    <t>EH8SE</t>
  </si>
  <si>
    <t>WOS:000392041800006</t>
  </si>
  <si>
    <t>Bordenave, J.; Thuillet, R.; Tu, L.; Phan, C.; Simonneau, G.; Huertas, A.; Hibert, M.; Bonnet, D.; Humbert, M.; Frossard, N.; Guignabert, C.</t>
  </si>
  <si>
    <t>Neutralization Of Cxcl12 Reverses Established Pulmonary Hypertension In The Sugen-Hypoxia Rat Model</t>
  </si>
  <si>
    <t>MAY 19-24, 2017</t>
  </si>
  <si>
    <t>[Bordenave, J.; Thuillet, R.; Tu, L.; Phan, C.; Guignabert, C.] Univ Paris Saclay, Univ Paris Sud, INSERM, UMR S 999, Le Plessis Robinson, France; [Simonneau, G.; Huertas, A.; Humbert, M.] Univ Paris Saclay, Univ Paris Sud, INSERM, UMR S 999,AP HP,Serv Pneumol,Ctr Reference Hypert, Le Plessis Robinson, France; [Hibert, M.; Bonnet, D.; Frossard, N.] Univ Strasbourg, CNRS, Fac Pharm, UMR 7200,Lab Excellence MEDALIS, Illkirch Graffenstaden, France</t>
  </si>
  <si>
    <t>Universite Paris Saclay; Institut National de la Sante et de la Recherche Medicale (Inserm); Institut National de la Sante et de la Recherche Medicale (Inserm); Universite Paris Saclay; Assistance Publique Hopitaux Paris (APHP); Universites de Strasbourg Etablissements Associes; Universite de Strasbourg; Centre National de la Recherche Scientifique (CNRS); CNRS - Institute of Chemistry (INC)</t>
  </si>
  <si>
    <t>Simonneau, Gerald/ABE-6614-2020; Bonnet, Dominique/N-7275-2014; TU, Ly/G-4035-2013; GUIGNABERT, Christophe/G-3873-2013; Humbert, Marc/AAC-8459-2019</t>
  </si>
  <si>
    <t>A4205</t>
  </si>
  <si>
    <t>ET6AK</t>
  </si>
  <si>
    <t>WOS:000400372503696</t>
  </si>
  <si>
    <t>Boucly, A; Jais, X; Cottin, V; Savale, L; Prevot, G; O'Connell, C; Picard, F; Weatherald, J; De Groote, P; Jevnikar, M; Bergot, E; Chaouat, A; Chabanne, C; Bourdin, A; Rottat, L; Montani, D; Simonneau, G; Humbert, M; Sitbon, O</t>
  </si>
  <si>
    <t>Boucly, A.; Jais, X.; Cottin, V.; Savale, L.; Prevot, G.; O'Connell, C.; Picard, F.; Weatherald, J.; De Groote, P.; Jevnikar, M.; Bergot, E.; Chaouat, A.; Chabanne, C.; Bourdin, A.; Rottat, L.; Montani, D.; Simonneau, G.; Humbert, M.; Sitbon, O.</t>
  </si>
  <si>
    <t>Risk Categories From European Guidelines Applied To The French Pulmonary Hypertension Registry</t>
  </si>
  <si>
    <t>[Boucly, A.; Jais, X.; Savale, L.; O'Connell, C.; Weatherald, J.; Jevnikar, M.; Rottat, L.; Montani, D.; Simonneau, G.; Humbert, M.; Sitbon, O.] Hop Bicetre, Le Kremlin Bicetre, France; [Cottin, V.] Lyon Univ, Louis Pradel Hosp, Lyon, France; [Prevot, G.] Univ Hosp, Dept Pneumol, Toulouse, France; [Picard, F.] Univ Hosp, Dept Cardiol, Bordeaux, France; [De Groote, P.] CHRU, Dept Cardiol, Lille, France; [Bergot, E.] Univ Hosp, Dept Pneumol, Caen, France; [Chaouat, A.] Lorraine Univ, Dept Pneumol, CHRU, Nancy, France; [Chabanne, C.] CHU, Dept Cardiol, Rennes, France; [Bourdin, A.] Hop Arnaud de Villeneuve, Montpellier, France</t>
  </si>
  <si>
    <t>Assistance Publique Hopitaux Paris (APHP); Hopital Universitaire Bicetre - APHP; Universite Paris Saclay; Hopital Universitaire Antoine-Beclere - APHP; CHU Lyon; CHU Bordeaux; Universite de Bordeaux; Universite de Lille; CHU Lille; CHU de Caen NORMANDIE; Universite de Lorraine; CHU Rennes; Universite de Montpellier; CHU de Montpellier</t>
  </si>
  <si>
    <t>Chaouat, Ari/AAP-6784-2021; Simonneau, Gerald/ABE-6614-2020; Savale, Laurent/AAJ-9781-2020; Bergot, Emmanuel/KHZ-1685-2024; DE GROOTE, Pascal/LLL-9444-2024; Humbert, Marc/AAC-8459-2019; Sitbon, Olivier/I-3623-2019; David, Montani/I-6885-2019; Bourdin, Philippe/D-8149-2015</t>
  </si>
  <si>
    <t>A1042</t>
  </si>
  <si>
    <t>WOS:000400372500043</t>
  </si>
  <si>
    <t>Bousquet, J; Bewick, M; Cano, A; Eklund, P; Fico, G; Goswami, N; Guldemond, NA; Henderson, D; Hinkema, MJ; Liotta, G; Mair, A; Molloy, W; Monaco, A; Monsonis-Paya, I; Nizinska, A; Papadopoulos, H; Pavlickova, A; Pecorelli, S; Prados-Torres, A; Roller-Wirnsberger, RE; Somekh, D; Vera-Munoz, C; Visser, F; Farrell, J; Malva, J; Ranberg, KA; Camuzat, T; Carriazo, AM; Crooks, G; Gutter, Z; Iaccarino, G; De Keenoy, EM; Moda, G; Rodriguez-Mañas, L; Vontetsianos, T; Abreu, C; Alonso, J; Alonso-Bouzon, C; Ankri, J; Arredondo, MT; Avolio, F; Bedbrook, A; Bialoszewski, AZ; Blain, H; Bourret, R; Cabrera-Umpierrez, MF; Catala, A; O'Caoimh, R; Cesari, M; Chavannes, NH; Correia-Da-Sousa, J; Dedeu, T; Ferrando, M; Ferri, M; Fokkens, WJ; Garcia-Lizana, F; Guérin, O; Hellings, PW; Haahtela, T; Illario, M; Inzerilli, MC; Carlsen, KCL; Kardas, P; Keil, T; Maggio, M; Mendez-Zorrilla, A; Menditto, E; Mercier, J; Michel, JP; Murray, R; Nogues, M; O'Byrne-Maguire, I; Pappa, D; Parent, AS; Pastorino, M; Robalo-Cordeiro, C; Samolinski, B; Siciliano, P; Teixeira, AM; Tsartara, SI; Valiulis, A; Vandenplas, O; Vasankari, T; Vellas, B; Vollenbroek-Hutten, M; Wickman, M; Yorgancioglu, A; Zuberbier, T; Barbagallo, M; Canonica, GW; Klimek, L; Maggi, S; Aberer, W; Akdis, C; Adcock, IM; Agache, I; Albera, C; Alonso-Trujillo, F; Guarcia, MA; Annesi-Maesano, I; Apostolo, J; Arshad, SH; Attalin, V; Avignon, A; Bachert, C; Baroni, I; Bel, E; Benson, M; Bescos, C; Blasi, F; Barbara, C; Bergmann, KC; Bernard, PL; Bonini, S; Bousquet, PJ; Branchini, B; Brightling, CE; Bruguière, V; Bunu, C; Bush, A; Caimmi, DP; Calderon, MA; Canovas, G; Cardona, V; Carlsen, KH; Cesario, A; Chkhartishvili, E; Chiron, R; Chivato, T; Chung, KF; D'Angelantonio, M; De Carlo, G; Cholley, D; Chorin, F; Combe, B; Compas, B; Costa, DJ; Costa, E; Coste, O; Coupet, AL; Crepaldi, G; Custovic, A; Dahl, R; Dahlen, SE; Demoly, P; Devillier, P; Didier, A; Dinh-Xuan, AT; Djukanovic, R; Dokic, D; Du Toit, G; Dubakiene, R; Dupeyron, A; Emuzyte, R; Fiocchi, A; Wagner, A; Fletcher, M; Fonseca, J; Fougère, B; Gamkrelidze, A; Garces, G; Garcia-Aymeric, J; Garcia-Zapirain, B; Gemicioglu, B; Gouder, C; Hellquist-Dahl, B; Hermosilla-Gimeno, I; Héve, D; Holland, C; Humbert, M; Hyland, M; Johnston, SL; Just, J; Jutel, M; Kaidashev, IP; Khaitov, M; Kalayci, O; Kalyoncu, AF; Keijser, W; Kerstjens, H; Knezovic, J; Kowalski, M; Koppelman, GH; Kotska, T; Kovac, M; Kull, I; Kuna, P; Kvedariene, V; Lepore, V; Macnee, W; Maggio, M; Magnan, A; Majer, I; Manning, P; Marcucci, M; Marti, T; Masoli, M; Melen, E; Miculinic, N; Mihaltan, F; Milenkovic, B; Millot-Keurinck, J; Mlinaric, H; Momas, I; Montefort, S; Morais-Almeida, M; Moreno-Casbas, T; Mösges, R; Mullol, J; Nadif, R; Nalin, M; Navarro-Pardo, E; Nekam, K; Ninot, G; Paccard, D; Pais, S; Palummeri, E; Panzner, P; Papadopoulos, NK; Papanikolaou, C; Passalacqua, G; Pastor, E; Perrot, M; Plavec, D; Popov, TA; Postma, DS; Price, D; Raffort, N; Reuzeau, JC; Robine, JM; Rodenas, F; Robusto, F; Roche, N; Romano, A; Romano, V; Rosado-Pinto, J; Roubille, F; Ruiz, F; Ryan, D; Salcedo, T; Schmid-Grendelmeier, P; Schulz, H; Schunemann, HJ; Serrano, E; Sheikh, A; Shields, M; Siafakas, N; Scichilone, N; Siciliano, P; Skrindo, I; Smit, HA; Sourdet, S; Sousa-Costa, E; Spranger, O; Sooronbaev, T; Sruk, V; Sterk, PJ; Todo-Bom, A; Touchon, J; Tramontano, D; Triggiani, M; Tsartara, SI; Valero, AL; Valovirta, E; Van Ganse, E; Van Hage, M; Van den Berge, M; Vandenplas, O; Ventura, MT; Vergara, I; Vezzani, G; Vidal, D; Viegi, G; Wagemann, M; Whalley, B; Wickman, M; Wilson, N; Yiallouros, PK; Zagar, M; Zaidi, A; Zidarn, M; Hoogerwerf, EJ; Usero, J; Zuffada, R; Senn, A; De Oliveira-Alves, B</t>
  </si>
  <si>
    <t>Bousquet, J.; Bewick, M.; Cano, A.; Eklund, P.; Fico, G.; Goswami, N.; Guldemond, N. A.; Henderson, D.; Hinkema, M. J.; Liotta, G.; Mair, A.; Molloy, W.; Monaco, A.; Monsonis-Paya, I.; Nizinska, A.; Papadopoulos, H.; Pavlickova, A.; Pecorelli, S.; Prados-Torres, A.; Roller-Wirnsberger, R. E.; Somekh, D.; Vera-Munoz, C.; Visser, F.; Farrell, J.; Malva, J.; Ranberg, K. Andersen; Camuzat, T.; Carriazo, A. M.; Crooks, G.; Gutter, Z.; Iaccarino, G.; Manuel De Keenoy, E.; Moda, G.; Rodriguez-Manas, L.; Vontetsianos, T.; Abreu, C.; Alonso, J.; Alonso-Bouzon, C.; Ankri, J.; Arredondo, M. T.; Avolio, F.; Bedbrook, A.; Bialoszewski, A. Z.; Blain, H.; Bourret, R.; Cabrera-Umpierrez, M. F.; Catala, A.; O'Caoimh, R.; Cesari, M.; Chavannes, N. H.; Correia-Da-Sousa, J.; Dedeu, T.; Ferrando, M.; Ferri, M.; Fokkens, W. J.; Garcia-Lizana, F.; Guerin, O.; Hellings, P. W.; Haahtela, T.; Illario, M.; Inzerilli, M. C.; Carlsen, K. C. Lodrup; Kardas, P.; Keil, T.; Maggio, M.; Mendez-Zorrilla, A.; Menditto, E.; Mercier, J.; Michel, J. P.; Murray, R.; Nogues, M.; O'Byrne-Maguire, I.; Pappa, D.; Parent, A. S.; Pastorino, M.; Robalo-Cordeiro, C.; Samolinski, B.; Siciliano, P.; Teixeira, A. M.; Tsartara, S. I.; Valiulis, A.; Vandenplas, O.; Vasankari, T.; Vellas, B.; Vollenbroek-Hutten, M.; Wickman, M.; Yorgancioglu, A.; Zuberbier, T.; Barbagallo, M.; Canonica, G. W.; Klimek, L.; Maggi, S.; Aberer, W.; Akdis, C.; Adcock, I. M.; Agache, I.; Albera, C.; Alonso-Trujillo, F.; Angel Guarcia, M.; Annesi-Maesano, I.; Apostolo, J.; Arshad, S. H.; Attalin, V.; Avignon, A.; Bachert, C.; Baroni, I.; Bel, E.; Benson, M.; Bescos, C.; Blasi, F.; Barbara, C.; Bergmann, K. C.; Bernard, P. L.; Bonini, S.; Bousquet, P. J.; Branchini, B.; Brightling, C. E.; Bruguiere, V.; Bunu, C.; Bush, A.; Caimmi, D. P.; Calderon, M. A.; Canovas, G.; Cardona, V.; Carlsen, K. H.; Cesario, A.; Chkhartishvili, E.; Chiron, R.; Chivato, T.; Chung, K. F.; D'Angelantonio, M.; De Carlo, G.; Cholley, D.; Chorin, F.; Combe, B.; Compas, B.; Costa, D. J.; Costa, E.; Coste, O.; Coupet, A. -L.; Crepaldi, G.; Custovic, A.; Dahl, R.; Dahlen, S. E.; Demoly, P.; Devillier, P.; Didier, A.; Dinh-Xuan, A. T.; Djukanovic, R.; Dokic, D.; Du Toit, G.; Dubakiene, R.; Dupeyron, A.; Emuzyte, R.; Fiocchi, A.; Wagner, A.; Fletcher, M.; Fonseca, J.; Fougere, B.; Gamkrelidze, A.; Garces, G.; Garcia-Aymeric, J.; Garcia-Zapirain, B.; Gemicioglu, B.; Gouder, C.; Hellquist-Dahl, B.; Hermosilla-Gimeno, I.; Heve, D.; Holland, C.; Humbert, M.; Hyland, M.; Johnston, S. L.; Just, J.; Jutel, M.; Kaidashev, I. P.; Khaitov, M.; Kalayci, O.; Kalyoncu, A. F.; Keijser, W.; Kerstjens, H.; Knezovic, J.; Kowalski, M.; Koppelman, G. H.; Kotska, T.; Kovac, M.; Kull, I.; Kuna, P.; Kvedariene, V.; Lepore, V.; Macnee, W.; Maggio, M.; Magnan, A.; Majer, I.; Manning, P.; Marcucci, M.; Marti, T.; Masoli, M.; Melen, E.; Miculinic, N.; Mihaltan, F.; Milenkovic, B.; Millot-Keurinck, J.; Mlinaric, H.; Momas, I.; Montefort, S.; Morais-Almeida, M.; Moreno-Casbas, T.; Moesges, R.; Mullol, J.; Nadif, R.; Nalin, M.; Navarro-Pardo, E.; Nekam, K.; Ninot, G.; Paccard, D.; Pais, S.; Palummeri, E.; Panzner, P.; Papadopoulos, N. K.; Papanikolaou, C.; Passalacqua, G.; Pastor, E.; Perrot, M.; Plavec, D.; Popov, T. A.; Postma, D. S.; Price, D.; Raffort, N.; Reuzeau, J. C.; Robine, J. M.; Rodenas, F.; Robusto, F.; Roche, N.; Romano, A.; Romano, V.; Rosado-Pinto, J.; Roubille, F.; Ruiz, F.; Ryan, D.; Salcedo, T.; Schmid-Grendelmeier, P.; Schulz, H.; Schunemann, H. J.; Serrano, E.; Sheikh, A.; Shields, M.; Siafakas, N.; Scichilone, N.; Siciliano, P.; Skrindo, I.; Smit, H. A.; Sourdet, S.; Sousa-Costa, E.; Spranger, O.; Sooronbaev, T.; Sruk, V.; Sterk, P. J.; Todo-Bom, A.; Touchon, J.; Tramontano, D.; Triggiani, M.; Tsartara, S. I.; Valero, A. L.; Valovirta, E.; Van Ganse, E.; Van Hage, M.; Van den Berge, M.; Vandenplas, O.; Ventura, M. T.; Vergara, I.; Vezzani, G.; Vidal, D.; Viegi, G.; Wagemann, M.; Whalley, B.; Wickman, M.; Wilson, N.; Yiallouros, P. K.; Zagar, M.; Zaidi, A.; Zidarn, M.; Hoogerwerf, E. J.; Usero, J.; Zuffada, R.; Senn, A.; De Oliveira-Alves, B.</t>
  </si>
  <si>
    <t>BUILDING BRIDGES FOR INNOVATION IN AGEING: SYNERGIES BETWEEN ACTION GROUPS OF THE EIP ON AHA</t>
  </si>
  <si>
    <t>JOURNAL OF NUTRITION HEALTH &amp; AGING</t>
  </si>
  <si>
    <t>European Innovation Partnership on Active and Healthy Ageing; polypharmacy; education; falls; frailty; integrated care; citizen empowerment; chronic respiratory diseases</t>
  </si>
  <si>
    <t>CHRONIC RESPIRATORY-DISEASES; QUALITY-OF-LIFE; OPERATIONAL DEFINITION; ALLERGIC RHINITIS; PERCEIVED RISK; PARTNERSHIP; HEALTH; PREVENTION; INTERVENTIONS; EMPOWERMENT</t>
  </si>
  <si>
    <t>The Strategic Implementation Plan of the European Innovation Partnership on Active and Healthy Ageing (EIP on AHA) proposed six Action Groups. After almost three years of activity, many achievements have been obtained through commitments or collaborative work of the Action Groups. However, they have often worked in silos and, consequently, synergies between Action Groups have been proposed to strengthen the triple win of the EIP on AHA. The paper presents the methodology and current status of the Task Force on EIP on AHA synergies. Synergies are in line with the Action Groups new Renovated Action Plan (2016-2018) to ensure that their future objectives are coherent and fully connected. The outcomes and impact of synergies are using the Monitoring and Assessment Framework for the EIP on AHA (MAFEIP). Eight proposals for synergies have been approved by the Task Force: Five cross-cutting synergies which can be used for all current and future synergies as they consider overarching domains (appropriate polypharmacy, citizen empowerment, teaching and coaching on AHA, deployment of synergies to EU regions, Responsible Research and Innovation), and three cross-cutting synergies focussing on current Action Group activities (falls, frailty, integrated care and chronic respiratory diseases).</t>
  </si>
  <si>
    <t>[Bousquet, J.] Univ Hosp, Montpellier, France; [Bousquet, J.; Camuzat, T.; Bedbrook, A.; Blain, H.; Bourret, R.; Mercier, J.; Nogues, M.; Costa, D. J.; Roubille, F.] European Innovat Partnership Act &amp; Hlth Ageing Re, MACVIA LR, Malad Chron VIeillissement Actif Languedoc Roussi, Montpellier, France; [Bousquet, J.; Ankri, J.; Nadif, R.] INSERM, VIMA Ageing &amp; Chron Dis Epidemiol &amp; Publ Hlth App, U1168, Paris, France; [Bousquet, J.; Ankri, J.; Nadif, R.] Univ Versailles St Quentin En Yvelines, UVSQ, UMR S1168, Versailles, France; [Bewick, M.] iQ4U Consultants Ltd, London, England; [Cano, A.; Angel Guarcia, M.; Navarro-Pardo, E.; Ruiz, F.; Vidal, D.] Univ Valencia, Dept Pediat Obstet &amp; Gynecol, Valencia, Spain; [Eklund, P.] Umea Univ, Dept Comp Sci, Umea, Sweden; [Eklund, P.] Four Comp Oy, Kajaani, Finland; [Fico, G.; Vera-Munoz, C.; Arredondo, M. T.; Cabrera-Umpierrez, M. F.; Pastorino, M.] Univ Politecn Madrid, Life Supporting Technol Res Grp, Madrid, Spain; [Goswami, N.; Roller-Wirnsberger, R. E.] Med Univ Graz, Graz, Austria; [Guldemond, N. A.] Univ Med Ctr Utrecht, Integrated Care &amp; Technol, Utrecht, Netherlands; [Henderson, D.; Pavlickova, A.; Crooks, G.] European Innovat Partnership Act &amp; Hlth Ageing, Reference Site, Scottish Ctr Telehealth &amp; Telecare, EIP AHA,NHS 24, Glasgow, Lanark, Scotland; [Hinkema, M. J.] TNO, Delft, Netherlands; [Liotta, G.] Univ Roma Tor Vergata, Biomed &amp; Prevent Dept, Rome, Italy; [Mair, A.] Scottish Govt Hlth Dept, Directorate Finance eHealth &amp; Pharmaceut, Edinburgh, Midlothian, Scotland; [Molloy, W.; O'Caoimh, R.] Univ Coll, Cork, Ireland; [Monaco, A.] AIFA Agenzia Italiana Farmaco, Area Strateg &amp; Polit Farmaco, Ufficio Coordinamento OsMed &amp; Attivita HTA, Rome, Italy; [Monsonis-Paya, I.; Ferri, M.; Branchini, B.; Garces, G.] Univ Valencia, Polibienestar Res Inst, Valencia, Spain; [Nizinska, A.] Univ Lower Silesia, Wroclaw, Poland; [Papadopoulos, H.; Pappa, D.] Natl Ctr Sci Res, Div Appl Technol, Athens, Greece; [Pecorelli, S.] Univ Brescia, Rector, Brescia, Italy; [Prados-Torres, A.] IIS Aragon Aragon Hlth Sci Inst IACS, Zaragoza, Spain; [Somekh, D.] European Hlth Futures Forum, Isle Of Wight, England; [Visser, F.] Avisco, Capelle aan den IJssel, Netherlands; [Farrell, J.] Dept Hlth Social Serv &amp; Publ Safety, Belfast, Antrim, North Ireland; [Malva, J.] Univ Coimbra, Fac Med, Inst Biomed Imaging &amp; Life Sci, Coimbra, Portugal; [Malva, J.] Ageing Coimbra EIP AHA, Reference Site, Coimbra, Portugal; [Ranberg, K. Andersen] Odense Univ Hosp, Odense, Denmark; [Camuzat, T.] Reg Languedoc Roussillon Midi Pyrenees, Montpellier, France; [Carriazo, A. M.] Reg Minist Hlth Andalusia, Seville, Spain; [Gutter, Z.] Univ Hosp Olomouc, Natl eHlth Ctr, Olomouc, Czech Republic; [Iaccarino, G.] Univ Salerno, Dept Med &amp; Surg, Baronissi, Italy; [Manuel De Keenoy, E.] Kronikgune, Basque Region, Spain; [Moda, G.] Reg Piemonte, Turin, Italy; [Rodriguez-Manas, L.; Alonso-Bouzon, C.] Getafe Univ Hosp, Dept Geriatr, Madrid, Spain; [Vontetsianos, T.] Sotiria Hosp, Athens, Greece; [Abreu, C.; Apostolo, J.] Coimbra Sch Nursing, Ageing Coimbra EIP AHA Reference Site, Coimbra, Portugal; [Alonso, J.] IMIM Inst Hosp Mar Invest Mediques, Barcelona, Spain; [Avolio, F.] Reg Puglia, Bari, Italy; [Bialoszewski, A. Z.] Med Univ Warsaw, Dept Prevent Environm Hazards &amp; Allergol, Warsaw, Poland; [Blain, H.] Montpellier Univ Hosp, Dept Geriatr, Montpellier, France; [Blain, H.; Bernard, P. L.; Dupeyron, A.] Univ Montpellier, Euromov, EA 2991, Montpellier, France; [Bourret, R.] Montpellier Univ Hosp, Montpellier, France; [Cabrera-Umpierrez, M. F.] Univ Politecn Madrid, Life Supporting Technol, Madrid, Spain; [Catala, A.] Tech Univ Catalonia, Barcelona, Spain; [Cesari, M.; Vellas, B.; Fougere, B.; Sourdet, S.] Gerontopole Toulouse, F-31059 Toulouse, France; [Chavannes, N. H.] Leiden Univ, Dept Publ Hlth &amp; Primary Care, Med Ctr, Leiden, Netherlands; [Correia-Da-Sousa, J.] Univ Minho, Sch Hlth Sci, ICVS, Life &amp; Hlth Sci Res Inst, Braga, Portugal; [Dedeu, T.] European Reg &amp; Local Hlth Assoc, EUREGHA, Brussels, Belgium; [Dedeu, T.] Univ Edinburgh, Edinburgh, Midlothian, Scotland; [Ferrando, M.] Univ Valencia, Valencia, Spain; [Fokkens, W. J.] Acad Med Ctr, Dept Otorhinolaryngol, Amsterdam, Netherlands; [Garcia-Lizana, F.] Inst Hlth Carlos III, HTA Agcy, Madrid, Spain; [Guerin, O.] CHRU Nice, Nice, France; [Hellings, P. W.] Katholieke Univ Leuven, Dept Microbiol &amp; Immunol, Clin Immunol Lab, Leuven, Belgium; [Haahtela, T.] Helsinki Univ Hosp, Skin &amp; Allergy Hosp, Helsinki, Finland; [Illario, M.] Federico II Univ Hosp Naples, R&amp;D &amp; DISMET, Naples, Italy; [Inzerilli, M. C.] Community St Egidio Long Live Elderly Program, Rome, Italy; [Carlsen, K. C. Lodrup] Oslo Univ Hosp, Dept Paediat, Oslo, Norway; [Carlsen, K. C. Lodrup] Univ Oslo, Fac Med, Inst Clin Med, Oslo, Norway; [Kardas, P.] Med Univ Lodz, Dept Family Med 1, Lodz, Poland; [Keil, T.] Charite, Inst Social Med Epidemiol &amp; Hlth Econ, Berlin, Germany; [Keil, T.] Univ Wurzburg, Inst Clin Epidemiol &amp; Biometry, Wurzburg, Germany; [Maggio, M.] Univ Parma, Dept Clin &amp; Expt Med, Internal &amp; Geriatr Med, Univ Hosp Parma,Prevent Disabil Lab,Geriatr Clin, Parma, Italy; [Mendez-Zorrilla, A.] Univ Deusto, Bilbao, Spain; [Menditto, E.] Univ Naples Federico II, Ctr Pharmacoecon, CIRFF, Naples, Italy; [Mercier, J.] Univ Montpellier, CHRU, Dept Physiol, INSERM,PhyMedExp,U1046,CNRS UMR 9214, Montpellier, France; [Michel, J. P.] European Union Geriatr Med Soc, Geneva, Switzerland; [Michel, J. P.] European Geriatr Med, Geneva, Switzerland; [Murray, R.] NHS Scotland, Edinburgh, Midlothian, Scotland; [Nogues, M.; Bruguiere, V.; Coupet, A. -L.; Millot-Keurinck, J.; Paccard, D.; Reuzeau, J. C.] Caisse Assurance Retraite &amp; Sante Travail Langued, Montpellier, France; [O'Byrne-Maguire, I.] AFFINITY, State Claims Agcy, Dublin, Ireland; [Parent, A. S.] AGE Platform Europe, Brussels, Belgium; [Robalo-Cordeiro, C.] Coimbra Univ Hosp, Ctr Pneumol, Coimbra, Portugal; [Samolinski, B.] Med Univ Warsaw, Dept Prevent Envinronm Hazards &amp; Allergol, Warsaw, Poland; [Siciliano, P.] CNR, Inst Microelect &amp; Microsyst, Lecce, Italy; [Siciliano, P.] INNOVAAL, Publ Private Partnership Act &amp; Hlth Ageing, Lecce, Italy; [Teixeira, A. M.] Univ Coimbra, Fac Sport Sci &amp; Phys Educ, Coimbra, Portugal; [Tsartara, S. I.] South East Europe Healthcare Integrated Care &amp; Sr, Loutraki, Greece; [Valiulis, A.] Vilnius Univ, Clin Childrens Dis, Ctr Qual Life Res, Vilnius Univ Publ Hlth Inst, Vilnius, Lithuania; [Valiulis, A.] European Acad Paediat EAP UEMS SP, Brussels, Belgium; [Valiulis, A.] European Acad Paediat, Brussels, Belgium; [Vandenplas, O.] Catholic Univ Louvain, Ctr Hosp Univ Dinant Godinne, Dept Chest Med, Yvoir, Belgium; [Vasankari, T.] Finnish Lung Assoc, FILHA, Helsinki, Finland; [Vollenbroek-Hutten, M.] Telemed Grp, Roessingh Res &amp; Dev, Enschede, Netherlands; [Vollenbroek-Hutten, M.] Univ Twente, Fac Elect Engn Math &amp; Comp Sci, Telemed Grp, Enschede, Netherlands; [Wickman, M.; Kull, I.] Soder Sjukhuset, Sachs Children &amp; Youth Hosp, Stockholm, Sweden; [Wickman, M.; Kull, I.] Karolinska Inst, Inst Environm Med, Stockholm, Sweden; [Yorgancioglu, A.] A Celal Bayar Univ, Dept Pulmonol, Manisa, Turkey; [Yorgancioglu, A.] GARD Execut Comm, Manisa, Turkey; [Zuberbier, T.; Bergmann, K. C.] Charite, Dept Dermatol, Allergy Ctr Charite, Berlin, Germany; [Zuberbier, T.; Bergmann, K. C.] Global Allergy &amp; Asthma European Network, Berlin, Germany; [Barbagallo, M.] Univ Palermo, Dept Internal Med, Geriatr Unit, Palermo, Italy; [Canonica, G. W.; Passalacqua, G.] Univ Genoa, DIMI, Allergy &amp; Resp Dis Clin, IRCCS AOU San Martino IST, Genoa, Italy; [Klimek, L.] KLIMEK, Ctr Rhinol &amp; Allergol, Wiesbaden, Germany; [Maggi, S.] CNR Aging Branch, Inst Neurosci, Padua, Italy; [Aberer, W.] Med Univ Graz, Dept Dermatol, Graz, Austria; [Akdis, C.] Univ Zurich, Swiss Inst Allergy &amp; Asthma Res, Davos, Switzerland; [Adcock, I. M.] Imperial Coll London, Natl Heart &amp; Lung Inst, Adcock I Airways Dis, London, England; [Adcock, I. M.] Royal Brompton &amp; Harefield NHS Trust, Biomed Res Unit, London, England; [Agache, I.] Transylvania Univ Brasov, Brasov, Romania; [Albera, C.] Univ Turin, Chest Clin, Turin, Italy; [Alonso-Trujillo, F.] Andalusian Agcy Social Serv &amp; Dependency, Seville, Spain; [Annesi-Maesano, I.; Bousquet, P. J.; Demoly, P.] INSERM, EPAR U707, Paris, France; [Annesi-Maesano, I.; Bousquet, P. J.; Demoly, P.] UPMC, EPAR UMR S, Paris, France; [Arshad, S. H.] David Hide Asthma &amp; Allergy Res Ctr, Isle Of Wight, England; [Attalin, V.] Aviitam, Montpellier, France; [Avignon, A.] Montpellier Univ Hosp, Dept Endocrinol, Montpellier, France; [Bachert, C.] Ghent Univ Hosp, ENT Dept, Upper Airways Res Lab, Ghent, Belgium; [Baroni, I.; Nalin, M.] Telbios, Milan, Italy; [Bel, E.] Univ Amsterdam, Acad Med Ctr, Dept Resp Med, Amsterdam, Netherlands; [Benson, M.] Linkoping Univ, Fac Med, Dept Pediat, Ctr Individualized Med, Linkoping, Sweden; [Bescos, C.] Phillips Res Inst, Delft, Netherlands; [Blasi, F.] Univ Milan, IRCCS Fdn CaGranda Osped Maggiore Policlin, Dept Pathophysiol &amp; Transplantat, Via F Sforza 35, Milan, Italy; [Barbara, C.] Portuguese Natl Programme Resp Dis, PNDR, Fac Med Lisboa, Lisbon, Portugal; [Bonini, S.] Univ Naples 2, Naples, Italy; [Bonini, S.] Italian Natl Res Council, Inst Translat Med, Naples, Italy; [Brightling, C. E.] Univ Hosp Leicester NHS Trust, Resp Biomed Unit, Inst Lung Hlth, Leicester, Leics, England; [Brightling, C. E.] Univ Leicester, Dept Infect Immun &amp; Inflammat, Leicester, Leics, England; [Bunu, C.] Univ Med &amp; Farm Timisoara, Timisoara, Romania; [Bush, A.] Bush A Imperial Coll, London, England; [Bush, A.] Royal Brompton Hosp, London, England; [Caimmi, D. P.; Chiron, R.; Demoly, P.] Montpellier Univ Hosp, Dept Resp Dis, Montpellier, France; [Calderon, M. A.] Univ London Imperial Coll Sci Technol &amp; Med, Natl Heart &amp; Lung Inst, Royal Brompton Hosp NHS, London, England; [Canovas, G.] Maire, Ballaruc Les Bains 34, France; [Cardona, V.] Hosp Valle De Hebron, S Med Interna, Allergol, Barcelona, Spain; [Carlsen, K. H.] Oslo Univ Hosp, Dept Paediat, Oslo, Norway; [Carlsen, K. H.] Univ Oslo, Oslo, Norway; [Cesario, A.] IRCCS Azienda Osped Santa Maria Nuova, Reggio Emilia, Italy; [Chkhartishvili, E.] Grigol Robakidze Univ, AIETI Med Sch, David Tvildiani Med Univ, Chachava Clin, Tbilisi, Georgia; [Chivato, T.] Univ CEU San Pablo, Sch Med, Madrid, Spain; [Chung, K. F.] Univ London Imperial Coll Sci Technol &amp; Med, Natl Heart &amp; Lung Inst, London, England; [D'Angelantonio, M.] Hlth Informat Management SA, Brussels, Belgium; [De Carlo, G.] EFA European Federat Allergy &amp; Airways Dis Patien, Brussels, Belgium; [Cholley, D.] Direct Reg Serv Med, Montpellier, France; [Chorin, F.] CIU Sante, Nice, France; [Combe, B.] Univ Hosp, Dept Rheumatol, Montpellier, France; [Compas, B.] Conseil Dep Herault, Montpellier, France; [Costa, E.] Univ Porto, Fac Pharm, Dept Biol Sci, UCIBIO, Porto, Portugal; [Coste, O.] Direct Reg Jeunesse Sports &amp; Cohes Sociale, Montpellier, France; [Crepaldi, G.] CNR, Inst Neurosci, Padua, Italy; [Custovic, A.] Univ London Imperial Coll Sci Technol &amp; Med, Dept Paediat, London, England; [Dahl, R.] Odense Univ Hosp, Dept Dermatol &amp; Allergy Ctr, Odense, Denmark; [Dahlen, S. E.] Karolinska Inst, Inst Environm Med, Ctr Allergy Res, Stockholm, Sweden; [Devillier, P.] Suresnes Univ Versailles St Quentin, Hop Foch, Lab Pharmacol Resp UPRES EA220, St Quentin en Yvelines, France; [Didier, A.] Rangueil Larrey Hosp, Dept Resp Dis, Toulouse, France; [Dinh-Xuan, A. T.] Univ Paris 05, Hop Cochin, AP HP, Serv Physiol Resp, Paris, France; [Djukanovic, R.] Univ Southampton, Fac Med, Southampton, Hants, England; [Djukanovic, R.] NIHR Southampton Resp Biomed Res Unit, Southampton, Hants, England; [Dokic, D.] Univ Clin Pulmol &amp; Allergy, Med Fac Skopje, Skopje, North Macedonia; [Du Toit, G.] Kings Coll London, Guys &amp; St Thomas NHS Trust, London, England; [Dubakiene, R.] Vilnius Univ, Fac Med, Vilnius, Lithuania; [Dupeyron, A.] Univ Nimes Hosp, Dept Phys &amp; Med Rehabil, Nimes, France; [Emuzyte, R.] Vilnius Univ, Fac Med, Clin Childrens Dis, Vilnius, Lithuania; [Fiocchi, A.] Bambino Gesu Childrens Res Hosp, Dept Pediat Med, Div Allergy, Rome, Italy; [Wagner, A.; Spranger, O.] Global Allergy &amp; Asthma Platform GAAPP, Altgasse 8-10, A-1130 Vienna, Austria; [Fletcher, M.] Educ Hlth, Warwick, England; [Fonseca, J.] Inst CUF Porto Hosp CUF Porto, Allergy Unit, Ctr Res Hlth Technol &amp; Informat Syst CINTESIS, Porto, Portugal; [Fonseca, J.] Univ Porto, Fac Med, Hlth Informat &amp; Decis Sci Dept CIDES, Porto, Portugal; [Gamkrelidze, A.] Natl Ctr Dis Control &amp; Publ Hlth Georgia, Tbilisi, Georgia; [Garcia-Aymeric, J.] ISGLoBAL, Ctr Res Environm Epidemiol CREAL, IMIM Hosp Mar Res Inst, CIBERESP, Barcelona, Spain; [Garcia-Zapirain, B.] Univ Deusto, Bilbao, Spain; [Gemicioglu, B.] Istanbul Univ, Cerrahpasa Fac Med, Dept Pulm Dis, Istanbul, Turkey; [Gouder, C.] Resident Med Specialist Med Mater Dei Hosp, La Valette, Malta; [Hellquist-Dahl, B.] Odense Univ Hosp, Dept Resp Dis, Odense, Denmark; [Hermosilla-Gimeno, I.] Inst Salud Carlos III, Investen Isciii, Madrid, Spain; [Heve, D.] Agence Reg Sante, Montpellier, France; [Holland, C.] Aston Univ, Aston Res Ctr Healthy Ageing, Birmingham, W Midlands, England; [Humbert, M.] Univ Paris 11, Serv Pneumol, Hop Bicetre, Inserm UMR S999, Le Kremlin Bicetre, France; [Hyland, M.; Masoli, M.; Whalley, B.] Univ Plymouth, Sch Psychol, Plymouth, Devon, England; [Johnston, S. L.] Univ London Imperial Coll Sci Technol &amp; Med, Natl Heart &amp; Lung Inst, Airway Dis Infect Sect, London, England; [Johnston, S. L.] MRC &amp; Asthma UK Ctr Allerg Mech Asthma, London, England; [Just, J.] Univ Paris 06, Sorbonne Univ, Hop Enfants Armand Trousseau, AP HP,Dept Allergol,Ctr Asthma &amp; Allergies,Inst P, F-750123 Paris, France; [Jutel, M.] Wroclaw Med Univ, Dept Clin Immunol, Wroclaw, Poland; [Kaidashev, I. P.] Ukrainina Med Stomatol Acad, Poltava, Ukraine; [Khaitov, M.] Natl Res Ctr, Inst Immunol, Fed Medicobiol Agcy, Lab Mol Immunol, Moscow, Russia; [Kalayci, O.] Hacettepe Univ, Sch Med, Pediat Allergy &amp; Asthma Unit, Ankara, Turkey; [Kalyoncu, A. F.] Hacettepe Univ, Sch Med, Dept Chest Dis, Immunol &amp; Allergy Div, Ankara, Turkey; [Keijser, W.] Univ Twente, Twente, Netherlands; [Keijser, W.] Hlth Informat Management Spain SL, Barcelona, Spain; [Kerstjens, H.; Van den Berge, M.] Univ Groningen, Univ Med Ctr Groningen, Dept Pulm Dis, Groningen, Netherlands; [Knezovic, J.; Kovac, M.; Mlinaric, H.; Sruk, V.; Zagar, M.] Univ Zagreb, Fac Elect Engn &amp; Comp, Dept Control &amp; Comp Engn, Multimedia &amp; Comp Architecture Res Ctr, Zagreb, Croatia; [Kowalski, M.] Med Univ Lodz, Dept Immunol Rheumatol &amp; Allergy, Lodz, Poland; [Kowalski, M.] HARC, Lodz, Poland; [Koppelman, G. H.] Univ Groningen, Univ Med Ctr Groningen, Beatrix Childrens Hosp, Dept Pediat Pulmonol &amp; Pediat Allergol,GRIACRes I, Groningen, Netherlands; [Kotska, T.] Med Univ Lodz, Healthy Ageing Res Ctr, Dept Geriatr, Lodz, Poland; [Kuna, P.] Barlicki Univ Hosp, Med Univ Lodz, Div Internal Med Asthma &amp; Allergy, Lodz, Poland; [Kvedariene, V.] Vilnius Univ, Clin Infect Chest Dis Dermatol &amp; Allergol, Vilnius, Lithuania; [Lepore, V.; Robusto, F.] AReS Puglia, Bari, Italy; [Macnee, W.] Univ Edinburgh, Queens Med Res Inst, Edinburgh, Midlothian, Scotland; [Magnan, A.] Univ Nantes, Serv Pneumol, UMR INSERM, UMR1087, Nantes, France; [Magnan, A.] Inst Thorax, CNR 6291, Nantes, France; [Majer, I.] Univ Bratislava, Dept Resp Med, Bratislava, Slovakia; [Manning, P.] Bon Secours Hosp, Dept Med, Dublin, Ireland; [Marcucci, M.] Univ Milan, Fdn IRCCS Ca Granda, Osped Maggiore Policlin, Milan, Italy; [Marcucci, M.] Univ Milan, Dept Clin Sci &amp; Community Hlth, Milan, Italy; [Marti, T.] Generalitat Catalunya, Dept Salut, TicSalut, Mataro, Spain; [Melen, E.] Stockholm Cty Council, Ctr Occupat &amp; Environm Med, Stockholm, Sweden; [Miculinic, N.] Croatian Pulm Soc, Slovenia, Croatia; [Mihaltan, F.] Natl Inst Pneumol M Nasta, Bucharest, Romania; [Milenkovic, B.] Univ Belgrade, Fac Med, Serbia Serbian Assoc Asthma &amp; COPD, Belgrade, Serbia; [Momas, I.] Paris Descartes Univ, Sorbonne Paris Cite, EA 4064, Dept Publ Hlth &amp; Hlth Prod, Paris, France; [Momas, I.] Paris Municipal Dept Social Act Childhood &amp; Hlth, Paris, France; [Montefort, S.] Univ Malta, Lead Resp Physician Mater Hosp Malta, Med, Fac Med &amp; Surg Univ Med, La Valette, Malta; [Morais-Almeida, M.] Hosp CUF Descobertas, Immunoallergy Dept, Lisbon, Portugal; [Morais-Almeida, M.] Soc Portuguesa Alergol &amp; Imunol Clin, Evora, Portugal; [Moreno-Casbas, T.] Inst Hlth Carlos III, Nursing &amp; Hlth Care Res Unit, Madrid, Spain; [Moesges, R.] Univ Cologne, Fac Med, Inst Med Stat Informat &amp; Epidemiol, Cologne, Germany; [Mullol, J.] CIBERES, IDIBAPS, Hosp Clin, ENT Dept,Rhinol Unit, Catalonia, Spain; [Mullol, J.] CIBERES, IDIBAPS, Hosp Clin, ENT Dept,Smell Clin, Catalonia, Spain; [Navarro-Pardo, E.] Univ Valencia, Dept Dev &amp; Educ Psychol, Valencia, Spain; [Nekam, K.] Hosp Hospitaller Brothers Buda, Budapest, Hungary; [Ninot, G.] Univ Montpellier I, EA4556 Epsylon, Montpellier, France; [Pais, S.] Univ Algarve, Sch Hlth, Faro, Portugal; [Palummeri, E.] Gakkiera Hosp, Dept Geriatr, Genoa, Italy; [Panzner, P.] Charles Univ Prague, Fac Med, Dept Immunol &amp; Allergol, Plzen, Czech Republic; [Panzner, P.] Charles Univ Prague, Fac Hosp Pilsen, Plzen, Czech Republic; [Papadopoulos, N. K.] Univ Manchester, Royal Manchester Childrens Hosp, Ctr Pediat &amp; Child Hlth, Inst Human Dev, Manchester M13 9WL, Lancs, England; [Papadopoulos, N. K.] Univ Athens, Athens Gen Childrens Hosp, P&amp;A Kyriakou, Pediat Clin 2,Allergy Dept, Athens 115727, Greece; [Papanikolaou, C.] Laikon Gen Hosp Athens, NHS Unit Hemoglobinopathies Prevent &amp; Treatment, Athens, Greece; [Pastor, E.] LETAPE, Pole Autonomie Sante, CCAS Lattes, F-34970 Lattes, France; [Pastor, E.] Conseil Reg Ordre Masseurs Kinesitherapeutes, Maison Profess Liberales, F-34000 Montpellier, France; [Perrot, M.] Regime Social Independants, Montpellier, France; [Plavec, D.] Univ JJ Strossmayer, Sch Med, Childrens Hosp Srebrnjak Zagreb, Osijek, Croatia; [Popov, T. A.] Alexanders Univ Hosp, Clin Allergy &amp; Asthma, Sofia, Bulgaria; [Postma, D. S.] Univ Groningen, Univ Med Ctr Groningen, Dept Pulm Med &amp; TB, GRIAC Res Inst, Groningen, Netherlands; [Price, D.] Optimum Patient Care, Cambridge, England; [Price, D.] Univ Aberdeen, Acad Ctr Primary Care, Aberdeen, Scotland; [Raffort, N.] Soc Publ Locale Exploitat Balaruc Les Bains, Balaruc Les Bains, France; [Robine, J. M.] INSERM, Res Unit 988, Paris, France; [Robine, J. M.] INSERM, ResearchUnit 710, Montpellier, France; [Robine, J. M.] Ecole Prat Hautes Etud, Paris, France; [Rodenas, F.] Univ Valencia, Polibienestar Res Inst, Valencia, Spain; [Roche, N.] Hop Univ Paris, Pneumol &amp; Soins Intensifs Respiratoires, Ctr Hop Cochin, Cochin, Kerala, India; [Romano, A.] Complesso Integrato Columbus, Allergy Unit, Rome, Italy; [Romano, V.] Piedmonte Reference Site, Turin, Italy; [Rosado-Pinto, J.] Serv Imunoalergol Hosp Luz Lisboa, Lisbon, Portugal; [Roubille, F.] Montpellier Univ Hosp, Dept Cardiol, Montpellier, France; [Ryan, D.] Woodbrook Med Ctr, Gen Practitioner, Loughborough, Leics, England; [Ryan, D.] Univ Edinburgh, Allergy &amp; Resp Res Grp, Edinburgh, Midlothian, Scotland; [Salcedo, T.] Univ Politecn Valencia, ITACA, Valencia, Spain; [Schmid-Grendelmeier, P.] Univ Zurich Hosp, Dept Dermatol, Allergy Unit, Zurich, Switzerland; [Schulz, H.] Helmholtz Zentrum Munchen, Inst Epidemiol 1, Munich, Germany; [Schunemann, H. J.] Univ Freiburg, Med Ctr, Cochrane Germany, Freiburg, Germany; [Serrano, E.] CHU Rangueil Larrey, Otolaryngol &amp; Head &amp; Neck Surg, Toulouse, France; [Sheikh, A.] Univ Edinburgh, Ctr Populat Hlth Sci, Allergy &amp; Resp Res Grp, Sch Med, Edinburgh, Midlothian, Scotland; [Shields, M.] Queens Univ Belfast, Child Hlth, Belfast, Antrim, North Ireland; [Shields, M.] Royal Belfast Hosp Sick Children, Belfast, Antrim, North Ireland; [Siafakas, N.] Univ Hosp Heraklion, Dept Thorac Med, Iraklion, Greece; [Scichilone, N.] Univ Palermo, DIBIMIS, Palermo, Italy; [Skrindo, I.] Akershun Univ Hosp, Dept Otorhinolaryngol, Oslo, Norway; [Smit, H. A.] Univ Utrecht, Univ Med Ctr Utrecht, Julius Ctr Hlth Sci &amp; Primary Care, Utrecht, Netherlands; [Sousa-Costa, E.] Univ Porto, Fac Pharm, UCIBIO, Porto, Portugal; [Sooronbaev, T.] Euro Asian Resp Soc, Kyrgyzstan Natl Ctr Cardiol &amp; Internal Med, Bishkek, Kyrgyzstan; [Sterk, P. J.] Univ Amsterdam, Acad Med Ctr, Amsterdam, Netherlands; [Todo-Bom, A.] Univ Coimbra, Fac Med, Ctr Pneumol, Coimbra, Portugal; [Touchon, J.] Univ Hosp Montpellier, Montpellier, France; [Tramontano, D.] Univ Naples Federico II, Dept Mol Med &amp; Med Biotecnol, Naples, Italy; [Tramontano, D.] GENS Fdn, Naples, Italy; [Triggiani, M.] Univ Salerno, Div Allergy &amp; Clin Immunol, Salerno, Italy; [Valero, A. L.] IDIBAPS, Pneumol &amp; Allergy Dept, Hosp Clin Clin &amp; Expt Resp Immunoallergy, Barcelona, Spain; [Valovirta, E.] Univ Turku, Dept Lung Dis &amp; Clin Allergol, Turku, Finland; [Van Ganse, E.] Univ Lyon 1, CNRS, CHU Lyon UR 5558, Unite Pharmacoepidemiol, Lyon, France; [Van Hage, M.] Karolinska Inst &amp; Univ Hosp, Dept Med Solna, Clin Immunol &amp; Allergy Unit, Stockholm, Sweden; [Ventura, M. T.] Univ Bari, Sch Med, Unit Geriatr Immunoallergol, Bari, Italy; [Vergara, I.] VERGARA Itziar Kronikgune, Bilbao, Spain; [Vezzani, G.] Res Hosp, Arcispedale SMaria Nuova IRCCS, Dept Cardiol Thorac &amp; Vasc Med, Pulm Unit, Reggio Emilia, Italy; [Vezzani, G.] Reg Agcy Hlth &amp; Social Care, Reggio Emilia, Italy; [Viegi, G.] CNR, Pisa, Italy; [Wagemann, M.] Univ Klinikum Dusseldorf, HNO Klin, Dept Otorhinolaryngol, Dusseldorf, Germany; [Wilson, N.] North England EU Hlth Partnership, Newcastle, NSW, Australia; [Yiallouros, P. K.] Cyprus Univ Technol, Harvard Sch Publ Hlth, Cyprus Int Inst Environm &amp; Publ Hlth, Limassol, Cyprus; [Yiallouros, P. K.] Hosp Archbishop Makarios III, Dept Pediat, Nicosia, Cyprus; [Zaidi, A.] Univ Southampton, Social Sci, Southampton, Hants, England; [Zidarn, M.] Univ Clin Resp &amp; Allerg Dis, Golnik, Slovenia; [Hoogerwerf, E. J.; Usero, J.; Zuffada, R.] Funka, Stockholm, Sweden; [Senn, A.; De Oliveira-Alves, B.] European Commiss, EC CNECT H2, Brussels, Belgium</t>
  </si>
  <si>
    <t>Universite de Montpellier; CHU de Montpellier; Universite de Montpellier; Universite Paris Saclay; Institut National de la Sante et de la Recherche Medicale (Inserm); Universite Paris Saclay; University of Valencia; Umea University; Universidad Politecnica de Madrid; Medical University of Graz; Utrecht University; Utrecht University Medical Center; Netherlands Organization Applied Science Research; University of Rome Tor Vergata; University College Cork; Italian Medicines Agency - AIFA; University of Valencia; University of Brescia; Universidade de Coimbra; Universidade de Coimbra; University of Southern Denmark; Odense University Hospital; University Hospital Olomouc; University of Salerno; Hospital Universitario de Getafe; Nursing School of Coimbra; Hospital del Mar Research Institute; Medical University of Warsaw; Universite de Montpellier; CHU de Montpellier; Universite de Montpellier; Universite de Montpellier; CHU de Montpellier; Universidad Politecnica de Madrid; Universitat Politecnica de Catalunya; CHU de Toulouse; Leiden University; Leiden University Medical Center (LUMC); Leiden University - Excl LUMC; Universidade do Minho; University of Edinburgh; University of Valencia; University of Amsterdam; Academic Medical Center Amsterdam; CHU Nice; KU Leuven; University of Helsinki; Helsinki University Central Hospital; University of Oslo; University of Oslo; Medical University Lodz; Berlin Institute of Health; Free University of Berlin; Humboldt University of Berlin; Charite Universitatsmedizin Berlin; University of Wurzburg; University of Parma; University Hospital of Parma; University of Deusto; University of Naples Federico II; Universite de Montpellier; CHU de Montpellier; Institut National de la Sante et de la Recherche Medicale (Inserm); Centre National de la Recherche Scientifique (CNRS); CNRS - National Institute for Biology (INSB); NHS National Services Scotland; Universidade de Coimbra; Centro Hospitalar e Universitario de Coimbra (CHUC); Medical University of Warsaw; Consiglio Nazionale delle Ricerche (CNR); Istituto per la Microelettronica e Microsistemi (IMM-CNR); Universidade de Coimbra; Vilnius University; Universite Catholique Louvain; University of Twente; Sodersjukhuset Hospital; Karolinska Institutet; Celal Bayar University; Berlin Institute of Health; Free University of Berlin; Humboldt University of Berlin; Charite Universitatsmedizin Berlin; University of Palermo; University of Genoa; IRCCS AOU San Martino IST; Medical University of Graz; Swiss Institute of Allergy &amp; Asthma Research; University of Zurich; Imperial College London; Royal Brompton &amp; Harefield NHS Foundation Trust; Royal Brompton Hospital; Transylvania University of Brasov; University of Turin; Institut National de la Sante et de la Recherche Medicale (Inserm); Sorbonne Universite; Universite de Montpellier; CHU de Montpellier; Ghent University; Ghent University Hospital; University of Amsterdam; Academic Medical Center Amsterdam; Linkoping University; University of Milan; IRCCS Ca Granda Ospedale Maggiore Policlinico; Universidade de Lisboa; Universita della Campania Vanvitelli; Consiglio Nazionale delle Ricerche (CNR); University of Leicester; University Hospitals of Leicester NHS Trust; University of Leicester; Victor Babes University of Medicine &amp; Pharmacy, Timisoara; Imperial College London; Royal Brompton Hospital; Universite de Montpellier; CHU de Montpellier; Royal Brompton Hospital; Imperial College London; Hospital Universitari Vall d'Hebron; University of Oslo; University of Oslo; San Pablo CEU University; Imperial College London; Universite de Montpellier; CHU de Montpellier; Universidade do Porto; Consiglio Nazionale delle Ricerche (CNR); Imperial College London; University of Southern Denmark; Odense University Hospital; Karolinska Institutet; Universite Paris Saclay; Hospital Foch; CHU de Toulouse; Universite Paris Cite; Assistance Publique Hopitaux Paris (APHP); Hopital Universitaire Cochin - APHP; University of Southampton; Saints Cyril &amp; Methodius University of Skopje; Guy's &amp; St Thomas' NHS Foundation Trust; University of London; King's College London; Vilnius University; Universite de Montpellier; CHU de Nimes; Vilnius University; IRCCS Bambino Gesu; Universidade do Porto; Universidade do Porto; National Center for Disease Control &amp; Public Health - Georgia; ISGlobal; Hospital del Mar Research Institute; Pompeu Fabra University; Centre de Recerca en Epidemiologia Ambiental (CREAL); CIBER - Centro de Investigacion Biomedica en Red; CIBERESP; University of Deusto; Istanbul University - Cerrahpasa; Istanbul University; University of Southern Denmark; Odense University Hospital; Instituto de Salud Carlos III; Unidad de Investigacion en Cuidados y Servicios de Salud (INVESTEN); Aston University; Assistance Publique Hopitaux Paris (APHP); Hopital Universitaire Bicetre - APHP; Universite Paris Saclay; Hopital Universitaire Antoine-Beclere - APHP; Institut National de la Sante et de la Recherche Medicale (Inserm); University of Plymouth; Imperial College London; University of London; King's College London; Assistance Publique Hopitaux Paris (APHP); Sorbonne Universite; Hopital Universitaire Armand-Trousseau - APHP; Wroclaw Medical University; Poltava State Medical University; NRC Institute of Immunology FMBA of Russia; Hacettepe University; Hacettepe University; University of Twente; University of Groningen; University of Zagreb; Medical University Lodz; University of Groningen; Medical University Lodz; Medical University Lodz; Vilnius University; University of Edinburgh; Nantes Universite; Institut National de la Sante et de la Recherche Medicale (Inserm); Nantes Universite; CHU de Nantes; Institut National de la Sante et de la Recherche Medicale (Inserm); Comenius University Bratislava; University of Milan; IRCCS Ca Granda Ospedale Maggiore Policlinico; University of Milan; Region Stockholm; Marius Nasta Pneumophtisiology Institute; University of Belgrade; Universite Paris Cite; University of Malta; University of Cologne; CIBER - Centro de Investigacion Biomedica en Red; CIBERES; University of Barcelona; Hospital Clinic de Barcelona; IDIBAPS; CIBER - Centro de Investigacion Biomedica en Red; CIBERES; University of Barcelona; Hospital Clinic de Barcelona; IDIBAPS; University of Valencia; Universite de Montpellier; Universidade do Algarve; Charles University Prague; Charles University Prague; Royal Manchester Children's Hospital; University of Manchester; National &amp; Kapodistrian University of Athens; Laiko General Hospital; University of JJ Strossmayer Osijek; Medical University Sofia; University of Groningen; University of Aberdeen; Institut National de la Sante et de la Recherche Medicale (Inserm); Universite Paris Cite; Institut National de la Sante et de la Recherche Medicale (Inserm); Universite de Montpellier; Universite PSL; Ecole Pratique des Hautes Etudes (EPHE); University of Valencia; Assistance Publique Hopitaux Paris (APHP); Universite Paris Cite; Hopital Universitaire Cochin - APHP; Universite de Montpellier; CHU de Montpellier; University of Edinburgh; Universitat Politecnica de Valencia; University of Zurich; University Zurich Hospital; Helmholtz Association; Helmholtz-Center Munich - German Research Center for Environmental Health; University of Freiburg; CHU de Toulouse; University of Edinburgh; Queens University Belfast; University Hospital of Heraklion; University of Palermo; Utrecht University; Utrecht University Medical Center; Universidade do Porto; University of Amsterdam; Academic Medical Center Amsterdam; Universidade de Coimbra; Universite de Montpellier; CHU de Montpellier; University of Naples Federico II; University of Salerno; University of Barcelona; Hospital Clinic de Barcelona; IDIBAPS; University of Turku; Centre National de la Recherche Scientifique (CNRS); Universite Claude Bernard Lyon 1; Karolinska Institutet; Karolinska University Hospital; Universita degli Studi di Bari Aldo Moro; IRCCS Arcispedale S. Maria Nuova; Consiglio Nazionale delle Ricerche (CNR); Heinrich Heine University Dusseldorf; Heinrich Heine University Dusseldorf Hospital; Cyprus International Institute for Environmental &amp; Public Health; Cyprus University of Technology; University of Southampton</t>
  </si>
  <si>
    <t>Bousquet, J (corresponding author), CHRU, 371 Ave Doyen Gaston Giraud, F-34295 Montpellier 5, France.</t>
  </si>
  <si>
    <t>Monsonís Payá, Irene/ACH-6413-2022; Guldemond, Nick/AAS-7755-2020; Adcock, Ian/L-3217-2019; Popov, Todor/Q-9928-2016; Shields, Mike/AGG-3437-2022; Bachert, Claus/J-8825-2012; Plavec, Davor/HKM-7822-2023; Annesi-Maesano, Isabella/D-9173-2016; Zorrilla, Amaia/ABH-4265-2020; Monaco, Alessandro/ABH-3887-2020; Holland, Carol/AAA-9849-2021; Schmid, Peter/D-1717-2013; Kerstjens, Huib/N-4754-2017; Sterk, P.J./AAK-8175-2020; Johnston, Sebastian/I-2423-2012; Whalley, Ben/C-4390-2008; Bousquet, Jean/O-4221-2019; Fiocchi, Alessandro/K-9235-2016; Yorgancioglu, Arzu/AAC-7548-2020; Ninot, Gregory/AAD-3211-2019; Koppelman, Gerard/AAG-9187-2020; Pappa, Dimitra/AAE-1859-2021; Triggiani, Massimo/K-8271-2016; Bousquet, Philippe Jean/AAW-8608-2021; Viegi, Giovanni/K-2746-2016; Schulz, Holger/J-5643-2015; Blasi, Francesco/G-1055-2015; Sheikh, Aziz/D-2818-2009; Kaidashev, Igor/L-2606-2019; Vera-Muñoz, Cecilia/A-4366-2019; MAGNAN, ANTOINE/GVT-4308-2022; Zuberbier, Torsten/AFM-9173-2022; Vicheva, Dilyana/AAI-7136-2020; Ventura, Maria/J-8197-2017; Todo Bom, Ana/AHD-3630-2022; Chung, Kian/B-1872-2012; Yiallouros, Panayiotis/AAF-6026-2019; Rodriguez-Manas, Leocadio/AFL-1127-2022; Lepore, Vito/ABG-4356-2020; van Hage, Marianne/A-9678-2017; ALONSO-TRUJILLO, FEDERICO/T-6163-2018; Blain, Hubert/AAZ-8017-2020; cicardi, marco/K-9219-2016; Djokic, Dejan/V-9813-2017; Gemicioglu, Bilun/AAH-6927-2019; Vollenbroek, Miriam/B-2775-2015; Bergmann, Karl-Christian/AAA-4104-2019; VAN GANSE, Eric/D-5876-2015; Bialoszewski, Artur/G-5875-2012; Siciliano, Pietro/GLR-0794-2022; Fokkens, Wytske/ABF-2185-2020; Cardona, Victoria/GRX-4196-2022; Waldmeyer, María/AAQ-1497-2021; O'Caoimh, Rónán/K-9564-2019; Tramontano, Donatella/AAS-1740-2020; Barbara, C./AAF-3397-2020; Agache, Ioana/AAP-7403-2020; BARBAGALLO, MARIO/K-4794-2017; Kvedariene, Violeta/D-7730-2011; Avignon, Antoine/AAD-5441-2020; Iaccarino, Guido/A-7702-2010; Alonso, Jordi/A-5514-2010; Valiulis, Arunas/JEZ-2972-2023; costa, david/AAA-1971-2020; Muñoz, Marta/AAB-4615-2019; Akdis, Cezmi/AAV-4844-2020; J, Garcia-Aymerich/G-6867-2014; Siafakas, Nikolas/AAI-3324-2020; Marcucci, Maura/AFS-8748-2022; Cesari, Matteo/A-4649-2008; Bonini, Stefano/A-2250-2012; Demoly, Pascal/Y-9938-2019; Romano, Antonino/D-3102-2017; CANONICA, GIORGIO WALTER/ABF-2037-2020; Schunemann, Holger/LRB-7016-2024; Khaitov, Musa/L-3369-2017; Custovic, Adnan/A-2435-2012; Caimmi, Davide/AAA-1277-2019; Garcia-Zapirain, Begonya/L-5619-2014; Navarro-Pardo, Esperanza/B-5134-2014; Fonseca, Joao/B-7562-2008; Costa, Elisio/K-1990-2013; Alves Apostolo, Joao Luis/H-6281-2012; Hellings, Peter/I-4068-2018; Monaco, Alessandro/O-5338-2015; Humbert, Marc/AAC-8459-2019; Teixeira, Ana/O-3427-2018; Cabrera-Umpierrez, Maria Fernanda/N-8980-2014; Correia de Sousa, Jaime/H-5607-2015; Ferri Sanz, Mireia/V-3292-2017; Malva, Joao/L-3557-2014; Dinh-Xuan, Anh Tuan/A-9691-2008; Nadif, Rachel/R-2876-2016; IACCARINO, Guido/Q-4799-2016; Fico, Giuseppe/K-3640-2017; Robine, Jean-Marie/F-5439-2011; Bonini, Sergio/T-6594-2019; Blasi, Francesco/O-5885-2017; Kaidashev, Igor/H-3827-2016; Chavannes, Niels Henrik/F-1148-2011; Moreno-Casbas, Teresa/S-2075-2016; Robalo Cordeiro, Carlos Manuel da Silva/I-4864-2012; Prados-Torres, Alexandra/P-5818-2017; Andersen-Ranberg, Karen/P-7053-2015; Panzner, Petr/I-7034-2017; Rodenas Rigla, Francisco/L-5293-2014</t>
  </si>
  <si>
    <t>menditto, enrica/0000-0001-8633-5650; Marcucci, Maura/0000-0002-8468-7991; Sheikh, Aziz/0000-0001-7022-3056; Cesari, Matteo/0000-0002-0348-3664; Zuberbier, Torsten/0000-0002-1466-8875; Robusto, Fabio/0000-0002-4932-1636; Shields, Michael/0000-0002-3793-3571; Johnston, Sebastian/0000-0003-3009-9200; Bonini, Stefano/0000-0002-7787-2144; momas, isabelle/0000-0003-4344-3787; O'Caoimh, Ronan/0000-0002-1499-673X; Arredondo Waldmeyer, Maria Teresa/0000-0003-3113-3976; Koppelman, Gerard/0000-0001-8567-3252; Lepore, Vito/0000-0002-5466-780X; Rodriguez-Manas, Leocadio/0000-0002-6551-1333; Monsonis Paya, Irene/0000-0001-7140-6209; orlando, valentina/0000-0002-8209-8878; Demoly, Pascal/0000-0001-7827-7964; Romano, Antonino/0000-0001-9742-9898; CANONICA, GIORGIO WALTER/0000-0001-8467-2557; Schunemann, Holger/0000-0003-3211-8479; Khaitov, Musa/0000-0003-4961-9640; Djukanovic, Ratko/0000-0001-6039-5612; brightling, chris/0000-0002-9345-4903; Custovic, Adnan/0000-0001-5218-7071; Nalin, Marco/0000-0002-9957-3225; Caimmi, Davide/0000-0003-4481-6194; Garcia-Zapirain, Begonya/0000-0002-9356-1186; Zidarn, Mihaela/0000-0003-0515-5207; Cardona, Victoria/0000-0003-2197-9767; Navarro-Pardo, Esperanza/0000-0002-9355-2909; JUTEL, MAREK/0000-0003-1555-9379; Hyland, Michael/0000-0003-3879-0469; Ferrando Garcia, Maite/0000-0002-8324-411X; TRIGGIANI, MASSIMO/0000-0001-7318-2093; Vergara, Itziar/0000-0001-9671-7898; Fonseca, Joao/0000-0002-0887-8796; Akdis, Cezmi/0000-0001-8020-019X; Costa, Elisio/0000-0003-1158-1480; VENTURA, Maria Teresa/0000-0002-2637-4583; Fiocchi, Alessandro/0000-0002-2549-0523; Alves Apostolo, Joao Luis/0000-0002-3050-4264; Mendez-Zorrilla, Amaia/0000-0002-0539-4753; Hoogerwerf, Evert-Jan/0009-0008-0557-2688; Pappa, Dimitra/0000-0002-4506-6690; Kostka, Tomasz/0000-0003-0437-650X; Hellings, Peter/0000-0001-6898-688X; Monaco, Alessandro/0000-0002-9941-7003; Humbert, Marc/0000-0003-0703-2892; Teixeira, Ana/0000-0003-1498-949X; Cabrera-Umpierrez, Maria Fernanda/0000-0001-9343-063X; Vollenbroek-Hutten, Miriam/0000-0001-8730-1487; Holland, Carol/0000-0001-7109-6554; Kuna, Piotr/0000-0003-2401-0070; Correia de Sousa, Jaime/0000-0001-6459-7908; Murray, Ruth/0000-0002-2821-978X; Ferri Sanz, Mireia/0000-0003-1848-0957; Malva, Joao/0000-0002-5438-4447; Vasankari, Tuula/0000-0002-1413-8970; Vera Munoz, Cecilia/0000-0002-8737-494X; Bousquet, Jean/0000-0002-4061-4766; Baroni, Ilaria/0000-0001-5791-8427; Dinh-Xuan, Anh Tuan/0000-0001-8651-5176; Hermosilla Gimeno, Isabel M./0000-0002-8808-8291; Nadif, Rachel/0000-0003-4938-9339; Arshad, Syed Hasan/0000-0001-5988-235X; IACCARINO, Guido/0000-0002-8997-835X; Fico, Giuseppe/0000-0003-1551-4613; Todo-Bom, Ana/0000-0002-1850-6689; Ninot, Gregory/0000-0001-8248-9169; Gemicioglu, Bilun/0000-0001-5953-4881; Adcock, Ian/0000-0003-2101-8843; Robine, Jean-Marie/0000-0002-4111-6195; Bonini, Sergio/0000-0003-0079-3031; Blasi, Francesco/0000-0002-2285-9970; Du Toit, George/0000-0002-0321-2928; Kaidashev, Igor/0000-0002-4708-0859; Mlinaric, Hrvoje/0000-0002-2462-0832; Kerstjens, Huib/0000-0001-7705-7927; Chavannes, Niels Henrik/0000-0002-8607-9199; van den Berge, Maarten/0000-0002-9336-7340; Yiallouros, Panayiotis/0000-0002-8339-9285; Moreno-Casbas, Teresa/0000-0001-9061-4628; Bialoszewski, Artur/0000-0001-5941-0483; Popov, Todor/0000-0001-5052-5866; Barbara, Cristina/0000-0003-0915-4105; yorgancioglu, arzu/0000-0002-4032-0944; Robalo Cordeiro, Carlos Manuel da Silva/0000-0002-8264-3856; Prados-Torres, Alexandra/0000-0002-5704-6056; Pais, Sandra/0000-0001-8472-4994; Ankri, Joel/0000-0002-0070-6471; Kardas, Przemyslaw/0000-0002-6078-2628; Andersen-Ranberg, Karen/0000-0003-1970-7076; Kvedariene, Violeta/0000-0002-6119-211X; Bergmann, Karl-Christian/0000-0002-0306-9922; Panzner, Petr/0000-0002-1291-450X; Rodenas Rigla, Francisco/0000-0003-3264-4735; Tramontano, Donatella/0000-0002-9308-034X; Fletcher, Monica/0000-0002-9700-3552</t>
  </si>
  <si>
    <t>MRC [G1001367] Funding Source: UKRI</t>
  </si>
  <si>
    <t>SPRINGER FRANCE</t>
  </si>
  <si>
    <t>22 RUE DE PALESTRO, PARIS, 75002, FRANCE</t>
  </si>
  <si>
    <t>1279-7707</t>
  </si>
  <si>
    <t>1760-4788</t>
  </si>
  <si>
    <t>J NUTR HEALTH AGING</t>
  </si>
  <si>
    <t>J. Nutr. Health Aging</t>
  </si>
  <si>
    <t>10.1007/s12603-016-0803-1</t>
  </si>
  <si>
    <t>Geriatrics &amp; Gerontology; Nutrition &amp; Dietetics</t>
  </si>
  <si>
    <t>EL0YF</t>
  </si>
  <si>
    <t>WOS:000394347000013</t>
  </si>
  <si>
    <t>Busse, W. W.; Humbert, M.; Stephenson, P.; Iqbal, A.; Trzaskoma, B. L.; Conde, L. Garcia; Hepburn, J.; Ortiz, B.; Kianifard, F.; Holgate, S.</t>
  </si>
  <si>
    <t>The Effect Of Omalizumab On Lung Function In Adolescents With Moderate-To-Severe Allergic Asthma</t>
  </si>
  <si>
    <t>[Busse, W. W.] Univ Wisconsin, Madison, WI USA; [Humbert, M.] Univ Paris Sud, Hop Bicetre, Le Kremlin Bicetre, France; [Stephenson, P.] Rho Inc, Chapel Hill, NC USA; [Iqbal, A.; Trzaskoma, B. L.] Genentech Inc, San Francisco, CA 94080 USA; [Conde, L. Garcia] Novartis Pharma AG, Basel, Switzerland; [Hepburn, J.; Ortiz, B.; Kianifard, F.] Novartis Pharmaceut, E Hanover, NJ USA; [Holgate, S.] Univ Southampton, Southampton, Hants, England</t>
  </si>
  <si>
    <t>University of Wisconsin System; University of Wisconsin Madison; Universite Paris Saclay; Assistance Publique Hopitaux Paris (APHP); Hopital Universitaire Bicetre - APHP; Hopital Universitaire Antoine-Beclere - APHP; Rho; Roche Holding; Roche Holding USA; Genentech; Novartis; Novartis; Novartis USA; University of Southampton</t>
  </si>
  <si>
    <t>Humbert, Marc/AAC-8459-2019; Busse, William/AFR-0848-2022; holgate, stephen/JOZ-4882-2023</t>
  </si>
  <si>
    <t>This abstract is funded by: Novartis</t>
  </si>
  <si>
    <t>A5105</t>
  </si>
  <si>
    <t>WOS:000400372504743</t>
  </si>
  <si>
    <t>Cottin, V; Bel, E; Bottero, P; Dalhoff, K; Humbert, M; Lazor, R; Sinico, RA; Sivasothy, P; Wechsler, ME; Groh, M; Marchand-Adam, S; Khouatra, C; Wallaert, B; Taillé, C; Delaval, P; Cadranel, J; Bonniaud, P; Prévot, G; Hirschi, S; Gondouin, A; Dunogué, B; Chatté, G; Briault, C; Pagnoux, C; Jayne, D; Guillevin, L; Cordier, JF</t>
  </si>
  <si>
    <t>Cottin, Vincent; Bel, Elisabeth; Bottero, Paolo; Dalhoff, Klaus; Humbert, Marc; Lazor, Romain; Sinico, Renato A.; Sivasothy, Pasupathy; Wechsler, Michael E.; Groh, Matthieu; Marchand-Adam, Sylvain; Khouatra, Chahera; Wallaert, Benoit; Taille, Camille; Delaval, Philippe; Cadranel, Jacques; Bonniaud, Philippe; Prevot, Gregoire; Hirschi, Sandrine; Gondouin, Anne; Dunogue, Bertrand; Chatte, Gerard; Briault, Christophe; Pagnoux, Christian; Jayne, David; Guillevin, Loic; Cordier, Jean-Francois</t>
  </si>
  <si>
    <t>GERM O P</t>
  </si>
  <si>
    <t>Revisiting the systemic vasculitis in eosinophilic granulomatosis with polyangiitis (Churg-Strauss) A study of 157 patients by the Groupe d'Etudes et de Recherche sur les Maladies Orphelines Pulmonaires and the European Respiratory Society Taskforce on eosinophilic granulomatosis with polyangiitis (Churg-Strauss)</t>
  </si>
  <si>
    <t>AUTOIMMUNITY REVIEWS</t>
  </si>
  <si>
    <t>Eosinophilic granulomatosis with polyangiitis; Churg-Strauss syndrome; vasculitis; ANCA; classification; diagnostic criteria</t>
  </si>
  <si>
    <t>ANTINEUTROPHIL CYTOPLASMIC ANTIBODIES; TERM-FOLLOW-UP; COHORT</t>
  </si>
  <si>
    <t>Objective: To guide nosology and classification of patients with eosinophilic granulomatosis with polyangiitis (EGPA) based on phenotype and presence or absence of ANCA. Methods: Organ manifestations and ANCA status were retrospectively analyzed based on the presence or not of predefined definite vasculitis features or surrogates of vasculitis in patients asthma, eosinophilia, and at least one systemic organ manifestation attributable to systemic disease. Results: The study population included 157 patients (mean age 49.4 +/- 14.1), with a follow-up of 7.4 +/- 6.4 years. Patients with ANCA (31%) more frequently had weight loss, myalgias, arthralgias, biopsy-proven vasculitis, glomerulonephritis on biopsy, hematuria, leukocytoclastic capillaritis and/or eosinophilic infiltration of arterial wall on biopsy, and other renal disease. A total of 41% of patients had definite vasculitis manifestations (37%) or strong surrogates of vasculitis (4%), of whom only 53% had ANCA. Mononeuritis multiplex was associated with systemic vasculitis (p = 0.005) and with the presence of ANCA (p &lt; 0.001). Overall, 59% of patients had polyangiitis as defined by definite vasculitis, strong surrogate of vasculitis, mononeuritis multiplex, and/or ANCA with at least one systemic manifestation other than ENT or respiratory. Patients with polyangiitis had more systemic manifestations including arthralgias (p = 0.02) and renal disease (p = 0.024), had higher peripheral eosinophilia (p = 0.027), and a trend towards less myocarditis (p = 0.057). Using predefined criteria of vasculitis and surrogates of vasculitis, ANCA alone were found to be insufficient to categorise patients with vasculitis features. Conclusion: We suggest a revised nomenclature and definition for EGPA and a new proposed entity referred to as hypereosinophilic asthma with systemic (non vasculitic) manifestations. (C) 2016 Elsevier B.V. All rights reserved.</t>
  </si>
  <si>
    <t>[Cottin, Vincent] Univ Lyon, Univ Claude Bernard Lyon I, UCBL,INRA,ENVL,EPHE,UMR754,IFR128,Hosp Civils Lyo, Serv Pneumol,Ctr Natl Reference Malad Pulm Rares, F-IFR128 Lyon, France; [Bel, Elisabeth] Acad Med Ctr, Dept Resp Med, POB 22660, NL-1100 DD Amsterdam, Netherlands; [Bottero, Paolo] Azienda Osped Legnano, Allergy &amp; Clin Immunol Outpatient Clin Osped G Fo, Milan, Italy; [Humbert, Marc] CHU Bicetre, Serv Pneumol, F-94270 Le Kremlin Bicetre, France; [Lazor, Romain] Univ Lausanne Hosp, Dept Resp Med, Interstitial &amp; Rare Lung Dis Unit, Lausanne, Switzerland; [Sinico, Renato A.] Univ Milan, Dept Med &amp; Surg, Bicocca Sch Med &amp; Surg, Via Cadore 48, I-4820900 Monza, MB, Italy; [Sivasothy, Pasupathy] Cambridge Univ Hosp Fdn Trus4, Addenbrookes Hosp, Dept Resp Med, Hills Rd, Cambridge CB3 9LG, England; [Wechsler, Michael E.] Natl Jewish Hlth, Denver, CO USA; [Wechsler, Michael E.] Univ Colorado, Aurora, CO USA; [Groh, Matthieu] Univ Paris 05, Dept Internal Med, Natl Referral Ctr RareAutoimmune &amp; Syst Dis, Hop Cochin, Paris, France; [Marchand-Adam, Sylvain] CHRU Tours, Serv Pneumol, Tours, France; [Marchand-Adam, Sylvain] Univ Tours, Tours, France; [Wallaert, Benoit] CHRU Lille, Serv Pneumol, Lille, France; [Taille, Camille] Univ Paris Diderot, Sorbonne Paris Cite, Hop Paris,Hop Bicha,AP HP, INSERM U1152,Dept Hosp Univ FIRE,Competence Ctr P, F-75018 Paris, France; [Cadranel, Jacques] Univ Paris 06, APHP Hop Tenon &amp; P&amp;M Curie, Chest Dept &amp; Expert Ctr Rare Pulm Diseases, Paris, France; [Bonniaud, Philippe] Univ Bourgogne, Hosp Univ, Fac Med &amp; Pharm, CHU Francois Mitterrand, Dijon, France; [Delaval, Philippe; Briault, Christophe] CHU Toulouse, Serv Pneumol, Toulouse, France; [Sivasothy, Pasupathy; Briault, Christophe] Hopitaux Univ Strasbourg, Ctr Competences Malad Pulm, Serv Pneumol, Nouvel Hop Civil, 1 Pl Hop, F-67000 Strasbourg, France; [Delaval, Philippe; Prevot, Gregoire; Jayne, David; Cordier, Jean-Francois] CHU Besancon, Serv Pneumol, Besancon, France; [Lazor, Romain; Sinico, Renato A.; Wallaert, Benoit; Delaval, Philippe] Ctr Pneumol Allergol Resp, Caluire Cuire, France; [Humbert, Marc; Delaval, Philippe] CHU Grenoble, Serv Pneumol, Grenoble, France; [Wallaert, Benoit; Dunogue, Bertrand] Univ Cambridge, Cambridge CB2 1TN, England</t>
  </si>
  <si>
    <t>VetAgro Sup; Universite PSL; Ecole Pratique des Hautes Etudes (EPHE); INRAE; Universite Claude Bernard Lyon 1; University of Amsterdam; Academic Medical Center Amsterdam; Assistance Publique Hopitaux Paris (APHP); Hopital Universitaire Bicetre - APHP; University of Lausanne; Centre Hospitalier Universitaire Vaudois (CHUV); University of Milan; University of Cambridge; Cambridge University Hospitals NHS Foundation Trust; Addenbrooke's Hospital; National Jewish Health; University of Colorado System; University of Colorado Anschutz Medical Campus; Assistance Publique Hopitaux Paris (APHP); Universite Paris Cite; Hopital Universitaire Cochin - APHP; CHU Tours; Universite de Tours; Universite de Lille; CHU Lille; Institut National de la Sante et de la Recherche Medicale (Inserm); Assistance Publique Hopitaux Paris (APHP); Universite Paris Cite; Hopital Universitaire Bichat-Claude Bernard - APHP; Assistance Publique Hopitaux Paris (APHP); Sorbonne Universite; Hopital Universitaire Tenon - APHP; Universite de Bourgogne; CHU Dijon Bourgogne; CHU de Toulouse; Universite de Toulouse; Universite Toulouse III - Paul Sabatier; CHU Strasbourg; Universite de Franche-Comte; CHU Besancon; Communaute Universite Grenoble Alpes; Universite Grenoble Alpes (UGA); CHU Grenoble Alpes; University of Cambridge</t>
  </si>
  <si>
    <t>Taille, Camille/J-3751-2017; marchand-adam, sylvain/MTA-8367-2025; Wechsler, Michael/AAC-5506-2019; Bonniaud, Philippe/ITT-4660-2023; Pagnoux, Christian/C-4612-2015; sinico, renato/I-6777-2012; Humbert, Marc/AAC-8459-2019</t>
  </si>
  <si>
    <t>Lazor, Romain/0000-0002-2933-0754; Humbert, Marc/0000-0003-0703-2892; marchand-adam, sylvain/0000-0002-9522-3738; Groh, Matthieu/0000-0003-0810-136X</t>
  </si>
  <si>
    <t>European Respiratory Society [ERS TF 2008-08]</t>
  </si>
  <si>
    <t>European Respiratory Society, grant number ERS TF 2008-08.</t>
  </si>
  <si>
    <t>1568-9972</t>
  </si>
  <si>
    <t>1873-0183</t>
  </si>
  <si>
    <t>AUTOIMMUN REV</t>
  </si>
  <si>
    <t>Autoimmun. Rev.</t>
  </si>
  <si>
    <t>10.1016/j.autrev.2016.09.018</t>
  </si>
  <si>
    <t>EI7LN</t>
  </si>
  <si>
    <t>WOS:000392679500001</t>
  </si>
  <si>
    <t>Droin, N; Lucas, N; Parinet, V; Selimoglu-Buet, D; Humbert, M; Saada, V; Lambotte, O; Solary, E; Noël, N</t>
  </si>
  <si>
    <t>Droin, Nathalie; Lucas, Nolwenn; Parinet, Vincent; Selimoglu-Buet, Dorothee; Humbert, Marc; Saada, Veronique; Lambotte, Olivier; Solary, Eric; Noel, Nicolas</t>
  </si>
  <si>
    <t>Eosinophil-rich tissue infiltrates in chronic myelomonocytic leukemia patients</t>
  </si>
  <si>
    <t>LEUKEMIA &amp; LYMPHOMA</t>
  </si>
  <si>
    <t>Chronic myelomonocytic leukemia; eosinophils; inflammatory tissue</t>
  </si>
  <si>
    <t>MUTATION; CARCINOMA; NEOPLASMS</t>
  </si>
  <si>
    <t>Chronic myelomonocytic leukemia (CMML) is a clonal hematopoietic disorder that associates dysplastic and proliferative features. Tissue inflammatory disorders occur in a fraction of CMML patients during the course of their disease. Here, we describe the occurrence of eosinophil-rich tissue inflammation, including eosinophilic pneumonia, chondritis, and cystitis, in CMML patients. Whole exome sequencing of leukemic cells did not identify a recurrent genetic abnormality among these three patients who were clinically improved by local or oral corticosteroids. Hypomethylating drugs were subsequently added in two of them, allowing decreasing corticosteroid doses and further treating their hematopoietic malignancy.</t>
  </si>
  <si>
    <t>[Droin, Nathalie; Lucas, Nolwenn; Selimoglu-Buet, Dorothee; Solary, Eric] Gustave Roussy, INSERM U1170, Villejuif, France; [Lucas, Nolwenn; Solary, Eric] Gustave Roussy, Dept Hematol Clin, Villejuif, France; [Parinet, Vincent; Lambotte, Olivier; Noel, Nicolas] Hop Bicetre, AP HP, Serv Med Interne &amp; Immunol Clin, Le Kremlin Bicetre, France; [Humbert, Marc] Hop Bicetre, AP HP, Serv Pneumol, Le Kremlin Bicetre, France; [Humbert, Marc; Lambotte, Olivier; Solary, Eric; Noel, Nicolas] Univ Paris Saclay, Fac Med, Le Kremlin Bicetre, France; [Humbert, Marc] Hop Bicetre, INSERM UMR S 999, Le Kremlin Bicetre, France; [Saada, Veronique] Gustave Roussy, Dept Biopathol, Villejuif, France; [Lambotte, Olivier; Noel, Nicolas] Univ Paris Sud, INSERM UMR 1184, Le Kremlin Bicetre, France</t>
  </si>
  <si>
    <t>UNICANCER; Gustave Roussy; Institut National de la Sante et de la Recherche Medicale (Inserm); Universite Paris Saclay; UNICANCER; Gustave Roussy; Assistance Publique Hopitaux Paris (APHP); Hopital Universitaire Antoine-Beclere - APHP; Universite Paris Saclay; Hopital Universitaire Bicetre - APHP; Assistance Publique Hopitaux Paris (APHP); Hopital Universitaire Antoine-Beclere - APHP; Hopital Universitaire Bicetre - APHP; Universite Paris Saclay; Universite Paris Saclay; Assistance Publique Hopitaux Paris (APHP); Hopital Universitaire Antoine-Beclere - APHP; Institut National de la Sante et de la Recherche Medicale (Inserm); Hopital Universitaire Bicetre - APHP; Universite Paris Saclay; UNICANCER; Gustave Roussy; Institut National de la Sante et de la Recherche Medicale (Inserm); Universite Paris Saclay</t>
  </si>
  <si>
    <t>Noël, N (corresponding author), CHU Bicetre, Serv Med Interne &amp; Immunol Clin, 78 Rue Gen Leclerc, F-94275 Le Kremlin Bicetre, France.</t>
  </si>
  <si>
    <t>nicolas.noel@aphp.fr</t>
  </si>
  <si>
    <t>Solary, Eric/AFS-0379-2022; Noel, Nicolas/AAK-3911-2021; Lambotte, Olivier/GRT-0160-2022; Humbert, Marc/AAC-8459-2019; Droin, Nathalie/Y-5506-2018</t>
  </si>
  <si>
    <t>Humbert, Marc/0000-0003-0703-2892; Veronique, SAADA/0000-0001-8021-9050; Selimoglu-Buet, Dorothee/0000-0002-3565-2709; Lambotte, Olivier/0000-0003-4425-8516; Solary, Eric/0000-0002-8629-1341; Noel, Nicolas/0000-0003-4055-617X; Droin, Nathalie/0000-0002-6099-5324</t>
  </si>
  <si>
    <t>Ligue Nationale Contre le Cancer</t>
  </si>
  <si>
    <t>Ligue Nationale Contre le Cancer(Ligue nationale contre le cancer)</t>
  </si>
  <si>
    <t>Dr. Nolwenn Lucas received a grant from the Ligue Nationale Contre le Cancer.</t>
  </si>
  <si>
    <t>1042-8194</t>
  </si>
  <si>
    <t>1029-2403</t>
  </si>
  <si>
    <t>LEUKEMIA LYMPHOMA</t>
  </si>
  <si>
    <t>Leuk. Lymphoma</t>
  </si>
  <si>
    <t>10.1080/10428194.2017.1330468</t>
  </si>
  <si>
    <t>Oncology; Hematology</t>
  </si>
  <si>
    <t>FB6ZD</t>
  </si>
  <si>
    <t>WOS:000406290000013</t>
  </si>
  <si>
    <t>Huertas, A; Tu, L; Thuillet, R; Phan, C; Bordenave, J; Jovan, R; Parent, F; Simonneau, G; Savale, L; Humbert, M; Guignabert, C</t>
  </si>
  <si>
    <t>Huertas, A.; Tu, L.; Thuillet, R.; Phan, C.; Bordenave, J.; Jovan, R.; Parent, F.; Simonneau, G.; Savale, L.; Humbert, M.; Guignabert, C.</t>
  </si>
  <si>
    <t>Role Of Erythrocyte-Derived Advanced Glycation End Products In Pulmonary Endothelial Dysfunction In Pulmonary Hypertension</t>
  </si>
  <si>
    <t>[Huertas, A.; Tu, L.; Thuillet, R.; Phan, C.; Bordenave, J.; Guignabert, C.] Univ Paris Saclay, Univ Paris Sud, INSERM, UMR S999, Le Plessis Robinson, France; [Jovan, R.; Parent, F.; Simonneau, G.; Savale, L.; Humbert, M.] Univ Paris Saclay, Univ Paris Sud, AP HP, INSERM,UMR S 999,Serv Pneumol,Ctr Reference Hyper, Le Plessis Robinson, France</t>
  </si>
  <si>
    <t>Universite Paris Saclay; Institut National de la Sante et de la Recherche Medicale (Inserm); Assistance Publique Hopitaux Paris (APHP); Institut National de la Sante et de la Recherche Medicale (Inserm); Universite Paris Saclay</t>
  </si>
  <si>
    <t>GUIGNABERT, Christophe/G-3873-2013; TU, Ly/G-4035-2013; Simonneau, Gerald/ABE-6614-2020; Savale, Laurent/AAJ-9781-2020; Humbert, Marc/AAC-8459-2019</t>
  </si>
  <si>
    <t>A2237</t>
  </si>
  <si>
    <t>WOS:000400372501407</t>
  </si>
  <si>
    <t>Humbert, M; Castro, M; McDonald, M; Germinaro, M</t>
  </si>
  <si>
    <t>Humbert, M.; Castro, M.; McDonald, M.; Germinaro, M.</t>
  </si>
  <si>
    <t>Efficacy Of Reslizumab In Asthma Patients Eligible For Omalizumab Treatment</t>
  </si>
  <si>
    <t>[Humbert, M.] Univ Paris Sud, Hop Bicetre, Le Kremlin Bicetre, France; [Castro, M.] Washington Univ, Sch Med, St Louis, MO USA; [McDonald, M.; Germinaro, M.] Teva Pharmaceut Inc, Frazer, PA USA</t>
  </si>
  <si>
    <t>Universite Paris Saclay; Assistance Publique Hopitaux Paris (APHP); Hopital Universitaire Antoine-Beclere - APHP; Hopital Universitaire Bicetre - APHP; Washington University (WUSTL); Teva Pharmaceutical Industries; Teva Pharmaceutical Industries USA</t>
  </si>
  <si>
    <t>marc.humbert@abc.aphp.fr</t>
  </si>
  <si>
    <t>TEVA</t>
  </si>
  <si>
    <t>TEVA(Teva Pharmaceutical Industries)</t>
  </si>
  <si>
    <t>This abstract is funded by: TEVA</t>
  </si>
  <si>
    <t>A4688</t>
  </si>
  <si>
    <t>WOS:000400372504327</t>
  </si>
  <si>
    <t>Humbert, M; Anh, TDX; Reeves, EL; Broadhead, MG; Bullen, NJ</t>
  </si>
  <si>
    <t>Humbert, Marc; Anh Tuan Dinh-Xuan; Reeves, Elin L.; Broadhead, Matthew G.; Bullen, Neil J.</t>
  </si>
  <si>
    <t>The ambition of the European Respiratory Journal continues: chapter 5</t>
  </si>
  <si>
    <t>MANAGEMENT; STATEMENT; DIAGNOSIS; FIBROSIS</t>
  </si>
  <si>
    <t>[Humbert, Marc] Univ Paris Sud, Univ Paris Saclay, Le Kremlin Bicetre, France; [Humbert, Marc] Hop Bicetre, AP HP, Serv Pneumol, Le Kremlin Bicetre, France; [Humbert, Marc] Hop Marie Lannelongue, INSERM UMR S 999, Le Plessis Robinson, France; [Anh Tuan Dinh-Xuan] Paris Descartes Univ, Serv Physiol, Hop Cochin, AP HP,EA 2511, Paris, France; [Reeves, Elin L.; Broadhead, Matthew G.; Bullen, Neil J.] European Resp Soc, Publicat Off, Sheffield, S Yorkshire, England</t>
  </si>
  <si>
    <t>Universite Paris Saclay; Assistance Publique Hopitaux Paris (APHP); Hopital Universitaire Antoine-Beclere - APHP; Hopital Universitaire Bicetre - APHP; Universite Paris Saclay; Institut National de la Sante et de la Recherche Medicale (Inserm); Universite Paris Saclay; Hopital Marie Lannelongue; Assistance Publique Hopitaux Paris (APHP); Universite Paris Cite; Hopital Universitaire Cochin - APHP</t>
  </si>
  <si>
    <t>Humbert, M (corresponding author), Hop Univ Paris Sud, AP HP, Serv Pneumol, 78 Rue Gen Leclerc, F-94270 Le Kremlin Bicetre, France.</t>
  </si>
  <si>
    <t>Reeves, Elin/AFQ-8227-2022; Broadhead, Matthew/I-1796-2019; Dinh-Xuan, Anh Tuan/A-9691-2008; Humbert, Marc/AAC-8459-2019</t>
  </si>
  <si>
    <t>Dinh-Xuan, Anh Tuan/0000-0001-8651-5176; Broadhead, Matthew/0000-0001-9438-5594; Reeves, Elin/0000-0002-2348-9799; Humbert, Marc/0000-0003-0703-2892</t>
  </si>
  <si>
    <t>10.1183/13993003.02393-2016</t>
  </si>
  <si>
    <t>EP5MU</t>
  </si>
  <si>
    <t>WOS:000397423500075</t>
  </si>
  <si>
    <t>Jutant, EM; Sattler, C; Gunther, S; Humbert, M; Similowski, T; Arnulf, I; Garcia, G; Redolfi, S</t>
  </si>
  <si>
    <t>Jutant, E. -M.; Sattler, C.; Gunther, S.; Humbert, M.; Similowski, T.; Arnulf, I.; Garcia, G.; Redolfi, S.</t>
  </si>
  <si>
    <t>Is Overnight Rostral Fluid Shift Associated To Sleep Disordered Breathing In Pulmonary Arterial Hypertension?</t>
  </si>
  <si>
    <t>[Jutant, E. -M.; Similowski, T.; Arnulf, I.; Redolfi, S.] Grp Hosp Pitie Salpetriere Charles Foix, AP HP, Dept R3S, Serv Pathol Sommeil, Paris, France; [Sattler, C.; Gunther, S.; Humbert, M.; Garcia, G.] Hop Bicetre, AP HP, Ctr Natl Reference Hypertens Pulm Severe, Le Kremlin Bicetre, France</t>
  </si>
  <si>
    <t>Assistance Publique Hopitaux Paris (APHP); Hopital Universitaire Charles-Foix - APHP; Hopital Universitaire Pitie-Salpetriere - APHP; Sorbonne Universite; Assistance Publique Hopitaux Paris (APHP); Hopital Universitaire Antoine-Beclere - APHP; Universite Paris Saclay; Hopital Universitaire Bicetre - APHP</t>
  </si>
  <si>
    <t>stefania.redolfi@aphp.fr</t>
  </si>
  <si>
    <t>Humbert, Marc/AAC-8459-2019; Similowski, Thomas/GQQ-9468-2022; Günther, Sven/ACV-7191-2022; REDOLFI, STEFANIA/AAH-8446-2019; GUNTHER, Sven/P-4177-2017</t>
  </si>
  <si>
    <t>GUNTHER, Sven/0000-0001-8388-6131; REDOLFI, Stefania/0000-0002-5645-5763</t>
  </si>
  <si>
    <t>A1243</t>
  </si>
  <si>
    <t>WOS:000400372500244</t>
  </si>
  <si>
    <t>Klosel, H; Gall, H; Ghofrani, HA; Hoeper, MM; Grunig, E; Halank, M; Vachiery, J; Wirtz, H; Mielniczuk, LM; Lange, TJ; Helmersen, DS; Pepke-Zaba, J; Langleben, D; Barbera, JA; Escribano, P; Mascherbauer, R; Delcroix, M; Tsangaris, I; Boonstra, A; Snijder, RJ; Nielsen-Kudsk, JE; Cottin, V; Ulrich, S; Corris, PA; Simonneau, G; Sanchez, MAG; Klotsche, J; Pittrow, D; Meier, C; Humbert, M</t>
  </si>
  <si>
    <t>Klosel, H.; Gall, H.; Ghofrani, H. -A.; Hoeper, M. M.; Grunig, E.; Halank, M.; Vachiery, J.; Wirtz, H.; Mielniczuk, L. M.; Lange, T. J.; Helmersen, D. S.; Pepke-Zaba, J.; Langleben, D.; Barbera, J. A.; Escribano, P.; Mascherbauer, R.; Delcroix, M.; Tsangaris, I.; Boonstra, A.; Snijder, R. J.; Nielsen-Kudsk, J. E.; Cottin, V.; Ulrich, S.; Corris, P. A.; Simonneau, G.; Gomez Sanchez, M. -A.; Klotsche, J.; Pittrow, D.; Meier, C.; Humbert, M.</t>
  </si>
  <si>
    <t>Riociguat For The Treatment Of Pulmonary Hypertension: Safety Data From The Expert Registry</t>
  </si>
  <si>
    <t>[Klosel, H.] Univ Med Ctr Hamburg Eppendorf, Hamburg, Germany; [Gall, H.; Ghofrani, H. -A.] UGMLC, German Ctr Lung Res DZL, Giessen, Germany; [Hoeper, M. M.] Hannover Med Sch, Hannover, Germany; [Grunig, E.] Thoraxklin Heidelberg, Ctr Pulm Hypertens, Heidelberg, Germany; [Halank, M.] Univ Hosp Carl Gustav Carus, Dresden, Germany; [Vachiery, J.] Clin Univ Bruxelles, Hop Erasme, Brussels, Belgium; [Wirtz, H.] Univ Leipzig, Leipzig, Germany; [Mielniczuk, L. M.] Univ Ottawa, Inst Heart, Ottawa, ON, Canada; [Lange, T. J.] Univ Med Ctr Regensburg, Regensburg, Germany; [Helmersen, D. S.] Univ Calgary, Calgary, AB, Canada; [Pepke-Zaba, J.] Papworth Hosp, Cambridge, England; [Langleben, D.] McGill Univ, Jewish Gen Hosp, Montreal, PQ, Canada; [Barbera, J. A.] Hosp Clin Barcelona, Inst Invest Biomed August Pi &amp; Sunyer, Barcelona, Spain; [Barbera, J. A.] Univ Barcelona, Barcelona, Spain; [Escribano, P.] Hosp 12 Octubre, Madrid, Spain; [Mascherbauer, R.] Krankenhaus Elisabethinen Linz GmbH, Linz, Austria; [Delcroix, M.] Katholieke Univ Leuven, Leuven, Belgium; [Tsangaris, I.] Univ Hosp Attikon, Athens, Greece; [Boonstra, A.] Vrije Univ Amsterdam Med Ctr, Amsterdam, Netherlands; [Snijder, R. J.] St Antonius Hosp, Nieuwegein, Netherlands; [Nielsen-Kudsk, J. E.] Aarhus Univ Hosp, Aarhus, Denmark; [Cottin, V.] Hop Louis Pradel, Bron, France; [Ulrich, S.] Univ Spital Zurich, Zurich, Switzerland; [Corris, P. A.] Newcastle Univ, Newcastle Upon Tyne, Tyne &amp; Wear, England; [Simonneau, G.; Humbert, M.] Univ Paris Sud, Le Kremlin Bicetre, France; [Simonneau, G.; Humbert, M.] Hop Bicetre, Paris, France; [Gomez Sanchez, M. -A.] Hosp Gen Nuestra Senora del Prado, Toledo, Spain; [Klotsche, J.] Leibniz Inst, Berlin, Germany; [Pittrow, D.] Tech Univ Dresden, Dresden, Germany; [Meier, C.] Bayer Pharma AG, Berlin, Germany</t>
  </si>
  <si>
    <t>University of Hamburg; University Medical Center Hamburg-Eppendorf; Hannover Medical School; Ruprecht Karls University Heidelberg; Technische Universitat Dresden; Carl Gustav Carus University Hospital; Universite Libre de Bruxelles; Leipzig University; University of Ottawa; University of Ottawa Heart Institute; University of Regensburg; University of Calgary; Papworth Hospital; McGill University; University of Barcelona; Hospital Clinic de Barcelona; IDIBAPS; University of Barcelona; Hospital Universitario 12 de Octubre; Ordensklinikum Linz Elisabethinen; KU Leuven; University Hospital Attikon; Vrije Universiteit Amsterdam; VU UNIVERSITY MEDICAL CENTER; St. Antonius Hospital Utrecht; Aarhus University; CHU Lyon; University of Zurich; University Zurich Hospital; Newcastle University - UK; Universite Paris Saclay; Assistance Publique Hopitaux Paris (APHP); Hopital Universitaire Bicetre - APHP; Universite Paris Saclay; Technische Universitat Dresden; Bayer AG; Bayer Healthcare Pharmaceuticals</t>
  </si>
  <si>
    <t>Langleben, David/AAJ-9152-2020; Cardoso, Paulo/C-5768-2012; Tsangaris, Iraklis/AAA-3627-2020; Pepke-Zaba, Joanna/AGW-3073-2022; Humbert, Marc/AAC-8459-2019; Zafra, María/ABC-8520-2021; Simonneau, Gerald/ABE-6614-2020; boonstra, anco/J-5446-2014; Ghofrani, Ardeschir/AAD-5293-2020; Hoeper, Marius/Z-1546-2019; delcroix, marion/AAE-2712-2022; Pittrow, David/AAY-5042-2021</t>
  </si>
  <si>
    <t>Hoeper, Marius/0000-0001-9086-2293; delcroix, marion/0000-0001-8394-9809</t>
  </si>
  <si>
    <t>Bayer Pharma AG</t>
  </si>
  <si>
    <t>This abstract is funded by: Bayer Pharma AG</t>
  </si>
  <si>
    <t>A2292</t>
  </si>
  <si>
    <t>WOS:000400372501462</t>
  </si>
  <si>
    <t>Montani, D; Girerd, B; Jais, X; Levy, M; Amar, D; Savale, L; Dorfmuller, P; Seferian, A; Lau, E; Eyries, M; Le Pavec, J; Parent, F; Bonnet, D; Soubrier, F; Fadel, E; Sitbon, O; Simonneau, G; Humbert, M</t>
  </si>
  <si>
    <t>Montani, D.; Girerd, B.; Jais, X.; Levy, M.; Amar, D.; Savale, L.; Dorfmuller, P.; Seferian, A.; Lau, E.; Eyries, M.; Le Pavec, J.; Parent, F.; Bonnet, D.; Soubrier, F.; Fadel, E.; Sitbon, O.; Simonneau, G.; Humbert, M.</t>
  </si>
  <si>
    <t>Clinical Phenotypes And Outcomes Of Heritable And Sporadic Pulmonary Veno-Occlusive Disease</t>
  </si>
  <si>
    <t>[Montani, D.; Girerd, B.; Jais, X.; Amar, D.; Savale, L.; Seferian, A.; Lau, E.; Parent, F.; Sitbon, O.; Simonneau, G.; Humbert, M.] Hop Bicetre, Le Kremlin Bicetre, France; [Levy, M.; Bonnet, D.] Univ Paris 05, Hop Univ Necker Enfants Malad, AP HP, Paris, France; [Dorfmuller, P.; Le Pavec, J.; Fadel, E.] Hop Marie Lannelongue, Le Plessis Robinson, France; [Eyries, M.; Soubrier, F.] Grp Hosp Pitie Salpetriere, Paris, France</t>
  </si>
  <si>
    <t>Universite Paris Saclay; Assistance Publique Hopitaux Paris (APHP); Hopital Universitaire Antoine-Beclere - APHP; Hopital Universitaire Bicetre - APHP; Universite Paris Cite; Assistance Publique Hopitaux Paris (APHP); Hopital Universitaire Necker-Enfants Malades - APHP; Hopital Marie Lannelongue; Assistance Publique Hopitaux Paris (APHP); Hopital Universitaire Pitie-Salpetriere - APHP; Sorbonne Universite</t>
  </si>
  <si>
    <t>barbara.girerd19@gmail.com</t>
  </si>
  <si>
    <t>Humbert, Marc/AAC-8459-2019; David, Montani/I-6885-2019; Sitbon, Olivier/I-3623-2019; Simonneau, Gerald/ABE-6614-2020; Savale, Laurent/AAJ-9781-2020; EYRIES, melanie/ABF-1034-2020</t>
  </si>
  <si>
    <t>A7028</t>
  </si>
  <si>
    <t>WOS:000400372507130</t>
  </si>
  <si>
    <t>Mumby, S; Gambaryan, N; Meng, C; Perros, F; Humbert, M; Wort, SJ; Adcock, IM</t>
  </si>
  <si>
    <t>Mumby, Sharon; Gambaryan, Natalia; Meng, Chao; Perros, Frederic; Humbert, Marc; Wort, S. John; Adcock, Ian M.</t>
  </si>
  <si>
    <t>Bromodomain and extra-terminal protein mimic JQ1 decreases inflammation in human vascular endothelial cells: Implications for pulmonary arterial hypertension</t>
  </si>
  <si>
    <t>bromodomain and extra-terminal proteins; human pulmonary microvascular endothelial cells; inflammation; proliferation; pulmonary hypertension</t>
  </si>
  <si>
    <t>RIGHT-VENTRICULAR HYPERTROPHY; CONVERTING ENZYME-INHIBITOR; BET BROMODOMAINS; EXPRESSION; RATS; ACETYLATION; SURVIVAL; IMATINIB</t>
  </si>
  <si>
    <t>Background and objectiveNuclear factor kappa B (NF-kB)-mediated inflammatory gene expression and vascular endothelial cell proliferation/remodelling are implicated in the pathophysiology of the fatal disease, pulmonary arterial hypertension (PAH). Bromodomain and extra-terminal (BET) proteins are essential for the expression of a subset of NF-kB-induced inflammatory genes. BET mimics including JQ1+ prevent binding of BETs to acetylated histones and down-regulate the expression of selected genes. MethodsThe effects of JQ1+ on the proliferation of primary human pulmonary microvascular endothelial cells (HPMECs) from healthy subjects were measured by bromodeoxyuridine (BrdU) incorporation. Cell cycle progression was assessed by flow cytometry; mRNA and protein levels of cyclin-dependent kinases (CDKs), inhibitors and cytokines were determined by reverse transcription-quantitative PCR (RT-qPCR), Western blotting or ELISA. Histone acetyltransferase (HAT) and deacetylase (HDAC) activities were determined in nuclear extracts from whole lung of PAH and control patients. Results JQ1+ significantly inhibited IL6 and IL8 (IL6 and CXCL8) mRNA and protein in HPMECs compared with its inactive enantiomer JQ1-. JQ1+ decreased NF-kB p65 recruitment to native IL6 and IL8 promoters. JQ1+ showed a concentration-dependent decrease in HPMEC proliferation compared with JQ1--treated cells. JQ1+ induced G1 cell cycle arrest by increasing the expression of the CDK inhibitors (CDKN) 1A (p21(cip)) and CDKN2D (p19(INK4D)) and decreasing that of CDK2, CDK4 and CDK6. JQ1+ also inhibited serum-stimulated migration of HPMECs. Finally, HAT activity was significantly increased in the lung of PAH patients. ConclusionInhibition of BETs in primary HPMECs decreases inflammation and remodelling. BET proteins could be a target for future therapies for PAH.</t>
  </si>
  <si>
    <t>[Mumby, Sharon; Gambaryan, Natalia; Meng, Chao; Wort, S. John] Imperial Coll London, Vasc Biol, London, England; [Mumby, Sharon; Adcock, Ian M.] Imperial Coll London, Natl Heart &amp; Lung Inst, Airway Dis Sect, Dovehouse St, London SW3 6LY, England; [Perros, Frederic; Humbert, Marc] South Paris Univ, Fac Med, Clamart, France; [Perros, Frederic; Humbert, Marc] INSERM Res Unit 999, Pulm Hypertens Pathophysiol &amp; Therapeut Innovat, Clamart, France; [Humbert, Marc] Hop Antoine Beclere, AP HP, Pulm Resuscitat Resp &amp; Serv, Natl Reference Ctr Pulm Hypertens Severe, Paris, France</t>
  </si>
  <si>
    <t>Imperial College London; Imperial College London; Institut National de la Sante et de la Recherche Medicale (Inserm); Assistance Publique Hopitaux Paris (APHP); Hopital Universitaire Antoine-Beclere - APHP</t>
  </si>
  <si>
    <t>Mumby, S (corresponding author), Imperial Coll London, Natl Heart &amp; Lung Inst, Airway Dis Sect, Dovehouse St, London SW3 6LY, England.</t>
  </si>
  <si>
    <t>British Heart Foundation [PG/14/27/30679] Funding Source: Medline; Wellcome Trust [093080/Z/10/] Funding Source: Medline</t>
  </si>
  <si>
    <t>British Heart Foundation(British Heart Foundation); Wellcome Trust(Wellcome Trust)</t>
  </si>
  <si>
    <t>10.1111/resp.12872</t>
  </si>
  <si>
    <t>EF9WI</t>
  </si>
  <si>
    <t>WOS:000390681400024</t>
  </si>
  <si>
    <t>Nakhleh, MK; Amal, H; Jeries, R; Broza, YY; Aboud, M; Gharra, A; Ivgi, H; Khatib, S; Badarneh, S; Har-Shai, L; Glass-Marmor, L; Lejbkowicz, I; Miller, A; Badarny, S; Winer, R; Finberg, J; Cohen-Kaminsky, S; Perros, F; Montani, D; Girerd, B; Garcia, G; Simonneau, G; Nakhoul, F; Baram, S; Salim, R; Hakim, M; Gruber, M; Ronen, O; Marshak, T; Doweck, I; Nativ, O; Bahouth, Z; Shi, DY; Zhang, W; Hua, QL; Pan, YY; Tao, L; Liu, H; Karban, A; Koifman, E; Rainis, T; Skapars, R; Sivins, A; Ancans, G; Liepniece-Karele, I; Kikuste, I; Lasina, I; Tolmanis, I; Johnson, D; Millstone, SZ; Fulton, J; Wells, JW; Wilf, LH; Humbert, M; Leja, M; Peled, N; Haick, H</t>
  </si>
  <si>
    <t>Nakhleh, Morad K.; Amal, Haitham; Jeries, Raneen; Broza, Yoav Y.; Aboud, Manal; Gharra, Alaa; Ivgi, Hodaya; Khatib, Salam; Badarneh, Shifaa; Har-Shai, Lior; Glass-Marmor, Lea; Lejbkowicz, Izabella; Miller, Ariel; Badarny, Samih; Winer, Raz; Finberg, John; Cohen-Kaminsky, Sylvia; Perros, Frederic; Montani, David; Girerd, Barbara; Garcia, Giles; Simonneau, Gerald; Nakhoul, Farid; Baram, Shira; Salim, Raed; Hakim, Marwan; Gruber, Maayan; Ronen, Ohad; Marshak, Tal; Doweck, Ilana; Nativ, Ofer; Bahouth, Zaher; Shi, Da-you; Zhang, Wei; Hua, Qing-ling; Pan, Yue-yin; Tao, Li; Liu, Hu; Karban, Amir; Koifman, Eduard; Rainis, Tova; Skapars, Roberts; Sivins, Armands; Ancans, Guntis; Liepniece-Karele, Inta; Kikuste, Ilze; Lasina, Ieva; Tolmanis, Ivars; Johnson, Douglas; Millstone, Stuart Z.; Fulton, Jennifer; Wells, John W.; Wilf, Larry H.; Humbert, Marc; Leja, Marcis; Peled, Nir; Haick, Hossam</t>
  </si>
  <si>
    <t>Diagnosis and Classification of 17 Diseases from 1404 Subjects via Pattern Analysis of Exhaled Molecules</t>
  </si>
  <si>
    <t>ACS NANO</t>
  </si>
  <si>
    <t>sensor; nanoparticle; carbon nanotube; noninvasive; diagnosis; disease; breath; volatile organic compound</t>
  </si>
  <si>
    <t>VOLATILE ORGANIC-COMPOUNDS; LUNG-CANCER; BREATH ANALYSIS; GASTRIC-CANCER; ELECTROCHEMICAL DETECTION; GOLD NANOPARTICLES; GENETIC MUTATIONS; SILICON NANOWIRE; BIOMARKERS; SENSORS</t>
  </si>
  <si>
    <t>We report on an artificially intelligent nano array based on molecularly modified gold nanoparticles and a random network of single-walled carbon nanotubes for noninvasive diagnosis and classification of a number of diseases from exhaled breath. The performance of this artificially intelligent nanoarray was clinically assessed on breath samples collected from 1404 subjects having one of 17 different disease conditions included in the study or having no evidence of any disease (healthy controls). Blind experiments showed that 86% accuracy could be achieved with the artificially intelligent nanoarray, allowing both detection and discrimination between the different disease conditions examined. Analysis of the artificially intelligent nanoarray also showed that each disease has its own unique breathprint, and that the presence of one disease would not screen out others. Cluster analysis showed a reasonable classification power of diseases from the same categories. The effect of confounding clinical and environmental factors on the performance of the nanoarray did not significantly alter the obtained results. The diagnosis and classification power of the nanoarray was also validated by an independent analytical technique, i.e., gas chromatography linked with mass spectrometry. This analysis found that 13 exhaled chemical species, called volatile organic compounds, are associated with certain diseases, and the composition of this assembly of volatile organic compounds differs from one disease to another. Overall, these findings could contribute to one of the most important criteria for successful health intervention in the modern era, viz. easy-to-use, inexpensive (affordable), and miniaturized tools that could also be used for personalized screening, diagnosis, and follow-up of a number of diseases, which can clearly be extended by further development.</t>
  </si>
  <si>
    <t>[Nakhleh, Morad K.; Amal, Haitham; Jeries, Raneen; Broza, Yoav Y.; Aboud, Manal; Gharra, Alaa; Ivgi, Hodaya; Khatib, Salam; Badarneh, Shifaa; Haick, Hossam] Technion Israel Inst Technol, Dept Chem Engn, IL-3200003 Haifa, Israel; [Nakhleh, Morad K.; Amal, Haitham; Jeries, Raneen; Broza, Yoav Y.; Aboud, Manal; Gharra, Alaa; Ivgi, Hodaya; Khatib, Salam; Badarneh, Shifaa; Haick, Hossam] Technion Israel Inst Technol, Russell Berrie Nanotechnol Inst, IL-3200003 Haifa, Israel; [Har-Shai, Lior; Glass-Marmor, Lea; Lejbkowicz, Izabella; Miller, Ariel] Technion Israel Inst Technol, Div Neuroimmunol, IL-31096 Haifa, Israel; [Har-Shai, Lior; Glass-Marmor, Lea; Lejbkowicz, Izabella; Miller, Ariel] Technion Israel Inst Technol, Multiple Sclerosis Ctr, Carmel Med Ctr, IL-31096 Haifa, Israel; [Har-Shai, Lior; Glass-Marmor, Lea; Lejbkowicz, Izabella; Miller, Ariel; Badarny, Samih; Winer, Raz; Baram, Shira; Salim, Raed; Rainis, Tova] Technion Israel Inst Technol, Rappaport Family Fac Med, IL-31096 Haifa, Israel; [Badarny, Samih; Winer, Raz] Technion Israel Inst Technol, Carmel Med Ctr, Dept Neurol, Movement Disorders Clin, IL-31096 Haifa, Israel; [Finberg, John] Technion Israel Inst Technol, Rappaport Family Fac Med, Dept Mol Pharmacol, IL-31096 Haifa, Israel; [Cohen-Kaminsky, Sylvia; Perros, Frederic; Montani, David; Girerd, Barbara; Garcia, Giles; Simonneau, Gerald; Humbert, Marc] Univ Paris Sud, Fac Med,Ctr Natl Reference Hypertens Pulm Severe, Univ Paris Saclay,Dept Hosp Univ DHU Thorax Innov, Hosp Bicetre,AP HP,UMRS 999,INSERM,Serv Pneumol, F-92350 Le Plessis Robinson, France; [Cohen-Kaminsky, Sylvia; Perros, Frederic; Montani, David; Girerd, Barbara; Garcia, Giles; Simonneau, Gerald; Humbert, Marc] Univ Paris Sud, LERMIT, Ctr Chirurg Marie Lannelongue, F-92350 Le Plessis Robinson, France; [Nakhoul, Farid] Baruch Padeh Med Ctr, Dept Nephrol &amp; Hypertens, IL-15208 Poriya, Israel; [Baram, Shira; Salim, Raed] Emek Med Ctr, Dept Obstet &amp; Gynecol, IL-18101 Afula, Israel; [Hakim, Marwan] Nazareth Hosp EMMS, Dept Obstet &amp; Gynecol, Nazareth, Israel; [Hakim, Marwan] Bar Ilan Univ, Fac Med Galilee, Ramat Gan, Israel; [Gruber, Maayan; Ronen, Ohad; Marshak, Tal; Doweck, Ilana] Carmel Hosp, Dept Otolaryngol Head &amp; Neck Surg, IL-3436212 Haifa, Israel; [Nativ, Ofer; Bahouth, Zaher] Bnai Zion Med Ctr, Dept Urol, IL-31048 Haifa, Israel; [Shi, Da-you; Zhang, Wei; Hua, Qing-ling; Pan, Yue-yin; Tao, Li; Liu, Hu] Anhui Med Univ, Affiliated Hosp 1, Dept Oncol, Hefei 230032, Peoples R China; [Karban, Amir; Koifman, Eduard] Technion Israel Inst Technol, Rappaport Family Fac Med, Rambam Med Ctr, Internal Med Dept C, IL-3525408 Haifa, Israel; [Karban, Amir; Koifman, Eduard] Technion Israel Inst Technol, Rappaport Family Fac Med, Rambam Med Ctr, Dept Gastroenterol, IL-3525408 Haifa, Israel; [Rainis, Tova] Technion Israel Inst Technol, Bnai Zion Hosp, Dept Gastroenterol, IL-31096 Haifa, Israel; [Skapars, Roberts; Sivins, Armands; Ancans, Guntis; Liepniece-Karele, Inta; Kikuste, Ilze; Lasina, Ieva; Leja, Marcis] Univ Latvia, Riga East Univ Hosp, Digest Dis, Fac Med, 19 Rainisboulv, LV-1586 Riga, Latvia; [Kikuste, Ilze; Tolmanis, Ivars; Leja, Marcis] GASTRO, Digest Dis Ctr, 6 Linezeraiela, LV-1006 Riga, Latvia; [Johnson, Douglas] BCI, Dept Radiat Oncol, 1235 San Marco Blvd,Suite100, Jacksonville, FL 32207 USA; [Millstone, Stuart Z.; Wells, John W.] Pulm &amp; Crit Care Associates, Orange Pk, FL 32073 USA; [Fulton, Jennifer] Baptist Med Ctr, Pulm Dis, Jacksonville, FL 32217 USA; [Wilf, Larry H.] Florida Radiat Oncol Grp, Oncol Imaging Div, Jacksonville, FL 32217 USA; [Peled, Nir] RMC, Davidoff Canc Ctr, Thorac Canc Unit, Kaplan St, IL-49100 Petah Tiqwa, Israel</t>
  </si>
  <si>
    <t>Technion Israel Institute of Technology; Technion Israel Institute of Technology; Technion Israel Institute of Technology; Clalit Health Services; Carmel Medical Center; Technion Israel Institute of Technology; Technion Israel Institute of Technology; Clalit Health Services; Carmel Medical Center; Technion Israel Institute of Technology; Technion Israel Institute of Technology; Universite Paris Saclay; Institut National de la Sante et de la Recherche Medicale (Inserm); Assistance Publique Hopitaux Paris (APHP); Hopital Universitaire Bicetre - APHP; Universite Paris Saclay; Hopital Marie Lannelongue; Emek Medical Center; Bar Ilan University; Clalit Health Services; Carmel Medical Center; Bnai Zion Medical Center; Anhui Medical University; Rambam Health Care Campus; Technion Israel Institute of Technology; Rambam Health Care Campus; Technion Israel Institute of Technology; Bnai Zion Medical Center; Technion Israel Institute of Technology; University of Latvia; Riga East University Hospital</t>
  </si>
  <si>
    <t>Haick, H (corresponding author), Technion Israel Inst Technol, Dept Chem Engn, IL-3200003 Haifa, Israel.;Haick, H (corresponding author), Technion Israel Inst Technol, Russell Berrie Nanotechnol Inst, IL-3200003 Haifa, Israel.</t>
  </si>
  <si>
    <t>hhossam@technion.ac.il</t>
  </si>
  <si>
    <t>Har-Shai, Lior/AAU-8711-2021; Simonneau, Gerald/ABE-6614-2020; Koifman, Eduard/LZE-9084-2025; Peled, Noam/AAV-4407-2020; David, Montani/I-6885-2019; TAO, Li/HIR-4254-2022; Perros, Frederic/N-6921-2017; bahouth, zaher/AAN-4949-2020; Humbert, Marc/AAC-8459-2019; Cohen-Kaminsky, Sylvia/E-4837-2014</t>
  </si>
  <si>
    <t>Montani, David/0000-0002-9358-6922; Sivins, Armands/0000-0001-6784-939X; Perros, Frederic/0000-0001-7730-2427; TOLMANIS, IVARS/0000-0003-0783-6460; Doweck, Ilana/0000-0002-1065-0299; bahouth, zaher/0000-0003-4658-4905; Liu, Hu/0000-0001-6774-6868; Johnson, Douglas/0000-0001-6584-1327; Humbert, Marc/0000-0003-0703-2892; Miller, Ariel/0000-0001-5843-6841; Winer, Raz/0000-0001-6311-6981; Cohen-Kaminsky, Sylvia/0000-0002-6341-7482; Broza, Yoav/0000-0003-0185-2312; Peled, Nir/0000-0003-3714-4377</t>
  </si>
  <si>
    <t>FP7's ERC grant under DIAG-CANCER [256639]; FP7-Health Program under the LCAOS [258868]; EuroNanoMed Program under VOLGACORE [3-10551]; Latvian Council of Science [305/2012]</t>
  </si>
  <si>
    <t>FP7's ERC grant under DIAG-CANCER; FP7-Health Program under the LCAOS; EuroNanoMed Program under VOLGACORE; Latvian Council of Science(Latvian Ministry of Education and Science)</t>
  </si>
  <si>
    <t>Morad Nakhleh dedicates this work in the loving memory of his dear father, Kamel N. Nakhleh. This research was funded from the FP7's ERC grant under DIAG-CANCER (Grant Agreement No. 256639; HH); the FP7-Health Program under the LCAOS (Grant Agreement No. 258868); the EuroNanoMed Program under VOLGACORE (Grant Agreement No. 3-10551). Sample collection in Latvia was funded in part from Grant No. 305/2012 from Latvian Council of Science. Fabrication was done at the Micro-Nano Fabrication Unit (MNFU), Technion. The authors acknowledge Dr. Grisha Shuster, Mrs. Meital Segev, and Dr. Yael Zilberman for their contributions in sensor fabrication.</t>
  </si>
  <si>
    <t>1936-0851</t>
  </si>
  <si>
    <t>1936-086X</t>
  </si>
  <si>
    <t>ACS Nano</t>
  </si>
  <si>
    <t>10.1021/acsnano.6b04930</t>
  </si>
  <si>
    <t>Chemistry, Multidisciplinary; Chemistry, Physical; Nanoscience &amp; Nanotechnology; Materials Science, Multidisciplinary</t>
  </si>
  <si>
    <t>Chemistry; Science &amp; Technology - Other Topics; Materials Science</t>
  </si>
  <si>
    <t>EJ0GL</t>
  </si>
  <si>
    <t>WOS:000392886500011</t>
  </si>
  <si>
    <t>Nossent, EJ; Antigny, F; Montani, D; Bogaard, H; Lambert, M; De Montpreville, VT; Girerd, B; Jais, X; Mercier, O; Fadel, E; Soubrier, F; Sitbon, O; Simonneau, G; Noordegraaf, AV; Humbert, M; Perros, F; Dorfmuller, P; Ghigna, M</t>
  </si>
  <si>
    <t>Nossent, E. J.; Antigny, F.; Montani, D.; Bogaard, H.; Lambert, M.; De Montpreville, V. Thomas; Girerd, B.; Jais, X.; Mercier, O.; Fadel, E.; Soubrier, F.; Sitbon, O.; Simonneau, G.; Noordegraaf, A. Vonk; Humbert, M.; Perros, F.; Dorfmuller, P.; Ghigna, M.</t>
  </si>
  <si>
    <t>Patterns Of Pulmonary Vascular Remodeling And Expression Of Serine-Threonine Kinase Gcn2 In Pulmonary Veno-Occlusive Disease: a Comparative Analysis</t>
  </si>
  <si>
    <t>[Nossent, E. J.; Bogaard, H.; Noordegraaf, A. Vonk] Vrije Univ Amsterdam, Med Ctr, Dept Pulm Dis, Amsterdam, Netherlands; [Antigny, F.; Lambert, M.; Girerd, B.; Perros, F.] Hop Marie Lannelongue, INSERM UMR S 999, Pulm Hypertens Pathophysiol &amp; Novel Therapies, Paris, France; [Montani, D.; Jais, X.; Sitbon, O.; Simonneau, G.; Humbert, M.] Hop Bicetre, AP HP, Natl Reference Ctr Pulm Hypertens, Dept Pulmonol, Paris, France; [Montani, D.; Jais, X.; Sitbon, O.; Simonneau, G.; Humbert, M.] Hop Bicetre, AP HP, Intens Care Unit Resp Dis, Paris, France; [De Montpreville, V. Thomas; Dorfmuller, P.; Ghigna, M.] Hop Marie Lannelongue, Dept Pathol, Paris, France; [Mercier, O.; Fadel, E.] Hop Marie Lannelongue, Dept Thorac &amp; Vasc Surg, Paris, France; [Soubrier, F.] Univ Pierre &amp; Marie Curie Univ Paris 06, INSERM UMR S 956, Paris, France</t>
  </si>
  <si>
    <t>Vrije Universiteit Amsterdam; Institut National de la Sante et de la Recherche Medicale (Inserm); Hopital Marie Lannelongue; Assistance Publique Hopitaux Paris (APHP); Hopital Universitaire Bicetre - APHP; Universite Paris Saclay; Universite Paris Saclay; Assistance Publique Hopitaux Paris (APHP); Hopital Universitaire Bicetre - APHP; Hopital Marie Lannelongue; Hopital Marie Lannelongue; Sorbonne Universite; Institut National de la Sante et de la Recherche Medicale (Inserm)</t>
  </si>
  <si>
    <t>e.nossent@vumc.nl</t>
  </si>
  <si>
    <t>Sitbon, Olivier/I-3623-2019; Simonneau, Gerald/ABE-6614-2020; David, Montani/I-6885-2019; Humbert, Marc/AAC-8459-2019; Perros, Frederic/N-6921-2017</t>
  </si>
  <si>
    <t>A7475</t>
  </si>
  <si>
    <t>WOS:000400372507577</t>
  </si>
  <si>
    <t>Phan, C; Jutant, EM; Tu, L; Tamura, Y; Thuillet, R; Le Hiress, M; Fadel, E; Simmoneau, G; Seferian, A; Montani, D; Huertas, A; Noordegraaf, AV; Humbert, M; Aman, J; Guignabert, C</t>
  </si>
  <si>
    <t>Phan, C.; Jutant, E. -M.; Tu, L.; Tamura, Y.; Thuillet, R.; Le Hiress, M.; Fadel, E.; Simmoneau, G.; Seferian, A.; Montani, D.; Huertas, A.; Noordegraaf, A. Vonk; Humbert, M.; Aman, J.; Guignabert, C.</t>
  </si>
  <si>
    <t>Dasatinib-Induced Pleural Effusion Is Associated With Increased Endothelial Permeability</t>
  </si>
  <si>
    <t>[Phan, C.; Jutant, E. -M.; Tu, L.; Tamura, Y.; Thuillet, R.; Le Hiress, M.; Fadel, E.; Simmoneau, G.; Seferian, A.; Montani, D.; Huertas, A.; Humbert, M.; Guignabert, C.] Univ Paris Saclay, Univ Paris Sud, INSERM, UMR S999, Le Plessis Robinson, France; [Noordegraaf, A. Vonk; Aman, J.] Vrije Univ Amsterdam, Med Ctr, Inst Cardiovasc Res, Amsterdam, Netherlands</t>
  </si>
  <si>
    <t>Universite Paris Saclay; Institut National de la Sante et de la Recherche Medicale (Inserm); Vrije Universiteit Amsterdam</t>
  </si>
  <si>
    <t>carole.phan@inserm.fr</t>
  </si>
  <si>
    <t>GUIGNABERT, Christophe/G-3873-2013; Humbert, Marc/AAC-8459-2019; TU, Ly/G-4035-2013; David, Montani/I-6885-2019</t>
  </si>
  <si>
    <t>FONDS DE DOTATION RECHERCHE EN SANTE RESPIRATOIRE ANTADIR</t>
  </si>
  <si>
    <t>This abstract is funded by: FONDS DE DOTATION RECHERCHE EN SANTE RESPIRATOIRE ANTADIR</t>
  </si>
  <si>
    <t>A2248</t>
  </si>
  <si>
    <t>WOS:000400372501418</t>
  </si>
  <si>
    <t>Sattler, C; Garcia, G; Humbert, M</t>
  </si>
  <si>
    <t>Sattler, Caroline; Garcia, Gilles; Humbert, Marc</t>
  </si>
  <si>
    <t>Novel targets of omalizumab in asthma</t>
  </si>
  <si>
    <t>allergy; asthma; nonatopic asthma; omalizumab</t>
  </si>
  <si>
    <t>ALLERGIC BRONCHOPULMONARY ASPERGILLOSIS; CHURG-STRAUSS-SYNDROME; ANTI-IGE ANTIBODY; CONTROLLED-TRIAL; NASAL POLYPOSIS; THERAPY; EXACERBATIONS; EFFICACY; IMMUNOTHERAPY; TOLERABILITY</t>
  </si>
  <si>
    <t>Purpose of reviewOmalizumab is a recombinant humanized anti-IgE monoclonal antibody approved in the US for moderate to severe persistent allergic asthma (severe persistent asthma in the European Union), uncontrolled despite treatment with inhaled corticosteroids and long-acting beta2 agonists. It reduces asthma exacerbations, symptoms, oral corticosteroid doses, and improves quality of life.Recent findingsOmalizumab may have an antiviral effect when used as a preventive therapy for fall exacerbations in children and teenagers. Two proof-of-concept studies have evaluated omalizumab in nonatopic asthma and showed that it is safe and possibly efficacious in some patients. Omalizumab has been successfully studied as add-on to specific immunotherapy in moderate allergic asthma. Its safety in pregnancy has been assessed in the EXPECT registry. Case series also report positive effects in cases of allergic bronchopulmonary aspergillosis, and in nasal disorders frequently associated with asthma. Last, omalizumab may have corticosteroid-sparing effect in a subset of patients with eosinophilic granulomatosis with polyangiitis (formerly Churg-Strauss syndrome).SummaryRecent studies argue in favor of positive effects of omalizumab beyond its current indications in asthma. Well-designed studies are needed in order to demonstrate the safety and efficacy of omalizumab in these possible novel indications.</t>
  </si>
  <si>
    <t>[Sattler, Caroline; Garcia, Gilles; Humbert, Marc] Univ Paris Saclay, Univ Paris Sud, Fac Med, Le Kremlin Bicetre, France; [Humbert, Marc] Hop Bicetre, AP HP, Serv Pneumol, Le Kremlin Bicetre, France; [Sattler, Caroline; Garcia, Gilles; Humbert, Marc] Hop Bicetre, AP HP, Serv Physiol Explorat Fonct Resp, Le Kremlin Bicetre, France; [Sattler, Caroline; Garcia, Gilles] Hop Marie Lannelongue, Inserm UMR S 999, Le Plessis Robinson, France</t>
  </si>
  <si>
    <t>Universite Paris Saclay; Universite Paris Saclay; Assistance Publique Hopitaux Paris (APHP); Hopital Universitaire Antoine-Beclere - APHP; Hopital Universitaire Bicetre - APHP; Assistance Publique Hopitaux Paris (APHP); Hopital Universitaire Antoine-Beclere - APHP; Hopital Universitaire Bicetre - APHP; Universite Paris Saclay; Hopital Marie Lannelongue; Institut National de la Sante et de la Recherche Medicale (Inserm); Universite Paris Saclay</t>
  </si>
  <si>
    <t>Humbert, M (corresponding author), Hop Bicetre, Ctr Reference Hypertens Pulm Severe, Serv Pneumol, Unite Soins Intensifs, 78 Rue General Leclerc, F-94275 Le Kremlin Bicetre, France.</t>
  </si>
  <si>
    <t>cmarc.humbert@aphp.fr</t>
  </si>
  <si>
    <t>10.1097/MCP.0000000000000340</t>
  </si>
  <si>
    <t>EF3QK</t>
  </si>
  <si>
    <t>WOS:000390239200009</t>
  </si>
  <si>
    <t>Taniguchi, Y; Boucly, A; Jais, X; Brenot, P; Fadel, E; Savale, L; Montani, D; Humbert, M; Simonneau, G; Sitbon, O</t>
  </si>
  <si>
    <t>Taniguchi, Y.; Boucly, A.; Jais, X.; Brenot, P.; Fadel, E.; Savale, L.; Montani, D.; Humbert, M.; Simonneau, G.; Sitbon, O.</t>
  </si>
  <si>
    <t>Survival And Predictive Factors Of Patients With Chronic Thromboembolic Pulmonary Hypertension In The Modern Management Era</t>
  </si>
  <si>
    <t>[Taniguchi, Y.; Boucly, A.; Jais, X.; Savale, L.; Montani, D.; Humbert, M.; Simonneau, G.; Sitbon, O.] Hop Bicetre, Le Kremlin Bicetre, France; [Brenot, P.; Fadel, E.] Ctr Chirurg Marie Lannelongue, Paris, France</t>
  </si>
  <si>
    <t>yu.taniguchi007@gmail.com</t>
  </si>
  <si>
    <t>Simonneau, Gerald/ABE-6614-2020; Savale, Laurent/AAJ-9781-2020; Brenot, Philippe/HJB-1040-2022; David, Montani/I-6885-2019; Humbert, Marc/AAC-8459-2019; Sitbon, Olivier/I-3623-2019</t>
  </si>
  <si>
    <t>A7034</t>
  </si>
  <si>
    <t>WOS:000400372507136</t>
  </si>
  <si>
    <t>Weatherald, J; Chaumais, MC; Savale, L; Jais, X; Seferian, A; Sitbon, O; Simonneau, G; Guignabert, C; Humbert, M; Montani, D</t>
  </si>
  <si>
    <t>Weatherald, J.; Chaumais, M. -C.; Savale, L.; Jais, X.; Seferian, A.; Sitbon, O.; Simonneau, G.; Guignabert, C.; Humbert, M.; Montani, D.</t>
  </si>
  <si>
    <t>Long Term Outcomes Of Pulmonary Arterial Hypertension In Patients Treated With Dasatinib</t>
  </si>
  <si>
    <t>[Weatherald, J.; Savale, L.; Jais, X.; Seferian, A.; Sitbon, O.; Simonneau, G.; Humbert, M.; Montani, D.] Hop Bicetre, Le Kremlin Bicetre, France; [Chaumais, M. -C.; Guignabert, C.] Univ Paris Sud, Paris, France</t>
  </si>
  <si>
    <t>Assistance Publique Hopitaux Paris (APHP); Hopital Universitaire Bicetre - APHP; Hopital Universitaire Antoine-Beclere - APHP; Universite Paris Saclay; Universite Paris Saclay</t>
  </si>
  <si>
    <t>Humbert, Marc/AAC-8459-2019; Savale, Laurent/AAJ-9781-2020; David, Montani/I-6885-2019; Simonneau, Gerald/ABE-6614-2020; Sitbon, Olivier/I-3623-2019; GUIGNABERT, Christophe/G-3873-2013</t>
  </si>
  <si>
    <t>French Agence Nationale de Securite du Medicament (ANSM grant VIGIAPATH); European Respiratory Society / Canadian Thoracic Society Long Term Research Fellowship [LTRF 2015-4780]</t>
  </si>
  <si>
    <t>French Agence Nationale de Securite du Medicament (ANSM grant VIGIAPATH)(Agence Nationale de la Recherche (ANR)); European Respiratory Society / Canadian Thoracic Society Long Term Research Fellowship</t>
  </si>
  <si>
    <t>This abstract is funded by: This research was supported by grants from the French Agence Nationale de Securite du Medicament (ANSM grant VIGIAPATH). Jason Weatherald was funded by a European Respiratory Society / Canadian Thoracic Society Long Term Research Fellowship (LTRF 2015-4780)</t>
  </si>
  <si>
    <t>A4737</t>
  </si>
  <si>
    <t>WOS:000400372504376</t>
  </si>
  <si>
    <t>Bousquet, J; Hellings, PW; Agache, I; Bedbrook, A; Bachert, C; Bergmann, KC; Bewick, M; Bindslev-Jensen, C; Bosnic-Anticevitch, S; Bucca, C; Caimmi, DP; Camargos, PAM; Canonica, GW; Casale, T; Chavannes, NH; Cruz, AA; De Carlo, G; Dahl, R; Demoly, P; Devillier, P; Fonseca, J; Fokkens, WJ; Guldemond, NA; Haahtela, T; Illario, M; Just, J; Keil, T; Klimek, L; Kuna, P; Larenas-Linnemann, D; Morais-Almeida, M; Mullol, J; Murray, R; Naclerio, R; O'Hehir, RE; Papadopoulos, NG; Pawankar, R; Potter, P; Ryan, D; Samolinski, B; Schunemann, HJ; Sheikh, A; Simons, FER; Stellato, C; Todo-Bom, A; Tomazic, PV; Valiulis, A; Valovirta, E; Ventura, MT; Wickman, M; Young, I; Yorgancioglu, A; Zuberbier, T; Aberer, W; Akdis, CA; Akdis, M; Annesi-Maesano, I; Ankri, J; Ansotegui, IJ; Anto, JM; Arnavielhe, S; Asarnoj, A; Arshad, H; Avolio, F; Baiardini, I; Barbara, C; Barbagallo, M; Bateman, ED; Beghé, B; Bel, EH; Bennoor, KS; Benson, M; Bialoszewski, AZ; Bieber, T; Bjermer, L; Blain, H; Blasi, F; Boner, AL; Bonini, M; Bonini, S; Bosse, I; Bouchard, J; Boulet, LP; Bourret, R; Bousquet, PJ; Braido, F; Briggs, AH; Brightling, CE; Brozek, J; Buhl, R; Bunu, C; Burte, E; Bush, A; Caballero-Fonseca, F; Calderon, MA; Camuzat, T; Cardona, V; Carreiro-Martins, P; Carriazo, AM; Carlsen, KH; Carr, W; Sarabia, AMC; Cesari, M; Chatzi, L; Chiron, R; Chivato, T; Chkhartishvili, E; Chuchalin, AG; Chung, KF; Ciprandi, G; de Sousa, JC; Cox, L; Crooks, G; Custovic, A; Dahlen, SE; Darsow, U; Dedeu, T; Deleanu, D; Denburg, JA; De Vries, G; Didier, A; Dinh-Xuan, AT; Dokic, D; Douagui, H; Dray, G; Dubakiene, R; Durham, SR; Du Toit, G; Dykewicz, MS; Eklund, P; El-Gamal, Y; Ellers, E; Emuzyte, R; Farrell, J; Wagner, AF; Fiocchi, A; Fletcher, M; Forastiere, F; Gaga, M; Gamkrelidze, A; Gemicioglu, B; Gereda, JE; van Wick, RG; Diaz, SG; Grisle, I; Grouse, L; Gutter, Z; Guzmán, MA; Hellquist-Dahl, B; Heinrich, J; Horak, F; Hourihane, JOB; Humbert, M; Hyland, M; Iaccarino, G; Jares, EJ; Jeandel, C; Johnston, SL; Joos, G; Jonquet, O; Jung, KS; Jutel, M; Kaidashev, I; Khaitov, M; Kalayci, O; Kalyoncu, AF; Kardas, P; Keith, PK; Kerkhof, M; Kerstjens, HAM; Khaltaev, N; Kogevinas, M; Kolek, V; Koppelman, GH; Kowalski, ML; Kuitunen, M; Kull, I; Kvedariene, V; Lambrecht, B; Lau, S; Laune, D; Le, LTT; Lieberman, P; Lipworth, B; Li, J; Carlsen, KCL; Louis, R; Lupinek, C; MacNee, W; Magar, Y; Magnan, A; Mahboub, B; Maier, D; Majer, I; Malva, J; Manning, P; Keenoy, ED; Marshall, GD; Masjedi, MR; Mathieu-Dupas, E; Maurer, M; Mavale-Manuel, S; Melén, E; Melo-Gomes, E; Meltzer, EO; Mercier, J; Merk, H; Miculinic, N; Mihaltan, F; Milenkovic, B; Millot-Keurinck, J; Mohammad, Y; Momas, I; Mösges, R; Muraro, A; Namazova-Baranova, L; Nadif, R; Neffen, H; Nekam, K; Nieto, A; Niggemann, B; Nogueira-Silva, L; Nogues, M; Nyembue, TD; Ohta, K; Okamoto, Y; Okubo, K; Olive-Elias, M; Ouedraogo, S; Paggiaro, P; Pali-Schöll, I; Palkonen, S; Panzner, P; Papi, A; Park, HS; Passalacqua, G; Pedersen, S; Pereira, AM; Pfaar, O; Picard, R; Pigearias, B; Pin, I; Plavec, D; Pohl, W; Popov, TA; Portejoie, F; Postma, D; Poulsen, LK; Price, D; Rabe, KF; Raciborski, F; Roberts, G; Robalo-Cordeiro, C; Rodenas, F; Rodriguez-Mañas, L; Rolland, C; Rodriguez, MR; Romano, A; Rosado-Pinto, J; Rosario, N; Rottem, M; Sanchez-Borges, M; Sastre-Dominguez, J; Scadding, GK; Scichilone, N; Schmid-Grendelmeier, P; Serrano, E; Shields, M; Siroux, V; Sisul, JC; Skrindo, I; Smit, HA; Solé, D; Sooronbaev, T; Spranger, O; Stelmach, R; Sterk, PJ; Strandberg, T; Sunyer, J; Thijs, C; Triggiani, M; Valenta, R; Valero, A; van Eerd, M; van Ganse, E; van Hague, M; Vandenplas, O; Varona, LL; Vellas, B; Vezzani, G; Vazankari, T; Viegi, G; Vontetsianos, T; Wagenmann, M; Walker, S; Wang, DY; Wahn, U; Werfel, T; Whalley, B; Williams, DM; Williams, S; Wilson, N; Wright, J; Yawn, BP; Yiallouros, PK; Yusuf, OM; Zaidi, A; Zar, HJ; Zernotti, ME; Zhang, L; Zhong, N; Zidarn, M</t>
  </si>
  <si>
    <t>Bousquet, J.; Hellings, P. W.; Agache, I.; Bedbrook, A.; Bachert, C.; Bergmann, K. C.; Bewick, M.; Bindslev-Jensen, C.; Bosnic-Anticevitch, S.; Bucca, C.; Caimmi, D. P.; Camargos, P. A. M.; Canonica, G. W.; Casale, T.; Chavannes, N. H.; Cruz, A. A.; De Carlo, G.; Dahl, R.; Demoly, P.; Devillier, P.; Fonseca, J.; Fokkens, W. J.; Guldemond, N. A.; Haahtela, T.; Illario, M.; Just, J.; Keil, T.; Klimek, L.; Kuna, P.; Larenas-Linnemann, D.; Morais-Almeida, M.; Mullol, J.; Murray, R.; Naclerio, R.; O'Hehir, R. E.; Papadopoulos, N. G.; Pawankar, R.; Potter, P.; Ryan, D.; Samolinski, B.; Schunemann, H. J.; Sheikh, A.; Simons, F. E. R.; Stellato, C.; Todo-Bom, A.; Tomazic, P. V.; Valiulis, A.; Valovirta, E.; Ventura, M. T.; Wickman, M.; Young, I.; Yorgancioglu, A.; Zuberbier, T.; Aberer, W.; Akdis, C. A.; Akdis, M.; Annesi-Maesano, I.; Ankri, J.; Ansotegui, I. J.; Anto, J. M.; Arnavielhe, S.; Asarnoj, A.; Arshad, H.; Avolio, F.; Baiardini, I.; Barbara, C.; Barbagallo, M.; Bateman, E. D.; Beghe, B.; Bel, E. H.; Bennoor, K. S.; Benson, M.; Bialoszewski, A. Z.; Bieber, T.; Bjermer, L.; Blain, H.; Blasi, F.; Boner, A. L.; Bonini, M.; Bonini, S.; Bosse, I.; Bouchard, J.; Boulet, L. P.; Bourret, R.; Bousquet, P. J.; Braido, F.; Briggs, A. H.; Brightling, C. E.; Brozek, J.; Buhl, R.; Bunu, C.; Burte, E.; Bush, A.; Caballero-Fonseca, F.; Calderon, M. A.; Camuzat, T.; Cardona, V.; Carreiro-Martins, P.; Carriazo, A. M.; Carlsen, K. H.; Carr, W.; Cepeda Sarabia, A. M.; Cesari, M.; Chatzi, L.; Chiron, R.; Chivato, T.; Chkhartishvili, E.; Chuchalin, A. G.; Chung, K. F.; Ciprandi, G.; Correia de Sousa, J.; Cox, L.; Crooks, G.; Custovic, A.; Dahlen, S. E.; Darsow, U.; Dedeu, T.; Deleanu, D.; Denburg, J. A.; De Vries, G.; Didier, A.; Dinh-Xuan, A. T.; Dokic, D.; Douagui, H.; Dray, G.; Dubakiene, R.; Durham, S. R.; Du Toit, G.; Dykewicz, M. S.; Eklund, P.; El-Gamal, Y.; Ellers, E.; Emuzyte, R.; Farrell, J.; Wagner, A. Fink; Fiocchi, A.; Fletcher, M.; Forastiere, F.; Gaga, M.; Gamkrelidze, A.; Gemicioglu, B.; Gereda, J. E.; van Wick, R. Gerth; Gonzalez Diaz, S.; Grisle, I.; Grouse, L.; Gutter, Z.; Guzman, M. A.; Hellquist-Dahl, B.; Heinrich, J.; Horak, F.; Hourihane, J. O'. B.; Humbert, M.; Hyland, M.; Iaccarino, G.; Jares, E. J.; Jeandel, C.; Johnston, S. L.; Joos, G.; Jonquet, O.; Jung, K. S.; Jutel, M.; Kaidashev, I.; Khaitov, M.; Kalayci, O.; Kalyoncu, A. F.; Kardas, P.; Keith, P. K.; Kerkhof, M.; Kerstjens, H. A. M.; Khaltaev, N.; Kogevinas, M.; Kolek, V.; Koppelman, G. H.; Kowalski, M. L.; Kuitunen, M.; Kull, I.; Kvedariene, V.; Lambrecht, B.; Lau, S.; Laune, D.; Le, L. T. T.; Lieberman, P.; Lipworth, B.; Li, J.; Carlsen, K. C. Lodrup; Louis, R.; Lupinek, C.; MacNee, W.; Magar, Y.; Magnan, A.; Mahboub, B.; Maier, D.; Majer, I.; Malva, J.; Manning, P.; De Manuel Keenoy, E.; Marshall, G. D.; Masjedi, M. R.; Mathieu-Dupas, E.; Maurer, M.; Mavale-Manuel, S.; Melen, E.; Melo-Gomes, E.; Meltzer, E. O.; Mercier, J.; Merk, H.; Miculinic, N.; Mihaltan, F.; Milenkovic, B.; Millot-Keurinck, J.; Mohammad, Y.; Momas, I.; Mosges, R.; Muraro, A.; Namazova-Baranova, L.; Nadif, R.; Neffen, H.; Nekam, K.; Nieto, A.; Niggemann, B.; Nogueira-Silva, L.; Nogues, M.; Nyembue, T. D.; Ohta, K.; Okamoto, Y.; Okubo, K.; Olive-Elias, M.; Ouedraogo, S.; Paggiaro, P.; Pali-Schoell, I.; Palkonen, S.; Panzner, P.; Papi, A.; Park, H. S.; Passalacqua, G.; Pedersen, S.; Pereira, A. M.; Pfaar, O.; Picard, R.; Pigearias, B.; Pin, I.; Plavec, D.; Pohl, W.; Popov, T. A.; Portejoie, F.; Postma, D.; Poulsen, L. K.; Price, D.; Rabe, K. F.; Raciborski, F.; Roberts, G.; Robalo-Cordeiro, C.; Rodenas, F.; Rodriguez-Manas, L.; Rolland, C.; Roman Rodriguez, M.; Romano, A.; Rosado-Pinto, J.; Rosario, N.; Rottem, M.; Sanchez-Borges, M.; Sastre-Dominguez, J.; Scadding, G. K.; Scichilone, N.; Schmid-Grendelmeier, P.; Serrano, E.; Shields, M.; Siroux, V.; Sisul, J. C.; Skrindo, I.; Smit, H. A.; Sole, D.; Sooronbaev, T.; Spranger, O.; Stelmach, R.; Sterk, P. J.; Strandberg, T.; Sunyer, J.; Thijs, C.; Triggiani, M.; Valenta, R.; Valero, A.; van Eerd, M.; van Ganse, E.; van Hague, M.; Vandenplas, O.; Varona, L. L.; Vellas, B.; Vezzani, G.; Vazankari, T.; Viegi, G.; Vontetsianos, T.; Wagenmann, M.; Walker, S.; Wang, D. Y.; Wahn, U.; Werfel, T.; Whalley, B.; Williams, D. M.; Williams, S.; Wilson, N.; Wright, J.; Yawn, B. P.; Yiallouros, P. K.; Yusuf, O. M.; Zaidi, A.; Zar, H. J.; Zernotti, M. E.; Zhang, L.; Zhong, N.; Zidarn, M.</t>
  </si>
  <si>
    <t>ARIA 2016: Care pathways implementing emerging technologies for predictive medicine in rhinitis and asthma across the life cycle</t>
  </si>
  <si>
    <t>ARIA; Rhinitis; ICT; EIP on AHA; Mobile technology; AIRWAYS ICPs</t>
  </si>
  <si>
    <t>EUROPEAN INNOVATION PARTNERSHIP; VISUAL ANALOG SCALE; QUALITY-OF-LIFE; PERSISTENT ALLERGIC RHINITIS; CLINICAL-PRACTICE; IMPACT; HEALTH; CLASSIFICATION; PREVALENCE; EFFICACY</t>
  </si>
  <si>
    <t>The Allergic Rhinitis and its Impact on Asthma (ARIA) initiative commenced during a World Health Organization workshop in 1999. The initial goals were (1) to propose a new allergic rhinitis classification, (2) to promote the concept of multi-morbidity in asthma and rhinitis and (3) to develop guidelines with all stakeholders that could be used globally for all countries and populations. ARIA-disseminated and implemented in over 70 countries globally-is now focusing on the implementation of emerging technologies for individualized and predictive medicine. MASK [MACVIA (Contre les Maladies Chroniques pour un Vieillissement Actif)-ARIA Sentinel NetworK] uses mobile technology to develop care pathways for the management of rhinitis and asthma by a multi-disciplinary group and by patients themselves. An app (Android and iOS) is available in 20 countries and 15 languages. It uses a visual analogue scale to assess symptom control and work productivity as well as a clinical decision support system. It is associated with an inter-operable tablet for physicians and other health care professionals. The scaling up strategy uses the recommendations of the European Innovation Partnership on Active and Healthy Ageing. The aim of the novel ARIA approach is to provide an active and healthy life to rhinitis sufferers, whatever their age, sex or socio-economic status, in order to reduce health and social inequalities incurred by the disease.</t>
  </si>
  <si>
    <t>[Bousquet, J.; Bourret, R.; Olive-Elias, M.] Montpellier Univ Hosp, Montpellier, France; [Bousquet, J.; Bedbrook, A.; Jeandel, C.; Nogues, M.; Portejoie, F.] European Innovat Partnership Act &amp; Hlth Ageing Re, MAlad Chron Vleillissement Actif France, MACVIA France, Montpellier, France; [Bousquet, J.; Ankri, J.; Burte, E.; Nadif, R.] INSERM, Ageing &amp; Chron Dis Epidemiol &amp; Publ Hlth Approach, U1168, F-94800 Villejuif, France; [Hellings, P. W.] Katholieke Univ Leuven, Dept Microbiol &amp; Immunol, Clin Immunol Lab, Louvain, Belgium; [Agache, I.] Transylvania Univ Brasov, Brasov, Romania; [Bachert, C.] Ghent Univ Hosp, ENT Dept, Upper Airways Res Lab, Ghent, Belgium; [Bergmann, K. C.; Zuberbier, T.; Maurer, M.] Charite, Dept Dermatol &amp; Allergy, Allergy Ctr Charite, Berlin, Germany; [Bergmann, K. C.; Zuberbier, T.] Global Allergy &amp; Asthma European Network, Berlin, Germany; [Bewick, M.] iQ4U Consultants Ltd, London, England; [Bindslev-Jensen, C.; Ellers, E.] Odense Univ Hosp, Dept Dermatol, Odense, Denmark; [Bosnic-Anticevitch, S.] Odense Univ Hosp, Allergy Ctr, Odense, Denmark; [Bucca, C.] Univ Sydney &amp; Sydney Local Hlth Dist, Woolcock Inst Med Res, Glebe, NSW, Australia; [Caimmi, D. P.; Demoly, P.; Chiron, R.] Hosp City Hlth &amp; Sci Torino, Univ Pneumol Unit AOU Molinette, Turin, Italy; [Camargos, P. A. M.] Montpellier Univ Hosp, Dept Resp Dis, Montpellier, France; [Canonica, G. W.; Baiardini, I.; Braido, F.; Passalacqua, G.] Univ Fed Minas Gerais, Dept Pediat, Sch Med, Belo Horizonte, MG, Brazil; [Casale, T.] Humanitas Univ, Asthma &amp; Allergy Clin, Milan, Italy; [Chavannes, N. H.] Univ S Florida, Div Allergy Immunol, Tampa, FL USA; [Cruz, A. A.; Dahl, R.] Leiden Univ, Med Ctr, Dept Publ Hlth &amp; Primary Care, Leiden, Netherlands; [Cruz, A. A.] Univ Fed Bahia, ProAR Nucleo Excelencia Asma, Salvador, BA, Brazil; [De Carlo, G.; Palkonen, S.] GARD Execut Comm, Salvador, BA, Brazil; [Demoly, P.; Annesi-Maesano, I.; Bousquet, P. J.] EFA European Federat Allergy &amp; Airways Dis Patien, Brussels, Belgium; [Demoly, P.; Annesi-Maesano, I.] INSERM, EPAR U707, Paris, France; [Devillier, P.] Univ Paris 06, EPAR UMR S UPMC, Paris, France; [Fonseca, J.; Nogueira-Silva, L.; Pereira, A. M.] Suresnes Univ Versailles, Hop Foch, Lab Pharmacol Resp UPRES EA220, St Quentin en Yvelines, France; [Nogueira-Silva, L.; Pereira, A. M.] Univ Porto, Ctr Res Hlth Technol &amp; Informat Syst CINTESIS, Porto, Portugal; [Fonseca, J.; Nogueira-Silva, L.; Pereira, A. M.] Inst CUF Porto, Allergy Unit, Porto, Portugal; [Fokkens, W. J.] Hosp CUF Porto, Porto, Portugal; [Guldemond, N. A.; Olive-Elias, M.] Univ Porto, Fac Med, Hlth Informat &amp; Decis Sci Dept CIDES, Rua Dr Placido da Costa S-N, P-4200450 Porto, Portugal; [Haahtela, T.; Olive-Elias, M.] Acad Med Ctr, Dept Otorhinolaryngol, Amsterdam, Netherlands; [Illario, M.] Erasmus Univ, Inst Hlth Policy &amp; Management IBMG, Rotterdam, Netherlands; [Just, J.] Helsinki Univ Hosp, Skin &amp; Allergy Hosp, Helsinki, Finland; [Keil, T.] Univ Naples Federico II, Hosp Naples R&amp;D &amp; DISMET, Naples, Italy; [Keil, T.] Univ Paris 06, UPMC,Equipe EPAR, Sorbonne Univ,Dept Allergol,Inst Pierre Louis Epi, Hopital Enfants Armand Trousseau,AP HP,Ctr Asthme, F-75013 Paris, France; [Klimek, L.; Pfaar, O.] Charite, Inst Social Med Epidemiol &amp; Hlth Econ, Berlin, Germany; [Kuna, P.] Univ Wurzburg, Inst Clin Epidemiol &amp; Biometry, Wurzburg, Germany; [Larenas-Linnemann, D.] Ctr Rhinol &amp; Allergol, Wiesbaden, Germany; [Morais-Almeida, M.] Med Univ Lodz, Barlicki Univ Hosp, Div Internal Med Asthma &amp; Allergy, Lodz, Poland; [Mullol, J.] Univ Barcelona, CIBERES, IDIBAPS, Hosp Clin,ENT Dept,Clin &amp; Expt Resp Immunoallergy, Barcelona, Catalonia, Spain; [Murray, R.] Univ Chicago, Med Ctr, Sect Otolaryngol Head &amp; Neck Surg, Chicago, IL 60637 USA; [Naclerio, R.] Univ Chicago, Pritzker Sch Med, Chicago, IL 60637 USA; [O'Hehir, R. E.] Monash Univ, Alfred Hosp, Dept Allergy Immunol &amp; Resp Med, Melbourne, Vic, Australia; [O'Hehir, R. E.] Monash Univ, Cent Clin Sch, Melbourne, Vic, Australia; [Papadopoulos, N. G.] Monash Univ, Dept Immunol, Melbourne, Vic, Australia; [Papadopoulos, N. G.] Univ Manchester, Royal Manchester Childrens Hosp, Inst Human Dev, Ctr Pediat &amp; Child Hlth, Manchester, Lancs, England; [Pawankar, R.] Univ Athens, Athens Gen Childrens Hosp P&amp;A Kyriakou, Pediat Clin 2, Dept Allergy, Athens, Greece; [Potter, P.] Nippon Med Sch, Dept Pediat, Tokyo, Japan; [Ryan, D.] Univ Cape Town, Lung Inst, Allergy Diagnost &amp; Clin Res Unit, Cape Town, South Africa; [Ryan, D.] Woodbrook Med Ctr, Loughborough, Leics, England; [Samolinski, B.; Asarnoj, A.; Bialoszewski, A. Z.; Raciborski, F.] Univ Edinburgh, Allergy &amp; Resp Res Grp, Edinburgh, Midlothian, Scotland; [Schunemann, H. J.; Brozek, J.] Med Univ Warsaw, Dept Prevent Environm Hazards &amp; Allergol, Warsaw, Poland; [Sheikh, A.] McMaster Univ, Dept Clin Epidemiol &amp; Biostat, Hamilton, ON, Canada; [Simons, F. E. R.] Univ Edinburgh, Sch Med, Ctr Populat Hlth Sci, Allergy &amp; Resp Res Grp, Edinburgh, Midlothian, Scotland; [Stellato, C.; Triggiani, M.] Univ Manitoba, Fac Med, Dept Immunol, Dept Pediat &amp; Child Hlth, Winnipeg, MB, Canada; [Todo-Bom, A.] Univ Salerno, Div Allergy &amp; Clin Immunol, Salerno, Italy; [Tomazic, P. V.] Univ Coimbra, Fac Med, Ctr Pneumol, Coimbra, Portugal; [Valiulis, A.; Emuzyte, R.] Med Univ Graz, Dept ENT, Graz, Austria; [Valiulis, A.; Emuzyte, R.] Vilnius Univ, Fac Med, Clin Childrens Dis, Vilnius, Lithuania; [Valiulis, A.; Emuzyte, R.] Vilnius Univ, Inst Publ Hlth, Vilnius, Lithuania; [Valovirta, E.] European Acad Paediat EAP UEMS SP, Brussels, Belgium; [Valovirta, E.] Univ Turku, Dept Lung Dis &amp; Clin Allergol, Turku, Finland; [Ventura, M. T.] Terveystalo, Allergy Clin, Turku, Finland; [Wickman, M.; Kull, I.; Melen, E.] Univ Bari, Sch Med, Unit Geriatr Immunoallergol, Bari, Italy; [Wickman, M.; Kull, I.; Melen, E.] Soder Sjukhuset, Sachs Children &amp; Youth Hosp, Stockholm, Sweden; [Young, I.] Karolinska Inst, Inst Environm Med, Stockholm, Sweden; [Yorgancioglu, A.] Queens Univ, Belfast, Antrim, North Ireland; [Aberer, W.] Celal Bayar Univ, Dept Pulmonol, Manisa, Turkey; [Akdis, C. A.; Akdis, M.] Med Univ Graz, Dept Dermatol, Graz, Austria; [Ansotegui, I. J.] Univ Zurich, Swiss Inst Allergy &amp; Asthma Res SIAF, Davos, Switzerland; [Anto, J. M.; Kogevinas, M.; Sunyer, J.] Hosp Quiron Bizkaia, Dept Allergy &amp; Immunol, Erandio, Spain; [Anto, J. M.; Kogevinas, M.; Sunyer, J.] Barcelona Inst Global Hlth ISGlobal, Barcelona, Spain; [Anto, J. M.; Kogevinas, M.; Sunyer, J.] IMIM Hosp Mar Res Inst, Barcelona, Spain; [Anto, J. M.; Kogevinas, M.; Sunyer, J.] CIBER Epidemiol &amp; Salud Publ CIBERESP, Barcelona, Spain; [Arnavielhe, S.; Laune, D.; Mathieu-Dupas, E.] Univ Pompeu Fabra, Barcelona, Spain; [Asarnoj, A.; van Hague, M.] Kyomed, Montpellier, France; [Asarnoj, A.; van Hague, M.] Karolinska Inst, Dept Med Solna, Clin Immunol &amp; Allergy Unit, Stockholm, Sweden; [Arshad, H.] Karolinska Univ Hosp, Astrid Lindgren Childrens Hosp, Dept Pediat Pulmonol &amp; Allergy, Stockholm, Sweden; [Avolio, F.] David Hide Asthma &amp; Allergy Res Ctr, Isle Of Wight, England; [Barbara, C.; Melo-Gomes, E.] Reg Puglia, Bari, Italy; [Barbagallo, M.] Portuguese Natl Programme Resp Dis PNDR, Fac Med Lisbon, Lisbon, Portugal; [Bateman, E. D.] Univ Palermo, Dept Internal Med DIBIMIS, Geriatr Unit, Palermo, Italy; [Beghe, B.] Univ Cape Town, Dept Med, Cape Town, South Africa; [Bel, E. H.] Univ Modena &amp; Reggio Emilia, Dept Oncol Haematol &amp; Resp Dis, Sect Resp Dis, Modena, Italy; [Bennoor, K. S.] Univ Amsterdam, Acad Med Ctr, Dept Resp Med, Amsterdam, Netherlands; [Benson, M.] Natl Inst Dis Chest &amp; Hosp, Dept Resp Med, Dhaka, Bangladesh; [Bieber, T.] Linkoping Univ, Fac Med, Dept Pediat, Ctr Individualized Med, S-58185 Linkoping, Sweden; [Bjermer, L.] Univ Bonn, Dept Dermatol &amp; Allergy, Bonn, Germany; [Blain, H.; Jeandel, C.] Univ Hosp, Dept Resp Med &amp; Allergol, Lund, Sweden; [Blain, H.] Montpellier Univ Hosp, Dept Geriatr, Montpellier, France; [Blasi, F.] Univ Montpellier, Euromov, EA 2991, Montpellier, France; [Boner, A. L.] Univ Milan, IRCCS Fdn CaGranda Osped Maggiore Policlin, Dept Pathophysiol &amp; Transplantat, Milan, Italy; [Bonini, S.] Univ Verona Hosp, Dept Pediat, Verona, Italy; [Bonini, M.] Univ Roma La Sapienza, Dept Publ Hlth &amp; Infect Dis, Rome, Italy; [Bosse, I.] Univ Naples 2, Naples, Italy; [Bouchard, J.] Italian Natl Res Council, Inst Translat Med, Naples, Italy; [Boulet, L. P.] Univ Laval, Quebec Heart &amp; Lung Inst, Quebec City, PQ, Canada; [Briggs, A. H.] Univ Glasgow, Inst Hlth &amp; Wellbeing, Hlth Econ &amp; Hlth Technol Assessment, Glasgow, Lanark, Scotland; [Brightling, C. E.] Univ Hosp Leicester NHS Trust, Inst Lung Hlth, Resp Biomed Unit, Leicester, Leics, England; [Brightling, C. E.] Univ Leicester, Dept Infect Immun &amp; Inflammat, Leicester, Leics, England; [Buhl, R.] Johannes Gutenberg Univ Mainz, Univ Med, Mainz, Germany; [Bunu, C.; Bush, A.; Calderon, M. A.] Univ Med &amp; Farm Timisoara, Timisoara, Romania; [Bush, A.; Calderon, M. A.] Univ London Imperial Coll Sci Technol &amp; Med, Royal Brompton Hosp NHS, London, England; [Caballero-Fonseca, F.] Ctr Med Docente Trinidad, Caracas, Venezuela; [Calderon, M. A.; Chung, K. F.] Univ London Imperial Coll Sci Technol &amp; Med, Natl Heart &amp; Lung Inst, London, England; [Camuzat, T.] Reg Languedoc Roussillon, Montpellier, France; [Cardona, V.] Hosp Valle De Hebron, S Allergol S Med Interna, Barcelona, Spain; [Carreiro-Martins, P.] CEDOC, Resp Res Grp, Nova Med Sch, Lisbon, Portugal; [Carreiro-Martins, P.] Ctr Hosp Lisboa Cent, EPE, Serv Imunoalergol, Lisbon, Portugal; [Carriazo, A. M.] Reg Minist Hlth Andalusia, Seville, Spain; [Carlsen, K. H.; Carlsen, K. C. Lodrup; Skrindo, I.] Oslo Univ Hosp, Dept Paediat, Oslo, Norway; [Carlsen, K. H.] Univ Oslo, Oslo, Norway; [Carr, W.] Allergy &amp; Asthma Associates Southern Calif, Mission Viejo, CA USA; [Cepeda Sarabia, A. M.] Metropolitan Univ, Univ Simon Bolivar, Allergy &amp; Immunol Lab, Barranquilla, Colombia; [Cepeda Sarabia, A. M.] SLaai Sociedad Latinoamer Allergia Asma &amp; Immunol, Cartagena, Colombia; [Cesari, M.; Vellas, B.] Gerontopole Toulouse, F-31059 Toulouse, France; [Chatzi, L.] Univ Crete, Fac Med, Dept Social Med, Iraklion, NE, Greece; [Chivato, T.] Univ CEU San Pablo, Sch Med, Madrid, Spain; [Chkhartishvili, E.] Grigol Robakidze Univ, David Tvildiani Med Univ, AIETI Med Sch, Chachava Clin, Tbilisi, Georgia; [Chuchalin, A. G.] Pulmonolory Res Inst FMBA, Moscow, Russia; [Chuchalin, A. G.] GARD Execut Comm, Moscow, Russia; [Ciprandi, G.] IRCCS Azienda Osped Univ San Martino, Dept Med, Genoa, Italy; [Correia de Sousa, J.] Univ Minho, Sch Hlth Sci, Res Inst ICVS, ICVS 3BsPT Govt Associate Lab,Life &amp; Hlth Sci, Braga, Portugal; [Cox, L.] Nova Southeastern Univ, Dept Med, Davie, FL USA; [Crooks, G.] Scottish Ctr Telehealth &amp; Telecare, NHS 24, European Innovat Partnership Act &amp; Hlth Ageing, Reference Site,EIP AHA, Glasgow, Lanark, Scotland; [Custovic, A.] Univ London Imperial Coll Sci Technol &amp; Med, Dept Pediat, London, England; [Dahlen, S. E.] Karolinska Inst, Inst Environm Med, Ctr Allergy Res, Stockholm, Sweden; [Darsow, U.] Tech Univ Munich, Dept Dermatol &amp; Allergy, Munich, Germany; [Darsow, U.] Helmholtz Ctr Munich, ZAUM Ctr Allergy &amp; Environm, Munich, Germany; [Dedeu, T.] AQuAS, Barcelona, Spain; [Dedeu, T.] European Reg &amp; Local Hlth Assoc, EUREGHA, Brussels, Belgium; [Deleanu, D.] Iuliu Hatieganu Univ Med &amp; Pharm, Allergol &amp; Immunol Discipline, Cluj Napoca, Romania; [Denburg, J. A.] McMaster Univ, Dept Med, Div Clin Immunol &amp; Allergy, Hamilton, ON, Canada; [De Vries, G.; van Eerd, M.] Peercode DV, Amsterdam, Netherlands; [Didier, A.] Rangueil Larrey Hosp, Dept Resp Dis, Toulouse, France; [Dinh-Xuan, A. T.] Univ Paris 05, Hop Cochin, AP HP, Serv Physiol Resp, Paris, France; [Dokic, D.] Ss Cyril &amp; Methodius Univ, Fac Med, Univ Clin Pulmol &amp; Allergy, Skopje, North Macedonia; [Douagui, H.] Ctr Hosp Univ Beni Messous, Serv Pneumoallergol, Algiers, Algeria; [Dray, G.] Ecole Mines, Ales, France; [Dubakiene, R.] Vilnius Univ, Fac Med, Vilnius, Lithuania; [Durham, S. R.] Univ London Imperial Coll Sci Technol &amp; Med, Natl Heart &amp; Lung Inst, Allergy &amp; Clin Immunol Sect, London, England; [Du Toit, G.] Kings Coll London, Guys &amp; St Thomas NHS Trust, London, England; [Dykewicz, M. S.] St Louis Univ, Sch Med, Sect Allergy &amp; Immunol, St Louis, MO USA; [Eklund, P.] Umea Univ, Dept Comp Sci, Umea, Sweden; [Eklund, P.] Four Comp Oy, Halikko, Finland; [El-Gamal, Y.] Ain Shams Univ, Pediat Allergy &amp; Immunol Unit, Cairo, Egypt; [Farrell, J.] Social Serv &amp; Publ Safety, Dept Hlth, Belfast, Antrim, North Ireland; [Wagner, A. Fink; Spranger, O.] Global Allergy &amp; Asthma Platform, Altgasse 8-10, A-1130 Vienna, Austria; [Fiocchi, A.] Bambino Gesu Childrens Res Hosp Holy See, Dept Pediat Med, Div Allergy, Rome, Italy; [Fletcher, M.] Educ Hlth, Warwick, England; [Forastiere, F.] Reg Hlth Serv Lazio Reg, Dept Epidemiol, Rome, Italy; [Gaga, M.] Athens Chest Hosp, Athens, Greece; [Gamkrelidze, A.] Natl Ctr Dis Control &amp; Publ Hlth Georgia, Tbilisi, Georgia; [Gemicioglu, B.] Istanbul Univ, Cerrahpasa Fac Med, Dept Pulm Dis, Istanbul, Turkey; [Gereda, J. E.] Clin Ricardo Palma, Allergy &amp; Immunol Div, Lima, Peru; [van Wick, R. Gerth] Erasmus MC, Dept Internal Med, Sect Allergol, Rotterdam, Netherlands; [Gonzalez Diaz, S.] Univ Autonoma Nuevo Leon, San Nicolas De Los Garza, Mexico; [Grisle, I.] Latvian Assoc Allergists, Ctr TB &amp; Lung Dis, Riga, Latvia; [Grouse, L.] Univ Washington, Sch Med, Dept Neurol, Seattle, WA 98195 USA; [Gutter, Z.] Univ Hosp Olomouc, Natl eHlth Ctr, Olomouc, Czech Republic; [Guzman, M. A.] Univ Chile, Clin Hosp, Immunol &amp; Allergy Div, Santiago, Chile; [Hellquist-Dahl, B.] Odense Univ Hosp, Dept Resp Dis, Odense, Denmark; [Heinrich, J.] German Res Ctr Environm Hlth, Inst Epidemiol 1, Helmholtz Zentrum Munchen, Neuherberg, Germany; [Horak, F.] Vienna Challenge Chamber, Vienna, Austria; [Hourihane, J. O'. B.] Univ Coll Cork, Dept Paediat &amp; Child Hlth, Cork, Ireland; [Humbert, M.] Univ Paris 11, Le Kremlin Bicetre, France; [Humbert, M.] Hop Bicetre, Serv Pneumol, Le Kremlin Bicetre, France; [Humbert, M.] INSERM, UMR S999, Le Kremlin Bicetre, France; [Hyland, M.; Whalley, B.] Univ Plymouth, Sch Psychol, Plymouth, Devon, England; [Iaccarino, G.] Univ Salerno, Dept Med &amp; Surg, Baronissi, Italy; [Jares, E. J.] Libra Fdn, Buenos Aires, DF, Argentina; [Johnston, S. L.] Univ London Imperial Coll Sci Technol &amp; Med, Natl Heart &amp; Lung Inst, Airway Dis Infect Sect, London, England; [Johnston, S. L.] MRC &amp; Asthma UK Ctr Allerg Mech Asthma, London, England; [Joos, G.] Ghent Univ Hosp, Dept Resp Med, Ghent, Belgium; [Jonquet, O.] Montpellier Univ Hosp, Med Commiss, Montpellier, France; [Jung, K. S.] Hallym Univ, Coll Med, Hallym Univ Sacred Heart Hosp, Anyang, Gyeonggi Do, South Korea; [Jutel, M.] Wroclaw Med Univ, Dept Clin Immunol, Wroclaw, Poland; [Kaidashev, I.] Ukrainian Med Stomatol Acad, Poltava, Ukraine; [Khaitov, M.] Fed Medicobiol Agcy, Inst Immunol, Natl Res Ctr, Lab Mol Immunol, Moscow, Russia; [Kalayci, O.] Hacettepe Univ, Sch Med, Pediat Allergy &amp; Asthma Unit, Ankara, Turkey; [Kalyoncu, A. F.] Hacettepe Univ, Sch Med, Dept Chest Dis, Immunol &amp; Allergy Div, Ankara, Turkey; [Kardas, P.] Med Univ Lodz, Dept Family Med 1, Lodz, Poland; [Keith, P. K.] McMaster Univ, Dept Med, Hlth Sci Ctr 3V47, 1280 Main St W, Hamilton, ON, Canada; [Kerkhof, M.; Kerstjens, H. A. M.] Univ Groningen, Univ Med Ctr Groningen, Dept Pulm Dis, Groningen, Netherlands; [Khaltaev, N.] GARD, Geneva, Switzerland; [Kolek, V.] Univ Hosp Olomouc, Fac Med &amp; Dent, Dept Resp Med, Olomouc, Czech Republic; [Koppelman, G. H.] Univ Groningen, Univ Med Ctr Groningen, GRIAC Res Inst, Beatrix Childrens Hosp,Dept Pediat Pulmonol &amp; Ped, Groningen, Netherlands; [Kowalski, M. L.] Med Univ Lodz, Deptment Immunol Rheumatol &amp; Allergy &amp; HARC, Lodz, Poland; [Kuitunen, M.] Univ Helsinki, Childrens Hosp, Helsinki, Finland; [Kvedariene, V.] Vilnius Univ, Clin Infect Chest Dis Dermatol &amp; Allergol, Vilnius, Lithuania; [Lambrecht, B.] Univ Ghent, VIB Inflammat Res Ctr, Ghent, Belgium; [Lau, S.; Niggemann, B.; Wahn, U.] Charite, Dept Pediat Pneumol &amp; Immunol, Berlin, Germany; [Le, L. T. T.] Univ Med &amp; Pharm, Hochiminh City, Vietnam; [Lieberman, P.] Univ Tennessee, Coll Med, Dept Internal Med &amp; Pediat, Div Allergy &amp; Immunol, Germantown, TN USA; [Lipworth, B.] Univ Dundee, Ninewells Hosp, Med Res Inst, Scottish Ctr Resp Res Cardiovasc &amp; Diabet Med, Dundee, Scotland; [Li, J.; Zhong, N.] Guangzhou Med Univ, Affiliated Hosp 1, Guangzhou Inst Resp Dis, State Key Lab Resp Dis, Guangzhou, Guangdong, Peoples R China; [Carlsen, K. C. Lodrup; Skrindo, I.] Univ Oslo, Fac Med, Inst Clin Med, Oslo, Norway; [Louis, R.] CHU Sart Tilman, Dept Pulm Med, Liege, Belgium; [Lupinek, C.; Valenta, R.] Med Univ Vienna, Ctr Pathophysiol Infectiol &amp; Immunol, Dept Pathophysiol &amp; Allergy Res, Div Immunopathol, Vienna, Austria; [MacNee, W.] Univ Edinburgh, Queens Med Res Inst, Edinburgh, Midlothian, Scotland; [Magar, Y.] Hop St Joseph, Serv Pneumoallergol, Paris, France; [Magnan, A.] Univ Nantes, UMR INSERM, Serv Pneumol, UMR1087, Nantes, France; [Magnan, A.] Univ Nantes, Inst Thorax, CNR 6291, Nantes, France; [Mahboub, B.] Rashid Hosp, Dept Pulm Med, Dubai, U Arab Emirates; [Maier, D.] Biomax Informat AG, Munich, Germany; [Majer, I.] Univ Bratislava, Dept Resp Med, Bratislava, Slovakia; [Malva, J.] Univ Coimbra, Fac Med, Inst Biomed Imaging &amp; Life Sci, Coimbra, Portugal; [Malva, J.] Ageing@Coimbra EIP AHA Reference Site, Coimbra, Portugal; [Manning, P.] Bon Secours Hosp, Dept Med, Dublin, Ireland; [De Manuel Keenoy, E.] Kronikgune, Basque Region, Spain; [Marshall, G. D.] Univ Mississippi, Med Ctr, Div Clin Immunol &amp; Allergy, Lab Behav Immunol Res, Jackson, MS USA; [Masjedi, M. R.] Iranian Anti Tobacco Assoc, Tobacco Control Res Ctr, Tehran, Iran; [Mavale-Manuel, S.] Maputo Cent Hosp, Dept Paediat, Maputo, Mozambique; [Meltzer, E. O.] Allergy &amp; Asthma Med Grp &amp; Res Ctr, San Diego, CA USA; [Mercier, J.] Univ Montpellier, Dept Physiol, CHRU, PhyMedExp,INSERM U1046,CNRS UMR 9214, Montpellier, France; [Merk, H.] Rhein Westfal TH Aachen, Univ Klinikum, Hautklin Klin Dermatol &amp; Allergol, Aachen, Germany; [Miculinic, N.] Croatian Pulm Soc, Zagreb, Croatia; [Mihaltan, F.] Natl Inst Pneumol M Nasta, Bucharest, Romania; [Milenkovic, B.] Univ Belgrade, Fac Med, Belgrade, Serbia; [Milenkovic, B.] Serbian Assoc Asthma &amp; COPD, Belgrade, Serbia; [Millot-Keurinck, J.; Nogues, M.] Caisse Assurance Retraite &amp; Sante Travail Langued, Montpellier, France; [Mohammad, Y.] Tishreen Univ, Sch Med, Natl Ctr Res Chron Resp Dis, Latakia, Syria; [Momas, I.] Paris Descartes Univ, Sorbonne Paris Cite, Dept Publ Hlth &amp; Hlth Prod, EA 4064, Paris, France; [Momas, I.] Paris Municipal Dept Social Act Childhood &amp; Hlth, Paris, France; [Mosges, R.] Univ Cologne, Fac Med, Inst Med Stat Informat &amp; Epidemiol, Cologne, Germany; [Muraro, A.] Padua Gen Univ Hosp, Dept Women &amp; Child Hlth, Food Allergy Referral Ctr Veneto Reg, Padua, Italy; [Namazova-Baranova, L.] Russian Acad Med Sci, Sci Ctr Childrens Hlth, Moscow, Russia; [Neffen, H.] Hosp Ninos Orlando Alassia, Santa Fe, Argentina; [Nekam, K.] Hosp Hosp Bros Buda, Budapest, Hungary; [Nieto, A.] Hosp La Fe, Neumol &amp; Alergol Infantil, Valencia, Spain; [Nogueira-Silva, L.] Ctr Hosp Sao Joao, Dept Internal Med, Porto, Portugal; [Nyembue, T. D.] Univ Hosp Kinshasa, ENT Dept, Kinshasa, DEM REP CONGO; [Ohta, K.] Tokyo Natl Hosp, Natl Hosp Org, Tokyo, Japan; [Okamoto, Y.] Chiba Univ Hosp, Dept Otorhinolaryngol, Chiba, Japan; [Okubo, K.] Nippon Med Sch, Dept Otolaryngol, Tokyo, Japan; [Ouedraogo, S.] Ctr Hosp Univ Pediatr Charles Gaulle, Ouagadougou, Burkina Faso; [Paggiaro, P.] Univ Hosp Pisa, Cardiothorac &amp; Vasc Dept, Pisa, Italy; [Pali-Schoell, I.] Med Univ, Univ Vet Med, Messerli Res Inst, Dept Comparat Med, Vienna, Austria; [Panzner, P.] Charles Univ Prague, Fac Med, Dept Immunol &amp; Allergol, Plzen, Czech Republic; Charles Univ Prague, Fac Hosp Pilsen, Plzen, Czech Republic; [Papi, A.] Univ Ferrara, Dept Med Sci, Resp Med, Ferrara, Italy; [Park, H. S.] Ajou Univ, Sch Med, Dept Allergy &amp; Clin Immunol, Suwon, South Korea; [Pedersen, S.] Univ Southern Denmark, Kolding, Denmark; [Pereira, A. M.] CUF Porto Hosp &amp; Inst, Allergy Unit, Porto, Portugal; [Pfaar, O.] Heidelberg Univ, Med Fac Mannheim, Univ Med Mannheim, Dept Otorhinolaryngol Head &amp; Neck Surg, Mannheim, Germany; [Picard, R.] Minist Econ Ind &amp; Numer, Conseil Gen Econ, Paris, France; [Pigearias, B.] Espace Francophone Pneumol, Soc Pneumol Langue Francaise, Paris, France; [Pin, I.] CHU Grenoble, Dept Pediat, Grenoble, France; [Plavec, D.] Childrens Hosp Srebrnjak, Zagreb, Croatia; [Plavec, D.] Univ JJ Strossmayer, Sch Med, Osijek, Croatia; [Pohl, W.] Hietzing Hosp, Karl Landsteiner Inst Clin &amp; Expt Pneumol, Vienna, Austria; [Popov, T. A.] Med Univ Sofia, Clin Allergy &amp; Asthma, Sofia, Bulgaria; [Postma, D.] Univ Groningen, Univ Med Ctr Groningen, Groningen, Netherlands; [Poulsen, L. K.] Copenhagen Univ Hosp Gentofte, Allergy Clin, Lab Med Allergol, Copenhagen, Denmark; [Price, D.] Univ Aberdeen, Acad Ctr Primary Care, Aberdeen, Scotland; [Price, D.] Res Real Life, Cambridge, England; [Rabe, K. F.] German Ctr Lung Res DZL, Airway Res Ctr North, LungenClin Grosshansdorf, Grosshansdorf, Germany; [Rabe, K. F.] Univ Kiel, German Ctr Lung Res DZL, Airway Res Ctr North, Dept Med, Kiel, Germany; [Roberts, G.] Southampton Univ Hosp, NHS Fdn Trust, Southampton, Hants, England; [Robalo-Cordeiro, C.] Coimbra Univ Hosp, Ctr Pneumol, Coimbra, Portugal; [Rodenas, F.] Univ Valencia, Polibienestar Res Inst, Valencia, Spain; [Rodriguez-Manas, L.] Getafe Univ Hosp, Dept Geriatr, Madrid, Spain; [Rolland, C.] Assoc Asthme &amp; Allergie, Paris, France; [Roman Rodriguez, M.] Inst Invest Sanitaria Palma IdisPa, Primary Care Resp Res Unit, Palma De Mallorca, Spain; [Romano, A.] Complesso Integrato Columbus, Allergy Unit, Rome, Italy; [Rosado-Pinto, J.] Hosp Luz, Serv Imunoalergol, Lisbon, Portugal; [Rosario, N.] Univ Parana, Hosp Clin, Curitiba, Parana, Brazil; [Rottem, M.] Emek Med Ctr, Div Allergy Asthma &amp; Clin Immunol, Afula, Israel; [Sanchez-Borges, M.] Ctr Med Docente Trinidad &amp; Clin El Avila, Allergy &amp; Clin Immunol Dept, Caracas, Venezuela; [Sastre-Dominguez, J.] Autononous Univ Madrid, Fac Med, Madrid, Spain; [Scadding, G. K.] UCL, Royal Natl TNE Hosp, London, England; [Scichilone, N.] Univ Palermo, DIBIMIS, Palermo, Italy; [Schmid-Grendelmeier, P.] Univ Zurich Hosp, Dept Dermatol, Allergy Unit, Zurich, Switzerland; [Serrano, E.] CHU Rangueil Larrey, Otolaryngol &amp; Head &amp; Neck Surg, Toulouse, France; [Shields, M.] Queens Univ, Child Hlth, Belfast, Antrim, North Ireland; [Shields, M.] Royal Belfast Hosp Sick Children, Belfast, Antrim, North Ireland; [Siroux, V.] Univ Joseph Fourier, Team Environm Epidemiol Appl Reprod &amp; Resp Hlth, Univ Grenoble Alpes, INSERM,IAB U 1209, Grenoble, France; [Sisul, J. C.] Soc Paraguaya Alergia Asma &amp; Inmunol, Asuncion, Paraguay; [Smit, H. A.] Univ Utrecht, Univ Med Ctr Utrecht, Julius Ctr Hlth Sci &amp; Primary Care, Utrecht, Netherlands; [Sole, D.] Univ Fed Sao Paulo, Dept Pediat, Div Allergy Clin Immunol &amp; Rheumatol, Sao Paulo, Brazil; [Sooronbaev, T.] Euro Asian Resp Soc, Kyrgyzstan Natl Ctr Cardiol &amp; Internal Med, Bishkek, Kyrgyzstan; [Stelmach, R.] Univ Sao Paulo, Fac Med, Hosp Clin, Div Pulm,Inst Heart InCor, Sao Paulo, Brazil; [Sterk, P. J.] Univ Amsterdam, Acad Med Ctr, Amsterdam, Netherlands; [Strandberg, T.] European Union Geriatr Med Soc EUGMS, Helsinki, Finland; [Thijs, C.] Maastricht Univ, CAPHRI Sch Publ Hlth &amp; Primary Care, Dept Epidemiol, Maastricht, Netherlands; [Valero, A.] IDIBAPS, Hosp Clin, Pneumol &amp; Allergy Dept, Clin &amp; Expt Resp Immunoallergy, Barcelona, Spain; [van Ganse, E.] PELyon, Lyon, France; [van Ganse, E.] Univ Claude Bernard Lyon, Hlth Serv &amp; Performance Res, HESPER 7425, Villeurbanne, France; [van Hague, M.] Univ Hosp, Stockholm, Sweden; [Vandenplas, O.] Catholic Univ Louvain, Univ UCL Namur, Ctr Hosp Univ UCL Namur, Dept Chest Med, Yvoir, Belgium; [Varona, L. L.] Philippines Soc Allergy Asthma &amp; Immunol, Manila, Philippines; [Vezzani, G.] Res Hosp, Arcispedale S Maria Nuova IRCCS, Dept Cardiol Thorac &amp; Vasc Med, Pulm Unit, Reggio Emilia, Italy; [Vezzani, G.] Reg Agcy Hlth &amp; Social Care, Reggio Emilia, Italy; [Vazankari, T.] Finnish Lung Assoc FILHA, Helsinki, Finland; [Viegi, G.] CNR Inst Clin Physiol, Pulm Environm Epidemiol Unit, Pisa, Italy; [Viegi, G.] CNR, Inst Biomed &amp; Mol Immunol A Monroy, Palermo, Italy; [Vontetsianos, T.] Sotiria Hosp, Athens, Greece; [Wagenmann, M.] Univ Klinikum Dusseldorf, HNO Klin, Dept Otorhinolaryngol, Dusseldorf, Germany; [Walker, S.] Asthma UK, Mansell St, London, England; [Wang, D. Y.] Natl Univ Singapore, Yong Loo Lin Sch Med, Dept Otolaryngol, Singapore, Singapore; [Werfel, T.] Hannover Med Sch, Dept Dermatol &amp; Allergy, Div Immunodermatol &amp; Allergy Res, Hannover, Germany; [Williams, D. M.] Univ N Carolina, Eshelman Sch Pharm, Chapel Hill, NC USA; [Williams, S.] IPCRG, Aberdeen, Scotland; [Wright, J.] Bradford Royal Infirm, Bradford Inst Hlth Res, Bradford, W Yorkshire, England; [Yawn, B. P.] Olmsted Med Ctr, Dept Res, Rochester, MN USA; [Yiallouros, P. K.] Univ Cyprus, Sch Med, Nicosia, Cyprus; [Yusuf, O. M.] Allergy &amp; Asthma Inst, Lahore, Pakistan; [Zaidi, A.] Univ Southampton, Social Sci, Southampton, Hants, England; [Zar, H. J.] Univ Cape Town, Red Cross Childrens Hosp, Dept Paediat &amp; Child Hlth, Cape Town, South Africa; [Zar, H. J.] Univ Cape Town, MRC Unit Child &amp; Adolescent Hlth, Cape Town, South Africa; [Zernotti, M. E.] Univ Catolica Cordoba, Cordoba, Argentina; [Zhang, L.] Beijing TongRen Hosp, Dept Otolaryngol Head &amp; Neck Surg, Beijing, Peoples R China; [Zhang, L.] Beijing Inst Otolaryngol, Beijing, Peoples R China; [Zidarn, M.] Univ Clin Resp &amp; Allerg Dis, Golnik, Slovenia; [Wilson, N.] Northern Hlth Alliance, Newcastle Upon Tyne, Tyne &amp; Wear, England; [Bousquet, J.] CHRU Arnaud Villeneuve, 371 Ave Doyen Gaston Giraud, Montpellier 5, France</t>
  </si>
  <si>
    <t>Universite de Montpellier; CHU de Montpellier; Universite de Montpellier; Institut National de la Sante et de la Recherche Medicale (Inserm); Universite Paris Saclay; KU Leuven; Transylvania University of Brasov; Ghent University; Ghent University Hospital; Berlin Institute of Health; Free University of Berlin; Humboldt University of Berlin; Charite Universitatsmedizin Berlin; University of Southern Denmark; Odense University Hospital; University of Southern Denmark; Odense University Hospital; University of Sydney; Woolcock Institute of Medical Research; A.O.U. Citta della Salute e della Scienza di Torino; AOU San Giovanni Battista-Molinette; Universite de Montpellier; CHU de Montpellier; Universidade Federal de Minas Gerais; Humanitas University; State University System of Florida; University of South Florida; Leiden University; Leiden University Medical Center (LUMC); Leiden University - Excl LUMC; Universidade Federal da Bahia; Institut National de la Sante et de la Recherche Medicale (Inserm); Sorbonne Universite; Universite Paris Saclay; Hospital Foch; Universidade do Porto; Universidade do Porto; University of Amsterdam; Academic Medical Center Amsterdam; Erasmus University Rotterdam; Erasmus University Rotterdam - Excl Erasmus MC; University of Helsinki; Helsinki University Central Hospital; University of Naples Federico II; Assistance Publique Hopitaux Paris (APHP); Sorbonne Universite; Hopital Universitaire Armand-Trousseau - APHP; Berlin Institute of Health; Free University of Berlin; Humboldt University of Berlin; Charite Universitatsmedizin Berlin; University of Wurzburg; Medical University Lodz; University of Barcelona; Hospital Clinic de Barcelona; IDIBAPS; CIBER - Centro de Investigacion Biomedica en Red; CIBERES; University of Chicago; University of Chicago Medical Center; University of Chicago; Florey Institute of Neuroscience &amp; Mental Health; Howard Florey Institute Affiliates; Monash University; Monash University; Monash University; Royal Manchester Children's Hospital; University of Manchester; National &amp; Kapodistrian University of Athens; Nippon Medical School; University of Cape Town; University of Edinburgh; Medical University of Warsaw; McMaster University; University of Edinburgh; University of Manitoba; University of Salerno; Universidade de Coimbra; Medical University of Graz; Vilnius University; Vilnius University; University of Turku; Universita degli Studi di Bari Aldo Moro; Sodersjukhuset Hospital; Karolinska Institutet; Queens University Belfast; Celal Bayar University; Medical University of Graz; University of Zurich; Swiss Institute of Allergy &amp; Asthma Research; ISGlobal; Hospital del Mar Research Institute; CIBER - Centro de Investigacion Biomedica en Red; CIBERESP; Pompeu Fabra University; Karolinska Institutet; Karolinska Institutet; Karolinska University Hospital; Universidade de Lisboa; University of Palermo; University of Cape Town; Universita di Modena e Reggio Emilia; University of Amsterdam; Academic Medical Center Amsterdam; Linkoping University; University of Bonn; Lund University; Skane University Hospital; Universite de Montpellier; CHU de Montpellier; Universite de Montpellier; IRCCS Ca Granda Ospedale Maggiore Policlinico; University of Milan; University of Verona; Azienda Ospedaliera Universitaria Integrata Verona; Sapienza University Rome; Universita della Campania Vanvitelli; Consiglio Nazionale delle Ricerche (CNR); Quebec Heart &amp; Lung Institute; Laval University; University of Glasgow; University Hospitals of Leicester NHS Trust; University of Leicester; University of Leicester; Johannes Gutenberg University of Mainz; Victor Babes University of Medicine &amp; Pharmacy, Timisoara; Royal Brompton Hospital; Imperial College London; Imperial College London; Hospital Universitari Vall d'Hebron; Centro Hospitalar de Lisboa Central, EPE; Universidade de Lisboa; University of Oslo; University of Oslo; CHU de Toulouse; University of Crete; San Pablo CEU University; University of Genoa; IRCCS AOU San Martino IST; Universidade do Minho; Nova Southeastern University; Imperial College London; Karolinska Institutet; Technical University of Munich; Helmholtz Association; Helmholtz-Center Munich - German Research Center for Environmental Health; Iuliu Hatieganu University of Medicine &amp; Pharmacy; McMaster University; CHU de Toulouse; Assistance Publique Hopitaux Paris (APHP); Universite Paris Cite; Hopital Universitaire Cochin - APHP; Saints Cyril &amp; Methodius University of Skopje; IMT - Institut Mines-Telecom; IMT Mines Ales; Vilnius University; Imperial College London; University of London; King's College London; Guy's &amp; St Thomas' NHS Foundation Trust; Saint Louis University; Umea University; Egyptian Knowledge Bank (EKB); Ain Shams University; National Center for Disease Control &amp; Public Health - Georgia; Istanbul University - Cerrahpasa; Istanbul University; Erasmus University Rotterdam; Erasmus MC; Universidad Autonoma de Nuevo Leon; University of Washington; University of Washington Seattle; University Hospital Olomouc; Universidad de Chile; University of Southern Denmark; Odense University Hospital; Helmholtz Association; Helmholtz-Center Munich - German Research Center for Environmental Health; University College Cork; Universite Paris Saclay; Universite Paris Saclay; Assistance Publique Hopitaux Paris (APHP); Hopital Universitaire Bicetre - APHP; Hopital Universitaire Antoine-Beclere - APHP; Institut National de la Sante et de la Recherche Medicale (Inserm); Universite Paris Saclay; University of Plymouth; University of Salerno; Imperial College London; University of London; King's College London; Ghent University; Ghent University Hospital; Universite de Montpellier; CHU de Montpellier; Hallym University; Wroclaw Medical University; Poltava State Medical University; NRC Institute of Immunology FMBA of Russia; Hacettepe University; Hacettepe University; Medical University Lodz; McMaster University; University of Groningen; University Hospital Olomouc; University of Groningen; Medical University Lodz; University of Helsinki; Vilnius University; Flanders Institute for Biotechnology (VIB); Ghent University; Berlin Institute of Health; Free University of Berlin; Humboldt University of Berlin; Charite Universitatsmedizin Berlin; Hochiminh City University of Medicine &amp; Pharmacy; University of Tennessee System; University of Tennessee Health Science Center; University of Dundee; State Key Laboratory of Respiratory Disease; Guangzhou Medical University; University of Oslo; University of Liege; Medical University of Vienna; University of Edinburgh; Universite Paris Cite; Hopital Paris Saint-Joseph; Institut National de la Sante et de la Recherche Medicale (Inserm); Nantes Universite; Institut National de la Sante et de la Recherche Medicale (Inserm); Nantes Universite; CHU de Nantes; Biomax Informatics; Comenius University Bratislava; Universidade de Coimbra; University of Mississippi; University of Mississippi Medical Center; Allergy &amp; Asthma Medical Group &amp; Research Center; Universite de Montpellier; CHU de Montpellier; Institut National de la Sante et de la Recherche Medicale (Inserm); Centre National de la Recherche Scientifique (CNRS); CNRS - National Institute for Biology (INSB); RWTH Aachen University; RWTH Aachen University Hospital; Marius Nasta Pneumophtisiology Institute; University of Belgrade; Tishreen University; Universite Paris Cite; University of Cologne; University of Padua; Azienda Ospedaliera - Universita di Padova; Russian Academy of Medical Sciences; Hospital Universitari i Politecnic La Fe; Sao Joao Hospital; Chiba University; Nippon Medical School; University of Pisa; Azienda Ospedaliero Universitaria Pisana; University of Veterinary Medicine Vienna; Charles University Prague; Charles University Prague; University of Ferrara; Ajou University; University of Southern Denmark; Ruprecht Karls University Heidelberg; CHU Grenoble Alpes; Communaute Universite Grenoble Alpes; Universite Grenoble Alpes (UGA); University of JJ Strossmayer Osijek; Hietzing Hospital; Medical University Sofia; University of Groningen; University of Copenhagen; Herlev &amp; Gentofte Hospital; Copenhagen University Hospital; University of Aberdeen; Grosshansdorf Hospital; University of Kiel; University of Southampton; Universidade de Coimbra; Centro Hospitalar e Universitario de Coimbra (CHUC); University of Valencia; Hospital Universitario de Getafe; Atencio Primaria de Mallorca; Institut Investigacio Sanitaria Illes Balears (IdISBa); Emek Medical Center; University of London; University College London; University of Palermo; University of Zurich; University Zurich Hospital; CHU de Toulouse; Queens University Belfast; Communaute Universite Grenoble Alpes; Universite Grenoble Alpes (UGA); Institut National de la Sante et de la Recherche Medicale (Inserm); Utrecht University; Utrecht University Medical Center; Universidade Federal de Sao Paulo (UNIFESP); Universidade de Sao Paulo; University of Amsterdam; Academic Medical Center Amsterdam; Maastricht University; University of Barcelona; Hospital Clinic de Barcelona; IDIBAPS; Universite Claude Bernard Lyon 1; Universite Catholique Louvain; IRCCS Arcispedale S. Maria Nuova; Consiglio Nazionale delle Ricerche (CNR); Istituto di Fisiologia Clinica (IFC-CNR); Consiglio Nazionale delle Ricerche (CNR); Istituto di Biomedicina e di Immunologia Molecolare Alberto Monroy (IBIM-CNR); Heinrich Heine University Dusseldorf; Heinrich Heine University Dusseldorf Hospital; National University of Singapore; Hannover Medical School; University of North Carolina; University of North Carolina Chapel Hill; Bradford Royal Infirmary; Olmsted Medical Center; University of Cyprus; University of Southampton; University of Cape Town; University of Cape Town; Catholic University of Cordoba; Capital Medical University; Universite de Montpellier; CHU de Montpellier</t>
  </si>
  <si>
    <t>Bousquet, J (corresponding author), Montpellier Univ Hosp, Montpellier, France.;Bousquet, J (corresponding author), European Innovat Partnership Act &amp; Hlth Ageing Re, MAlad Chron Vleillissement Actif France, MACVIA France, Montpellier, France.;Bousquet, J (corresponding author), INSERM, Ageing &amp; Chron Dis Epidemiol &amp; Publ Hlth Approach, U1168, F-94800 Villejuif, France.;Bousquet, J (corresponding author), CHRU Arnaud Villeneuve, 371 Ave Doyen Gaston Giraud, Montpellier 5, France.</t>
  </si>
  <si>
    <t>Bonniaud, Philippe/ITT-4660-2023; Iaccarino, Guido/A-7702-2010; Yiallouros, Panayiotis/AAF-6026-2019; Muñoz, Marta/AAB-4615-2019; Gaga, Mina/AAP-8348-2020; Iaccarino, Guido/D-4540-2009; Blain, Hubert/AAZ-8017-2020; Whalley, Ben/C-4390-2008; Akdis, Mubeccel/JCE-1576-2023; Todo Bom, Ana/AHD-3630-2022; Gemicioglu, Bilun/AAH-6927-2019; Ivancevich, Juan/AAB-4937-2020; Triggiani, Massimo/K-8271-2016; Asarnoj, Anna/ABC-4112-2020; Ventura, Maria/J-8197-2017; Barbara, C./AAF-3397-2020; Rodriguez-Manas, Leocadio/AFL-1127-2022; Vicheva, Dilyana/AAI-7136-2020; Rabe, Klaus/AAW-6296-2021; Briggs, Andrew/ABA-9009-2020; Mohammad, Yousser/LTD-1984-2024; Shields, Mike/AGG-3437-2022; Kogevinas, Manolis/C-3918-2017; Jung, Ki-Suck/AAN-2473-2021; LOUIS, Renaud/HMO-7349-2023; Guldemond, Nick/AAS-7755-2020; Muraro, Antonella/AFO-2033-2022; Chung, Kian/B-1872-2012; Papi, alberto/AAC-1888-2019; Annesi-Maesano, Isabella/D-9173-2016; Martins, Pedro/A-1433-2011; Kerstjens, Huib/N-4754-2017; Bjermer, Leif/I-4899-2014; Viegi, Giovanni/K-2746-2016; Johnston, Sebastian/I-2423-2012; Sterk, P.J./AAK-8175-2020; Agache, Ioana/AAP-7403-2020; Bialoszewski, Artur/G-5875-2012; Kvedariene, Violeta/D-7730-2011; Solé, Dirceu/JAO-0340-2023; Barone-Adesi, Francesco/ABG-1580-2020; Lambrecht, Bart/K-2484-2014; stelmach, rafael/AAH-1638-2019; Plavec, Davor/HKM-7822-2023; Bergmann, Karl-Christian/AAA-4104-2019; Zuberbier, Torsten/AFM-9173-2022; Zar, Heather/GZL-5350-2022; Cardona, Victoria/GRX-4196-2022; Schmid, Peter/D-1717-2013; PIN, Isabelle/N-3020-2013; Park, Hae-Sim/S-7974-2019; Ciprandi, Giorgio/G-7462-2012; Roberts, Gareth/H-4496-2011; Valiulis, Arunas/JEZ-2972-2023; Yorgancioglu, Arzu/AAC-7548-2020; Werfel, Thomas/B-6921-2012; Brozek, Jan/ADG-1130-2022; Bachert, Claus/J-8825-2012; Kaidashev, Igor/L-2606-2019; Emilie, Burte/AAA-5048-2022; Marshall, Gailen/R-7459-2019; Anto, J/H-2676-2014; Fokkens, Wytske/ABF-2185-2020; Dray, Gerard/ACO-1836-2022; Bieber, Thomas/AFM-9906-2022; Bateman, Eric/B-7042-2011; Price, David/H-2837-2019; Valenta, Richard/K-4072-2017; Koppelman, Gerard/AAG-9187-2020; Wagenman, Martin/B-2524-2012; Thijs, Carel/H-8340-2019; Ryan, Dermot/AAJ-2329-2021; Akdis, Cezmi/AAV-4844-2020; Fiocchi, Alessandro/K-9235-2016; Bousquet, Philippe Jean/AAW-8608-2021; MAGNAN, ANTOINE/GVT-4308-2022; Bosnic-Anticevich, Sinthia/AAD-2526-2021; Cox, Linda/AAP-1697-2021; Bousquet, Jean/O-4221-2019; VAN GANSE, Eric/D-5876-2015; Deleanu, Diana/G-3963-2015; Stellato, Cristiana/IWU-8018-2023; BARBAGALLO, MARIO/K-4794-2017; Sheikh, Aziz/D-2818-2009; Klimek, Ludger/AFJ-9880-2022; Poulsen, Lars/J-3065-2019; Popov, Todor/Q-9928-2016; Lupinek, Christian/I-3311-2019; Cesari, Matteo/A-4649-2008; Correia de Sousa, Jaime/H-5607-2015; Malva, Joao/L-3557-2014; Sunyer Deu, Jordi/G-6909-2014; Wright, John/H-1624-2012; Stellato, Cristiana/P-3001-2015; Nadif, Rachel/R-2876-2016; Bindslev-Jensen, Carsten/H-1877-2011; Bonini, Sergio/T-6594-2019; Masjedi, Mohammad Reza/J-9776-2017; Caimmi, Davide/AAA-1277-2019; Pereira, Ana Margarida/K-3343-2014; Gonzalez-Diaz, Sandra Nora/H-3271-2018; Fonseca, Joao/B-7562-2008; Kaidashev, Igor/H-3827-2016; Custovic, Adnan/A-2435-2012; Robalo Cordeiro, Carlos Manuel da Silva/I-4864-2012; Romano, Antonino/D-3102-2017; Maurer, Marcus/ABG-2174-2020; Hellings, Peter/I-4068-2018; Cucalin, Aleksandr/P-5678-2018; SIROUX, Valerie/N-1865-2013; Panzner, Petr/I-7034-2017; CANONICA, GIORGIO WALTER/ABF-2037-2020; Christoff, George/ABF-9789-2021; Nogueira-Silva, Luis/M-3474-2014; Namazova-Baranova, Leyla/C-9485-2019; Papadopoulos, Nikolaos/L-8670-2013; Dinh-Xuan, Anh Tuan/A-9691-2008; Casale, Thomas/K-4334-2013; Humbert, Marc/AAC-8459-2019; Schunemann, Holger/LRB-7016-2024; IACCARINO, Guido/Q-4799-2016; Sastre, Joaquin/A-4270-2008; Heinrich, Joachim/N-1720-2013; O'Hehir, Robyn/H-3627-2011; Yusuf, Osman/AAI-1142-2020; Namazova-Baranova, Leyla/C-9485-2019; Demoly, Pascal/Y-9938-2019; Forastiere, Francesco/J-9067-2016; Chavannes, Niels Henrik/F-1148-2011; Rodenas Rigla, Francisco/L-5293-2014; Blasi, Francesco/O-5885-2017; Khaitov, Musa/L-3369-2017</t>
  </si>
  <si>
    <t>Cesari, Matteo/0000-0002-0348-3664; Correia de Sousa, Jaime/0000-0001-6459-7908; Rodriguez-Manas, Leocadio/0000-0002-6551-1333; Malva, Joao/0000-0002-5438-4447; Park, Hae-Sim/0000-0003-2614-0303; Lau, Susanne/0000-0002-5189-4265; Sunyer Deu, Jordi/0000-0002-2602-4110; Zar, Heather/0000-0002-9046-759X; , Maurice Olive/0009-0001-7522-9497; Kuna, Piotr/0000-0003-2401-0070; Wright, John/0000-0001-9572-7293; Cardona, Victoria/0000-0003-2197-9767; Young, Ian/0000-0003-3890-3152; Stellato, Cristiana/0000-0002-1294-8355; Nadif, Rachel/0000-0003-4938-9339; Bindslev-Jensen, Carsten/0000-0002-8940-038X; Larenas Linnemann, Desiree/0000-0002-5713-5331; momas, isabelle/0000-0003-4344-3787; JUTEL, MAREK/0000-0003-1555-9379; Bonini, Sergio/0000-0003-0079-3031; Fletcher, Monica/0000-0002-9700-3552; Carreiro Martins, Pedro/0000-0002-4129-133X; Masjedi, Mohammad Reza/0000-0002-6871-382X; Caimmi, Davide/0000-0003-4481-6194; Pereira, Ana Margarida/0000-0002-5468-0932; Gonzalez-Diaz, Sandra Nora/0000-0002-3612-0042; Popov, Todor/0000-0001-5052-5866; Fonseca, Joao/0000-0002-0887-8796; Kaidashev, Igor/0000-0002-4708-0859; Custovic, Adnan/0000-0001-5218-7071; Robalo Cordeiro, Carlos Manuel da Silva/0000-0002-8264-3856; Romano, Antonino/0000-0001-9742-9898; Maurer, Marcus/0000-0002-4121-481X; Kerstjens, Huib/0000-0001-7705-7927; Sheikh, Aziz/0000-0001-7022-3056; VENTURA, Maria Teresa/0000-0002-2637-4583; Briggs, Andrew/0000-0002-0777-1997; Hellings, Peter/0000-0001-6898-688X; Cucalin, Aleksandr/0000-0002-6808-5528; SIROUX, Valerie/0000-0001-7329-7237; Bialoszewski, Artur/0000-0001-5941-0483; Lupinek, Christian/0000-0002-8612-8245; Zuberbier, Torsten/0000-0002-1466-8875; cox, linda/0000-0002-5258-6870; brightling, chris/0000-0002-9345-4903; Panzner, Petr/0000-0002-1291-450X; Hyland, Michael/0000-0003-3879-0469; CANONICA, GIORGIO WALTER/0000-0001-8467-2557; Todo-Bom, Ana/0000-0002-1850-6689; Christoff, George/0000-0003-4549-7711; Nogueira-Silva, Luis/0000-0002-5519-707X; Ankri, Joel/0000-0002-0070-6471; Namazova-Baranova, Leyla/0000-0002-2209-7531; Ciprandi, Giorgio/0000-0001-7016-8421; Bosnic-Anticevich, Sinthia/0000-0001-5077-8329; Valenta, Rudolf/0000-0001-5944-3365; Murray, Ruth/0000-0002-2821-978X; Akdis, Cezmi/0000-0001-8020-019X; Papadopoulos, Nikolaos/0000-0002-4448-3468; Gaga, Mina/0000-0002-9949-6012; Dinh-Xuan, Anh Tuan/0000-0001-8651-5176; Koppelman, Gerard/0000-0001-8567-3252; stelmach, rafael/0000-0002-5132-1934; Casale, Thomas/0000-0002-3149-7377; TRIGGIANI, MASSIMO/0000-0001-7318-2093; Humbert, Marc/0000-0003-0703-2892; Asarnoj, Anna/0000-0002-0797-2369; Fiocchi, Alessandro/0000-0002-2549-0523; Du Toit, George/0000-0002-0321-2928; Schunemann, Holger/0000-0003-3211-8479; IACCARINO, Guido/0000-0002-8997-835X; Johnston, Sebastian/0000-0003-3009-9200; Sastre, Joaquin/0000-0003-4689-6837; Heinrich, Joachim/0000-0002-9620-1629; Kvedariene, Violeta/0000-0002-6119-211X; Rabe, Klaus F./0000-0002-7020-1401; yorgancioglu, arzu/0000-0002-4032-0944; O'Hehir, Robyn/0000-0002-3489-7595; Yusuf, Osman/0000-0002-8067-1204; Zhang, Luo/0000-0002-0910-9884; Namazova-Baranova, Leyla/0000-0002-7902-6427; El-Gamal, Yehia/0000-0002-8177-4520; Zidarn, Mihaela/0000-0003-0515-5207; Demoly, Pascal/0000-0001-7827-7964; Forastiere, Francesco/0000-0002-9162-5684; Chavannes, Niels Henrik/0000-0002-8607-9199; Rodenas Rigla, Francisco/0000-0003-3264-4735; mohammad, yousser/0009-0003-0403-2747; Raciborski, Filip/0000-0003-0562-0260; Blasi, Francesco/0000-0002-2285-9970; Ryan, Dermot/0000-0002-4115-7376; Khaitov, Musa/0000-0003-4961-9640; Rottem, Menachem/0000-0002-9915-0273; Gemicioglu, Bilun/0000-0001-5953-4881; Kardas, Przemyslaw/0000-0002-6078-2628; Dray, Gerard/0000-0003-1525-5682; Bergmann, Karl-Christian/0000-0002-0306-9922; Barbara, Cristina/0000-0003-0915-4105</t>
  </si>
  <si>
    <t>European Innovation Partnership; MRC [MR/J000388/1, G0901530] Funding Source: UKRI</t>
  </si>
  <si>
    <t>European Innovation Partnership; MRC(UK Research &amp; Innovation (UKRI)Medical Research Council UK (MRC))</t>
  </si>
  <si>
    <t>European Innovation Partnership on Active and Healthy Ageing Reference Site MACVIA-France, EU Structural and Development Fund Languedoc-Roussillon, ARIA.</t>
  </si>
  <si>
    <t>DEC 30</t>
  </si>
  <si>
    <t>10.1186/s13601-016-0137-4</t>
  </si>
  <si>
    <t>EN5UP</t>
  </si>
  <si>
    <t>Green Published, gold, Green Accepted</t>
  </si>
  <si>
    <t>WOS:000396071500001</t>
  </si>
  <si>
    <t>Gaga, M; Zervas, E; Humbert, M</t>
  </si>
  <si>
    <t>Gaga, Mina; Zervas, Eleftherios; Humbert, Marc</t>
  </si>
  <si>
    <t>Targeting immunoglobulin E in non-atopic asthma: crossing the red line?</t>
  </si>
  <si>
    <t>IL-5 MESSENGER-RNA; BRONCHIAL BIOPSIES; OMALIZUMAB; PHENOTYPES; BIOMARKERS; REGISTRY; PROTEIN</t>
  </si>
  <si>
    <t>[Gaga, Mina; Zervas, Eleftherios] Athens Chest Hosp Sotiria, Dept Resp Med 7, 152 Mesoge Ave, Athens 11527, Greece; [Gaga, Mina; Zervas, Eleftherios] Athens Chest Hosp Sotiria, Asthma Ctr, 152 Mesoge Ave, Athens 11527, Greece; [Humbert, Marc] Univ Paris Saclay, Univ Paris Sud, Le Kremlin Bicetre, France; [Humbert, Marc] Hop Bicetre, AP HP, Serv Pneumol, Le Kremlin Bicetre, France; [Humbert, Marc] Hop Marie Lannelongue, INSERM, UMR S 999, Le Plessis Robinson, France</t>
  </si>
  <si>
    <t>Gaga, M (corresponding author), Athens Chest Hosp Sotiria, Dept Resp Med 7, 152 Mesoge Ave, Athens 11527, Greece.;Gaga, M (corresponding author), Athens Chest Hosp Sotiria, Asthma Ctr, 152 Mesoge Ave, Athens 11527, Greece.</t>
  </si>
  <si>
    <t>minagaga@yahoo.com</t>
  </si>
  <si>
    <t>Gaga, Mina/AAP-8348-2020; Humbert, Marc/AAC-8459-2019</t>
  </si>
  <si>
    <t>Humbert, Marc/0000-0003-0703-2892; Gaga, Mina/0000-0002-9949-6012; Zervas, Eleftherios/0000-0001-7436-4550</t>
  </si>
  <si>
    <t>10.1183/13993003.01797-2016</t>
  </si>
  <si>
    <t>EI4KM</t>
  </si>
  <si>
    <t>WOS:000392462500002</t>
  </si>
  <si>
    <t>Ghigna, MR; Guignabert, C; Montani, D; Girerd, B; Jaïs, X; Savale, L; Hervé, P; de Montpréville, VT; Mercier, O; Sitbon, O; Soubrier, F; Fadel, E; Simonneau, G; Humbert, M; Dorfmüller, P</t>
  </si>
  <si>
    <t>Ghigna, Maria-Rosa; Guignabert, Christophe; Montani, David; Girerd, Barbara; Jais, Xavier; Savale, Laurent; Herve, Philippe; de Montpreville, Vincent Thomas; Mercier, Olaf; Sitbon, Olivier; Soubrier, Florent; Fadel, Elie; Simonneau, Gerald; Humbert, Marc; Dorfmuller, Peter</t>
  </si>
  <si>
    <t>BMPR2 mutation status influences bronchial vascular changes in pulmonary arterial hypertension</t>
  </si>
  <si>
    <t>ENDOTHELIAL GROWTH-FACTOR; CLINICAL-OUTCOMES; EXPRESSION; PATHOLOGY; PHENOTYPES</t>
  </si>
  <si>
    <t>The impact of bone morphogenetic protein receptor 2 (BMPR2) gene mutations on vascular remodelling in pulmonary arterial hypertension (PAH) is unknown. We sought to identify a histological profile of BMPR2 mutation carriers. Clinical data and lung histology from 44 PAH patients were subjected to systematic analysis and morphometry. Bronchial artery hypertrophy/dilatation and bronchial angiogenesis, as well as muscular remodelling of septal veins were significantly increased in PAH lungs carrying BMPR2 mutations. We found that patients displaying increased bronchial artery remodelling and bronchial microvessel density, irrespective of the mutation status, were more likely to suffer from severe haemoptysis. History of substantial haemoptysis (&gt;50 mL) was significantly more frequent in BMPR2 mutation carriers. 43.5% of BMPR2 mutation carriers, as opposed to 9.5% of noncarriers, displayed singular large fibrovascular lesions, which appear to be closely related to the systemic lung vasculature. Our analysis provides evidence for the involvement of the pulmonary systemic circulation in BMPR2 mutation-related PAH. We show that BMPR2 mutation carriers are more prone to haemoptysis and that haemoptysis is closely correlated to bronchial arterial remodelling and angiogenesis; in turn, pronounced changes in the systemic vasculature correlate with increased pulmonary venous remodelling, creating a distinctive profile in PAH patients harbouring a BMPR2 mutation.</t>
  </si>
  <si>
    <t>[Ghigna, Maria-Rosa; Guignabert, Christophe; Montani, David; Girerd, Barbara; Jais, Xavier; Savale, Laurent; Mercier, Olaf; Sitbon, Olivier; Fadel, Elie; Simonneau, Gerald; Humbert, Marc; Dorfmuller, Peter] Marie Lannelongue Hosp, LabEx LERMIT, INSERM UMR S 999, Le Plessis Robinson, France; [Ghigna, Maria-Rosa; Guignabert, Christophe; Montani, David; Girerd, Barbara; Jais, Xavier; Savale, Laurent; Mercier, Olaf; Sitbon, Olivier; Fadel, Elie; Simonneau, Gerald; Humbert, Marc; Dorfmuller, Peter] Univ Paris Saclay, Paris South Univ, Sch Med, Le Kremlin Bicetre, France; [Ghigna, Maria-Rosa; de Montpreville, Vincent Thomas; Dorfmuller, Peter] Marie Lannelongue Hosp, Dept Pathol, Le Plessis Robinson, France; [Herve, Philippe; Mercier, Olaf; Fadel, Elie] Bicetre Hosp, AP HP, Dept Pulmonol, DHU Thorax Innovat, Le Kremlin Bicetre, France; [Soubrier, Florent] Univ Paris 06, Pitie Salpetriere Hosp, AP HP, Dept Genet, Paris, France</t>
  </si>
  <si>
    <t>Universite Paris Saclay; Hopital Marie Lannelongue; Institut National de la Sante et de la Recherche Medicale (Inserm); Universite Paris Saclay; Hopital Marie Lannelongue; Assistance Publique Hopitaux Paris (APHP); Hopital Universitaire Bicetre - APHP; Sorbonne Universite; Assistance Publique Hopitaux Paris (APHP); Hopital Universitaire Pitie-Salpetriere - APHP</t>
  </si>
  <si>
    <t>Dorfmüller, P (corresponding author), Hop Marie Lannelongue, INSERM UMR S 999, 133 Ave Resistance, F-92350 Le Plessis Robinson, France.;Dorfmüller, P (corresponding author), Hop Marie Lannelongue, Dept Pathol, 133 Ave Resistance, F-92350 Le Plessis Robinson, France.</t>
  </si>
  <si>
    <t>Sitbon, Olivier/I-3623-2019; Savale, Laurent/AAJ-9781-2020; David, Montani/I-6885-2019; Simonneau, Gerald/ABE-6614-2020; GUIGNABERT, Christophe/G-3873-2013; Humbert, Marc/AAC-8459-2019</t>
  </si>
  <si>
    <t>Dorfmuller, Peter/0000-0003-2499-6829; Mercier, Olaf/0000-0002-4760-6267; SITBON, Olivier/0000-0002-1942-1951; GUIGNABERT, Christophe/0000-0002-8545-4452; Ghigna, Maria Rosa/0000-0001-5996-665X; Humbert, Marc/0000-0003-0703-2892; Thomas de Montpreville, Vincent/0000-0001-7490-4000; JAIS, XAVIER/0000-0002-4104-7994; Montani, David/0000-0002-9358-6922</t>
  </si>
  <si>
    <t>French National Institute for Health and Medical Research (INSERM); Legs Poix (Chancellerie des Universites de Paris)</t>
  </si>
  <si>
    <t>French National Institute for Health and Medical Research (INSERM)(Institut National de la Sante et de la Recherche Medicale (Inserm)); Legs Poix (Chancellerie des Universites de Paris)</t>
  </si>
  <si>
    <t>This research was supported by grants from the French National Institute for Health and Medical Research (INSERM) and the Legs Poix (Chancellerie des Universites de Paris). Funding information for this article has been deposited with Open Funder Registry.</t>
  </si>
  <si>
    <t>10.1183/13993003.00464-2016</t>
  </si>
  <si>
    <t>WOS:000392462500020</t>
  </si>
  <si>
    <t>Lau, EMT; Thakkar, V; Humbert, M; Herve, P</t>
  </si>
  <si>
    <t>Lau, Edmund M. T.; Thakkar, Vivek; Humbert, Marc; Herve, Philippe</t>
  </si>
  <si>
    <t>To stress or not to stress? Exercise pulmonary haemodynamic testing in systemic sclerosis</t>
  </si>
  <si>
    <t>ARTERIAL-HYPERTENSION; DIAGNOSIS; PRESSURE; SURVIVAL; CRITERIA; ERA</t>
  </si>
  <si>
    <t>[Lau, Edmund M. T.] Univ Sydney, Sydney Med Sch, Sydney, NSW, Australia; [Lau, Edmund M. T.] Royal Prince Alfred Hosp, Dept Resp Med, Missenden Rd, Camperdown, NSW 2050, Australia; [Thakkar, Vivek] Liverpool Hosp, Dept Rheumatol, Sydney, NSW, Australia; [Thakkar, Vivek] Univ Western Sydney, Sch Med, Campbelltown, NSW, Australia; [Humbert, Marc] Univ Paris Saclay, Univ Paris Sud, Le Kremlin Bicetre, France; [Humbert, Marc] Hop Bicetre, AP HP, Serv Pneumol, Le Kremlin Bicetre, France; [Humbert, Marc] Hop Marie Lannelongue, INSERM, UMR S 999, Le Plessis Robinson, France; [Herve, Philippe] Hop Bicetre, AP HP, Ctr Reference Hypertens Pulm Severe, Serv Pneumol,DHU Thorax Innovat, Le Kremlin Bicetre, France</t>
  </si>
  <si>
    <t>University of Sydney; University of Sydney; NSW Health; Royal Prince Alfred Hospital; Liverpool Hospital; Western Sydney University; Universite Paris Saclay; Universite Paris Saclay; Assistance Publique Hopitaux Paris (APHP); Hopital Universitaire Antoine-Beclere - APHP; Hopital Universitaire Bicetre - APHP; Hopital Marie Lannelongue; Universite Paris Saclay; Institut National de la Sante et de la Recherche Medicale (Inserm); Assistance Publique Hopitaux Paris (APHP); Hopital Universitaire Antoine-Beclere - APHP; Universite Paris Saclay; Hopital Universitaire Bicetre - APHP</t>
  </si>
  <si>
    <t>Lau, EMT (corresponding author), Royal Prince Alfred Hosp, Dept Resp Med, Missenden Rd, Camperdown, NSW 2050, Australia.</t>
  </si>
  <si>
    <t>edmund.lau@sydney.edu.au</t>
  </si>
  <si>
    <t>Thakkar, Vivek/0000-0002-3028-3529; Humbert, Marc/0000-0003-0703-2892</t>
  </si>
  <si>
    <t>10.1183/13993003.01809-2016</t>
  </si>
  <si>
    <t>WOS:000392462500005</t>
  </si>
  <si>
    <t>Raina, A; Humbert, M</t>
  </si>
  <si>
    <t>Raina, Amresh; Humbert, Marc</t>
  </si>
  <si>
    <t>6-MINUTE WALK DISTANCE; RIGHT-VENTRICULAR DYSFUNCTION; BRAIN NATRIURETIC PEPTIDE; DISEASE MANAGEMENT REVEAL; 2015 ESC/ERS GUIDELINES; COMBINATION THERAPY; EXERCISE CAPACITY; PREVALENT COHORTS; FUNCTIONAL CLASS; BASE-LINE</t>
  </si>
  <si>
    <t>Regular patient assessment is essential for the management of chronic diseases, such as pulmonary arterial hypertension (PAH). Comprehensive patient assessment and risk stratification in PAH are important to guide treatment decisions and to monitor disease progression as well as patients' response to treatment. Approaches for assessing risk in PAH patients include the use of risk variables, as recommended in the 2015 European Society of Cardiology (ESC)/European Respiratory Society (ERS) pulmonary hypertension (PH) guidelines, and the application of risk equations and scores, such as the French registry risk equation and the REVEAL registry risk score. Risk stratification and risk scores are both useful predictors of survival on a population basis, and provide an estimate for individual patients' risk. The 2015 ESC/ERS PH guidelines recommend regular assessment of multiple variables at an expert centre. The respective merits and limitations of different risk assessment methods in PAH are discussed in this article, as well as some considerations that can be taken into account in the future development of risk assessment tools.</t>
  </si>
  <si>
    <t>[Raina, Amresh] Allegheny Gen Hosp, Cardiovasc Inst, 320 East North Ave, Pittsburgh, PA 15212 USA; [Humbert, Marc] Univ Paris Saclay, Univ Paris Sud, Fac Med, Le Kremlin Bicetre, France; [Humbert, Marc] Hop Bicetre, AP HP, Serv Pneumol, Le Kremlin Bicetre, France; [Humbert, Marc] Hop Marie Lannelongue, Inserm UMR S 999, Le Plessis Robinson, France</t>
  </si>
  <si>
    <t>Allegheny General Hospital; 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t>
  </si>
  <si>
    <t>Raina, A (corresponding author), Allegheny Gen Hosp, Cardiovasc Inst, 320 East North Ave, Pittsburgh, PA 15212 USA.</t>
  </si>
  <si>
    <t>amresh.raina@ahn.org</t>
  </si>
  <si>
    <t>The authors would like to thank James Glasper (nspm Ltd, Meggen, Switzerland) for medical writing assistance, funded by Actelion Pharmaceuticals Ltd (Allschwil, Switzerland).</t>
  </si>
  <si>
    <t>10.1183/16000617.0077-2016</t>
  </si>
  <si>
    <t>EG3AU</t>
  </si>
  <si>
    <t>WOS:000390916700005</t>
  </si>
  <si>
    <t>Ruffenach, G; Chabot, S; Tanguay, VF; Courboulin, A; Boucherat, O; Potus, F; Meloche, J; Pflieger, A; Breuils-Bonnet, S; Nadeau, V; Paradis, R; Tremblay, E; Girerd, B; Hautefort, A; Montani, D; Fadel, E; Dorfmuller, P; Humbert, M; Perros, F; Paulin, R; Provencher, S; Bonnet, S</t>
  </si>
  <si>
    <t>Ruffenach, Gregoire; Chabot, Sophie; Tanguay, Virginie F.; Courboulin, Audrey; Boucherat, Olivier; Potus, Francois; Meloche, Jolyane; Pflieger, Aude; Breuils-Bonnet, Sandra; Nadeau, Valerie; Paradis, Renee; Tremblay, Eve; Girerd, Barbara; Hautefort, Aurelie; Montani, David; Fadel, Elie; Dorfmuller, Peter; Humbert, Marc; Perros, Frederic; Paulin, Roxane; Provencher, Steeve; Bonnet, Sebastien</t>
  </si>
  <si>
    <t>Role for Runt-related Transcription Factor 2 in Proliferative and Calcified Vascular Lesions in Pulmonary Arterial Hypertension</t>
  </si>
  <si>
    <t>vascular remodeling; calcification; hypoxia-inducible factor-1 alpha; pulmonary hypertension; pulmonary artery smooth muscle cells</t>
  </si>
  <si>
    <t>DNA-DAMAGE; BREAST-CANCER; BONE; CALCIFICATION; PATHWAY; CELLS; MORTALITY; METABOLISM; EXPRESSION; APOPTOSIS</t>
  </si>
  <si>
    <t>Rationale: Pulmonary arterial hypertension (PAH) is characterized by excessive proliferation of pulmonary artery smooth muscle cells (PASMCs). This is sustained in time by the down-regulation of microRNA (miR)-204. In systemic vascular diseases, reduced miR-204 expression promotes vascular biomineralization by augmenting the expression of the transcription factor Runt-related transcription factor 2 (RUNX2). Implication of RUNX2 in PAH-related vascular remodeling and presence of calcified lesions in PAH remain unexplored. Objectives: We hypothesized that RUNX2 is up-regulated in lungs of patients with PAH, contributing to vascular remodeling and calcium-related biomineralization. Methods: We harvested human lung tissues in which we assessed calcification lesions and RUNX2 expression. We also isolated PASMCs from these tissues for in vitro analyses. Using a bidirectional approach, we investigated the role for RUNX2 in cell proliferation, apoptosis, and calcification capacity. Ectopic delivery of small interfering RNA against RUNX2 was used in an animal model of PAH to evaluate the therapeutic potential of RUNX2 inhibition in this disease. Measurements and Main Results: Patients with PAH display features of calcified lesions within the distal pulmonary arteries (PAs). We show that RUNX2 is up-regulated in lungs, distal PAs, and, primary cultured human PASMCs isolated from PAH and compared with patients without PAH. RUNX2 expression histologically correlates with vascular remodeling and calcification. Using in vitro gain- and loss-of function approaches, we mechanistically demonstrate that miR-204 diminution promotes RUNX2 up-regulation and that sustained RUNX2 expression activates hypoxia-inducible factor-1 alpha, leading to aberrant proliferation, resistance to apoptosis, and subsequent transdifferentiation of PAH-PASMCs into osteoblast-like cells. In the PAH Sugen/hypoxia rat model, molecular RUNX2 inhibition reduces PA remodeling and prevents calcification, thus improving pulmonary hemodynamic parameters and right ventricular function. Conclusions: RUNX2 plays a pivotal role in the pathogenesis of PAH, contributing to the development of proliferative and calcified PA lesions. Inhibition of RUNX2 may therefore represent an attractive therapeutic strategy for PAH.</t>
  </si>
  <si>
    <t>[Ruffenach, Gregoire; Chabot, Sophie; Tanguay, Virginie F.; Boucherat, Olivier; Potus, Francois; Meloche, Jolyane; Pflieger, Aude; Breuils-Bonnet, Sandra; Nadeau, Valerie; Paradis, Renee; Tremblay, Eve; Perros, Frederic; Paulin, Roxane; Provencher, Steeve; Bonnet, Sebastien] Univ Laval, Dept Med, Quebec Heart &amp; Lung Inst Res Ctr, Pulm Hypertens Res Grp, Quebec City, PQ, Canada; [Courboulin, Audrey; Girerd, Barbara; Hautefort, Aurelie; Montani, David; Fadel, Elie; Dorfmuller, Peter; Humbert, Marc; Perros, Frederic] INSERM, UMR S 999, Le Plessis Robinson, France; [Courboulin, Audrey; Girerd, Barbara; Hautefort, Aurelie; Montani, David; Fadel, Elie; Dorfmuller, Peter; Humbert, Marc; Perros, Frederic] Univ Paris Sud, Ctr Chirurg Marie Lannelongue, Lab Excellence Rech Medicament &amp; Innovat Therapeu, Le Plessis Robinson, France</t>
  </si>
  <si>
    <t>Quebec Heart &amp; Lung Institute; Laval University; Institut National de la Sante et de la Recherche Medicale (Inserm); Universite Paris Saclay; Hopital Marie Lannelongue; Universite Paris Saclay</t>
  </si>
  <si>
    <t>David, Montani/I-6885-2019; Ruffenach, gregoire/IUO-5660-2023; Humbert, Marc/AAC-8459-2019; Perros, Frederic/N-6921-2017</t>
  </si>
  <si>
    <t>Humbert, Marc/0000-0003-0703-2892; Perros, Frederic/0000-0001-7730-2427; Dorfmuller, Peter/0000-0003-2499-6829; Ruffenach, Gregoire/0000-0001-6419-4332; Montani, David/0000-0002-9358-6922</t>
  </si>
  <si>
    <t>Fonds de Recherche du Quebec - Sante Ph.D. graduate scholarship; Centre de Recherche de l'Institut Universitaire de Cardiologie et de Pneumologie de Quebec; Canadian Research Chair in translational research in pulmonary vascular diseases at Universite Laval; Fonds de Recherche du Quebec - Sante clinical scientist support; Canadian Institutes of Health Research [142358]</t>
  </si>
  <si>
    <t>Fonds de Recherche du Quebec - Sante Ph.D. graduate scholarship; Centre de Recherche de l'Institut Universitaire de Cardiologie et de Pneumologie de Quebec; Canadian Research Chair in translational research in pulmonary vascular diseases at Universite Laval; Fonds de Recherche du Quebec - Sante clinical scientist support; Canadian Institutes of Health Research(Canadian Institutes of Health Research (CIHR))</t>
  </si>
  <si>
    <t>Supported by a Fonds de Recherche du Quebec - Sante Ph.D. graduate scholarship (J.M.), a doctoral training award from the Centre de Recherche de l'Institut Universitaire de Cardiologie et de Pneumologie de Quebec (F. Potus), a Canadian Research Chair in translational research in pulmonary vascular diseases at Universite Laval (S.B.), Fonds de Recherche du Quebec - Sante clinical scientist support (S.P.), and operating grant MOP#142358 from the Canadian Institutes of Health Research (S.P. and S.B.).</t>
  </si>
  <si>
    <t>NOV 15</t>
  </si>
  <si>
    <t>10.1164/rccm.201512-2380OC</t>
  </si>
  <si>
    <t>EC6MQ</t>
  </si>
  <si>
    <t>WOS:000388250800016</t>
  </si>
  <si>
    <t>Gräf, S; Bleda, M; Haddinapola, C; Haimel, M; Bogaard, HJ; Coglan, G; Corris, PA; Gibbs, JS; Humbert, M; Kiely, DG; Laurie, A; Machado, RD; Peacock, AJ; Pepke-Zaba, J; Toshner, M; Trembath, RC; Noordegraaf, AV; Wharton, J; Wilkins, M; Wort, SJ; Morrell, NW</t>
  </si>
  <si>
    <t>Graf, Stefan; Bleda, Marta; Haddinapola, Charaka; Haimel, Matthias; Bogaard, Harm J.; Coglan, Gerry; Corris, Paul A.; Gibbs, J. S.; Humbert, Marc; Kiely, David G.; Laurie, Allan; Machado, Rajiv D.; Peacock, Andrew J.; Pepke-Zaba, Joanna; Toshner, Mark; Trembath, Richard C.; Noordegraaf, Anton Vonk; Wharton, John; Wilkins, Martin; Wort, Stephen J.; Morrell, Nicholas W.</t>
  </si>
  <si>
    <t>Whole Genome Sequencing in Idiopathic and Familial Pulmonary Arterial Hypertension Reveals Causal Rare Coding and Non-coding Sequence Variation</t>
  </si>
  <si>
    <t>NOV 12-16, 2016</t>
  </si>
  <si>
    <t>New Orleans, LA</t>
  </si>
  <si>
    <t>Bleda, Marta/A-9333-2014; Cardoso, Paulo/C-5768-2012; Humbert, Marc/AAC-8459-2019; Pepke-Zaba, Joanna/AGW-3073-2022; wei, wei/HHR-8613-2022; Machado, Rajiv David/AAD-7813-2019</t>
  </si>
  <si>
    <t>Wharton, John/0000-0001-8110-2575</t>
  </si>
  <si>
    <t>NOV 11</t>
  </si>
  <si>
    <t>EO6PP</t>
  </si>
  <si>
    <t>WOS:000396815306046</t>
  </si>
  <si>
    <t>Cottin, V; Bel, E; Bottero, P; Dalhoff, K; Humbert, M; Lazor, R; Sinico, RA; Sivasothy, P; Wechsler, ME; Groh, M; Marchand-Adam, S; Khouatral, C; Wallaert, B; Taillé, C; Delaval, P; Cadranel, J; Bonniaud, P; Prévot, G; Hirschi, S; Gondouin, A; Dunogué, B; Chatté, G; Briault, A; Jayne, D; Guillevin, L; Cordier, JF</t>
  </si>
  <si>
    <t>Cottin, Vincent; Bel, Elisabeth; Bottero, Paolo; Dalhoff, Klaus; Humbert, Marc; Lazor, Romain; Sinico, Renato A.; Sivasothy, Pasupathy; Wechsler, Michael E.; Groh, Matthieu; Marchand-Adam, Sylvain; Khouatral, Chahera; Wallaert, Benoit; Taille, Camille; Delaval, Philippe; Cadranel, Jacques; Bonniaud, Philippe; Prevot, Gregoire; Hirschi, Sandrine; Gondouin, Anne; Dunogue, Bertrand; Chatte, Gerard; Briault, Amandine; Jayne, David; Guillevin, Loic; Cordier, Jean-Francois</t>
  </si>
  <si>
    <t>Grp Etud Res Malad Orphelines Pulm</t>
  </si>
  <si>
    <t>Respiratory manifestations of eosinophilic granulornatosis with polyanglitis (Churg-Strauss)</t>
  </si>
  <si>
    <t>TERM-FOLLOW-UP; ANTINEUTROPHIL CYTOPLASMIC ANTIBODIES; CONSENSUS CONFERENCE; GRANULOMATOSIS; ASTHMA; VASCULITIDES; NOMENCLATURE; MANAGEMENT; COHORT</t>
  </si>
  <si>
    <t>The respiratory manifestations of eosinophilic granulomatosis with polyangiitis (EGPA) have not been studied in detail. In this retrospective multicentre study, EGPA was defined by asthma, eosinophilia and at least one new onset extra-bronchopulmonary organ manifestation of disease. The study population included 157 patients (mean +/- sp age 49.4 +/- 14.1 years), with a mean sp blood eosinophil count of 7.4 +/- 6.4x10(9) L-1 at diagnosis. There was a mean sp of 11.8 +/- 18.2 years from the onset of asthma to the diagnosis of EGPA, of 1.4 +/- 8.4 years from the first onset of peripheral eosinophilia to the diagnosis of EGPA, and of 7.4 +/- 6.4 years from EGPA diagnosis to the final visit. Despite inhaled and oral corticosteroid treatment, the severity of asthma increased 3-6 months before the onset of the systemic manifestations. Asthma was severe in 57%, 48%, and 56% of patients at diagnosis, at 3 years, and at the final visit, respectively. Persistent airflow obstruction was present in 38%, 30%, and 46% at diagnosis, at 3 years, and at the final visit, respectively. In EGPA, asthma is severe, antedates systemic manifestations by a mean of 12 years, and progresses to long-term persistent airflow obstruction despite corticosteroids in a large proportion of patients, which affects long-term management and morbidity.</t>
  </si>
  <si>
    <t>[Cottin, Vincent; Khouatral, Chahera; Cordier, Jean-Francois] Hosp Civils Lyon, Hop Louis Pradel, Serv Pneumol, Ctr Reference Malad Orphelines Pulm, Lyon, France; [Cottin, Vincent; Khouatral, Chahera; Cordier, Jean-Francois] Univ Lyon 1, Univ Lyon, Lyon, France; [Cottin, Vincent; Khouatral, Chahera; Cordier, Jean-Francois] UCBL INRA ENVL EPHE, UMR754, Lyon, France; [Cottin, Vincent; Khouatral, Chahera; Cordier, Jean-Francois] IFR128, Lyon, France; [Bel, Elisabeth] Acad Med Ctr, Dept Resp Med, Amsterdam, Netherlands; [Bottero, Paolo] Azienda Osped Legnano, Osped G Fornaroli Magenta, Allergy &amp; Clin Immunol Outpatient Clin, Milan, Italy; [Dalhoff, Klaus] Med Univ Lubeck, Dept Internal Med, Lubeck, Germany; [Humbert, Marc] CHU Bicetre, Serv Pneumol, Le Kremlin Bicetre, France; [Lazor, Romain] Univ Lausanne Hosp, Dept Resp Med, Interstitial &amp; Rare Lung Dis Unit, Lausanne, Switzerland; [Sinico, Renato A.] Azienda Osped Osped San Carlo Borromeo, Clin Immunol Unit, Dept Med, Milan, Italy; [Sivasothy, Pasupathy] Cambridge Univ Hosp Fdn Trust, Addenbrookes Hosp, Dept Resp Med, Cambridge, England; [Wechsler, Michael E.] Natl Jewish Hlth, Denver, CO USA; [Wechsler, Michael E.] Univ Colorado, Aurora, CO USA; [Groh, Matthieu] Univ Paris 05, Hop Cochin, AP HP,Dept Internal Med, Natl Referral Ctr Rare Autoimmune &amp; System Dis, Paris, France; [Marchand-Adam, Sylvain] CHRU Tours, Serv Pneumol, Tours, France; [Marchand-Adam, Sylvain] Univ Francois Rabelais Tours, Tours, France; [Wallaert, Benoit] CHRU Lille, Serv Pneumol, Lille, France; [Taille, Camille] INSERM, U1152, Paris, France; [Taille, Camille] Univ Paris Diderot, Sorbonne Paris Cite, Paris, France; [Taille, Camille] Hop Bichat Claude Bernard, AP HP, Serv Pneumol A, Paris, France; [Taille, Camille] Dept Hosp Univ FIRE, Competence Ctr Rare Pulm Dis, Paris, France; [Delaval, Philippe] CHU Rennes, Serv Pneumol, Rennes, France; [Cadranel, Jacques] Hop Tenon, AP HP, Chest Dept, Paris, France; [Cadranel, Jacques] Hop Tenon, AP HP, Expert Ctr Rare Pulm Dis, Paris, France; [Cadranel, Jacques] P&amp;M Curie Univ Paris 6, Paris, France; [Bonniaud, Philippe] Univ Bourgogne, Fac Med &amp; Pharm, Inserm U866,Serv Pneumol &amp; Soins Intensifs Resp, Ctr Hosp Univ CHU Francois Mitterrand, Dijon, France; [Prevot, Gregoire] CHU Toulouse, Serv Pneumol, Toulouse, France; [Hirschi, Sandrine] CHU Strasbourg, Serv Pneumol, Strasbourg, France; [Gondouin, Anne] CHU Besancon, Serv Pneumol, Besancon, France; [Chatte, Gerard] Ctr Pneumol &amp; Allergol Resp, Caluire Cuire, France; [Briault, Amandine] CHU Grenoble, Serv Pneumol, Grenoble, France; [Jayne, David] Univ Cambridge, Dept Med, Cambridge CB2 1TN, England; [Guillevin, Loic] Univ Paris 05, Sorbonne Paris Cite, Serv Med Interne, Hop Cochin,AP HP,Inserm 1016, Paris, France</t>
  </si>
  <si>
    <t>CHU Lyon; Universite Claude Bernard Lyon 1; VetAgro Sup; INRAE; University of Amsterdam; Academic Medical Center Amsterdam; University of Lubeck; Assistance Publique Hopitaux Paris (APHP); Hopital Universitaire Bicetre - APHP; University of Lausanne; Centre Hospitalier Universitaire Vaudois (CHUV); San Carlo Borromeo Hospital; Cambridge University Hospitals NHS Foundation Trust; Addenbrooke's Hospital; University of Cambridge; National Jewish Health; University of Colorado System; University of Colorado Anschutz Medical Campus; Universite Paris Cite; Assistance Publique Hopitaux Paris (APHP); Hopital Universitaire Cochin - APHP; CHU Tours; Universite de Lille; CHU Lille; Universite Paris Cite; Institut National de la Sante et de la Recherche Medicale (Inserm); Universite Paris Cite; Universite Paris Cite; Assistance Publique Hopitaux Paris (APHP); Hopital Universitaire Bichat-Claude Bernard - APHP; CHU Rennes; Universite de Rennes; Assistance Publique Hopitaux Paris (APHP); Sorbonne Universite; Hopital Universitaire Tenon - APHP; Assistance Publique Hopitaux Paris (APHP); Sorbonne Universite; Hopital Universitaire Tenon - APHP; Institut National de la Sante et de la Recherche Medicale (Inserm); Institut Agro; AgroSup Dijon; Universite de Bourgogne; CHU de Toulouse; Universite de Toulouse; Universite Toulouse III - Paul Sabatier; Universites de Strasbourg Etablissements Associes; Universite de Strasbourg; CHU Strasbourg; Universite de Franche-Comte; CHU Besancon; CHU Grenoble Alpes; Communaute Universite Grenoble Alpes; Universite Grenoble Alpes (UGA); University of Cambridge; Universite Paris Cite; Institut National de la Sante et de la Recherche Medicale (Inserm); Assistance Publique Hopitaux Paris (APHP); Hopital Universitaire Cochin - APHP</t>
  </si>
  <si>
    <t>Cottin, V (corresponding author), Hop Louis Pradel, Natl Reference Ctr Rare Pulm Dis, F-69677 Lyon, France.</t>
  </si>
  <si>
    <t>marchand-adam, sylvain/MTA-8367-2025; sinico, renato/I-6777-2012; Bonniaud, Philippe/ITT-4660-2023; Wechsler, Michael/AAC-5506-2019; Taille, Camille/J-3751-2017; Humbert, Marc/AAC-8459-2019</t>
  </si>
  <si>
    <t>marchand-adam, sylvain/0000-0002-9522-3738; Jayne, David/0000-0002-1712-0637; Cottin, Vincent/0000-0002-5591-0955; Humbert, Marc/0000-0003-0703-2892; Groh, Matthieu/0000-0003-0810-136X; Lazor, Romain/0000-0002-2933-0754; Jayne, David/0000-0002-8725-3283</t>
  </si>
  <si>
    <t>10.1183/13993003.00097-2016</t>
  </si>
  <si>
    <t>EG3VW</t>
  </si>
  <si>
    <t>WOS:000390973800022</t>
  </si>
  <si>
    <t>Guilleminault, L; Just, J; Humbert, M; Leroyer, C; Epaud, R</t>
  </si>
  <si>
    <t>Guilleminault, L.; Just, J.; Humbert, M.; Leroyer, C.; Epaud, R.</t>
  </si>
  <si>
    <t>Seasonality in asthma: Impact and treatments</t>
  </si>
  <si>
    <t>RESPIRATORY SYNCYTIAL VIRUS; EMERGENCY-DEPARTMENT VISITS; GRASS-POLLEN IMMUNOTHERAPY; MILD PERSISTENT ASTHMA; OUTDOOR AIR-POLLUTION; SCHOOL-AGE-CHILDREN; PRIMARY-CARE VISITS; HOSPITAL ADMISSIONS; RHINOVIRUS INFECTIONS; DOUBLE-BLIND</t>
  </si>
  <si>
    <t>The role of seasons should be taken into account in the management of asthma. The environment varies between seasons and it is well documented that asthma is modulated by environment. Viruses cause asthma exacerbations peak, in winter, in adults while the peak is present in September in children. Allergens are probably a less powerful source of asthma exacerbation than viruses but pollen involvement in spring and summer and dust mites in autumn are indisputable. Air pollutants, present in summer during the hottest periods, are also highly involved in asthma exacerbations. Indoor air pollution, in winter, is also implicated in asthma disease. All these environmental factors are synergistic and increase the risk of asthma exacerbation. Therapies should be adapted to each season depending on environmental factors potentially involved in the asthma disease.</t>
  </si>
  <si>
    <t>[Guilleminault, L.] CHU Reunion, GHSR, Serv Pneumol, St Pierre, Reunion, France; [Guilleminault, L.] INSERM, UMR 1188, Diabet Atherothrombose Therapies Reunion Ocean In, Plateforme CYROI, St Clotilde, Reunion, France; [Guilleminault, L.] Univ La Reunion, UMR 1188, St Clotilde, Reunion, France; [Just, J.] Hop Enfants Armand Trousseau, AP HP, Ctr Asthme &amp; Allergies, Serv Allergol Pediat, 26 Ave Dr Arnold Netter, F-75571 Paris 12, France; [Just, J.] UPMC Univ Paris 06, Sorbonne Univ, Inst Pierre Louis Epidemiol &amp; Sante Publ, UMR S 1136,Equipe EPAR, F-75013 Paris, France; [Humbert, M.] Univ Paris Sud, Fac Med, Le Kremlin Bicetre, France; [Humbert, M.] Hop Bicetre, AP HP, Serv Pneumol, Dept Hosp Univ Thorax Innovat, Le Kremlin Bicetre, France; [Humbert, M.] INSERM, UMR S 999, Le Kremlin Bicetre, France; [Leroyer, C.] Univ Bretagne Occidentale, Ctr Hosp Univ Brest, Dept Med Interne &amp; Pneumol, INSERM,EA 3878,CIC 1412, Brest, France; [Epaud, R.] INSERM, U955, Ctr Intercommunal Creteil, Serv Pediat, Creteil, France; [Epaud, R.] Univ Paris Est, Fac Med, Creteil, France</t>
  </si>
  <si>
    <t>CHU Reunion; Institut National de la Sante et de la Recherche Medicale (Inserm); University of La Reunion; Assistance Publique Hopitaux Paris (APHP); Institut National de la Sante et de la Recherche Medicale (Inserm); Sorbonne Universite; Universite Paris Saclay; Assistance Publique Hopitaux Paris (APHP); Hopital Universitaire Bicetre - APHP; Hopital Universitaire Antoine-Beclere - APHP; Universite Paris Saclay; Institut National de la Sante et de la Recherche Medicale (Inserm); Universite Paris Saclay; Universite de Bretagne Occidentale; Institut National de la Sante et de la Recherche Medicale (Inserm); CHU Brest; Universite Paris-Est-Creteil-Val-de-Marne (UPEC); Institut National de la Sante et de la Recherche Medicale (Inserm); CHI Creteil; Universite Paris-Est-Creteil-Val-de-Marne (UPEC)</t>
  </si>
  <si>
    <t>Guilleminault, L (corresponding author), CHU Reunion, GHSR, BP 350, St Pierre 97448, Reunion, France.</t>
  </si>
  <si>
    <t>laurent.guilleminault@chu-reunion.fr</t>
  </si>
  <si>
    <t>leroyer, christophe/HTT-3905-2023; Guilleminault, Laurent/MTD-0796-2025; Humbert, Marc/AAC-8459-2019</t>
  </si>
  <si>
    <t>Humbert, Marc/0000-0003-0703-2892; leroyer, christophe/0000-0002-7601-1692</t>
  </si>
  <si>
    <t>10.1016/j.lpm.2016.01.019</t>
  </si>
  <si>
    <t>EC8OF</t>
  </si>
  <si>
    <t>WOS:000388400500008</t>
  </si>
  <si>
    <t>Humbert, M; Garcia, G</t>
  </si>
  <si>
    <t>Humbert, Marc; Garcia, Gilles</t>
  </si>
  <si>
    <t>Severe asthma, a priority in respiratory health</t>
  </si>
  <si>
    <t>SEVERE EOSINOPHILIC ASTHMA; PERSISTENT ASTHMA; MEPOLIZUMAB; MANAGEMENT; ADULTS; OMALIZUMAB; ADHERENCE; CHILDREN; RISK; EXACERBATIONS</t>
  </si>
  <si>
    <t>[Humbert, Marc; Garcia, Gilles] Univ Paris Saclay, Univ Paris Sud, Hop Bicetre, AP HP,Serv Pneumol, 78 Rue Gen Leclerc, F-94270 Le Kremlin Bicetre, France</t>
  </si>
  <si>
    <t>Assistance Publique Hopitaux Paris (APHP); Hopital Universitaire Antoine-Beclere - APHP; Hopital Universitaire Bicetre - APHP; Universite Paris Saclay; Institut National de la Sante et de la Recherche Medicale (Inserm)</t>
  </si>
  <si>
    <t>10.1016/j.lpm.2016.10.012</t>
  </si>
  <si>
    <t>WOS:000388400500007</t>
  </si>
  <si>
    <t>Riou, M; Seferian, A; Savale, L; Chaumais, MC; Guignabert, C; Canuet, M; Magro, P; Rea, D; Sitbon, O; Jaïs, X; Humbert, M; Montani, D</t>
  </si>
  <si>
    <t>Riou, Marianne; Seferian, Andrei; Savale, Laurent; Chaumais, Marie-Camille; Guignabert, Christophe; Canuet, Matthieu; Magro, Pascal; Rea, Delphine; Sitbon, Olivier; Jais, Xavier; Humbert, Marc; Montani, David</t>
  </si>
  <si>
    <t>Deterioration of pulmonary hypertension and pleural effusion with bosutinib following dasatinib lung toxicity</t>
  </si>
  <si>
    <t>CHRONIC MYELOGENOUS LEUKEMIA; TYROSINE KINASE INHIBITORS; ARTERIAL-HYPERTENSION; IMATINIB; GUIDELINES; SAFETY</t>
  </si>
  <si>
    <t>[Riou, Marianne; Seferian, Andrei; Savale, Laurent; Chaumais, Marie-Camille; Guignabert, Christophe; Sitbon, Olivier; Jais, Xavier; Humbert, Marc; Montani, David] Univ Paris Sud, Le Kremlin Bicetre, France; [Riou, Marianne; Seferian, Andrei; Savale, Laurent; Chaumais, Marie-Camille; Guignabert, Christophe; Sitbon, Olivier; Jais, Xavier; Humbert, Marc; Montani, David] Univ Paris Saclay, Le Kremlin Bicetre, France; [Riou, Marianne; Seferian, Andrei; Savale, Laurent; Sitbon, Olivier; Jais, Xavier; Humbert, Marc; Montani, David] Hop Bicetre, AP HP, Ctr Reference Hypertens Pulm Severe, Serv Pneumol,DHU Thorax Innovat, Le Kremlin Bicetre, France; [Riou, Marianne; Seferian, Andrei; Savale, Laurent; Chaumais, Marie-Camille; Guignabert, Christophe; Sitbon, Olivier; Jais, Xavier; Humbert, Marc; Montani, David] INSERM, UMR S 999, Le Plessis Robinson, France; [Riou, Marianne; Canuet, Matthieu] Hop Univ Strasbourg, Nouvel Hop Civil, Serv Pneumol, Strasbourg, France; [Chaumais, Marie-Camille] Hop Antoine Beclere, AP HP, DHU Thorax Innovat, Serv Pharm, Clamart, France; [Magro, Pascal] CHRU Tours, Serv Pneumol, Tours, France; [Rea, Delphine] Hop St Louis, AP HP, Serv Hematol Adulte, Paris, France</t>
  </si>
  <si>
    <t>Universite Paris Saclay; Universite Paris Saclay; Universite Paris Saclay; Assistance Publique Hopitaux Paris (APHP); Hopital Universitaire Bicetre - APHP; Hopital Universitaire Antoine-Beclere - APHP; Universite Paris Saclay; Institut National de la Sante et de la Recherche Medicale (Inserm); CHU Strasbourg; Universites de Strasbourg Etablissements Associes; Universite de Strasbourg; Assistance Publique Hopitaux Paris (APHP); Hopital Universitaire Antoine-Beclere - APHP; CHU Tours; Universite Paris Cite; Assistance Publique Hopitaux Paris (APHP); Hopital Universitaire Saint-Louis - APHP</t>
  </si>
  <si>
    <t>Savale, Laurent/AAJ-9781-2020; Sitbon, Olivier/I-3623-2019; David, Montani/I-6885-2019; Rea, Domenica/AAB-9799-2019; GUIGNABERT, Christophe/G-3873-2013; Humbert, Marc/AAC-8459-2019</t>
  </si>
  <si>
    <t>Seferian, Andrei/0000-0003-1007-433X; Montani, David/0000-0002-9358-6922; GUIGNABERT, Christophe/0000-0002-8545-4452; Chaumais, Marie-Camille/0000-0002-1217-8442; JAIS, XAVIER/0000-0002-4104-7994; Rea, Delphine/0000-0001-5379-7461; Humbert, Marc/0000-0003-0703-2892; SITBON, Olivier/0000-0002-1942-1951</t>
  </si>
  <si>
    <t>10.1183/13993003.01410-2016</t>
  </si>
  <si>
    <t>WOS:000390973800036</t>
  </si>
  <si>
    <t>Sattler, C; Malrin, R; Garcia, G; Humbert, M</t>
  </si>
  <si>
    <t>Sattler, Caroline; Malrin, Roxane; Garcia, Gilles; Humbert, Marc</t>
  </si>
  <si>
    <t>New drugs for severe asthma</t>
  </si>
  <si>
    <t>SEVERE EOSINOPHILIC ASTHMA; DOSE INHALED CORTICOSTEROIDS; ALPHA MONOCLONAL-ANTIBODY; NECROSIS-FACTOR-ALPHA; DOUBLE-BLIND; BRONCHIAL THERMOPLASTY; PERSISTENT ASTHMA; AIRWAY HYPERRESPONSIVENESS; TNF-ALPHA; PLACEBO</t>
  </si>
  <si>
    <t>Asthma is a very frequent disease with complex and heterogenous immunological and clinical features. Daily inhaled steroids are the cornerstone of the current therapeutics sometimes associated with long-acting beta 2-agonist. This controller treatment is effective and allows to control asthma symptoms for the vast majority of the patients. Severe asthma is characterized by a poor level of control of symptoms, with recurrent exacerbations or a chronic airflow limitation despite an optimal management. Severe asthma remains a difficult diagnosis but we have now studies proving the clinical efficacy or promising data about monoclonal antibodies targeting IgE, IL-5, IL-4 or IL-13. Most of these monoclonal antibodies target the Th2 type eosinophilic inflammation without any treatment against non-eosinophilic or Th1 inflammation. Last, it will be essential to assess accurately the cost effectiveness of these expensive treatments, to identify and to qualify the target population for each molecule and to assess its financial impact for the community.</t>
  </si>
  <si>
    <t>[Sattler, Caroline; Malrin, Roxane; Garcia, Gilles; Humbert, Marc] Univ Paris Saclay, Univ Paris Sud, Fac Med, F-94270 Le Kremlin Bicetre, France; [Malrin, Roxane; Humbert, Marc] Hop Bicetre, AP HP, Serv Pneumol, F-94270 Le Kremlin Bicetre, France; [Sattler, Caroline; Garcia, Gilles] Hop Bicetre, AP HP, Serv Physiol, Explorat Fonct Resp, F-94270 Le Kremlin Bicetre, France; [Sattler, Caroline; Malrin, Roxane; Garcia, Gilles; Humbert, Marc] Hop Marie Lannelongue, INSERM, UMR S 999, F-92350 Le Plessis Robinson, France</t>
  </si>
  <si>
    <t>Universite Paris Saclay; Assistance Publique Hopitaux Paris (APHP); Hopital Universitaire Bicetre - APHP; Hopital Universitaire Antoine-Beclere - APHP; Universite Paris Saclay; Universite Paris Saclay; Assistance Publique Hopitaux Paris (APHP); Hopital Universitaire Bicetre - APHP; Hopital Universitaire Antoine-Beclere - APHP; Universite Paris Saclay; Hopital Marie Lannelongue; Institut National de la Sante et de la Recherche Medicale (Inserm)</t>
  </si>
  <si>
    <t>Garcia, G (corresponding author), Hop Bicetre, Serv Physiol, Explorat Fonct Resp, 78 Rue Gen Leclerc, F-94275 Le Kremlin Bicetre, France.</t>
  </si>
  <si>
    <t>gilles.garcia@aphp.fr</t>
  </si>
  <si>
    <t>10.1016/j.lpm.2016.09.012</t>
  </si>
  <si>
    <t>WOS:000388400500011</t>
  </si>
  <si>
    <t>Montani, D; Dumas, O; Despréaux, T; Humbert, M; Descatha, A</t>
  </si>
  <si>
    <t>Montani, D.; Dumas, O.; Despreaux, T.; Humbert, M.; Descatha, A.</t>
  </si>
  <si>
    <t>Lungs and solvents: Dangerous liaisons</t>
  </si>
  <si>
    <t>OCCUPATIONAL-EXPOSURE; ORGANIC-SOLVENTS; CHLORINATED SOLVENTS; SYSTEMIC-SCLEROSIS; CANCER; ASSOCIATION; RISK</t>
  </si>
  <si>
    <t>[Montani, D.; Humbert, M.] Univ Paris Saclay, Univ Paris Sud, Fac Med, F-94270 Le Kremlin Bicetre, France; [Montani, D.; Humbert, M.] Hop Bicetre, AP HP, Ctr Natl Reference Hypertens Pulm Severe, Serv Pneumol, 78 Rue Gen Leclerc, F-94270 Le Kremlin Bicetre, France; [Montani, D.; Humbert, M.] Hop Marie Lannelongue, INSERM, UMR S 999, F-92350 Le Plessis Robinson, France; [Dumas, O.; Despreaux, T.; Descatha, A.] INSERM, UMR S 1168, Vieillissement &amp; Malad Chron Approches Epidemiol, F-94807 Villejuif, France; [Dumas, O.; Despreaux, T.; Descatha, A.] Univ Versailles St Quentin En Yvelines, UMR S 1168, F-94807 Villejuif, France; [Despreaux, T.; Descatha, A.] Univ Versailles St Quentin En Yvelines, CHU Poincare, AP HP, Unite Hosp Univ Sante Profess, F-92380 Garches, France</t>
  </si>
  <si>
    <t>Universite Paris Saclay; Universite Paris Saclay; Assistance Publique Hopitaux Paris (APHP); Hopital Universitaire Antoine-Beclere - APHP; Hopital Universitaire Bicetre - APHP; Hopital Marie Lannelongue; Universite Paris Saclay; Institut National de la Sante et de la Recherche Medicale (Inserm); Universite Paris Saclay; Institut National de la Sante et de la Recherche Medicale (Inserm); Universite Paris Saclay; Universite Paris Saclay; Assistance Publique Hopitaux Paris (APHP); Hopital Universitaire Raymond-Poincare - APHP</t>
  </si>
  <si>
    <t>Montani, D (corresponding author), Univ Paris Saclay, Univ Paris Sud, Fac Med, F-94270 Le Kremlin Bicetre, France.;Montani, D (corresponding author), Hop Bicetre, AP HP, Ctr Natl Reference Hypertens Pulm Severe, Serv Pneumol, 78 Rue Gen Leclerc, F-94270 Le Kremlin Bicetre, France.;Montani, D (corresponding author), Hop Marie Lannelongue, INSERM, UMR S 999, F-92350 Le Plessis Robinson, France.</t>
  </si>
  <si>
    <t>David, Montani/I-6885-2019; Dumas, Orianne/R-8636-2016; Humbert, Marc/AAC-8459-2019</t>
  </si>
  <si>
    <t>Montani, David/0000-0002-9358-6922; Dumas, Orianne/0000-0001-8423-2826; Humbert, Marc/0000-0003-0703-2892</t>
  </si>
  <si>
    <t>10.1016/j.rmr.2016.03.008</t>
  </si>
  <si>
    <t>ED8QU</t>
  </si>
  <si>
    <t>WOS:000389136800003</t>
  </si>
  <si>
    <t>Puéchal, X; Jaïs, X; Le Hello, C; Grasland, A; Eslami, A; Cordero, JRD; Terrier, B; Launay, D; Guillevin, L; Humbert, M</t>
  </si>
  <si>
    <t>Puechal, Xavier; Jais, Xavier; Le Hello, Claire; Grasland, Anne; Eslami, Assia; Cordero, Jesus Rolando de la Jara; Terrier, Benjamin; Launay, David; Guillevin, Loic; Humbert, Marc</t>
  </si>
  <si>
    <t>Luc Mouthon French Vasculitis</t>
  </si>
  <si>
    <t>Precapillary Pulmonary Hypertension in Granulomatosis with Polyangiitis: A Case Series with Long-Term Follow-up</t>
  </si>
  <si>
    <t>Annual Meeting of the American-College-of-Rheumatology/Association-of-Rheumatology-Health-Professionals (ACR/ARHP)</t>
  </si>
  <si>
    <t>NOV 11-16, 2016</t>
  </si>
  <si>
    <t>Amer Coll Rheumatol,Assoc Rheumatol Hlth Profess</t>
  </si>
  <si>
    <t>[Puechal, Xavier; Eslami, Assia; Cordero, Jesus Rolando de la Jara; Terrier, Benjamin; Guillevin, Loic; Luc Mouthon French Vasculitis] Univ Paris 05, Hop Cochin, AP HP, Natl Referral Ctr Rare Syst Autoimmune Dis, Paris, France; [Jais, Xavier; Humbert, Marc] Kremlin Bicetre Univ Hosp, Le Kremlin Bicetre, France; [Le Hello, Claire] Caen Univ Hosp, Caen, France; [Grasland, Anne] Beclere Univ Hosp, Clamart, France; [Terrier, Benjamin] Univ Paris 05, Natl Referral Ctr Rare Syst Autoimmune Dis, Hop Cochin, AP HP,Internal Med, Paris, France; [Launay, David] Lille Univ Hosp, Lille, France</t>
  </si>
  <si>
    <t>Universite Paris Cite; Assistance Publique Hopitaux Paris (APHP); Hopital Universitaire Cochin - APHP; Assistance Publique Hopitaux Paris (APHP); Hopital Universitaire Bicetre - APHP; Universite de Caen Normandie; CHU de Caen NORMANDIE; Assistance Publique Hopitaux Paris (APHP); Hopital Universitaire Antoine-Beclere - APHP; Assistance Publique Hopitaux Paris (APHP); Universite Paris Cite; Hopital Universitaire Cochin - APHP; Universite de Lille; CHU Lille</t>
  </si>
  <si>
    <t>Launay, David/A-5270-2018; Humbert, Marc/AAC-8459-2019; PuÃ©chal, Xavier/HJY-7296-2023; De la Jara, Jesus/HLW-0710-2023; Launay, David/H-1674-2016; Puechal, Xavier/P-1555-2017</t>
  </si>
  <si>
    <t>De la Jara, Jesus/0000-0003-0477-9827; Launay, David/0000-0003-1840-1817; Puechal, Xavier/0000-0003-3573-9203</t>
  </si>
  <si>
    <t>FO8NH</t>
  </si>
  <si>
    <t>WOS:000417143403111</t>
  </si>
  <si>
    <t>Régent, A; Ly, KH; Lofek, S; Clary, G; Tamby, M; Tamas, N; Federici, C; Broussard, C; Chafey, P; Liaudet-Coopman, E; Humbert, M; Perros, F; Mouthon, L</t>
  </si>
  <si>
    <t>Regent, Alexis; Ly, Kim Heang; Lofek, Sebastien; Clary, Guilhem; Tamby, Mathieu; Tamas, Nicolas; Federici, Christian; Broussard, Cedric; Chafey, Philippe; Liaudet-Coopman, Emmanuelle; Humbert, Marc; Perros, Frederic; Mouthon, Luc</t>
  </si>
  <si>
    <t>Proteomic analysis of vascular smooth muscle cells in physiological condition and in pulmonary arterial hypertension: Toward contractile versus synthetic phenotypes</t>
  </si>
  <si>
    <t>PROTEOMICS</t>
  </si>
  <si>
    <t>Cell biology; ELAVL1; Paxillin; Pulmonary hypertension; Vascular smooth muscle cell</t>
  </si>
  <si>
    <t>ENDOTHELIAL-CELLS; EXPRESSION; ACTIVATION; CANCER; ATHEROSCLEROSIS; PROLIFERATION; MODULATION; DIVERSITY; RESPONSES; BINDING</t>
  </si>
  <si>
    <t>Vascular smooth muscle cells (VSMCs) are highly specialized cells that regulate vascular tone and participate in vessel remodeling in physiological and pathological conditions. It is unclear why certain vascular pathologies involve one type of vessel and spare others. Our objective was to compare the proteomes of normal human VSMC from aorta (human aortic smooth muscle cells, HAoSMC), umbilical artery (human umbilical artery smooth muscle cells, HUASMC), pulmonary artery (HPASMC), or pulmonary artery VSMC from patients with pulmonary arterial hypertension (PAH-SMC). Proteomes of VSMC were compared by 2D DIGE and MS. Only 19 proteins were differentially expressed between HAoSMC and HPASMC while 132 and 124 were differentially expressed between HUASMC and HAoSMC or HPASMC, respectively (fold change 1.5 &lt;= or -1.5 &gt;=, p&lt; 0.05). As much as 336 proteins were differentially expressed between HPASMC and PAH-SMC(fold change 1.5 &lt;= or -1.5 &gt;=, p&lt; 0.05). HUASMC expressed increased amount of alpha-smooth muscle actin compared to either HPASMC or HAoSMC (although not statistically significant). In addition, PAH-SMC expressed decreased amount of smooth muscle myosin heavy chain and proliferation rate was increased compared to HPASMC thus supporting that PAH-SMC have a more synthetic phenotype. Analysis with Ingenuity identified paxillin and (embryonic lethal, abnormal vision, drosophila) like 1 (ELAVL1) as molecules linked with a</t>
  </si>
  <si>
    <t>[Regent, Alexis; Lofek, Sebastien; Clary, Guilhem; Tamby, Mathieu; Tamas, Nicolas; Federici, Christian; Broussard, Cedric; Chafey, Philippe; Mouthon, Luc] Univ Paris 05, LabEx INFLAMEX, CNRS UMR 8104, Inst Cochin,INSERM U1016, Paris, France; [Regent, Alexis; Mouthon, Luc] Hop Cochin, AP HP, Ctr Reference Vasc Necrosantes &amp; Sclerodermie Sys, Serv Med Interne, Paris, France; [Ly, Kim Heang] CHU Dupuytren, Serv Med Interne A, Limoges, France; [Clary, Guilhem; Federici, Christian; Broussard, Cedric; Chafey, Philippe] Univ Paris 05, Sorbonne Paris Cite, Plate Forme Prote 3P5, Paris, France; [Liaudet-Coopman, Emmanuelle] IRCM, Montpellier, France; [Liaudet-Coopman, Emmanuelle] Univ Montpellier, INSERM, U1194, Inst Reg Canc Montpellier, Montpellier, France; [Humbert, Marc; Perros, Frederic] Univ Paris Sud, Fac Med, Le Kremlin Bicetre, France; [Humbert, Marc; Perros, Frederic] INSERM, UMR S 999, Hypertens Arterielle Pulm Physiopathol &amp; Innovat, LabEx LERMIT, Le Plessis Robinson, France; [Humbert, Marc; Perros, Frederic] Ctr Chirurg Marie Lannelongue, Dept Rech Med, Le Plessis Robinson, France</t>
  </si>
  <si>
    <t>Institut National de la Sante et de la Recherche Medicale (Inserm); Centre National de la Recherche Scientifique (CNRS); CNRS - National Institute for Biology (INSB); Universite Paris Cite; Assistance Publique Hopitaux Paris (APHP); Universite Paris Cite; Hopital Universitaire Cochin - APHP; CHU Limoges; Universite Paris Cite; Universite de Montpellier; UNICANCER; Institut Regional du Cancer Montpellier / Val d'Aurelle (ICM); Institut National de la Sante et de la Recherche Medicale (Inserm); UNICANCER; Universite de Montpellier; Institut Regional du Cancer Montpellier / Val d'Aurelle (ICM); Institut National de la Sante et de la Recherche Medicale (Inserm); Universite Paris Saclay; Institut National de la Sante et de la Recherche Medicale (Inserm); Universite Paris Saclay; Hopital Marie Lannelongue</t>
  </si>
  <si>
    <t>Mouthon, L (corresponding author), CNRS UMR 8104, INSERM U1016, 8 Rue Mech, F-75014 Paris, France.</t>
  </si>
  <si>
    <t>luc.mouthon@aphp.fr</t>
  </si>
  <si>
    <t>REGENT, Alexis/AHA-6753-2022; Federici, Cristina/O-4676-2016; Ly, Kim/AAN-4092-2021; Tamby, Mathieu/B-1277-2011; Liaudet-Coopman, Emmanuelle/N-4744-2017; meroni, pier/K-8473-2016; Perros, Frederic/N-6921-2017; Humbert, Marc/AAC-8459-2019</t>
  </si>
  <si>
    <t>Perros, Frederic/0000-0001-7730-2427; liaudet-coopman, emmanuelle/0000-0001-9313-9690; Clary, Guilhem/0000-0001-9452-6967; Humbert, Marc/0000-0003-0703-2892; Broussard, Cedric/0000-0001-9508-2341; Ly, Kim Heang/0000-0002-8511-903X</t>
  </si>
  <si>
    <t>Societe Nationale Francaise de Medecine Interne (SNFMI); Association pour la Recherche en Medecine Interne et en Immunologie Clinique (ARMIIC); Groupe Pasteur Mutualite (GPM); Direction de la Recherche Clinique et du Developpement (DRCD) of Assistance Publique-Hopitaux de Paris</t>
  </si>
  <si>
    <t>This work was performed within the Department Hospitalo-Universitaire (DHU) autoimmune and hormonal diseases. A.R. received financial support from the Societe Nationale Francaise de Medecine Interne (SNFMI), Association pour la Recherche en Medecine Interne et en Immunologie Clinique (ARMIIC) and Groupe Pasteur Mutualite (GPM). S.L. received a financial support from the Direction de la Recherche Clinique et du Developpement (DRCD) of Assistance Publique-Hopitaux de Paris.</t>
  </si>
  <si>
    <t>WILEY-BLACKWELL</t>
  </si>
  <si>
    <t>1615-9853</t>
  </si>
  <si>
    <t>1615-9861</t>
  </si>
  <si>
    <t>Proteomics</t>
  </si>
  <si>
    <t>10.1002/pmic.201500006</t>
  </si>
  <si>
    <t>Biochemical Research Methods; Biochemistry &amp; Molecular Biology</t>
  </si>
  <si>
    <t>EB2DM</t>
  </si>
  <si>
    <t>WOS:000387167700005</t>
  </si>
  <si>
    <t>Antigny, F; Lambert, M; Hautefort, A; Manoury, B; Jourdon, P; Rucker-Martin, C; Girerd, B; Montani, D; Simonneau, G; Humbert, M; Perros, F</t>
  </si>
  <si>
    <t>Antigny, Fabrice; Lambert, Melanie; Hautefort, Aurelie; Manoury, Boris; Jourdon, Philippe; Rucker-Martin, Catherine; Girerd, Barbara; Montani, David; Simonneau, Gerald; Humbert, Mars; Perros, Frederic</t>
  </si>
  <si>
    <t>LATE-BREAKING ABSTRACT: KCNK3 dysfunction contributes to the development of pulmonary arterial hypertension - Characterization of Kcnk3 deficient rats</t>
  </si>
  <si>
    <t>Pulmonary hypertension; Experimental approaches; Genetics</t>
  </si>
  <si>
    <t>Humbert, Marc/AAC-8459-2019; Antigny, Fabrice/Q-3999-2018; David, Montani/I-6885-2019; Perros, Frédéric/N-6921-2017; Manoury, Boris/P-1066-2016; Simonneau, Gerald/ABE-6614-2020</t>
  </si>
  <si>
    <t>OA3006</t>
  </si>
  <si>
    <t>10.1183/13993003.congress-2016.OA3006</t>
  </si>
  <si>
    <t>VF5GZ</t>
  </si>
  <si>
    <t>WOS:000443059700266</t>
  </si>
  <si>
    <t>Aurelie, H; Martin, CR; Capuano, V; Lecerf, F; Dorfmüller, P; Girerd, B; Montani, D; Humbert, M; Antigny, F; Perros, F</t>
  </si>
  <si>
    <t>Aurelie, Hautefort; Martin, Catherine Rucker; Capuano, Veronique; Lecerf, Florence; Dorfmuller, Peter; Girerd, Barbara; Montani, David; Humbert, Marc; Antigny, Fabrice; Perros, Frederic</t>
  </si>
  <si>
    <t>Characterization of a new rat model of heritable PAH</t>
  </si>
  <si>
    <t>Pulmonary hypertension; Animal models; Physiology</t>
  </si>
  <si>
    <t>David, Montani/I-6885-2019; Antigny, Fabrice/Q-3999-2018; Humbert, Marc/AAC-8459-2019; Perros, Frédéric/N-6921-2017</t>
  </si>
  <si>
    <t>OA3007</t>
  </si>
  <si>
    <t>10.1183/13993003.congress-2016.OA3007</t>
  </si>
  <si>
    <t>WOS:000443059700267</t>
  </si>
  <si>
    <t>Courboulin, A; Quatredeniers, M; Sanz, G; Breuils-Bonnet, S; Vocelle, M; Lafond, M; Perros, F; Bonnet, S; Pajot-Augy, E; Humbert, M; Cohen-Kaminsky, S</t>
  </si>
  <si>
    <t>Courboulin, Audrey; Quatredeniers, Marceau; Sanz, Guenhael; Breuils-Bonnet, Sandra; Vocelle, Matthieu; lafond, MathilDe; Perros, Frederic; Bonnet, Sebastien; Pajot-Augy, Edit; Humbert, Marc; Cohen-Kaminsky, Sylvia</t>
  </si>
  <si>
    <t>PSGR olfactory receptor: A new potential target in pulmonary arterial hypertension</t>
  </si>
  <si>
    <t>Pulmonary hypertension; Molecular pathology; Cell biology</t>
  </si>
  <si>
    <t>Humbert, Marc/AAC-8459-2019; Perros, Frédéric/N-6921-2017; Cohen-Kaminsky, Sylvia/E-4837-2014</t>
  </si>
  <si>
    <t>PA2475</t>
  </si>
  <si>
    <t>10.1183/13993003.congress-PA2475</t>
  </si>
  <si>
    <t>WOS:000443059703370</t>
  </si>
  <si>
    <t>Gall, H; Ghofrani, HA; Hoeper, MM; Grünig, E; Halank, M; Klose, H; Vachiéry, JL; Wirtz, H; Lange, T; Snijder, RJ; Ulrich, S; Ewert, R; Tsangaris, I; Pepke-Zaba, J; Lang, I; Löffler-Ragg, J; Cottin, V; Boonstra, A; Gaine, S; Corris, PA; Peacock, A; Simonneau, G; Sánchez, MAG; Klotsche, J; Pittrow, D; Meier, C; Brunn, M; Humbert, M</t>
  </si>
  <si>
    <t>Gall, Henning; Ghofrani, Hossein-Ardeschir; Hoeper, Marius M.; Grunig, Ekkehard; Halank, Michael; Klose, Hans; Vachiery, Jean-Luc; Wirtz, Hubert; Lange, Tobias; Snijder, Repke J.; Ulrich, Silvia; Ewert, Ralf; Tsangaris, Iraklis; Pepke-Zaba, Joanna; Lang, Irene; Loffler-Ragg, Judith; Cottin, Vincent; Boonstra, Anco; Gaine, Sean; Corris, Paul A.; Peacock, Andrew; Simonneau, Gerald; Sanchez, Miguel-Angel Gomez; Klotsche, Jens; Pittrow, David; Meier, Christian; Brunn, Monika; Humbert, Marc</t>
  </si>
  <si>
    <t>Riociguat for the treatment of pulmonary hypertension: Safety data from the EXPERT registry</t>
  </si>
  <si>
    <t>Pulmonary hypertension; Chronic disease; Treatments</t>
  </si>
  <si>
    <t>boonstra, anco/J-5446-2014; Humbert, Marc/AAC-8459-2019; Tsangaris, Iraklis/AAA-3627-2020; Hoeper, Marius/Z-1546-2019; Vachiery, Jean-Luc/ABC-6631-2021; Ghofrani, Ardeschir/AAD-5293-2020; Sánchez-Sánchez, Miguel Ángel/AAX-2796-2021; Loeffler-Ragg, Judith/ABG-3407-2020; Cardoso, Paulo/C-5768-2012; Pittrow, David/AAY-5042-2021; Pepke-Zaba, Joanna/AGW-3073-2022; Simonneau, Gerald/ABE-6614-2020</t>
  </si>
  <si>
    <t>PA2408</t>
  </si>
  <si>
    <t>10.1183/13993003.congress-PA2408</t>
  </si>
  <si>
    <t>WOS:000443059703307</t>
  </si>
  <si>
    <t>Guignabert, C; Phan, C; Seferian, A; Huertas, A; Tu, L; Thuillet, R; Sattler, C; Le Hiress, M; Tamura, Y; Jutant, EM; Chaumais, MC; Bouchet, S; Manéglier, B; Molimard, M; Rousselot, P; Sitbon, O; Simonneau, G; Montani, D; Humbert, M</t>
  </si>
  <si>
    <t>Guignabert, Christophe; Phan, Carole; Seferian, Andrei; Huertas, Alice; Tu, Ly; Thuillet, Raphael; Sattler, Caroline; Le Hiress, Morane; Tamura, Yuichi; Jutant, Etienne-Marie; Chaumais, Marie-Camille; Bouchet, Stephane; Maneglier, Benjamin; Molimard, Mathieu; Rousselot, Philippe; Sitbon, Olivier; Simonneau, Gerald; Montani, David; Humbert, Marc</t>
  </si>
  <si>
    <t>Dasatinib induces lung vascular toxicity and predisposes to pulmonary hypertension</t>
  </si>
  <si>
    <t>ENDOPLASMIC-RETICULUM STRESS; FIBROBLAST GROWTH FACTOR-2; ARTERIAL-HYPERTENSION; THERAPEUTIC STRATEGY; INDUCED APOPTOSIS; TYROSINE KINASE; BCR-ABL; SRC; INTERLEUKIN-6; PATHOBIOLOGY</t>
  </si>
  <si>
    <t>Pulmonary arterial hypertension (PAH) is a life-threatening disease that can be induced by dasatinib, a dual Src and BCR-ABL tyrosine kinase inhibitor that is used to treat chronic myelogenous leukemia (CML). Today, key questions remain regarding the mechanisms involved in the long-term development of dasatinib-induced PAH. Here, we demonstrated that chronic dasatinib therapy causes pulmonary endothelial damage in humans and rodents. We found that dasatinib treatment attenuated hypoxic pulmonary vasoconstriction responses and increased susceptibility to experimental pulmonary hypertenslon (PH) in rats, but these effects were absent in rats treated with imatinib, another BCR-ABL tyrosine kinase inhibitor. Furthermore, dasatinib treatment induced pulmonary endothelial cell apoptosis in a dose-dependent manner, while imatinib did not. Dasatinib treatment mediated endothelial cell dysfunction via increased production of ROS that was independent of Src family kinases. Consistent with these findings, we observed elevations in markers of endothelial dysfunction and vascular damage in the serum of CML patients who were treated with dasatinib, compared with CML patients treated with imatinib. Taken together, our findings indicate that dasatinib causes pulmonary vascular damage, induction of ER stress, and mitochondrial ROS production, which leads to increased susceptibility to PH development.</t>
  </si>
  <si>
    <t>[Guignabert, Christophe; Phan, Carole; Seferian, Andrei; Huertas, Alice; Tu, Ly; Thuillet, Raphael; Sattler, Caroline; Le Hiress, Morane; Tamura, Yuichi; Jutant, Etienne-Marie; Chaumais, Marie-Camille; Sitbon, Olivier; Simonneau, Gerald; Montani, David; Humbert, Marc] Hop Marie Lannelongue, INSERM, UMR S 999, Le Plessis Robinson, France; [Guignabert, Christophe; Phan, Carole; Seferian, Andrei; Huertas, Alice; Tu, Ly; Thuillet, Raphael; Sattler, Caroline; Le Hiress, Morane; Tamura, Yuichi; Jutant, Etienne-Marie; Chaumais, Marie-Camille; Sitbon, Olivier; Simonneau, Gerald; Montani, David; Humbert, Marc] Univ Paris 11, Le Kremlin Bicetre, France; [Guignabert, Christophe; Phan, Carole; Seferian, Andrei; Huertas, Alice; Tu, Ly; Thuillet, Raphael; Sattler, Caroline; Le Hiress, Morane; Tamura, Yuichi; Jutant, Etienne-Marie; Chaumais, Marie-Camille; Sitbon, Olivier; Simonneau, Gerald; Montani, David; Humbert, Marc] Univ Paris Saclay, Le Kremlin Bicetre, France; [Guignabert, Christophe; Phan, Carole; Seferian, Andrei; Huertas, Alice; Tu, Ly; Thuillet, Raphael; Sattler, Caroline; Le Hiress, Morane; Tamura, Yuichi; Jutant, Etienne-Marie; Chaumais, Marie-Camille; Sitbon, Olivier; Simonneau, Gerald; Montani, David; Humbert, Marc] Hop Bicetre, AP HP, Dept Hosp Univ Thorax Innovat, Serv Pneumol,Ctr Reference Hypertens Pulm Severe, Le Kremlin Bicetre, France; [Bouchet, Stephane; Molimard, Mathieu] Ctr Hosp Univ Bordeaux, Dept Pharmacol, Bordeaux, France; [Bouchet, Stephane; Molimard, Mathieu] Univ Bordeaux, INSERM, U1219, Bordeaux, France; [Maneglier, Benjamin] Ctr Hosp Versailles, Serv Biol Med, Le Chesnay, France; [Rousselot, Philippe] Ctr Hosp Versailles, Serv Hematol &amp; Oncol, Le Chesnay, France; [Rousselot, Philippe] Univ Versailles St Quentin En Yvelines, Versailles, France</t>
  </si>
  <si>
    <t>Institut National de la Sante et de la Recherche Medicale (Inserm); Hopital Marie Lannelongue; Universite Paris Saclay; Universite Paris Saclay; Universite Paris Saclay; Assistance Publique Hopitaux Paris (APHP); Hopital Universitaire Antoine-Beclere - APHP; Universite Paris Saclay; Hopital Universitaire Bicetre - APHP; Universite de Bordeaux; CHU Bordeaux; Institut National de la Sante et de la Recherche Medicale (Inserm); Universite de Bordeaux; Centre Hospitalier de Versailles; Universite Paris Saclay; Universite Paris Saclay; Centre Hospitalier de Versailles; Universite Paris Saclay</t>
  </si>
  <si>
    <t>Guignabert, C (corresponding author), Univ Paris 11, Hop Marie Lannelongue, INSERM, UMR S 999, 133 Ave Resistance, F-92350 Le Plessis Robinson, France.</t>
  </si>
  <si>
    <t>Sitbon, Olivier/I-3623-2019; BOUCHET, Stephane/T-3276-2019; Simonneau, Gerald/ABE-6614-2020; David, Montani/I-6885-2019; Tamura, Yuichi/B-5991-2014; molimard, mathieu/T-2762-2019; TU, Ly/G-4035-2013; Humbert, Marc/AAC-8459-2019; Huertas, Alice/E-8244-2017; GUIGNABERT, Christophe/G-3873-2013</t>
  </si>
  <si>
    <t>TU, Ly/0000-0003-2336-5099; Humbert, Marc/0000-0003-0703-2892; Chaumais, Marie-Camille/0000-0002-1217-8442; SITBON, Olivier/0000-0002-1942-1951; Montani, David/0000-0002-9358-6922; Seferian, Andrei/0000-0003-1007-433X; Molimard, Mathieu/0000-0002-4346-8346; Huertas, Alice/0000-0001-8545-747X; Tamura, Yuichi/0000-0002-4437-8019; Thuillet, Raphael/0000-0002-1379-3797; Phan, Carole/0000-0002-7834-508X; Jutant, Etienne-Marie/0000-0002-1374-1890; GUIGNABERT, Christophe/0000-0002-8545-4452</t>
  </si>
  <si>
    <t>French National Institute for Health and Medical Research (INSERM); Legs Poix (Chancellerie des Universites de Paris); French National Agency for Research [ANR_12_JSV1_0004_01]; French Agence Nationale de Securite du Medicament (ANSM); Departement Hospitalo-Universitaire Thorax Innovation; LabEx LERMIT [ANR-10-LABX-0033-LERMIT]; European Respiratory Society/European Union RESPIRE2 Marie Curie research fellowship [RESPIRE2-2013-4919]; French PAH patient association, hypertension arterielle pulmonaire (HTAP) France; Assistance Publique-Hopitaux de Paris; French Fonds de Dotation Recherche en Sante Respiratoire-Fondation du Souffle; Universite Paris-Sud</t>
  </si>
  <si>
    <t>French National Institute for Health and Medical Research (INSERM)(Institut National de la Sante et de la Recherche Medicale (Inserm)); Legs Poix (Chancellerie des Universites de Paris); French National Agency for Research(Agence Nationale de la Recherche (ANR)); French Agence Nationale de Securite du Medicament (ANSM)(Agence Nationale de la Recherche (ANR)); Departement Hospitalo-Universitaire Thorax Innovation; LabEx LERMIT; European Respiratory Society/European Union RESPIRE2 Marie Curie research fellowship(Marie Curie ActionsEuropean Union (EU)); French PAH patient association, hypertension arterielle pulmonaire (HTAP) France; Assistance Publique-Hopitaux de Paris; French Fonds de Dotation Recherche en Sante Respiratoire-Fondation du Souffle; Universite Paris-Sud</t>
  </si>
  <si>
    <t>The authors thank Claude Preudhomme (Centre Hospitalier Regional Universitaire de Lille, France) and Francois Guilhot (INSERM CIC 1402 Oncologie Hematologique et Therapie Cellulaire, Centre Hospitalier Universitaire de Poitiers, France) for their help in the collection and processing of CML samples patients at diagnosis (STI571 Prospective Randomized Trial (SPIRIT), NCT00219739 [Programme Hospitalier de recherche Clinique 2002, 2006, and EudraCT 030482]). This research was supported by grants from the French National Institute for Health and Medical Research (INSERM), Universite Paris-Sud, the Legs Poix (Chancellerie des Universites de Paris); the French National Agency for Research (grant ANR_12_JSV1_0004_01); the French Agence Nationale de Securite du Medicament (ANSM grant VIGIAPATH); and in part by the Departement Hospitalo-Universitaire Thorax Innovation and the LabEx LERMIT (grant ANR-10-LABX-0033-LERMIT). YT (RESPIRE2-2013-4919) is the recipient of a European Respiratory Society/European Union RESPIRE2 Marie Curie research fellowship. AS is supported by the French PAH patient association, hypertension arterielle pulmonaire (HTAP) France. EMJ is the recipient of an Annee-Recherche fellowship from Assistance Publique-Hopitaux de Paris. CS and CP are supported by the French Fonds de Dotation Recherche en Sante Respiratoire-Fondation du Souffle.</t>
  </si>
  <si>
    <t>10.1172/JCI86249</t>
  </si>
  <si>
    <t>DU9CI</t>
  </si>
  <si>
    <t>WOS:000382513400008</t>
  </si>
  <si>
    <t>Huertas, A; Tu, L; Thuillet, R; Phan, C; Bordenave, J; Le Hiress, M; Jovan, R; Parent, F; Simonneau, G; Montani, D; Humbert, M; Guignabert, C</t>
  </si>
  <si>
    <t>Huertas, Alice; Tu, Ly; Thuillet, Raphael; Phan, Carole; Bordenave, Jennifer; Le Hiress, Morane; Jovan, Roland; Parent, Florence; Simonneau, Gerald; Montani, David; Humbert, Marc; Guignabert, Christophe</t>
  </si>
  <si>
    <t>Changes in red blood cell membrane structure in pulmonary arterial hypertension</t>
  </si>
  <si>
    <t>Pulmonary hypertension; Circulation; Biomarkers</t>
  </si>
  <si>
    <t>Huertas, Alice/E-8244-2017; TU, Ly/G-4035-2013; David, Montani/I-6885-2019; GUIGNABERT, Christophe/G-3873-2013; Humbert, Marc/AAC-8459-2019; Simonneau, Gerald/ABE-6614-2020</t>
  </si>
  <si>
    <t>OA260</t>
  </si>
  <si>
    <t>10.1183/13993003.congress-2016.OA260</t>
  </si>
  <si>
    <t>WOS:000443059700020</t>
  </si>
  <si>
    <t>Humbert, M; Channick, RN</t>
  </si>
  <si>
    <t>Humbert, Marc; Channick, Richard N.</t>
  </si>
  <si>
    <t>[Humbert, Marc] Univ Paris 11, Hop Bicetre, AP HP, Serv Pneumol, Orsay, France; [Humbert, Marc] Univ Paris Saclay, INSERM, U999, Le Kremlin Bicetre, France; [Channick, Richard N.] Massachusetts Gen Hosp, Pulm &amp; Crit Care, Boston, MA 02114 USA</t>
  </si>
  <si>
    <t>Assistance Publique Hopitaux Paris (APHP); Hopital Universitaire Bicetre - APHP; Universite Paris Saclay; Institut National de la Sante et de la Recherche Medicale (Inserm); Universite Paris Saclay; Harvard University; Harvard University Medical Affiliates; Massachusetts General Hospital</t>
  </si>
  <si>
    <t>10.1097/MCP.0000000000000309</t>
  </si>
  <si>
    <t>DS5FP</t>
  </si>
  <si>
    <t>WOS:000380807100001</t>
  </si>
  <si>
    <t>Humbert, M; Ghofrani, HA; Busse, D; Pena, JD; Langleben, D</t>
  </si>
  <si>
    <t>Humbert, Marc; Ghofrani, Hossein-Ardeschir; Busse, Dennis; Pena, Janethe de Olivereira; Langleben, David</t>
  </si>
  <si>
    <t>Riociguat in pulmonary arterial hypertension: ERS/ESC risk assessment in PATENT</t>
  </si>
  <si>
    <t>Humbert, Marc/AAC-8459-2019; Ghofrani, Ardeschir/AAD-5293-2020; Langleben, David/AAJ-9152-2020</t>
  </si>
  <si>
    <t>PA2401</t>
  </si>
  <si>
    <t>10.1183/13993003.congress-PA2401</t>
  </si>
  <si>
    <t>WOS:000443059703300</t>
  </si>
  <si>
    <t>Montani, D; Girerd, B; Amar, D; Jais, X; Savale, L; Dorfmuller, P; Seferian, A; Lau, E; Eyries, M; Lepavec, J; Parent, F; Soubrier, F; Fadel, E; Sitbon, O; Simonneau, G; Humbert, M</t>
  </si>
  <si>
    <t>Montani, David; Girerd, Barbara; Amar, David; Jais, Xavier; Savale, Laurent; Dorfmuller, Peter; Seferian, Andrei; Lau, Edmund; Eyries, Melanie; Lepavec, Jerome; Parent, Florence; Soubrier, Florent; Fadel, Elie; Sitbon, Olivier; Simonneau, Gerald; Humbert, Marc</t>
  </si>
  <si>
    <t>Clinical phenotypes and outcomes of pulmonary veno-occlusive disease in carriers of bi- allelic EIF2AK4 mutations</t>
  </si>
  <si>
    <t>Pulmonary hypertension; Genetics; Transplantation</t>
  </si>
  <si>
    <t>Sitbon, Olivier/I-3623-2019; Simonneau, Gerald/ABE-6614-2020; Savale, Laurent/AAJ-9781-2020; Humbert, Marc/AAC-8459-2019; David, Montani/I-6885-2019; EYRIES, melanie/ABF-1034-2020</t>
  </si>
  <si>
    <t>PS5096</t>
  </si>
  <si>
    <t>10.1183/13993003.congress-2016.PA5096</t>
  </si>
  <si>
    <t>WOS:000443059706344</t>
  </si>
  <si>
    <t>Nakhleh, M; Jeries, R; Montani, D; Girerd, B; Perros, F; Garcia, G; Simonneau, G; Fadel, E; Humbert, M; Haick, H; Cohen-Kaminsly, S</t>
  </si>
  <si>
    <t>Nakhleh, Morad; Jeries, Raneen; Montani, David; Girerd, Barbara; Perros, Frederic; Garcia, Gilles; Simonneau, Gerald; Fadel, Elie; Humbert, Marc; Haick, Hossam; Cohen-Kaminsly, Sylvia</t>
  </si>
  <si>
    <t>LATE-BREAKING ABSTRACT: Vascular endothelial cells in pulmonary arterial hypertension express a unique spectrum of volatile organic compounds</t>
  </si>
  <si>
    <t>Perros, Frédéric/N-6921-2017; David, Montani/I-6885-2019; Simonneau, Gerald/ABE-6614-2020; Humbert, Marc/AAC-8459-2019</t>
  </si>
  <si>
    <t>OA257</t>
  </si>
  <si>
    <t>10.1183/13993003.congress-2016.OA257</t>
  </si>
  <si>
    <t>WOS:000443059700017</t>
  </si>
  <si>
    <t>Nakhleh, M; Humbert, M; Haick, H; Cohen-Kaminsky, S</t>
  </si>
  <si>
    <t>Nakhleh, Morad; Humbert, Marc; Haick, Hossam; Cohen-Kaminsky, Sylvia</t>
  </si>
  <si>
    <t>LSC Abstract - Exploring mechanisms and early detection of pulmonary arterial hypertension via breath and lung vascular cells' volatolomics</t>
  </si>
  <si>
    <t>PP221</t>
  </si>
  <si>
    <t>10.1183/13993003.congress-2016.PP221</t>
  </si>
  <si>
    <t>WOS:000443059706411</t>
  </si>
  <si>
    <t>Phan, C; Seferian, A; Huertas, A; Tu, L; Thuillet, R; Sattler, C; Le Hiress, M; Tamura, Y; Jutant, EM; Chaumais, MC; Bouchet, S; Manéglier, B; Molimard, M; Rousselot, P; Sitbon, O; Simonneau, G; Montani, D; Humbert, M; Guignabert, C</t>
  </si>
  <si>
    <t>Phan, Carole; Seferian, Andrei; Huertas, Alice; Tu, Ly; Thuillet, Raphael; Sattler, Caroline; Le Hiress, Morane; Tamura, Yuichi; Jutant, Etienne-Marie; Chaumais, Marie-Camille; Bouchet, Stephane; Maneglier, Benjamin; Molimard, Mathieu; Rousselot, Philippe; Sitbon, Olivier; Simonneau, Gerald; Montani, David; Humbert, Marc; Guignabert, Christophe</t>
  </si>
  <si>
    <t>Pulmonary hypertension; Cell biology; Molecular pathology</t>
  </si>
  <si>
    <t>Tamura, Yuichi/B-5991-2014; molimard, mathieu/T-2762-2019; GUIGNABERT, Christophe/G-3873-2013; Huertas, Alice/E-8244-2017; TU, Ly/G-4035-2013; Humbert, Marc/AAC-8459-2019; Sitbon, Olivier/I-3623-2019; David, Montani/I-6885-2019; Simonneau, Gerald/ABE-6614-2020; BOUCHET, Stephane/T-3276-2019</t>
  </si>
  <si>
    <t>OA262</t>
  </si>
  <si>
    <t>10.1183/13993003.congress-2016.OA262</t>
  </si>
  <si>
    <t>WOS:000443059700022</t>
  </si>
  <si>
    <t>Quatredeniers, M; Courboulin, A; Dumas, SJ; Doisne, N; Humbert, M; Cohen-Kaminsky, S</t>
  </si>
  <si>
    <t>Quatredeniers, Marceau; Courboulin, Audrey; Dumas, Sebastien J.; Doisne, Nicolas; Humbert, Marc; Cohen-Kaminsky, Sylvia</t>
  </si>
  <si>
    <t>NMDA receptor crosstalk with PDGFR-β and BMPR2 is involved in smooth muscle cell proliferation in pulmonary arterial hypertension</t>
  </si>
  <si>
    <t>Pulmonary hypertension; Circulation; Chronic disease</t>
  </si>
  <si>
    <t>Humbert, Marc/AAC-8459-2019; Dumas, Sébastien/AAA-2056-2021; Doisne, Nicolas/AAE-2739-2019; Cohen-Kaminsky, Sylvia/E-4837-2014</t>
  </si>
  <si>
    <t>Cohen-Kaminsky, Sylvia/0000-0002-6341-7482; Dumas, Sebastien/0000-0001-9958-3485</t>
  </si>
  <si>
    <t>PA5094</t>
  </si>
  <si>
    <t>10.1183/13993003.congress-2016.PA5094</t>
  </si>
  <si>
    <t>WOS:000443059706342</t>
  </si>
  <si>
    <t>Roche, A; Chaumais, MC; Perrin, S; Jaïs, X; Savale, L; Camus, P; Favrolt, N; Traclet, J; Cottin, V; Sitbon, O; Simmoneau, G; Humbert, M; Bonniaud, P; Montani, D</t>
  </si>
  <si>
    <t>Roche, Anne; Chaumais, Marie Camille; Perrin, Swanny; Jais, Xavier; Savale, Laurent; Camus, Philippe; Favrolt, Nicolas; Traclet, Julie; Cottin, Vincent; Sitbon, Olivier; Simmoneau, Gerald; Humbert, Marc; Bonniaud, Philippe; Montani, David</t>
  </si>
  <si>
    <t>Illicit drug use and pulmonary arterial hypertension: Not so frequent</t>
  </si>
  <si>
    <t>Pulmonary hypertension; Epidemiology; Pharmacology</t>
  </si>
  <si>
    <t>Sitbon, Olivier/I-3623-2019; David, Montani/I-6885-2019; Savale, Laurent/AAJ-9781-2020; Bonniaud, Philippe/ITT-4660-2023; Humbert, Marc/AAC-8459-2019</t>
  </si>
  <si>
    <t>OA259</t>
  </si>
  <si>
    <t>10.1183/13993003.congress-2016.OA259</t>
  </si>
  <si>
    <t>WOS:000443059700019</t>
  </si>
  <si>
    <t>Sanges, S; Yelnik, CM; Sitbon, O; Benveniste, O; Mariampillai, K; Phillips-Houlbracq, M; Pison, C; Deligny, C; Inamo, J; Cottin, V; Mouthon, L; Launay, D; Lambert, M; Hatron, PY; Rottat, L; Humbert, M; Hachulla, E</t>
  </si>
  <si>
    <t>Sanges, Sebastien; Yelnik, Cecile M.; Sitbon, Olivier; Benveniste, Olivier; Mariampillai, Kuberaka; Phillips-Houlbracq, Mathilde; Pison, Christophe; Deligny, Christophe; Inamo, Jocelyn; Cottin, Vincent; Mouthon, Luc; Launay, David; Lambert, Marc; Hatron, Pierre-Yves; Rottat, Laurence; Humbert, Marc; Hachulla, Eric</t>
  </si>
  <si>
    <t>Pulmonary arterial hypertension in idiopathic inflammatory myopathies: Data from the French pulmonary hypertension registry and review of the literature</t>
  </si>
  <si>
    <t>MEDICINE</t>
  </si>
  <si>
    <t>antisynthetase syndrome; connective tissue diseases; dermatomyositis; inclusion body myositis; myositis; polymyositis; pulmonary hypertension</t>
  </si>
  <si>
    <t>ANTISYNTHETASE SYNDROME; POLYMYOSITIS-DERMATOMYOSITIS; DISEASE; ANTIBODIES; SURVIVAL; AUTOANTIBODIES; PREVALENCE; MYOSITIS; THERAPY; PATIENT</t>
  </si>
  <si>
    <t>Occurrence of pulmonary arterial hypertension (PAH) in idiopathic inflammatory myopathies (IIMs) without extensive interstitial lung disease (ILD) has rarely been described in the medical literature. This study aimed to report all cases with association of PAH and IIM in the French Pulmonary Hypertension (PH) Registry, to identify IIM features associated with the presence of PAH, and to describe treatment modalities of these patients.All cases of IIM-PAH were retrieved from the French PH Registry, which gathers PH patients prospectively enrolled by 27 referral hospital centers across France. Patients were excluded if they had an extensive ILD or overlap syndrome. Characteristics of IIM-PAH patients were compared with a control group of IIM patients without PH.Among the 5223 PH patients in the Registry, 34 had a diagnosis of IIM. Among them, 3 IIM-PAH patients (2 females and 1 male) had no evidence of extensive ILD or overlap syndrome, and were included in this study. In these 3 patients, dermatomyositis (DM) was the only identified IIM. One patient had autoantibodies classically associated with IIM (anti-Ku). PAH had always developed after IIM onset, was severe in all cases, and led to a marked functional impairment.By pooling our cases with 6 patients previously reported in the literature, and comparing them with a control cohort of 35 IIM patients without PH, we identify several IIM characteristics possibly associated with PAH occurrence, including DM subtype (78% vs 46%; P = 0.02), skin involvement (P = 0.04), anti-SSA antibodies (P = 0.05), and peripheral microangiopathy (P = 0.06).Overall, IIM-PAH patients were managed by corticosteroids and/or immunosuppressants, either alone or combined with PAH therapy. Patients did not seem to respond to IIM treatment alone.Our study reports for the first time the rare but possible association of PAH and IIM in a large prospective PH Registry. In that setting, PAH seems associated with DM, skin involvement, peripheral microangiopathy, and anti-SSA positivity. The best therapeutic strategy for IIM-PAH remains to be defined.</t>
  </si>
  <si>
    <t>[Sanges, Sebastien; Yelnik, Cecile M.; Launay, David; Lambert, Marc; Hatron, Pierre-Yves; Hachulla, Eric] Univ Lille, Lille Inflammat Res Int Ctr, INSERM, U995,LIRIC, Lille, France; [Sanges, Sebastien; Yelnik, Cecile M.; Launay, David; Lambert, Marc; Hatron, Pierre-Yves; Hachulla, Eric] CHU Lille, Dept Med Interne &amp; Immunol Clin, Lille, France; [Sanges, Sebastien; Yelnik, Cecile M.; Launay, David; Lambert, Marc; Hatron, Pierre-Yves; Hachulla, Eric] Ctr Natl Reference Malad Syst &amp; Autoimmunes Rares, Lille, France; [Sitbon, Olivier; Rottat, Laurence; Humbert, Marc] Univ Paris 11, Fac Med, Univ Paris Saclay, Le Kremlin Bicetre, France; [Sitbon, Olivier; Rottat, Laurence; Humbert, Marc] Hop Bicetre, AP HP, Serv Pneumol, DHU Thorax Innovat, Le Kremlin Bicetre, France; [Sitbon, Olivier; Rottat, Laurence; Humbert, Marc] Ctr Chirurg Marie Lannelongue, INSERM, UMR S999, LabEx LERMIT, Le Plessis Robinson, France; [Benveniste, Olivier; Mariampillai, Kuberaka] Univ Paris 06, Ctr Natl Reference Malad Neuromusculaires, Dept Med Interne &amp; Immunol Clin, Hop La Pitie Salpetriere,AP HP,INSERM,U974, Paris, France; [Phillips-Houlbracq, Mathilde; Pison, Christophe] Ctr Hosp Univ, Clin Univ Pneumol, Grenoble, France; [Phillips-Houlbracq, Mathilde; Pison, Christophe] Univ Grenoble 1, Grenoble, France; [Deligny, Christophe] Ctr Hosp Univ Pierre Zobda Quitman, Serv Med Interne &amp; Rhumatol 3C 5D, Fort De France, Martinique, France; [Inamo, Jocelyn] Ctr Hosp Univ Pierre Zobda Quitman, Dept Cardiol, Fort De France, Martinique, France; [Cottin, Vincent] Hosp Civils Lyon, Ctr Competence Hypertens Pulm, Ctr Reference Malad Pulm Rares, Serv Pneumol, Lyon, France; [Mouthon, Luc] Univ Paris 05, Ctr Reference Vasc Necrosantes &amp; Sclerodermie, Serv Med Interne, Hop Cochin, Paris, France</t>
  </si>
  <si>
    <t>Institut National de la Sante et de la Recherche Medicale (Inserm); Universite de Lille; Universite de Lille; CHU Lille; Universite Paris Saclay; Assistance Publique Hopitaux Paris (APHP); Hopital Universitaire Antoine-Beclere - APHP; Hopital Universitaire Bicetre - APHP; Universite Paris Saclay; Hopital Marie Lannelongue; Universite Paris Saclay; Institut National de la Sante et de la Recherche Medicale (Inserm); Institut National de la Sante et de la Recherche Medicale (Inserm); Sorbonne Universite; Assistance Publique Hopitaux Paris (APHP); Hopital Universitaire Pitie-Salpetriere - APHP; CHU de Toulouse; Communaute Universite Grenoble Alpes; Universite Grenoble Alpes (UGA); CHU Grenoble Alpes; Communaute Universite Grenoble Alpes; Universite Grenoble Alpes (UGA); CHU Martinique; CHU Martinique; CHU Lyon; Universite Paris Cite; Assistance Publique Hopitaux Paris (APHP); Hopital Universitaire Cochin - APHP</t>
  </si>
  <si>
    <t>Hachulla, E (corresponding author), CHRU Lille, Serv Med Interne, Hop Claude Huriez, Rue Michel Polonovski, F-59037 Lille, France.</t>
  </si>
  <si>
    <t>HACHULLA, ERIC/R-8488-2018; meroni, pier/K-8473-2016; Sitbon, Olivier/I-3623-2019; INAMO, Jocelyn/AGZ-1674-2022; Launay, David/A-5270-2018; Sanges, Sebastien/M-4605-2018; lambert, marc/V-7380-2017; Humbert, Marc/AAC-8459-2019; Launay, David/H-1674-2016; Yelnik, Cecile/V-8906-2017</t>
  </si>
  <si>
    <t>Sanges, Sebastien/0000-0003-0280-411X; lambert, marc/0000-0002-3485-8238; Humbert, Marc/0000-0003-0703-2892; Launay, David/0000-0003-1840-1817; Yelnik, Cecile/0000-0003-4260-5035; SITBON, Olivier/0000-0002-1942-1951; HACHULLA, ERIC/0000-0001-7432-847X</t>
  </si>
  <si>
    <t>0025-7974</t>
  </si>
  <si>
    <t>1536-5964</t>
  </si>
  <si>
    <t>Medicine (Baltimore)</t>
  </si>
  <si>
    <t>e4911</t>
  </si>
  <si>
    <t>10.1097/MD.0000000000004911</t>
  </si>
  <si>
    <t>DZ0PE</t>
  </si>
  <si>
    <t>WOS:000385541400038</t>
  </si>
  <si>
    <t>Savale, L; Chaumais, MC; O'Connell, C; Humbert, M; Sitbon, O</t>
  </si>
  <si>
    <t>Savale, Laurent; Chaumais, Marie-Camille; O'Connell, Caroline; Humbert, Marc; Sitbon, Olivier</t>
  </si>
  <si>
    <t>Interferon-induced pulmonary hypertension: an update</t>
  </si>
  <si>
    <t>interferon; pulmonary hypertension; side effect</t>
  </si>
  <si>
    <t>ARTERIAL-HYPERTENSION; I INTERFERON; BETA TREATMENT; ALPHA; THERAPY; INVOLVEMENT; SCLEROSIS</t>
  </si>
  <si>
    <t>Purpose of review Pulmonary adverse effects of interferon (IFN) therapies are rare but can be life threatening. This article proposes to review clinical and experimental data suggesting a causal link between interferon exposure and pulmonary arterial hypertension (PAH). Recent findings Interferon has recently been added to the list of possible risk factors for PAH. This was justified by the reporting of many cases of pulmonary hypertension potentially associated with IFN-alpha or IFN-beta exposure. Some of them were reversible after cessation of interferon exposure, especially in patients without concomitant risk factors for pulmonary hypertension. In contrast, it remains a challenge to definitively confirm the causal role of IFN-alpha in patients treated for hepatitis C viral infection because of frequent concomitant PAH risk factors such as portal hypertension and/or HIV infection. In these patients, temporal and clinical arguments suggest that interferon may potentially act as an additional trigger for PAH. Moreover, the information obtained from clinical experience with interferon therapy has been enriched by basic science research on this topic suggesting that interferon is involved in both human and experimental pulmonary hypertension. Summary Many clinical and experimental data corroborate the link between interferon exposure and the risk to develop PAH.</t>
  </si>
  <si>
    <t>[Savale, Laurent; O'Connell, Caroline; Humbert, Marc; Sitbon, Olivier] Univ Paris Saclay, Fac Med, Univ Paris Sud, Paris, France; [Savale, Laurent; O'Connell, Caroline; Humbert, Marc; Sitbon, Olivier] Hop Bicetre, AP HP, Serv Pneumol, DHU Thorax Innovat, Paris, France; [Savale, Laurent; Chaumais, Marie-Camille; O'Connell, Caroline; Humbert, Marc; Sitbon, Olivier] Hop Marie Lannelongue, INSERM, UMR S 999, Paris, France; [Chaumais, Marie-Camille] Univ Paris Sud, Fac Pharm, Paris, France; [Chaumais, Marie-Camille] Hop Antoine Beclere, AP HP, Serv Pharm, DHU Thorax Innovat, Paris, France</t>
  </si>
  <si>
    <t>Universite Paris Saclay; Universite Paris Saclay; Assistance Publique Hopitaux Paris (APHP); Hopital Universitaire Bicetre - APHP; Institut National de la Sante et de la Recherche Medicale (Inserm); Hopital Marie Lannelongue; Universite Paris Saclay; Assistance Publique Hopitaux Paris (APHP); Hopital Universitaire Antoine-Beclere - APHP</t>
  </si>
  <si>
    <t>Savale, L (corresponding author), Hop Bicetre, AP HP, Ctr Reference Hypertens Pulm Severe, Serv Pneumol &amp; Reanimat Resp,DHU Thorax Innovat, 78 Rue Gen Leclerc, F-94270 Paris, France.</t>
  </si>
  <si>
    <t>Savale, Laurent/AAJ-9781-2020; Sitbon, Olivier/I-3623-2019; Humbert, Marc/AAC-8459-2019</t>
  </si>
  <si>
    <t>Chaumais, Marie-Camille/0000-0002-1217-8442; Humbert, Marc/0000-0003-0703-2892; SITBON, Olivier/0000-0002-1942-1951</t>
  </si>
  <si>
    <t>10.1097/MCP.0000000000000307</t>
  </si>
  <si>
    <t>WOS:000380807100004</t>
  </si>
  <si>
    <t>Seferian, A; Steriade, A; Jaïs, X; Planché, O; Savale, L; Parent, F; Amar, D; Jovan, R; Fadel, E; Sitbon, O; Simonneau, G; Humbert, M; Montani, D</t>
  </si>
  <si>
    <t>Seferian, Andrei; Steriade, Alexandru; Jais, Xavier; Planche, Olivier; Savale, Laurent; Parent, Florence; Amar, David; Jovan, Roland; Fadel, Elie; Sitbon, Olivier; Simonneau, Gerald; Humbert, Marc; Montani, David</t>
  </si>
  <si>
    <t>Pulmonary hypertension complicating fibrosing mediastinitis</t>
  </si>
  <si>
    <t>Pulmonary hypertension; Sarcoidosis; Interstitial lung disease</t>
  </si>
  <si>
    <t>OA261</t>
  </si>
  <si>
    <t>10.1183/13993003.congress-2016.OA261</t>
  </si>
  <si>
    <t>WOS:000443059700021</t>
  </si>
  <si>
    <t>Tamura, Y; Tu, L; Yamamoto, T; Phan, C; Thuillet, R; Huertas, A; Le Hiress, M; Fadele, E; Humbert, M; Guignabert, C</t>
  </si>
  <si>
    <t>Tamura, Yuichi; Tu, Ly; Yamamoto, Tsunehisa; Phan, Carole; Thuillet, Raphael; Huertas, Alice; Le Hiress, Morane; Fadele, Elie; Humbert, Marc; Guignabert, Christophe</t>
  </si>
  <si>
    <t>Uric acid causes excessive pulmonary arterial smooth muscle cell proliferation viaURATv1 upregulation in pulmonary arterial hypertension</t>
  </si>
  <si>
    <t>Pulmonary hypertension; Cell biology; Circulation</t>
  </si>
  <si>
    <t>Yamamoto, Tsunehisa/O-2014-2013; Tamura, Yuichi/B-5991-2014; GUIGNABERT, Christophe/G-3873-2013; Huertas, Alice/E-8244-2017; Humbert, Marc/AAC-8459-2019; TU, Ly/G-4035-2013</t>
  </si>
  <si>
    <t>PA5102</t>
  </si>
  <si>
    <t>10.1183/13993003.congress-2016.PA5102</t>
  </si>
  <si>
    <t>WOS:000443059706350</t>
  </si>
  <si>
    <t>Atzler, D; Cracowski, JL; Cordts, K; Böger, RH; Humbert, M; Schwedhelm, E</t>
  </si>
  <si>
    <t>Atzler, Dorothee; Cracowski, Jean-Luc; Cordts, Kathrin; Boeger, Rainer H.; Humbert, Marc; Schwedhelm, Edzard</t>
  </si>
  <si>
    <t>Homoarginine predicts mortality in treatment-naive patients with pulmonary arterial hypertension</t>
  </si>
  <si>
    <t>INTERNATIONAL JOURNAL OF CARDIOLOGY</t>
  </si>
  <si>
    <t>Homoarginine; Hypertension; Pulmonary; Survival</t>
  </si>
  <si>
    <t>MASS-SPECTROMETRIC DETERMINATION; FRAMINGHAM OFFSPRING COHORT; L-ARGININE; REFERENCE INTERVALS; DIMETHYLARGININE; PLASMA; AMIDINOTRANSFERASE; DERIVATIVES; POPULATION; BIOMARKERS</t>
  </si>
  <si>
    <t>Background: Pulmonary arterial hypertension (PAH) is a rare progressive disease with a 3-year mortality rate of approx. 45% in incident patients. The prostacyclin, endothelin-1 (ET-1), and nitric oxide (NO) pathways are validated therapeutic targets, however the underlying pathomechanisms are not yet fully understood. In the present study, we investigated metabolites of the NO pathway (e.g. L-arginine, asymmetric dimethylarginine (ADMA), and homoarginine), which are potentially involved in the pathophysiology of PAH. Methods: Newly diagnosed, treatment-naive incident PAH patients were recruited from six centers and followed for three years. In longitudinal analyses we investigated the prognostic potential of these markers. Cross sectional analysis was later used to study associations between prognostic relevant markers and clinical phenotypes of PAH. Results: Among 108 enrolled patients (53 +/- 17 years, mean +/- SD), 76 had idiopathic (i) PAH. Kaplan-Meier survival analysis and adjusted Cox proportional hazard models identified homoarginine as an independent predictor of mortality (HR: 0.51, CI: 0.28-0.94 for PAH and HR: 0.41 CI: 0.19-0.88 for iPAH), but not L-arginine or ADMA. Homoarginine was lower in 27 patients who died during the follow-up, i.e. 1.26 +/- 0.48 vs. 1.64 +/- 0.69 mu mol/L, P &lt; 0.01. In Pearson's correlation analysis homoarginine correlated with 6-minute walking distance (r = 0.31), cardiac output (r = 0.23), right atrial pressure (r = -0.21), big ET-1 (r = -0.31), and NT-proBNP (r= -0.21; P &lt; 0.05 for all). Conclusion: Homoarginine was found an independent predictor for mortality in newly diagnosed PAH and iPAH patients. Further experimental studies are necessary to elucidate the involvement of homoarginine in the pathophysiology of PAH and its potential role as a therapeutic option for these patients. (C) 2016 Elsevier Ireland Ltd. All rights reserved.</t>
  </si>
  <si>
    <t>[Atzler, Dorothee] Univ Oxford, Dept Cardiovasc Med, Oxford OX1 2JD, England; [Atzler, Dorothee; Cordts, Kathrin; Boeger, Rainer H.; Schwedhelm, Edzard] DZHK Deutsch Zentrum fHerz Kreislauf Forsch, Partner Site Hamburg Kiel Lubeck, Kiel, Germany; [Atzler, Dorothee; Cordts, Kathrin; Boeger, Rainer H.; Schwedhelm, Edzard] Univ Med Ctr Hamburg Eppendorf, Dept Clin Pharmacol &amp; Toxicol, Hamburg, Germany; [Cracowski, Jean-Luc] Univ Hosp, Dept Clin Pharmacol, INSERM CIC1406, Grenoble, France; [Cracowski, Jean-Luc] Univ Grenoble Alpes, Inserm U1042, Grenoble, France; [Humbert, Marc] Antoine Beclere Hosp, AP HP, Pulmonol &amp; Resp Intens Care Dept, Ctr Reference Hypertens Pulm Severe, Clamart, France; [Humbert, Marc] Ctr Chirurg Marie Lannelongue, INSERM U999, Le Plessis Robinson, France; [Humbert, Marc] Univ Paris 11, Le Kremlin Bicetre, France</t>
  </si>
  <si>
    <t>University of Oxford; German Centre for Cardiovascular Research; University of Hamburg; University Medical Center Hamburg-Eppendorf; CHU Grenoble Alpes; Institut National de la Sante et de la Recherche Medicale (Inserm); Communaute Universite Grenoble Alpes; Universite Grenoble Alpes (UGA); Institut National de la Sante et de la Recherche Medicale (Inserm); Assistance Publique Hopitaux Paris (APHP); Hopital Universitaire Antoine-Beclere - APHP; Institut National de la Sante et de la Recherche Medicale (Inserm); Hopital Marie Lannelongue; Universite Paris Saclay; Universite Paris Saclay</t>
  </si>
  <si>
    <t>Atzler, D (corresponding author), Wellcome Trust Ctr Human Genet, Dept Cardiovasc Med, Roosevelt Dr, Oxford OX3 7BN, England.</t>
  </si>
  <si>
    <t>dorothee.atzler@gmail.com</t>
  </si>
  <si>
    <t>Atzler, Dorothee/ACA-4345-2022; Humbert, Marc/AAC-8459-2019; Cracowski, Jean-Luc/M-6946-2014</t>
  </si>
  <si>
    <t>Humbert, Marc/0000-0003-0703-2892; Atzler, Dorothee/0000-0002-6551-1544; Cracowski, Jean-Luc/0000-0003-0787-1469</t>
  </si>
  <si>
    <t>European Union under a Marie Curie Intra-European Fellowship for Career Development</t>
  </si>
  <si>
    <t>We gratefully thank Mariola Kastner and Anna Steenpass for their excellent technical assistance. D.A. acknowledges the support of the European Union under a Marie Curie Intra-European Fellowship for Career Development. The contributions to sample and data collection made by study physicians, technicians, interviewers, and computer assistants are gratefully acknowledged.</t>
  </si>
  <si>
    <t>ELSEVIER IRELAND LTD</t>
  </si>
  <si>
    <t>CLARE</t>
  </si>
  <si>
    <t>ELSEVIER HOUSE, BROOKVALE PLAZA, EAST PARK SHANNON, CO, CLARE, 00000, IRELAND</t>
  </si>
  <si>
    <t>0167-5273</t>
  </si>
  <si>
    <t>1874-1754</t>
  </si>
  <si>
    <t>INT J CARDIOL</t>
  </si>
  <si>
    <t>Int. J. Cardiol.</t>
  </si>
  <si>
    <t>10.1016/j.ijcard.2016.04.161</t>
  </si>
  <si>
    <t>DO5OO</t>
  </si>
  <si>
    <t>WOS:000377832700003</t>
  </si>
  <si>
    <t>Bousquet, J; Dinh-Xuan, AT; Similowski, T; Malva, J; Ankri, J; Barbagallo, M; Fabbri, L; Humbert, M; Mercier, J; Robalo-Cordeiro, C; Rodriguez-Manas, L; Vellas, B</t>
  </si>
  <si>
    <t>Bousquet, Jean; Anh Tuan Dinh-Xuan; Similowski, Thomas; Malva, Joao; Ankri, Joel; Barbagallo, Mario; Fabbri, Leonardo; Humbert, Marc; Mercier, Jacques; Robalo-Cordeiro, Carlos; Rodriguez-Manas, Leocadio; Vellas, Bruno</t>
  </si>
  <si>
    <t>Should we use gait speed in COPD, FEV1 in frailty and dyspnoea in both?</t>
  </si>
  <si>
    <t>EUROPEAN INNOVATION PARTNERSHIP; CAUSE-SPECIFIC MORTALITY; LUNG-FUNCTION; ATRIAL-FIBRILLATION; PULMONARY-FUNCTION; ELDERLY-PEOPLE; OLDER-PEOPLE; FOLLOW-UP; ALL-CAUSE; ASSOCIATION</t>
  </si>
  <si>
    <t>[Bousquet, Jean] MACVIA LR, Malad Chron VIeillissement Actif Languedoc Roussi, Languedoc Roussillon, France; [Bousquet, Jean] European Innovat Partnership Act &amp; Hlthy Ageing R, Montpellier, France; [Bousquet, Jean] INSERM, VIMA, Ageing &amp; Chron Dis Epidemiol &amp; Publ Hlth Approach, U1168, Paris, France; [Bousquet, Jean] Univ Versailles St Quentin En Yvelines, UVSQ, UMR S 1168, Versailles, France; [Anh Tuan Dinh-Xuan] Univ Paris 05, Hop Cochin, AP HP, Serv Physiol Resp, Paris, France; [Similowski, Thomas] Univ Paris 06, Sorbonne Univ, INSERM, UMR S Neurophysiol Resp Expt &amp; Clin 1158, Paris, France; [Malva, Joao] Univ Coimbra, Fac Med, Inst Biomed Imaging &amp; Life Sci IBILI, Coimbra, Portugal; [Ankri, Joel] Univ Versailles St Quentin, Gerontol Ctr, Site St Perine, Paris, France; [Barbagallo, Mario] Univ Palermo, Dept Internal Med DIBIMIS, Palermo, Italy; [Fabbri, Leonardo] Univ Modena &amp; Reggio Emilia, St Agostino Estense Hosp, Dept Metab Med, Modena, Italy; [Humbert, Marc] Univ Paris 11, Hop Bicetre, Serv Pneumol, Le Kremlin Bicetre, France; [Mercier, Jacques] Univ Montpellier, CHRU, Dept Physiol, INSERM U1046,CNRS UMR 9214, Montpellier, France; [Robalo-Cordeiro, Carlos] Coimbra Univ Hosp, Ctr Pneumol, Coimbra, Portugal; [Rodriguez-Manas, Leocadio] Getafe Univ Hosp, Dept Geriatr, Madrid, Spain; [Vellas, Bruno] Gerontopole Toulouse, Toulouse, France</t>
  </si>
  <si>
    <t>Institut National de la Sante et de la Recherche Medicale (Inserm); Universite Paris Saclay; Universite Paris Saclay; Universite Paris Cite; Assistance Publique Hopitaux Paris (APHP); Hopital Universitaire Cochin - APHP; Institut National de la Sante et de la Recherche Medicale (Inserm); Sorbonne Universite; Universidade de Coimbra; Universite Paris Saclay; University of Palermo; Universita di Modena e Reggio Emilia; Assistance Publique Hopitaux Paris (APHP); Hopital Universitaire Bicetre - APHP; Universite Paris Saclay; Hopital Universitaire Antoine-Beclere - APHP; Institut National de la Sante et de la Recherche Medicale (Inserm); Centre National de la Recherche Scientifique (CNRS); CNRS - National Institute for Biology (INSB); Universite de Montpellier; CHU de Montpellier; Universidade de Coimbra; Centro Hospitalar e Universitario de Coimbra (CHUC); Hospital Universitario de Getafe; CHU de Toulouse</t>
  </si>
  <si>
    <t>Bousquet, J (corresponding author), CHRU Arnaud Villeneuve, Dept Pneumol, 371 Ave Doyen Gaston Giraud, F-34295 Montpellier 5, France.</t>
  </si>
  <si>
    <t>Similowski, Thomas/GQQ-9468-2022; Rodriguez-Manas, Leocadio/AFL-1127-2022; BARBAGALLO, MARIO/K-4794-2017; Bousquet, Jean/O-4221-2019; Dinh-Xuan, Anh Tuan/A-9691-2008; Humbert, Marc/AAC-8459-2019; Malva, Joao/L-3557-2014; Robalo Cordeiro, Carlos Manuel da Silva/I-4864-2012; Fabbri, Leonardo/I-4055-2012</t>
  </si>
  <si>
    <t>Dinh-Xuan, Anh Tuan/0000-0001-8651-5176; Humbert, Marc/0000-0003-0703-2892; Malva, Joao/0000-0002-5438-4447; Robalo Cordeiro, Carlos Manuel da Silva/0000-0002-8264-3856; Fabbri, Leonardo/0000-0001-8894-1689; Ankri, Joel/0000-0002-0070-6471; Rodriguez-Manas, Leocadio/0000-0002-6551-1333</t>
  </si>
  <si>
    <t>10.1183/13993003.00633-2016</t>
  </si>
  <si>
    <t>DZ6FQ</t>
  </si>
  <si>
    <t>WOS:000385957400009</t>
  </si>
  <si>
    <t>Sanges, S; Launay, D; Rhee, RL; Sitbon, O; Hachulla, É; Mouthon, L; Guillevin, L; Rottat, L; Montani, D; De Groote, P; Cottin, V; Magro, P; Prévot, G; Bauer, F; Bergot, E; Chabanne, C; Reynaud-Gaubert, M; Leroy, S; Canuet, M; Sanchez, O; Gut-Gobert, C; Dauphin, C; Pison, C; Boissin, C; Habib, G; Clerson, P; Conesa, F; Cordier, JF; Kawut, SM; Simonneau, G; Humbert, M</t>
  </si>
  <si>
    <t>Sanges, Sebastien; Launay, David; Rhee, Rennie L.; Sitbon, Olivier; Hachulla, Eric; Mouthon, Luc; Guillevin, Loic; Rottat, Laurence; Montani, David; De Groote, Pascal; Cottin, Vincent; Magro, Pascal; Prevot, Gregoire; Bauer, Fabrice; Bergot, Emmanuel; Chabanne, Celine; Reynaud-Gaubert, Martine; Leroy, Sylvie; Canuet, Matthieu; Sanchez, Olivier; Gut-Gobert, Christophe; Dauphin, Claire; Pison, Christophe; Boissin, Clement; Habib, Gilbert; Clerson, Pierre; Conesa, Francois; Cordier, Jean-Francois; Kawut, Steven M.; Simonneau, Gerald; Humbert, Marc</t>
  </si>
  <si>
    <t>A prospective study of the 6 min walk test as a surrogate marker for haemodynamics in two independent cohorts of treatment-naive systemic sclerosis-associated pulmonary arterial hypertension</t>
  </si>
  <si>
    <t>INTERSTITIAL LUNG-DISEASE; MODERN MANAGEMENT ERA; 6-MINUTE WALK; INTRAVENOUS EPOPROSTENOL; PROSTACYCLIN ANALOG; RESPIRATORY-DISEASE; PROGNOSTIC-FACTORS; INHALED ILOPROST; CONTROLLED-TRIAL; DOUBLE-BLIND</t>
  </si>
  <si>
    <t>Objectives Despite the wide use of the 6 min walk distance (6MWD), no study has ever assessed its validity as a surrogate marker for haemodynamics and predictor of outcome in isolated pulmonary arterial hypertension associated with systemic sclerosis (SSc-PAH). We designed this work to address this issue. Methods Treatment-naive patients with SSc-PAH were prospectively included from two sources: the French PAH Network (a prospective epidemiological cohort) (n=83) and randomised clinical trials submitted for drug approval (Food and Drug Administration) (n=332). Correlations between absolute values of the 6MWD and haemodynamics at baseline, as well as between variations of 6MWD and haemodynamics during follow-up, were studied in both populations. Results In the French cohort, baseline cardiac output (CO) (R-2=0.19, p=0.001) and New York Heart Association class (R-2=0.10, p&lt;0.001) were significantly and independently correlated with baseline 6MWD in multivariate analysis. A significant, independent, but weaker, correlation with CO was also found in the Food and Drug Administration sample (R-2=0.04, p&lt;0.001). During follow-up, there was no association between the changes in 6MWD and haemodynamic parameters in patients under PAH-specific treatments. Conclusions In SSc-PAH, CO independently correlates with 6MWD at baseline, but accounts for a small amount of the variance of 6MWD in both study samples. This suggests that other non-haemodynamic factors could have an impact on the walk distance. Moreover, variations of 6MWD do not reflect changes in haemodynamics among treated patients. Our results suggest that 6MWD is not an accurate surrogate marker for haemodynamic severity, nor an appropriate outcome measure to assess changes in haemodynamics during follow-up in treated SSc-PAH.</t>
  </si>
  <si>
    <t>[Sanges, Sebastien; Launay, David; Hachulla, Eric; De Groote, Pascal] Univ Lille, UFR Med, Lille, France; [Sanges, Sebastien; Launay, David; Hachulla, Eric] CHRU Lille, Dept Med Interne, Pole Specialites Med &amp; Gerontol, Lille, France; [Sanges, Sebastien; Launay, David; Hachulla, Eric] CHRU Lille, Immunol Clin, Pole Specialites Med &amp; Gerontol, Lille, France; [Sanges, Sebastien; Launay, David; Hachulla, Eric] Ctr Natl Reference Malad Syst &amp; Autoimmunes Rares, Lille, France; [Sanges, Sebastien; Launay, David; Hachulla, Eric] INSERM, LIRIC, EA2686, UMR 995, Lille, France; [Rhee, Rennie L.; Kawut, Steven M.] Univ Penn, Dept Med, Perelman Sch Med, Philadelphia, PA 19104 USA; [Sitbon, Olivier; Rottat, Laurence; Montani, David; Simonneau, Gerald; Humbert, Marc] Univ Paris 11, Fac Med, Le Kremlin Bicetre, France; [Sitbon, Olivier; Rottat, Laurence; Montani, David; Simonneau, Gerald; Humbert, Marc] Hop Bicetre, AP HP, Serv Pneumol, DHU Thorax Innovat, Le Kremlin Bicetre, France; [Sitbon, Olivier; Rottat, Laurence; Montani, David; Simonneau, Gerald; Humbert, Marc] INSERM, Ctr Chirurg Marie Lannelongue, LabEx LERMIT, U999, Le Plessis Robinson, France; [Mouthon, Luc; Guillevin, Loic] Univ Paris 05, Hop Cochin, Serv Med Interne, Ctr Reference Vasc Necrosantes &amp; Sclerodermie Sys, Paris, France; [De Groote, Pascal; Cordier, Jean-Francois] CHRU Lille, Pole Cardiovasc &amp; Pulm, Clin Cardiol, Lille, France; [Cottin, Vincent] Hosp Civils Lyon, Ctr Competence Hypertens Pulm, Ctr Reference Malad Pulm Rares, Serv Pneumol, Lyon, France; [Magro, Pascal] Ctr Hosp Reg Univ, Serv Pneumol, Tours, France; [Prevot, Gregoire] Ctr Hosp Univ, Pole Voies Resp, Hop Larrey, Toulouse, France; [Bauer, Fabrice] Ctr Hosp Univ, Serv Cardiol, Hop Charles Nicolle, Rouen, France; [Bergot, Emmanuel] Ctr Hosp Univ Cote de Nacre, Serv Pneumol, Caen, France; [Chabanne, Celine] Univ Rennes 1, Ctr Hosp Univ Pontchaillou, Serv Chirurg Thorac &amp; Cardiovasc, Rennes, France; [Reynaud-Gaubert, Martine] Univ Aix Marseille 2, APHM, Ctr Hosp Univ Nord, Serv Pneumol, Marseille, France; [Leroy, Sylvie] Univ Nice Sophia Antipolis, Ctr Hosp Univ, Hop Pasteur, Serv Pneumol, Nice, France; [Canuet, Matthieu] Ctr Hosp Univ, Nouvel Hop Civil, Serv Pneumol, Strasbourg, France; [Sanchez, Olivier] Univ Paris 05, Hop Europeen Georges Pompidou, AP HP, Serv Pneumol &amp; Soins Intensifs,INSERM,UMR S 1140, Paris, France; [Gut-Gobert, Christophe] Ctr Hosp Univ Cavale Blanche, Serv Med Interne &amp; Pneumol, Brest, France; [Dauphin, Claire] Ctr Hosp Univ, Hop Gabriel Montpied, Serv Cardiol &amp; Malad Vasc, Clermont Ferrand, France; [Pison, Christophe] Ctr Hosp Univ, Clin Univ Pneumol, Grenoble, France; [Pison, Christophe] Univ Grenoble 1, Grenoble, France; [Boissin, Clement] Ctr Hosp Univ, Hop Arnaud de Villeneuve, Serv Malad Resp, Montpellier, France; [Habib, Gilbert] Ctr Hosp Univ, Hop Timone, Serv Cardiol, Marseille, France; [Clerson, Pierre; Conesa, Francois] Soladis Clin Studies, Biostat, Roubaix, France</t>
  </si>
  <si>
    <t>Universite de Lille; Universite de Lille; CHU Lille; Universite de Lille; CHU Lille; Universite de Lille; Institut National de la Sante et de la Recherche Medicale (Inserm); University of Pennsylvania; Universite Paris Saclay; Universite Paris Saclay; Assistance Publique Hopitaux Paris (APHP); Hopital Universitaire Bicetre - APHP; Hopital Universitaire Antoine-Beclere - APHP; Universite Paris Saclay; Institut National de la Sante et de la Recherche Medicale (Inserm); Hopital Marie Lannelongue; Assistance Publique Hopitaux Paris (APHP); Universite Paris Cite; Hopital Universitaire Cochin - APHP; Universite de Lille; CHU Lille; CHU Lyon; CHU Tours; CHU de Toulouse; Universite de Toulouse; Universite Toulouse III - Paul Sabatier; CHU de Toulouse; Universite de Rouen Normandie; CHU de Rouen; Universite de Caen Normandie; CHU de Caen NORMANDIE; CHU Rennes; Universite de Rennes; Aix-Marseille Universite; Assistance Publique-Hopitaux de Marseille; Universite Cote d'Azur; CHU de Toulouse; CHU Nice; CHU de Toulouse; CHU Strasbourg; Universite Paris Cite; Assistance Publique Hopitaux Paris (APHP); Hopital Universitaire Europeen Georges-Pompidou - APHP; Institut National de la Sante et de la Recherche Medicale (Inserm); CHU Brest; CHU de Toulouse; CHU Clermont Ferrand; CHU de Toulouse; Communaute Universite Grenoble Alpes; Universite Grenoble Alpes (UGA); CHU Grenoble Alpes; Communaute Universite Grenoble Alpes; Universite Grenoble Alpes (UGA); Universite de Montpellier; CHU de Montpellier; CHU de Toulouse; CHU de Toulouse; Aix-Marseille Universite; Assistance Publique-Hopitaux de Marseille</t>
  </si>
  <si>
    <t>Launay, D (corresponding author), CHRU Lille, Hop Claude Huriez, Serv Med Interne, Rue Michel Polonovski, F-59037 Lille, France.</t>
  </si>
  <si>
    <t>BAUER, Fabrice/HMP-7663-2023; Sitbon, Olivier/I-3623-2019; David, Montani/I-6885-2019; Launay, David/A-5270-2018; meroni, pier/K-8473-2016; Simonneau, Gerald/ABE-6614-2020; DE GROOTE, Pascal/LLL-9444-2024; Bergot, Emmanuel/KHZ-1685-2024; HACHULLA, ERIC/R-8488-2018; Sanges, Sebastien/M-4605-2018; Humbert, Marc/AAC-8459-2019; Launay, David/H-1674-2016; LEROY, Sylvie/A-6903-2017</t>
  </si>
  <si>
    <t>Sanges, Sebastien/0000-0003-0280-411X; Humbert, Marc/0000-0003-0703-2892; HACHULLA, ERIC/0000-0001-7432-847X; SITBON, Olivier/0000-0002-1942-1951; de Groote, Pascal/0000-0002-6211-0147; Launay, David/0000-0003-1840-1817; Montani, David/0000-0002-9358-6922; SANCHEZ, Olivier/0000-0003-1633-8391; Gut Gobert, christophe/0000-0002-2253-7568; LEROY, Sylvie/0000-0002-3465-8180</t>
  </si>
  <si>
    <t>NIH [K24 HL103844]</t>
  </si>
  <si>
    <t>SMK is supported by NIH K24 HL103844.</t>
  </si>
  <si>
    <t>10.1136/annrheumdis-2015-207336</t>
  </si>
  <si>
    <t>DR2NL</t>
  </si>
  <si>
    <t>WOS:000379741100017</t>
  </si>
  <si>
    <t>Bousquet, J; Farrell, J; Crooks, G; Hellings, P; Bel, EH; Bewick, M; Chavannes, NH; de Sousa, JC; Cruz, AA; Haahtela, T; Joos, G; Khaltaev, N; Malva, J; Muraro, A; Nogues, M; Palkonen, S; Pedersen, S; Robalo-Cordeiro, C; Samolinski, B; Strandberg, T; Valiulis, A; Yorgancioglu, A; Zuberbier, T; Bedbrook, A; Aberer, W; Adachi, M; Agusti, A; Akdis, CA; Akdis, M; Ankri, J; Alonso, A; Annesi-Maesano, I; Ansotegui, IJ; Anto, JM; Arnavielhe, S; Arshad, H; Bai, C; Baiardini, I; Bachert, C; Baigenzhin, AK; Barbara, C; Bateman, ED; Beghé, B; Ben Kheder, A; Bennoor, KS; Benson, M; Bergmann, KC; Bieber, T; Bindslev-Jensen, C; Bjermer, L; Blain, H; Blasi, F; Boner, AL; Bonini, M; Bonini, S; Bosnic-Anticevitch, S; Boulet, LP; Bourret, R; Bousquet, PJ; Braido, F; Briggs, AH; Brightling, CE; Brozek, J; Buhl, R; Burney, PG; Bush, A; Caballero-Fonseca, F; Caimmi, D; Calderon, MA; Calverley, PM; Camargos, PAM; Canonica, GW; Camuzat, T; Carlsen, KH; Carr, W; Carriazo, A; Casale, T; Sarabia, AMC; Chatzi, L; Chen, YZ; Chiron, R; Chkhartishvili, E; Chuchalin, AG; Chung, KF; Ciprandi, G; Cirule, I; Cox, L; Costa, DJ; Custovic, A; Dahl, R; Dahlen, SE; Darsow, U; De Carlo, G; De Blay, F; Dedeu, T; Deleanu, D; Keenoy, ED; Demoly, P; Denburg, JA; Devillier, P; Didier, A; Dinh-Xuan, AT; Djukanovic, R; Dokic, D; Douagui, H; Dray, G; Dubakiene, R; Durham, SR; Dykewicz, MS; El-Gamal, Y; Emuzyte, R; Fabbri, LM; Fletcher, M; Fiocchi, A; Wagner, AF; Fonseca, J; Fokkens, WJ; Forastiere, F; Frith, P; Gaga, M; Gamkrelidze, A; Garces, J; Garcia-Aymerich, J; Gemicioglu, B; Gereda, JE; Diaz, SG; Gotua, M; Grisle, I; Grouse, L; Gutter, Z; Guzmán, MA; Heaney, LG; Hellquist-Dahl, B; Henderson, D; Hendry, A; Heinrich, J; Heve, D; Horak, F; Hourihane, JOB; Howarth, P; Humbert, M; Hyland, ME; Illario, M; Ivancevich, JC; Jardim, JR; Jares, EJ; Jeandel, C; Jenkins, C; Johnston, SL; Jonquet, O; Julge, K; Jung, KS; Just, J; Kaidashev, I; Kaitov, MR; Kalayci, O; Kalyoncu, AF; Keil, T; Keith, PK; Klimek, L; N'Goran, BK; Kolek, V; Koppelman, GH; Kowalski, ML; Kull, I; Kuna, P; Kvedariene, V; Lambrecht, B; Lau, S; Larenas-Linnemann, D; Laune, D; Le, LTT; Lieberman, P; Lipworth, B; Li, J; Carlsen, KL; Louis, R; MacNee, W; Magard, Y; Magnan, A; Mahboub, B; Mair, A; Majer, I; Makela, MJ; Manning, P; Mara, S; Marshall, GD; Masjedi, MR; Matignon, P; Maurer, M; Mavale-Manuel, S; Melén, E; Melo-Gomes, E; Meltzer, EO; Menzies-Gow, A; Merk, H; Michel, JP; Miculinic, N; Mihaltan, F; Milenkovic, B; Mohammad, GMY; Molimard, M; Momas, I; Montilla-Santana, A; Morais-Almeida, M; Morgan, M; Mösges, R; Mullol, J; Nafti, S; Namazova-Baranova, L; Naclerio, R; Neou, A; Neffen, H; Nekam, K; Niggemann, B; Ninot, G; Nyembue, TD; O'Hehir, RE; Ohta, K; Okamoto, Y; Okubo, K; Ouedraogo, S; Paggiaro, P; Pali-Schöll, I; Panzner, P; Papadopoulos, N; Papi, A; Park, HS; Passalacqua, G; Pavord, I; Pawankar, R; Pengelly, R; Pfaar, O; Picard, R; Pigearias, B; Pin, I; Plavec, D; Poethig, D; Pohl, W; Popov, TA; Portejoie, F; Potter, P; Postma, D; Price, D; Rabe, KF; Raciborski, F; Pontal, FR; Repka-Ramirez, S; Reitamo, S; Rennard, S; Rodenas, F; Roberts, J; Roca, J; Mañas, LR; Rolland, C; Rodriguez, MR; Romano, A; Rosado-Pinto, J; Rosario, N; Rosenwasser, L; Rottem, M; Ryan, D; Sanchez-Borges, M; Scadding, GK; Schunemann, HJ; Serrano, E; Schmid-Grendelmeier, P; Schulz, H; Sheikh, A; Shields, M; Siafakas, N; Sibille, Y; Similowski, T; Simons, FER; Sisul, JC; Skrindo, I; Smit, HA; Solé, D; Sooronbaev, T; Spranger, O; Stelmach, R; Sterk, PJ; Sunyer, J; Thijs, C; To, T; Todo-Bom, A; Triggiani, M; Valenta, R; Valero, AL; Valia, E; Valovirta, E; Van Ganse, E; van Hage, M; Vandenplas, O; Vasankari, T; Vellas, B; Vestbo, J; Vezzani, G; Vichyanond, P; Viegi, G; Vogelmeier, C; Vontetsianos, T; Wagenmann, M; Wallaert, B; Walker, S; Wang, DY; Wahn, U; Wickman, M; Williams, DM; Williams, S; Wright, J; Yawn, BP; Yiallouros, PK; Yusuf, OM; Zaidi, A; Zar, HJ; Zernotti, ME; Zhang, L; Zhong, N; Zidarn, M; Mercier, J</t>
  </si>
  <si>
    <t>Bousquet, J.; Farrell, J.; Crooks, G.; Hellings, P.; Bel, E. H.; Bewick, M.; Chavannes, N. H.; de Sousa, J. Correia; Cruz, A. A.; Haahtela, T.; Joos, G.; Khaltaev, N.; Malva, J.; Muraro, A.; Nogues, M.; Palkonen, S.; Pedersen, S.; Robalo-Cordeiro, C.; Samolinski, B.; Strandberg, T.; Valiulis, A.; Yorgancioglu, A.; Zuberbier, T.; Bedbrook, A.; Aberer, W.; Adachi, M.; Agusti, A.; Akdis, C. A.; Akdis, M.; Ankri, J.; Alonso, A.; Annesi-Maesano, I.; Ansotegui, I. J.; Anto, J. M.; Arnavielhe, S.; Arshad, H.; Bai, C.; Baiardini, I.; Bachert, C.; Baigenzhin, A. K.; Barbara, C.; Bateman, E. D.; Beghe, B.; Ben Kheder, A.; Bennoor, K. S.; Benson, M.; Bergmann, K. C.; Bieber, T.; Bindslev-Jensen, C.; Bjermer, L.; Blain, H.; Blasi, F.; Boner, A. L.; Bonini, M.; Bonini, S.; Bosnic-Anticevitch, S.; Boulet, L. P.; Bourret, R.; Bousquet, P. J.; Braido, F.; Briggs, A. H.; Brightling, C. E.; Brozek, J.; Buhl, R.; Burney, P. G.; Bush, A.; Caballero-Fonseca, F.; Caimmi, D.; Calderon, M. A.; Calverley, P. M.; Camargos, P. A. M.; Canonica, G. W.; Camuzat, T.; Carlsen, K. H.; Carr, W.; Carriazo, A.; Casale, T.; Sarabia, A. M. Cepeda; Chatzi, L.; Chen, Y. Z.; Chiron, R.; Chkhartishvili, E.; Chuchalin, A. G.; Chung, K. F.; Ciprandi, G.; Cirule, I.; Cox, L.; Costa, D. J.; Custovic, A.; Dahl, R.; Dahlen, S. E.; Darsow, U.; De Carlo, G.; De Blay, F.; Dedeu, T.; Deleanu, D.; Keenoy, E. De Manuel; Demoly, P.; Denburg, J. A.; Devillier, P.; Didier, A.; Dinh-Xuan, A. T.; Djukanovic, R.; Dokic, D.; Douagui, H.; Dray, G.; Dubakiene, R.; Durham, S. R.; Dykewicz, M. S.; El-Gamal, Y.; Emuzyte, R.; Fabbri, L. M.; Fletcher, M.; Fiocchi, A.; Wagner, A. Fink; Fonseca, J.; Fokkens, W. J.; Forastiere, F.; Frith, P.; Gaga, M.; Gamkrelidze, A.; Garces, J.; Garcia-Aymerich, J.; Gemicioglu, B.; Gereda, J. E.; Diaz, S. Gonzalez; Gotua, M.; Grisle, I.; Grouse, L.; Gutter, Z.; Guzman, M. A.; Heaney, L. G.; Hellquist-Dahl, B.; Henderson, D.; Hendry, A.; Heinrich, J.; Heve, D.; Horak, F.; Hourihane, J. O'. B.; Howarth, P.; Humbert, M.; Hyland, M. E.; Illario, M.; Ivancevich, J. C.; Jardim, J. R.; Jares, E. J.; Jeandel, C.; Jenkins, C.; Johnston, S. L.; Jonquet, O.; Julge, K.; Jung, K. S.; Just, J.; Kaidashev, I.; Kaitov, M. R.; Kalayci, O.; Kalyoncu, A. F.; Keil, T.; Keith, P. K.; Klimek, L.; N'Goran, B. Koffi; Kolek, V.; Koppelman, G. H.; Kowalski, M. L.; Kull, I.; Kuna, P.; Kvedariene, V.; Lambrecht, B.; Lau, S.; Larenas-Linnemann, D.; Laune, D.; Le, L. T. T.; Lieberman, P.; Lipworth, B.; Li, J.; Carlsen, K. Lodrup; Louis, R.; MacNee, W.; Magard, Y.; Magnan, A.; Mahboub, B.; Mair, A.; Majer, I.; Makela, M. J.; Manning, P.; Mara, S.; Marshall, G. D.; Masjedi, M. R.; Matignon, P.; Maurer, M.; Mavale-Manuel, S.; Melen, E.; Melo-Gomes, E.; Meltzer, E. O.; Menzies-Gow, A.; Merk, H.; Michel, J. P.; Miculinic, N.; Mihaltan, F.; Milenkovic, B.; Mohammad, G. M. Y.; Molimard, M.; Momas, I.; Montilla-Santana, A.; Morais-Almeida, M.; Morgan, M.; Mosges, R.; Mullol, J.; Nafti, S.; Namazova-Baranova, L.; Naclerio, R.; Neou, A.; Neffen, H.; Nekam, K.; Niggemann, B.; Ninot, G.; Nyembue, T. D.; O'Hehir, R. E.; Ohta, K.; Okamoto, Y.; Okubo, K.; Ouedraogo, S.; Paggiaro, P.; Pali-Scholl, I.; Panzner, P.; Papadopoulos, N.; Papi, A.; Park, H. S.; Passalacqua, G.; Pavord, I.; Pawankar, R.; Pengelly, R.; Pfaar, O.; Picard, R.; Pigearias, B.; Pin, I.; Plavec, D.; Poethig, D.; Pohl, W.; Popov, T. A.; Portejoie, F.; Potter, P.; Postma, D.; Price, D.; Rabe, K. F.; Raciborski, F.; Pontal, F. Radier; Repka-Ramirez, S.; Reitamo, S.; Rennard, S.; Rodenas, F.; Roberts, J.; Roca, J.; Manas, L. Rodriguez; Rolland, C.; Rodriguez, M. Roman; Romano, A.; Rosado-Pinto, J.; Rosario, N.; Rosenwasser, L.; Rottem, M.; Ryan, D.; Sanchez-Borges, M.; Scadding, G. K.; Schunemann, H. J.; Serrano, E.; Schmid-Grendelmeier, P.; Schulz, H.; Sheikh, A.; Shields, M.; Siafakas, N.; Sibille, Y.; Similowski, T.; Simons, F. E. R.; Sisul, J. C.; Skrindo, I.; Smit, H. A.; Sole, D.; Sooronbaev, T.; Spranger, O.; Stelmach, R.; Sterk, P. J.; Sunyer, J.; Thijs, C.; To, T.; Todo-Bom, A.; Triggiani, M.; Valenta, R.; Valero, A. L.; Valia, E.; Valovirta, E.; Van Ganse, E.; van Hage, M.; Vandenplas, O.; Vasankari, T.; Vellas, B.; Vestbo, J.; Vezzani, G.; Vichyanond, P.; Viegi, G.; Vogelmeier, C.; Vontetsianos, T.; Wagenmann, M.; Wallaert, B.; Walker, S.; Wang, D. Y.; Wahn, U.; Wickman, M.; Williams, D. M.; Williams, S.; Wright, J.; Yawn, B. P.; Yiallouros, P. K.; Yusuf, O. M.; Zaidi, A.; Zar, H. J.; Zernotti, M. E.; Zhang, L.; Zhong, N.; Zidarn, M.; Mercier, J.</t>
  </si>
  <si>
    <t>Scaling up strategies of the chronic respiratory disease programme of the European Innovation Partnership on Active and Healthy Ageing (Action Plan B3: Area 5)</t>
  </si>
  <si>
    <t>EIP on AHA; European Innovation Partnership on Active and Healthy Ageing; Chronic respiratory diseases; AIRWAYS ICPs; MACVIA; ARIA; Scaling up</t>
  </si>
  <si>
    <t>UPDATE ARIA 2008; ALLERGIC RHINITIS; GLOBAL ALLIANCE; OPERATIONAL DEFINITION; ASTHMA PROGRAM; REFERENCE SITE; GINA STRATEGY; MACVIA-LR; IMPACT; AHA</t>
  </si>
  <si>
    <t>Action Plan B3 of the European Innovation Partnership on Active and Healthy Ageing (EIP on AHA) focuses on the integrated care of chronic diseases. Area 5 (Care Pathways) was initiated using chronic respiratory diseases as a model. The chronic respiratory disease action plan includes (1) AIRWAYS integrated care pathways (ICPs), (2) the joint initiative between the Reference site MACVIA-LR (Contre les MAladies Chroniques pour un Vleillissement Actif) and ARIA (Allergic Rhinitis and its Impact on Asthma), (3) Commitments for Action to the European Innovation Partnership on Active and Healthy Ageing and the AIRWAYS ICPs network. It is deployed in collaboration with the World Health Organization Global Alliance against Chronic Respiratory Diseases (GARD). The European Innovation Partnership on Active and Healthy Ageing has proposed a 5-step framework for developing an individual scaling up strategy: (1) what to scale up: (1-a) databases of good practices, (1-b) assessment of viability of the scaling up of good practices, (1-c) classification of good practices for local replication and (2) how to scale up: (2-a) facilitating partnerships for scaling up, (2-b) implementation of key success factors and lessons learnt, including emerging technologies for individualised and predictive medicine. This strategy has already been applied to the chronic respiratory disease action plan of the European Innovation Partnership on Active and Healthy Ageing.</t>
  </si>
  <si>
    <t>[Bousquet, J.] CHRU, Univ Hosp, 371 Ave Doyen Gaston Giraud, F-34295 Montpellier 5, France; [Bousquet, J.; Bedbrook, A.; Costa, D. J.; Heve, D.; Jeandel, C.; Portejoie, F.] MACVIA LR, Malad Chron VIeillissement Actif Languedoc Roussi, European Innovat Partnership Active &amp; Healthy Age, Montpellier, France; [Bousquet, J.; Ankri, J.] INSERM, VIMA Ageing &amp; Chron Dis, Epidemiol &amp; Publ Hlth Approaches, U1168, Paris, France; [Bousquet, J.; Ankri, J.] Univ Versailles St Quentin En Yvelines, UVSQ, UMR S 1168, Paris, France; [Farrell, J.] Dept Hlth Social Serv &amp; Publ Safety, Belfast, Antrim, North Ireland; [Crooks, G.; Henderson, D.] Scottish Ctr Telehealth &amp; Telecare, Reference Site, European Innovat Partnership Act &amp; Hlth Ageing, EIP AHA, Glasgow NHS 24, Lanark, Scotland; [Hellings, P.] Katholieke Univ Leuven, Dept Microbiol &amp; Immunol, Clin Immunol Lab, Louvain, Belgium; [Hellings, P.; Muraro, A.] European Acad Allergy &amp; Clin Immunol, Zurich, Switzerland; [Bel, E. H.] Univ Amsterdam, Acad Med Ctr, Dept Resp Med, Amsterdam, Netherlands; [Bel, E. H.] European Resp Soc, Lausanne, Switzerland; [Bewick, M.] iQ4U Consultants Ltd, London, England; [Chavannes, N. H.; Costa, D. J.] Leiden Univ, Med Ctr, Dept Publ Hlth &amp; Primary Care, Leiden, Netherlands; [Chavannes, N. H.; Cruz, A. A.; Khaltaev, N.; Yorgancioglu, A.] Global Alliance Chron Resp Dis GARD, Cape Town, South Africa; [Chavannes, N. H.; Williams, S.] Int Primary Care Resp Grp, Westhill, Aberdeen, Scotland; [de Sousa, J. Correia] Univ Minho, Sch Hlth Sci, ICVS, Life &amp; Hlth Sci Res Inst, Braga, Portugal; [Cruz, A. A.] Univ Fed Bahia, ProAR Nucleo Excelencia Asma, Salvador, BA, Brazil; [Cruz, A. A.; Chuchalin, A. G.] GARD Execut Comm, Salvador, BA, Brazil; [Haahtela, T.; Yorgancioglu, A.] EIP AHA Commitment Act, Lisbon, Portugal; [Haahtela, T.; Makela, M. J.; Reitamo, S.] Helsinki Univ Hosp, Skin &amp; Allergy Hosp, Helsinki, Finland; [Joos, G.] Ghent Univ Hosp, Dept Resp Med, Ghent, Belgium; [Malva, J.] Univ Coimbra, Fac Med, Coimbra, Portugal; [Malva, J.] Ageing Coimbra Reference Site, Coimbra, Portugal; [Muraro, A.] Padua Gen Univ Hosp, Dept Women &amp; Child Hlth, Food Allergy Referral Ctr Veneto Reg, Padua, Italy; [Nogues, M.] CARSAT LR, F-34000 Montpellier, France; [Palkonen, S.; De Carlo, G.] EFA European Federat Allergy &amp; Airways Dis Patien, Brussels, Belgium; [Pedersen, S.] Univ Southern Denmark, Kolding, Denmark; [Robalo-Cordeiro, C.] Coimbra Univ Hosp, Ctr Pneumol, Coimbra, Portugal; [Samolinski, B.; Raciborski, F.] Med Univ Warsaw, Dept Prevent Environm Hazards &amp; Allergol, Warsaw, Poland; [Strandberg, T.] Univ Helsinki, Helsinki Univ Hosp, Helsinki, Finland; [Strandberg, T.] Univ Oulu, Ctr Life Course Hlth Res, Oulu, Finland; [Strandberg, T.; Michel, J. P.] EUGMS, Oslo, Norway; [Valiulis, A.] Vilnius Univ, Inst Publ Hlth, Vilnius Univ Clin Childrens Dis, Ctr Qual Life Res, Vilnius, Lithuania; [Valiulis, A.; Annesi-Maesano, I.] European Assoc Pediat EAP UEMS SP, Brussels, Belgium; [Yorgancioglu, A.] Celal Bayar Univ, Dept Pulmonol, Manisa, Turkey; [Yorgancioglu, A.] Turkish Thorac Soc, Antalya, Turkey; [Zuberbier, T.; Bergmann, K. C.; Neou, A.] Charite, Dept Dermatol, Allergy Ctr Charite, Berlin, Germany; [Zuberbier, T.; Bergmann, K. C.; Neou, A.] GA2LEN, Berlin, Germany; [Aberer, W.] Med Univ Graz, Dept Dermatol, Graz, Austria; [Adachi, M.] Sanno Hosp, Int Univ Hlth &amp; Welf, Dept Clin Res Ctr, Tokyo, Japan; [Agusti, A.; Alonso, A.; Roca, J.] Univ Barcelona, Hosp Clin, Thorax Inst, IDIBAPS, Barcelona, Spain; [Agusti, A.; Alonso, A.] CIBER Enfermedades Resp, Barcelona, Spain; [Akdis, C. A.; Akdis, M.] Univ Zurich, Swiss Inst Allergy &amp; Asthma Res SIAF, Davos, Switzerland; [Annesi-Maesano, I.; Bousquet, P. J.; Demoly, P.] INSERM, EPAR, U707, Paris, France; [Ansotegui, I. J.] Hosp Quiron Bizkaia, Dept Allergy &amp; Immunol, Erandio, Spain; [Anto, J. M.; Garcia-Aymerich, J.; Sunyer, J.] Ctr Res Environm Epidemiol CREAL, Barcelona, Spain; [Anto, J. M.; Garcia-Aymerich, J.] Hosp del Mar, Res Inst IMIM, Barcelona, Spain; [Anto, J. M.; Garcia-Aymerich, J.; Sunyer, J.] CIBERESP, Barcelona, Spain; [Anto, J. M.; Garcia-Aymerich, J.; Sunyer, J.] UPF, Dept Expt &amp; Hlth Sci, Barcelona, Spain; [Arnavielhe, S.; Laune, D.] Digi Hlth, Montpellier, France; [Arshad, H.] David Hide Asthma &amp; Allergy Res Ctr, Newport, Wight, England; [Bai, C.] Chinese Med Assoc, Resp Soc, Shanghai Resp Res Inst, Shanghai, Peoples R China; [Bai, C.] Chinese Alliance Lung Canc, Shanghai, Peoples R China; [Baiardini, I.; Braido, F.; Canonica, G. W.; Passalacqua, G.] Univ Genoa, IRCCS AOU San Martino IST, DIMI, Allergy &amp; Resp Dis Clin, Genoa, Italy; [Bachert, C.] Ghent Univ Hosp, ENT Dept, Upper Airways Res Lab, Ghent, Belgium; [Baigenzhin, A. K.] EuroAsian Resp Soc, Astana City, Kazakhstan; [Barbara, C.] Fac Med Lisbon, Portuguese Natl Programme Resp Dis PNDR, Lisbon, Portugal; [Bateman, E. D.] Univ Cape Town, Dept Med, Cape Town, South Africa; [Beghe, B.] Univ Modena &amp; Reggio Emilia, Dept Oncol Haematol &amp; Resp Dis, Sect Resp Dis, Modena, Italy; [Ben Kheder, A.] Hop Abderrahman Mami, Serv Pneumol 4, Tunis 2080, Tunisia; [Bennoor, K. S.] Natl Inst Dis Chest &amp; Hosp, Dept Resp Med, Dhaka, Bangladesh; [Benson, M.] Linkoping Univ, Fac Med, Dept Pediat, Ctr Individualized Med, Linkoping, Sweden; [Bieber, T.] Rheinische Friedrich Wilhelms Univ Bonn, Dept Dermatol &amp; Allergy, Bonn, Germany; [Bindslev-Jensen, C.; Dahl, R.] Odense Univ Hosp, Dept Dermatol, Odense, Denmark; [Bindslev-Jensen, C.; Dahl, R.] Odense Univ Hosp, Allergy Ctr, Odense, Denmark; [Bjermer, L.] Univ Hosp, Dept Resp Med &amp; Allergol, Lund, Sweden; [Blain, H.; Jeandel, C.] Montpellier Univ Hosp, Dept Geriatr, Montpellier, France; [Blain, H.] Univ Montpellier, Euromov, EA 2991, Montpellier, France; [Blasi, F.] Univ Milan, IRCCS Fdn Ca Granda Osped Maggiore Policlin, Dept Pathophysiol &amp; Transplantat, Via F Sforza 35, Milan, Italy; [Boner, A. L.] Univ Verona Hosp, Dept Pediat, Verona, Italy; [Bonini, M.] Sapienza Univ Rome, Dept Publ Hlth &amp; Infect Dis, Rome, Italy; [Bonini, S.] Univ Naples 2, Naples, Italy; [Bonini, S.] Italian Natl Res Council, Inst Translat Med, Naples, Italy; [Bosnic-Anticevitch, S.] Univ Sydney, Woolcock Inst Med Res, Glebe, NSW, Australia; [Bosnic-Anticevitch, S.] Sydney Local Hlth Dist, Glebe, NSW, Australia; [Boulet, L. P.] Univ Laval, Quebec Heart &amp; Lung Inst, Quebec City, PQ, Canada; [Bourret, R.] Montpellier Univ Hosp, Directeur Gen Adjoint, Montpellier, France; [Briggs, A. H.] Univ Glasgow, Inst Hlth &amp; Wellbeing, Hlth Econ &amp; Hlth Technol Assessment, Glasgow, Lanark, Scotland; [Brightling, C. E.] Univ Hosp Leicester NHS Trust, Inst Lung Hlth, Resp Biomed Unit, Leicester, Leics, England; [Brightling, C. E.] Univ Leicester, Dept Infect Immun &amp; Inflammat, Leicester, Leics, England; [Brozek, J.; Schunemann, H. J.] McMaster Univ, Dept Clin Epidemiol &amp; Biostat, HSC Room 2C16,1280 Main St West Hamilton, Hamilton, ON, Canada; [Buhl, R.] Johannes Gutenberg Univ Mainz, Univ Med, Mainz, Germany; [Burney, P. G.] Imperial Coll, Natl Heart &amp; Lung Inst, London, England; [Burney, P. G.] Imperial Coll, Wellcome Ctr Global Hlth, London, England; [Burney, P. G.] Imperial Coll, MRC PHE Ctr Environm &amp; Hlth, London, England; [Bush, A.] Imperial Coll, London, England; [Bush, A.] Royal Brompton Hosp, London, England; [Caballero-Fonseca, F.] Ctr Med Docente Trinidad, Caracas, Venezuela; [Caimmi, D.; Chiron, R.; Demoly, P.] Montpellier Univ Hosp, Dept Resp Dis, Montpellier, France; [Calderon, M. A.] Royal Brompton Hosp NHS, Imperial Coll London, Natl Heart &amp; Lung Inst, London, England; [Calverley, P. M.] Univ Liverpool, Inst Ageing &amp; Chron Dis, Liverpool, Merseyside, England; [Calverley, P. M.] Aintree Univ Hosp NHS Fdn Trust, Liverpool, Merseyside, England; [Camargos, P. A. M.] Univ Fed Minas Gerais, Sch Med, Dept Pediat, Belo Horizonte, MG, Brazil; [Camuzat, T.] Reg Languedoc Roussillon, Montpellier, France; [Carlsen, K. H.] Oslo Univ Hosp, Dept Paediat, Oslo, Norway; [Carlsen, K. H.] Univ Oslo, Oslo, Norway; [Carr, W.] Allergy &amp; Asthma Associates Southern Calif, Mission Viejo, CA USA; [Carriazo, A.] Reg Minist Equal Hlth &amp; Social Policies Andalusia, Seville, Spain; [Casale, T.] Univ S Florida, Div Allergy Immunol, Tampa, FL USA; [Sarabia, A. M. Cepeda] Univ Simon Bolivar, Metropolitan Univ, Allergy &amp; Immunol Lab, Barranquilla, Colombia; [Sarabia, A. M. Cepeda] Soc Latinoamer Allergia, Asma &amp; Immunol, Barranquilla, Colombia; [Chatzi, L.] Univ Crete, Fac Med, Dept Social Med, POB 2208, Iraklion 71003, Crete, Greece; [Chen, Y. Z.] Peking &amp; Ctr Asthma Res &amp; Educ, Asthma Clin, Natl Cooperat Grp Paediat Res Asthma, Beijing, Peoples R China; [Chen, Y. Z.] Peking &amp; Ctr Asthma Res &amp; Educ, Educ Ctr, Capital Inst Pediat, Beijing, Peoples R China; [Chkhartishvili, E.] Grigol Robakidze Univ, David Tvildiani AIETI Med Univ Med Sch, Chachava Clin, Tbilisi, Georgia; [Chuchalin, A. G.] FMBA, Pulmonolory Res Inst, Moscow, Russia; [Chung, K. F.] Imperial Coll, Natl Heart &amp; Lung Inst, London, England; [Ciprandi, G.] IRCCS Azienda Osped Univ San Martino, Dept Med, Genoa, Italy; [Cirule, I.] Latvian Allergy Assoc, Riga, Latvia; [Cox, L.] Nova Southeastern Univ, Dept Med, Davie, FL USA; [Custovic, A.] Imperial Coll London, Dept Paediat, London, England; [Dahlen, S. E.] Karolinska Inst, Inst Environm Med, Ctr Allergy Res, Stockholm, Sweden; [Darsow, U.] Tech Univ Munich, Dept Dermatol &amp; Allergy, Munich, Germany; [Darsow, U.] Tech Univ Munich, Helmholtz Ctr Munich, ZAUM Ctr Allergy &amp; Environm, Munich, Germany; [De Blay, F.] Univ Hosp Strasbourg, Chest Dis Dept, Div Allergy, Strasbourg, France; [Dedeu, T.] European Reg &amp; Local Hlth Assoc, EUREGHA, Brussels, Belgium; [Dedeu, T.] Univ Edinburgh, Edinburgh, Midlothian, Scotland; [Deleanu, D.] Iuliu Hatieganu Univ Med &amp; Pharm, Allergol &amp; Immunol Discipline, Cluj Napoca, Romania; [Keenoy, E. De Manuel] Kronikgune, Bilbao, Basque Region, Spain; [Denburg, J. A.] McMaster Univ, Dept Med, Div Clin Immunol &amp; Allergy, Hamilton, ON, Canada; [Devillier, P.] Suresnes Univ Versailles St Quentin, Hop Foch, UPRES EA220, Lab Pharmacol Resp, Suresnes, France; [Didier, A.] Rangueil Larrey Hosp, Dept Resp Dis, Toulouse, France; [Dinh-Xuan, A. T.] Univ Paris 05, Hop Cochin, AP HP, Serv Physiol Resp, Paris, France; [Djukanovic, R.] Univ Southampton, Fac Med, NIHR Southampton Resp Biomed Res Unit, Southampton, Hants, England; [Dokic, D.] Univ Clin Pulmol &amp; Allergy, Med Fac Skopje, Skopje, North Macedonia; [Douagui, H.] Ctr Hosp Univ Beni Messous, Serv Pneumoallergol, Algiers, Algeria; [Dray, G.] Ecole Mines, Ales, France; [Dubakiene, R.] Vilnius Univ, Fac Med, Vilnius, Lithuania; [Durham, S. R.] Imperial Coll London, Natl Heart &amp; Lung Inst, Allergy &amp; Clin Immunol Sect, London, England; [Dykewicz, M. S.] St Louis Univ, Sch Med, Sect Allergy &amp; Immunol, St Louis, MO USA; [El-Gamal, Y.] Ain Shams Univ, Pediat Allergy &amp; Immunol Unit, Cairo, Egypt; [Emuzyte, R.] Vilnius Univ, Fac Med, Clin Childrens Dis, Vilnius, Lithuania; [Fabbri, L. M.] Univ Modena, Modena, Italy; [Fletcher, M.] Educ Hlth, Warwick, England; [Fiocchi, A.] Bambino Gesu Childrens Res Hosp Holy See, Dept Pediat Med, Div Allergy, Rome, Italy; [Wagner, A. Fink; Spranger, O.] GAAPP, Altgasse 8-10, A-1130 Vienna, Austria; [Fonseca, J.] Univ Porto, Fac Med, Ctr Hlth Technol &amp; Serv Res CINTESIS, Porto, Portugal; [Fonseca, J.] CUF Porto Inst &amp; Hosp, Allergy Unit, Porto, Portugal; [Fokkens, W. J.] Acad Med Ctr, Dept Otorhinolaryngol, Amsterdam, Netherlands; [Forastiere, F.] Reg Hlth Serv Lazio Reg, Dept Epidemiol, Rome, Italy; [Frith, P.] Repatriat Gen Hosp, Adelaide, SA, Australia; [Gaga, M.] Athens Chest Hosp, Athens, Greece; [Gamkrelidze, A.] Natl Ctr Dis Control &amp; Publ Hlth Georgia, Tbilisi, Georgia; [Garces, J.; Rodenas, F.; Valia, E.] Univ Valencia, Polibienestar Res Inst, Valencia, Spain; [Gemicioglu, B.] Istanbul Univ, Cerrahpasa Fac Med, Dept Pulm Dis, Istanbul, Turkey; [Gereda, J. E.] Clin Ricardo Palma, Allergy &amp; Immunol Div, Lima, Peru; [Diaz, S. Gonzalez] Univ Autonoma Nuevo Leon, San Nicolas De La Garza, Mexico; [Gotua, M.] Georgian Assoc Allergol &amp; Clin Immunol, Ctr Allergy &amp; Immunol, Tbilisi, Georgia; [Grisle, I.] Latvian Assoc Allergists, Ctr TB &amp; Lung Dis, Riga, Latvia; [Grouse, L.] Washington Univ, Sch Med, Dept Neurol, St Louis, MO 63110 USA; [Gutter, Z.] Univ Hosp Olomouc, Natl eHlth Ctr, Olomouc, Czech Republic; [Guzman, M. A.] Univ Chile, Clin Hosp, Immunol &amp; Allergy Div, Santiago, Chile; [Heaney, L. G.] Queens Univ Belfast, Sch Med Dent &amp; Biomed Sci, Ctr Infect &amp; Immun, Belfast, Antrim, North Ireland; [Hellquist-Dahl, B.] Odense Univ Hosp, Dept Resp Dis, Odense, Denmark; [Hendry, A.] NHS Scotland, Edinburgh, Midlothian, Scotland; [Heinrich, J.] Helmholtz Zentrum Munchen, German Res Ctr Environm Hlth, Inst Epidemiol 1, Neuherberg, Germany; [Heve, D.] Agence Reg Sante, F-34067 Montpellier 2, France; [Horak, F.] Vienna Challenge Chamber, Vienna, Austria; [Hourihane, J. O'. B.] Univ Coll Cork, Dept Paediat &amp; Child Hlth, Cork, Ireland; [Howarth, P.] Univ Southampton, Southampton Univ Hosp, Fac Med, Southampton, Hants, England; [Humbert, M.] Univ Paris Sud, INSERM, UMR S999, Hop Bicetre,Serv Pneumol, Le Kremlin Bicetre, France; [Hyland, M. E.] Univ Plymouth, Sch Psychol, Plymouth, Devon, England; [Illario, M.] Federico II Univ Hosp Campania RS, Naples, Italy; [Ivancevich, J. C.] Clin Santa Isabel, Serv Alergia &amp; Immunol, Buenos Aires, DF, Argentina; [Jardim, J. R.] Univ Fed Sao Paulo, Sao Paulo, Brazil; [Jares, E. J.] Libra Fdn, Buenos Aires, DF, Argentina; [Jenkins, C.] Univ Sydney, George Inst Global Hlth, Camperdown, NSW, Australia; [Johnston, S. L.] Imperial Coll, Natl Heart &amp; Lung Inst, Airway Dis Infect Sect, London, England; [Johnston, S. L.] MRC &amp; Asthma UK Ctr Allerg Mech Asthma, London, England; [Jonquet, O.] Montpellier Univ Hosp, Med Comm, Montpellier, France; [Julge, K.] Tartu Univ Hosp, Childrens Clin, Tartu, Estonia; [Jung, K. S.] Hallym Univ, Coll Med, Sacred Heart Hosp, Chunchon, Gyeonggi Do, South Korea; [Just, J.] Hop Enfants Armand Trousseau, AP HP, Dept Allergol, Ctr Asthme &amp; Allergies, Paris, France; [Just, J.] Sorbonne Univ, UPMC Univ Paris 06, UMR S 1136, Inst Pierre Louis Epidemiol &amp; Sante Publ,Equipe E, F-75013 Paris, France; [Kaidashev, I.] Ukrainian Med Stomatol Acad, Poltava, Ukraine; [Kaitov, M. R.] Fed Medicobiol Agcy, Lab Mol Immunol, Inst Immunol, Natl Res Ctr, Moscow, Russia; [Kalayci, O.] Hacettepe Univ, Sch Med, Pediat Allergy &amp; Asthma Unit, Ankara, Turkey; [Kalyoncu, A. F.] Hacettepe Univ, Sch Med, Dept Chest Dis, Immunol &amp; Allergy Div, Ankara, Turkey; [Keil, T.] Charite, Inst Social Med Epidemiol &amp; Hlth Econ, Berlin, Germany; [Keil, T.] Univ Wurzburg, Inst Clin Epidemiol &amp; Biometry, Wurzburg, Germany; [Keith, P. K.] McMaster Univ, Dept Med, Hlth Sci Ctr 3V47, 1280 Main St West, Hamilton, ON, Canada; [Klimek, L.] Ctr Rhinol &amp; Allergol, Wiesbaden, Germany; [N'Goran, B. Koffi; Pigearias, B.] Soc Pneumol Langue Francaise, Espace Francophone Pneumol, Paris, France; [Kolek, V.] Univ Hosp Olomouc, Fac Med &amp; Dent, Dept Resp Med, Olomouc, Czech Republic; [Koppelman, G. H.] Univ Groningen, Univ Med Ctr Groningen, Beatrix Childrens Hosp, GRIACRes Inst,Dept Pediat Pulmonol &amp; Pediat Aller, Groningen, Netherlands; [Kowalski, M. L.] Med Univ Lodz, Dept Immunol Rheumatol &amp; Allergy, Lodz, Poland; [Kowalski, M. L.] HARC, Lodz, Poland; [Kull, I.; Mullol, J.] Sachs Childrens Hosp, Stockholm, Sweden; [Kull, I.; Mullol, J.] Karolinska Inst, Inst Environm Med, Stockholm, Sweden; [Kuna, P.] Med Univ Lodz, Barlicki Univ Hosp, Div Internal Med Asthma &amp; Allergy, Lodz, Poland; [Kvedariene, V.] Vilnius Univ, Clin Infect Chest Dis Dermatol &amp; Allergol, Vilnius, Lithuania; [Lambrecht, B.] Univ Ghent, VIB Inflammat Res Ctr, Ghent, Belgium; [Lau, S.] Charite, Dept Pediat Pneumol &amp; Immunol, Berlin, Germany; [Larenas-Linnemann, D.] Hosp Med Sur, Clin Alergia Asma &amp; Pediat, Mexico City, DF, Mexico; [Le, L. T. T.] Univ Med &amp; Pharm, Hochiminh City, Vietnam; [Lieberman, P.] Univ Tennessee, Coll Med, Dept Internal Med, Div Allergy, Germantown, TN USA; [Lieberman, P.] Univ Tennessee, Coll Med, Dept Pediat, Div Allergy, Germantown, TN USA; [Lieberman, P.] Univ Tennessee, Coll Med, Dept Internal Med, Div Immunol, Germantown, TN USA; [Lieberman, P.] Univ Tennessee, Coll Med, Dept Pediat, Div Immunol, Germantown, TN USA; [Lipworth, B.] Univ Dundee, Ninewells Hosp, Med Res Inst, Scottish Ctr Resp Res Cardiovasc &amp; Diabet Med, Dundee, Scotland; [Li, J.; Zhong, N.] Guangzhou Med Univ, Affiliated Hosp 1, Guangzhou Inst Resp Dis, State Key Lab Resp Dis, Guangzhou 510120, Guangdong, Peoples R China; [Carlsen, K. Lodrup; Skrindo, I.] Oslo Univ Hosp, Dept Paediat, Oslo, Norway; [Carlsen, K. Lodrup; Skrindo, I.] Univ Oslo, Inst Clin Med, Fac Med, Oslo, Norway; [Louis, R.] CHU Sart Tilman, Dept Pulm Med, Liege, Belgium; [MacNee, W.] Univ Edinburgh, Queens Med Res Inst, Edinburgh, Midlothian, Scotland; [Magard, Y.] Hop St Joseph, Serv Pneumoallergol, Paris, France; [Magnan, A.] Univ Nantes, Inst Thorax, UMR1087, UMR INSERM,Serv Pneumol, Nantes, France; [Magnan, A.] Univ Nantes, Inst Thorax, CNR 6291, Nantes, France; [Mahboub, B.] Rashid Hosp, Dept Pulm Med, Dubai, U Arab Emirates; [Mair, A.] Scottish Govt Hlth Dept, eHlth &amp; Pharmaceut, Edinburgh, Midlothian, Scotland; [Majer, I.] Univ Bratislava, Dept Resp Med, Bratislava, Slovakia; [Manning, P.] Bon Secours Hosp, Dept Med RCSI, Dublin, Ireland; [Mara, S.] AOU Citta Salute &amp; Sci Torino, Cardiovasc &amp; Thorac Dept, Turin, Italy; [Marshall, G. D.] Univ Mississippi, Med Ctr, Div Clin Immunol &amp; Allergy, Lab Behav Immunol Res, Jackson, MS 39216 USA; [Masjedi, M. R.] Shahid Beheshti Univ Med Sci, Resp Med Res, Tehran, Iran; [Matignon, P.] VingCard Elsafe, Moss, Norway; [Maurer, M.] Charite, Allergie Ctr Charite, Dept Dermatol &amp; Allergy, Berlin, Germany; [Mavale-Manuel, S.] Maputo Cent Hosp, Dept Paediat, Maputo, Mozambique; [Melen, E.; Wickman, M.] Karolinska Inst, Inst Environm Med, Stockholm, Sweden; [Melo-Gomes, E.] PNDR Portuguese Natl Programme Resp Dis, Lisbon, Portugal; [Meltzer, E. O.] Allergy &amp; Asthma Med Grp &amp; Res Ctr, San Diego, CA USA; [Menzies-Gow, A.] Royal Brompton Hosp, London, England; [Merk, H.] Rhein Westfal TH Aachen, Univ Klinikum, Hautklin, Klin Dermatol &amp; Allergol, Aachen, Germany; [Miculinic, N.] Croatian Pulm Soc, Zagreb, Croatia; [Mihaltan, F.] Natl Inst Pneumol M Nasta, Bucharest, Romania; [Milenkovic, B.] Univ Belgrade, Fac Med, Belgrade, Serbia; [Milenkovic, B.] Serbian Assoc Asthma, Belgrade, Serbia; [Milenkovic, B.] COPD, Belgrade, Serbia; [Mohammad, G. M. Y.] Tishreen Univ, Sch Med, Natl Ctr Res Chron Resp Dis, Latakia, Syria; [Molimard, M.] Univ Bordeaux, CHU Bordeaux, Dept Pharmacol, INSERM,U657, Bordeaux, France; [Momas, I.] Paris Descartes Univ, EA 4064, Dept Publ Hlth &amp; Biostat, Paris, France; [Momas, I.] Paris Municipal Dept Social Act Childhood &amp; Hlth, Paris, France; [Montilla-Santana, A.] Aura Andalucia, Andalucia, Spain; [Morais-Almeida, M.] Hosp CUF Descobertas, Allergy &amp; Clin Immunol Dept, Lisbon, Portugal; [Morgan, M.] NHS England, Natl Clin Director Resp Serv, Leeds, W Yorkshire, England; [Mosges, R.] Univ Cologne, Fac Med, Inst Med Stat Informat &amp; Epidemiol, Cologne, Germany; [Mullol, J.] Hosp Clin Barcelona, Clin &amp; Expt Resp Immunoallergy, IDIBAPS, Serv ORL,Unitat Rinol &amp; Clin Olfacte, Barcelona, Spain; [Nafti, S.] Mustapha Hosp, Algiers, Algeria; [Namazova-Baranova, L.] Russian Acad Med Sci, Sci Ctr Childrens Hlth, Moscow, Russia; [Naclerio, R.] Univ Chicago, Med Ctr, Sect Otolaryngol Head &amp; Neck Surg, Chicago, IL 60637 USA; [Naclerio, R.] Univ Chicago, Pritzker Sch Med, Chicago, IL 60637 USA; [Neffen, H.] Hosp Ninos Orlando Alassia, Santa Fe De La Vera Cruz, Santa Fe, Argentina; [Nekam, K.] Hosp Hospitaller Bros Buda, Budapest, Hungary; [Niggemann, B.; Wahn, U.] Charite, Pediat Pneumol &amp; Immunol, Berlin, Germany; [Ninot, G.] Univ Montpellier I, Epsylon EA4556, Montpellier, France; [Nyembue, T. D.] Univ Hosp Kinshasa, ENT Dept, Kinshasa, DEM REP CONGO; [O'Hehir, R. E.] Monash Univ, Alfred Hosp, Dept Allergy Immunol &amp; Resp Med, Melbourne, Vic, Australia; [O'Hehir, R. E.] Monash Univ, Cent Clin Sch, Melbourne, Vic, Australia; [O'Hehir, R. E.] Monash Univ, Dept Immunol, Melbourne, Vic, Australia; [Ohta, K.] Tokyo Natl Hosp, Natl Hosp Org, Tokyo, Japan; [Okamoto, Y.] Chiba Univ Hosp, Dept Otorhinolaryngol, Chiba, Japan; [Okubo, K.] Nippon Med Sch, Dept Otolaryngol, Tokyo, Japan; [Ouedraogo, S.] Ctr Hosp Univ Pediat Charles de Gaulle, Ouagadougou, Burkina Faso; [Paggiaro, P.] Univ Hosp Pisa, Cardiothorac &amp; Vasc Dept, Pisa, Italy; [Pali-Scholl, I.] Univ Vet Med, Res Inst, Messerli, Dept Comparat Med, Vienna, Austria; [Pali-Scholl, I.] Med Univ, Vienna, Austria; [Panzner, P.] Charles Univ Prague, Fac Med, Dept Immunol &amp; Allergol, Plzen, Czech Republic; [Panzner, P.] Charles Univ Prague, Fac Hosp Pilsen, Plzen, Czech Republic; [Papadopoulos, N.] Univ Manchester, Royal Manchester Childrens Hosp, Inst Human Dev, Ctr Pediat &amp; Child Hlth, Manchester M13 9WL, Lancs, England; [Papadopoulos, N.] Univ Athens, Athens Gen Childrens Hosp P&amp;A Kyriakou, Pediat Clin 2, Dept Allergy, Athens 11527, Greece; [Papi, A.] Univ Ferrara, Dept Med Sci, Resp Med, Ferrara, Italy; [Park, H. S.] Ajou Univ, Sch Med, Dept Allergy &amp; Clin Immunol, Suwon, South Korea; [Pavord, I.] Univ Oxford, Nuffield Dept Med, Oxford, England; [Pawankar, R.] Nippon Med Sch, Dept Pediat, Tokyo, Japan; [Pengelly, R.] Dept Hlth Social Serv &amp; Publ Safety, Belfast, Antrim, North Ireland; [Pfaar, O.] Ctr Rhinol &amp; Allergol, Wiesbaden, Germany; [Pfaar, O.] Heidelberg Univ, Med Fac Mannheim, Univ Med Mannheim, Dept Otorhinolaryngol Head &amp; Neck Surg, Mannheim, Germany; [Picard, R.] Minist Econ Ind &amp; Numer, Conseil Gen Econ, Paris, France; [Pin, I.] CHU Grenoble, Dept Pediat, F-38043 Grenoble 9, France; [Plavec, D.] Univ JJ Strossmayer, Sch Med, Childrens Hosp Srebrnjak, Osijek, Croatia; [Poethig, D.] Europe Europa Vereinigung Vitalitat &amp; Aktives Alt, GerontoLab, Leipzig, Germany; [Pohl, W.] Hietzing Hosp, Karl Landsteiner Inst Clin &amp; Expt Pneumol, Wolkersbergenstr 1, A-1130 Vienna, Austria; [Popov, T. A.] Med Univ Sofia, Clin Allergy &amp; Asthma, 1Sv Georgi Sofiyski St, Sofia 1431, Bulgaria; [Potter, P.] Univ Cape Town, Lung Inst, Allergy Diagnost &amp; Clin Res Unit, Cape Town, South Africa; [Postma, D.] Univ Groningen, Univ Med Ctr Groningen, GRIAC Res Inst, Dept Pulm Med &amp; TB, Groningen, Netherlands; [Price, D.] Univ Aberdeen, Acad Ctr Primary Care, Aberdeen, Scotland; [Price, D.] Res Real Life, Cambridge, England; [Rabe, K. F.] German Ctr Lung Res DZL, LungenClin Grosshansdorf Airway Res Ctr North, Grosshansdorf, Germany; [Rabe, K. F.] Univ Kiel, Airway Res Ctr North, Dept Med, Kiel, Germany; [Rabe, K. F.] German Ctr Lung Res DZL, Kiel, Germany; [Pontal, F. Radier] Maison Profess Liberales, Conseil Dept Ordre Pharmaciens, F-34000 Montpellier, France; [Repka-Ramirez, S.] SLAAI, Barranquilla, Colombia; [Rennard, S.] Univ Nebraska Med Ctr, Div Pulm Crit Care Sleep &amp; Allergy, Omaha, NE USA; [Roberts, J.] Salford Royal NHS Fdn Trust &amp; NHS England North, London, England; [Manas, L. Rodriguez] Hosp Univ Getafe Serv Madrileno Salud, Madrid, Spain; [Rolland, C.] Assoc Asthme &amp; Allergie, Paris, France; [Rodriguez, M. Roman] Inst Invest Sanitaria Palma IdisPa, Primary Care Resp Res Unit, Palma De Mallorca, Spain; [Romano, A.] Complesso Integrato Columbus, Allergy Unit, Rome, Italy; [Rosado-Pinto, J.] Hosp Luz, Serv Imunoalergol, Lisbon, Portugal; [Rosario, N.] Univ Parana, Hosp Clin, Curitiba, PR, Brazil; [Rosenwasser, L.] Med Univ Misouri Kansas City, Sch Med, Childrens Mercy Hosp, Dept Allergy Asthma &amp; Immunol, Kansas City, MO USA; [Rosenwasser, L.] Med Univ Misouri Kansas City, Sch Med, Clin &amp; Pediat, Kansas City, MO USA; [Rottem, M.] Emek Med Ctr, Div Allergy Asthma &amp; Clin Immunol, Afula, Israel; [Ryan, D.] Woodbrook Med Ctr, Loughborough, Leics, England; [Ryan, D.] Univ Edinburgh, Allergy &amp; Resp Res Grp, Edinburgh, Midlothian, Scotland; [Sanchez-Borges, M.] Ctr Medicodocente Trinidad &amp; Clin El Avila, Allergy &amp; Clin Immunol Dept, 6a transversal Urb,Altamira,Piso 8,Consultorio 80, Caracas 1060, Venezuela; [Scadding, G. K.] UCL, Royal Natl TNE Hosp, London, England; [Serrano, E.] CHU Rangueil Larrey, Otolaryngol &amp; Head &amp; Neck Surg, Toulouse, France; [Schmid-Grendelmeier, P.] Univ Zurich Hosp, Dept Dermatol, Allergy Unit, Zurich, Switzerland; [Schulz, H.] Helmholtz Zentrum Munchen, Inst Epidemiol 1, Neuherberg, Germany; [Sheikh, A.] Univ Edinburgh, Sch Med, Ctr Populat Hlth Sci, Allergy &amp; Resp Res Grp, Edinburgh, Midlothian, Scotland; [Shields, M.] Queens Univ Belfast, Child Hlth, Belfast, Antrim, North Ireland; [Shields, M.] Royal Belfast Hosp Sick Children, Belfast, Antrim, North Ireland; [Siafakas, N.] Univ Hosp Heraklion, Dept Thorac Med, Iraklion, Crete, Greece; [Sibille, Y.] Catholic Univ Louvain, Univ Hosp Mt Godinne, Yvoir, Belgium; [Similowski, T.] Sorbonne Univ, UPMC Univ Paris 06, UMR Neurophysiol Resp Expt &amp; Clin S 1158, Paris, France; [Similowski, T.] INSERM, UMR Neurophysiol Resp Expt &amp; Clin S 1158, Paris, France; [Similowski, T.] Groupe, AP HP, Dept R3S, Paris, France; [Simons, F. E. R.] Univ Manitoba, Fac Med, Dept Immunol, Dept Pediat &amp; Child Hlth, Winnipeg, MB, Canada; [Sisul, J. C.] Soc Paraguaya Alergia Asma &amp; Inmunol, Asuncion, Paraguay; [Smit, H. A.] Univ Utrecht, Univ Med Ctr Utrecht, Julius Ctr Hlth Sci &amp; Primary Care, Utrecht, Netherlands; [Sole, D.] Univ Fed Sao Paulo, Dept Pediat, Div Allergy Clin Immunol &amp; Rheumatol, Sao Paulo, Brazil; [Sooronbaev, T.] Euro Asian Resp Soc, Kyrgyzstan Natl Ctr Cardiol &amp; Internal Med, Bishkek, Kyrgyzstan; [Stelmach, R.] Univ Sao Paulo, Fac Med, Hosp Clin, Pulm Div,Heart Inst InCor, Sao Paulo, Brazil; [Sterk, P. J.] Univ Amsterdam, Acad Med Ctr, Amsterdam, Netherlands; [Thijs, C.] Maastricht Univ, CAPHRI Sch Publ Hlth &amp; Primary Care, Dept Epidemiol, Maastricht, Netherlands; [To, T.] Sidkkids Hosp &amp; Inst Hlth Policy Management &amp; Eva, Toronto, ON, Canada; [Todo-Bom, A.] Univ Coimbra, Fac Med, Ctr Pneumol, Coimbra, Portugal; [Triggiani, M.] Univ Salerno, Div Allergy &amp; Clin Immunol, Salerno, Italy; [Valenta, R.] Med Univ Vienna, Ctr Pathophysiol Infectiol &amp; Immunol, Dept Pathophysiol &amp; Allergy, Div Immunopathol, Vienna, Austria; [Valero, A. L.] Hosp Clin Barcelona, Clin &amp; Expt Resp Immunoallergy, IDIBAPS, Pneumol &amp; Allergy Dept, Barcelona, Spain; [Valovirta, E.] Univ Turku, Dept Lung Dis &amp; Clin Allergol, Turku, Finland; [Van Ganse, E.] Univ Claude Bernard, CHU Lyon UR CNRS 5558, Unite Pharmacoepidemiol, Villeurbanne, France; [van Hage, M.] Karolinska Inst, Dept Med Solna, Clin Immunol &amp; Allergy Unit, Stockholm, Sweden; [van Hage, M.] Univ Hosp, Stockholm, Sweden; [Vandenplas, O.] Catholic Univ Louvain, Ctr Hosp Univ Dinant Godinne, Dept Chest Med, Yvoir, Belgium; [Vasankari, T.] Finnish Lung Assoc, FILHA, Helsinki, Finland; [Vellas, B.] CHU Toulouse, Gerontopole, Toulouse, France; [Vestbo, J.] Univ Manchester, Manchester Acad Hlth Sci Ctr, Inst Inflammat &amp; Repair, Ctr Resp Med &amp; Allergy, Manchester, Lancs, England; [Vestbo, J.] Manchester NHS Fdn Trust, Univ Hosp South Manchester, Manchester, Lancs, England; [Vezzani, G.] Arcispedale S Maria Nuova, IRCCS, Res Hosp, Dept Cardiol Thorac &amp; Vasc Med,Pulm Unit, Reggio Emilia, Italy; [Vezzani, G.] Reg Agcy Hlth &amp; Social Care, Reggio Emilia, Italy; [Vichyanond, P.] Mahidol Univ, Fac Med, Siriraj Hosp, Div Allergy &amp; Immunol,Dept Pediat, Bangkok 10700, Thailand; [Viegi, G.] CNR, Inst Clin Physiol, Pulm Environm Epidemiol Unit, Via Trieste 41, I-56126 Pisa, Italy; [Viegi, G.] CNR, Inst Biomed &amp; Mol Immunol A Monroy, Via U La Malfa 153, I-90146 Palermo, Italy; [Vogelmeier, C.] Philipps Univ Marburg, Univ Med Ctr Giessen &amp; Marburg, Dept Med Pulm &amp; Crit Care Med, Marburg, Germany; [Vontetsianos, T.] Sotiria Hosp, Athens, Greece; [Wagenmann, M.] Univ Klinikum Dusseldorf, HNO Klin, Dept Otorhinolaryngol, Dusseldorf, Germany; [Wallaert, B.] CHRU, Hop Albert Calmette, Lille, France; [Walker, S.] Asthma UK, Mansell St, London, England; [Wang, D. Y.] Natl Univ Singapore, Yong Loo Lin Sch Med, Dept Otolaryngol, Singapore, Singapore; [Williams, D. M.] Univ N Carolina, Eshelman Sch Pharm, Chapel Hill, NC USA; [Wright, J.] Bradford Royal Infirm, Bradford Inst Hlth Res, Bradford, W Yorkshire, England; [Yawn, B. P.] Olmsted Med Ctr, Dept Res, Rochester, MN USA; [Yiallouros, P. K.] Cyprus Univ Technol, Cyprus Int Inst Environm &amp; Publ Hlth, Limassol, Cyprus; [Yiallouros, P. K.] Hosp Archbishop Makarios III, Dept Pediat, Nicosia, Cyprus; [Yusuf, O. M.] Allergy &amp; Asthma Inst, Lahore, Pakistan; [Zaidi, A.] Univ Southampton, Social Sci, Southampton, Hants, England; [Zar, H. J.] Univ Cape Town, Red Cross Childrens Hosp, Dept Paediat &amp; Child Hlth, Cape Town, South Africa; [Zar, H. J.] Univ Cape Town, MRC Unit Child &amp; Adolescent Hlth, Cape Town, South Africa; [Zernotti, M. E.] Univ Catolica Cordoba, Cordoba, Argentina; [Zhang, L.] Capital Med Univ, Beijing Tongren Hosp, Dept Otolaryngol Head &amp; Neck Surg, Beijing 100730, Peoples R China; [Zidarn, M.] Univ Clin Resp &amp; Allerg Dis, Golnik, Slovenia; [Mercier, J.] CHRU, Dept Physiol, Montpellier, France; [Mercier, J.] Univ Montpellier, Res, Montpellier, France</t>
  </si>
  <si>
    <t>Universite de Montpellier; CHU de Montpellier; Universite de Montpellier; Institut National de la Sante et de la Recherche Medicale (Inserm); Universite Paris Saclay; Universite Paris Saclay; KU Leuven; University of Amsterdam; Academic Medical Center Amsterdam; Leiden University - Excl LUMC; Leiden University; Leiden University Medical Center (LUMC); Universidade do Minho; Universidade Federal da Bahia; University of Helsinki; Helsinki University Central Hospital; Ghent University; Ghent University Hospital; Universidade de Coimbra; University of Padua; Azienda Ospedaliera - Universita di Padova; University of Southern Denmark; Universidade de Coimbra; Centro Hospitalar e Universitario de Coimbra (CHUC); Medical University of Warsaw; University of Helsinki; Helsinki University Central Hospital; University of Oulu; Vilnius University; Celal Bayar University; Berlin Institute of Health; Free University of Berlin; Humboldt University of Berlin; Charite Universitatsmedizin Berlin; Medical University of Graz; International University of Health &amp; Welfare; University of Barcelona; Hospital Clinic de Barcelona; IDIBAPS; CIBER - Centro de Investigacion Biomedica en Red; CIBERES; University of Zurich; Swiss Institute of Allergy &amp; Asthma Research; Institut National de la Sante et de la Recherche Medicale (Inserm); Pompeu Fabra University; Centre de Recerca en Epidemiologia Ambiental (CREAL); Hospital del Mar Research Institute; Hospital del Mar; CIBER - Centro de Investigacion Biomedica en Red; CIBERESP; Pompeu Fabra University; University of Genoa; IRCCS AOU San Martino IST; Ghent University; Ghent University Hospital; Universidade de Lisboa; University of Cape Town; Universita di Modena e Reggio Emilia; Universite de Tunis-El-Manar; Hopital Abderrahmene Mami; Linkoping University; University of Bonn; University of Southern Denmark; Odense University Hospital; University of Southern Denmark; Odense University Hospital; Lund University; Skane University Hospital; Universite de Montpellier; CHU de Montpellier; Universite de Montpellier; University of Milan; IRCCS Ca Granda Ospedale Maggiore Policlinico; University of Verona; Azienda Ospedaliera Universitaria Integrata Verona; Sapienza University Rome; Universita della Campania Vanvitelli; Consiglio Nazionale delle Ricerche (CNR); University of Sydney; Woolcock Institute of Medical Research; Sydney Local Health District; Quebec Heart &amp; Lung Institute; Laval University; Universite de Montpellier; CHU de Montpellier; University of Glasgow; University of Leicester; University Hospitals of Leicester NHS Trust; University of Leicester; McMaster University; Johannes Gutenberg University of Mainz; Imperial College London; Imperial College London; Imperial College London; Imperial College London; Royal Brompton Hospital; Universite de Montpellier; CHU de Montpellier; Imperial College London; Royal Brompton Hospital; University of Liverpool; Aintree University Hospitals NHS Foundation Trust; Universidade Federal de Minas Gerais; University of Oslo; University of Oslo; State University System of Florida; University of South Florida; University of Crete; Capital Institute of Pediatrics (CIP); Imperial College London; University of Genoa; IRCCS AOU San Martino IST; Nova Southeastern University; Imperial College London; Karolinska Institutet; Technical University of Munich; Technical University of Munich; Helmholtz Association; Helmholtz-Center Munich - German Research Center for Environmental Health; CHU Strasbourg; University of Edinburgh; Iuliu Hatieganu University of Medicine &amp; Pharmacy; McMaster University; Universite Paris Saclay; Hospital Foch; CHU de Toulouse; Universite Paris Cite; Assistance Publique Hopitaux Paris (APHP); Hopital Universitaire Cochin - APHP; University of Southampton; Saints Cyril &amp; Methodius University of Skopje; IMT - Institut Mines-Telecom; IMT Mines Ales; Vilnius University; Imperial College London; Saint Louis University; Egyptian Knowledge Bank (EKB); Ain Shams University; Vilnius University; Universita di Modena e Reggio Emilia; Universidade do Porto; University of Amsterdam; Academic Medical Center Amsterdam; Flinders University South Australia; National Center for Disease Control &amp; Public Health - Georgia; University of Valencia; Istanbul University; Istanbul University - Cerrahpasa; Universidad Autonoma de Nuevo Leon; Washington University (WUSTL); University Hospital Olomouc; Universidad de Chile; Queens University Belfast; University of Southern Denmark; Odense University Hospital; NHS National Services Scotland; Helmholtz Association; Helmholtz-Center Munich - German Research Center for Environmental Health; University College Cork; University of Southampton; Assistance Publique Hopitaux Paris (APHP); Hopital Universitaire Antoine-Beclere - APHP; Universite Paris Saclay; Hopital Universitaire Bicetre - APHP; Institut National de la Sante et de la Recherche Medicale (Inserm); University of Plymouth; Universidade Federal de Sao Paulo (UNIFESP); George Institute for Global Health; University of Sydney; Imperial College London; University of London; King's College London; Universite de Montpellier; CHU de Montpellier; Hallym University; Assistance Publique Hopitaux Paris (APHP); Sorbonne Universite; Hopital Universitaire Armand-Trousseau - APHP; Institut National de la Sante et de la Recherche Medicale (Inserm); Sorbonne Universite; Poltava State Medical University; NRC Institute of Immunology FMBA of Russia; Hacettepe University; Hacettepe University; Berlin Institute of Health; Free University of Berlin; Humboldt University of Berlin; Charite Universitatsmedizin Berlin; University of Wurzburg; McMaster University; University Hospital Olomouc; University of Groningen; Medical University Lodz; Karolinska Institutet; Medical University Lodz; Vilnius University; Ghent University; Flanders Institute for Biotechnology (VIB); Berlin Institute of Health; Free University of Berlin; Humboldt University of Berlin; Charite Universitatsmedizin Berlin; Tecnologico de Monterrey; Hochiminh City University of Medicine &amp; Pharmacy; University of Tennessee System; University of Tennessee Health Science Center; University of Tennessee System; University of Tennessee Health Science Center; University of Tennessee System; University of Tennessee Health Science Center; University of Tennessee System; University of Tennessee Health Science Center; University of Dundee; Guangzhou Medical University; State Key Laboratory of Respiratory Disease; University of Oslo; University of Oslo; University of Liege; University of Edinburgh; Universite Paris Cite; Hopital Paris Saint-Joseph; Nantes Universite; CHU de Nantes; Institut National de la Sante et de la Recherche Medicale (Inserm); Nantes Universite; CHU de Nantes; Institut National de la Sante et de la Recherche Medicale (Inserm); Comenius University Bratislava; Royal College of Surgeons - Ireland; A.O.U. Citta della Salute e della Scienza di Torino; University of Mississippi; University of Mississippi Medical Center; Shahid Beheshti University Medical Sciences; Berlin Institute of Health; Free University of Berlin; Humboldt University of Berlin; Charite Universitatsmedizin Berlin; Karolinska Institutet; Allergy &amp; Asthma Medical Group &amp; Research Center; Royal Brompton Hospital; RWTH Aachen University; RWTH Aachen University Hospital; Marius Nasta Pneumophtisiology Institute; University of Belgrade; Tishreen University; Universite de Bordeaux; Institut National de la Sante et de la Recherche Medicale (Inserm); CHU Bordeaux; Universite Paris Cite; University of Cologne; University of Barcelona; Hospital Clinic de Barcelona; IDIBAPS; Russian Academy of Medical Sciences; University of Chicago; University of Chicago Medical Center; University of Chicago; Berlin Institute of Health; Free University of Berlin; Humboldt University of Berlin; Charite Universitatsmedizin Berlin; Universite de Montpellier; Florey Institute of Neuroscience &amp; Mental Health; Howard Florey Institute Affiliates; Monash University; Monash University; Monash University; Chiba University; Nippon Medical School; University of Pisa; Azienda Ospedaliero Universitaria Pisana; University of Veterinary Medicine Vienna; Charles University Prague; Charles University Prague; Royal Manchester Children's Hospital; University of Manchester; National &amp; Kapodistrian University of Athens; University of Ferrara; Ajou University; University of Oxford; Nippon Medical School; Ruprecht Karls University Heidelberg; CHU Grenoble Alpes; Communaute Universite Grenoble Alpes; Universite Grenoble Alpes (UGA); University of JJ Strossmayer Osijek; Hietzing Hospital; Medical University Sofia; University of Cape Town; University of Groningen; University of Aberdeen; University of Kiel; University of Nebraska System; University of Nebraska Medical Center; Salford Royal NHS Foundation Trust; Hospital Universitario de Getafe; Institut Investigacio Sanitaria Illes Balears (IdISBa); Atencio Primaria de Mallorca; Children's Mercy Hospital; Emek Medical Center; University of Edinburgh; University of London; University College London; CHU de Toulouse; University of Zurich; University Zurich Hospital; Helmholtz Association; Helmholtz-Center Munich - German Research Center for Environmental Health; University of Edinburgh; Queens University Belfast; University Hospital of Heraklion; Universite Catholique Louvain; Universite Catholique Louvain Hospital; Sorbonne Universite; Institut National de la Sante et de la Recherche Medicale (Inserm); Assistance Publique Hopitaux Paris (APHP); University of Manitoba; Utrecht University; Utrecht University Medical Center; Universidade Federal de Sao Paulo (UNIFESP); Universidade de Sao Paulo; University of Amsterdam; Academic Medical Center Amsterdam; Maastricht University; Universidade de Coimbra; University of Salerno; Medical University of Vienna; University of Barcelona; Hospital Clinic de Barcelona; IDIBAPS; University of Turku; Universite Claude Bernard Lyon 1; Karolinska Institutet; Universite Catholique Louvain; Universite de Toulouse; Universite Toulouse III - Paul Sabatier; CHU de Toulouse; University of Manchester; Wythenshawe Hospital NHS Foundation Trust; IRCCS Arcispedale S. Maria Nuova; Mahidol University; Consiglio Nazionale delle Ricerche (CNR); Istituto di Fisiologia Clinica (IFC-CNR); Consiglio Nazionale delle Ricerche (CNR); Istituto di Biomedicina e di Immunologia Molecolare Alberto Monroy (IBIM-CNR); University Hospital of Giessen &amp; Marburg; Philipps University Marburg; Heinrich Heine University Dusseldorf; Heinrich Heine University Dusseldorf Hospital; Universite de Lille; CHU Lille; National University of Singapore; University of North Carolina; University of North Carolina Chapel Hill; Bradford Royal Infirmary; Olmsted Medical Center; Cyprus University of Technology; Cyprus International Institute for Environmental &amp; Public Health; University of Southampton; University of Cape Town; University of Cape Town; Catholic University of Cordoba; Capital Medical University; Universite de Montpellier; CHU de Montpellier; Universite de Montpellier</t>
  </si>
  <si>
    <t>Bousquet, J (corresponding author), CHRU, Univ Hosp, 371 Ave Doyen Gaston Giraud, F-34295 Montpellier 5, France.</t>
  </si>
  <si>
    <t>Bachert, Claus/J-8825-2012; Djokic, Dejan/V-9813-2017; Kaidashev, Igor/L-2606-2019; Gemicioglu, Bilun/AAH-6927-2019; Ryan, Dermot/AAJ-2329-2021; Muñoz, Marta/AAB-4615-2019; Ciprandi, Giorgio/G-7462-2012; Blain, Hubert/AAZ-8017-2020; Papi, alberto/AAC-1888-2019; Sterk, P.J./AAK-8175-2020; Solé, Dirceu/JAO-0340-2023; stelmach, rafael/AAH-1638-2019; Nadif, Rachel/R-2876-2016; Dray, Gerard/ACO-1836-2022; Schulz, Holger/J-5643-2015; Khaitov, Musa/L-3369-2017; Valenta, Richard/K-4072-2017; Cruz, Alvaro/I-1676-2012; Jardim, Jose/E-3205-2016; Martins, Pedro/A-1433-2011; Vestbo, Jorgen/Y-2912-2019; Viegi, Giovanni/K-2746-2016; Bousquet, Philippe Jean/AAW-8608-2021; Schmid, Peter/D-1717-2013; Annesi-Maesano, Isabella/D-9173-2016; Koppelman, Gerard/AAG-9187-2020; Marshall, Gailen/R-7459-2019; Akdis, Cezmi/AAV-4844-2020; Rosario Filho, Nelson/HSE-9522-2023; Johnston, Sebastian/I-2423-2012; Todo Bom, Ana/AHD-3630-2022; Cox, Linda/AAP-1697-2021; Chung, Kian/B-1872-2012; Valiulis, Arunas/JEZ-2972-2023; Fiocchi, Alessandro/K-9235-2016; Asarnoj, Anna/ABC-4112-2020; Brozek, Jan/ADG-1130-2022; Fokkens, Wytske/ABF-2185-2020; MAGNAN, ANTOINE/GVT-4308-2022; LOUIS, Renaud/HMO-7349-2023; Similowski, Thomas/GQQ-9468-2022; costa, david/AAA-1971-2020; Bjermer, Leif/I-4899-2014; Ninot, Gregory/AAD-3211-2019; Popov, Todor/Q-9928-2016; Park, Hae-Sim/S-7974-2019; Zar, Heather/GZL-5350-2022; Frith, Peter/G-5079-2013; Barbara, C./AAF-3397-2020; Lambrecht, Bart/H-4420-2017; PIN, Isabelle/N-3020-2013; Bergmann, Karl-Christian/AAA-4104-2019; Bonniaud, Philippe/ITT-4660-2023; Deleanu, Diana/G-3963-2015; Muraro, Antonella/AFO-2033-2022; Ivancevich, Juan/AAB-4937-2020; Bosnic-Anticevich, Sinthia/AAD-2526-2021; Gaga, Mina/AAP-8348-2020; Gotua, Maia/ABA-1648-2021; Siafakas, Nikolas/AAI-3324-2020; Zuberbier, Torsten/AFM-9173-2022; Price, David/H-2837-2019; Plavec, Davor/HKM-7822-2023; Bieber, Thomas/AFM-9906-2022; J, Garcia-Aymerich/G-6867-2014; Rodriguez-Manas, Leocadio/AFL-1127-2022; Bousquet, Jean/O-4221-2019; Jung, Ki-Suck/AAN-2473-2021; molimard, mathieu/T-2762-2019; Sheikh, Aziz/D-2818-2009; Yorgancioglu, Arzu/AAC-7548-2020; Akdis, Mubeccel/JCE-1576-2023; Shields, Mike/AGG-3437-2022; Briggs, Andrew/ABA-9009-2020; Yiallouros, Panayiotis/AAF-6026-2019; Iaccarino, Guido/D-4540-2009; Anto, J/H-2676-2014; Wagenman, Martin/B-2524-2012; van Hage, Marianne/A-9678-2017; Barone-Adesi, Francesco/ABG-1580-2020; Klimek, Ludger/AFJ-9880-2022; Thijs, Carel/H-8340-2019; Triggiani, Massimo/K-8271-2016; Bateman, Eric/B-7042-2011; Rabe, Klaus/AAW-6296-2021; Yusuf, Osman/AAI-1142-2020; Makela, Mika/ADV-7407-2022; Vicheva, Dilyana/AAI-7136-2020; VAN GANSE, Eric/D-5876-2015; Kvedariene, Violeta/D-7730-2011; Sunyer Deu, Jordi/G-6909-2014; Heinrich, Joachim/N-1720-2013; Forastiere, Francesco/J-9067-2016; Caimmi, Davide/AAA-1277-2019; Bonini, Sergio/T-6594-2019; Namazova-Baranova, Leyla/C-9485-2019; CANONICA, GIORGIO WALTER/ABF-2037-2020; Humbert, Marc/AAC-8459-2019; Custovic, Adnan/A-2435-2012; Dinh-Xuan, Anh Tuan/A-9691-2008; Maurer, Marcus/ABG-2174-2020; Fonseca, Joao/B-7562-2008; Panzner, Petr/I-7034-2017; Schunemann, Holger/LRB-7016-2024; Papadopoulos, Nikolaos/L-8670-2013; Casale, Thomas/K-4334-2013; Rodenas Rigla, Francisco/L-5293-2014; Malva, Joao/L-3557-2014; O'Hehir, Robyn/H-3627-2011; Fabbri, Leonardo/I-4055-2012; Hellings, Peter/I-4068-2018; Demoly, Pascal/Y-9938-2019; Blasi, Francesco/O-5885-2017; Chavannes, Niels Henrik/F-1148-2011; Wright, John/H-1624-2012; Namazova-Baranova, Leyla/C-9485-2019; Gonzalez-Diaz, Sandra Nora/H-3271-2018; Romano, Antonino/D-3102-2017; Cucalin, Aleksandr/P-5678-2018; Masjedi, Mohammad Reza/J-9776-2017; Correia de Sousa, Jaime/H-5607-2015; Kaidashev, Igor/H-3827-2016; Roca, Josep/J-2583-2015; Christoff, George/ABF-9789-2021; Garces Ferrer, Jorge/U-2323-2017; Bindslev-Jensen, Carsten/H-1877-2011</t>
  </si>
  <si>
    <t>Shields, Michael/0000-0002-3793-3571; Sunyer Deu, Jordi/0000-0002-2602-4110; Heinrich, Joachim/0000-0002-9620-1629; Dray, Gerard/0000-0003-1525-5682; Raciborski, Filip/0000-0003-0562-0260; Forastiere, Francesco/0000-0002-9162-5684; Heaney, Liam/0000-0002-9176-5564; Caimmi, Davide/0000-0003-4481-6194; Bonini, Sergio/0000-0003-0079-3031; El-Gamal, Yehia/0000-0002-8177-4520; Larenas Linnemann, Desiree/0000-0002-5713-5331; Namazova-Baranova, Leyla/0000-0002-7902-6427; CANONICA, GIORGIO WALTER/0000-0001-8467-2557; Kuna, Piotr/0000-0003-2401-0070; Bosnic-Anticevich, Sinthia/0000-0001-5077-8329; Baigenzhin, Abay/0000-0002-7703-5004; Zuberbier, Torsten/0000-0002-1466-8875; Ciprandi, Giorgio/0000-0001-7016-8421; momas, isabelle/0000-0003-4344-3787; Bai, Chunxue/0000-0001-5798-3130; Ankri, Joel/0000-0002-0070-6471; Popov, Todor/0000-0001-5052-5866; Humbert, Marc/0000-0003-0703-2892; Kull, Inger/0000-0001-6096-3771; Custovic, Adnan/0000-0001-5218-7071; cox, linda/0000-0002-5258-6870; Kvedariene, Violeta/0000-0002-6119-211X; Dinh-Xuan, Anh Tuan/0000-0001-8651-5176; Valenta, Rudolf/0000-0001-5944-3365; Maurer, Marcus/0000-0002-4121-481X; Menzies-Gow, Andrew/0000-0001-9707-4986; Fonseca, Joao/0000-0002-0887-8796; Gaga, Mina/0000-0002-9949-6012; Ninot, Gregory/0000-0001-8248-9169; Park, Hae-Sim/0000-0003-2614-0303; Sheikh, Aziz/0000-0001-7022-3056; Hyland, Michael/0000-0003-3879-0469; Panzner, Petr/0000-0002-1291-450X; TRIGGIANI, MASSIMO/0000-0001-7318-2093; Schunemann, Holger/0000-0003-3211-8479; Frith, Peter Anthony/0000-0003-3265-0131; Papadopoulos, Nikolaos/0000-0002-4448-3468; Burney, Peter/0000-0001-8635-5678; Todo-Bom, Ana/0000-0002-1850-6689; Akdis, Cezmi/0000-0001-8020-019X; Casale, Thomas/0000-0002-3149-7377; Barbara, Cristina/0000-0003-0915-4105; Fiocchi, Alessandro/0000-0002-2549-0523; Rodenas Rigla, Francisco/0000-0003-3264-4735; Zar, Heather/0000-0002-9046-759X; Malva, Joao/0000-0002-5438-4447; Gotua, Maia/0000-0003-2497-4128; Rottem, Menachem/0000-0002-9915-0273; O'Hehir, Robyn/0000-0002-3489-7595; Johnston, Sebastian/0000-0003-3009-9200; Fabbri, Leonardo/0000-0001-8894-1689; Bergmann, Karl-Christian/0000-0002-0306-9922; Hellings, Peter/0000-0001-6898-688X; Pavord, Ian/0000-0002-4288-5973; Lau, Susanne/0000-0002-5189-4265; Demoly, Pascal/0000-0001-7827-7964; Blasi, Francesco/0000-0002-2285-9970; Briggs, Andrew/0000-0002-0777-1997; Vasankari, Tuula/0000-0002-1413-8970; Djukanovic, Ratko/0000-0001-6039-5612; BONINI, Matteo/0000-0002-3042-0765; Molimard, Mathieu/0000-0002-4346-8346; Chavannes, Niels Henrik/0000-0002-8607-9199; Rodriguez-Manas, Leocadio/0000-0002-6551-1333; Ryan, Dermot/0000-0002-4115-7376; strandberg, timo/0000-0001-6299-925X; Wright, John/0000-0001-9572-7293; Gemicioglu, Bilun/0000-0001-5953-4881; yorgancioglu, arzu/0000-0002-4032-0944; Howarth, Peter/0000-0003-0619-7927; stelmach, rafael/0000-0002-5132-1934; Namazova-Baranova, Leyla/0000-0002-2209-7531; Gonzalez-Diaz, Sandra Nora/0000-0002-3612-0042; Koppelman, Gerard/0000-0001-8567-3252; Romano, Antonino/0000-0001-9742-9898; Fletcher, Monica/0000-0002-9700-3552; Cucalin, Aleksandr/0000-0002-6808-5528; Masjedi, Mohammad Reza/0000-0002-6871-382X; Makela, Mika/0000-0002-2933-3111; Correia de Sousa, Jaime/0000-0001-6459-7908; Yiallouros, Panayiotis/0000-0002-8339-9285; Kaidashev, Igor/0000-0002-4708-0859; Rabe, Klaus F./0000-0002-7020-1401; Zhang, Luo/0000-0002-0910-9884; Roca, Josep/0000-0003-4768-8722; Zidarn, Mihaela/0000-0003-0515-5207; Christoff, George/0000-0003-4549-7711; Ivancevich, Juan Carlos/0000-0001-8713-6258; Garces Ferrer, Jorge/0000-0001-7830-6948; Thijs, Carel/0000-0001-6646-5458; Bindslev-Jensen, Carsten/0000-0002-8940-038X; brightling, chris/0000-0002-9345-4903</t>
  </si>
  <si>
    <t>10.1186/s13601-016-0116-9</t>
  </si>
  <si>
    <t>EF1XU</t>
  </si>
  <si>
    <t>WOS:000390119300001</t>
  </si>
  <si>
    <t>Godinas, L; Lau, EM; Chemla, D; Lador, F; Savale, L; Montani, D; Jaïs, X; Sitbon, O; Simonneau, G; Humbert, M; Hervé, P</t>
  </si>
  <si>
    <t>Godinas, Laurent; Lau, Edmund M.; Chemla, Denis; Lador, Frederic; Savale, Laurent; Montani, David; Jais, Xavier; Sitbon, Olivier; Simonneau, Gerald; Humbert, Marc; Herve, Philippe</t>
  </si>
  <si>
    <t>Diagnostic concordance of different criteria for exercise pulmonary hypertension in subjects with normal resting pulmonary artery pressure</t>
  </si>
  <si>
    <t>DISEASE</t>
  </si>
  <si>
    <t>[Godinas, Laurent; Lau, Edmund M.; Chemla, Denis; Savale, Laurent; Montani, David; Jais, Xavier; Sitbon, Olivier; Simonneau, Gerald; Humbert, Marc; Herve, Philippe] Univ Paris Saclay, Univ Paris 11, Fac Med, Le Kremlin Bicetre, France; [Godinas, Laurent; Lau, Edmund M.; Savale, Laurent; Montani, David; Jais, Xavier; Sitbon, Olivier; Simonneau, Gerald; Humbert, Marc] AP HP, Serv Pneumol, Le Kremlin Bicetre, France; [Godinas, Laurent; Lau, Edmund M.; Chemla, Denis; Savale, Laurent; Montani, David; Jais, Xavier; Sitbon, Olivier; Simonneau, Gerald; Humbert, Marc; Herve, Philippe] Hop Marie Lannelongue, INSERM, UMR S999, Le Plessis Robinson, France; [Godinas, Laurent] CHU UcL Namur, Serv Pneumol, Yvoir, Belgium; [Lau, Edmund M.] Univ Sydney, Sydney Med Sch, Camperdown, NSW, Australia; [Chemla, Denis] AP HP, Dept Physiol, Le Kremlin Bicetre, France; [Lador, Frederic] Hop Univ Geneve, Programme Hypertens Pulm, Serv Pneumol, Geneva, Switzerland; [Herve, Philippe] Hop Marie Lannelongue, Dept Chirurg Thorac Vasc &amp; Transplantat Pulm, Le Plessis Robinson, France</t>
  </si>
  <si>
    <t>Universite Paris Saclay; Assistance Publique Hopitaux Paris (APHP); Hopital Universitaire Bicetre - APHP; Institut National de la Sante et de la Recherche Medicale (Inserm); Hopital Marie Lannelongue; Universite Paris Saclay; University of Sydney; Assistance Publique Hopitaux Paris (APHP); Hopital Universitaire Bicetre - APHP; University of Geneva; Hopital Marie Lannelongue</t>
  </si>
  <si>
    <t>Lau, EM (corresponding author), Univ Sydney, Royal Prince Alfred Hosp, Dept Resp &amp; Sleep Med, Missenden Rd, Camperdown, NSW 2050, Australia.</t>
  </si>
  <si>
    <t>Sitbon, Olivier/I-3623-2019; Savale, Laurent/AAJ-9781-2020; Simonneau, Gerald/ABE-6614-2020; David, Montani/I-6885-2019; Godinas, Laurette/AAS-1059-2021; Humbert, Marc/AAC-8459-2019</t>
  </si>
  <si>
    <t>JAIS, XAVIER/0000-0002-4104-7994; CHEMLA, Denis/0000-0001-7479-9896; Humbert, Marc/0000-0003-0703-2892; SITBON, Olivier/0000-0002-1942-1951; Montani, David/0000-0002-9358-6922; Lador, Frederic/0000-0002-4276-635X; Godinas, Laurent/0000-0003-2214-5879</t>
  </si>
  <si>
    <t>10.1183/13993003.01678-2015</t>
  </si>
  <si>
    <t>DZ6FK</t>
  </si>
  <si>
    <t>WOS:000385956800034</t>
  </si>
  <si>
    <t>Savale, L; Chaumais, MC; Montani, D; Jaïs, X; Hezode, C; Antonini, TM; Coilly, A; Duclos-Vallée, JC; Samuel, D; Simonneau, G; Humbert, M; Sitbon, O</t>
  </si>
  <si>
    <t>Savale, Laurent; Chaumais, Marie-Camille; Montani, David; Jais, Xavier; Hezode, Christophe; Antonini, Teresa-Maria; Coilly, Audrey; Duclos-Vallee, Jean-Charles; Samuel, Didier; Simonneau, Gerald; Humbert, Marc; Sitbon, Olivier</t>
  </si>
  <si>
    <t>Direct-Acting Antiviral Medications for Hepatitis C Virus Infection and Pulmonary Arterial Hypertension</t>
  </si>
  <si>
    <t>[Savale, Laurent; Montani, David; Jais, Xavier; Antonini, Teresa-Maria; Coilly, Audrey; Duclos-Vallee, Jean-Charles; Samuel, Didier; Simonneau, Gerald; Humbert, Marc; Sitbon, Olivier] Univ Paris 11, Fac Med, Le Kremlin Bicetre, France; [Savale, Laurent; Montani, David; Jais, Xavier; Simonneau, Gerald; Humbert, Marc; Sitbon, Olivier] Hop Bicetre, AP HP, Serv Pneumol, Dept Hosp Univ DHU Thorax Innovat, F-94270 Le Kremlin Bicetre, France; [Savale, Laurent; Chaumais, Marie-Camille; Montani, David; Jais, Xavier; Simonneau, Gerald; Humbert, Marc; Sitbon, Olivier] Hop Marie Lannelongue, INSERM, UMR S 999, Le Plessis Robinson, France; [Chaumais, Marie-Camille] Univ Paris 11, Fac Pharm, Chatenay Malabry, France; [Chaumais, Marie-Camille] Hop Antoine Beclere, DHU Thorax Innovat, Serv Pharm, Clamart, France; [Antonini, Teresa-Maria; Coilly, Audrey; Duclos-Vallee, Jean-Charles; Samuel, Didier] Hop Paul Brousse, AP HP, Ctr Hepatobiliaire, DHU Hepatinov, Villejuif, France; [Antonini, Teresa-Maria; Coilly, Audrey; Duclos-Vallee, Jean-Charles; Samuel, Didier] INSERM, Unite 1193, F-94800 Villejuif, France; [Hezode, Christophe] Hop Henri Mondor, AP HP, Serv Hepatol, Creteil, France</t>
  </si>
  <si>
    <t>Universite Paris Saclay; Assistance Publique Hopitaux Paris (APHP); Hopital Universitaire Antoine-Beclere - APHP; Universite Paris Saclay; Hopital Universitaire Bicetre - APHP; Hopital Marie Lannelongue; Institut National de la Sante et de la Recherche Medicale (Inserm); Universite Paris Saclay; Universite Paris Saclay; Assistance Publique Hopitaux Paris (APHP); Hopital Universitaire Antoine-Beclere - APHP; Assistance Publique Hopitaux Paris (APHP); Hopital Universitaire Paul-Brousse - APHP; Institut National de la Sante et de la Recherche Medicale (Inserm); Universite Paris Saclay; Assistance Publique Hopitaux Paris (APHP); Universite Paris-Est-Creteil-Val-de-Marne (UPEC); Hopital Universitaire Henri-Mondor - APHP</t>
  </si>
  <si>
    <t>Savale, L (corresponding author), Hop Bicetre, AP HP, Serv Pneumol, 78 Rue Gen Leclerc, F-94270 Le Kremlin Bicetre, France.</t>
  </si>
  <si>
    <t>Sitbon, Olivier/I-3623-2019; Samuel, Didier/U-5265-2018; Simonneau, Gerald/ABE-6614-2020; Savale, Laurent/AAJ-9781-2020; David, Montani/I-6885-2019; Antonini, Teresa/T-6809-2018; Hezode, Christophe/U-4659-2018; Humbert, Marc/AAC-8459-2019</t>
  </si>
  <si>
    <t>JAIS, XAVIER/0000-0002-4104-7994; SITBON, Olivier/0000-0002-1942-1951; Montani, David/0000-0002-9358-6922; Humbert, Marc/0000-0003-0703-2892; Chaumais, Marie-Camille/0000-0002-1217-8442</t>
  </si>
  <si>
    <t>AMER COLL CHEST PHYSICIANS</t>
  </si>
  <si>
    <t>GLENVIEW</t>
  </si>
  <si>
    <t>2595 PATRIOT BLVD, GLENVIEW, IL 60026 USA</t>
  </si>
  <si>
    <t>10.1016/j.chest.2016.04.031</t>
  </si>
  <si>
    <t>DQ5BS</t>
  </si>
  <si>
    <t>WOS:000379220000044</t>
  </si>
  <si>
    <t>Günther, S; Chelby, G; Humbert, M; Arnulf, I; Similowski, T; Redolfi, S</t>
  </si>
  <si>
    <t>Gunther, Sven; Chelby, Georges; Humbert, Marc; Arnulf, Isabelle; Similowski, Thomas; Redolfi, Stefania</t>
  </si>
  <si>
    <t>Overnight rostral fluid shift in group 1 pulmonary arterial hypertension</t>
  </si>
  <si>
    <t>[Gunther, Sven] Hop Cochin, Paris, France; [Chelby, Georges; Arnulf, Isabelle; Similowski, Thomas; Redolfi, Stefania] Hop La Pitie Salpetriere, Paris, France; [Humbert, Marc] Hop Bicetre, Le Kremlin Bicetre, France</t>
  </si>
  <si>
    <t>Assistance Publique Hopitaux Paris (APHP); Universite Paris Cite; Hopital Universitaire Cochin - APHP; Assistance Publique Hopitaux Paris (APHP); Hopital Universitaire Pitie-Salpetriere - APHP; Sorbonne Universite; Assistance Publique Hopitaux Paris (APHP); Hopital Universitaire Bicetre - APHP; Universite Paris Saclay; Hopital Universitaire Antoine-Beclere - APHP</t>
  </si>
  <si>
    <t>REDOLFI, STEFANIA/AAH-8446-2019; Similowski, Thomas/GQQ-9468-2022; Humbert, Marc/AAC-8459-2019; Günther, Sven/ACV-7191-2022; GUNTHER, Sven/P-4177-2017</t>
  </si>
  <si>
    <t>PO.230</t>
  </si>
  <si>
    <t>DQ9EU</t>
  </si>
  <si>
    <t>WOS:000379514000292</t>
  </si>
  <si>
    <t>Huertas, A; Phan, C; Bordenave, J; Tu, L; Thuillet, R; Le Hiress, M; Avouac, J; Tamura, Y; Allanore, Y; Jovan, R; Sitbon, O; Guignabert, C; Humbert, M</t>
  </si>
  <si>
    <t>Huertas, Alice; Phan, Carole; Bordenave, Jennifer; Tu, Ly; Thuillet, Raphael; Le Hiress, Morane; Avouac, Jerome; Tamura, Yuichi; Allanore, Yannick; Jovan, Roland; Sitbon, Olivier; Guignabert, Christophe; Humbert, Marc</t>
  </si>
  <si>
    <t>Regulatory T Cell Dysfunction in Idiopathic, Heritable and Connective Tissue-Associated Pulmonary Arterial Hypertension</t>
  </si>
  <si>
    <t>leptin; lymphocytes; pulmonary arterial hypertension; scleroderma</t>
  </si>
  <si>
    <t>ENDOTHELIAL INJURY; ANTIBODIES; INFLAMMATION; EXPRESSION; SURVIVAL; LEPTIN; FOXP3; RECRUITMENT; PREVALENCE; LESIONS</t>
  </si>
  <si>
    <t>BACKGROUND: Pulmonary arterial hypertension (PAH) encompasses a group of conditions with distinct causes. Immunologic disorders are common features of all forms of PAH and contributes to both disease susceptibility and progression. Regulatory T lymphocytes (Treg) are dysfunctional in patients with idiopathic PAH (iPAH) in a leptin-dependent manner. However, it is not known whether these abnormalities are specific to iPAH. Hence, we hypothesized that (1) Treg dysfunction is also present in heritable (hPAH) and connective tissue disease-associated PAH (CTD-PAH); (2) defective leptin-dependent signaling is present in hPAH and CTD-PAH and could contribute to Treg dysfunction; (3) modulating the leptin axis in vivo could protect against Treg dysfunction; and (4) restoration of Treg activity could limit or reverse experimental chronic hypoxia-induced pulmonary hypertension in vivo. METHODS: We analyzed 62 patients with PAH (30 with iPAH, 18 with hPAH, and 14 with CTD-PAH), 7 patients with CTD without PAH, and 20 healthy control subjects. RESULTS: Our results indicate that Treg are dysfunctional in all PAH forms tested, as well as in patients with CTD without PAH. Importantly, the leptin axis is crucial in Treg dysfunction in patients with iPAH and those with CTD (with or without PAH), whereas in patients with hPAH, Treg are altered in a leptin-independent manner. We found that leptin receptor-deficient rats, which develop less severe hypoxia-induced pulmonary hypertension, are protected against decreased Treg function after hypoxic exposure. CONCLUSIONS: Taken together, our results suggest that Treg dysfunction is common to all forms of PAH and may contribute to the development and the progression of the disease.</t>
  </si>
  <si>
    <t>[Huertas, Alice; Phan, Carole; Bordenave, Jennifer; Tu, Ly; Thuillet, Raphael; Le Hiress, Morane; Tamura, Yuichi; Jovan, Roland; Sitbon, Olivier; Guignabert, Christophe; Humbert, Marc] Hop Marie Lannelongue, INSERM, UMR S 999, F-92350 Le Plessis Robinson, France; [Huertas, Alice; Phan, Carole; Bordenave, Jennifer; Tu, Ly; Thuillet, Raphael; Le Hiress, Morane; Tamura, Yuichi; Jovan, Roland; Sitbon, Olivier; Guignabert, Christophe; Humbert, Marc] Univ Paris Saclay, Fac Med, Univ Paris Sud, Le Kremlin Bicetre, France; [Huertas, Alice; Jovan, Roland; Sitbon, Olivier; Humbert, Marc] Hop Bicetre, AP HP, Serv Pneumol, Le Kremlin Bicetre, France; [Avouac, Jerome; Allanore, Yannick] Paris Descartes Univ, INSERM, U1016, Inst Cochin, Paris, France; Sorbonne Paris Cite, CNRS, UMR8104, Paris, France</t>
  </si>
  <si>
    <t>Hopital Marie Lannelongue; Institut National de la Sante et de la Recherche Medicale (Inserm); Universite Paris Saclay; Universite Paris Saclay; Assistance Publique Hopitaux Paris (APHP); Hopital Universitaire Antoine-Beclere - APHP; Hopital Universitaire Bicetre - APHP; Universite Paris Saclay; Institut National de la Sante et de la Recherche Medicale (Inserm); Universite Paris Cite; Centre National de la Recherche Scientifique (CNRS); CNRS - National Institute for Biology (INSB); Universite Paris Cite</t>
  </si>
  <si>
    <t>Sitbon, Olivier/I-3623-2019; avouac, Jérôme/AAD-2101-2020; Tamura, Yuichi/B-5991-2014; Humbert, Marc/AAC-8459-2019; Huertas, Alice/E-8244-2017; GUIGNABERT, Christophe/G-3873-2013; TU, Ly/G-4035-2013</t>
  </si>
  <si>
    <t>Humbert, Marc/0000-0003-0703-2892; bordenave, jennifer/0000-0001-8866-3666; Phan, Carole/0000-0002-7834-508X; Huertas, Alice/0000-0001-8545-747X; GUIGNABERT, Christophe/0000-0002-8545-4452; SITBON, Olivier/0000-0002-1942-1951; TU, Ly/0000-0003-2336-5099; Thuillet, Raphael/0000-0002-1379-3797; Tamura, Yuichi/0000-0002-4437-8019</t>
  </si>
  <si>
    <t>French National Institute for Health and Medical Research (INSERM, the French National Agency for Research) [ANR 12 JSV1 0004 01]; Association des Sclerodermiques de France (ASF); Departement Hospitalo-Universitaire (DHU) Thorax Innovation (TORINO); LabEx LERMIT [ANR-10-LABX-0033-LERMIT]; ERS/EU Marie Curie [RESPIRE2]; Fonds de Dotation Recherche en Sante Respiratoire-Fondation du Souffle; Agence Nationale de la Recherche (ANR) [ANR-12-JSV1-0004] Funding Source: Agence Nationale de la Recherche (ANR)</t>
  </si>
  <si>
    <t>French National Institute for Health and Medical Research (INSERM, the French National Agency for Research); Association des Sclerodermiques de France (ASF); Departement Hospitalo-Universitaire (DHU) Thorax Innovation (TORINO); LabEx LERMIT; ERS/EU Marie Curie(European Union (EU)); Fonds de Dotation Recherche en Sante Respiratoire-Fondation du Souffle; Agence Nationale de la Recherche (ANR)(Agence Nationale de la Recherche (ANR))</t>
  </si>
  <si>
    <t>This research was supported by grants from the French National Institute for Health and Medical Research (INSERM, the French National Agency for Research: grant no. ANR 12 JSV1 0004 01), the Association des Sclerodermiques de France (ASF), and in part by the Departement Hospitalo-Universitaire (DHU) Thorax Innovation (TORINO). M. L. H. was supported by the LabEx LERMIT (grant no. ANR-10-LABX-0033-LERMIT). Y. T. received a personal ERS/EU Marie Curie grant postdoctoral fellowship (RESPIRE2). C. P. is supported by the Fonds de Dotation Recherche en Sante Respiratoire-Fondation du Souffle.</t>
  </si>
  <si>
    <t>10.1016/j.chest.2016.01.004</t>
  </si>
  <si>
    <t>DN7YL</t>
  </si>
  <si>
    <t>WOS:000377296000030</t>
  </si>
  <si>
    <t>Reviron-Rabec, L; Girerd, B; Seferian, A; Campbell, K; Brosseau, S; Bergot, E; Humbert, M; Zalcman, G; Montani, D</t>
  </si>
  <si>
    <t>Reviron-Rabec, L.; Girerd, B.; Seferian, A.; Campbell, K.; Brosseau, S.; Bergot, E.; Humbert, M.; Zalcman, G.; Montani, D.</t>
  </si>
  <si>
    <t>Pulmonary complications of type 1 neurofibromatosis</t>
  </si>
  <si>
    <t>Neurofibromatosis type 1; Von Recklinghausen; Interstitial lung disease; Lung cancer; Pulmonary hypertension</t>
  </si>
  <si>
    <t>RECKLINGHAUSENS-DISEASE; FIBROSING ALVEOLITIS; BENIGN-TUMORS; GROWTH-FACTOR; LUNG-DISEASE; HYPERTENSION; PATIENT; P53</t>
  </si>
  <si>
    <t>Introduction. - Type 1 neurofibromatosis is one of the most common genetic diseases, with an incidence of 1/3500 live births. Its diagnosis primarily relies on the clinical features of the condition. Current knowledge. - The life expectancy of these patients is reduced by 10 years, on average, compared to the general population. Type 1 neurofibromatosis has been shown to increase the risk of various types of neoplasia, primarily those affecting the neural crest. In addition, interstitial lung disease, lung cancer, and pulmonary hypertension have been observed during the third or the fourth decade of an adult's life. Perspectives. - There are only few case reports available that address the pulmonary complications of neurofibromatosis type 1. It is thus crucial to fully understand this rare disease and its potential complications in order to allow for early diagnosis so we are able to improve the quality of life and survival of those suffering from the condition. Conclusions. - The pulmonary complications of type 1 neurofibromatosis can be severe and life-threatening. Patients with this condition should thus undergo regular clinical visits and examinations to allow pulmonary complications to be detected and treatment to be initiated as early as possible. (C) 2016 SPLF. Published by Elsevier Masson SAS. All rights reserved.</t>
  </si>
  <si>
    <t>[Reviron-Rabec, L.; Campbell, K.; Brosseau, S.; Bergot, E.; Zalcman, G.] CHU Caen, Serv Pneumol &amp; Oncol Thorac, F-14033 Caen, France; [Reviron-Rabec, L.; Campbell, K.; Brosseau, S.; Bergot, E.; Zalcman, G.] CHU Caen, Ctr Reg Competence HTAP Severes, F-14033 Caen, France; [Bergot, E.] Univ Caen, F-14033 Caen, France; [Girerd, B.; Seferian, A.; Humbert, M.; Montani, D.] Univ Paris 11, Fac Med, F-94270 Le Kremlin Bicetre, France; [Girerd, B.; Seferian, A.; Humbert, M.; Montani, D.] Hop Bicetre, Ctr Reference Hypertens Pulm Severe, Serv Pneumol, DHU Thorax Innovat,AP HP, F-94270 Le Kremlin Bicetre, France; [Girerd, B.; Seferian, A.; Humbert, M.; Montani, D.] INSERM, Ctr Chirurg Marie Lannelongue, LabEx LERMIT, UMR S999, F-92350 Le Plessis Robinson, France; [Zalcman, G.] INSERM, Genet &amp; Biol Canc Inst Curie, U830, F-75013 Paris, France; [Zalcman, G.] Univ Paris 07, F-75013 Paris, France</t>
  </si>
  <si>
    <t>Universite de Caen Normandie; CHU de Caen NORMANDIE; CHU de Caen NORMANDIE; Universite de Caen Normandie; Universite de Caen Normandie; Universite Paris Saclay; Assistance Publique Hopitaux Paris (APHP); Hopital Universitaire Antoine-Beclere - APHP; Hopital Universitaire Bicetre - APHP; Universite Paris Saclay; Hopital Marie Lannelongue; Universite Paris Saclay; Institut National de la Sante et de la Recherche Medicale (Inserm); Universite PSL; UNICANCER; Institut Curie; Institut National de la Sante et de la Recherche Medicale (Inserm); Universite Paris Cite</t>
  </si>
  <si>
    <t>Montani, D (corresponding author), Hop Bicetre, Ctr Reference Hypertens Pulm Severe, Serv Pneumol, Inserm,UMR S999, 78 Rue Gen Leclerc, F-94270 Le Kremlin Bicetre, France.</t>
  </si>
  <si>
    <t>Bergot, Emmanuel/KHZ-1685-2024; ZALCMAN, Gerard/M-8113-2019; David, Montani/I-6885-2019; ZALCMAN, Gerard/L-7809-2015; Humbert, Marc/AAC-8459-2019</t>
  </si>
  <si>
    <t>Seferian, Andrei/0000-0003-1007-433X; Montani, David/0000-0002-9358-6922; ZALCMAN, Gerard/0000-0002-0343-9575; Humbert, Marc/0000-0003-0703-2892</t>
  </si>
  <si>
    <t>10.1016/j.rmr.2014.09.010</t>
  </si>
  <si>
    <t>DT8TO</t>
  </si>
  <si>
    <t>WOS:000381768300005</t>
  </si>
  <si>
    <t>Sanges, S; Yelnik, C; Sitbon, O; Benveniste, O; Mariampillai, K; Phillips-Houlbracq, M; Pison, C; Deligny, C; Inamo, J; Cottin, V; Mouthon, L; Launay, D; Lambert, M; Hatron, PY; Rottat, L; Humbert, M; Hachulla, E</t>
  </si>
  <si>
    <t>Sanges, S.; Yelnik, C.; Sitbon, O.; Benveniste, O.; Mariampillai, K.; Phillips-Houlbracq, M.; Pison, C.; Deligny, C.; Inamo, J.; Cottin, V.; Mouthon, L.; Launay, D.; Lambert, M.; Hatron, P. -Y.; Rottat, L.; Humbert, M.; Hachulla, E.</t>
  </si>
  <si>
    <t>PULMONARY ARTERIAL HYPERTENSION IN IDIOPATHIC INFLAMMATORY MYOPATHIES: DATA FROM THE FRENCH PULMONARY HYPERTENSION REGISTRY AND REVIEW OF THE LITERATURE</t>
  </si>
  <si>
    <t>JUN 08-11, 2016</t>
  </si>
  <si>
    <t>[Sanges, S.; Yelnik, C.; Launay, D.; Lambert, M.; Hatron, P. -Y.; Hachulla, E.] Univ Lille, LIRIC Lille Inflammat Res Int Ctr, U995, F-59000 Lille, France; [Sanges, S.; Yelnik, C.; Launay, D.; Lambert, M.; Hachulla, E.] INSERM, U995, F-59000 Lille, France; [Sanges, S.; Yelnik, C.; Launay, D.; Lambert, M.; Hatron, P. -Y.; Hachulla, E.] CHU Lille, Dept Med Interne &amp; Immunol Clin, F-59000 Lille, France; [Sanges, S.; Yelnik, C.; Launay, D.; Lambert, M.; Hatron, P. -Y.; Hachulla, E.] Ctr Natl Reference Malad Syst &amp; Autoimmunes Rares, F-59000 Lille, France; [Sanges, S.; Yelnik, C.; Launay, D.; Lambert, M.; Hatron, P. -Y.; Hachulla, E.] FHU Immune Mediated Inflammatory Dis &amp; Targeted, F-59000 Lille, France; [Sitbon, O.; Rottat, L.; Humbert, M.] Univ Paris Saclay, Univ Paris Sud, Fac Med, Le Kremlin Bicetre, France; [Sitbon, O.; Rottat, L.; Humbert, M.] Hop Bicetre, AP HP, Serv Pneumol, DHU Thorax Innovat, Le Kremlin Bicetre, France; [Sitbon, O.; Rottat, L.; Humbert, M.] Ctr Chirurg Marie Lannelongue, INSERM, LabEx LERMIT, UMR S999, Le Plessis Robinson, France; [Benveniste, O.; Mariampillai, K.] Univ Paris VI Pierre &amp; Marie Curie, Hop La Pitie Salpetriere, AP HP,Natl Reference Malad Neuromusculaires, Dept Med Interne &amp; Immunol Clin,INSERM,U974, Paris, France; [Phillips-Houlbracq, M.; Pison, C.] CHU Grenoble, Clin Univ Pneumol, Grenoble, France; [Phillips-Houlbracq, M.; Pison, C.] Univ Joseph Fourier, Grenoble, France; [Deligny, C.] Ctr Hosp Univ Pierre Zobda Quitman, Serv Med Interne &amp; Rhumatol 3C 5D, Fort De France, Martinique, France; [Inamo, J.] Ctr Hosp Univ Pierre Zobda Quitman, Dept Cardiol, Fort De France, Martinique, France; [Cottin, V.] Hosp Civils Lyon, Serv Pneumol, Ctr Competence Hypertens Pulm, Ctr Reference Malad Pulm Rares, Lyon, France; [Mouthon, L.] Univ Paris 05, Hop Cochin, Ctr Reference Vasc Necrosantes &amp; Sclerodermie Sys, Serv Med Interne, Paris, France</t>
  </si>
  <si>
    <t>Universite de Lille; Institut National de la Sante et de la Recherche Medicale (Inserm); Universite de Lille; Universite de Lille; CHU Lille; Universite Paris Saclay; Universite Paris Saclay; Assistance Publique Hopitaux Paris (APHP); Hopital Universitaire Antoine-Beclere - APHP; Hopital Universitaire Bicetre - APHP; Universite Paris Saclay; Institut National de la Sante et de la Recherche Medicale (Inserm); Hopital Marie Lannelongue; Institut National de la Sante et de la Recherche Medicale (Inserm); Sorbonne Universite; Assistance Publique Hopitaux Paris (APHP); Hopital Universitaire Pitie-Salpetriere - APHP; Communaute Universite Grenoble Alpes; Universite Grenoble Alpes (UGA); CHU Grenoble Alpes; Communaute Universite Grenoble Alpes; Universite Grenoble Alpes (UGA); CHU Martinique; CHU Martinique; CHU Lyon; Universite Paris Cite; Assistance Publique Hopitaux Paris (APHP); Hopital Universitaire Cochin - APHP</t>
  </si>
  <si>
    <t>Sitbon, Olivier/I-3623-2019; Humbert, Marc/AAC-8459-2019; Inamo, Jun/AAV-2839-2021; Sanges, Sebastien/M-4605-2018; Launay, David/A-5270-2018; HACHULLA, ERIC/R-8488-2018; lambert, marc/V-7380-2017; Yelnik, Cecile/V-8906-2017</t>
  </si>
  <si>
    <t>Yelnik, Cecile/0000-0003-4260-5035</t>
  </si>
  <si>
    <t>FRI0299</t>
  </si>
  <si>
    <t>10.1136/annrheumdis-2016-eular.1810</t>
  </si>
  <si>
    <t>EV1RF</t>
  </si>
  <si>
    <t>WOS:000401523102402</t>
  </si>
  <si>
    <t>Sitbon, O; Sattler, C; Bertoletti, L; Savale, L; Cottin, V; Jaïs, X; De Groote, P; Chaouat, A; Chabannes, C; Bergot, E; Bouvaist, H; Dauphin, C; Bourdin, A; Bauer, F; Montani, D; Humbert, M; Simonneau, G</t>
  </si>
  <si>
    <t>Sitbon, Olivier; Sattler, Caroline; Bertoletti, Laurent; Savale, Laurent; Cottin, Vincent; Jais, Xavier; De Groote, Pascal; Chaouat, Ari; Chabannes, Celine; Bergot, Emmanuel; Bouvaist, Helene; Dauphin, Claire; Bourdin, Arnaud; Bauer, Fabrice; Montani, David; Humbert, Marc; Simonneau, Gerald</t>
  </si>
  <si>
    <t>Initial dual oral combination therapy in pulmonary arterial hypertension</t>
  </si>
  <si>
    <t>2015 ESC/ERS GUIDELINES; SINGLE-CENTER; SURVIVAL; EPOPROSTENOL; REGISTRY; DIAGNOSIS; TADALAFIL; BOSENTAN; AMBRISENTAN; MONOTHERAPY</t>
  </si>
  <si>
    <t>Treatment for pulmonary arterial hypertension (PAH) has been underpinned by single-agent therapy to which concomitant drugs are added sequentially when pre-defined treatment goals are not met. This retrospective analysis of real-world clinical data in 97 patients with newly diagnosed PAH (86% in New York Heart Association functional class III-IV) explored initial dual oral combination treatment with bosentan plus sildenafil (n=61), bosentan plus tadalafil (n=17), ambrisentan plus tadalafil (n=11) or ambrisentan plus sildenafil (n=8). All regimens were associated with significant improvements in functional class, exercise capacity, dyspnoea and haemodynamic indices after 4 months of therapy. Over a median follow-up period of 30 months, 75 (82%) patients were still alive, 53 (71%) of whom received only dual oral combination therapy. Overall survival rates were 97%, 94% and 83% at 1, 2 and 3 years, respectively, and 96%, 94% and 84%, respectively, for the patients with idiopathic PAH, heritable PAH and anorexigen-induced PAH. Expected survival rates calculated from the French equation for the latter were 86%, 75% and 66% at 1, 2 and 3 years, respectively. Initial combination of oral PAH-targeted medications may offer clinical benefits, especially in PAH patients with severe haemodynamic impairment.</t>
  </si>
  <si>
    <t>[Sitbon, Olivier; Sattler, Caroline; Savale, Laurent; Jais, Xavier; Montani, David; Humbert, Marc; Simonneau, Gerald] Univ Paris Saclay, Fac Med, Univ Paris Sud, Le Kremlin Bicetre, France; [Sitbon, Olivier; Sattler, Caroline; Savale, Laurent; Jais, Xavier; Montani, David; Humbert, Marc; Simonneau, Gerald] Hop Bicetre, AP HP, Serv Pneumol, Le Kremlin Bicetre, France; [Sitbon, Olivier; Sattler, Caroline; Savale, Laurent; Jais, Xavier; Montani, David; Humbert, Marc; Simonneau, Gerald] Hop Marie Lannelongue, INSERM, UMR S 999, Le Plessis Robinson, France; [Bertoletti, Laurent] CHU, Hop Nord, Serv Med Vasc &amp; Therapeut, St Etienne, France; [Bertoletti, Laurent] Univ St Etienne, Grp Rech Thrombose EA 3065, INSERM, CIC1408, St Etienne, France; [Cottin, Vincent] Univ Lyon 1, Hosp Civils Lyon, Ctr Reference Malad Pulmonaires Rares, Ctr Competences Hypertens Pulm,Hop Louis Pradel, Lyon, France; [De Groote, Pascal] Hop Cardiol Lille, Ctr Competences Hypertens Pulm, Lille, France; [Chaouat, Ari] CHU Nancy, Pole Specialites Med, Dept Pneumol, Vandoeuvre Les Nancy, France; [Chaouat, Ari] Univ Lorraine, INGRES, EA 7298, Vandoeuvre Les Nancy, France; [Chabannes, Celine] CHU Rennes, Serv Cardiol &amp; Malad Vasc, INSERM, U1099, Rennes, France; [Bergot, Emmanuel] Univ Caen Basse Normandie, Ctr Competences Basse Normandie Hypertens Pulm, Hop Cote Nacre, Caen, France; [Bouvaist, Helene] CHU, Serv Cardiol, Grenoble, France; [Dauphin, Claire] CHU Clermont Ferrand, Hop Gabriel Montpied, Serv Cardiol &amp; Malad Vasc, Clermont Ferrand, France; [Bourdin, Arnaud] Univ Montpellier, Montpellier, France; [Bourdin, Arnaud] Hop Arnaud Villeneuve, INSERM, U1046, UMR 9214,Serv Pneumol, Montpellier, France; [Bauer, Fabrice] Univ Rouen, Ctr Hlth, Cardiol Dept, Rouen, France</t>
  </si>
  <si>
    <t>Universite Paris Saclay; Assistance Publique Hopitaux Paris (APHP); Hopital Universitaire Antoine-Beclere - APHP; Universite Paris Saclay; Hopital Universitaire Bicetre - APHP; Institut National de la Sante et de la Recherche Medicale (Inserm); Hopital Marie Lannelongue; Universite Paris Saclay; CHU de St Etienne; Universite Jean Monnet; Institut National de la Sante et de la Recherche Medicale (Inserm); Universite Claude Bernard Lyon 1; CHU Lyon; Universite de Lille; CHU Lille; CHU de Nancy; Universite de Lorraine; CHU Rennes; Universite de Rennes; Institut National de la Sante et de la Recherche Medicale (Inserm); Universite de Caen Normandie; CHU de Caen NORMANDIE; CHU Grenoble Alpes; CHU Clermont Ferrand; Universite de Montpellier; Centre National de la Recherche Scientifique (CNRS); CNRS - National Institute for Biology (INSB); Universite de Montpellier; CHU de Montpellier; Institut National de la Sante et de la Recherche Medicale (Inserm); Universite de Rouen Normandie</t>
  </si>
  <si>
    <t>Savale, Laurent/AAJ-9781-2020; DE GROOTE, Pascal/LLL-9444-2024; Bourdin, Philippe/D-8149-2015; Bergot, Emmanuel/KHZ-1685-2024; Chaouat, Ari/AAP-6784-2021; Sitbon, Olivier/I-3623-2019; Bertoletti, Laurent/X-1319-2019; BAUER, Fabrice/HMP-7663-2023; Simonneau, Gerald/ABE-6614-2020; David, Montani/I-6885-2019; Humbert, Marc/AAC-8459-2019</t>
  </si>
  <si>
    <t>Bourdin, Arnaud/0000-0002-4645-5209; JAIS, XAVIER/0000-0002-4104-7994; BERTOLETTI, Laurent/0000-0001-8214-3010; SITBON, Olivier/0000-0002-1942-1951; Montani, David/0000-0002-9358-6922; de Groote, Pascal/0000-0002-6211-0147; Humbert, Marc/0000-0003-0703-2892; Bauer, Fabrice/0000-0002-9221-9688</t>
  </si>
  <si>
    <t>Medical writing assistance was provided by Moira Anderson and Julia Heagerty (Elements Communications Ltd, Westerham, UK) and was funded by Actelion Pharmaceuticals Ltd. Funding information for this article has been deposited with FundRef.</t>
  </si>
  <si>
    <t>10.1183/13993003.02043-2015</t>
  </si>
  <si>
    <t>DZ6FE</t>
  </si>
  <si>
    <t>WOS:000385956200020</t>
  </si>
  <si>
    <t>Perros, F; Günther, S; Ranchoux, B; Godinas, L; Antigny, F; Chaumais, MC; Dorfmüller, P; Hautefort, A; Raymond, N; Savale, L; Jaïs, X; Girerd, B; Cottin, V; Sitbon, O; Simonneau, G; Humbert, M; Montani, D</t>
  </si>
  <si>
    <t>Perros, Frederic; Gunther, Sven; Ranchoux, Benoit; Godinas, Laurent; Antigny, Fabrice; Chaumais, Marie-Camille; Dorfmuller, Peter; Hautefort, Aurelie; Raymond, Nicolas; Savale, Laurent; Jais, Xavier; Girerd, Barbara; Cottin, Vincent; Sitbon, Olivier; Simonneau, Gerald; Humbert, Marc; Montani, David</t>
  </si>
  <si>
    <t>Response to Letter Regarding Article, 'Mitomycin-Induced Pulmonary Veno-Occlusive Disease: Evidence From Human Disease and Animal Model (vol 133, pg e592, 2016)</t>
  </si>
  <si>
    <t>[Perros, Frederic; Gunther, Sven; Ranchoux, Benoit; Godinas, Laurent; Antigny, Fabrice; Dorfmuller, Peter; Hautefort, Aurelie; Raymond, Nicolas; Savale, Laurent; Jais, Xavier; Girerd, Barbara] Univ Paris 11, Fac Med, Le Kremlin Bicetre, France; [Perros, Frederic; Gunther, Sven; Ranchoux, Benoit; Godinas, Laurent; Antigny, Fabrice; Hautefort, Aurelie; Raymond, Nicolas; Savale, Laurent; Jais, Xavier; Girerd, Barbara; Sitbon, Olivier; Simonneau, Gerald; Humbert, Marc; Montani, David] Hop Bicetre, AP HP, Ctr Reference Hypertens Pulm Severe, Serv Pneumol, Le Kremlin Bicetre, France; [Perros, Frederic; Gunther, Sven; Ranchoux, Benoit; Godinas, Laurent; Antigny, Fabrice; Chaumais, Marie-Camille; Dorfmuller, Peter; Hautefort, Aurelie; Raymond, Nicolas; Savale, Laurent; Jais, Xavier; Girerd, Barbara; Sitbon, Olivier; Simonneau, Gerald; Humbert, Marc; Montani, David] Univ Paris 11, Ctr Chirurg Marie Lannelongue, INSERM, UMR S 999, Le Plessis Robinson, France; [Perros, Frederic] Univ Laval, Inst Univ Cardiol &amp; Pneumol Quebec, Ctr Rech, Pulm Hypertens Res Grp, Quebec City, PQ G1K 7P4, Canada; [Godinas, Laurent] Catholic Univ Louvain, CHU Mt Godinne, Serv Pneumol, Yvoir, Belgium; [Chaumais, Marie-Camille] Univ Paris 11, Fac Pharm, Chatenay Malabry, France; [Chaumais, Marie-Camille] Hop Antoine Beclere, AP HP, Dept Hosp Univ DHU Thorax Innovat, Serv Pharm, Clamart, France; [Dorfmuller, Peter] Ctr Chirurg Marie Lannelongue, Dept Pathol, Le Kremlin Bicetre, France; [Cottin, Vincent] Louis Pradel Hosp, Natl Reference Ctr Rare Pulm Dis, Lyon, France; [Sitbon, Olivier; Simonneau, Gerald; Humbert, Marc; Montani, David] Univ Paris 11, Fac Med, Le Kremlin Bicetre, France</t>
  </si>
  <si>
    <t>Universite Paris Saclay; Assistance Publique Hopitaux Paris (APHP); Hopital Universitaire Bicetre - APHP; Hopital Universitaire Antoine-Beclere - APHP; Universite Paris Saclay; Institut National de la Sante et de la Recherche Medicale (Inserm); Hopital Marie Lannelongue; Universite Paris Saclay; Laval University; Universite Catholique Louvain; Universite Catholique Louvain Hospital; Universite Paris Saclay; Assistance Publique Hopitaux Paris (APHP); Hopital Universitaire Antoine-Beclere - APHP; Hopital Marie Lannelongue; CHU Lyon; Universite Paris Saclay</t>
  </si>
  <si>
    <t>Perros, F (corresponding author), Univ Paris 11, Fac Med, Le Kremlin Bicetre, France.;Perros, F (corresponding author), Hop Bicetre, AP HP, Ctr Reference Hypertens Pulm Severe, Serv Pneumol, Le Kremlin Bicetre, France.;Perros, F (corresponding author), Univ Paris 11, Ctr Chirurg Marie Lannelongue, INSERM, UMR S 999, Le Plessis Robinson, France.;Perros, F (corresponding author), Univ Laval, Inst Univ Cardiol &amp; Pneumol Quebec, Ctr Rech, Pulm Hypertens Res Grp, Quebec City, PQ G1K 7P4, Canada.</t>
  </si>
  <si>
    <t>Savale, Laurent/AAJ-9781-2020; Ranchoux, Benoît/AAX-6037-2020; Simonneau, Gerald/ABE-6614-2020; Günther, Sven/ACV-7191-2022; Humbert, Marc/AAC-8459-2019; Godinas, Laurette/AAS-1059-2021; Antigny, Fabrice/Q-3999-2018; David, Montani/I-6885-2019; GUNTHER, Sven/P-4177-2017; Perros, Frederic/N-6921-2017</t>
  </si>
  <si>
    <t>GUNTHER, Sven/0000-0001-8388-6131; Montani, David/0000-0002-9358-6922; Perros, Frederic/0000-0001-7730-2427; Godinas, Laurent/0000-0003-2214-5879</t>
  </si>
  <si>
    <t>MAY 10</t>
  </si>
  <si>
    <t>E657</t>
  </si>
  <si>
    <t>E658</t>
  </si>
  <si>
    <t>10.1161/CIR.0000000000000425</t>
  </si>
  <si>
    <t>DM1CX</t>
  </si>
  <si>
    <t>WOS:000376083800004</t>
  </si>
  <si>
    <t>van der Bruggen, CE; Happé, CM; Dorfmüller, P; Trip, P; Spruijt, OA; Rol, N; Hoevenaars, FP; Houweling, AC; Girerd, B; Marcus, JT; Mercier, O; Humbert, M; Handoko, ML; van der Velden, J; Noordegraaf, AV; Bogaard, HJ; Goumans, MJ; de Man, FS</t>
  </si>
  <si>
    <t>van der Bruggen, Cathelijne E.; Happe, Chris M.; Dorfmueller, Peter; Trip, Pia; Spruijt, Onno A.; Rol, Nina; Hoevenaars, Femke P.; Houweling, Arjan C.; Girerd, Barbara; Marcus, Johannes T.; Mercier, Olaf; Humbert, Marc; Handoko, M. Louis; van der Velden, Jolanda; Noordegraaf, Anton Vonk; Bogaard, Harm Jan; Goumans, Marie-Jose; de Man, Frances S.</t>
  </si>
  <si>
    <t>Bone Morphogenetic Protein Receptor Type 2 Mutation in Pulmonary Arterial Hypertension A View on the Right Ventricle</t>
  </si>
  <si>
    <t>genetics; heart failure; hypertension, pulmonary</t>
  </si>
  <si>
    <t>BMPR2 MUTATION; GENE; HYPERTROPHY; INHIBITION; GENOMICS; SURVIVAL; CARRIERS</t>
  </si>
  <si>
    <t>Background-The effect of a mutation in the bone morphogenetic protein receptor 2 (BMPR2) gene on right ventricular (RV) pressure overload in patients with pulmonary arterial hypertension is unknown. Therefore, we investigated RV function in patients who have pulmonary arterial hypertension with and without the BMPR2 mutation by combining in vivo measurements with molecular and histological analysis of human RV and left ventricular tissue. Methods and Results-In total, 95 patients with idiopathic or familial pulmonary arterial hypertension were genetically screened for the presence of a BMPR2 mutation: 28 patients had a BMPR2 mutation, and 67 patients did not have a BMPR2 mutation. In vivo measurements were assessed using right heart catheterization and cardiac MRI. Despite a similar mean pulmonary artery pressure (noncarriers 54 +/- 15 versus mutation carriers 55 +/- 9 mm Hg) and pulmonary vascular resistance (755 [483-1043] versus 931 [624-1311] dynes.s(-1).cm(-5)), mutation carriers presented with a more severely compromised RV function (RV ejection fraction: 37.6 +/- 12.8% versus 29.0 +/- 9%: P&lt;0.05; cardiac index 2.7 +/- 0.9 versus 2.2 +/- 0.4L.min(-1).m(-2)). Differences continued to exist after treatment. To investigate the role of transforming growth factor beta and bone morphogenetic protein receptor II signaling, human RV and left ventricular tissue were studied in controls (n=6), mutation carriers (n=5), and noncarriers (n=11). However, transforming growth factor beta and bone morphogenetic protein receptor II signaling, and hypertrophy, apoptosis, fibrosis, capillary density, inflammation, and cardiac metabolism, as well, were similar between mutation carriers and noncarriers. Conclusions-Despite a similar afterload, RV function is more severely affected in mutation carriers than in noncarriers. However, these differences cannot be explained by a differential transforming growth factor beta, bone morphogenetic protein receptor II signaling, or cardiac adaptation.</t>
  </si>
  <si>
    <t>[van der Bruggen, Cathelijne E.; Happe, Chris M.; Trip, Pia; Spruijt, Onno A.; Rol, Nina; Noordegraaf, Anton Vonk; Bogaard, Harm Jan; de Man, Frances S.] Vrije Univ Amsterdam, Med Ctr, Inst Cardiovasc Res, Dept Pulmonol, NL-1007 MB Amsterdam, Netherlands; [Happe, Chris M.; Rol, Nina; Hoevenaars, Femke P.; van der Velden, Jolanda; de Man, Frances S.] Vrije Univ Amsterdam, Med Ctr, Inst Cardiovasc Res, Dept Physiol, NL-1007 MB Amsterdam, Netherlands; [Dorfmueller, Peter; Girerd, Barbara; Humbert, Marc] Univ Paris Sud, F-94275 Le Kremlin Bicetre, France; [Dorfmueller, Peter; Girerd, Barbara; Humbert, Marc] Hop Bicetre, AP HP, Serv Pneumol, Ctr Reference Hypertens Pulmonaire Severe,DHU Tho, Le Kremlin Bicetre, France; [Dorfmueller, Peter; Girerd, Barbara; Humbert, Marc] Ctr Chirurg Marie Lannelongue, LabEx LERMIT, INSERM 999, Le Plessis Robinson, France; [Houweling, Arjan C.] Vrije Univ Amsterdam, Med Ctr, Dept Clin Genet, NL-1007 MB Amsterdam, Netherlands; [Marcus, Johannes T.] Vrije Univ Amsterdam, Med Ctr, Dept Phys &amp; Med Technol, NL-1007 MB Amsterdam, Netherlands; [Mercier, Olaf] Univ Paris Sud, Hop Marie Lannelongue, Dept Thorac &amp; Vasc Surg &amp; Heart Lung Transplantat, Le Plessis Robinson, France; [Handoko, M. Louis] Vrije Univ Amsterdam, Med Ctr, Inst Cardiovasc Res, Dept Cardiol, NL-1007 MB Amsterdam, Netherlands; [Goumans, Marie-Jose] Leiden Univ, Med Ctr, Lab Expt Cardiol, Dept Mol Cell Biol, Leiden, Netherlands</t>
  </si>
  <si>
    <t>Vrije Universiteit Amsterdam; Vrije Universiteit Amsterdam; Universite Paris Saclay; Assistance Publique Hopitaux Paris (APHP); Hopital Universitaire Antoine-Beclere - APHP; Hopital Universitaire Bicetre - APHP; Universite Paris Saclay; Hopital Marie Lannelongue; Institut National de la Sante et de la Recherche Medicale (Inserm); Vrije Universiteit Amsterdam; Vrije Universiteit Amsterdam; Hopital Marie Lannelongue; Universite Paris Saclay; Vrije Universiteit Amsterdam; Leiden University - Excl LUMC; Leiden University; Leiden University Medical Center (LUMC)</t>
  </si>
  <si>
    <t>de Man, FS (corresponding author), Vrije Univ Amsterdam, Med Ctr, Dept Pulm Dis, Boelelaan 1117,ZH 4F010,POB 7057, NL-1007 MB Amsterdam, Netherlands.</t>
  </si>
  <si>
    <t>fs.deman@vumc.nl</t>
  </si>
  <si>
    <t>van der Velden, J/D-1925-2016; Goumans, Marie/U-1455-2019; Humbert, Marc/AAC-8459-2019</t>
  </si>
  <si>
    <t>Mercier, Olaf/0000-0002-4760-6267; Bogaard, Harm Jan/0000-0001-5371-0346; Handoko-de Man, Frances/0000-0002-5776-7793; Humbert, Marc/0000-0003-0703-2892; Hoevenaars, Femke Petronella Maria/0000-0002-1207-925X; Vonk Noordegraaf, Anton/0000-0002-4057-758X; van der Velden, Jolanda/0000-0001-5224-5788; Dorfmuller, Peter/0000-0003-2499-6829; Goumans, Marie Jose/0000-0001-9344-6746</t>
  </si>
  <si>
    <t>Netherlands Cardio Vascular Research Initiative: the Dutch Heart Foundation; Dutch Federation of University Medical Centers; Netherlands Organization for Health Research and Development; Royal Netherlands Academy of Arts and Sciences [CVON 2012-08]; Netherlands Organization for Scientific Research [NWO: 916.14.099]; L'Oreal/Unesco for Women in Science; American Thoracic Society (ATS: Jerry Wojciechowski Memorial Pulmonary Hypertension Research Grant); European Respiratory Society; Netherlands Institute for Advanced Studies (NIAS)</t>
  </si>
  <si>
    <t>Netherlands Cardio Vascular Research Initiative: the Dutch Heart Foundation; Dutch Federation of University Medical Centers; Netherlands Organization for Health Research and Development(Netherlands Organization for Health Research and Development); Royal Netherlands Academy of Arts and Sciences; Netherlands Organization for Scientific Research(Netherlands Organization for Scientific Research (NWO)); L'Oreal/Unesco for Women in Science(L'Oreal Group); American Thoracic Society (ATS: Jerry Wojciechowski Memorial Pulmonary Hypertension Research Grant); European Respiratory Society; Netherlands Institute for Advanced Studies (NIAS)</t>
  </si>
  <si>
    <t>Drs van der Bruggen, Happe, Spruijt, Rol, Vonk Noordegraaf, Bogaard, Goumans, and de Man were supported by the Netherlands Cardio Vascular Research Initiative: the Dutch Heart Foundation, Dutch Federation of University Medical Centers, the Netherlands Organization for Health Research and Development, and the Royal Netherlands Academy of Arts and Sciences (CVON 2012-08). Dr de Man received a VENI grant from the Netherlands Organization for Scientific Research (NWO: 916.14.099), and is further supported by L'Oreal/Unesco for Women in Science and Netherlands Institute for Advanced Studies (NIAS), the American Thoracic Society (ATS: Jerry Wojciechowski Memorial Pulmonary Hypertension Research Grant), and the European Respiratory Society.</t>
  </si>
  <si>
    <t>MAY 3</t>
  </si>
  <si>
    <t>10.1161/CIRCULATIONAHA.115.020696</t>
  </si>
  <si>
    <t>DL4KN</t>
  </si>
  <si>
    <t>WOS:000375604400005</t>
  </si>
  <si>
    <t>Berthelot, E; Montani, D; Dreyfuss, C; Algalarrondo, V; Chemla, D; Sitbon, O; Humbert, M; Assayag, P</t>
  </si>
  <si>
    <t>Berthelot, E.; Montani, D.; Dreyfuss, C.; Algalarrondo, V.; Chemla, D.; Sitbon, O.; Humbert, M.; Assayag, P.</t>
  </si>
  <si>
    <t>A simple score to discriminate pulmonary hypertension due to HFpEF</t>
  </si>
  <si>
    <t>[Berthelot, E.; Dreyfuss, C.; Assayag, P.] Univ Paris 11, Hop Bicetre, AP HP, Serv Cardiol, Le Kremlin Bicetre, France; [Montani, D.; Chemla, D.; Sitbon, O.; Humbert, M.] Univ Paris 11, Hop Bicetre, AP HP, Serv Pneumol &amp; Soins Intensifs, Le Kremlin Bicetre, France; [Algalarrondo, V.] Hosp Antoine Beclere, Cardiol, Clamart, France</t>
  </si>
  <si>
    <t>Assistance Publique Hopitaux Paris (APHP); Hopital Universitaire Bicetre - APHP; Hopital Universitaire Antoine-Beclere - APHP; Universite Paris Saclay; Assistance Publique Hopitaux Paris (APHP); Hopital Universitaire Bicetre - APHP; Hopital Universitaire Antoine-Beclere - APHP; Universite Paris Saclay; Assistance Publique Hopitaux Paris (APHP); Hopital Universitaire Antoine-Beclere - APHP</t>
  </si>
  <si>
    <t>Humbert, Marc/AAC-8459-2019; Sitbon, Olivier/I-3623-2019; Assayag, Patrick/GPS-4910-2022; David, Montani/I-6885-2019</t>
  </si>
  <si>
    <t>DN5KZ</t>
  </si>
  <si>
    <t>WOS:000377107503034</t>
  </si>
  <si>
    <t>Ghofrani, HA; Grimminger, F; Grünig, E; Huang, YG; Jansa, P; Jing, ZC; Kilpatrick, D; Langleben, D; Rosenkranz, S; Menezes, F; Fritsch, A; Nikkho, S; Humbert, M</t>
  </si>
  <si>
    <t>Ghofrani, Hossein-Ardeschir; Grimminger, Friedrich; Gruenig, Ekkehard; Huang, Yigao; Jansa, Pavel; Jing, Zhi-Cheng; Kilpatrick, David; Langleben, David; Rosenkranz, Stephan; Menezes, Flavia; Fritsch, Arno; Nikkho, Sylvia; Humbert, Marc</t>
  </si>
  <si>
    <t>Predictors of long-term outcomes in patients treated with riociguat for pulmonary arterial hypertension: data from the PATENT-2 open-label, randomised, long-term extension trial</t>
  </si>
  <si>
    <t>6-MINUTE WALK DISTANCE; 1ST-LINE BOSENTAN; SUBCUTANEOUS TREPROSTINIL; PREVALENT COHORTS; SURVIVAL; THERAPY; METAANALYSIS; VALIDATION; INCIDENT</t>
  </si>
  <si>
    <t>Background Pulmonary arterial hypertension is a chronic disease associated with poor long-term outcomes. Identifying predictors of long-term outcome in pulmonary arterial hypertension is important to assess disease severity and guide treatment. We investigate associations between efficacy parameters and long-term outcomes in patients with pulmonary arterial hypertension receiving riociguat in the PATENT-2 study. We also present safety and efficacy data from the final data cutoff of PATENT-2, where most patients had received at least 2 years of riociguat treatment. Methods Eligible patients from the PATENT-1 study entered the PATENT-2 open-label extension, which will continue until all patients transition to the commercial drug. All patients received riociguat individually adjusted to a maximum dose of 2.5 mg three times a day. The primary endpoint was safety and tolerability, assessed with recording adverse events, serious adverse events, discontinuations, and deaths; exploratory assessments included 6-min walking distance (6MWD), WHO functional class, N-terminal prohormone of brain natriuretic peptide (NT-proBNP) concentrations, Borg dyspnoea score, health-related quality of life (EQ-5D score), survival, and clinical worsening-free survival. Association between efficacy parameters and long-term outcomes was assessed using Kaplan-Meier analyses and a Cox proportional-hazards regression model. PATENT-2 is registered at ClinicalTrials.gov, number NCT00863681. Findings 396 patients entered PATENT-2, of whom 197 patients were receiving riociguat monotherapy and 199 were receiving riociguat in combination with endothelin receptor antagonists or prostanoids, or both. A significant association was noted between 6MWD, NT-proBNP concentration, and WHO functional class and overall survival at baseline (p=0.0006, 0.0225, and 0.0191, respectively), and at follow-up (p=0.021, 0.0056, and 0.0048, respectively). Riociguat was well tolerated in PATENT-2. Serious adverse events were recorded in 238 (60%) of the total population, and 45 (11%) patients discontinued treatment because of an adverse event. Improvements in 6MWD, WHO functional class, and NT-proBNP concentrations were maintained after 2 years of treatment. Interpretation These results support the long-term use of riociguat in patients with pulmonary arterial hypertension, and emphasise the prognostic value of 6MWD, WHO functional class, and NT-proBNP concentrations.</t>
  </si>
  <si>
    <t>[Ghofrani, Hossein-Ardeschir; Grimminger, Friedrich] Univ Giessen, D-35390 Giessen, Germany; [Ghofrani, Hossein-Ardeschir; Grimminger, Friedrich] Marburg Lung Ctr UGMLC, Giessen, Germany; [Ghofrani, Hossein-Ardeschir; Grimminger, Friedrich] German Ctr Lung Res DZL, Giessen, Germany; [Ghofrani, Hossein-Ardeschir] Univ London Imperial Coll Sci Technol &amp; Med, Dept Med, London, England; [Gruenig, Ekkehard] Univ Heidelberg Hosp, Ctr Pulm Hypertens, Thoraxclin, Heidelberg, Germany; [Huang, Yigao] Guangdong Gen Hosp, Dept Cardiol, Guangzhou, Guangdong, Peoples R China; [Huang, Yigao] Guangdong Cardiovasc Inst, Guangzhou, Guangdong, Peoples R China; [Jansa, Pavel] First Fac Med, Clin Dept Cardiol &amp; Angiol, Prague, Czech Republic; [Jansa, Pavel] Gen Teaching Hosp, Prague, Czech Republic; [Jing, Zhi-Cheng] Peking Union Med Coll, Fu Wai Hosp, State Key Lab Cardiovasc Dis, Beijing 100021, Peoples R China; [Jing, Zhi-Cheng] Chinese Acad Med Sci, Beijing 100730, Peoples R China; [Kilpatrick, David] Univ Tasmania, Discipline Med, Hobart, Tas, Australia; [Langleben, David] McGill Univ, Jewish Gen Hosp, Ctr Pulm Vasc Dis, Montreal, PQ H3T 1E2, Canada; [Langleben, David] McGill Univ, Jewish Gen Hosp, Lady Davis Inst, Montreal, PQ H3T 1E2, Canada; [Rosenkranz, Stephan] Univ Cologne, Ctr Heart, Dept Internal Med 3, D-50931 Cologne, Germany; [Rosenkranz, Stephan] Univ Cologne, Ctr Heart, Cologne Cardiovasc Res Ctr, D-50931 Cologne, Germany; [Menezes, Flavia] Bayer HealthCare Pharmaceut, Sao Paulo, Brazil; [Fritsch, Arno] Bayer Pharma AG, Global Clin Dev, Wuppertal, Germany; [Nikkho, Sylvia] Bayer Pharma AG, Global Clin Dev, Berlin, Germany; [Humbert, Marc] Univ Paris 11, Univ Paris Saclay, Le Kremlin Bicetre, France; [Humbert, Marc] Hop Bicetre, AP HP, Serv Pneumol, Le Kremlin Bicetre, France; [Humbert, Marc] Hop Marie Lannelongue, Inserm UMR S 999, 133 Ave Resistance, F-92350 Le Plessis Robinson, France</t>
  </si>
  <si>
    <t>Justus Liebig University Giessen; Imperial College London; Ruprecht Karls University Heidelberg; Guangdong Academy of Medical Sciences &amp; Guangdong General Hospital; Charles University Prague; General University Hospital Prague; Chinese Academy of Medical Sciences - Peking Union Medical College; Peking Union Medical College; Fu Wai Hospital - CAMS; Chinese Academy of Medical Sciences - Peking Union Medical College; University of Tasmania; McGill University; McGill University; Lady Davis Institute; University of Cologne; University of Cologne; Bayer AG; Bayer Healthcare Pharmaceuticals; Bayer AG; Bayer Healthcare Pharmaceuticals; Bayer AG; Bayer Healthcare Pharmaceuticals; Universite Paris Saclay; Assistance Publique Hopitaux Paris (APHP); Hopital Universitaire Bicetre - APHP; Hopital Universitaire Antoine-Beclere - APHP; Universite Paris Saclay; Universite Paris Saclay; Institut National de la Sante et de la Recherche Medicale (Inserm); Hopital Marie Lannelongue</t>
  </si>
  <si>
    <t>Ghofrani, HA (corresponding author), Univ Hosp Giessen &amp; Marburg, Med Clin 2 5, Dept Internal Med, Klin Str 33, D-35392 Giessen, Germany.</t>
  </si>
  <si>
    <t>Ghofrani, Ardeschir/AAD-5293-2020; Menezes, Flavia/JDV-6626-2023; Langleben, David/AAJ-9152-2020; Jansa, Pavel/O-2302-2017; Humbert, Marc/AAC-8459-2019; Jing, Zhi-Cheng/AAT-9081-2021</t>
  </si>
  <si>
    <t>Ghofrani, Ardeschir/0000-0002-2029-4419; Grimminger, Friedrich/0000-0001-8725-6276; Jansa, Pavel/0000-0002-3711-7064; Humbert, Marc/0000-0003-0703-2892; Jing, Zhi-Cheng/0000-0003-0493-0929</t>
  </si>
  <si>
    <t>Bayer Pharma AG.</t>
  </si>
  <si>
    <t>10.1016/S2213-2600(16)30019-4</t>
  </si>
  <si>
    <t>DK7ZL</t>
  </si>
  <si>
    <t>WOS:000375145800022</t>
  </si>
  <si>
    <t>Godinas, L; Amar, D; Montani, D; Lau, EM; Jai's, X; Savale, L; Jevnikar, M; Sitbon, O; Simonneau, G; Humbert, M; Laveneziana, P; Garcia, G</t>
  </si>
  <si>
    <t>Godinas, Laurent; Amar, David; Montani, David; Lau, Edmund M.; Jai's, Xavier; Savale, Laurent; Jevnikar, Mitja; Sitbon, Olivier; Simonneau, Gerald; Humbert, Marc; Laveneziana, Pierantonio; Garcia, Gilles</t>
  </si>
  <si>
    <t>Lung capillary blood volume and membrane diffusion in precapillary pulmonary hypertension</t>
  </si>
  <si>
    <t>lung capillary blood volume; membrane diffusion; pulmonary veno-occlusive disease; chronic thromboembolic disease; pulmonary arterial hypertension</t>
  </si>
  <si>
    <t>VENOOCCLUSIVE DISEASE; ARTERIAL-HYPERTENSION; CARBON-MONOXIDE; CAPACITY; CO; NO</t>
  </si>
  <si>
    <t>BACKGROUND: Combined diffusion capacity of the lung for carbon monoxide (DLco) and nitric oxide (DLNO) measurements allow for the estimation of pulmonary capillary blood volume (Vc) and alveolar membrane diffusion (Dm). The clinical usefulness of these measurements in pulmonary hypertension (PH) is unclear. METHODS: Combined DLCO and DLNO were measured in 290 consecutive patients with precapillary PH (pulmonary arterial hypertension (PAH), n = 153; pulmonary veno-occlusive disease (PVOD), 72 = 33; and chronic thromboembolic pulmonary hypertension (CTEPH), 72 = 104). Clinical correlates of Vc and Dm were assessed in a sub-group of PAH patients without comorbidities. RESULTS: PVOD patients compared with PAH and CTEPH patients displayed the lowest values of Ye (29.4 +/- 16.8 ml vs 56.3 +/- 26.5 ml vs 56.9 +/- 26.2 ml, p &lt; 0.01, respectively) and Dm (27.7 +/- 11.6 ml/mm Hg/min vs 43.4 +/- 14.8 ml/mm Hg/min vs 44.7 +/- 17.7 ml/mm Hg/min, p &lt; 0.01, respectively). The DLNO/DLCO ratio was highest in the PVOD group (5.82 +/- 2.04 vs 4.95 +/- 1.31 vs 5.16 +/- 1.58, p &lt; 0.05). In a sub-set of 69 PAH patients without comorbidities, Ve and Dm correlated significantly with functional capacity (6-minute walking distance, oxygen consumption) and New York Heart Association Functional Classification but not with invasive hemodynamics. Only Dm was significantly associated with survival. On receiver operating characteristic curve analysis, Vc, Dm, and DLNO/DLCO were not superior to DLCO for discriminating PVOD from PAH or CTEPH. CONCLUSIONS: PVOD patients display higher values of the DLNO/DLCO ratio compared with PAH and CTEPH, suggesting proportionally greater reduction in Vc relative to Dm. However, partitioning of diffusion failed to be more clinically relevant than conventional DLCO for detection of PVOD. (C) 2016 International Society for Heart and Lung Transplantation. All rights reserved.</t>
  </si>
  <si>
    <t>[Godinas, Laurent; Amar, David; Montani, David; Lau, Edmund M.; Jai's, Xavier; Savale, Laurent; Jevnikar, Mitja; Sitbon, Olivier; Simonneau, Gerald; Humbert, Marc; Laveneziana, Pierantonio; Garcia, Gilles] Hop Bicetre, AP HP, Ctr Referencedel Hypertens Pulmonaire Severe, Dept Hosp Univ Thorax Innovat,Serv Pneumol, Le Kremlin Bicetre, France; [Godinas, Laurent; Amar, David; Montani, David; Lau, Edmund M.; Jai's, Xavier; Savale, Laurent; Jevnikar, Mitja; Sitbon, Olivier; Simonneau, Gerald; Humbert, Marc; Laveneziana, Pierantonio; Garcia, Gilles] Univ Paris Sud, Fac Med, F-94275 Le Kremlin Bicetre, France; [Godinas, Laurent; Amar, David; Montani, David; Lau, Edmund M.; Jai's, Xavier; Savale, Laurent; Jevnikar, Mitja; Sitbon, Olivier; Simonneau, Gerald; Humbert, Marc; Laveneziana, Pierantonio; Garcia, Gilles] Univ Paris Sud, Lab Excellence Rech Medicament &amp; Innovat Therapeu, INSERM, UMR S 999,Ctr Chirurg Marie Lannelongue, Le Plessis Robinson, France; [Godinas, Laurent] Univ Catholique Louvain Mt Godinne, Ctr Hosp Univ, Dept Pneumol, Yvoir, Belgium; [Lau, Edmund M.] Univ Sydney, Sydney Med Sch, Camperdown, NSW, Australia; [Laveneziana, Pierantonio] Grp Hosp Pitie Salpetriere Charles Foix, AP HP, Serv Explorat Fonct Respirat Exercice &amp; Dyspnee, Dept R3S, Paris, France; [Laveneziana, Pierantonio] Univ Paris 06, Sorbonne Univ, INSERM, Unite Med Rech Sci Neurophysiol Resp Expt &amp; Clin, Paris, France</t>
  </si>
  <si>
    <t>Assistance Publique Hopitaux Paris (APHP); Hopital Universitaire Bicetre - APHP; Universite Paris Saclay; Hopital Universitaire Antoine-Beclere - APHP; Universite Paris Saclay; Institut National de la Sante et de la Recherche Medicale (Inserm); Hopital Marie Lannelongue; Universite Paris Saclay; Universite Catholique Louvain; University of Sydney; Assistance Publique Hopitaux Paris (APHP); Hopital Universitaire Pitie-Salpetriere - APHP; Sorbonne Universite; Hopital Universitaire Charles-Foix - APHP; Institut National de la Sante et de la Recherche Medicale (Inserm); Sorbonne Universite</t>
  </si>
  <si>
    <t>Garcia, G (corresponding author), Hop Univ Bicetre, Fonct Resp, 78 Rue Gen Leclerc, F-94270 Le Kremlin Bicetre, France.</t>
  </si>
  <si>
    <t>gilles.garcia@bct.aphp.fr</t>
  </si>
  <si>
    <t>Simonneau, Gerald/ABE-6614-2020; Godinas, Laurette/AAS-1059-2021; Laveneziana, Pierantonio/GWC-2028-2022; Savale, Laurent/AAJ-9781-2020; Sitbon, Olivier/I-3623-2019; David, Montani/I-6885-2019; Humbert, Marc/AAC-8459-2019</t>
  </si>
  <si>
    <t>SITBON, Olivier/0000-0002-1942-1951; JAIS, XAVIER/0000-0002-4104-7994; Montani, David/0000-0002-9358-6922; Godinas, Laurent/0000-0003-2214-5879; Humbert, Marc/0000-0003-0703-2892</t>
  </si>
  <si>
    <t>10.1016/j.healun.2015.12.022</t>
  </si>
  <si>
    <t>DN3HB</t>
  </si>
  <si>
    <t>WOS:000376951900016</t>
  </si>
  <si>
    <t>Toward better management of rare and orphan pulmonary diseases</t>
  </si>
  <si>
    <t>SEVERE ASTHMA</t>
  </si>
  <si>
    <t>[Harari, Sergio] Osped San Giuseppe MultiMed IRCCS, Serv Fisiopatol Resp &amp; Emodinam Polmonare, Unita Operat Pneumol &amp; Terapia Semiintens Resp, Via San Vittore 12, I-20123 Milan, Italy; [Humbert, Marc] Hop Univ Paris Sud, Hop Bicetre, Assistance Publ Hop Paris, Ctr Natl Reference Hypertens Pulm Severe, Le Kremlin Bicetre, France</t>
  </si>
  <si>
    <t>Assistance Publique Hopitaux Paris (APHP); Hopital Universitaire Bicetre - APHP; Hopital Universitaire Antoine-Beclere - APHP; Universite Paris Saclay; Universite Paris Cite; Hopital Universitaire Saint-Louis - APHP</t>
  </si>
  <si>
    <t>Harari, S (corresponding author), Osped San Giuseppe MultiMed IRCCS, Serv Fisiopatol Resp &amp; Emodinam Polmonare, Unita Operat Pneumol &amp; Terapia Semiintens Resp, Via San Vittore 12, I-20123 Milan, Italy.</t>
  </si>
  <si>
    <t>Harari, Sergio/0000-0001-8629-7391; Humbert, Marc/0000-0003-0703-2892</t>
  </si>
  <si>
    <t>10.1183/13993003.00390-2016</t>
  </si>
  <si>
    <t>DZ6FA</t>
  </si>
  <si>
    <t>WOS:000385955800012</t>
  </si>
  <si>
    <t>Lau, EMT; Godinas, L; Sitbon, O; Montani, D; Savale, L; Jaïs, X; Lador, F; Gunther, S; Celermajer, DS; Simonneau, G; Humbert, M; Chemla, D; Herve, P</t>
  </si>
  <si>
    <t>Lau, Edmund M. T.; Godinas, Laurent; Sitbon, Olivier; Montani, David; Savale, Laurent; JaIS, Xavier; Lador, Frederic; Gunther, Sven; Celermajer, David S.; Simonneau, GERald; Humbert, Marc; Chemla, Denis; Herve, Philippe</t>
  </si>
  <si>
    <t>Resting pulmonary artery pressure of 21-24 mmHg predicts abnormal exercise haemodynamics</t>
  </si>
  <si>
    <t>VASCULAR-DISEASE; HEART CATHETERIZATION; HYPERTENSION; DIAGNOSIS; FRACTION; FAILURE</t>
  </si>
  <si>
    <t>A resting mean pulmonary artery pressure (mPAP) of 21-24 mmHg is above the upper limit of normal but does not reach criteria for the diagnosis of pulmonary hypertension (PH). We sought to determine whether an mPAP of 21-24 mmHg is associated with an increased risk of developing an abnormal pulmonary vascular response during exercise. Consecutive patients (n=290) with resting mPAP &lt;25 mmHg who underwent invasive exercise haemodynamics were analysed. Risk factors for pulmonary vascular disease or left heart disease were present in 63.4% and 43.8% of subjects. An abnormal pulmonary vascular response (or exercise PH) was defined by mPAP &gt;30 mmHg and total pulmonary vascular resistance &gt;3 WU at maximal exercise. Exercise PH occurred in 74 (86.0%) out of 86 versus 96 (47.1%) out of 204 in the mPAP of 21-24 mmHg and mPAP &lt;21 mmHg groups, respectively (OR 6.9, 95% CI: 3.6-13.6; p&lt;0.0001). Patients with mPAP of 21-24 mmHg had lower 6-min walk distance (p=0.002) and higher New York Heart Association functional class status (p=0.03). Decreasing levels of mPAP were associated with a lower prevalence of exercise PH, which occurred in 60.3%, 38.7% and 7.7% of patients with mPAP of 17-20, 13-16 and &lt;13 mmHg, respectively. In an at-risk population, a resting mPAP between 21-24 mmHg is closely associated with exercise PH together with worse functional capacity.</t>
  </si>
  <si>
    <t>[Lau, Edmund M. T.; Celermajer, David S.] Univ Sydney, Sydney Med Sch, Camperdown, NSW, Australia; [Lau, Edmund M. T.; Godinas, Laurent; Sitbon, Olivier; Montani, David; Savale, Laurent; JaIS, Xavier; Gunther, Sven; Simonneau, GERald; Humbert, Marc; Chemla, Denis] Univ Paris 11, Le Kremlin Bicetre, France; [Lau, Edmund M. T.; Godinas, Laurent; Sitbon, Olivier; Montani, David; Savale, Laurent; JaIS, Xavier; Lador, Frederic; Gunther, Sven; Simonneau, GERald; Humbert, Marc; Herve, Philippe] Hop Bicetre, AP HP, DHU Thorax Innovat, Serv Pneumol,Ctr Reference Hypertens Pulmonaire S, Le Kremlin Bicetre, France; [Lau, Edmund M. T.; Godinas, Laurent; Sitbon, Olivier; Montani, David; Savale, Laurent; JaIS, Xavier; Gunther, Sven; Simonneau, GERald; Humbert, Marc; Chemla, Denis; Herve, Philippe] Ctr Chirurg Marie Lannelongue, INSERM UMR S999, LabEx LERMIT, Le Plessis Robinson, France; [Godinas, Laurent] Catholic Univ Louvain, CHU Mt Godinne, Yvoir, Belgium; [Lador, Frederic] Hop Univ Geneve, Programme Hypertens Pulm, Serv Pneumol, Geneva, Switzerland; [Herve, Philippe] Hop Marie Lannelongue, Dept Chirurg Thorac Vasc &amp; Transplantat Pulm, Le Plessis Robinson, France</t>
  </si>
  <si>
    <t>University of Sydney; Universite Paris Saclay; Universite Paris Saclay; Assistance Publique Hopitaux Paris (APHP); Hopital Universitaire Antoine-Beclere - APHP; Hopital Universitaire Bicetre - APHP; Hopital Marie Lannelongue; Institut National de la Sante et de la Recherche Medicale (Inserm); Universite Catholique Louvain; Universite Catholique Louvain Hospital; University of Geneva; Hopital Marie Lannelongue</t>
  </si>
  <si>
    <t>Savale, Laurent/AAJ-9781-2020; Sitbon, Olivier/I-3623-2019; Simonneau, Gerald/ABE-6614-2020; Celermajer, David/KYZ-0123-2024; Godinas, Laurette/AAS-1059-2021; David, Montani/I-6885-2019; Günther, Sven/ACV-7191-2022; Humbert, Marc/AAC-8459-2019; GUNTHER, Sven/P-4177-2017</t>
  </si>
  <si>
    <t>Montani, David/0000-0002-9358-6922; JAIS, XAVIER/0000-0002-4104-7994; CHEMLA, Denis/0000-0001-7479-9896; Humbert, Marc/0000-0003-0703-2892; Celermajer, David/0000-0001-7640-0439; Godinas, Laurent/0000-0003-2214-5879; SITBON, Olivier/0000-0002-1942-1951; Lador, Frederic/0000-0002-4276-635X; GUNTHER, Sven/0000-0001-8388-6131</t>
  </si>
  <si>
    <t>10.1183/13993003.01684-2015</t>
  </si>
  <si>
    <t>WOS:000385955800026</t>
  </si>
  <si>
    <t>Montani, D; Lau, EM; Dorfmüller, P; Girerd, B; Jaïs, X; Savale, L; Perros, F; Nossent, E; Garcia, G; Parent, F; Fadel, E; Soubrier, F; Sitbon, O; Simonneau, G; Humbert, M</t>
  </si>
  <si>
    <t>Montani, David; Lau, Edmund M.; Dorfmueller, Peter; Girerd, Barbara; Jais, Xavier; Savale, Laurent; Perros, Frederic; Nossent, Esther; Garcia, Gilles; Parent, Florence; Fadel, Elie; Soubrier, Florent; Sitbon, Olivier; Simonneau, Gerald; Humbert, Marc</t>
  </si>
  <si>
    <t>BONE-MARROW-TRANSPLANTATION; VENO-OCCLUSIVE DISEASE; STEM-CELL TRANSPLANTATION; CALCIUM-CHANNEL BLOCKERS; LONG-TERM RESPONSE; ARTERIAL-HYPERTENSION; CAPILLARY HEMANGIOMATOSIS; COMBINATION THERAPY; GROWTH-FACTOR; NITRIC-OXIDE</t>
  </si>
  <si>
    <t>Pulmonary veno-occlusive disease (PVOD) is a rare form of pulmonary hypertension (PH) characterised by preferential remodelling of the pulmonary venules. In the current PH classification, PVOD and pulmonary capillary haemangiomatosis (PCH) are considered to be a common entity and represent varied expressions of the same disease. The recent discovery of biallelic mutations in the EIF2AK4 gene as the cause of heritable PVOD/PCH represents a major milestone in our understanding of the molecular pathogenesis of PVOD. Although PVOD and pulmonary arterial hypertension (PAH) share a similar clinical presentation, with features of severe precapillary PH, it is important to differentiate these two conditions as PVOD carries a worse prognosis and life-threatening pulmonary oedema may occur following the initiation of PAH therapy. An accurate diagnosis of PVOD based on noninvasive investigations is possible utilising oxygen parameters, low diffusing capacity for carbon monoxide and characteristic signs on high-resolution computed tomography of the chest. No evidence-based medical therapy exists for PVOD at present and lung transplantation remains the preferred definitive therapy for eligible patients.</t>
  </si>
  <si>
    <t>[Montani, David; Dorfmueller, Peter; Girerd, Barbara; Jais, Xavier; Savale, Laurent; Perros, Frederic; Nossent, Esther; Garcia, Gilles; Parent, Florence; Fadel, Elie; Sitbon, Olivier; Simonneau, Gerald; Humbert, Marc] Univ Paris Saclay, Univ Paris 11, Fac Med, Le Kremlin Bicetre, France; [Montani, David; Lau, Edmund M.; Dorfmueller, Peter; Girerd, Barbara; Jais, Xavier; Savale, Laurent; Perros, Frederic; Nossent, Esther; Garcia, Gilles; Parent, Florence; Sitbon, Olivier; Simonneau, Gerald; Humbert, Marc] Hop Bicetre, AP HP, Serv Pneumol, Le Kremlin Bicetre, France; [Montani, David; Lau, Edmund M.; Girerd, Barbara; Jais, Xavier; Savale, Laurent; Perros, Frederic; Garcia, Gilles; Parent, Florence; Fadel, Elie; Sitbon, Olivier; Simonneau, Gerald; Humbert, Marc] Ctr Chirurg Marie Lannelongue, Inserm UMR S 999, Le Plessis Robinson, France; [Montani, David] Univ Sydney, Royal Prince Alfred Hosp, Sydney Med Sch, Dept Resp Med, Camperdown, NSW, Australia; [Dorfmueller, Peter; Nossent, Esther] Ctr Chirurg Marie Lannelongue, Serv Anat Pathol, Le Plessis Robinson, France; [Fadel, Elie] Ctr Chirurg Marie Lannelongue, Serv Chirurg Thorac, Le Plessis Robinson, France; [Soubrier, Florent] Univ Paris 06, Grp Hosp Pitie Salpetriere, INSERM, Lab Oncogenet &amp; Angiogenet Mol,UMRS 956, Paris, France</t>
  </si>
  <si>
    <t>Universite Paris Saclay; Universite Paris Saclay; Assistance Publique Hopitaux Paris (APHP); Hopital Universitaire Antoine-Beclere - APHP; Hopital Universitaire Bicetre - APHP; Universite Paris Saclay; Institut National de la Sante et de la Recherche Medicale (Inserm); Hopital Marie Lannelongue; NSW Health; Royal Prince Alfred Hospital; University of Sydney; Hopital Marie Lannelongue; Hopital Marie Lannelongue; Sorbonne Universite; Institut National de la Sante et de la Recherche Medicale (Inserm); Assistance Publique Hopitaux Paris (APHP); Hopital Universitaire Pitie-Salpetriere - APHP</t>
  </si>
  <si>
    <t>Humbert, M (corresponding author), Univ Paris 11, Hop Bicetre, Ctr Natl Reference Hypertens Pulm Severe, Serv Pneumol, 78 Rue General Leclerc, F-94270 Le Kremlin Bicetre, France.</t>
  </si>
  <si>
    <t>Savale, Laurent/AAJ-9781-2020; Simonneau, Gerald/ABE-6614-2020; David, Montani/I-6885-2019; Sitbon, Olivier/I-3623-2019; Humbert, Marc/AAC-8459-2019; Perros, Frederic/N-6921-2017</t>
  </si>
  <si>
    <t>Humbert, Marc/0000-0003-0703-2892; JAIS, XAVIER/0000-0002-4104-7994; Dorfmuller, Peter/0000-0003-2499-6829; SITBON, Olivier/0000-0002-1942-1951; Montani, David/0000-0002-9358-6922; Perros, Frederic/0000-0001-7730-2427</t>
  </si>
  <si>
    <t>10.1183/13993003.00026-2016</t>
  </si>
  <si>
    <t>WOS:000385955800035</t>
  </si>
  <si>
    <t>Sotgiu, G; Humbert, M; Dinh-Xuan, AT; Migliori, GB</t>
  </si>
  <si>
    <t>Sotgiu, Giovanni; Humbert, Marc; Anh Tuan Dinh-Xuan; Migliori, Giovanni Battista</t>
  </si>
  <si>
    <t>Clinical trials: registration and transparency</t>
  </si>
  <si>
    <t>XDR-TB; TOLERABILITY; EFFICACY; SAFETY; TUBERCULOSIS</t>
  </si>
  <si>
    <t>Univ Sassari, Dept Biomed Sci, Clin Epidemiol &amp; Med Stat Unit, Res Med Educ &amp; Profess Dev Unit, Sassari, Italy; Univ Paris Sud, Univ Paris Saclay, Fac Med, Le Kremlin Bicetre, France; Hop Bicetre, AP HP, Serv Pneumol, Le Kremlin Bicetre, France; Ctr Chirurg Marie Lannelongue, INSERM, UMR S 999, Le Plessis Robinson, France; [Anh Tuan Dinh-Xuan] Paris Descartes Univ, Hop Cochin, AP HP, Serv Physiol,EA 2511, Paris, France; [Migliori, Giovanni Battista] Fdn S Maugeri, WHO Collaborating Ctr TB &amp; Lung Dis, Care &amp; Res Inst, Via Roncaccio 16, I-21049 Tradate, VA, Italy</t>
  </si>
  <si>
    <t>University of Sassari; Universite Paris Saclay; Universite Paris Saclay; Assistance Publique Hopitaux Paris (APHP); Hopital Universitaire Antoine-Beclere - APHP; Hopital Universitaire Bicetre - APHP; Universite Paris Saclay; Institut National de la Sante et de la Recherche Medicale (Inserm); Hopital Marie Lannelongue; Assistance Publique Hopitaux Paris (APHP); Universite Paris Cite; Hopital Universitaire Cochin - APHP; World Health Organization; Istituti Clinici Scientifici Maugeri IRCCS</t>
  </si>
  <si>
    <t>Migliori, GB (corresponding author), Fdn S Maugeri, WHO Collaborating Ctr TB &amp; Lung Dis, Care &amp; Res Inst, Via Roncaccio 16, I-21049 Tradate, VA, Italy.</t>
  </si>
  <si>
    <t>giovannibattista.migliori@fsm.it</t>
  </si>
  <si>
    <t>Sotgiu, Giovanni/N-1032-2017; Migliori, Giovanni Battista/AAB-8589-2020; Humbert, Marc/AAC-8459-2019; Dinh-Xuan, Anh Tuan/A-9691-2008</t>
  </si>
  <si>
    <t>Migliori, Giovanni Battista/0000-0002-2597-574X; Humbert, Marc/0000-0003-0703-2892; Dinh-Xuan, Anh Tuan/0000-0001-8651-5176</t>
  </si>
  <si>
    <t>10.1183/13993003.00479-2016</t>
  </si>
  <si>
    <t>WOS:000385955800014</t>
  </si>
  <si>
    <t>Antigny, F; Hautefort, A; Meloche, J; Belacel-Ouari, M; Manoury, B; Rucker-Martin, C; Péchoux, C; Potus, F; Nadeau, V; Tremblay, E; Ruffenach, G; Bourgeois, A; Dorfmüller, P; Breuils-Bonnet, S; Fadel, E; Ranchoux, B; Jourdon, P; Girerd, B; Montani, D; Provencher, S; Bonnet, S; Simonneau, G; Humbert, M; Perros, F</t>
  </si>
  <si>
    <t>Antigny, Fabrice; Hautefort, Aurelie; Meloche, Jolyane; Belacel-Ouari, Milia; Manoury, Boris; Rucker-Martin, Catherine; Pechoux, Christine; Potus, Francois; Nadeau, Valerie; Tremblay, Eve; Ruffenach, Gregoire; Bourgeois, Alice; Dorfmueller, Peter; Breuils-Bonnet, Sandra; Fadel, Elie; Ranchoux, Benoit; Jourdon, Philippe; Girerd, Barbara; Montani, David; Provencher, Steeve; Bonnet, Sebastien; Simonneau, Gerald; Humbert, Marc; Perros, Frederic</t>
  </si>
  <si>
    <t>Potassium Channel Subfamily K Member 3 (KCNK3) Contributes to the Development of Pulmonary Arterial Hypertension</t>
  </si>
  <si>
    <t>cell proliferation; electrophysiology; hypertension; pulmonary; ion channels; pulmonary artery</t>
  </si>
  <si>
    <t>TO-MESENCHYMAL TRANSITION; SMOOTH-MUSCLE-CELLS; ENDOTHELIAL-CELLS; MATRIX METALLOPROTEINASES; FUNCTIONAL-PROPERTIES; SIGNALING PATHWAYS; TYROSINE KINASE; EXPRESSION; RATS; MONOCROTALINE</t>
  </si>
  <si>
    <t>Background Mutations in the KCNK3 gene have been identified in some patients suffering from heritable pulmonary arterial hypertension (PAH). KCNK3 encodes an outward rectifier K+ channel, and each identified mutation leads to a loss of function. However, the pathophysiological role of potassium channel subfamily K member 3 (KCNK3) in PAH is unclear. We hypothesized that loss of function of KCNK3 is a hallmark of idiopathic and heritable PAH and contributes to dysfunction of pulmonary artery smooth muscle cells and pulmonary artery endothelial cells, leading to pulmonary artery remodeling: consequently, restoring KCNK3 function could alleviate experimental pulmonary hypertension (PH). Methods and Results We demonstrated that KCNK3 expression and function were reduced in human PAH and in monocrotaline-induced PH in rats. Using a patch-clamp technique in freshly isolated (not cultured) pulmonary artery smooth muscle cells and pulmonary artery endothelial cells, we found that KCNK3 current decreased progressively during the development of monocrotaline-induced PH and correlated with plasma-membrane depolarization. We demonstrated that KCNK3 modulated pulmonary arterial tone. Long-term inhibition of KCNK3 in rats induced distal neomuscularization and early hemodynamic signs of PH, which were related to exaggerated proliferation of pulmonary artery endothelial cells, pulmonary artery smooth muscle cell, adventitial fibroblasts, and pulmonary and systemic inflammation. Lastly, in vivo pharmacological activation of KCNK3 significantly reversed monocrotaline-induced PH in rats. Conclusions In PAH and experimental PH, KCNK3 expression and activity are strongly reduced in pulmonary artery smooth muscle cells and endothelial cells. KCNK3 inhibition promoted increased proliferation, vasoconstriction, and inflammation. In vivo pharmacological activation of KCNK3 alleviated monocrotaline-induced PH, thus demonstrating that loss of KCNK3 is a key event in PAH pathogenesis and thus could be therapeutically targeted.</t>
  </si>
  <si>
    <t>[Antigny, Fabrice; Hautefort, Aurelie; Rucker-Martin, Catherine; Dorfmueller, Peter; Fadel, Elie; Ranchoux, Benoit; Jourdon, Philippe; Girerd, Barbara; Montani, David; Simonneau, Gerald; Humbert, Marc; Perros, Frederic] Univ Paris 11, Fac Med, Le Kremlin Bicetre, France; [Antigny, Fabrice; Hautefort, Aurelie; Rucker-Martin, Catherine; Dorfmueller, Peter; Fadel, Elie; Ranchoux, Benoit; Jourdon, Philippe; Girerd, Barbara; Montani, David; Simonneau, Gerald; Humbert, Marc; Perros, Frederic] Hop Bicetre, AP HP, Dept Hosp Univ Thorax Innovat, Ctr Reference Hypertens Pulm Severe,Serv Pneumol, Le Kremlin Bicetre, France; [Antigny, Fabrice; Hautefort, Aurelie; Rucker-Martin, Catherine; Dorfmueller, Peter; Fadel, Elie; Ranchoux, Benoit; Jourdon, Philippe; Girerd, Barbara; Montani, David; Simonneau, Gerald; Humbert, Marc; Perros, Frederic] INSERM, UMRS 999, Le Plessis Robinson, France; [Antigny, Fabrice; Hautefort, Aurelie; Rucker-Martin, Catherine; Dorfmueller, Peter; Fadel, Elie; Ranchoux, Benoit; Jourdon, Philippe; Girerd, Barbara; Montani, David; Simonneau, Gerald; Humbert, Marc; Perros, Frederic] Univ Paris 11, Lab Excellence Rech Medicament &amp; Innovat Therapeu, Ctr Chirurg Marie Lannelongue, Le Plessis Robinson, France; [Belacel-Ouari, Milia; Manoury, Boris] Univ Paris 11, INSERM, Fac Pharm,Dept Hosp Univ TORINO,UMR S1180, Lab Excellence Rech Medicament &amp; Innovat Therapeu, Chatenay Malabry, France; [Meloche, Jolyane; Potus, Francois; Nadeau, Valerie; Tremblay, Eve; Ruffenach, Gregoire; Bourgeois, Alice; Breuils-Bonnet, Sandra; Provencher, Steeve; Bonnet, Sebastien; Perros, Frederic] Univ Laval, Ctr Rech, Inst Univ Cardiol &amp; Pneumol Quebec, Pulm Hypertens Res Grp, Quebec City, PQ, Canada; [Pechoux, Christine] INRA, Genet Anim Biol Integrat UMR1313, Equipe Plateforme MET MIMA2 78352, Jouy En Josas, France; [Fadel, Elie] Ctr Chirurg Marie Lannelongue, Serv Chirurg Thorac, Le Plessis Robinson, France</t>
  </si>
  <si>
    <t>Universite Paris Saclay; Assistance Publique Hopitaux Paris (APHP); Hopital Universitaire Bicetre - APHP; Hopital Universitaire Antoine-Beclere - APHP; Universite Paris Saclay; Institut National de la Sante et de la Recherche Medicale (Inserm); Hopital Marie Lannelongue; Universite Paris Saclay; Institut National de la Sante et de la Recherche Medicale (Inserm); Universite Paris Saclay; Laval University; INRAE; AgroParisTech; Universite Paris Saclay; Hopital Marie Lannelongue</t>
  </si>
  <si>
    <t>Antigny, F (corresponding author), Ctr Chirurg Marie Lannelongue, INSERM, U999, 133 Ave Resistance, F-92350 Le Plessis Robinson, France.</t>
  </si>
  <si>
    <t>Ruffenach, gregoire/IUO-5660-2023; David, Montani/I-6885-2019; Simonneau, Gerald/ABE-6614-2020; Ranchoux, Benoît/AAX-6037-2020; Humbert, Marc/AAC-8459-2019; Antigny, Fabrice/Q-3999-2018; Manoury, Boris/P-1066-2016; Perros, Frederic/N-6921-2017</t>
  </si>
  <si>
    <t>Dorfmuller, Peter/0000-0003-2499-6829; Montani, David/0000-0002-9358-6922; Humbert, Marc/0000-0003-0703-2892; Ruffenach, Gregoire/0000-0001-6419-4332; Antigny, Fabrice/0000-0002-9515-6571; Rucker-Martin, Catherine/0000-0002-1593-7432; Manoury, Boris/0000-0001-7305-5633; Perros, Frederic/0000-0001-7730-2427</t>
  </si>
  <si>
    <t>National Funding Agency for Research [ANR-13-JSV1-0011-01]; IUCPQ Foundation; Fondation du Grand defi Pierre Lavoie; French Foundation for rare diseases (Fondation maladies rares); Aviesan (ITMO IHP); Fondation du Souffle et du Fonds de Dotation Recherche en Sante Respiratoire; Region Ile de France (CORDDIM); Laboratoire d'Excellence en Recherche sur le Medicament et l'Innovation Therapeutique; Fonds de recherche du Quebec-Sante PhD graduate scholarship; Center de Recherche de l'IUCPQ; CIHR; Canada Research Chairs grant</t>
  </si>
  <si>
    <t>National Funding Agency for Research; IUCPQ Foundation; Fondation du Grand defi Pierre Lavoie; French Foundation for rare diseases (Fondation maladies rares); Aviesan (ITMO IHP); Fondation du Souffle et du Fonds de Dotation Recherche en Sante Respiratoire; Region Ile de France (CORDDIM)(Region Ile-de-France); Laboratoire d'Excellence en Recherche sur le Medicament et l'Innovation Therapeutique; Fonds de recherche du Quebec-Sante PhD graduate scholarship; Center de Recherche de l'IUCPQ; CIHR(Canadian Institutes of Health Research (CIHR)); Canada Research Chairs grant(Canada Research Chairs)</t>
  </si>
  <si>
    <t>Dr Perros received funding from National Funding Agency for Research (grant ANR-13-JSV1-0011-01). Dr Perros received funding from National Funding Agency for Research (grant ANR-13-JSV1-0011-01). This study was also supported by IUCPQ Foundation, Fondation du Grand defi Pierre Lavoie, and the French Foundation for rare diseases (Fondation maladies rares). Dr Antigny was supported by a postdoctoral grant from Aviesan (ITMO IHP) and received funding from the Fondation du Souffle et du Fonds de Dotation Recherche en Sante Respiratoire. A. Hautefort was supported by a PhD grant from Region Ile de France (CORDDIM). Dr Ranchoux was supported by The Laboratoire d'Excellence en Recherche sur le Medicament et l'Innovation Therapeutique. J. Meloche was awarded a Fonds de recherche du Quebec-Sante PhD graduate scholarship. F. Potus was the recipient of a doctoral training award from the Center de Recherche de l'IUCPQ. Canada Research Chairs and CIHR grants to Dr Bonnet also supported this work. Dr Provencher is a Fonds de recherche du Quebec-Sante clinical scientist.</t>
  </si>
  <si>
    <t>10.1161/CIRCULATIONAHA.115.020951</t>
  </si>
  <si>
    <t>DI1ZE</t>
  </si>
  <si>
    <t>WOS:000373294700006</t>
  </si>
  <si>
    <t>Perros, F; Günther, S; Ranchoux, B; Antigny, F; Savale, L; Jaïs, X; Girerd, B; Sitbon, O; Simonneau, G; Humbert, M; Montani, D; Godinas, L; Chaumais, MC; Dorfmüller, P; Hautefort, A; Raymond, N; Cottin, V</t>
  </si>
  <si>
    <t>Perros, Frederic; Guenther, Sven; Ranchoux, Benoit; Antigny, Fabrice; Savale, Laurent; Jais, Xaiver; Girerd, Barbara; Sitbon, Olivier; Simonneau, Gerald; Humbert, Marc; Montani, David; Godinas, Laurent; Chaumais, Marie-Camille; Dorfmueller, Peter; Hautefort, Aurelie; Raymond, Nicolas; Cottin, Vincent</t>
  </si>
  <si>
    <t>Response to Letter Regarding Article, Mitomycin-Induced Pulmonary Veno-Occlusive Disease: Evidence From Human Disease and Animal Model</t>
  </si>
  <si>
    <t>[Perros, Frederic; Guenther, Sven; Ranchoux, Benoit; Antigny, Fabrice; Savale, Laurent; Jais, Xaiver; Girerd, Barbara; Sitbon, Olivier; Simonneau, Gerald; Humbert, Marc; Montani, David; Godinas, Laurent; Chaumais, Marie-Camille; Dorfmueller, Peter; Hautefort, Aurelie; Raymond, Nicolas] Univ Paris 11, Fac Med, Le Kremlin Bicetre, France; [Perros, Frederic; Guenther, Sven; Ranchoux, Benoit; Antigny, Fabrice; Savale, Laurent; Jais, Xaiver; Girerd, Barbara; Sitbon, Olivier; Simonneau, Gerald; Humbert, Marc; Montani, David; Godinas, Laurent; Hautefort, Aurelie] Hop Bicetre, AP HP, Serv Pneumol, Ctr Reference Hypertens Pulmonaire Severe, Le Kremlin Bicetre, France; [Perros, Frederic; Guenther, Sven; Ranchoux, Benoit; Antigny, Fabrice; Savale, Laurent; Jais, Xaiver; Girerd, Barbara; Sitbon, Olivier; Simonneau, Gerald; Humbert, Marc; Montani, David; Godinas, Laurent; Chaumais, Marie-Camille; Dorfmueller, Peter] Univ Paris 11, Ctr Chirurg Marie Lannelongue, INSERM, UMR S 999, Le Plessis Robinson, France; [Perros, Frederic] Univ Laval, Inst Univ Cardiol &amp; Pneumol Quebec, Ctr Rech, Pulm Hypertens Res Grp, Quebec City, PQ G1K 7P4, Canada; [Godinas, Laurent] Catholic Univ Louvain, CHU Mont Godinne, Serv Pneumol, Yvoir, Belgium; [Chaumais, Marie-Camille] Hop Antoine Beclere, AP HP, DHU Thorax Innovat, Serv Pharm, Clamart, France; [Dorfmueller, Peter] Ctr Chirurg Marie Lannelongue, Dept Pathol, Le Plessis Robinson, France; [Cottin, Vincent] Louis Pradel Hosp, Natl Reference Ctr Rare Pulm Dis, Lyon, France</t>
  </si>
  <si>
    <t>Universite Paris Saclay; Universite Paris Saclay; Assistance Publique Hopitaux Paris (APHP); Hopital Universitaire Antoine-Beclere - APHP; Hopital Universitaire Bicetre - APHP; Universite Paris Saclay; Hopital Marie Lannelongue; Institut National de la Sante et de la Recherche Medicale (Inserm); Laval University; Universite Catholique Louvain; Universite Catholique Louvain Hospital; Assistance Publique Hopitaux Paris (APHP); Hopital Universitaire Antoine-Beclere - APHP; Hopital Marie Lannelongue; CHU Lyon</t>
  </si>
  <si>
    <t>Raymond, N (corresponding author), Univ Paris 11, Fac Med, Le Kremlin Bicetre, France.;Cottin, V (corresponding author), Louis Pradel Hosp, Natl Reference Ctr Rare Pulm Dis, Lyon, France.</t>
  </si>
  <si>
    <t>Sitbon, Olivier/I-3623-2019; Savale, Laurent/AAJ-9781-2020; Godinas, Laurette/AAS-1059-2021; David, Montani/I-6885-2019; Simonneau, Gerald/ABE-6614-2020; Ranchoux, Benoît/AAX-6037-2020; Perros, Frederic/N-6921-2017; Antigny, Fabrice/Q-3999-2018; Humbert, Marc/AAC-8459-2019</t>
  </si>
  <si>
    <t>Perros, Frederic/0000-0001-7730-2427; SITBON, Olivier/0000-0002-1942-1951; Antigny, Fabrice/0000-0002-9515-6571; Chaumais, Marie-Camille/0000-0002-1217-8442; Godinas, Laurent/0000-0003-2214-5879; Humbert, Marc/0000-0003-0703-2892; Montani, David/0000-0002-9358-6922; Dorfmuller, Peter/0000-0003-2499-6829; JAIS, XAVIER/0000-0002-4104-7994</t>
  </si>
  <si>
    <t>E592</t>
  </si>
  <si>
    <t>E593</t>
  </si>
  <si>
    <t>10.1161/CIRCULATIONAHA.116.020946</t>
  </si>
  <si>
    <t>DI1ZF</t>
  </si>
  <si>
    <t>WOS:000373294800007</t>
  </si>
  <si>
    <t>Bouressam, ML; Bourcier, A; Humbert, M; Perrin-Sarrado, C; Lartaud, I; Dupuis, F</t>
  </si>
  <si>
    <t>Bouressam, M. L.; Bourcier, A.; Humbert, M.; Perrin-Sarrado, C.; Lartaud, I.; Dupuis, F.</t>
  </si>
  <si>
    <t>Abolition by S-nitrosation of the angiotensin II-response of middle cerebral arteries during high salt diet and hypertension</t>
  </si>
  <si>
    <t>[Bouressam, M. L.; Bourcier, A.; Humbert, M.; Perrin-Sarrado, C.; Lartaud, I.; Dupuis, F.] Univ Lorraine, Fac Pharm, CITHEFOR EA3452, Nancy, France</t>
  </si>
  <si>
    <t>Universite de Lorraine</t>
  </si>
  <si>
    <t>PM1-031</t>
  </si>
  <si>
    <t>DI6MP</t>
  </si>
  <si>
    <t>WOS:000373613500115</t>
  </si>
  <si>
    <t>Hoeper, MM; Humbert, M; Souza, R; Idrees, M; Kawut, SM; Sliwa-Hahnle, K; Jing, ZC; Gibbs, JSR</t>
  </si>
  <si>
    <t>Hoeper, Marius M.; Humbert, Marc; Souza, Rogerio; Idrees, Majdy; Kawut, Steven M.; Sliwa-Hahnle, Karen; Jing, Zhi-Cheng; Gibbs, J. Simon R.</t>
  </si>
  <si>
    <t>A global view of pulmonary hypertension</t>
  </si>
  <si>
    <t>SICKLE-CELL-DISEASE; CONGENITAL HEART-DISEASE; PRESERVED EJECTION FRACTION; ARTERIAL-HYPERTENSION; CLINICAL CHARACTERISTICS; PORTOPULMONARY HYPERTENSION; HEMODYNAMIC PREDICTORS; PROGNOSTIC-FACTORS; THALASSEMIA MAJOR; CHINESE PATIENTS</t>
  </si>
  <si>
    <t>Pulmonary hypertension is a substantial global health issue. All age groups are affected with rapidly growing importance in elderly people, particularly in countries with ageing populations. Present estimates suggest a pulmonary hypertension prevalence of about 1% of the global population, which increases up to 10% in individuals aged more than 65 years. In almost all parts of the world, left-sided heart and lung diseases have become the most frequent causes of pulmonary hypertension. About 80% of affected patients live in developing countries, where pulmonary hypertension is frequently associated with congenital heart disease and various infectious disorders, including schistosomiasis, HIV, and rheumatic heart disease. These forms of pulmonary hypertension occur predominantly in those younger than 65 years. Independently of the underlying disease, the development of pulmonary hypertension is associated with clinical deterioration and a substantially increased mortality risk. Global research efforts are needed to establish preventive strategies and treatments for the various types of pulmonary hypertension.</t>
  </si>
  <si>
    <t>[Hoeper, Marius M.] Hannover Med Sch, Dept Resp Med, D-30623 Hannover, Germany; [Hoeper, Marius M.] German Ctr Lung Res, Hannover, Germany; [Humbert, Marc] Univ Paris Saclay, Univ Paris 11, Hop Bicetre, AP HP,Serv Pneumol,Inserm UMR S 999, Paris, France; [Souza, Rogerio] Univ Sao Paolo, Sch Med, Inst Heart, Dept Pulm, Sao Paulo, Brazil; [Idrees, Majdy] Prince Sultan Med Mil City, Dept Pulm Med, Riyadh, Saudi Arabia; [Kawut, Steven M.] Univ Penn, Dept Med, Perelman Sch Med, Philadelphia, PA 19104 USA; [Kawut, Steven M.] Univ Penn, Dept Epidemiol, Perelman Sch Med, Philadelphia, PA 19104 USA; [Sliwa-Hahnle, Karen] Univ Cape Town, Hatter Inst Cardiovasc Res Africa, ZA-7925 Cape Town, South Africa; [Sliwa-Hahnle, Karen] Univ Witwatersrand, Soweto Cardiovasc Res Unit, Johannesburg, South Africa; [Jing, Zhi-Cheng] Peking Union Med Coll, State Key Lab Cardiovasc Dis, FuWai Hosp, Natl Ctr Cardiovasc Dis, Beijing 100021, Peoples R China; [Jing, Zhi-Cheng] Chinese Acad Med Sci, Beijing 100730, Peoples R China; [Gibbs, J. Simon R.] Univ London Imperial Coll Sci Technol &amp; Med, Dept Cardiol, Natl Heart &amp; Lung Inst, London, England</t>
  </si>
  <si>
    <t>Hannover Medical School; Universite Paris Saclay; Assistance Publique Hopitaux Paris (APHP); Hopital Universitaire Bicetre - APHP; Institut National de la Sante et de la Recherche Medicale (Inserm); Universidade de Sao Paulo; Prince Sultan Military Medical City; University of Pennsylvania; University of Pennsylvania; University of Cape Town; University of Witwatersrand; Chinese Academy of Medical Sciences - Peking Union Medical College; Peking Union Medical College; Fu Wai Hospital - CAMS; Chinese Academy of Medical Sciences - Peking Union Medical College; Imperial College London</t>
  </si>
  <si>
    <t>Juni, Peter/Q-8700-2016; Hoeper, Marius/Z-1546-2019; Souza, Rogerio/I-3584-2013; Jing, Zhi-Cheng/AAT-9081-2021; Humbert, Marc/AAC-8459-2019</t>
  </si>
  <si>
    <t>Sliwa, Karen/0000-0002-8272-0911; Souza, Rogerio/0000-0003-2789-9143; Jing, Zhi-Cheng/0000-0003-0493-0929; Hoeper, Marius/0000-0001-9086-2293; Humbert, Marc/0000-0003-0703-2892</t>
  </si>
  <si>
    <t>NIH; European Respiratory Journal; Actelion; Bayer; GlaxoSmithKline; Pfizer; Gilead; Novartis</t>
  </si>
  <si>
    <t>NIH(United States Department of Health &amp; Human ServicesNational Institutes of Health (NIH) - USA); European Respiratory Journal; Actelion; Bayer(Bayer AG); GlaxoSmithKline(GlaxoSmithKline); Pfizer(Pfizer); Gilead(Gilead Sciences); Novartis(Novartis)</t>
  </si>
  <si>
    <t>RS received personal fees from Actelion, Bayer, GlaxoSmithKline, and Pfizer, outside-of this Review. SMK received grants from NIH; non-financial support from American College of Chest Physicians and American Thoracic Society; personal fees from European Respiratory Journal; grants to his institution for continuing medical education from Actelion, United Therapeutics, Gilead, Merck, Lung Biotech, Ikaria, Pulmonary Hypertension Association, GeNO, and Bayer, outside of this Review; and grants to his institution for research from Actelion, Gilead, and GeNO, outside of this Review. MMH received personal fees from Actelion, Bayer, GlaxoSmithKline, and Pfizer. Z-CJ received personal fees from Actelion, Bayer, Pfizer, and United Therapeutics. MH received grants and personal fees from Actelion, Bayer, GlaxoSmithKline, and Pfizer. JSRG received grants and personal fees from Actelion, Bayer, and GlaxoSmithKline, and United Therapeutics personal fees from Gilead, Novartis, and Pfizer, and grants from Amco, outside of this Review. KS-H and MI declare no competing interests.</t>
  </si>
  <si>
    <t>10.1016/S2213-2600(15)00543-3</t>
  </si>
  <si>
    <t>DI7AF</t>
  </si>
  <si>
    <t>WOS:000373650800017</t>
  </si>
  <si>
    <t>Lau, E; Godinas, L; Montani, D; Savale, L; Sitbon, O; Humbert, M; Chemla, D; Herve, P</t>
  </si>
  <si>
    <t>Lau, E.; Godinas, L.; Montani, D.; Savale, L.; Sitbon, O.; Humbert, M.; Chemla, D.; Herve, P.</t>
  </si>
  <si>
    <t>DIAGNOSTIC ACCURACY AND CONCORDANCE OF DIFFERENT CRITERIA FOR EXERCISE PULMONARY HYPERTENSION</t>
  </si>
  <si>
    <t>[Lau, E.] Univ Sydney, Royal Prince Alfred Hosp, Camperdown, NSW, Australia; [Godinas, L.] Catholic Univ Louvain, CHU Mt Godinne, Yvoir, Belgium; [Montani, D.; Savale, L.; Sitbon, O.; Humbert, M.; Chemla, D.] Univ Paris Sud, F-94275 Le Kremlin Bicetre, France; [Montani, D.; Savale, L.; Sitbon, O.; Humbert, M.] AP HP, Serv Pneumol, Ctr Reference Hypertens Pulm Severe, Le Kremlin Bicetre, France; [Montani, D.; Savale, L.; Sitbon, O.; Humbert, M.; Chemla, D.] INSERM, Ctr Chirurg Marie Lannelongue, UMR S999, LabEx LERMIT, F-94275 Le Kremlin Bicetre, France; Hop Marie Lannelongue, Dept Chirurg Thorac Vasc &amp; Transplantat Pulm, Le Kremlin Bicetre, France</t>
  </si>
  <si>
    <t>NSW Health; Royal Prince Alfred Hospital; University of Sydney; Universite Catholique Louvain; Universite Catholique Louvain Hospital; Universite Paris Saclay; Assistance Publique Hopitaux Paris (APHP); Hopital Universitaire Bicetre - APHP; Institut National de la Sante et de la Recherche Medicale (Inserm); Hopital Marie Lannelongue; Universite Paris Saclay; Hopital Marie Lannelongue</t>
  </si>
  <si>
    <t>David, Montani/I-6885-2019; Godinas, Laurette/AAS-1059-2021; Humbert, Marc/AAC-8459-2019; Sitbon, Olivier/I-3623-2019; Savale, Laurent/AAJ-9781-2020</t>
  </si>
  <si>
    <t>TO 134</t>
  </si>
  <si>
    <t>DH9FS</t>
  </si>
  <si>
    <t>WOS:000373102400180</t>
  </si>
  <si>
    <t>Lau, E; Chemla, D; Castelain, V; Attal, P; Humbert, M; Herve, P</t>
  </si>
  <si>
    <t>Lau, E.; Chemla, D.; Castelain, V; Attal, P.; Humbert, M.; Herve, P.</t>
  </si>
  <si>
    <t>TIME-CONSTANT OF THE PULMONARY CIRCULATION IN PRECAPILLARY PULMONARY HYPERTENSION: A REAPPRAISAL</t>
  </si>
  <si>
    <t>[Lau, E.] Royal Prince Alfred Hosp, Camperdown, NSW 2050, Australia; [Lau, E.] Univ Sydney, Camperdown, NSW, Australia; [Chemla, D.; Attal, P.; Humbert, M.] Univ Paris 11, Hop Bicetre, AP HP, Le Kremlin Bicetre, France; [Castelain, V] CHU Strasbourg, Serv Reanimat Med, F-67000 Strasbourg, France; [Herve, P.] Hop Marie Lannelongue, Dept Chirurg Thorac Vasc &amp; Transplantat Pulm, 133 Ave Resistance, F-92350 Le Plessis Robinson, France</t>
  </si>
  <si>
    <t>NSW Health; Royal Prince Alfred Hospital; University of Sydney; University of Sydney; Universite Paris Saclay; Assistance Publique Hopitaux Paris (APHP); Hopital Universitaire Bicetre - APHP; Hopital Universitaire Antoine-Beclere - APHP; Universites de Strasbourg Etablissements Associes; Universite de Strasbourg; CHU Strasbourg; Hopital Marie Lannelongue</t>
  </si>
  <si>
    <t>Humbert, Marc/AAC-8459-2019; Castelain, Vincent/ABG-9778-2020</t>
  </si>
  <si>
    <t>TP 122</t>
  </si>
  <si>
    <t>WOS:000373102400321</t>
  </si>
  <si>
    <t>O'Connell, C; Amar, D; Boucly, A; Savale, L; Jaïs, X; Chaumais, MC; Montani, D; Humbert, M; Simonneau, G; Sitbon, O</t>
  </si>
  <si>
    <t>O'Connell, Caroline; Amar, David; Boucly, Athenais; Savale, Laurent; Jais, Xavier; Chaumais, Marie-Camille; Montani, David; Humbert, Marc; Simonneau, Gerald; Sitbon, Olivier</t>
  </si>
  <si>
    <t>Comparative Safety and Tolerability of Prostacyclins in Pulmonary Hypertension</t>
  </si>
  <si>
    <t>DRUG SAFETY</t>
  </si>
  <si>
    <t>RANDOMIZED CONTROLLED-TRIAL; CONTINUOUS INTRAVENOUS PROSTACYCLIN; ENDOTHELIN RECEPTOR ANTAGONIST; PLACEBO-CONTROLLED TRIAL; BLOOD-STREAM INFECTIONS; 5 INHIBITOR THERAPY; ARTERIAL-HYPERTENSION; SUBCUTANEOUS TREPROSTINIL; INHALED ILOPROST; ORAL TREPROSTINIL</t>
  </si>
  <si>
    <t>Prostacyclin (PGI(2)) is a prostaglandin derived from arachidonic acid in the endothelium and smooth muscle which causes vasodilation, inhibits platelet aggregation, and has anti-inflammatory, anti-thrombotic and anti-proliferative effects. In pulmonary arterial hypertension (PAH), PGI(2) levels and PGI(2) synthase expression are reduced, contributing to the vasoconstriction and vascular smooth muscle cell proliferation seen in the disease. Based on these findings, PGI(2) analogues were developed to target this pathway. Epoprostenol was the first targeted therapy available for treating PAH. Due to the short half-life of this drug, it requires administration via a continuous intravenous infusion, and therefore it carries the risks of central line infections and thrombosis. However, it remains the treatment of choice in patients with severe PAH as it has a proven survival benefit as well as improved functional class and exercise capacity. Subsequently, several other PGI(2) analogues have been developed with differing modes of administration and varying degrees of efficacy. Beraprost is an oral PGI(2) analogue for which a sustained efficacy has not been demonstrated. Iloprost is a nebulised PGI(2) analogue that requires administration six to nine times a day and leads to improved functional class, exercise capacity and haemodynamics. There are inhaled, oral, subcutaneous and intravenous forms of treprostinil. Subcutaneous treprostinil avoids the risks of a continuous intravenous administration; however, this drug can cause intractable pain at the injection site. Selexipag is the new oral non-prostanoid IP prostacyclin receptor agonist that has shown improved haemodynamics and good tolerance in a phase II study. Initial results of the phase III trial are promising. Comparison of the different PGI(2) agents is limited by a lack of head-to-head clinical trials. However, the development of PGI(2) analogues has improved survival in patients with PAH and remains the main treatment option in advanced disease. While PGI(2) analogues have good efficacy in PAH, they are not interchangeable, and their delivery systems have many limitations; in particular, they are associated with significant deleterious consequences. In the future, it is hoped that the elusive goal of developing an effective oral PGI(2) analogue will be achieved. This would increase the number of people who could benefit from the treatment while reducing the associated adverse events, and as a result improve the survival and quality of life for these patients.</t>
  </si>
  <si>
    <t>[O'Connell, Caroline; Amar, David; Boucly, Athenais; Savale, Laurent; Jais, Xavier; Montani, David; Humbert, Marc; Simonneau, Gerald; Sitbon, Olivier] Univ Paris 11, Univ Paris Saclay, Fac Med, Le Kremlin Bicetre, France; [O'Connell, Caroline; Amar, David; Boucly, Athenais; Savale, Laurent; Jais, Xavier; Montani, David; Humbert, Marc; Simonneau, Gerald; Sitbon, Olivier] Hop Bicetre, AP HP, Serv Pneumol &amp; Soins Intensifs, Ctr Reference Hypertens Pulm Severe,DHU Thorax In, Le Kremlin Bicetre, France; [O'Connell, Caroline; Amar, David; Savale, Laurent; Jais, Xavier; Chaumais, Marie-Camille; Montani, David; Humbert, Marc; Simonneau, Gerald; Sitbon, Olivier] INSERM, UMR S999, LabEx LERMIT, Ctr Chirurg Marie Lannelongue, Le Plessis Robinson, France; [Chaumais, Marie-Camille] Univ Paris 11, Fac Pharm, Univ Paris Saclay, F-92290 Chatenay Malabry, France; [Chaumais, Marie-Camille] Hop Antoine Beclere, AP HP, Serv Pharm, Clamart, France</t>
  </si>
  <si>
    <t>Universite Paris Saclay; Universite Paris Saclay; Assistance Publique Hopitaux Paris (APHP); Hopital Universitaire Antoine-Beclere - APHP; Hopital Universitaire Bicetre - APHP; Institut National de la Sante et de la Recherche Medicale (Inserm); Hopital Marie Lannelongue; Universite Paris Saclay; Universite Paris Saclay; Assistance Publique Hopitaux Paris (APHP); Hopital Universitaire Antoine-Beclere - APHP</t>
  </si>
  <si>
    <t>Sitbon, O (corresponding author), Univ Paris 11, Univ Paris Saclay, Fac Med, Le Kremlin Bicetre, France.;Sitbon, O (corresponding author), Hop Bicetre, AP HP, Serv Pneumol &amp; Soins Intensifs, Ctr Reference Hypertens Pulm Severe,DHU Thorax In, Le Kremlin Bicetre, France.;Sitbon, O (corresponding author), INSERM, UMR S999, LabEx LERMIT, Ctr Chirurg Marie Lannelongue, Le Plessis Robinson, France.</t>
  </si>
  <si>
    <t>Simonneau, Gerald/ABE-6614-2020; Sitbon, Olivier/I-3623-2019; Savale, Laurent/AAJ-9781-2020; Amar, David/HDO-1506-2022; David, Montani/I-6885-2019; Humbert, Marc/AAC-8459-2019</t>
  </si>
  <si>
    <t>Boucly, Athenais/0000-0001-6246-5557; Montani, David/0000-0002-9358-6922; Chaumais, Marie-Camille/0000-0002-1217-8442; Humbert, Marc/0000-0003-0703-2892; JAIS, XAVIER/0000-0002-4104-7994; SITBON, Olivier/0000-0002-1942-1951</t>
  </si>
  <si>
    <t>Actelion Pharmaceuticals; Bayer HealthCare; GlaxoSmithKline; Pfizer; Actelion; Aires; Gilead; Novartis; United Therapeutics</t>
  </si>
  <si>
    <t>Actelion Pharmaceuticals; Bayer HealthCare(Bayer AGBayer Healthcare Pharmaceuticals); GlaxoSmithKline(GlaxoSmithKline); Pfizer(Pfizer); Actelion; Aires; Gilead(Gilead Sciences); Novartis(Novartis); United Therapeutics</t>
  </si>
  <si>
    <t>Laurent Savale has relationships with pharmaceutical companies including Actelion Pharmaceuticals, Bayer HealthCare, GlaxoSmithKline and Pfizer. In addition to being an investigator in clinical studies involving these companies, relationships include membership of scientific advisory boards and fees for lectures. Marc Humbert has relationships with pharmaceutical companies including Actelion, Aires, Bayer HealthCare, Gilead, GlaxoSmithKline, Novartis and Pfizer. In addition to being an investigator in clinical studies involving these companies, relationships include consulting services, fees for lectures and funds for research. Olivier Sitbon has relationships with pharmaceutical companies including Actelion, Bayer HealthCare, GlaxoSmithKline, Pfizer and United Therapeutics. In addition to being an investigator in clinical studies involving these companies, relationships include consulting services, fees for lectures and funds for research.</t>
  </si>
  <si>
    <t>ADIS INT LTD</t>
  </si>
  <si>
    <t>NORTHCOTE</t>
  </si>
  <si>
    <t>5 THE WAREHOUSE WAY, NORTHCOTE 0627, AUCKLAND, NEW ZEALAND</t>
  </si>
  <si>
    <t>0114-5916</t>
  </si>
  <si>
    <t>1179-1942</t>
  </si>
  <si>
    <t>Drug Saf.</t>
  </si>
  <si>
    <t>10.1007/s40264-015-0365-x</t>
  </si>
  <si>
    <t>Public, Environmental &amp; Occupational Health; Pharmacology &amp; Pharmacy; Toxicology</t>
  </si>
  <si>
    <t>DH6EC</t>
  </si>
  <si>
    <t>WOS:000372882800003</t>
  </si>
  <si>
    <t>Dierick, F; Héry, T; Hoareau-Coudert, B; Mougenot, N; Monceau, V; Claude, C; Crisan, M; Besson, V; Dorfmüller, P; Marodon, G; Fadel, E; Humbert, M; Yaniz-Galende, E; Hulot, JS; Marazzi, G; Sassoon, D; Soubrier, F; Nadaud, S</t>
  </si>
  <si>
    <t>Dierick, France; Hery, Tiphaine; Hoareau-Coudert, Benedicte; Mougenot, Nathalie; Monceau, Virginie; Claude, Caroline; Crisan, Mihaela; Besson, Vanessa; Dorfmueller, Peter; Marodon, Gilles; Fadel, Elie; Humbert, Marc; Yaniz-Galende, Elisa; Hulot, Jean-Sebastien; Marazzi, Giovanna; Sassoon, David; Soubrier, Florent; Nadaud, Sophie</t>
  </si>
  <si>
    <t>Resident PW1+ Progenitor Cells Participate in Vascular Remodeling During Pulmonary Arterial Hypertension</t>
  </si>
  <si>
    <t>hypoxia; hypertension, pulmonary; vascular remodeling; muscle, smooth, vascular; adult stem cells</t>
  </si>
  <si>
    <t>MESENCHYMAL STEM-CELLS; HYPOXIA; PW1/PEG3; PROLIFERATION; INFLAMMATION; RECRUITMENT; ACTIVATION; EXPRESSION; CONTRIBUTE; GROWTH</t>
  </si>
  <si>
    <t>Rationale: Pulmonary arterial hypertension is characterized by vascular remodeling and neomuscularization. PW1(+) progenitor cells can differentiate into smooth muscle cells (SMCs) in vitro. Objective: To determine the role of pulmonary PW1(+) progenitor cells in vascular remodeling characteristic of pulmonary arterial hypertension. Methods and Results: We investigated their contribution during chronic hypoxia-induced vascular remodeling in Pw1(nLacZ+/-) mouse expressing beta-galactosidase in PW1(+) cells and in differentiated cells derived from PW1(+) cells. PW1(+) progenitor cells are present in the perivascular zone in rodent and human control lungs. Using progenitor markers, 3 distinct myogenic PW1(+) cell populations were isolated from the mouse lung of which 2 were significantly increased after 4 days of chronic hypoxia. The number of proliferating pulmonary PW1(+) cells and the proportion of beta-gal(+) vascular SMC were increased, indicating a recruitment of PW1(+) cells and their differentiation into vascular SMC during early chronic hypoxia-induced neomuscularization. CXCR4 inhibition using AMD3100 prevented PW1(+) cells differentiation into SMC but did not inhibit their proliferation. Bone marrow transplantation experiments showed that the newly formed beta-gal(+) SMC were not derived from circulating bone marrow-derived PW1(+) progenitor cells, confirming a resident origin of the recruited PW1(+) cells. The number of pulmonary PW1(+) cells was also increased in rats after monocrotaline injection. In lung from pulmonary arterial hypertension patients, PW1-expressing cells were observed in large numbers in remodeled vascular structures. Conclusions: These results demonstrate the existence of a novel population of resident SMC progenitor cells expressing PW1 and participating in pulmonary hypertension-associated vascular remodeling.</t>
  </si>
  <si>
    <t>[Dierick, France; Hery, Tiphaine; Monceau, Virginie; Claude, Caroline; Besson, Vanessa; Yaniz-Galende, Elisa; Hulot, Jean-Sebastien; Marazzi, Giovanna; Sassoon, David; Soubrier, Florent; Nadaud, Sophie] INSERM, Inst Cardiometab &amp; Nutr, UMR S ICAN 1166, Paris, France; [Hoareau-Coudert, Benedicte] CyPS, UMS 030, Paris, France; [Mougenot, Nathalie] Univ Paris 06, Sorbonne Univ, PECMV UMS28, Paris, France; [Marodon, Gilles] Univ Paris 06, Sorbonne Univ, CIMI,U1135, INSERM,CNRS,CR7,ERL,8255, Paris, France; [Crisan, Mihaela] Erasmus MC Stem Cell Inst, Rotterdam, Netherlands; [Dorfmueller, Peter; Fadel, Elie; Humbert, Marc] Univ Paris 11, Univ Paris Saclay, INSERM UMR S 999, Labex LERMIT, Paris, France; [Dorfmueller, Peter] Ctr Chirurg Marie Lannelongue, Serv Anat Pathol, Paris, France; [Fadel, Elie] Ctr Chirurg Marie Lannelongue, Serv Chirurg Thorac &amp; Vasc, La Plessis Robinson, France; [Humbert, Marc] Univ Paris 11, Univ Paris Saclay, Paris, France; [Humbert, Marc] Hop Bicetre, AP HP, Ctr Ref Hypertens Pulmonaire Severe, Serv Pneumol, La Kremlin Bicetre, France</t>
  </si>
  <si>
    <t>Institut National de la Sante et de la Recherche Medicale (Inserm); Sorbonne Universite; Sorbonne Universite; Institut National de la Sante et de la Recherche Medicale (Inserm); Centre National de la Recherche Scientifique (CNRS); Sorbonne Universite; Erasmus University Rotterdam; Erasmus MC; Institut National de la Sante et de la Recherche Medicale (Inserm); Universite Paris Saclay; Hopital Marie Lannelongue; Hopital Marie Lannelongue; Universite Paris Saclay; Assistance Publique Hopitaux Paris (APHP); Hopital Universitaire Bicetre - APHP</t>
  </si>
  <si>
    <t>sophie.nadaud@upmc.fr</t>
  </si>
  <si>
    <t>Nadaud, Sophie/A-7063-2013; SASSOON, David/G-2502-2013; Humbert, Marc/AAC-8459-2019; Marodon, Gilles/E-7202-2017; Hulot, Jean-Sebastien/A-2278-2016</t>
  </si>
  <si>
    <t>Hoareau, Benedicte/0000-0002-6575-7085; Nadaud, Sophie/0000-0002-1452-6009; Monceau, Virginie/0000-0002-1717-8935; Dorfmuller, Peter/0000-0003-2499-6829; Humbert, Marc/0000-0003-0703-2892; Marazzi, giovanna/0000-0002-5388-1038; Sassoon, David/0000-0001-6074-048X; Marodon, Gilles/0000-0003-4889-6785; Hulot, Jean-Sebastien/0000-0001-5463-6117</t>
  </si>
  <si>
    <t>Institute of Cardiometabolism and Nutrition [ANR-10-IAHU-05]; Fondation Leducq [13CVD01]; Agence Nationale de la Recherche [ANR-15-CE14-0020-01]; French Ministry of Research and Education; OPTISTEM (optimization of stem cell therapy for degenerative epithelial and muscle diseases) [F5-2009-223098]; ENDOSTEM (activation of vasculature associated stem cells and muscle stem cells for the repair and maintenance of muscle tissue) [241440]; Institut Pasteur; Agence Nationale de la Recherche (Laboratoire d'Excellence Revive, Investissement d'Avenir) [ANR-10-LABX-73]; Assistance Publique Hopitaux de Paris (Departement Hospitalo-Universitaire Thorax Innovation, DHU TORINO); Agence Nationale de la Recherche (Labex LERMIT); Agence Nationale de la Recherche (ANR) [ANR-15-CE14-0020] Funding Source: Agence Nationale de la Recherche (ANR)</t>
  </si>
  <si>
    <t>Institute of Cardiometabolism and Nutrition; Fondation Leducq(Leducq Foundation); Agence Nationale de la Recherche(Agence Nationale de la Recherche (ANR)); French Ministry of Research and Education; OPTISTEM (optimization of stem cell therapy for degenerative epithelial and muscle diseases); ENDOSTEM (activation of vasculature associated stem cells and muscle stem cells for the repair and maintenance of muscle tissue); Institut Pasteur; Agence Nationale de la Recherche (Laboratoire d'Excellence Revive, Investissement d'Avenir)(Agence Nationale de la Recherche (ANR)); Assistance Publique Hopitaux de Paris (Departement Hospitalo-Universitaire Thorax Innovation, DHU TORINO); Agence Nationale de la Recherche (Labex LERMIT)(Agence Nationale de la Recherche (ANR)); Agence Nationale de la Recherche (ANR)(Agence Nationale de la Recherche (ANR))</t>
  </si>
  <si>
    <t>This work was supported by Institute of Cardiometabolism and Nutrition (ANR-10-IAHU-05). D. Sassoon, G. Marodon, and J.-S. Hulot are supported by a grant from the Fondation Leducq (grant 13CVD01; CardioStemNet project). S. Nadaud acknowledges support from the Agence Nationale de la Recherche (ANR-15-CE14-0020-01). F. Dierick was supported by the French Ministry of Research and Education. This project also received support from OPTISTEM (optimization of stem cell therapy for degenerative epithelial and muscle diseases contract number Health-F5-2009-223098) and ENDOSTEM (activation of vasculature associated stem cells and muscle stem cells for the repair and maintenance of muscle tissue-agreement number 241440). D. Sassoon acknowledges support from the Institut Pasteur and the Agence Nationale de la Recherche (Laboratoire d'Excellence Revive, Investissement d'Avenir; ANR-10-LABX-73). M Humbert acknowledges support from the Assistance Publique Hopitaux de Paris (Departement Hospitalo-Universitaire Thorax Innovation, DHU TORINO) and the Agence Nationale de la Recherche (Labex LERMIT).</t>
  </si>
  <si>
    <t>MAR 4</t>
  </si>
  <si>
    <t>10.1161/CIRCRESAHA.115.307035</t>
  </si>
  <si>
    <t>DG0IE</t>
  </si>
  <si>
    <t>WOS:000371747700010</t>
  </si>
  <si>
    <t>Bourlier, D; O'Connell, C; Montani, D; Savale, L; Seferian, A; Parent, F; Humbert, M; Simonneau, G; Sitbon, O; Jaïs, X</t>
  </si>
  <si>
    <t>Bourlier, Delphine; O'Connell, Caroline; Montani, David; Savale, Laurent; Seferian, Andrei; Parent, Florence; Humbert, Marc; Simonneau, Gerald; Sitbon, Olivier; Jais, Xavier</t>
  </si>
  <si>
    <t>A rare case of sarcoidosis-associated pulmonary hypertension in a patient exposed to silica</t>
  </si>
  <si>
    <t>FIBROSING MEDIASTINITIS; ARTERY; OCCLUSION</t>
  </si>
  <si>
    <t>[Bourlier, Delphine; O'Connell, Caroline; Montani, David; Savale, Laurent; Seferian, Andrei; Parent, Florence; Humbert, Marc; Simonneau, Gerald; Sitbon, Olivier; Jais, Xavier] Univ Paris Saclay, Univ Paris Sud, Fac Med, Le Kremlin Bicetre, France; [Bourlier, Delphine; O'Connell, Caroline; Montani, David; Savale, Laurent; Seferian, Andrei; Parent, Florence; Humbert, Marc; Simonneau, Gerald; Sitbon, Olivier; Jais, Xavier] Hop Bicetre, AP HP, Serv Pneumol, Le Kremlin Bicetre, France; [Bourlier, Delphine; O'Connell, Caroline; Montani, David; Savale, Laurent; Seferian, Andrei; Parent, Florence; Humbert, Marc; Simonneau, Gerald; Sitbon, Olivier; Jais, Xavier] INSERM, UMR S 999, Ctr Chirurg Marie Lannelongue, Le Plessis Robinson, France</t>
  </si>
  <si>
    <t>Universite Paris Saclay; Universite Paris Saclay; Assistance Publique Hopitaux Paris (APHP); Hopital Universitaire Antoine-Beclere - APHP; Hopital Universitaire Bicetre - APHP; Universite Paris Saclay; Institut National de la Sante et de la Recherche Medicale (Inserm); Hopital Marie Lannelongue</t>
  </si>
  <si>
    <t>Bourlier, D (corresponding author), Serv Pneumol Soins Intensifs, 78 Ave Gen Leclerc, F-94270 Le Kremlin Bicetre, France.</t>
  </si>
  <si>
    <t>bourlier.delph@gmail.com</t>
  </si>
  <si>
    <t>Savale, Laurent/AAJ-9781-2020; Sitbon, Olivier/I-3623-2019; David, Montani/I-6885-2019; Simonneau, Gerald/ABE-6614-2020; Humbert, Marc/AAC-8459-2019</t>
  </si>
  <si>
    <t>SITBON, Olivier/0000-0002-1942-1951; Montani, David/0000-0002-9358-6922; Humbert, Marc/0000-0003-0703-2892; Seferian, Andrei/0000-0003-1007-433X; JAIS, XAVIER/0000-0002-4104-7994</t>
  </si>
  <si>
    <t>10.1183/16000617.0073-2015</t>
  </si>
  <si>
    <t>DW5IX</t>
  </si>
  <si>
    <t>WOS:000383678600013</t>
  </si>
  <si>
    <t>Agusti, A; Bel, E; Thomas, M; Vogelmeier, C; Brusselle, G; Holgate, S; Humbert, M; Jones, P; Gibson, PG; Vestbo, J; Beasley, R; Pavord, ID</t>
  </si>
  <si>
    <t>Agusti, Alvar; Bel, Elisabeth; Thomas, Mike; Vogelmeier, Claus; Brusselle, Guy; Holgate, Stephen; Humbert, Marc; Jones, Paul; Gibson, Peter G.; Vestbo, Jorgen; Beasley, Richard; Pavord, Ian D.</t>
  </si>
  <si>
    <t>Treatable traits: toward precision medicine of chronic airway diseases</t>
  </si>
  <si>
    <t>OBSTRUCTIVE PULMONARY-DISEASE; EXHALED NITRIC-OXIDE; RANDOMIZED CONTROLLED-TRIAL; PLACEBO-CONTROLLED TRIAL; BLOOD EOSINOPHIL COUNTS; PERSONALIZED MEDICINE; SPUTUM EOSINOPHILIA; ASTHMA CONTROL; DOUBLE-BLIND; MULTIDIMENSIONAL ASSESSMENT</t>
  </si>
  <si>
    <t>Asthma and chronic obstructive pulmonary disease (COPD) are two prevalent chronic airway diseases that have a high personal and social impact. They likely represent a continuum of different diseases that may share biological mechanisms (i.e. endotypes), and present similar clinical, functional, imaging and/or biological features that can be observed (i.e. phenotypes) which require individualised treatment. Precision medicine is defined as treatments targeted to the needs of individual patients on the basis of genetic, biomarker, phenotypic, or psychosocial characteristics that distinguish a given patient from other patients with similar clinical presentations. In this Perspective, we propose a precision medicine strategy for chronic airway diseases in general, and asthma and COPD in particular.</t>
  </si>
  <si>
    <t>[Agusti, Alvar] Univ Barcelona, Resp Inst, Hosp Clin, IDIBAPS, Barcelona, Spain; [Agusti, Alvar] CIBER Enfermedades Resp CIBERES, Madrid, Spain; [Bel, Elisabeth] Univ Amsterdam, Dept Resp Med, Acad Med Ctr, Amsterdam, Netherlands; [Thomas, Mike] Univ Southampton, Primary Care &amp; Populat Sci, Southampton, Hants, England; [Vogelmeier, Claus] Univ Marburg, Univ Med Ctr Giessen &amp; Marburg, Dept Med Pulm &amp; Crit Care Med, D-35032 Marburg, Germany; [Vogelmeier, Claus] German Ctr Lung Res DZL, Hannover, Germany; [Brusselle, Guy] Ghent Univ Hosp, Dept Resp Med, Ghent, Belgium; [Brusselle, Guy] Erasmus MC, Dept Epidemiol &amp; Resp Med, Rotterdam, Netherlands; [Holgate, Stephen] Univ Southampton, Dept Clin &amp; Expt Sci, Fac Med, Southampton Gen Hosp, Southampton, Hants, England; [Humbert, Marc] Univ Paris 11, Serv Pneumol, Hop Bicetre, AP HP,INSERM,UMR S 999, Le Kremlin Bicetre, France; [Jones, Paul] St Georges Univ London, London, England; [Gibson, Peter G.] Univ Newcastle, Hunter Med Res Inst, John Hunter Hosp, Dept Resp &amp; Sleep Med, Callaghan, NSW 2308, Australia; [Gibson, Peter G.] Univ Newcastle, Prior Res Ctr Asthma &amp; Resp Dis, Callaghan, NSW 2308, Australia; [Vestbo, Jorgen] Univ Hosp South Manchester NHS Fdn Trust, Ctr Resp Med &amp; Allergy, Manchester Acad Hlth Sci Ctr, Manchester, Lancs, England; [Beasley, Richard] Med Res Inst New Zealand, Wellington, New Zealand; [Pavord, Ian D.] Univ Oxford, Resp Med Unit, Nuffield Dept Med, NDM Res Bldg, Oxford, England</t>
  </si>
  <si>
    <t>University of Barcelona; Hospital Clinic de Barcelona; IDIBAPS; CIBER - Centro de Investigacion Biomedica en Red; CIBERES; University of Amsterdam; Academic Medical Center Amsterdam; University of Southampton; University Hospital of Giessen &amp; Marburg; Philipps University Marburg; Ghent University; Ghent University Hospital; Erasmus University Rotterdam; Erasmus MC; University of Southampton; Institut National de la Sante et de la Recherche Medicale (Inserm); Assistance Publique Hopitaux Paris (APHP); Hopital Universitaire Bicetre - APHP; Hopital Universitaire Antoine-Beclere - APHP; Universite Paris Saclay; City St Georges, University of London; St Georges University London; University of Newcastle; John Hunter Hospital; Hunter Medical Research Institute; University of Newcastle; Wythenshawe Hospital NHS Foundation Trust; University of Manchester; Medical Research Institute Of New Zealand; University of Oxford</t>
  </si>
  <si>
    <t>Agusti, A (corresponding author), Hosp Clin Barcelona, Resp Inst, Villarroel 170, Barcelona 08036, Spain.</t>
  </si>
  <si>
    <t>Alvar.Agusti@clinic.ub.es</t>
  </si>
  <si>
    <t>Garcia-Navarro, Alvar/F-4474-2015; Vestbo, Jorgen/Y-2912-2019; holgate, stephen/JOZ-4882-2023; Beasley, Richard/AAH-3908-2019; Brusselle, Guy/AFU-8839-2022; Humbert, Marc/AAC-8459-2019; Gibson, Peter/G-6194-2014</t>
  </si>
  <si>
    <t>Brusselle, Guy/0000-0001-7021-8505; Beasley, Richard/0000-0003-0337-406X; Humbert, Marc/0000-0003-0703-2892; Pavord, Ian/0000-0002-4288-5973; Gibson, Peter/0000-0001-5865-489X</t>
  </si>
  <si>
    <t>Instituto de Salud Carlos III [PI12/01117]; Recercaixa [AA084096]; SEPAR [PI065/2013, PI192/2012]; FUCAP; NIHR Southampton Biomedical Research Unit, NIHR Wessex CLAHRC; Universite Paris-Sud; INSERM; AP-HP (DHU Thorax Innovation); HRC NZ IRO grant; MRC [G0800766] Funding Source: UKRI</t>
  </si>
  <si>
    <t>Instituto de Salud Carlos III(Instituto de Salud Carlos IIISpanish Government); Recercaixa(La Caixa Foundation); SEPAR; FUCAP; NIHR Southampton Biomedical Research Unit, NIHR Wessex CLAHRC; Universite Paris-Sud; INSERM(Institut National de la Sante et de la Recherche Medicale (Inserm)); AP-HP (DHU Thorax Innovation); HRC NZ IRO grant; MRC(UK Research &amp; Innovation (UKRI)Medical Research Council UK (MRC))</t>
  </si>
  <si>
    <t>A. Agusti is supported by Instituto de Salud Carlos III (PI12/01117), Recercaixa-2012 (AA084096), SEPAR (PI065/2013, PI192/2012) and FUCAP 2012; M. Thomas is supported by the NIHR Southampton Biomedical Research Unit, NIHR Wessex CLAHRC; M. Humbert is supported by Universite Paris-Sud, INSERM and AP-HP (DHU Thorax Innovation); R. Beasley is supported by HRC NZ IRO grant.</t>
  </si>
  <si>
    <t>10.1183/13993003.01359-2015</t>
  </si>
  <si>
    <t>DY7CJ</t>
  </si>
  <si>
    <t>WOS:000385286600014</t>
  </si>
  <si>
    <t>Evans, JDW; Girerd, B; Montani, D; Wang, XJ; Galiè, N; Austin, ED; Elliott, G; Asano, K; Grunig, E; Yan, Y; Jing, ZC; Manes, A; Palazzini, M; Wheeler, LA; Nakayama, I; Satoh, T; Eichstaedt, C; Hinderhofer, K; Wolf, M; Rosenzweig, EB; Chung, WK; Soubrier, F; Simonneau, G; Sitbon, O; Gräf, S; Kaptoge, S; Di Angelantonio, E; Humbert, M; Morrell, NW</t>
  </si>
  <si>
    <t>Evans, Jonathan D. W.; Girerd, Barbara; Montani, David; Wang, Xiao-Jian; Galie, Nazzareno; Austin, Eric D.; Elliott, Greg; Asano, Koichiro; Grunig, Ekkehard; Yan, Yi; Jing, Zhi-Chung; Manes, Alessandra; Palazzini, Massimiliano; Wheeler, Lisa A.; Nakayama, Ikue; Satoh, Toru; Eichstaedt, Christina; Hinderhofer, Katrin; Wolf, Matthias; Rosenzweig, Erika B.; Chung, Wendy K.; Soubrier, Florent; Simonneau, Gerald; Sitbon, Olivier; Graef, Stefan; Kaptoge, Stephen; Di Angelantonio, Emanuele; Humbert, Marc; Morrell, Nicholas W.</t>
  </si>
  <si>
    <t>BMPR2 mutations and survival in pulmonary arterial hypertension: an individual participant data meta-analysis</t>
  </si>
  <si>
    <t>CALCIUM-CHANNEL BLOCKERS; PREVALENT COHORTS; DIAGNOSIS; INCIDENT; GUIDELINES; OUTCOMES</t>
  </si>
  <si>
    <t>Background Mutations in the gene encoding the bone morphogenetic protein receptor type II (BMPR2) are the commonest genetic cause of pulmonary arterial hypertension (PAH). However, the effect of BMPR2 mutations on clinical phenotype and outcomes remains uncertain. Methods We analysed individual participant data of 1550 patients with idiopathic, heritable, and anorexigen-associated PAH from eight cohorts that had been systematically tested for BMPR2 mutations. The primary outcome was the composite of death or lung transplantation. All-cause mortality was the secondary outcome. Hazard ratios (HRs) for death or transplantation and all-cause mortality associated with the presence of BMPR2 mutation were calculated using Cox proportional hazards models stratified by cohort. Findings Overall, 448 (29%) of 1550 patients had a BMPR2 mutation. Mutation carriers were younger at diagnosis (mean age 35.4 [SD 14.8] vs 42.0 [17.8] years), had a higher mean pulmonary artery pressure (60.5 [13.8] vs 56.4 [15.3] mm Hg) and pulmonary vascular resistance (16.6 [8.3] vs 12.9 [8.3] Wood units), and lower cardiac index (2.11 [0.69] vs 2.51 [0.92] L/min per m(2); all p&lt;0.0001). Patients with BMPR2 mutations were less likely to respond to acute vasodilator testing (3% [10 of 380] vs 16% [147 of 907]; p&lt;0.0001). Among the 1164 individuals with available survival data, age-adjusted and sex-adjusted HRs comparing BMPR2 mutation carriers with non-carriers were 1.42 (95% CI 1.15-1.75; p=0.0011) for the composite of death or lung transplantation and 1.27 (1.00-1.60; p=0.046) for all-cause mortality. These HRs were attenuated after adjustment for potential mediators including pulmonary vascular resistance, cardiac index, and vasoreactivity. HRs for death or transplantation and all-cause mortality associated with BMPR2 mutation were similar in men and women, but higher in patients with a younger age at diagnosis (p=0.0030 for death or transplantation, p=0.011 for all-cause mortality). Interpretation Patients with PAH and BMPR2 mutations present at a younger age with more severe disease, and are at increased risk of death, and death or transplantation, compared with those without BMPR2 mutations.</t>
  </si>
  <si>
    <t>[Evans, Jonathan D. W.; Morrell, Nicholas W.] Univ Cambridge, Sch Clin Med, Dept Med, Cambridge, England; [Graef, Stefan] Univ Cambridge, Sch Clin Med, Dept Haematol, Cambridge, England; [Evans, Jonathan D. W.] Papworth Hosp, Dept Cardiol, Cambridge CB3 8RE, England; [Girerd, Barbara; Montani, David; Simonneau, Gerald; Sitbon, Olivier; Humbert, Marc] Univ Paris Saclay, Univ Paris Sud, Fac Med, Le Kremlin Bicetre, France; [Girerd, Barbara; Montani, David; Simonneau, Gerald; Sitbon, Olivier; Humbert, Marc] Hop Bicetre, AP HP, Ctr Reference Hypertens Pulmonaire Severe, Dept Hosp Univ Thorax Innovat,Serv Pneumol, Le Kremlin Bicetre, France; [Girerd, Barbara; Montani, David; Simonneau, Gerald; Sitbon, Olivier; Humbert, Marc] Ctr Chirurg Marie Lannelongue, Lab Excellence Rech Medicament &amp; Innovat Therapeu, INSERM, UMR S999, Le Plessis Robinson, France; [Wang, Xiao-Jian; Jing, Zhi-Chung] Chinese Acad Med Sci, FuWai Hosp, State Key Lab Cardiovasc Dis, Thrombosis &amp; Vasc Med Ctr, Beijing 100730, Peoples R China; [Wang, Xiao-Jian; Jing, Zhi-Chung] Peking Union Med Coll, Beijing 100021, Peoples R China; [Galie, Nazzareno; Palazzini, Massimiliano] Univ Bologna, Dept Expt Diagnost &amp; Specialty Med DIMES, Bologna, Italy; [Manes, Alessandra] Univ Bologna, Inst Cardiol, Bologna, Italy; [Austin, Eric D.] Vanderbilt Univ, Sch Med, Dept Paediat, Nashville, TN 37212 USA; [Wheeler, Lisa A.] Vanderbilt Univ, Sch Med, Dept Med, Nashville, TN 37212 USA; [Elliott, Greg; Nakayama, Ikue] Univ Utah, Dept Med, Intermt Med Ctr, Salt Lake City, UT 84112 USA; [Elliott, Greg; Nakayama, Ikue] Univ Utah, Sch Med, Salt Lake City, UT USA; [Asano, Koichiro] Tokai Univ, Sch Med, Div Pulm Med, Isehara, Kanagawa 25911, Japan; [Grunig, Ekkehard; Eichstaedt, Christina; Wolf, Matthias] Univ Heidelberg Hosp, Ctr Pulm Hypertens, Thorax Clin, Heidelberg, Germany; [Eichstaedt, Christina; Hinderhofer, Katrin; Wolf, Matthias] Univ Heidelberg Hosp, Inst Human Genet, Heidelberg, Germany; [Yan, Yi; Jing, Zhi-Chung] Tongji Univ, Sch Med, Shanghai Pulm Hosp, Dept Cardiopulmonary Circulat, Shanghai 200092, Peoples R China; [Satoh, Toru] Kyorin Univ, Sch Med, Dept Med, Div Cardiol, Tokyo, Japan; [Rosenzweig, Erika B.] Columbia Univ, Med Ctr, Dept Pediat Cardiol, New York, NY USA; [Chung, Wendy K.] Columbia Univ, Med Ctr, Dept Pediat, New York, NY USA; [Chung, Wendy K.] Columbia Univ, Med Ctr, Dept Med, New York, NY USA; [Soubrier, Florent] Univ Paris 06, Lab Oncogenet &amp; Angiogenet Mol, Grp Hosp Pitie Salpetriere, Paris, France; [Kaptoge, Stephen; Di Angelantonio, Emanuele] Univ Cambridge, Dept Publ Hlth &amp; Primary Care, Cambridge, England; [Morrell, Nicholas W.] Univ Cambridge, Sch Clin Med, Dept Med, Addenbrookes Hosp,Div Resp Med, Box 157,Hills Rd, Cambridge CB2 OQQ, England</t>
  </si>
  <si>
    <t>University of Cambridge; University of Cambridge; Papworth Hospital; Universite Paris Saclay; Universite Paris Saclay; Assistance Publique Hopitaux Paris (APHP); Hopital Universitaire Bicetre - APHP; Hopital Universitaire Antoine-Beclere - APHP; Universite Paris Saclay; Institut National de la Sante et de la Recherche Medicale (Inserm); Hopital Marie Lannelongue; Chinese Academy of Medical Sciences - Peking Union Medical College; Fu Wai Hospital - CAMS; Chinese Academy of Medical Sciences - Peking Union Medical College; Peking Union Medical College; University of Bologna; University of Bologna; Vanderbilt University; Vanderbilt University; Utah System of Higher Education; University of Utah; Intermountain Healthcare; Intermountain Medical Center; Utah System of Higher Education; University of Utah; Tokai University; Ruprecht Karls University Heidelberg; Ruprecht Karls University Heidelberg; Tongji University; Kyorin University; Columbia University; Columbia University; Columbia University; Assistance Publique Hopitaux Paris (APHP); Hopital Universitaire Pitie-Salpetriere - APHP; Sorbonne Universite; University of Cambridge; Cambridge University Hospitals NHS Foundation Trust; Addenbrooke's Hospital; University of Cambridge</t>
  </si>
  <si>
    <t>Morrell, NW (corresponding author), Univ Cambridge, Sch Clin Med, Dept Med, Addenbrookes Hosp,Div Resp Med, Box 157,Hills Rd, Cambridge CB2 OQQ, England.</t>
  </si>
  <si>
    <t>Austin, Eric/A-6070-2013; Kaptoge, Stephen/KIL-7058-2024; Palazzini, Massimiliano/AFM-3353-2022; David, Montani/I-6885-2019; Sitbon, Olivier/I-3623-2019; yang, yue/KCK-7870-2024; Simonneau, Gerald/ABE-6614-2020; Rosenzweig, Erika/AAC-3680-2019; DiAngelantonio, Emanuele/ABE-6852-2020; Satoh, Toru/KDM-6311-2024; Jing, Zhi-Cheng/AAT-9081-2021; Yan, Yi/AAS-1969-2021; Humbert, Marc/AAC-8459-2019</t>
  </si>
  <si>
    <t>SITBON, Olivier/0000-0002-1942-1951; Jing, Zhi-Cheng/0000-0003-0493-0929; Montani, David/0000-0002-9358-6922; Yan, Yi/0000-0003-2860-3252; Di Angelantonio, Emanuele/0000-0001-8776-6719; Rosenzweig, Erika B./0000-0003-4849-214X; PALAZZINI, MASSIMILIANO/0000-0002-6778-1994; Humbert, Marc/0000-0003-0703-2892; Morrell, Nicholas/0000-0001-5700-9792</t>
  </si>
  <si>
    <t>Cambridge NIHR Biomedical Research Centre, Medical Research Council [MR/K020919/1]; British Heart Foundation [CH/09/001/25945]; Assistance Publique-Hopitaux de Paris, INSERM, Universite Paris-Sud; National Natural Science Foundation of China [81320108005]; Beijing Natural Science Foundation [7141009]; Intermountain Research and Medical Foundation [1007044]; National Center for Advancing Translational Sciences [UL1TR000445]; National Institutes of Health [R01 HL060056, P01 HL108800, K23 HL098743]; MRC [MR/L003120/1, G1000847, MR/K020919/1, G0800784] Funding Source: UKRI</t>
  </si>
  <si>
    <t>Cambridge NIHR Biomedical Research Centre, Medical Research Council; British Heart Foundation(British Heart Foundation); Assistance Publique-Hopitaux de Paris, INSERM, Universite Paris-Sud; National Natural Science Foundation of China(National Natural Science Foundation of China (NSFC)); Beijing Natural Science Foundation(Beijing Natural Science Foundation); Intermountain Research and Medical Foundation; National Center for Advancing Translational Sciences(United States Department of Health &amp; Human ServicesNational Institutes of Health (NIH) - USANIH National Center for Advancing Translational Sciences (NCATS)); National Institutes of Health(United States Department of Health &amp; Human ServicesNational Institutes of Health (NIH) - USA); MRC(UK Research &amp; Innovation (UKRI)Medical Research Council UK (MRC))</t>
  </si>
  <si>
    <t>The authors would like to acknowledge Laurence Rottat (APHP, Centre de Reference de l'Hypertension Pulmonaire Severe, Service de Pneumologie, Hopital de Bicetre, Le Kremlin Bicetre, France), Chiara Barozzi and Luciana Tomasi (University of Bologna, Bologna, Italy), Hiroki Kabata (Keio University Hospital, Tokyo, Japan), Melanie Eyries (University Pierre et Marie Curie-Paris, Paris, France), Robyn Barst and Jane Morse (Columbia University, New York, NY, USA). We acknowledge funding from Cambridge NIHR Biomedical Research Centre, Medical Research Council (MR/K020919/1), British Heart Foundation (CH/09/001/25945), Assistance Publique-Hopitaux de Paris, INSERM, Universite Paris-Sud, National Natural Science Foundation of China (81320108005), Beijing Natural Science Foundation (7141009), Intermountain Research and Medical Foundation (1007044), National Center for Advancing Translational Sciences (UL1TR000445), and National Institutes of Health (R01 HL060056, P01 HL108800, and K23 HL098743). The contents of this paper are solely the responsibility of the authors and do not necessarily represent official views of the National Center for Advancing Translational Sciences or the National Institutes of Health.</t>
  </si>
  <si>
    <t>10.1016/S2213-2600(15)00544-5</t>
  </si>
  <si>
    <t>DD7OG</t>
  </si>
  <si>
    <t>WOS:000370113400020</t>
  </si>
  <si>
    <t>Galiè, N; Humbert, M; Vachiery, JL; Gibbs, S; Lang, I; Torbicki, A; Simonneau, G; Peacock, A; Noordegraaf, AV; Beghetti, M; Ghofrani, A; Sanchez, MAG; Hansmann, G; Klepetko, W; Lancellotti, P; Matucci, M; McDonagh, T; Pierard, LA; Trindade, PT; Zompatori, M; Hoeper, M</t>
  </si>
  <si>
    <t>Galie, Nazzareno; Humbert, Marc; Vachiery, Jean-Luc; Gibbs, Simon; Lang, Irene; Torbicki, Adam; Simonneau, Gerald; Peacock, Andrew; Noordegraaf, Anton Vonk; Beghetti, Maurice; Ghofrani, Ardeschir; Sanchez, Miguel Angel Gomez; Hansmann, Georg; Klepetko, Walter; Lancellotti, Patrizio; Matucci, Marco; McDonagh, Theresa; Pierard, Luc A.; Trindade, Pedro T.; Zompatori, Maurizio; Hoeper, Marius</t>
  </si>
  <si>
    <t>2015 ESC/ERS Guidelines for the Diagnosis and Treatment of Pulmonary Hypertension</t>
  </si>
  <si>
    <t>Beghetti, Maurice/HNP-1055-2023; Lancellotti, Patrizio/AEK-4855-2022; Hansmann, Georg/AAW-5843-2020; Ghofrani, Ardeschir/AAD-5293-2020; Sicilia, Miguel-Angel/F-5002-2012; Simonneau, Gerald/ABE-6614-2020; Vachiery, Jean-Luc/ABC-6631-2021; Hoeper, Marius/Z-1546-2019; Kolh, Philippe/AAE-7224-2019; Badano, Luigi/H-9755-2019; Humbert, Marc/AAC-8459-2019</t>
  </si>
  <si>
    <t>Hoeper, Marius/0000-0001-9086-2293; Badano, Luigi/0000-0002-0379-3283; Ghofrani, Ardeschir/0000-0002-2029-4419; Humbert, Marc/0000-0003-0703-2892</t>
  </si>
  <si>
    <t>10.1016/j.rec.2016.01.002</t>
  </si>
  <si>
    <t>DF5NW</t>
  </si>
  <si>
    <t>WOS:000371399800013</t>
  </si>
  <si>
    <t>Girerd, B; Montani, D; Jaïs, X; Eyries, M; Yaici, A; Sztrymf, B; Savale, L; Parent, F; Coulet, F; Godinas, L; Lau, EM; Tamura, Y; Sitbon, O; Soubrier, F; Simonneau, G; Humbert, M</t>
  </si>
  <si>
    <t>Girerd, Barbara; Montani, David; Jais, Xavier; Eyries, Melanie; Yaici, Azzedine; Sztrymf, Benjamin; Savale, Laurent; Parent, Florence; Coulet, Florence; Godinas, Laurent; Lau, Edmund M.; Tamura, Yuichi; Sitbon, Olivier; Soubrier, Florent; Simonneau, Gerald; Humbert, Marc</t>
  </si>
  <si>
    <t>Genetic counselling in a national referral centre for pulmonary hypertension</t>
  </si>
  <si>
    <t>ARTERIAL-HYPERTENSION; GERMLINE MUTATIONS; CLINICAL-OUTCOMES; BMPR2; RECEPTOR; DIAGNOSIS; GENOMICS; CARRIERS; PPH1</t>
  </si>
  <si>
    <t>Genetic causes of pulmonary arterial hypertension (PAH) and pulmonary veno-occlusive disease (PVOD) have been identified, leading to a growing need for genetic counselling. Between 2003 and 2014, genetic counselling was offered to 529 PAH and 100 PVOD patients at the French Referral Centre for Pulmonary Hypertension. Mutations in PAH-predisposing genes were identified in 72 patients presenting as sporadic PAH (17% of cases; 62 mutations in BMPR2, nine in ACVRL1 (ALK1) and one in ENG) and in 94 patients with a PAH family history (89% of cases; 89 mutations in BMPR2, three in ACVRL1 (ALK1) and two in KCNK3). Bi-allelic mutations in EIF2AK4 were identified in all patients with a family history of PVOD (n=19) and in seven patients (8.6%) presenting as sporadic PVOD. Pre-symptomatic genetic diagnosis was offered to 272 relatives of heritable PAH patients, identifying mutations in 36.4% of them. A screening programme is now offered to asymptomatic mutation carriers to detect PAH in an early phase and to identify predictors of outcomes in asymptomatic BMPR2 mutation carriers. BMPR2 screening allowed us to offer pre-implantation diagnosis to two couples with a BMPR2 mutation. Genetic counselling can be implemented in pulmonary hypertension centres.</t>
  </si>
  <si>
    <t>[Girerd, Barbara; Montani, David; Jais, Xavier; Yaici, Azzedine; Sztrymf, Benjamin; Savale, Laurent; Parent, Florence; Godinas, Laurent; Lau, Edmund M.; Tamura, Yuichi; Sitbon, Olivier; Simonneau, Gerald; Humbert, Marc] Univ Paris Saclay, Fac Med, Univ Paris 11, Le Kremlin Bicetre, France; [Girerd, Barbara; Montani, David; Jais, Xavier; Yaici, Azzedine; Sztrymf, Benjamin; Savale, Laurent; Parent, Florence; Godinas, Laurent; Lau, Edmund M.; Tamura, Yuichi; Sitbon, Olivier; Simonneau, Gerald; Humbert, Marc] Hop Bicetre, AP HP, Dept Hosp Univ DHU Thorax Innovat TORINO, Ctr Reference Hypertens Pulm Severe,Serv Pneumol, Le Kremlin Bicetre, France; [Girerd, Barbara; Montani, David; Jais, Xavier; Yaici, Azzedine; Sztrymf, Benjamin; Savale, Laurent; Parent, Florence; Godinas, Laurent; Tamura, Yuichi; Sitbon, Olivier; Simonneau, Gerald; Humbert, Marc] Univ Paris 11, INSERM, Lab Excellence LabEx Rech Med &amp; Innovat Therapeut, Ctr Chirurg Marie Lannelongue,UMR S999, Le Plessis Robinson, France; [Eyries, Melanie; Coulet, Florence; Soubrier, Florent] Univ Paris 06, INSERM, Lab Oncogenet &amp; Angiogenet Mol, Grp Hosp Pitie Salpetriere,UMR S956, Paris, France; [Lau, Edmund M.] Univ Sydney, Sydney Med Sch, Camperdown, NSW, Australia</t>
  </si>
  <si>
    <t>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 Assistance Publique Hopitaux Paris (APHP); Hopital Universitaire Pitie-Salpetriere - APHP; Sorbonne Universite; Institut National de la Sante et de la Recherche Medicale (Inserm); University of Sydney</t>
  </si>
  <si>
    <t>Humbert, M (corresponding author), Univ Paris 11, Hop Bicetre, Serv Pneumol, 78 Rue Gen Leclerc, F-94270 Le Kremlin Bicetre, France.</t>
  </si>
  <si>
    <t>Tamura, Yuichi/B-5991-2014; Sitbon, Olivier/I-3623-2019; Savale, Laurent/AAJ-9781-2020; Simonneau, Gerald/ABE-6614-2020; EYRIES, melanie/ABF-1034-2020; David, Montani/I-6885-2019; Godinas, Laurette/AAS-1059-2021; Humbert, Marc/AAC-8459-2019</t>
  </si>
  <si>
    <t>Tamura, Yuichi/0000-0002-4437-8019; Godinas, Laurent/0000-0003-2214-5879; SITBON, Olivier/0000-0002-1942-1951; JAIS, XAVIER/0000-0002-4104-7994; Montani, David/0000-0002-9358-6922; Humbert, Marc/0000-0003-0703-2892</t>
  </si>
  <si>
    <t>European Respiratory Society [LTRF-2013-1592]; ERS/EU RESPIRE2 Marie Curie research fellowship [RESPIRE2-2013-4919]</t>
  </si>
  <si>
    <t>European Respiratory Society; ERS/EU RESPIRE2 Marie Curie research fellowship(European Union (EU))</t>
  </si>
  <si>
    <t>L. Godinas is supported by the European Respiratory Society (grant LTRF-2013-1592). Y. Tamura (RESPIRE2-2013-4919) is the recipient of an ERS/EU RESPIRE2 Marie Curie research fellowship.</t>
  </si>
  <si>
    <t>10.1183/13993003.00717-2015</t>
  </si>
  <si>
    <t>WOS:000385286600025</t>
  </si>
  <si>
    <t>Lau, EMT; Chemla, D; Godinas, L; Zhu, KX; Sitbon, O; Savale, L; Montani, D; Jais, X; Celermajer, DS; Simonneau, G; Humbert, M; Hervé, P</t>
  </si>
  <si>
    <t>Lau, Edmund M. T.; Chemla, Denis; Godinas, Laurent; Zhu, Kaixian; Sitbon, Olivier; Savale, Laurent; Montani, David; Jais, Xavier; Celermajer, David S.; Simonneau, Gerald; Humbert, Marc; Herve, Philippe</t>
  </si>
  <si>
    <t>Loss of Vascular Distensibility During Exercise Is an Early Hemodynamic Marker of Pulmonary Vascular Disease</t>
  </si>
  <si>
    <t>exercise; hemodynamics; pulmonary arterial hypertension; pulmonary hypertension</t>
  </si>
  <si>
    <t>STRESS ECHOCARDIOGRAPHY; PRESSURE; DIAGNOSIS; FLOW; CIRCULATION</t>
  </si>
  <si>
    <t>BACKGROUND: Exercise can distend the normally compliant, thin-walled pulmonary vessels. Loss of distensibility has been suggested as an early marker of pulmonary vascular remodeling. We hypothesized that in mild pulmonary vascular disease (PVD), a reduction in vascular distensibility during exercise occurs prior to the development of overt resting pulmonary hypertension (PH). METHODS: Distensibility a during exercise (percentage change in vessel diameter per mm Hg increase in transmural pressure) was estimated in 90 subjects using a model of the pulmonary circulation and invasive hemodynamic data. Distensible properties in mild PVD without resting PH (PVD-noPH) (n = 33) were compared with control subjects (n = 26) and PVD with overt resting PH (PVD-PH) (n = 31). RESULTS: Resting mean pulmonary artery pressure (mPpa) levels were 14 +/- 4, 20 +/- 3, and 34 +/- 10 mm Hg with corresponding exercise mPpa-cardiac output slopes of 1.5 +/- 0.6, 3.5 +/- 0.9, and 5.7 +/- 3.2 mm Hg/L/min for control subjects and the PVD-noPH and PVD-PH groups, respectively. The distensible model produced high accuracy and precision with no mean bias and 95% limits of agreement of -4.5 to 4.5 mm Hg between calculated and measured mPpa. Distensibility alpha was lowest in the PVD-PH group, intermediate in the PVD-noPH group, and highest in control subjects (0.25 +/- 0.14%/mm Hg vs 0.45 +/- 0.24%/mm Hg vs 1.40 +/- 0.45%/ mm Hg, P &lt;.0001). Distensibility a discriminated PVD-noPH from control subjects with a sensitivity of 88% and a specificity of 100%. The discriminatory performance of a was similar for the subgroup of PVD-noPH, with a strictly normal resting mPpa &lt;= 20 mm Hg. CONCLUSIONS: Loss of pulmonary vascular distensibility during exercise occurs prior to resting PH in PVD. The usefulness of a as a novel vascular index for the early detection of PVD warrants further validation.</t>
  </si>
  <si>
    <t>[Lau, Edmund M. T.; Chemla, Denis; Godinas, Laurent; Zhu, Kaixian; Sitbon, Olivier; Savale, Laurent; Montani, David; Jais, Xavier; Simonneau, Gerald; Humbert, Marc] Univ Paris 11, Le Kremlin Bicetre, France; [Lau, Edmund M. T.; Chemla, Denis; Godinas, Laurent; Zhu, Kaixian; Sitbon, Olivier; Savale, Laurent; Montani, David; Jais, Xavier; Simonneau, Gerald; Humbert, Marc] Hop Bicetre, AP HP, Serv Pneumol, Ctr Reference Hypertens Pulm Severe,DHU Thorax In, F-94275 Le Kremlin Bicetre, France; [Chemla, Denis; Godinas, Laurent; Zhu, Kaixian; Sitbon, Olivier; Savale, Laurent; Montani, David; Jais, Xavier; Simonneau, Gerald; Humbert, Marc] Ctr Chirurg Marie Lannelongue, LabEx LERMIT, INSERM, UMR S999, Le Plessis Robinson, France; [Herve, Philippe] Hop Marie Lanne Longue, Dept Chirurg Thorac, Vasc &amp; Transplantat Pulm, Le Plessis Robinson, France; [Lau, Edmund M. T.; Celermajer, David S.] Univ Sydney, Sydney Med Sch, Camperdown, NSW, Australia; [Godinas, Laurent] Catholic Univ Louvain, CHU Mt Godinne, Yvoir, Belgium</t>
  </si>
  <si>
    <t>Universite Paris Saclay; Assistance Publique Hopitaux Paris (APHP); Hopital Universitaire Antoine-Beclere - APHP; Universite Paris Saclay; Hopital Universitaire Bicetre - APHP; Hopital Marie Lannelongue; Universite Paris Saclay; Institut National de la Sante et de la Recherche Medicale (Inserm); Hopital Marie Lannelongue; University of Sydney; Universite Catholique Louvain; Universite Catholique Louvain Hospital</t>
  </si>
  <si>
    <t>Lau, EMT (corresponding author), Hop Bicetre, Serv Pneumol &amp; Reanimat Resp, 78 Rue Gen Leclerc, F-94275 Le Kremlin Bicetre, France.</t>
  </si>
  <si>
    <t>Kaixian, Zhu/P-8294-2019; Celermajer, David/KYZ-0123-2024; David, Montani/I-6885-2019; Simonneau, Gerald/ABE-6614-2020; Sitbon, Olivier/I-3623-2019; Godinas, Laurette/AAS-1059-2021; Savale, Laurent/AAJ-9781-2020; Humbert, Marc/AAC-8459-2019</t>
  </si>
  <si>
    <t>CHEMLA, Denis/0000-0001-7479-9896; SITBON, Olivier/0000-0002-1942-1951; Godinas, Laurent/0000-0003-2214-5879; Humbert, Marc/0000-0003-0703-2892; Montani, David/0000-0002-9358-6922; Celermajer, David/0000-0001-7640-0439; JAIS, XAVIER/0000-0002-4104-7994</t>
  </si>
  <si>
    <t>Fonds de Dotation Recherche en Sante Respiratoire; Fondation du Souffle; INSERM-University of Sydney Exchange Grant</t>
  </si>
  <si>
    <t>Dr Lau was funded by Fonds de Dotation Recherche en Sante Respiratoire, Fondation du Souffle and the INSERM-University of Sydney Exchange Grant.</t>
  </si>
  <si>
    <t>10.1378/chest.15-0125</t>
  </si>
  <si>
    <t>DD1DC</t>
  </si>
  <si>
    <t>WOS:000369660400018</t>
  </si>
  <si>
    <t>Blood Eosinophils and Serum IgE Predict Response to Omalizumab in Patients with Severe Allergic Asthma: Innovate Trial Post-Hoc Analysis</t>
  </si>
  <si>
    <t>Annual Meeting of the American-Academy-of-Allergy-Asthma-and-Immunology (AAAAI)</t>
  </si>
  <si>
    <t>MAR 04-07, 2016</t>
  </si>
  <si>
    <t>Los Angeles, CA</t>
  </si>
  <si>
    <t>Amer Acad Allergy, Asthma &amp; Immunol</t>
  </si>
  <si>
    <t>[Manga, Volkan] Novartis Pharma AG, Basel, Switzerland; [Humbert, Marc] Univ Paris 11, Hosp Antoine Beclere, Clamart, France; [Djukanovic, Ratko] Univ Southampton, Southampton, Hants, England; [Greenberg, Steve] Nova Pharmaceut Corp, E Hanover, NJ USA; [Omachi, Theodore A.; Trzaskoma, Benjamin] Genentech Inc, San Francisco, CA 94080 USA; [Buhl, Roland] Univ Hosp, Mainz, Germany</t>
  </si>
  <si>
    <t>Novartis; Universite Paris Saclay; Assistance Publique Hopitaux Paris (APHP); Hopital Universitaire Antoine-Beclere - APHP; University of Southampton; Novartis; Novartis USA; Roche Holding; Roche Holding USA; Genentech; University Hospital Mainz</t>
  </si>
  <si>
    <t>AB16</t>
  </si>
  <si>
    <t>10.1016/j.jaci.2015.12.051</t>
  </si>
  <si>
    <t>DK6BI</t>
  </si>
  <si>
    <t>WOS:000375005400049</t>
  </si>
  <si>
    <t>Pradère, P; Garcia, G; Humbert, M; Aubier, M; Taillé, C</t>
  </si>
  <si>
    <t>Pradere, P.; Garcia, G.; Humbert, M.; Aubier, M.; Taille, C.</t>
  </si>
  <si>
    <t>Omalizumab: What have we learned after ten years of prescription?</t>
  </si>
  <si>
    <t>Omalizumab; Asthma; Biotherapy; Immunoglobulin E; Atopy</t>
  </si>
  <si>
    <t>SEVERE ALLERGIC-ASTHMA; ANTIIMMUNOGLOBULIN-E THERAPY; E ANTIBODY OMALIZUMAB; IGE-MEDIATED ASTHMA; ADD-ON THERAPY; BRONCHOPULMONARY ASPERGILLOSIS; AIRWAY INFLAMMATION; EFFICACY; SAFETY; TOLERABILITY</t>
  </si>
  <si>
    <t>Introduction. - Omalizumab, an anti-immunoglobulin E monoclonal antibody, has now been used for ten years as an add-on therapy for severe adult atopic asthma, poorly controlled by high-doses inhaled steroids and long-acting beta-agonists. Background. - This innovative therapy has been the first biotherapy used on a large scale in severe asthma. It has shown clinical benefits, especially in the prevention of severe exacerbation, with a satisfactory safety profile. Despite its cost, it is an interesting alternative to continuous oral steroids, which cause more long-term side effects. Perspectives. - After ten-years of prescription of omalizumab, we review here the mechanism of action, the benefits, the main side effects, the cost-effectiveness and also the alternative indications of this interesting molecule. We also consider the practicalities of using omalizumab, particularly the importance a rigorous assessment of its efficacy after 16 weeks of treatment, and possible future therapeutic indications. Conclusion. - Omalizumab has proven its efficacy in large randomized studies but also in real life practice in severe allergic asthma. (C) 2015 SPLF. Published by Elsevier Masson SAS. All rights reserved.</t>
  </si>
  <si>
    <t>[Pradere, P.; Aubier, M.; Taille, C.] Univ Paris Diderot, Ctr Competence Pour Malad Pulmonaires Rares, Hop Bichat, AP HP,Serv Pneumol, 46 Rue Henri Huchard, F-75877 Paris 18, France; [Garcia, G.; Humbert, M.] Univ Paris Sud, Hop Bicetre, AP HP, Serv Pneumol, F-94270 Le Kremlin Bicetre, France</t>
  </si>
  <si>
    <t>Assistance Publique Hopitaux Paris (APHP); Universite Paris Cite; Hopital Universitaire Bichat-Claude Bernard - APHP; Assistance Publique Hopitaux Paris (APHP); Hopital Universitaire Bicetre - APHP; Hopital Universitaire Antoine-Beclere - APHP; Universite Paris Saclay</t>
  </si>
  <si>
    <t>Taillé, C (corresponding author), Univ Paris Diderot, Ctr Competence Pour Malad Pulmonaires Rares, Hop Bichat, AP HP,Serv Pneumol, 46 Rue Henri Huchard, F-75877 Paris 18, France.</t>
  </si>
  <si>
    <t>Taille, Camille/J-3751-2017; Humbert, Marc/AAC-8459-2019</t>
  </si>
  <si>
    <t>10.1016/j.rmr.2015.07.008</t>
  </si>
  <si>
    <t>DG2PM</t>
  </si>
  <si>
    <t>WOS:000371909700004</t>
  </si>
  <si>
    <t>Antigny, F; Hautefort, A; Meloche, J; Belacel-Ouary, M; Manoury, B; Potus, F; Rucker-Martin, C; Nadeau, V; Ruffenach, G; Tremblay, E; Bourgeois, A; Ranchoux, B; Breuil-Bonnet, S; Dorfmuller, P; Fadel, E; Jourdon, P; Girerd, B; Montani, D; Provencher, S; Bonnet, S; Humbert, M; Perros, F</t>
  </si>
  <si>
    <t>Antigny, F.; Hautefort, A.; Meloche, J.; Belacel-Ouary, M.; Manoury, B.; Potus, F.; Rucker-Martin, C.; Nadeau, V.; Ruffenach, G.; Tremblay, E.; Bourgeois, A.; Ranchoux, B.; Breuil-Bonnet, S.; Dorfmuller, P.; Fadel, E.; Jourdon, P.; Girerd, B.; Montani, D.; Provencher, S.; Bonnet, S.; Humbert, M.; Perros, F.</t>
  </si>
  <si>
    <t>Potassium Channel Subfamily K Member 3 (kcnk3) Contributes To The Development Of Pulmonary Arterial Hypertension</t>
  </si>
  <si>
    <t>MAY 13-18, 2016</t>
  </si>
  <si>
    <t>[Antigny, F.; Hautefort, A.; Rucker-Martin, C.; Ranchoux, B.; Dorfmuller, P.; Fadel, E.; Jourdon, P.; Girerd, B.; Montani, D.; Perros, F.] INSERM, U999, Le Plessis Robinson, France; [Meloche, J.; Potus, F.; Provencher, S.] Univ Laval, Quebec Res Ctr, Inst Univ Cardiol &amp; Pneumol, Quebec City, PQ, Canada; [Belacel-Ouary, M.; Manoury, B.] U1180, Chatenay Malabry, France; [Nadeau, V.; Breuil-Bonnet, S.; Bonnet, S.] IUCPQ, Quebec City, PQ, Canada; [Ruffenach, G.; Tremblay, E.; Bourgeois, A.] Univ Laval, Inst Univ Cardiol &amp; Pneumol Quebec, Ctr Rech, Quebec City, PQ, Canada; [Humbert, M.] Hop Bicetre, Le Kremlin Bicetre, France</t>
  </si>
  <si>
    <t>Institut National de la Sante et de la Recherche Medicale (Inserm); Universite Paris Saclay; Laval University; Universite Paris Saclay; Laval University; Laval University Hospital; Laval University; Universite Paris Saclay; Assistance Publique Hopitaux Paris (APHP); Hopital Universitaire Antoine-Beclere - APHP; Hopital Universitaire Bicetre - APHP</t>
  </si>
  <si>
    <t>Humbert, Marc/AAC-8459-2019; David, Montani/I-6885-2019; Ranchoux, Benoît/AAX-6037-2020; Manoury, Boris/P-1066-2016; Antigny, Fabrice/Q-3999-2018; Perros, Frederic/N-6921-2017</t>
  </si>
  <si>
    <t>Manoury, Boris/0000-0001-7305-5633; Antigny, Fabrice/0000-0002-9515-6571; Perros, Frederic/0000-0001-7730-2427</t>
  </si>
  <si>
    <t>EG0VE</t>
  </si>
  <si>
    <t>WOS:000390749600042</t>
  </si>
  <si>
    <t>Boucly, A; Nunes, H; Jais, X; Cottin, V; Tazi, A; Sanchez, O; Prevot, G; Gaubert, MR; Dromer, C; Viacroze, C; Langlard, DH; Pison, C; Bergot, E; Montani, D; Simonneau, G; Humbert, M; Sitbon, O; Savale, L</t>
  </si>
  <si>
    <t>Boucly, A.; Nunes, H.; Jais, X.; Cottin, V.; Tazi, A.; Sanchez, O.; Prevot, G.; Gaubert, M. Reynaud; Dromer, C.; Viacroze, C.; Langlard, D. Horeau; Pison, C.; Bergot, E.; Montani, D.; Simonneau, G.; Humbert, M.; Sitbon, O.; Savale, L.</t>
  </si>
  <si>
    <t>Sarcoidosis-Associated Pulmonary Hypertension In The Modern Pah-Targeted Therapy Era: Experience From The French Registry</t>
  </si>
  <si>
    <t>[Boucly, A.; Jais, X.; Montani, D.; Simonneau, G.; Humbert, M.; Sitbon, O.; Savale, L.] Hop Bicetre, Le Kremlin Bicetre, France; [Nunes, H.] Hop Avicenne, Bobigny, France; [Cottin, V.] Lyon Univ, Louis Pradel Hosp, Lyon, France; [Tazi, A.] Hop St Louis, Paris, France; [Sanchez, O.] Hop Europeen Georges Pompidou, Paris, France; [Prevot, G.] Ctr Hosp Univ CHU Toulouse, Toulouse, France; [Gaubert, M. Reynaud] Hop Nord Marseille, Marseille, France; [Dromer, C.] CHU Bordeaux, Bordeaux, France; [Viacroze, C.] CHU Rouen Bois Guillaume, Bois Guillaume, France; [Langlard, D. Horeau] CHU Nantes, Nantes, France; [Pison, C.] CHU Grenoble, La Tronche, France; [Bergot, E.] CHU Caen, Caen, France</t>
  </si>
  <si>
    <t>Universite Paris Saclay; Assistance Publique Hopitaux Paris (APHP); Hopital Universitaire Antoine-Beclere - APHP; Hopital Universitaire Bicetre - APHP; Assistance Publique Hopitaux Paris (APHP); Hopital Universitaire Avicenne - APHP; Universite Paris 13; CHU Lyon; Assistance Publique Hopitaux Paris (APHP); Universite Paris Cite; Hopital Universitaire Saint-Louis - APHP; Assistance Publique Hopitaux Paris (APHP); Universite Paris Cite; Hopital Universitaire Europeen Georges-Pompidou - APHP; CHU de Toulouse; Aix-Marseille Universite; Assistance Publique-Hopitaux de Marseille; CHU Bordeaux; Universite de Bordeaux; Universite de Rouen Normandie; CHU de Rouen; Nantes Universite; CHU de Nantes; Communaute Universite Grenoble Alpes; Universite Grenoble Alpes (UGA); CHU Grenoble Alpes; CHU de Caen NORMANDIE; Universite de Caen Normandie</t>
  </si>
  <si>
    <t>Savale, Laurent/AAJ-9781-2020; Sitbon, Olivier/I-3623-2019; Nunes, Hilario/AAM-8127-2020; David, Montani/I-6885-2019; Humbert, Marc/AAC-8459-2019; Bergot, Emmanuel/KHZ-1685-2024</t>
  </si>
  <si>
    <t>A6463</t>
  </si>
  <si>
    <t>WOS:000390749606234</t>
  </si>
  <si>
    <t>Boucly, A; O'Connell, C; Savale, L; O'Callaghan, DS; Jaïs, X; Montani, D; Humbert, M; Simonneau, G; Sitbon, O</t>
  </si>
  <si>
    <t>Boucly, Athenais; O'Connell, Caroline; Savale, Laurent; O'Callaghan, Dermot S.; Jais, Xavier; Montani, David; Humbert, Marc; Simonneau, Gerald; Sitbon, Olivier</t>
  </si>
  <si>
    <t>Tunnelled central venous line-associated infections in patients with pulmonary arterial hypertension treated with intravenous prostacyclin</t>
  </si>
  <si>
    <t>BLOOD-STREAM INFECTIONS; CATHETER-RELATED COMPLICATIONS; OPEN-LABEL; EPOPROSTENOL PROSTACYCLIN; PROSTANOID THERAPY; IV TREPROSTINIL; GUIDELINES; PATHOGENESIS; TRANSITION; PREVENTION</t>
  </si>
  <si>
    <t>Intravenous prostacyclins are a valuable treatment for patients with severe pulmonary arterial hypertension, leading to improved exercise capacity, haemodynamics, quality of life and survival. Unfortunately, due to the short half- life of these drugs, they need to be administered continuously through central venous catheters. Despite aseptic technique, regular dressing changes, tunneled central venous catheters and patient education, patients are exposed to central venous catheter associated infections. These infections cause significant morbidity and mortality. The clinical presentation, microbiology, consequences and management of these central venous catheter associated infections in pulmonary arterial hypertension patients treated with intravenous prostacyclins are discussed.</t>
  </si>
  <si>
    <t>[Boucly, Athenais; O'Connell, Caroline; Savale, Laurent; Jais, Xavier; Montani, David; Humbert, Marc; Simonneau, Gerald; Sitbon, Olivier] DHU TORINO, Ctr Reference Hypertens Pulm Severe, Serv Pneumol &amp; Soins Intensifs, AP HP,Hop Bicetre, 78 Rue Gen Leclerc, F-94275 Le Kremlin Bicetre, France; [Boucly, Athenais; O'Connell, Caroline; Savale, Laurent; Montani, David; Humbert, Marc; Simonneau, Gerald; Sitbon, Olivier] Univ Paris 11, Fac Med, F-94270 Le Kremlin Bicetre, France; [Boucly, Athenais; O'Connell, Caroline; Savale, Laurent; Jais, Xavier; Montani, David; Humbert, Marc; Simonneau, Gerald; Sitbon, Olivier] INSERM, U999, HTAP Physiopathol &amp; Innovat Therapeut, F-92350 Le Plessis Robinson, France; [O'Callaghan, Dermot S.] Mater Misericordiae Univ Hosp, Dept Resp Med, Dublin, Ireland</t>
  </si>
  <si>
    <t>Universite Paris Saclay; Assistance Publique Hopitaux Paris (APHP); Hopital Universitaire Bicetre - APHP; Hopital Universitaire Antoine-Beclere - APHP; Universite Paris Saclay; Institut National de la Sante et de la Recherche Medicale (Inserm); Universite Paris Saclay; Mater Misericordiae University Hospital; University College Dublin</t>
  </si>
  <si>
    <t>Sitbon, O (corresponding author), DHU TORINO, Ctr Reference Hypertens Pulm Severe, Serv Pneumol &amp; Soins Intensifs, AP HP,Hop Bicetre, 78 Rue Gen Leclerc, F-94275 Le Kremlin Bicetre, France.</t>
  </si>
  <si>
    <t>SITBON, Olivier/0000-0002-1942-1951; Humbert, Marc/0000-0003-0703-2892; Montani, David/0000-0002-9358-6922; JAIS, XAVIER/0000-0002-4104-7994; Boucly, Athenais/0000-0001-6246-5557; O'Callaghan, Dermot/0000-0002-0561-5800</t>
  </si>
  <si>
    <t>10.1016/j.lpm.2015.10.001</t>
  </si>
  <si>
    <t>DD8QF</t>
  </si>
  <si>
    <t>WOS:000370191200004</t>
  </si>
  <si>
    <t>Cartin-Ceba, R.; Halank, M.; Ghofrani, H-A.; Humbert, M.; Mattson, J.; Fritsch, A.; Krowka, M. J.</t>
  </si>
  <si>
    <t>Riociguat Treatment For Porto-Pulmonary Hypertension: A Subgroup Analysis From The Patent-1 Study</t>
  </si>
  <si>
    <t>[Cartin-Ceba, R.; Krowka, M. J.] Mayo Clin, Scottsdale, AZ USA; [Halank, M.] Tech Univ Dresden, Univ Hosp Carl Gustav Carus, Dresden, Germany; [Ghofrani, H-A.] Univ Giessen, Giessen, Germany; [Ghofrani, H-A.] Marburg Lung Ctr UGMLC, Giessen, Germany; [Ghofrani, H-A.] German Ctr Lung Res DZL, Giessen, Germany; [Ghofrani, H-A.] Imperial Coll London, Dept Med, Giessen, Germany; [Humbert, M.] Univ Paris Saclay, Univ Paris Sud, Le Kremlin Bicetre, France; [Humbert, M.] Hop Bicetre, AP HP, Serv Pneumol, Le Plessis Robinson, France; [Humbert, M.] Hop Marie Lannelongue, INSERM, UMR S 999, Le Plessis Robinson, France; [Mattson, J.] Bayer Pharma AG, Whippany, NJ USA; [Fritsch, A.] Bayer Pharma AG, Wuppertal, Germany</t>
  </si>
  <si>
    <t>Mayo Clinic; Mayo Clinic Phoenix; Technische Universitat Dresden; Carl Gustav Carus University Hospital; Justus Liebig University Giessen; Universite Paris Saclay; Assistance Publique Hopitaux Paris (APHP); Hopital Universitaire Bicetre - APHP; Hopital Marie Lannelongue; Institut National de la Sante et de la Recherche Medicale (Inserm); Universite Paris Saclay; Bayer AG; Bayer Healthcare Pharmaceuticals; Bayer AG; Bayer Healthcare Pharmaceuticals</t>
  </si>
  <si>
    <t>A7357</t>
  </si>
  <si>
    <t>WOS:000390749607293</t>
  </si>
  <si>
    <t>Courboulin, A; Quatredeniers, M; Sanz, G; Breuils-Bonnet, S; Vocelle, M; Lafond, M; Antigny, F; Perros, F; Bonnet, S; Pajot-Augy, E; Humbert, M; Cohen-Kaminsky, S</t>
  </si>
  <si>
    <t>Courboulin, A.; Quatredeniers, M.; Sanz, G.; Breuils-Bonnet, S.; Vocelle, M.; Lafond, M.; Antigny, F.; Perros, F.; Bonnet, S.; Pajot-Augy, E.; Humbert, M.; Cohen-Kaminsky, S.</t>
  </si>
  <si>
    <t>Vascular Olfactory Receptors: New Suspects In Pulmonary Arterial Hypertension</t>
  </si>
  <si>
    <t>[Courboulin, A.; Quatredeniers, M.; Vocelle, M.; Lafond, M.; Antigny, F.; Perros, F.; Humbert, M.; Cohen-Kaminsky, S.] Univ Paris Saclay, Univ Paris Sud, Hop Marie Lannelongue, Fac Med,Inserm,UMR S999,LabEx LERMIT,DHU TORINO, Le Plessis Robinson, France; [Sanz, G.; Pajot-Augy, E.] INRA, UR1197, Jouy En Josas, France; [Breuils-Bonnet, S.; Bonnet, S.] Univ Laval, Inst Univ Cardiol &amp; Pneumol, Quebec Res Ctr, Quebec City, PQ, Canada</t>
  </si>
  <si>
    <t>Institut National de la Sante et de la Recherche Medicale (Inserm); Universite Paris Saclay; Hopital Marie Lannelongue; Universite Paris Saclay; INRAE; Laval University</t>
  </si>
  <si>
    <t>audrey.courboulin@u-psud.fr</t>
  </si>
  <si>
    <t>Humbert, Marc/AAC-8459-2019; Cohen-Kaminsky, Sylvia/E-4837-2014; Perros, Frederic/N-6921-2017</t>
  </si>
  <si>
    <t>Cohen-Kaminsky, Sylvia/0000-0002-6341-7482; Perros, Frederic/0000-0001-7730-2427</t>
  </si>
  <si>
    <t>A2802</t>
  </si>
  <si>
    <t>WOS:000390749602051</t>
  </si>
  <si>
    <t>Galie, Nazzareno; Humbert, Marc; Vachiery, Jean-Luc; Gibbs, Simon; Lang, Irene; Torbicki, Adam; Simonneau, Gerald; Peacock, Andrew; Noordegraaf, Anton Vonk; Beghetti, Maurice; Ghofrani, Ardeschir; Gomez Sanchez, Miguel Angel; Hansmann, Georg; Klepetko, Walter; Lancellotti, Patrizio; Matucci, Marco; McDonagh, Theresa; Pierard, Luc A.; Trindade, Pedro T.; Zompatori, Maurizio; Hoeper, Marius</t>
  </si>
  <si>
    <t>European Soc Cardiology ESC; European Respiratory Soc ERS</t>
  </si>
  <si>
    <t>2015 ESC/ERS Guidelines for the diagnosis and treatment of pulmonary hypertension The Joint Task Force for the Diagnosis and Treatment of Pulmonary Hypertension of the European Society of Cardiology (ESC) and the European Respiratory Society (ERS) Endorsed by: Association for European Paediatric and Congenital Cardiology (AEPC), International Society for Heart and Lung Transplantation (ISHLT)</t>
  </si>
  <si>
    <t>Guidelines; Pulmonary hypertension; Pulmonary arterial hypertension; Chronic thromboembolic; pulmonary hypertension; Congenital heart disease; Connective tissue disease; Heart failure; Respiratory failure; Endothelin receptor antagonists; Phosphodiesterase type 5 inhibitors; Prostacyclin analogues; Lung disease; Left heart disease</t>
  </si>
  <si>
    <t>EXTRACORPOREAL MEMBRANE-OXYGENATION; BRAIN NATRIURETIC PEPTIDE; ENDOTHELIN-RECEPTOR ANTAGONIST; RIGHT-VENTRICULAR DYSFUNCTION; CALCIUM-CHANNEL BLOCKERS; QUALITY-OF-LIFE; INTRAVENOUS EPOPROSTENOL PROSTACYCLIN; IMPROVES EXERCISE CAPACITY; TRANSCATHETER POTTS SHUNT; CAPILLARY WEDGE PRESSURE</t>
  </si>
  <si>
    <t>Document Reviewers: Victor Aboyans (CPG Review Coordinator) (France), Antonio Vaz Carneiro (CPG Review Coordinator) (Portugal), Stephan Achenbach (Germany), Stefan Agewall (Norway), Yannick Allanore (France), Riccardo Asteggiano (Italy), Luigi Paolo Badano (Italy), Joan Albert Barbera (Spain), Helene Bouvaist (France), Hector Bueno (Spain), Robert A. Byrne (Germany), Scipione Carerj (Italy), Graca Castro (Portugal), Cetin Erol (Turkey), Volkmar Falk (Germany), Christian Funck-Brentano (France), Matthias Gorenflo (Germany), John Granton (Canada), Bernard Iung (France), David G. Kiely (UK), Paulus Kirchhof (Germany/UK), Barbro Kjellstrom (Sweden), Ulf Landmesser (Switzerland), John Lekakis (Greece), Christos Lionis (Greece), Gregory Y. H. Lip (UK), Stylianos E. Orfanos (Greece), Myung H. Park (USA), Massimo F. Piepoli (Italy), Piotr Ponikowski (Poland), Marie-Pierre Revel (France), David Rigau (ERS methodologist) (Switzerland), Stephan Rosenkranz (Germany), Heinz Voller (Germany), and Jose Luis Zamorano (Spain)</t>
  </si>
  <si>
    <t>[Galie, Nazzareno] Univ Bologna, Dept Expt Diagnost &amp; Specialty Med DIMES, Via Massarenti 9, I-40138 Bologna, Italy; [Humbert, Marc] Univ Paris 11, Serv Pneumol, AP HP, 78 Rue Gen Leclerc, F-94270 Le Kremlin Bicetre, France</t>
  </si>
  <si>
    <t>University of Bologna; Universite Paris Saclay; Assistance Publique Hopitaux Paris (APHP); Hopital Universitaire Bicetre - APHP</t>
  </si>
  <si>
    <t>Galiè, N (corresponding author), Univ Bologna, Dept Expt Diagnost &amp; Specialty Med DIMES, Via Massarenti 9, I-40138 Bologna, Italy.;Humbert, M (corresponding author), Univ Paris 11, Serv Pneumol, AP HP, 78 Rue Gen Leclerc, F-94270 Le Kremlin Bicetre, France.</t>
  </si>
  <si>
    <t>nazzareno.galie@unibo.it; marc.humbert@aphp.fr</t>
  </si>
  <si>
    <t>Ghofrani, Ardeschir/AAD-5293-2020; Hoeper, Marius/Z-1546-2019; Beghetti, Maurice/HNP-1055-2023; Vachiery, Jean-Luc/ABC-6631-2021; Hansmann, Georg/AAW-5843-2020; Sicilia, Miguel-Angel/F-5002-2012; Lancellotti, Patrizio/AEK-4855-2022; Simonneau, Gerald/ABE-6614-2020; Kurzyna, Marcin/AAA-1244-2020; Badano, Luigi/H-9755-2019; Humbert, Marc/AAC-8459-2019; BUENO, HECTOR/I-3910-2015; Byrne, Robert/C-3902-2016; Ponikowski, Piotr/O-6454-2015; Galie, Nazzareno/F-7004-2014</t>
  </si>
  <si>
    <t>Kurzyna, Marcin/0000-0002-6746-469X; Vonk Noordegraaf, Anton/0000-0002-4057-758X; Badano, Luigi/0000-0002-0379-3283; Humbert, Marc/0000-0003-0703-2892; Hoeper, Marius/0000-0001-9086-2293; Erol, Cetin/0000-0001-7396-3818; BUENO, HECTOR/0000-0003-0277-7596; Windecker, Stephan/0000-0003-2653-6762; Simkova, Iveta/0000-0002-6051-2724; Rudzitis, Ainars/0000-0001-5984-1291; Falk, Volkmar/0000-0002-7911-8620; Hansmannn, Georg/0000-0003-0709-3935; Carerj, Scipione/0000-0002-3471-7996; ASTEGGIANO, RICCARDO/0000-0002-2273-7228; Botnaru, Victor/0000-0002-0863-5268; Giannakoulas, George/0000-0001-7491-6319; Ghofrani, Ardeschir/0000-0002-2029-4419; Lang, Irene/0000-0003-0485-2692; Torbicki, Adam/0000-0003-3475-8832; revel, marie-pierre/0000-0001-8213-7817; Byrne, Robert/0000-0001-5224-6393; Aboyans, Victor/0000-0002-0322-9818; Ponikowski, Piotr/0000-0002-3391-7064; Kirchhof, Paulus/0000-0002-1881-0197; Galie, Nazzareno/0000-0003-4271-8670</t>
  </si>
  <si>
    <t>10.1093/eurheartj/ehv317</t>
  </si>
  <si>
    <t>DE9QW</t>
  </si>
  <si>
    <t>WOS:000370974000012</t>
  </si>
  <si>
    <t>Gall, H; Ghofrani, HA; Hoeper, MM; Humbert, M; Sanchez, MAG; Pittrow, D; Halank, M; Grunig, E; Wirtz, H; Klose, H; Ewert, R; Lange, T; Klotsche, J; Vachiery, JL; Nielsen-Kudsk, JE; Snijder, R; Mascherbauer, R; Ulrich, S; Loffler-Ragg, J; Cottin, V; Tsangaris, I; Peacock, A; Meier, C; Brunn, M; Simonneau, G</t>
  </si>
  <si>
    <t>Gall, H.; Ghofrani, H. -A.; Hoeper, M. M.; Humbert, M.; Gomez Sanchez, M. -A.; Pittrow, D.; Halank, M.; Grunig, E.; Wirtz, H.; Klose, H.; Ewert, R.; Lange, T.; Klotsche, J.; Vachiery, J. -L.; Nielsen-Kudsk, J. E.; Snijder, R.; Mascherbauer, R.; Ulrich, S.; Loffler-Ragg, J.; Cottin, V.; Tsangaris, I.; Peacock, A.; Meier, C.; Brunn, M.; Simonneau, G.</t>
  </si>
  <si>
    <t>Riociguat For The Treatment Of Pulmonary Arterial Hypertension And Chronic Thromboembolic Pulmonary Hypertension: Real-Life Data From The Expert Registry</t>
  </si>
  <si>
    <t>[Gall, H.; Ghofrani, H. -A.] Univ Giessen &amp; Marburg Lung Ctr, Giessen, Germany; [Hoeper, M. M.] Hannover Med Sch, Hannover, Germany; [Hoeper, M. M.] German Ctr Lung Res, Hannover, Germany; [Humbert, M.] Univ Paris Sud, Le Kremlin Bicetre, France; [Gomez Sanchez, M. -A.] CIBERES, Hosp Gen Nuestra Senora Prado, Madrid, Spain; [Pittrow, D.] Tech Univ, Dresden, Germany; [Halank, M.] Univ Hosp Carl Gustav Carus, Dresden, Germany; [Grunig, E.] Ctr Pulm Hypertens Thoraxclin Heidelberg, Heidelberg, Germany; [Wirtz, H.] Univ Leipzig, Leipzig, Germany; [Klose, H.] Univ Med Ctr Hamburg Eppendorf, Hamburg, Germany; [Ewert, R.] Ernst Moritz Arndt Univ Greifswald, Greifswald, Germany; [Lange, T.] Univ Med Ctr Regensburg, Regensburg, Germany; [Klotsche, J.] Leibniz Inst, Berlin, Germany; [Vachiery, J. -L.] Hop Erasme, Clin Univ Bruxelles, Brussels, Belgium; [Nielsen-Kudsk, J. E.] Univ Hosp, Aarhus N, Denmark; [Snijder, R.] St Antonius Hosp, Nieuwegein, Netherlands; [Mascherbauer, R.] Krankenhaus Elisabethinen Linz GmbH, Linz, Austria; [Ulrich, S.] Univ Spital Zurich, Zurich, Switzerland; [Loffler-Ragg, J.] Med Univ Innsbruck, Innsbruck, Austria; [Cottin, V.] Hop Louis Pradel, Bron, France; [Tsangaris, I.] Univ Hosp Attikon, Athens, Greece; [Peacock, A.] Golden Jubilee Natl Hosp, Glasgow, Lanark, Scotland; [Meier, C.; Brunn, M.] Bayer Pharma AG, Berlin, Germany; [Simonneau, G.] Hop Bicetre, Le Kremlin Bicetre, France</t>
  </si>
  <si>
    <t>Hannover Medical School; Universite Paris Saclay; CIBER - Centro de Investigacion Biomedica en Red; CIBERES; Technische Universitat Dresden; Technische Universitat Dresden; Carl Gustav Carus University Hospital; Leipzig University; University of Hamburg; University Medical Center Hamburg-Eppendorf; Universitat Greifswald; University of Regensburg; Universite Libre de Bruxelles; St. Antonius Hospital Utrecht; Ordensklinikum Linz Elisabethinen; University of Zurich; University Zurich Hospital; Medical University of Innsbruck; CHU Lyon; University Hospital Attikon; Golden Jubilee Hospital; Bayer AG; Bayer Healthcare Pharmaceuticals; Universite Paris Saclay; Assistance Publique Hopitaux Paris (APHP); Hopital Universitaire Bicetre - APHP; Hopital Universitaire Antoine-Beclere - APHP</t>
  </si>
  <si>
    <t>Humbert, Marc/AAC-8459-2019; Hoeper, Marius/Z-1546-2019; Tsangaris, Iraklis/AAA-3627-2020; Loeffler-Ragg, Judith/ABG-3407-2020; Zafra, María/ABC-8520-2021; Pittrow, David/AAY-5042-2021; Ghofrani, Ardeschir/AAD-5293-2020; Simonneau, Gerald/ABE-6614-2020; Vachiery, Jean-Luc/ABC-6631-2021</t>
  </si>
  <si>
    <t>A7393</t>
  </si>
  <si>
    <t>WOS:000390749607329</t>
  </si>
  <si>
    <t>Girerd, B; Montani, D; Jais, X; Eyries, M; Savale, L; Parent, F; Sitbon, O; Soubrier, F; Simonneau, G; Humbert, M</t>
  </si>
  <si>
    <t>Girerd, B.; Montani, D.; Jais, X.; Eyries, M.; Savale, L.; Parent, F.; Sitbon, O.; Soubrier, F.; Simonneau, G.; Humbert, M.</t>
  </si>
  <si>
    <t>Genetic Counselling In A National Referral Centre For Pulmonary Hypertension</t>
  </si>
  <si>
    <t>[Girerd, B.; Montani, D.; Jais, X.; Savale, L.; Parent, F.; Sitbon, O.; Simonneau, G.; Humbert, M.] Hop Bicetre, Le Kremlin Bicetre, France; [Eyries, M.; Soubrier, F.] Grp Hosp Pitie Salpetriere, Paris, France</t>
  </si>
  <si>
    <t>Assistance Publique Hopitaux Paris (APHP); Hopital Universitaire Bicetre - APHP; Hopital Universitaire Antoine-Beclere - APHP; Universite Paris Saclay; Assistance Publique Hopitaux Paris (APHP); Hopital Universitaire Pitie-Salpetriere - APHP; Sorbonne Universite</t>
  </si>
  <si>
    <t>David, Montani/I-6885-2019; Savale, Laurent/AAJ-9781-2020; Humbert, Marc/AAC-8459-2019; Sitbon, Olivier/I-3623-2019; EYRIES, melanie/ABF-1034-2020; Simonneau, Gerald/ABE-6614-2020</t>
  </si>
  <si>
    <t>A7372</t>
  </si>
  <si>
    <t>WOS:000390749607308</t>
  </si>
  <si>
    <t>Godinas, L; Lau, E; Chemla, D; Lador, F; Savale, L; Montani, D; Sitbon, O; Simonneau, G; Humbert, MJC; Hervé, P</t>
  </si>
  <si>
    <t>Godinas, L.; Lau, E.; Chemla, D.; Lador, F.; Savale, L.; Montani, D.; Sitbon, O.; Simonneau, G.; Humbert, M. J. C.; Herve, P.</t>
  </si>
  <si>
    <t>Diagnostic Accuracy And Concordance Of Different Criteria For Exercise Pulmonary Hypertension</t>
  </si>
  <si>
    <t>[Godinas, L.; Savale, L.; Montani, D.; Sitbon, O.; Simonneau, G.; Humbert, M. J. C.] CHU Bicetre, Le Kremlin Bicetre, France; [Lau, E.] Univ Sydney, Sidney, BC, Canada; [Chemla, D.] AP HP, Le Kremlin Bicetre, France; [Lador, F.] Hop Univ Geneve, Geneva, Switzerland; [Herve, P.] Hop Marie Lannelongue, Le Plessis Robinson, France</t>
  </si>
  <si>
    <t>Assistance Publique Hopitaux Paris (APHP); Hopital Universitaire Bicetre - APHP; University of Sydney; Assistance Publique Hopitaux Paris (APHP); Hopital Universitaire Bicetre - APHP; University of Geneva; Hopital Marie Lannelongue</t>
  </si>
  <si>
    <t>laurentgodinas@gmail.com</t>
  </si>
  <si>
    <t>Godinas, Laurette/AAS-1059-2021; Humbert, Marc/AAC-8459-2019</t>
  </si>
  <si>
    <t>A7333</t>
  </si>
  <si>
    <t>WOS:000390749607269</t>
  </si>
  <si>
    <t>Hautefort, A; Rucker-Martin, C; Capuano, V; Lercef, F; Dorfmuller, P; Girerd, B; Montani, D; Humbert, M; Antigny, F; Perros, F</t>
  </si>
  <si>
    <t>Hautefort, A.; Rucker-Martin, C.; Capuano, V.; Lercef, F.; Dorfmuller, P.; Girerd, B.; Montani, D.; Humbert, M.; Antigny, F.; Perros, F.</t>
  </si>
  <si>
    <t>Heterozygote Bmpr2 Mutation In Rat: A New Strategy To Understand Pah Pathobiology</t>
  </si>
  <si>
    <t>[Hautefort, A.; Rucker-Martin, C.; Capuano, V.; Lercef, F.; Dorfmuller, P.; Antigny, F.; Perros, F.] Inserm U999, Le Plessis Robinson, France; [Girerd, B.; Montani, D.; Humbert, M.] Hop Bicetre, Le Kremlin Bicetre, France</t>
  </si>
  <si>
    <t>Institut National de la Sante et de la Recherche Medicale (Inserm); Universite Paris Saclay; Assistance Publique Hopitaux Paris (APHP); Hopital Universitaire Bicetre - APHP; Universite Paris Saclay; Hopital Universitaire Antoine-Beclere - APHP</t>
  </si>
  <si>
    <t>hautefort.aurelie@gmail.com</t>
  </si>
  <si>
    <t>Humbert, Marc/AAC-8459-2019; David, Montani/I-6885-2019; Perros, Frederic/N-6921-2017</t>
  </si>
  <si>
    <t>A3876</t>
  </si>
  <si>
    <t>WOS:000390749603260</t>
  </si>
  <si>
    <t>Humbert, M; Galiè, N</t>
  </si>
  <si>
    <t>Humbert, Marc; Galie, Nazzareno</t>
  </si>
  <si>
    <t>What's new in the European Society of Cardiology/European Respiratory Society Pulmonary Hypertension Guidelines?</t>
  </si>
  <si>
    <t>mjc.humbert@gmail.com; nazzareno.galie@unibo.it</t>
  </si>
  <si>
    <t>10.1093/eurheartj/ehv636</t>
  </si>
  <si>
    <t>WOS:000370974000002</t>
  </si>
  <si>
    <t>Humbert, M; Dinh-Xuan, AT; Reeves, EL; Broadhead, MG; Bullen, NJ</t>
  </si>
  <si>
    <t>Humbert, Marc; Dinh-Xuan, Anh Tuan; Reeves, Elin L.; Broadhead, Matthew G.; Bullen, Neil J.</t>
  </si>
  <si>
    <t>The ambition of the European Respiratory Journal: chapter 4</t>
  </si>
  <si>
    <t>LUNG-CANCER; STATEMENT; DIAGNOSIS; COPD; ASTHMA</t>
  </si>
  <si>
    <t>[Humbert, Marc] Univ Paris Sud, Hop Bicetre, AP HP, Serv Pneumol,Inserm U999, F-94275 Le Kremlin Bicetre, France; [Dinh-Xuan, Anh Tuan] Paris Descartes Univ, Hop Cochin, AP HP, Serv Physiol,EA 2511, Paris, France; [Reeves, Elin L.; Broadhead, Matthew G.; Bullen, Neil J.] European Resp Soc Publicat Off, Sheffield, S Yorkshire, England</t>
  </si>
  <si>
    <t>Assistance Publique Hopitaux Paris (APHP); Hopital Universitaire Antoine-Beclere - APHP; Hopital Universitaire Bicetre - APHP; Institut National de la Sante et de la Recherche Medicale (Inserm); Universite Paris Saclay; Universite Paris Cite; Assistance Publique Hopitaux Paris (APHP); Hopital Universitaire Cochin - APHP</t>
  </si>
  <si>
    <t>Broadhead, Matthew/I-1796-2019; Reeves, Elin/AFQ-8227-2022; Humbert, Marc/AAC-8459-2019; Dinh-Xuan, Anh Tuan/A-9691-2008</t>
  </si>
  <si>
    <t>Reeves, Elin/0000-0002-2348-9799; Humbert, Marc/0000-0003-0703-2892; Dinh-Xuan, Anh Tuan/0000-0001-8651-5176; Broadhead, Matthew/0000-0001-9438-5594</t>
  </si>
  <si>
    <t>10.1183/13993003.01942-2015</t>
  </si>
  <si>
    <t>CZ9VA</t>
  </si>
  <si>
    <t>WOS:000367443900001</t>
  </si>
  <si>
    <t>Humbert, M; Ghofrani, HA</t>
  </si>
  <si>
    <t>Humbert, Marc; Ghofrani, Hossein-Ardeschir</t>
  </si>
  <si>
    <t>The molecular targets of approved treatments for pulmonary arterial hypertension</t>
  </si>
  <si>
    <t>SOLUBLE GUANYLATE-CYCLASE; SMOOTH-MUSCLE-CELLS; DOUBLE-BLIND; NITRIC-OXIDE; AMBRISENTAN THERAPY; COMBINATION THERAPY; PROSTACYCLIN ANALOG; SILDENAFIL CITRATE; ORAL TREPROSTINIL; INHALED ILOPROST</t>
  </si>
  <si>
    <t>Until recently, three classes of medical therapy were available for the treatment of pulmonary arterial hypertension (PAH)-prostanoids, endothelin receptor antagonists and phosphodiesterase type 5 (PDE5) inhibitors. With the approval of the soluble guanylate cyclase stimulator riociguat, an additional drug class has become available targeting a distinct molecular target in the same pathway as PDE5 inhibitors. Treatment recommendations currently include the use of all four drug classes to treat PAH, but there is a lack of comparative data for these therapies. Therefore, an understanding of the mechanistic differences between these agents is critical when making treatment decisions. Combination therapy is often used to treat PAH and it is therefore important that physicians understand how the modes of action of these drugs may interact to work as complementary partners, or potentially with unwanted consequences. Furthermore, different patient phenotypes mean that patients respond differently to treatment; while a certain monotherapy may be adequate for some patients, for others it will be important to consider alternating or combining compounds with different molecular targets. This review describes how the four currently approved drug classes target the complex pathobiology of PAH and will consider the distinct target molecules of each drug class, their modes of action, and review the pivotal clinical trial data supporting their use. It will also discuss the rationale for combining drugs (or not) from the different classes, and review the clinical data from studies on combination therapy.</t>
  </si>
  <si>
    <t>[Humbert, Marc] Hop Bicetre, AP HP, DHU Thorax Innovat, Serv Pneumol, F-94275 Paris, France; [Humbert, Marc] Univ Paris 11, Lab Excellence Rech Medicament &amp; Innovat Therapeu, Paris, France; [Humbert, Marc] INSERM Unite 999, Paris, France; [Ghofrani, Hossein-Ardeschir] Univ Giessen &amp; Marburg Lung Ctr, Giessen, Germany; [Ghofrani, Hossein-Ardeschir] Univ London Imperial Coll Sci Technol &amp; Med, Dept Med, London, England</t>
  </si>
  <si>
    <t>Assistance Publique Hopitaux Paris (APHP); Hopital Universitaire Bicetre - APHP; Universite Paris Saclay; Universite Paris Saclay; Institut National de la Sante et de la Recherche Medicale (Inserm); Imperial College London</t>
  </si>
  <si>
    <t>Humbert, M (corresponding author), Hop Bicetre, AP HP, DHU Thorax Innovat, Serv Pneumol, 78 Rue Gen Leclerc, F-94275 Paris, France.</t>
  </si>
  <si>
    <t>Editorial assistance, provided by Adelphi Communications Ltd (Bollington, UK), was sponsored by Bayer Pharma AG.</t>
  </si>
  <si>
    <t>10.1136/thoraxjnl-2015-207170</t>
  </si>
  <si>
    <t>CY8TV</t>
  </si>
  <si>
    <t>WOS:000366682100011</t>
  </si>
  <si>
    <t>Jutant, EM; Phan, C; Tu, L; Tamura, Y; Thuillet, R; Le Hiress, M; Fadel, E; Simonneau, G; Seferian, A; Montani, D; Huertas, A; Humbert, M; Aman, J; Guignabert, C</t>
  </si>
  <si>
    <t>Jutant, E. -M.; Phan, C.; Tu, L.; Tamura, Y.; Thuillet, R.; Le Hiress, M.; Fadel, E.; Simonneau, G.; Seferian, A.; Montani, D.; Huertas, A.; Humbert, M.; Aman, J.; Guignabert, C.</t>
  </si>
  <si>
    <t>Dasatinib Causes Pulmonary Endothelial Damage And Increases Endothelial Permeability</t>
  </si>
  <si>
    <t>[Jutant, E. -M.; Phan, C.; Tu, L.; Tamura, Y.; Thuillet, R.; Le Hiress, M.; Fadel, E.; Simonneau, G.; Seferian, A.; Montani, D.; Huertas, A.; Humbert, M.; Guignabert, C.] Univ Paris Sud &amp; Paris Saclay, INSERM, UMR S 999, Le Plessis Robinson, France; [Aman, J.] Vrije Univ Amsterdam Med Ctr, Inst Cardiovasc Res, NL-1007 Amsterdam, Netherlands</t>
  </si>
  <si>
    <t>Institut National de la Sante et de la Recherche Medicale (Inserm); Universite Paris Saclay; Vrije Universiteit Amsterdam; VU UNIVERSITY MEDICAL CENTER</t>
  </si>
  <si>
    <t>Humbert, Marc/AAC-8459-2019; David, Montani/I-6885-2019; TU, Ly/G-4035-2013; GUIGNABERT, Christophe/G-3873-2013; Simonneau, Gerald/ABE-6614-2020</t>
  </si>
  <si>
    <t>A2797</t>
  </si>
  <si>
    <t>WOS:000390749602046</t>
  </si>
  <si>
    <t>Lau, E; Chemla, D; Zhu, K; Castelain, V; Attal, P; Humbert, M; Hervé, P</t>
  </si>
  <si>
    <t>Lau, E.; Chemla, D.; Zhu, K.; Castelain, V.; Attal, P.; Humbert, M.; Herve, P.</t>
  </si>
  <si>
    <t>Time-Constant Of The Pulmonary Arterial Windkessel In Precapillary Pulmonary Hypertension: A Reappraisal</t>
  </si>
  <si>
    <t>[Lau, E.] Univ Sydney, Sydney, NSW, Australia; [Chemla, D.; Zhu, K.; Castelain, V.; Attal, P.] AP HP, Le Kremlin Bicetre, France; [Humbert, M.] Univ Paris Sud, Hop Bicetre, Le Kremlin Bicetre, France; [Herve, P.] Hop Marie Lannelongue, Le Plessis Robinson, France</t>
  </si>
  <si>
    <t>University of Sydney; Assistance Publique Hopitaux Paris (APHP); Hopital Universitaire Bicetre - APHP; Assistance Publique Hopitaux Paris (APHP); Hopital Universitaire Antoine-Beclere - APHP; Hopital Universitaire Bicetre - APHP; Universite Paris Saclay; Hopital Marie Lannelongue</t>
  </si>
  <si>
    <t>A7334</t>
  </si>
  <si>
    <t>WOS:000390749607270</t>
  </si>
  <si>
    <t>Le Hiress, M; Tu, L; Phan, C; Thuillet, R; Seferian, A; Jutant, EM; Fadel, E; Simonneau, G; Tamura, Y; Huertas, A; Humbert, M; Guignabert, C</t>
  </si>
  <si>
    <t>Le Hiress, M.; Tu, L.; Phan, C.; Thuillet, R.; Seferian, A.; Jutant, E. -M.; Fadel, E.; Simonneau, G.; Tamura, Y.; Huertas, A.; Humbert, M.; Guignabert, C.</t>
  </si>
  <si>
    <t>Intracellular Mif Contributes To The Abnormal Hyper-Proliferative And Apoptosis-Resistant Phenotype In Ipah Endothelial Cells Via A P53/pten Dependent Mechanism</t>
  </si>
  <si>
    <t>[Le Hiress, M.; Tu, L.; Phan, C.; Thuillet, R.; Seferian, A.; Jutant, E. -M.; Fadel, E.; Simonneau, G.; Tamura, Y.; Huertas, A.; Humbert, M.; Guignabert, C.] Univ Paris Sud &amp; Paris Saclay, INSERM, UMR S 999, Le Plessis Robinson, France</t>
  </si>
  <si>
    <t>Institut National de la Sante et de la Recherche Medicale (Inserm); Universite Paris Saclay</t>
  </si>
  <si>
    <t>TU, Ly/G-4035-2013; GUIGNABERT, Christophe/G-3873-2013; Humbert, Marc/AAC-8459-2019; Simonneau, Gerald/ABE-6614-2020</t>
  </si>
  <si>
    <t>A1046</t>
  </si>
  <si>
    <t>WOS:000390749600046</t>
  </si>
  <si>
    <t>Montani, D; Hervier, B; Humbert, M</t>
  </si>
  <si>
    <t>Montani, D.; Hervier, B.; Humbert, M.</t>
  </si>
  <si>
    <t>Antisynthetase syndrome with pulmonary hypertension: 4 original observations Response</t>
  </si>
  <si>
    <t>FIBROSIS</t>
  </si>
  <si>
    <t>[Montani, D.; Humbert, M.] Univ Paris Sud, Hop Bicetre,AP HP,Inserm UMR S999, Dept Hosp Univ DHU Thorax Innovat TORINO, Serv Pneumol,Ctr Reference Hypertens Pulmonaire S, F-94270 Le Kremlin Bicetre, France; Univ Paris 06, Hop Pitie Salpetriere,AP HP,DHU 12B, Ctr Reference Malad Neuromusculaires Rares, Serv Med Interne &amp; Immunol Clin,Inserm U1135, F-75013 Paris, France</t>
  </si>
  <si>
    <t>Assistance Publique Hopitaux Paris (APHP); Hopital Universitaire Bicetre - APHP; Institut National de la Sante et de la Recherche Medicale (Inserm); Hopital Universitaire Antoine-Beclere - APHP; Universite Paris Saclay; Institut National de la Sante et de la Recherche Medicale (Inserm); Assistance Publique Hopitaux Paris (APHP); Hopital Universitaire Pitie-Salpetriere - APHP; Sorbonne Universite</t>
  </si>
  <si>
    <t>10.1016/j.revmed.2015.05.012</t>
  </si>
  <si>
    <t>DD2VJ</t>
  </si>
  <si>
    <t>WOS:000369780000014</t>
  </si>
  <si>
    <t>Nakhleh, M; Humbert, M; Fadel, E; Haick, H; Cohen-Kaminsky, S</t>
  </si>
  <si>
    <t>Nakhleh, M.; Humbert, M.; Fadel, E.; Haick, H.; Cohen-Kaminsky, S.</t>
  </si>
  <si>
    <t>Breath Volatolome For The Detection Of Pulmonary Arterial Hypertension</t>
  </si>
  <si>
    <t>[Nakhleh, M.; Humbert, M.; Fadel, E.; Cohen-Kaminsky, S.] Univ Paris Saclay, Univ Paris Sud, Fac Med, Le Kremlin Bicetre, France; [Nakhleh, M.; Humbert, M.; Fadel, E.; Cohen-Kaminsky, S.] Hop Bicetre, AP HP, DHU TORINO, Serv Pneumol, Le Kremlin Bicetre, France; [Nakhleh, M.; Humbert, M.; Fadel, E.; Cohen-Kaminsky, S.] Hop Marie Lannelongue, INSERM, UMRS 999, LabEx LERMIT, Le Plessis Robinson, France; [Haick, H.] Technion Israel Inst Technol, Dept Chem Engn, Haifa, Israel; [Haick, H.] Technion Israel Inst Technol, Russell Berrie Nanotechnol Inst, Haifa, Israel</t>
  </si>
  <si>
    <t>Universite Paris Saclay; Assistance Publique Hopitaux Paris (APHP); Hopital Universitaire Bicetre - APHP; Universite Paris Saclay; Hopital Universitaire Antoine-Beclere - APHP; Hopital Marie Lannelongue; Institut National de la Sante et de la Recherche Medicale (Inserm); Technion Israel Institute of Technology; Technion Israel Institute of Technology</t>
  </si>
  <si>
    <t>A7354</t>
  </si>
  <si>
    <t>WOS:000390749607290</t>
  </si>
  <si>
    <t>Nossent, E; Montani, D; Girerd, B; Perros, F; Soubrier, F; Fadel, E; Grunberg, K; Bogaard, HJ; Simonneau, G; Noordegraaf, AV; Humbert, MJC; Dorfmuller, P</t>
  </si>
  <si>
    <t>Nossent, E.; Montani, D.; Girerd, B.; Perros, F.; Soubrier, F.; Fadel, E.; Grunberg, K.; Bogaard, H. J.; Simonneau, G.; Noordegraaf, A. Vonk; Humbert, M. J. C.; Dorfmuller, P.</t>
  </si>
  <si>
    <t>Eif2ak4 Mutation-Carriers With Pvod Present Distinct Features Within The Remodeled Lung Vasculature</t>
  </si>
  <si>
    <t>[Nossent, E.; Grunberg, K.; Bogaard, H. J.; Noordegraaf, A. Vonk] Vrije Univ Amsterdam Med Ctr, Amsterdam, Netherlands; [Montani, D.; Girerd, B.; Perros, F.; Soubrier, F.; Fadel, E.; Simonneau, G.; Humbert, M. J. C.; Dorfmuller, P.] Univ Paris Saclay, Univ Paris Sud, Le Kremlin Bicetre, France; [Montani, D.; Girerd, B.; Perros, F.; Soubrier, F.; Fadel, E.; Simonneau, G.; Humbert, M. J. C.; Dorfmuller, P.] Hop Bicetre, AP HP, Serv Pneumol, Le Kremlin Bicetre, France; [Montani, D.; Girerd, B.; Perros, F.; Soubrier, F.; Fadel, E.; Simonneau, G.; Humbert, M. J. C.; Dorfmuller, P.] Hop Marie Lannelongue, INSERM, UMR S 999, Le Plessis Robinson, France</t>
  </si>
  <si>
    <t>Vrije Universiteit Amsterdam; VU UNIVERSITY MEDICAL CENTER; Universite Paris Saclay; Assistance Publique Hopitaux Paris (APHP); Hopital Universitaire Antoine-Beclere - APHP; Universite Paris Saclay; Hopital Universitaire Bicetre - APHP; Hopital Marie Lannelongue; Universite Paris Saclay; Institut National de la Sante et de la Recherche Medicale (Inserm)</t>
  </si>
  <si>
    <t>David, Montani/I-6885-2019; Humbert, Marc/AAC-8459-2019; Simonneau, Gerald/ABE-6614-2020; Grünberg, Katrien/M-9715-2015; Perros, Frederic/N-6921-2017</t>
  </si>
  <si>
    <t>A6320</t>
  </si>
  <si>
    <t>WOS:000390749606092</t>
  </si>
  <si>
    <t>O'Connell, C; Montani, D; Savale, L; Sitbon, O; Jais, X; Simonneau, G; Humbert, M; Chaumais, MC</t>
  </si>
  <si>
    <t>O'Connell, C.; Montani, D.; Savale, L.; Sitbon, O.; Jais, X.; Simonneau, G.; Humbert, M.; Chaumais, M-C</t>
  </si>
  <si>
    <t>Guidance On The Registration And Reporting Of Drug-Induced Pulmonary Hypertension</t>
  </si>
  <si>
    <t>[O'Connell, C.; Montani, D.; Savale, L.; Sitbon, O.; Jais, X.; Simonneau, G.; Humbert, M.] Univ Paris Saclay, Univ Paris Sud, Le Kremlin Bicetre, France; [O'Connell, C.; Montani, D.; Savale, L.; Sitbon, O.; Jais, X.; Simonneau, G.; Humbert, M.] Hop Bicetre, AP HP, Serv Pneumol, Le Kremlin Bicetre, France; [O'Connell, C.; Montani, D.; Savale, L.; Sitbon, O.; Jais, X.; Simonneau, G.; Humbert, M.; Chaumais, M-C] Hop Marie Lannelongue, INSERM, UMR S 999, Le Plessis Robinson, France; [Chaumais, M-C] Univ Paris Saclay, Univ Paris Sud, Clamart, France; [Chaumais, M-C] Hop Beclere, AP HP, Serv Pharm, Le Kremlin Bicetre, France</t>
  </si>
  <si>
    <t>Universite Paris Saclay; Assistance Publique Hopitaux Paris (APHP); Hopital Universitaire Antoine-Beclere - APHP; Hopital Universitaire Bicetre - APHP; Universite Paris Saclay; Universite Paris Saclay; Hopital Marie Lannelongue; Institut National de la Sante et de la Recherche Medicale (Inserm); Universite Paris Saclay; Assistance Publique Hopitaux Paris (APHP); Hopital Universitaire Bicetre - APHP; Hopital Universitaire Antoine-Beclere - APHP</t>
  </si>
  <si>
    <t>Humbert, Marc/AAC-8459-2019; Savale, Laurent/AAJ-9781-2020; David, Montani/I-6885-2019; Sitbon, Olivier/I-3623-2019; Simonneau, Gerald/ABE-6614-2020</t>
  </si>
  <si>
    <t>A3985</t>
  </si>
  <si>
    <t>WOS:000390749603369</t>
  </si>
  <si>
    <t>Phan, C; Huertas, A; Seferian, A; Tu, L; Thuillet, R; Sattler, C; Jutant, EM; Le Hiress, M; Tamura, Y; Chaumais, MC; Bouchet, S; Maneglier, B; Molimard, M; Rousselot, P; Sitbon, O; Simonneau, G; Montani, D; Humbert, M; Guignabert, C</t>
  </si>
  <si>
    <t>Phan, C.; Huertas, A.; Seferian, A.; Tu, L.; Thuillet, R.; Sattler, C.; Jutant, E. -M.; Le Hiress, M.; Tamura, Y.; Chaumais, M. -C.; Bouchet, S.; Maneglier, B.; Molimard, M.; Rousselot, P.; Sitbon, O.; Simonneau, G.; Montani, D.; Humbert, M.; Guignabert, C.</t>
  </si>
  <si>
    <t>Dasatinib Causes Pulmonary Endothelial Damage And Aggravates Pulmonary Hypertension</t>
  </si>
  <si>
    <t>[Phan, C.; Huertas, A.; Seferian, A.; Tu, L.; Thuillet, R.; Sattler, C.; Jutant, E. -M.; Le Hiress, M.; Tamura, Y.; Chaumais, M. -C.; Sitbon, O.; Simonneau, G.; Montani, D.; Humbert, M.; Guignabert, C.] Univ Paris Sud &amp; Paris Saclay, INSERM, UMR S 999, Le Plessis Robinson, France; [Bouchet, S.; Maneglier, B.; Rousselot, P.] Univ Versailles St Quentin, Hop Versailles, AP HP, Le Chesnay, France; [Molimard, M.] CHU Bordeaux, INSERM, U657, Bordeaux, France</t>
  </si>
  <si>
    <t>Universite Paris Saclay; Institut National de la Sante et de la Recherche Medicale (Inserm); Assistance Publique Hopitaux Paris (APHP); Universite Paris Saclay; Centre Hospitalier de Versailles; Universite de Bordeaux; CHU Bordeaux; Institut National de la Sante et de la Recherche Medicale (Inserm)</t>
  </si>
  <si>
    <t>Humbert, Marc/AAC-8459-2019; BOUCHET, Stephane/T-3276-2019; TU, Ly/G-4035-2013; GUIGNABERT, Christophe/G-3873-2013; Simonneau, Gerald/ABE-6614-2020; Sitbon, Olivier/I-3623-2019; David, Montani/I-6885-2019; molimard, mathieu/T-2762-2019</t>
  </si>
  <si>
    <t>A7511</t>
  </si>
  <si>
    <t>WOS:000390749607446</t>
  </si>
  <si>
    <t>Rhodes, C; Wharton, J; Ghataorhe, P; Watson, G; Girerd, B; Howard, LS; Gibbs, S; Condliffe, R; Elliot, CA; Kiely, D; Simonneau, G; Montani, D; Sitbon, O; Gall, H; Schermuly, RT; Ghofrani, H; Lawrie, A; Humbert, M; Wilkins, M</t>
  </si>
  <si>
    <t>Rhodes, C.; Wharton, J.; Ghataorhe, P.; Watson, G.; Girerd, B.; Howard, L. S.; Gibbs, S.; Condliffe, R.; Elliot, C. A.; Kiely, D.; Simonneau, G.; Montani, D.; Sitbon, O.; Gall, H.; Schermuly, R. T.; Ghofrani, H.; Lawrie, A.; Humbert, M.; Wilkins, M.</t>
  </si>
  <si>
    <t>Plasma Proteome Analysis In Idiopathic Pulmonary Arterial Hypertension Identifies A Panel Of Prognostic Proteins</t>
  </si>
  <si>
    <t>[Rhodes, C.; Wharton, J.; Ghataorhe, P.; Watson, G.; Wilkins, M.] Imperial Coll London, London, England; [Girerd, B.; Simonneau, G.; Montani, D.; Sitbon, O.; Humbert, M.] Univ Paris Saclay, Univ Paris Sud, Le Kremlin Bicetre, France; [Girerd, B.; Simonneau, G.; Montani, D.; Sitbon, O.; Humbert, M.] Hop Bicetre, AP HP, Serv Pneumol, Le Kremlin Bicetre, France; [Girerd, B.; Simonneau, G.; Montani, D.; Sitbon, O.; Humbert, M.] Hop Marie Lannelongue, INSERM, UMR_ S 999, Le Plessis Robinson, France; [Howard, L. S.; Gibbs, S.] Imperial Coll Healthcare Trust, London, England; [Condliffe, R.; Elliot, C. A.; Kiely, D.] Royal Hallamshire Haspital, Sheffield, S Yorkshire, England; [Gall, H.; Schermuly, R. T.; Ghofrani, H.] Univ Giessen &amp; Marburg Lung Ctr, Giessen, Germany; [Lawrie, A.] Univ Sheffield, Sheffield, S Yorkshire, England</t>
  </si>
  <si>
    <t>Imperial College London; Universite Paris Saclay; Assistance Publique Hopitaux Paris (APHP); Hopital Universitaire Antoine-Beclere - APHP; Universite Paris Saclay; Hopital Universitaire Bicetre - APHP; Universite Paris Saclay; Institut National de la Sante et de la Recherche Medicale (Inserm); Hopital Marie Lannelongue; University of Sheffield</t>
  </si>
  <si>
    <t>Simonneau, Gerald/ABE-6614-2020; Howard, Luke/HJP-3415-2023; Ghofrani, Ardeschir/AAD-5293-2020; Humbert, Marc/AAC-8459-2019; Elliot, Catherine/V-4449-2017; Lawrie, Allan/A-2708-2012; Sitbon, Olivier/I-3623-2019; David, Montani/I-6885-2019</t>
  </si>
  <si>
    <t>Montani, David/0000-0002-9358-6922; Wharton, John/0000-0001-8110-2575; Rhodes, Christopher/0000-0002-4962-3204</t>
  </si>
  <si>
    <t>A2911</t>
  </si>
  <si>
    <t>WOS:000390749602159</t>
  </si>
  <si>
    <t>Sitbon, O; Bourlier, D; Jais, X; Cottin, V; Savale, L; Bergot, E; Dauphin, C; Bouvaist, H; Langlard, DH; Tetu, L; Bauer, F; Dromer, C; Montani, D; Humbert, M; Simonneau, G</t>
  </si>
  <si>
    <t>Sitbon, O.; Bourlier, D.; Jais, X.; Cottin, V.; Savale, L.; Bergot, E.; Dauphin, C.; Bouvaist, H.; Langlard, D. Horeau; Tetu, L.; Bauer, F.; Dromer, C.; Montani, D.; Humbert, M.; Simonneau, G.</t>
  </si>
  <si>
    <t>Initial Combination Therapy With Endothelin Receptor Antagonist And Pde-5 Inhibitor In Inoperable Chronic Thromboembolic Pulmonary Hypertension</t>
  </si>
  <si>
    <t>[Sitbon, O.; Bourlier, D.; Jais, X.; Savale, L.; Montani, D.; Humbert, M.; Simonneau, G.] Univ Paris Sud, Hop Bicetre, Le Kremlin Bicetre, France; [Cottin, V.] Claude Bernard Univ Lyon 1, Louis Pradel Hosp, Lyon, France; [Bergot, E.] CHU Caen, Caen, France; [Dauphin, C.] Hop Gabriel Montpied, Clermont Ferrand, France; [Bouvaist, H.] CHU, Grenoble, France; [Langlard, D. Horeau] CHU Nantes, Nantes, France; [Tetu, L.] CHU Rangueil Larrey, Toulouse, France; [Bauer, F.] CHU, Rouen, France; [Dromer, C.] CHU Bordeaux, Bordeaux, France</t>
  </si>
  <si>
    <t>Assistance Publique Hopitaux Paris (APHP); Hopital Universitaire Antoine-Beclere - APHP; Hopital Universitaire Bicetre - APHP; Universite Paris Saclay; Universite Claude Bernard Lyon 1; CHU Lyon; CHU de Caen NORMANDIE; Universite de Caen Normandie; CHU Clermont Ferrand; CHU Grenoble Alpes; Nantes Universite; CHU de Nantes; CHU de Toulouse; Universite de Rouen Normandie; CHU de Rouen; Universite de Bordeaux; CHU Bordeaux</t>
  </si>
  <si>
    <t>Humbert, Marc/AAC-8459-2019; Bergot, Emmanuel/KHZ-1685-2024; David, Montani/I-6885-2019; Savale, Laurent/AAJ-9781-2020; Sitbon, Olivier/I-3623-2019; Simonneau, Gerald/ABE-6614-2020</t>
  </si>
  <si>
    <t>A1236</t>
  </si>
  <si>
    <t>WOS:000390749600236</t>
  </si>
  <si>
    <t>Sobanski, V; Launay, D; Hachulla, E; Humbert, M</t>
  </si>
  <si>
    <t>Sobanski, Vincent; Launay, David; Hachulla, Eric; Humbert, Marc</t>
  </si>
  <si>
    <t>Current Approaches to the Treatment of Systemic-Sclerosis-Associated Pulmonary Arterial Hypertension (SSc-PAH)</t>
  </si>
  <si>
    <t>CURRENT RHEUMATOLOGY REPORTS</t>
  </si>
  <si>
    <t>Pulmonary arterial hypertension; Systemic sclerosis; Connective tissue disease; Treatment</t>
  </si>
  <si>
    <t>CONNECTIVE-TISSUE-DISEASE; ENDOTHELIN-RECEPTOR ANTAGONIST; EULAR SCLERODERMA TRIALS; 5 INHIBITOR THERAPY; DOUBLE-BLIND; LUNG TRANSPLANTATION; PROSTACYCLIN ANALOG; ORAL TREPROSTINIL; CARDIOPULMONARY MANIFESTATIONS; IMMUNOSUPPRESSIVE THERAPY</t>
  </si>
  <si>
    <t>Pulmonary arterial hypertension (PAH) is a severe condition causing significant morbidity and mortality in patients with systemic sclerosis (SSc). Despite the use of specific treatments, SSc-PAH survival remains poorer than in idiopathic PAH (IPAH). Recent therapeutic advances in PAH show a lower magnitude of response in SSc-PAH and a higher risk of adverse events, as compared to IPAH. The multifaceted underlying mechanisms and the multisystem nature of SSc probably explain part of the worse outcomes in SSc-PAH compared to IPAH. This review describes the current management of SSc-PAH with an emphasis on the impact of the different organ involvements in the prognosis and treatment response. An earlier detection of PAH and a better characterization of the clinical phenotypes of SSc-PAH are warranted in clinical practice and future trials. Determinants of prognosis, surrogate markers of clinical improvement or worsening, and relevance of the common endpoints used in clinical trials should be evaluated in this specific population. A multidisciplinary approach in expert referral centers is mandatory for SSc-PAH management.</t>
  </si>
  <si>
    <t>[Sobanski, Vincent; Launay, David; Hachulla, Eric] Univ Lille, Lille Inflammat Res Int Ctr U995, Lille, France; [Sobanski, Vincent; Launay, David; Hachulla, Eric] CHU Lille, Dept Med Interne &amp; Immunol Clin, F-59037 Lille, France; [Sobanski, Vincent; Launay, David; Hachulla, Eric] Ctr Natl Reference Malad Syst &amp; Autoimmunes Rares, Lille, France; [Sobanski, Vincent; Launay, David; Hachulla, Eric] FHU Immune Mediated Inflammatory Dis &amp; Targeted T, Lille, France; [Humbert, Marc] Univ Paris Saclay, Fac Med, Univ Paris 11, Le Kremlin Bicetre, France; [Humbert, Marc] Hop Bicetre, AP HP, Serv Pneumol, Le Kremlin Bicetre, France; [Humbert, Marc] Hop Marie Lannelongue, INSERM, UMR S 999, 133 Ave Resistance, F-92350 Le Plessis Robinson, France</t>
  </si>
  <si>
    <t>Universite de Lille; Universite de Lille; CHU Lille; Universite Paris Saclay; Universite Paris Saclay; Assistance Publique Hopitaux Paris (APHP); Hopital Universitaire Antoine-Beclere - APHP; Hopital Universitaire Bicetre - APHP; Universite Paris Saclay; Hopital Marie Lannelongue; Institut National de la Sante et de la Recherche Medicale (Inserm)</t>
  </si>
  <si>
    <t>Humbert, M (corresponding author), Univ Paris Saclay, Fac Med, Univ Paris 11, Le Kremlin Bicetre, France.;Humbert, M (corresponding author), Hop Bicetre, AP HP, Serv Pneumol, Le Kremlin Bicetre, France.;Humbert, M (corresponding author), Hop Marie Lannelongue, INSERM, UMR S 999, 133 Ave Resistance, F-92350 Le Plessis Robinson, France.</t>
  </si>
  <si>
    <t>HACHULLA, ERIC/R-8488-2018; Launay, David/A-5270-2018; Sobanski, Vincent/Q-6411-2016; Launay, David/H-1674-2016; Humbert, Marc/AAC-8459-2019</t>
  </si>
  <si>
    <t>HACHULLA, ERIC/0000-0001-7432-847X; Sobanski, Vincent/0000-0003-3083-2441; Launay, David/0000-0003-1840-1817; Humbert, Marc/0000-0003-0703-2892</t>
  </si>
  <si>
    <t>1523-3774</t>
  </si>
  <si>
    <t>1534-6307</t>
  </si>
  <si>
    <t>CURR RHEUMATOL REP</t>
  </si>
  <si>
    <t>Curr. Rheumatol. Rep.</t>
  </si>
  <si>
    <t>10.1007/s11926-015-0560-x</t>
  </si>
  <si>
    <t>DD9HI</t>
  </si>
  <si>
    <t>WOS:000370235900004</t>
  </si>
  <si>
    <t>Tamura, Y; Phan, C; Tu, L; Thuillet, R; Le Hiress, M; Huertas, A; Fadel, E; Simonneau, G; Humbert, M; Guignabert, C</t>
  </si>
  <si>
    <t>Tamura, Y.; Phan, C.; Tu, L.; Thuillet, R.; Le Hiress, M.; Huertas, A.; Fadel, E.; Simonneau, G.; Humbert, M.; Guignabert, C.</t>
  </si>
  <si>
    <t>Therapeutic Effects Of Blockade Of Il-6/gp130 Signaling In Pulmonary Arterial Hypertension</t>
  </si>
  <si>
    <t>[Tamura, Y.; Guignabert, C.] Univ Paris Sud, INSERM, UMR 999, Le Plessis Robinson, France; [Phan, C.; Tu, L.; Thuillet, R.; Le Hiress, M.; Huertas, A.; Fadel, E.; Simonneau, G.; Humbert, M.] Univ Paris Sud &amp; Paris Saclay, INSERM, UMR S 999, Le Plessis Robinson, France</t>
  </si>
  <si>
    <t>Institut National de la Sante et de la Recherche Medicale (Inserm); Universite Paris Saclay; Institut National de la Sante et de la Recherche Medicale (Inserm); Universite Paris Saclay</t>
  </si>
  <si>
    <t>Simonneau, Gerald/ABE-6614-2020; TU, Ly/G-4035-2013; Humbert, Marc/AAC-8459-2019; GUIGNABERT, Christophe/G-3873-2013</t>
  </si>
  <si>
    <t>A2788</t>
  </si>
  <si>
    <t>WOS:000390749602037</t>
  </si>
  <si>
    <t>Van der Bruggen, CE; Happe, CM; Dorfmuller, P; Trip, P; Spruijt, OA; Rol, N; Houweling, A; Girerd, B; Mercier, O; Humbert, M; Handoko, L; Van der Velden, J; Vonk-Noordegraaf, A; Bogaard, HJ; Goumans, MJ; De Man, F</t>
  </si>
  <si>
    <t>Van der Bruggen, C. E.; Happe, C. M.; Dorfmuller, P.; Trip, P.; Spruijt, O. A.; Rol, N.; Houweling, A.; Girerd, B.; Mercier, O.; Humbert, M.; Handoko, L.; Van der Velden, J.; Vonk-Noordegraaf, A.; Bogaard, H. J.; Goumans, M. -J.; De Man, F.</t>
  </si>
  <si>
    <t>The Effects Of The Bone Morphogenetic Protein Receptor Type 2 Mutation On Histological And Morphological Characteristics And Rna Expression In The Right Ventricle In Pulmonary Arterial Hypertension</t>
  </si>
  <si>
    <t>[Van der Bruggen, C. E.; Happe, C. M.; Trip, P.; Spruijt, O. A.; Rol, N.; Handoko, L.; Van der Velden, J.; Vonk-Noordegraaf, A.; Bogaard, H. J.; De Man, F.] Vrije Univ Amsterdam, Med Ctr, Amsterdam, Netherlands; [Dorfmuller, P.] INSERM, U999, Le Plessis Robinson, France; [Houweling, A.] Vrije Univ Amsterdam, Med Ctr, Amstelveen, Netherlands; [Girerd, B.; Humbert, M.] Hop Bicetre, Le Kremlin Bicetre, France; [Mercier, O.] Ctr Chirurg Marie Lannelongue, Paris, France; [Goumans, M. -J.] Leiden Univ, Med Ctr, Leiden, Netherlands</t>
  </si>
  <si>
    <t>Vrije Universiteit Amsterdam; Institut National de la Sante et de la Recherche Medicale (Inserm); Universite Paris Saclay; Vrije Universiteit Amsterdam; Assistance Publique Hopitaux Paris (APHP); Hopital Universitaire Bicetre - APHP; Universite Paris Saclay; Hopital Universitaire Antoine-Beclere - APHP; Hopital Marie Lannelongue; Leiden University; Leiden University Medical Center (LUMC); Leiden University - Excl LUMC</t>
  </si>
  <si>
    <t>c.vanderbruggen@vumc.nl</t>
  </si>
  <si>
    <t>Humbert, Marc/AAC-8459-2019; Goumans, Marie/U-1455-2019; van der Velden, J/D-1925-2016</t>
  </si>
  <si>
    <t>Goumans, Marie Jose/0000-0001-9344-6746</t>
  </si>
  <si>
    <t>A2285</t>
  </si>
  <si>
    <t>WOS:000390749601425</t>
  </si>
  <si>
    <t>Bertoletti, L; Humbert, M</t>
  </si>
  <si>
    <t>Bertoletti, Laurent; Humbert, Marc</t>
  </si>
  <si>
    <t>Pulmonary embolism: An update</t>
  </si>
  <si>
    <t>VENOUS THROMBOEMBOLISM; SURGICAL-TREATMENT; HYPERTENSION; MANAGEMENT; PREVENTION; GUIDELINES; DIAGNOSIS; DISEASE; DABIGATRAN; RIOCIGUAT</t>
  </si>
  <si>
    <t>[Bertoletti, Laurent] CHU St Etienne, Serv Med Vasc &amp; Therapeut, F-42055 St Etienne, France; [Bertoletti, Laurent] Univ Jean Monnet, INSERM, Dysfonct Vasc &amp; Hemostase, F-42055 St Etienne, France; [Bertoletti, Laurent] CHU St Etienne, INNOVTE Network, F-42055 St Etienne, France; [Humbert, Marc] Univ Paris 11, Univ Paris Saclay, Fac Med, F-94270 Le Kremlin Bicetre, France; [Humbert, Marc] Hop Bicetre, AP HP, Serv Pneumol, F-94270 Le Kremlin Bicetre, France; [Humbert, Marc] Hop Marie Lannelongue, Inserm UMR S 999, F-92060 Le Plessis Robinson, France</t>
  </si>
  <si>
    <t>CHU de St Etienne; Institut National de la Sante et de la Recherche Medicale (Inserm); CHU de St Etienne; Universite Paris Saclay; Universite Paris Saclay; Assistance Publique Hopitaux Paris (APHP); Hopital Universitaire Antoine-Beclere - APHP; Hopital Universitaire Bicetre - APHP; Universite Paris Saclay; Hopital Marie Lannelongue; Institut National de la Sante et de la Recherche Medicale (Inserm)</t>
  </si>
  <si>
    <t>Bertoletti, L (corresponding author), CHU St Etienne, Serv Med Vasc &amp; Therapeut, F-42055 St Etienne, France.</t>
  </si>
  <si>
    <t>laurent.bertoletti@chu-st-etienne.fr</t>
  </si>
  <si>
    <t>Bertoletti, Laurent/X-1319-2019; Humbert, Marc/AAC-8459-2019</t>
  </si>
  <si>
    <t>BERTOLETTI, Laurent/0000-0001-8214-3010; Humbert, Marc/0000-0003-0703-2892</t>
  </si>
  <si>
    <t>E373</t>
  </si>
  <si>
    <t>E376</t>
  </si>
  <si>
    <t>10.1016/j.lpm.2015.10.005</t>
  </si>
  <si>
    <t>DD8PX</t>
  </si>
  <si>
    <t>WOS:000370190300001</t>
  </si>
  <si>
    <t>Bousquet, J; Humbert, M</t>
  </si>
  <si>
    <t>Bousquet, Jean; Humbert, Marc</t>
  </si>
  <si>
    <t>GINA 2015: the latest iteration of a magnificent journey (vol 46, pg 579, 2015)</t>
  </si>
  <si>
    <t>Humbert, Marc/AAC-8459-2019; Bousquet, Jean/O-4221-2019</t>
  </si>
  <si>
    <t>10.1183/13993003.51084-2015</t>
  </si>
  <si>
    <t>CZ2QC</t>
  </si>
  <si>
    <t>WOS:000366948700055</t>
  </si>
  <si>
    <t>Creuzé, N; Hoette, S; Montani, D; Günther, S; Lau, E; Ternacle, J; Savale, L; Jaïs, X; Parent, F; Girerd, B; Sitbon, O; Simonneau, G; Rochitte, CE; Souza, R; Humbert, M; Chemla, D</t>
  </si>
  <si>
    <t>Creuze, Nicolas; Hoette, Susana; Montani, David; Guenther, Sven; Lau, Edmund; Ternacle, Julien; Savale, Laurent; Jais, Xavier; Parent, Florence; Girerd, Barbara; Sitbon, Olivier; Simonneau, Gerald; Rochitte, Carlos E.; Souza, Rogerio; Humbert, Marc; Chemla, Denis</t>
  </si>
  <si>
    <t>Usefulness of Cardiovascular Magnetic Resonance Indices to Rule In or Rule Out Precapillary Pulmonary Hypertension</t>
  </si>
  <si>
    <t>CANADIAN JOURNAL OF CARDIOLOGY</t>
  </si>
  <si>
    <t>ARTERY SYSTOLIC PRESSURES; DIAGNOSTIC-ACCURACY; RIGHT HEART; ECHOCARDIOGRAPHY; FLOW; CARDIOLOGY; STIFFNESS; RATHER</t>
  </si>
  <si>
    <t>Background: Various cardiovascular magnetic resonance (CMR) imaging indices are used to assess pulmonary hypertension (PH; mean pulmonary artery pressure &gt;= 25 mm Hg). We compared the value of CMR indices to diagnose precapillary PH in treatment-naive patients evaluated for the first time for known or suspected pulmonary vascular disease. Methods: Right heart catheterization and CMR were performed within 48 hours of each other in 85 consecutive subjects. The tricuspid annular plane systolic excursion, right ventricular (RV) fractional area change (RVFAC), RV ejection fraction, systolic eccentricity index, and RV end-diastolic area over left ventricular end-diastolic area ratio were calculated. The pulmonary artery trunk diameter, main pulmonary artery relative area change, and mean flow velocity were also calculated. Results: There were 20 non-PH subjects (14 women/6 men, 55 +/- 14 years of age, mean pulmonary artery pressure [mPAP] = 20 +/- 4 mm Hg) and 65 precapillary PH subjects (32 women/33 men, 60 +/- 15 years of age; P = not significant; mPAP = 46 +/- 12 mm Hg; 54% with chronic thromboembolic PH). All CMR indices showed essentially the same (good) value to rule in precapillary PH. The RV end-diastolic area over left ventricular end-diastolic area ratio and RVFAC, which are relatively easy to measure, had a large area under the receiver operating characteristic curve (0.93, with optimal cut-off &gt; 0.96, and 0.92, with optimal cut-off &lt;= 35%, respectively), not significantly different from RV ejection fraction. In addition, RVFAC &gt; 45% was documented in none of 65 PH and in 10 of 20 non-PH; thus, in a population similar to ours, RVFAC measurement could potentially have avoided unnecessary catheterization in 50% of non-PH subjects. Conclusions: In treatment-naive subjects in whom pulmonary vascular disease is highly suspected, right-sided CMR indices distinguish between PH and non-PH patients. RVFAC might have particular value in excluding precapillary PH.</t>
  </si>
  <si>
    <t>[Creuze, Nicolas; Ternacle, Julien; Chemla, Denis] Fac Med Paris 11 APHP, Phy &amp; Radiol EA4533, Le Kremlin Bicetre, France; [Hoette, Susana; Rochitte, Carlos E.; Souza, Rogerio] Univ Sao Paulo, Cardiol &amp; Pulm Div, Sao Paulo, Brazil; [Montani, David; Guenther, Sven; Lau, Edmund; Savale, Laurent; Jais, Xavier; Parent, Florence; Girerd, Barbara; Sitbon, Olivier; Simonneau, Gerald; Humbert, Marc] Univ Inserm UMR S999, Pneumol APHP Paris 11, Le Kremlin Bicetre, France</t>
  </si>
  <si>
    <t>Universidade de Sao Paulo; Assistance Publique Hopitaux Paris (APHP); Hopital Universitaire Bicetre - APHP; Institut National de la Sante et de la Recherche Medicale (Inserm); Universite Paris Saclay</t>
  </si>
  <si>
    <t>Chemla, D (corresponding author), Fac Med Paris 11 APHP, Phy &amp; Radiol EA4533, Le Kremlin Bicetre, France.</t>
  </si>
  <si>
    <t>Savale, Laurent/AAJ-9781-2020; Günther, Sven/ACV-7191-2022; Sitbon, Olivier/I-3623-2019; ROCHITTE, CARLOS/GYH-2098-2022; Simonneau, Gerald/ABE-6614-2020; Ternacle, Julien/AAR-3028-2020; David, Montani/I-6885-2019; GUNTHER, Sven/P-4177-2017; Souza, Rogerio/I-3584-2013; Humbert, Marc/AAC-8459-2019; Rochitte, Carlos/M-1042-2017</t>
  </si>
  <si>
    <t>Montani, David/0000-0002-9358-6922; GUNTHER, Sven/0000-0001-8388-6131; SITBON, Olivier/0000-0002-1942-1951; Souza, Rogerio/0000-0003-2789-9143; CHEMLA, Denis/0000-0001-7479-9896; Humbert, Marc/0000-0003-0703-2892; Rochitte, Carlos/0000-0003-4505-3344; JAIS, XAVIER/0000-0002-4104-7994</t>
  </si>
  <si>
    <t>0828-282X</t>
  </si>
  <si>
    <t>1916-7075</t>
  </si>
  <si>
    <t>CAN J CARDIOL</t>
  </si>
  <si>
    <t>Can. J. Cardiol.</t>
  </si>
  <si>
    <t>10.1016/j.cjca.2015.04.014</t>
  </si>
  <si>
    <t>CW9QW</t>
  </si>
  <si>
    <t>WOS:000365334300010</t>
  </si>
  <si>
    <t>2015 ESC/ERS Guidelines for the diagnosis and treatment of pulmonary hypertension. The Joint Task Force for the Diagnosis and Treatment of Pulmonary Hypertension of the European Society of Cardiology (ESC) and the European Respiratory Society (ERS) (vol 46, pg 903, 2015)</t>
  </si>
  <si>
    <t>Hoeper, Marius/Z-1546-2019; Lancellotti, Patrizio/AEK-4855-2022; Humbert, Marc/AAC-8459-2019; Beghetti, Maurice/HNP-1055-2023; Vachiery, Jean-Luc/ABC-6631-2021; Kolh, Philippe/AAE-7224-2019; Ghofrani, Ardeschir/AAD-5293-2020; Hansmann, Georg/AAW-5843-2020; Sicilia, Miguel-Angel/F-5002-2012; Simonneau, Gerald/ABE-6614-2020</t>
  </si>
  <si>
    <t>10.1183/13993003.51032-2015</t>
  </si>
  <si>
    <t>WOS:000366948700056</t>
  </si>
  <si>
    <t>Machado, RD; Southgate, L; Eichstaedt, CA; Aldred, MA; Austin, ED; Best, DH; Chung, WK; Benjamin, N; Elliott, CG; Eyries, M; Fischer, C; Gräf, S; Hinderhofer, K; Humbert, M; Keiles, SB; Loyd, JE; Morrell, NW; Newman, JH; Soubrier, F; Trembath, RC; Viales, RR; Grünig, E</t>
  </si>
  <si>
    <t>Machado, Rajiv D.; Southgate, Laura; Eichstaedt, Christina A.; Aldred, Micheala A.; Austin, Eric D.; Best, D. Hunter; Chung, Wendy K.; Benjamin, Nicola; Elliott, C. Gregory; Eyries, Melanie; Fischer, Christine; Graef, Stefan; Hinderhofer, Katrin; Humbert, Marc; Keiles, Steven B.; Loyd, James E.; Morrell, Nicholas W.; Newman, John H.; Soubrier, Florent; Trembath, Richard C.; Viales, Rebecca Rodriguez; Gruenig, Ekkehard</t>
  </si>
  <si>
    <t>Pulmonary Arterial Hypertension: A Current Perspective on Established and Emerging Molecular Genetic Defects</t>
  </si>
  <si>
    <t>HUMAN MUTATION</t>
  </si>
  <si>
    <t>BMPR2; ACVRL1; ENG; SMAD1; SMAD4; SMAD9; CAV1; KCNA5; KCNK3; EIF2AK4; haploinsufficiency; locus heterogeneity</t>
  </si>
  <si>
    <t>HEREDITARY HEMORRHAGIC TELANGIECTASIA; II RECEPTOR; BMPR2 MUTATIONS; CHINESE PATIENTS; FUNCTIONAL-ANALYSIS; GERMLINE MUTATIONS; CLINICAL-FEATURES; ALK1 MUTATION; BETA-RECEPTOR; CAVEOLIN-1</t>
  </si>
  <si>
    <t>Pulmonary arterial hypertension (PAH) is an often fatal disorder resulting from several causes including heterogeneous genetic defects. While mutations in the bone morphogenetic protein receptor type II (BMPR2) gene are the single most common causal factor for hereditary cases, pathogenic mutations have been observed in approximately 25% of idiopathic PAH patients without a prior family history of disease. Additional defects of the transforming growth factor beta pathway have been implicated in disease pathogenesis. Specifically, studies have confirmed activin A receptor type II-like 1 (ACVRL1), endoglin (ENG), and members of the SMAD family as contributing to PAH both with and without associated clinical phenotypes. Most recently, next-generation sequencing has identified novel, rare genetic variation implicated in the PAH disease spectrum. Of importance, several identified genetic factors converge on related pathways and provide significant insight into the development, maintenance, and pathogenetic transformation of the pulmonary vascular bed. Together, these analyses represent the largest comprehensive compilation of BMPR2 and associated genetic risk factors for PAH, comprising known and novel variation. Additionally, with the inclusion of an allelic series of locus-specific variation in BMPR2, these data provide a key resource in data interpretation and development of contemporary therapeutic and diagnostic tools. (C) 2015 Wiley Periodicals, Inc.</t>
  </si>
  <si>
    <t>[Machado, Rajiv D.] Lincoln Univ, Sch Life Sci, Lincoln LN6 7DL, England; [Southgate, Laura; Trembath, Richard C.] Queen Mary Univ London, Barts &amp; London Sch Med &amp; Dent, London, England; [Southgate, Laura] Kings Coll London, Div Genet &amp; Mol Med, London WC2R 2LS, England; [Eichstaedt, Christina A.; Benjamin, Nicola; Viales, Rebecca Rodriguez; Gruenig, Ekkehard] Univ Heidelberg Hosp, Thoraxclin, Ctr Pulm Hypertens, Heidelberg, Germany; [Eichstaedt, Christina A.; Fischer, Christine; Hinderhofer, Katrin; Viales, Rebecca Rodriguez] Heidelberg Univ, Inst Human Genet, Heidelberg, Germany; [Aldred, Micheala A.] Cleveland Clin, Genom Med Inst, Cleveland, OH 44106 USA; [Austin, Eric D.] Vanderbilt Univ, Med Ctr, Dept Pediat, Nashville, TN 37232 USA; [Best, D. Hunter] Univ Utah, Sch Med, Dept Pathol, Salt Lake City, UT USA; [Best, D. Hunter] ARUP Inst Clin &amp; Expt Pathol, ARUP Labs, Salt Lake City, UT USA; [Chung, Wendy K.] Columbia Univ, Dept Pediat, Med Ctr, New York, NY 10027 USA; [Chung, Wendy K.] Columbia Univ, Dept Med, Med Ctr, New York, NY 10027 USA; [Elliott, C. Gregory] Intermt Med Ctr, Dept Med, Salt Lake City, UT USA; [Elliott, C. Gregory] Univ Utah, Sch Med, Salt Lake City, UT USA; [Eyries, Melanie; Soubrier, Florent] Univ Paris 06, Unit Mixte Rech Sante UMR S 1166, Paris, France; [Eyries, Melanie; Soubrier, Florent] INSERM, Paris, France; [Eyries, Melanie; Soubrier, Florent] Hop La Pitie Salpetriere, AP HP, Dept Genet, Paris, France; [Eyries, Melanie; Soubrier, Florent] Inst Cardiometab &amp; Nutr ICAN, Paris, France; [Graef, Stefan; Morrell, Nicholas W.] Univ Cambridge, Dept Med, Cambridge CB2 2QQ, England; [Graef, Stefan] Univ Cambridge, Dept Haematol, Cambridge, England; [Humbert, Marc] Univ Paris 11, Fac Med, Paris, France; [Humbert, Marc] Hop Bicetre, AP HP, Dept Hosp Univ DHU Thorax Innovat TORINO, Serv Pneumol, Paris, France; [Humbert, Marc] Ctr Chirurg Marie Lannelongue, LERMIT, INSERM, UMR S 999, Paris, France; [Keiles, Steven B.] Quest Diagnost, Act Insight, San Juan Capistrano, CA USA; [Loyd, James E.; Newman, John H.] Vanderbilt Univ, Sch Med, Dept Med, Nashville, TN 37212 USA; [Morrell, Nicholas W.] Addenbrookes Hosp, Cambridge, England; [Morrell, Nicholas W.] Papworth Hosp, Cambridge CB3 8RE, England</t>
  </si>
  <si>
    <t>University of Lincoln; University of London; Queen Mary University London; University of London; King's College London; Ruprecht Karls University Heidelberg; Ruprecht Karls University Heidelberg; Cleveland Clinic Foundation; Vanderbilt University; Utah System of Higher Education; University of Utah; Utah System of Higher Education; University of Utah; ARUP Laboratories; Columbia University; Columbia University; Intermountain Healthcare; Intermountain Medical Center; Utah System of Higher Education; University of Utah; Sorbonne Universite; Institut National de la Sante et de la Recherche Medicale (Inserm); Assistance Publique Hopitaux Paris (APHP); Hopital Universitaire Pitie-Salpetriere - APHP; Sorbonne Universite; Sorbonne Universite; Institut National de la Sante et de la Recherche Medicale (Inserm); University of Cambridge; University of Cambridge; Universite Paris Saclay; Universite Paris Saclay; Assistance Publique Hopitaux Paris (APHP); Hopital Universitaire Bicetre - APHP; Hopital Marie Lannelongue; Institut National de la Sante et de la Recherche Medicale (Inserm); Vanderbilt University; University of Cambridge; Cambridge University Hospitals NHS Foundation Trust; Addenbrooke's Hospital; Papworth Hospital</t>
  </si>
  <si>
    <t>Machado, RD (corresponding author), Lincoln Univ, Sch Life Sci, Joseph Banks Labs, Green Lane, Lincoln LN6 7DL, England.</t>
  </si>
  <si>
    <t>rmachado@lincoln.ac.uk</t>
  </si>
  <si>
    <t>Benjamin, Nicola/AAJ-4360-2021; Machado, Rajiv David/AAD-7813-2019; Austin, Eric/A-6070-2013; EYRIES, melanie/ABF-1034-2020; Southgate, Laura/H-7924-2019; Humbert, Marc/AAC-8459-2019</t>
  </si>
  <si>
    <t>Morrell, Nicholas/0000-0001-5700-9792; Machado, Rajiv David/0000-0001-9247-0744; Trembath, Richard/0000-0003-0550-3400; Southgate, Laura/0000-0002-2090-1450; Humbert, Marc/0000-0003-0703-2892; Loyd, James/0000-0002-5042-7390; Rodriguez Viales, Rebecca/0000-0003-3739-7438</t>
  </si>
  <si>
    <t>NIH [P01 HL108800, R01 HL098199, R01 HL060056]; European Union [QLGI-CT-2002-01116]; MRC [G1000847, G0800784, MR/K020919/1] Funding Source: UKRI</t>
  </si>
  <si>
    <t>NIH(United States Department of Health &amp; Human ServicesNational Institutes of Health (NIH) - USA); European Union(European Union (EU)); MRC(UK Research &amp; Innovation (UKRI)Medical Research Council UK (MRC))</t>
  </si>
  <si>
    <t>Contract grant sponsors: NIH (P01 HL108800, R01 HL098199, R01 HL060056); European Union (QLGI-CT-2002-01116).</t>
  </si>
  <si>
    <t>1059-7794</t>
  </si>
  <si>
    <t>1098-1004</t>
  </si>
  <si>
    <t>HUM MUTAT</t>
  </si>
  <si>
    <t>Hum. Mutat.</t>
  </si>
  <si>
    <t>10.1002/humu.22904</t>
  </si>
  <si>
    <t>CW1YQ</t>
  </si>
  <si>
    <t>WOS:000364788500001</t>
  </si>
  <si>
    <t>Montani, D; Lau, EM; Descatha, A; Jaïs, X; Savale, L; Andujar, P; Bensefa-Colas, L; Girerd, B; Zendah, I; Le Pavec, J; Seferian, A; Perros, F; Dorfmüller, P; Fadel, E; Soubrier, F; Sitbon, O; Simonneau, G; Humbert, M</t>
  </si>
  <si>
    <t>Montani, David; Lau, Edmund M.; Descatha, Alexis; Jais, Xavier; Savale, Laurent; Andujar, Pascal; Bensefa-Colas, Lynda; Girerd, Barbara; Zendah, Ines; Le Pavec, Jerome; Seferian, Andrei; Perros, Frederic; Dorfmueller, Peter; Fadel, Elie; Soubrier, Florent; Sitbon, Oliver; Simonneau, Gerald; Humbert, Marc</t>
  </si>
  <si>
    <t>Occupational exposure to organic solvents: a risk factor for pulmonary veno-occlusive disease</t>
  </si>
  <si>
    <t>ARTERIAL-HYPERTENSION; SYSTEMIC-SCLEROSIS; OXIDATIVE STRESS; REGULATOR; DIAGNOSIS; HEALTH; GCN2</t>
  </si>
  <si>
    <t>Pulmonary veno-occlusive disease (PVOD) is a rare form of pulmonary hypertension characterised by predominant remodelling of pulmonary venules. Bi-allelic mutations in the eukaryotic translation initiation factor 2 alpha kinase 4 (EIF2AK4) gene were recently described as the major cause of heritable PVOD, but risk factors associated with PVOD remain poorly understood. Occupational exposures have been proposed as a potential risk factor for PVOD, but epidemiological studies are lacking. A case-control study was conducted in consecutive PVOD (cases, n=33) and pulmonary arterial hypertension patients (controls, n=65). Occupational exposure was evaluated via questionnaire interview with blinded assessments using an expert consensus approach and a job exposure matrix (JEM). Using the expert consensus approach, PVOD was significantly associated with occupational exposure to organic solvents (adjusted OR 12.8, 95% CI 2.7-60.8), with trichloroethylene being the main agent implicated (adjusted OR 8.2, 95% CI 1.4-49.4). JEM analysis independently confirmed the association between PVOD and trichloroethylene exposure. Absence of significant trichloroethylene exposure was associated with a younger age of disease (54.8 +/- 21.4 years, p=0.037) and a high prevalence of harbouring bi-allelic EIF2AK4 mutations (41.7% versus 0%, p=0.015). Occupational exposure to organic solvents may represent a novel risk factor for PVOD. Genetic background and environmental exposure appear to influence the phenotypic expression of the disease.</t>
  </si>
  <si>
    <t>[Montani, David; Lau, Edmund M.; Jais, Xavier; Savale, Laurent; Girerd, Barbara; Seferian, Andrei; Perros, Frederic; Dorfmueller, Peter; Fadel, Elie; Sitbon, Oliver; Simonneau, Gerald; Humbert, Marc] Univ Paris 11, Fac Med, F-94270 Le Kremlin Bicetre, France; [Montani, David; Lau, Edmund M.; Jais, Xavier; Savale, Laurent; Girerd, Barbara; Seferian, Andrei; Perros, Frederic; Sitbon, Oliver; Simonneau, Gerald; Humbert, Marc] Hop Bicetre, AP HP, Ctr Reference Hypertens Pulm Severe, DHU Thorax Innovat TORINO,Serv Pneumol, F-94270 Le Kremlin Bicetre, France; [Montani, David; Lau, Edmund M.; Jais, Xavier; Savale, Laurent; Girerd, Barbara; Seferian, Andrei; Perros, Frederic; Dorfmueller, Peter; Fadel, Elie; Sitbon, Oliver; Simonneau, Gerald; Humbert, Marc] Univ Paris 11, LERMIT, Ctr Chirurg Marie Lannelongue, INSERM,UMR S999, Le Plessis Robinson, France; [Descatha, Alexis] Univ Hosp Poincare, AP HP UVSQ, Occupat Hlth Unit, Populat Based Epidemiol Cohorts Unit,UMS 011 UMR, Garches, France; [Andujar, Pascal] CHI Creteil, Serv Pneumol &amp; Pathol Profess, Creteil, France; [Bensefa-Colas, Lynda] Paris Descartes Univ, Univ Hosp Ctr Paris COCHIN, AP HP,EA 4064, Occupat Dis Dept,Lab Sante Publ &amp; Environm,Sorbon, Paris, France; [Zendah, Ines] Hop Abderrahmene Mami Malad Thorac, Tunis, Tunisia; [Dorfmueller, Peter] Ctr Chirurg Marie Lannelongue, Serv Anat Pathol, Le Plessis Robinson, France; [Le Pavec, Jerome; Fadel, Elie] Ctr Chirurg Marie Lannelongue, Serv Chirurg Thorac &amp; Vasc, Le Plessis Robinson, France; [Soubrier, Florent] Univ Paris 06, INSERM, Grp Hosp Pitie Salpetriere, Lab Oncogenet &amp; Angiogenet Mol,UMR S956, Paris, France</t>
  </si>
  <si>
    <t>Universite Paris Saclay; Assistance Publique Hopitaux Paris (APHP); Hopital Universitaire Antoine-Beclere - APHP; Hopital Universitaire Bicetre - APHP; Universite Paris Saclay; Institut National de la Sante et de la Recherche Medicale (Inserm); Hopital Marie Lannelongue; Universite Paris Saclay; Universite Paris Saclay; Assistance Publique Hopitaux Paris (APHP); Hopital Universitaire Raymond-Poincare - APHP; Universite Paris-Est-Creteil-Val-de-Marne (UPEC); CHI Creteil; Assistance Publique Hopitaux Paris (APHP); Hopital Universitaire Henri-Mondor - APHP; Universite Paris Cite; Assistance Publique Hopitaux Paris (APHP); Hopital Universitaire Cochin - APHP; Universite de Tunis-El-Manar; Hopital Abderrahmene Mami; Hopital Marie Lannelongue; Hopital Marie Lannelongue; Assistance Publique Hopitaux Paris (APHP); Hopital Universitaire Pitie-Salpetriere - APHP; Institut National de la Sante et de la Recherche Medicale (Inserm); Sorbonne Universite</t>
  </si>
  <si>
    <t>Montani, D (corresponding author), Univ Paris 11, Hop Bicetre, Ctr Reference Hypertens Pulm Severe, Serv Pneumol &amp; Reanimat Resp, 78 Rue Gen Leclerc, F-94270 Le Kremlin Bicetre, France.</t>
  </si>
  <si>
    <t>Bensefa, Lynda/AFV-2091-2022; David, Montani/I-6885-2019; Sitbon, Olivier/I-3623-2019; Simonneau, Gerald/ABE-6614-2020; Savale, Laurent/AAJ-9781-2020; Humbert, Marc/AAC-8459-2019; Andujar, Pascal/A-2395-2013; Perros, Frederic/N-6921-2017</t>
  </si>
  <si>
    <t>JAIS, XAVIER/0000-0002-4104-7994; Montani, David/0000-0002-9358-6922; Le Pavec, Jerome/0000-0003-4426-9645; Seferian, Andrei/0000-0003-1007-433X; Dorfmuller, Peter/0000-0003-2499-6829; Humbert, Marc/0000-0003-0703-2892; SITBON, Olivier/0000-0002-1942-1951; Andujar, Pascal/0000-0002-9408-7033; Perros, Frederic/0000-0001-7730-2427; Bensefa-Colas, Lynda/0000-0002-4108-4285</t>
  </si>
  <si>
    <t>10.1183/13993003.00814-2015</t>
  </si>
  <si>
    <t>WOS:000366948700026</t>
  </si>
  <si>
    <t>O'Connell, C; Montani, D; Savale, L; Sitbon, O; Parent, F; Seferian, A; Bulifon, S; Fadel, E; Mercier, O; Mussot, S; Fabre, D; Dartevelle, P; Humbert, M; Simonneau, G; Jaïs, X</t>
  </si>
  <si>
    <t>O'Connell, Caroline; Montani, David; Savale, Laurent; Sitbon, Olivier; Parent, Florence; Seferian, Andrei; Bulifon, Sophie; Fadel, Elie; Mercier, Olaf; Mussot, Sacha; Fabre, Dominique; Dartevelle, Philippe; Humbert, Marc; Simonneau, Gerald; Jais, Xavier</t>
  </si>
  <si>
    <t>Chronic thromboembolic pulmonary hypertension</t>
  </si>
  <si>
    <t>INTERNATIONAL PROSPECTIVE REGISTRY; CARDIAC OPERATIONS; SURGICAL APPROACH; RISK-FACTORS; ANGIOPLASTY; THROMBOENDARTERECTOMY; RIOCIGUAT; DIAGNOSIS; ENDARTERECTOMY; SILDENAFIL</t>
  </si>
  <si>
    <t>Chronic thromboembolic pulmonary hypertension (CTEPH) is a form of pulmonary hypertension (PH) characterized by the persistence of thromboembolic obstructing the pulmonary arteries as an organized tissue and the presence of a variable small vessel arteriopathy. The consequence is an increase in pulmonary vascular resistance resulting in progressive right heart failure. CTEPH is classified as group IV pulmonary hypertension according to the WHO classification of pulmonary hypertension. CTEPH is defined as precapillary pulmonary hypertension (mean pulmonary artery pressure &gt;= 25 mmHg with a pulmonary capillary wedge pressure &lt;= 15 mmHg) associated with mismatched perfusion defects on ventilation-perfusion lung scan and signs of chronic thromboembolic disease on computed tomography pulmonary angiogram and/or conventional pulmonary angiography, in a patient who received at least 3 months of therapeutic anticoagulation. CTEPH as a direct consequence of symptomatic pulmonary embolism (PE) is rare, and a significant number of CTEPH cases develop in the absence of history of PE. Thus, CTEPH should be considered in any patient with unexplained PH. Splenectomy, chronic inflammatory conditions such as inflammatory bowel disease, indwelling catheters and cardiac pacemakers have been identified as associated conditions increasing the risk of CTEPH. Ventilation-perfusion scan (V/Q) is the best test available for establishing the thromboembolic nature of PH. When CTEPH is suspected, patients should be referred to expert centres where pulmonary angiography, right heart catheterization and high-resolution CT scan will be performed to confirm the diagnosis and to assess the operability. Pulmonary endarterectomy (PEA) remains the gold standard treatment for CTEPH when organized thrombi involve the main, lobar or segmental arteries. This operation should only be performed by experienced surgeons in specialized centres. For inoperable patients, current ESC/ERS guidelines for the diagnosis and treatment of pulmonary hypertension recommend the use of riociguat and say that off-label use of drugs approved for PAH and pulmonary angioplasty may be considered in expert centres.</t>
  </si>
  <si>
    <t>[O'Connell, Caroline; Montani, David; Savale, Laurent; Sitbon, Olivier; Parent, Florence; Seferian, Andrei; Bulifon, Sophie; Fadel, Elie; Mercier, Olaf; Mussot, Sacha; Fabre, Dominique; Dartevelle, Philippe; Humbert, Marc; Simonneau, Gerald; Jais, Xavier] Univ Paris Saclay, Fac Med, F-94270 Le Kremlin Bicetre, France; [O'Connell, Caroline; Montani, David; Savale, Laurent; Sitbon, Olivier; Parent, Florence; Seferian, Andrei; Bulifon, Sophie; Humbert, Marc; Simonneau, Gerald; Jais, Xavier] Hop Bicetre, AP HP, Serv Pneumol, F-94270 Le Kremlin Bicetre, France; [O'Connell, Caroline; Montani, David; Savale, Laurent; Sitbon, Olivier; Parent, Florence; Seferian, Andrei; Bulifon, Sophie; Fadel, Elie; Mercier, Olaf; Mussot, Sacha; Fabre, Dominique; Dartevelle, Philippe; Humbert, Marc; Simonneau, Gerald; Jais, Xavier] Inserm UMR S 999, Ctr Chirurg Marie Lannelongue, F-92060 Le Plessis Robinson, France; [Fadel, Elie; Mercier, Olaf; Mussot, Sacha; Fabre, Dominique; Dartevelle, Philippe] Ctr Chirurg Marie Lannelongue, Serv Chirurg Thorac, F-92060 Le Plessis Robinson, France</t>
  </si>
  <si>
    <t>Universite Paris Saclay; Universite Paris Saclay; Assistance Publique Hopitaux Paris (APHP); Hopital Universitaire Bicetre - APHP; Hopital Universitaire Antoine-Beclere - APHP; Institut National de la Sante et de la Recherche Medicale (Inserm); Universite Paris Saclay; Hopital Marie Lannelongue; Hopital Marie Lannelongue</t>
  </si>
  <si>
    <t>Jaïs, X (corresponding author), Univ Paris 11, Hop Bicetre, Serv Pneumol, 78 Rue Gen Leclerc, F-94270 Le Kremlin Bicetre, France.</t>
  </si>
  <si>
    <t>Sitbon, Olivier/I-3623-2019; Mussot, S/AAL-7512-2020; Simonneau, Gerald/ABE-6614-2020; Savale, Laurent/AAJ-9781-2020; David, Montani/I-6885-2019; Humbert, Marc/AAC-8459-2019</t>
  </si>
  <si>
    <t>Mercier, Olaf/0000-0002-4760-6267; SITBON, Olivier/0000-0002-1942-1951; Humbert, Marc/0000-0003-0703-2892; Montani, David/0000-0002-9358-6922; JAIS, XAVIER/0000-0002-4104-7994; Seferian, Andrei/0000-0003-1007-433X</t>
  </si>
  <si>
    <t>DM, LS, OS, MH, GS and XJ have received honorarium or funds for participation to congress, communications, formation, advisory and expert boards, or researches from Actelion, Bayer, GSK, Novartis and Pfizer, all involved in the development of drugs in the field of pulmonary hypertension.</t>
  </si>
  <si>
    <t>E409</t>
  </si>
  <si>
    <t>E416</t>
  </si>
  <si>
    <t>10.1016/j.lpm.2015.10.010</t>
  </si>
  <si>
    <t>WOS:000370190300006</t>
  </si>
  <si>
    <t>Savale, L; Chaumais, MC; Sitbon, O; Humbert, M</t>
  </si>
  <si>
    <t>Savale, Laurent; Chaumais, Marie-Camille; Sitbon, Olivier; Humbert, Marc</t>
  </si>
  <si>
    <t>Pulmonary arterial hypertension in patients treated with interferon</t>
  </si>
  <si>
    <t>BETA TREATMENT; THERAPY; ALPHA</t>
  </si>
  <si>
    <t>[Savale, Laurent; Sitbon, Olivier; Humbert, Marc] Hop Bicetre, AP HP, Serv Pneumol, DHU Thorax Innovat, F-94270 Le Kremlin Bicetre, France; [Savale, Laurent; Chaumais, Marie-Camille; Sitbon, Olivier; Humbert, Marc] INSERM, LabEx LERMIT, Ctr Chirurg Marie Lannelongue, U999, Le Plessis Robinson, France; [Sitbon, Olivier; Humbert, Marc] Univ Paris 11, Le Kremlin Bicetre, France; [Chaumais, Marie-Camille] Hop Antoine Beclere, AP HP, Serv Pharm, DHU Thorax Innovat, Clamart, France; [Chaumais, Marie-Camille] Univ Paris 11, Fac Pharm, F-92290 Chatenay Malabry, France</t>
  </si>
  <si>
    <t>Assistance Publique Hopitaux Paris (APHP); Hopital Universitaire Bicetre - APHP; Universite Paris Saclay; Hopital Universitaire Antoine-Beclere - APHP; Universite Paris Saclay; Institut National de la Sante et de la Recherche Medicale (Inserm); Hopital Marie Lannelongue; Universite Paris Saclay; Assistance Publique Hopitaux Paris (APHP); Hopital Universitaire Antoine-Beclere - APHP; Universite Paris Saclay</t>
  </si>
  <si>
    <t>Sitbon, Olivier/I-3623-2019; Humbert, Marc/AAC-8459-2019; Savale, Laurent/AAJ-9781-2020</t>
  </si>
  <si>
    <t>Chaumais, Marie-Camille/0000-0002-1217-8442; SITBON, Olivier/0000-0002-1942-1951</t>
  </si>
  <si>
    <t>10.1183/13993003.01376-2015</t>
  </si>
  <si>
    <t>WOS:000366948700053</t>
  </si>
  <si>
    <t>Savale, L; Sattler, C; Günther, S; Montani, D; Chaumais, MC; Perrin, S; Jaïs, X; Seferian, A; Jovan, R; Bulifon, S; Parent, F; Simonneau, G; Humbert, M; Sitbon, O</t>
  </si>
  <si>
    <t>Savale, Laurent; Sattler, Caroline; Guenther, Sven; Montani, David; Chaumais, Marie-Camille; Perrin, Swanny; Jais, Xavier; Seferian, Andrei; Jovan, Roland; Bulifon, Sophie; Parent, Florence; Simonneau, Gerald; Humbert, Marc; Sitbon, Olivier</t>
  </si>
  <si>
    <t>Pulmonary arterial hypertension in patients treated with interferon (vol 44, pg 1627, 2014)</t>
  </si>
  <si>
    <t>Humbert, Marc/AAC-8459-2019; Savale, Laurent/AAJ-9781-2020; Simonneau, Gerald/ABE-6614-2020; Sitbon, Olivier/I-3623-2019; David, Montani/I-6885-2019; Günther, Sven/ACV-7191-2022; GUNTHER, Sven/P-4177-2017</t>
  </si>
  <si>
    <t>Montani, David/0000-0002-9358-6922; GUNTHER, Sven/0000-0001-8388-6131</t>
  </si>
  <si>
    <t>10.1183/09031936.50057914</t>
  </si>
  <si>
    <t>WOS:000366948700054</t>
  </si>
  <si>
    <t>Shao, D; Garfied, BE; Crosby, A; Young, P; Perros, F; Humbert, M; Adcock, IM; Morrell, N; Wort, SJ</t>
  </si>
  <si>
    <t>Shao, D.; Garfied, B. E.; Crosby, A.; Young, P.; Perros, F.; Humbert, M.; Adcock, I. M.; Morrell, N.; Wort, S. J.</t>
  </si>
  <si>
    <t>THE PROFILES OF JMJD3, UTX AND H3K27ME3 EXPRESSION IN PULMONARY VASCULATURE IN RAT MCT MODEL OF PAH AND HUMAN IPAH: IMPLICATIONS FOR PULMONARY ARTERIAL HYPERTENSION</t>
  </si>
  <si>
    <t>DEC 02-04, 2015</t>
  </si>
  <si>
    <t>[Shao, D.; Garfied, B. E.; Adcock, I. M.; Wort, S. J.] Univ London Imperial Coll Sci Technol &amp; Med, London, England; [Crosby, A.; Young, P.; Morrell, N.] Univ Cambridge, Cambridge, England; [Perros, F.; Humbert, M.] Univ Paris 11, Paris, France</t>
  </si>
  <si>
    <t>Imperial College London; University of Cambridge; Universite Paris Saclay</t>
  </si>
  <si>
    <t>Humbert, Marc/AAC-8459-2019; Adcock, Ian/L-3217-2019; Perros, Frederic/N-6921-2017</t>
  </si>
  <si>
    <t>Perros, Frederic/0000-0001-7730-2427; Adcock, Ian/0000-0003-2101-8843</t>
  </si>
  <si>
    <t>MRC [MR/K023918/1] Funding Source: UKRI</t>
  </si>
  <si>
    <t>S6</t>
  </si>
  <si>
    <t>A7</t>
  </si>
  <si>
    <t>A8</t>
  </si>
  <si>
    <t>10.1136/thoraxjnl-2015-207770.12</t>
  </si>
  <si>
    <t>CW9YH</t>
  </si>
  <si>
    <t>WOS:000365353600013</t>
  </si>
  <si>
    <t>Evans, JD; Girerd, B; Montani, D; Jing, ZC; Yan, Y; Wang, XJ; Galiè, N; Manes, A; Palazzini, M; Austin, ED; Wheeler, LA; Elliott, G; Nakayama, I; Asano, K; Grünig, E; Eichstaedt, C; Hinderhofer, K; Wolf, M; Rosenzweig, EB; Chung, WK; Soubrier, F; Simonneau, G; Gräf, S; Kaptoge, S; Di Angelantonio, E; Humbert, M; Morrell, NW</t>
  </si>
  <si>
    <t>Evans, Jonathan D.; Girerd, Barbara; Montani, David; Jing, Zhi-Cheng; Yan, Yi; Wang, Xiao-Jian; Galie, Nazzareno; Manes, Alessandra; Palazzini, Massimiliano; Austin, Eric D.; Wheeler, Lisa A.; Elliott, Greg; Nakayama, Ikue; Asano, Koichiro; Grunig, Ekkehard; Eichstaedt, Christina; Hinderhofer, Katrin; Wolf, Matthias; Rosenzweig, Erika B.; Chung, Wendy K.; Soubrier, Florent; Simonneau, Gerald; Graf, Stefan; Kaptoge, Stephen; Di Angelantonio, Emanuele; Humbert, Marc; Morrell, Nicholas W.</t>
  </si>
  <si>
    <t>Mutations in the BMPR2 Gene Are Associated With Worse Survival in Patients With Pulmonary Arterial Hypertension</t>
  </si>
  <si>
    <t>Scientific Sessions and Resuscitation Science Symposium of the American-Heart-Association (AHA)</t>
  </si>
  <si>
    <t>NOV 07-11, 2015</t>
  </si>
  <si>
    <t>Pulmonary Hypertension; BMPR2</t>
  </si>
  <si>
    <t>Palazzini, Massimiliano/AFM-3353-2022; Humbert, Marc/AAC-8459-2019; wei, wei/HHR-8613-2022; Austin, Eric/A-6070-2013; Kaptoge, Stephen/KIL-7058-2024; Simonneau, Gerald/ABE-6614-2020; Rosenzweig, Erika/AAC-3680-2019; DiAngelantonio, Emanuele/ABE-6852-2020; David, Montani/I-6885-2019; Jing, Zhi-Cheng/AAT-9081-2021</t>
  </si>
  <si>
    <t>Montani, David/0000-0002-9358-6922; Jing, Zhi-Cheng/0000-0003-0493-0929</t>
  </si>
  <si>
    <t>NOV 10</t>
  </si>
  <si>
    <t>DS8CN</t>
  </si>
  <si>
    <t>WOS:000381010605074</t>
  </si>
  <si>
    <t>Hautefort, A; Chesne, J; Preussner, J; Tost, J; Looso, M; Antigny, F; Montani, D; Deleuze, JF; Seeger, W; Fadel, E; Simonneau, G; Bonnet, S; Humbert, M; Perros, F</t>
  </si>
  <si>
    <t>Hautefort, Aurelie; Chesne, Julie; Preussner, Jens; Tost, Jorg; Looso, Mario; Antigny, Fabrice; Montani, David; Deleuze, Jean-Francois; Seeger, Werner; Fadel, Elie; Simonneau, Gerald; Bonnet, Sebastien; Humbert, Marc; Perros, Frederic</t>
  </si>
  <si>
    <t>A Flavor of Metabolic Disease in Pulmonary Hypertension</t>
  </si>
  <si>
    <t>Pulmonary Hypertension; DNA Methylation; Epigenetic; Endothelial Cell; Metabolic Disease</t>
  </si>
  <si>
    <t>Humbert, Marc/AAC-8459-2019; Antigny, Fabrice/Q-3999-2018; David, Montani/I-6885-2019; Simonneau, Gerald/ABE-6614-2020; Perros, Frederic/N-6921-2017; Tost, Jorg/H-7129-2019</t>
  </si>
  <si>
    <t>Perros, Frederic/0000-0001-7730-2427; Montani, David/0000-0002-9358-6922; Tost, Jorg/0000-0002-2683-0817</t>
  </si>
  <si>
    <t>WOS:000381010605075</t>
  </si>
  <si>
    <t>Bousquet, J; Schunemann, HJ; Fonseca, J; Samolinski, B; Bachert, C; Canonica, GW; Casale, T; Cruz, AA; Demoly, P; Hellings, P; Valiulis, A; Wickman, M; Zuberbier, T; Bosnic-Anticevitch, S; Bedbrook, A; Bergmann, KC; Caimmi, D; Dahl, R; Fokkens, WJ; Grisle, I; Lodrup Carlsen, K; Mullol, J; Muraro, A; Palkonen, S; Papadopoulos, N; Passalacqua, G; Ryan, D; Valovirta, E; Yorgancioglu, A; Aberer, W; Agache, I; Adachi, M; Akdis, CA; Akdis, M; Annesi-Maesano, I; Ansotegui, IJ; Anto, JM; Arnavielhe, S; Arshad, H; Baiardini, I; Baigenzhin, AK; Barbara, C; Bateman, ED; Beghé, B; Bel, EH; Ben Kheder, A; Bennoor, KS; Benson, M; Bewick, M; Bieber, T; Bindslev-Jensen, C; Bjermer, L; Blain, H; Boner, AL; Boulet, LP; Bonini, M; Bonini, S; Bosse, I; Bourret, R; Bousquet, PJ; Braido, F; Briggs, AH; Brightling, CE; Brozek, J; Buhl, R; Burney, PG; Bush, A; Caballero-Fonseca, F; Calderon, MA; Camargos, PAM; Camuzat, T; Carlsen, KH; Carr, W; Sarabia, AMC; Chavannes, NH; Chatzi, L; Chen, YZ; Chiron, R; Chkhartishvili, E; Chuchalin, AG; Ciprandi, G; Cirule, I; de Sousa, JC; Cox, L; Crooks, G; Costa, DJ; Custovic, A; Dahlen, SE; Darsow, U; De Carlo, G; De Blay, F; Dedeu, T; Deleanu, D; Denburg, JA; Devillier, P; Didier, A; Dinh-Xuan, AT; Dokic, D; Douagui, H; Dray, G; Dubakiene, R; Durham, SR; Dykewicz, MS; El-Gamal, Y; Emuzyte, R; Wagner, AF; Fletcher, M; Fiocchi, A; Forastiere, F; Gamkrelidze, A; Gemicioglu, B; Gereda, JE; Diaz, SG; Gotua, M; Grouse, L; Guzmán, MA; Haahtela, T; Hellquist-Dahl, B; Heinrich, J; Horak, F; Hourihane, JOB; Howarth, P; Humbert, M; Hyland, ME; Ivancevich, JC; Jares, EJ; Johnston, SL; Joos, G; Jonquet, O; Jung, KS; Just, J; Kaidashev, I; Kalayci, O; Kalyoncu, AF; Keil, T; Keith, PK; Khaltaev, N; Klimek, L; N'Goran, BK; Kolek, V; Koppelman, GH; Kowalski, ML; Kull, I; Kuna, P; Kvedariene, V; Lambrecht, B; Lau, S; Larenas-Linnemann, D; Laune, D; Le, LTT; Lieberman, P; Lipworth, B; Li, J; Louis, R; Magard, Y; Magnan, A; Mahboub, B; Majer, I; Makela, MJ; Manning, P; Keenoy, ED; Marshall, GD; Masjedi, MR; Maurer, M; Mavale-Manuel, S; Melén, E; Melo-Gomes, E; Meltzer, EO; Merk, H; Miculinic, N; Mihaltan, F; Milenkovic, B; Mohammad, Y; Molimard, M; Momas, I; Montilla-Santana, A; Morais-Almeida, M; Mösges, R; Namazova-Baranova, L; Naclerio, R; Neou, A; Neffen, H; Nekam, K; Niggemann, B; Nyembue, TD; O'Hehir, RE; Ohta, K; Okamoto, Y; Okubo, K; Ouedraogo, S; Paggiaro, P; Pali-Schöll, I; Palmer, S; Panzner, P; Papi, A; Park, HS; Pavord, I; Pawankar, R; Pfaar, O; Picard, R; Pigearias, B; Pin, I; Plavec, D; Pohl, W; Popov, TA; Portejoie, F; Postma, D; Potter, P; Price, D; Rabe, KF; Raciborski, F; Pontal, FR; Repka-Ramirez, S; Robalo-Cordeiro, C; Rolland, C; Rosado-Pinto, J; Reitamo, S; Rodenas, F; Roman Rodriguez, M; Romano, A; Rosario, N; Rosenwasser, L; Rottem, M; Sanchez-Borges, M; Scadding, GK; Serrano, E; Schmid-Grendelmeier, P; Sheikh, A; Simons, FER; Sisul, JC; Skrindo, I; Smit, HA; Solé, D; Sooronbaev, T; Spranger, O; Stelmach, R; Strandberg, T; Sunyer, J; Thijs, C; Todo-Bom, A; Triggiani, M; Valenta, R; Valero, AL; van Hage, M; Vandenplas, O; Vezzani, G; Vichyanond, P; Viegi, G; Wagenmann, M; Walker, S; Wang, DY; Wahn, U; Williams, DM; Wright, J; Yawn, BP; Yiallouros, PK; Yusuf, OM; Zar, HJ; Zernotti, ME; Zhang, L; Zhong, N; Zidarn, M; Mercier, J</t>
  </si>
  <si>
    <t>Bousquet, J.; Schunemann, H. J.; Fonseca, J.; Samolinski, B.; Bachert, C.; Canonica, G. W.; Casale, T.; Cruz, A. A.; Demoly, P.; Hellings, P.; Valiulis, A.; Wickman, M.; Zuberbier, T.; Bosnic-Anticevitch, S.; Bedbrook, A.; Bergmann, K. C.; Caimmi, D.; Dahl, R.; Fokkens, W. J.; Grisle, I.; Lodrup Carlsen, K.; Mullol, J.; Muraro, A.; Palkonen, S.; Papadopoulos, N.; Passalacqua, G.; Ryan, D.; Valovirta, E.; Yorgancioglu, A.; Aberer, W.; Agache, I.; Adachi, M.; Akdis, C. A.; Akdis, M.; Annesi-Maesano, I.; Ansotegui, I. J.; Anto, J. M.; Arnavielhe, S.; Arshad, H.; Baiardini, I.; Baigenzhin, A. K.; Barbara, C.; Bateman, E. D.; Beghe, B.; Bel, E. H.; Ben Kheder, A.; Bennoor, K. S.; Benson, M.; Bewick, M.; Bieber, T.; Bindslev-Jensen, C.; Bjermer, L.; Blain, H.; Boner, A. L.; Boulet, L. P.; Bonini, M.; Bonini, S.; Bosse, I.; Bourret, R.; Bousquet, P. J.; Braido, F.; Briggs, A. H.; Brightling, C. E.; Brozek, J.; Buhl, R.; Burney, P. G.; Bush, A.; Caballero-Fonseca, F.; Calderon, M. A.; Camargos, P. A. M.; Camuzat, T.; Carlsen, K. H.; Carr, W.; Sarabia, A. M. Cepeda; Chavannes, N. H.; Chatzi, L.; Chen, Y. Z.; Chiron, R.; Chkhartishvili, E.; Chuchalin, A. G.; Ciprandi, G.; Cirule, I.; Correia de Sousa, J.; Cox, L.; Crooks, G.; Costa, D. J.; Custovic, A.; Dahlen, S. E.; Darsow, U.; De Carlo, G.; De Blay, F.; Dedeu, T.; Deleanu, D.; Denburg, J. A.; Devillier, P.; Didier, A.; Dinh-Xuan, A. T.; Dokic, D.; Douagui, H.; Dray, G.; Dubakiene, R.; Durham, S. R.; Dykewicz, M. S.; El-Gamal, Y.; Emuzyte, R.; Wagner, A. Fink; Fletcher, M.; Fiocchi, A.; Forastiere, F.; Gamkrelidze, A.; Gemicioglu, B.; Gereda, J. E.; Gonzalez Diaz, S.; Gotua, M.; Grouse, L.; Guzman, M. A.; Haahtela, T.; Hellquist-Dahl, B.; Heinrich, J.; Horak, F.; Hourihane, J. O. B.; Howarth, P.; Humbert, M.; Hyland, M. E.; Ivancevich, J. C.; Jares, E. J.; Johnston, S. L.; Joos, G.; Jonquet, O.; Jung, K. S.; Just, J.; Kaidashev, I.; Kalayci, O.; Kalyoncu, A. F.; Keil, T.; Keith, P. K.; Khaltaev, N.; Klimek, L.; N'Goran, B. Koffi; Kolek, V.; Koppelman, G. H.; Kowalski, M. L.; Kull, I.; Kuna, P.; Kvedariene, V.; Lambrecht, B.; Lau, S.; Larenas-Linnemann, D.; Laune, D.; Le, L. T. T.; Lieberman, P.; Lipworth, B.; Li, J.; Louis, R.; Magard, Y.; Magnan, A.; Mahboub, B.; Majer, I.; Makela, M. J.; Manning, P.; De Manuel Keenoy, E.; Marshall, G. D.; Masjedi, M. R.; Maurer, M.; Mavale-Manuel, S.; Melen, E.; Melo-Gomes, E.; Meltzer, E. O.; Merk, H.; Miculinic, N.; Mihaltan, F.; Milenkovic, B.; Mohammad, Y.; Molimard, M.; Momas, I.; Montilla-Santana, A.; Morais-Almeida, M.; Moesges, R.; Namazova-Baranova, L.; Naclerio, R.; Neou, A.; Neffen, H.; Nekam, K.; Niggemann, B.; Nyembue, T. D.; O'Hehir, R. E.; Ohta, K.; Okamoto, Y.; Okubo, K.; Ouedraogo, S.; Paggiaro, P.; Pali-Schoell, I.; Palmer, S.; Panzner, P.; Papi, A.; Park, H. S.; Pavord, I.; Pawankar, R.; Pfaar, O.; Picard, R.; Pigearias, B.; Pin, I.; Plavec, D.; Pohl, W.; Popov, T. A.; Portejoie, F.; Postma, D.; Potter, P.; Price, D.; Rabe, K. F.; Raciborski, F.; Pontal, F. Radier; Repka-Ramirez, S.; Robalo-Cordeiro, C.; Rolland, C.; Rosado-Pinto, J.; Reitamo, S.; Rodenas, F.; Roman Rodriguez, M.; Romano, A.; Rosario, N.; Rosenwasser, L.; Rottem, M.; Sanchez-Borges, M.; Scadding, G. K.; Serrano, E.; Schmid-Grendelmeier, P.; Sheikh, A.; Simons, F. E. R.; Sisul, J. C.; Skrindo, I.; Smit, H. A.; Sole, D.; Sooronbaev, T.; Spranger, O.; Stelmach, R.; Strandberg, T.; Sunyer, J.; Thijs, C.; Todo-Bom, A.; Triggiani, M.; Valenta, R.; Valero, A. L.; van Hage, M.; Vandenplas, O.; Vezzani, G.; Vichyanond, P.; Viegi, G.; Wagenmann, M.; Walker, S.; Wang, D. Y.; Wahn, U.; Williams, D. M.; Wright, J.; Yawn, B. P.; Yiallouros, P. K.; Yusuf, O. M.; Zar, H. J.; Zernotti, M. E.; Zhang, L.; Zhong, N.; Zidarn, M.; Mercier, J.</t>
  </si>
  <si>
    <t>MACVIA-ARIA Sentinel NetworK for allergic rhinitis (MASK-rhinitis): the new generation guideline implementation</t>
  </si>
  <si>
    <t>allergic rhinitis; ARIA; asthma; Information and communications technology; MACVIA-LR</t>
  </si>
  <si>
    <t>QUALITY-OF-LIFE; VISUAL ANALOG SCALES; EUROPEAN INNOVATION PARTNERSHIP; CHRONIC RESPIRATORY-DISEASES; WORLD-HEALTH-ORGANIZATION; DECISION-SUPPORT-SYSTEMS; POLLEN COUNTS; ASTHMA TEST; CLIMATE-CHANGE; INTEGRATED CARE</t>
  </si>
  <si>
    <t>Several unmet needs have been identified in allergic rhinitis: identification of the time of onset of the pollen season, optimal control of rhinitis and comorbidities, patient stratification, multidisciplinary team for integrated care pathways, innovation in clinical trials and, above all, patient empowerment. MASK-rhinitis (MACVIA-ARIA Sentinel NetworK for allergic rhinitis) is a simple system centred around the patient which was devised to fill many of these gaps using Information and Communications Technology (ICT) tools and a clinical decision support system (CDSS) based on the most widely used guideline in allergic rhinitis and its asthma comorbidity (ARIA 2015 revision). It is one of the implementation systems of Action Plan B3 of the European Innovation Partnership on Active and Healthy Ageing (EIP on AHA). Three tools are used for the electronic monitoring of allergic diseases: a cell phone-based daily visual analogue scale (VAS) assessment of disease control, CARAT (Control of Allergic Rhinitis and Asthma Test) and e-Allergy screening (premedical system of early diagnosis of allergy and asthma based on online tools). These tools are combined with a clinical decision support system (CDSS) and are available in many languages. An e-CRF and an e-learning tool complete MASK. MASK is flexible and other tools can be added. It appears to be an advanced, global and integrated ICT answer for many unmet needs in allergic diseases which will improve policies and standards.</t>
  </si>
  <si>
    <t>[Bousquet, J.] Univ Hosp, Montpellier, France; [Bousquet, J.; Bedbrook, A.; Costa, D. J.; Portejoie, F.] European Innovat Partnership Act &amp; Hlth Ageing Re, MACVIA LR MAlad Chron VIeillissement Actif Langue, Montpellier, France; [Bousquet, J.] INSERM, VIMA Ageing &amp; Chron Dis Epidemiol &amp; Publ Hlth App, Paris, France; [Schunemann, H. J.; Brozek, J.] McMaster Univ, Dept Clin Epidemiol &amp; Biostat &amp; Med, Hamilton, ON, Canada; [Fonseca, J.] Univ Porto, Ctr Res Hlth Technol &amp; Informat Syst CINTESIS, P-4100 Porto, Portugal; [Samolinski, B.; Raciborski, F.] Med Univ Warsaw, Dept Prevent Environm Hazards &amp; Allergol, Warsaw, Poland; [Bachert, C.] Ghent Univ Hosp, ENT Dept, Upper Airways Res Lab, Ghent, Belgium; [Canonica, G. W.; Passalacqua, G.; Baiardini, I.; Braido, F.] Univ Genoa, DIMI, IRCCS AOU San Martino IST, Allergy &amp; Resp Dis Clin, Genoa, Italy; [Casale, T.] Univ S Florida, Div Allergy Immunol, Tampa, FL USA; [Cruz, A. A.] Univ Fed Bahia, ProAR Nucleo Excelencia Asma, BR-41170290 Salvador, BA, Brazil; [Demoly, P.; Caimmi, D.; Chiron, R.; Costa, D. J.] Montpellier Univ Hosp, Dept Resp Dis, Montpellier, France; [Demoly, P.; Annesi-Maesano, I.; Bousquet, P. J.] INSERM, EPAR U707, Paris, France; [Hellings, P.] Katholieke Univ Leuven, Dept Microbiol &amp; Immunol, Clin Immunol Lab, Leuven, Belgium; [Valiulis, A.] Vilnius Univ, Clin Childrens Dis, Vilnius, Lithuania; [Wickman, M.; Kull, I.] Sachs Childrens Hosp, Stockholm, Sweden; [Zuberbier, T.; Bergmann, K. C.; Neou, A.] Charite, Dept Dermatol &amp; Allergy, D-13353 Berlin, Germany; [Bosnic-Anticevitch, S.] Univ Sydney, Woolcock Inst Med Res, Glebe, NSW, Australia; [Bosnic-Anticevitch, S.] Sydney Local Hlth Dist, Glebe, NSW, Australia; [Dahl, R.; Bindslev-Jensen, C.] Odense Univ Hosp, Dept Dermatol, DK-5000 Odense, Denmark; [Dahl, R.; Bindslev-Jensen, C.] Odense Univ Hosp, Allergy Ctr, DK-5000 Odense, Denmark; [Fokkens, W. J.] Univ Amsterdam, Acad Med Ctr, Dept Otorhinolaryngol, NL-1105 AZ Amsterdam, Netherlands; [Grisle, I.] Latvian Assoc Allergists, Ctr TB &amp; Lung Dis Latvia, Riga, Latvia; [Lodrup Carlsen, K.; Skrindo, I.] Oslo Univ Hosp, Dept Paediat, Oslo, Norway; [Mullol, J.] IDIBAPS, Unitat Rinol Clin Olfacte, Serv ORL, Hosp Clin,Clin &amp; Expt Resp Immunoallergy, Barcelona, Catalonia, Spain; [Muraro, A.] Padua Gen Univ Hosp, Dept Women &amp; Child Hlth, Food Allergy Referral Ctr Veneto Reg, Padua, Italy; [Palkonen, S.; De Carlo, G.] EFA European Federat Allergy &amp; Airways Dis Patien, Brussels, Belgium; [Papadopoulos, N.] Univ Manchester, Royal Manchester Childrens Hosp, Inst Human Dev, Ctr Pediat &amp; Child Hlth, Manchester, Lancs, England; [Ryan, D.] Woodbrook Med Ctr, Loughborough, Leics, England; [Valovirta, E.] Univ Turku, Dept Lung Dis &amp; Clin Allergol, Turku, Finland; [Yorgancioglu, A.] Celal Bayar Univ, Dept Pulmonol, Manisa, Turkey; [Aberer, W.] Med Univ Graz, Dept Dermatol, Graz, Austria; [Agache, I.] Transylvania Univ Brasov, Brasov, Romania; [Adachi, M.] Int Univ Hlth &amp; Welfare, Sanno Hosp, Dept Clin Res Ctr, Tokyo, Japan; [Akdis, C. A.; Akdis, M.] Univ Zurich, Swiss Inst Allergy &amp; Asthma Res SIAF, Davos, Switzerland; [Ansotegui, I. J.] Hosp Quiron Bizkaia, Dept Allergy &amp; Immunol, Erandio, Spain; [Anto, J. M.; Sunyer, J.] Ctr Res Environm Epidemiol, Barcelona, Spain; [Anto, J. M.; Sunyer, J.] Hosp del Mar, Res Inst, Barcelona, Spain; [Anto, J. M.; Sunyer, J.] CIBER Epidemiol &amp; Salud Publ, Barcelona, Spain; [Anto, J. M.; Sunyer, J.] Univ Pompeu Fabra, Dept Expt &amp; Hlth Sci, Barcelona, Spain; [Arnavielhe, S.; Laune, D.] Digi Hlth, Montpellier, France; [Arshad, H.] David Hide Asthma &amp; Allergy Res Ctr, Isle Of Wight, England; [Baigenzhin, A. K.] EuroAsian Resp Soc, Astana City, Kazakhstan; [Barbara, C.; Melo-Gomes, E.] Fac Med Lisbon, Portuguese Natl Programme Resp Dis, Lisbon, Portugal; [Bateman, E. D.] Univ Cape Town, Dept Med, ZA-7925 Cape Town, South Africa; [Beghe, B.] Univ Modena &amp; Reggio Emilia, Dept Oncol Haematol &amp; Resp Dis, Sect Resp Dis, Modena, Italy; [Bel, E. H.] Univ Amsterdam, Acad Med Ctr, Dept Resp Med, NL-1105 AZ Amsterdam, Netherlands; [Ben Kheder, A.] Hop Abderrahman Mami, Serv Pneumol 4, Ariana, Tunisia; [Bennoor, K. S.] Natl Inst Dis Chest &amp; Hosp, Dept Resp Med, Dhaka, Bangladesh; [Benson, M.] Linkoping Univ, Fac Med, Ctr Individualized Med, Dept Pediat, Linkoping, Sweden; [Bieber, T.] Univ Bonn, Dept Dermatol &amp; Allergy, Bonn, Germany; [Bjermer, L.] Univ Lund Hosp, Dept Resp Med &amp; Allergol, S-22185 Lund, Sweden; [Blain, H.] Univ Montpellier, Montpellier Univ Hosp, Dept Geriatr, Montpellier, France; [Blain, H.] Univ Montpellier, Euromov, EA Movement Hlth 2991, Montpellier, France; [Boner, A. L.] Univ Verona Hosp, Dept Pediat, Verona, Italy; [Boulet, L. P.] Univ Laval, Quebec Heart &amp; Lung Inst, Quebec City, PQ, Canada; [Bonini, M.] Univ Roma La Sapienza, Dept Publ Hlth &amp; Infect Dis, I-00185 Rome, Italy; [Bonini, S.] Univ Naples 2, Naples, Italy; [Bonini, S.] Italian Natl Res Council, Inst Translat Med, Naples, Italy; [Bourret, R.] Montpellier Univ Hosp, Montpellier, France; [Briggs, A. H.] Univ Glasgow, Inst Hlth &amp; Wellbeing, Hlth Econ &amp; Hlth Technol Assessment, Glasgow, Lanark, Scotland; [Brightling, C. E.] Univ Hosp Leicester NHS Trust, Inst Lung Hlth, Resp Biomed Unit, Leicester, Leics, England; [Buhl, R.] Johannes Gutenberg Univ Mainz, Univ Med, Mainz, Germany; [Burney, P. G.] Univ London Imperial Coll Sci Technol &amp; Med, Natl Heart &amp; Lung Inst, London, England; [Bush, A.] Univ London Imperial Coll Sci Technol &amp; Med, London, England; [Bush, A.] Royal Brompton Hosp, London SW3 6LY, England; [Caballero-Fonseca, F.] Ctr Med Docente La Trinidad, Caracas, Venezuela; [Calderon, M. A.] Univ London Imperial Coll Sci Technol &amp; Med, Royal Brompton Hosp NHS, Natl Heart &amp; Lung Inst, London, England; [Camargos, P. A. M.] Univ Fed Minas Gerais, Sch Med, Dept Pediat, Belo Horizonte, MG, Brazil; [Carlsen, K. H.] Oslo Univ Hosp, Dept Paediat, Oslo, Norway; [Carlsen, K. H.] Univ Oslo, Oslo, Norway; [Carr, W.] Allergy &amp; Asthma Associates Southern Calif, Mission Viejo, CA USA; [Sarabia, A. M. Cepeda] Univ Simon Bolivar, Metropolitan Univ, Allergy &amp; Immunol Lab, Barranquilla, Colombia; [Chavannes, N. H.] Leiden Univ, Med Ctr, Dept Publ Hlth &amp; Primary Care, Leiden, Netherlands; [Chen, Y. Z.] Capital Inst Pediat, Asthma Clin &amp; Educ Ctr, Natl Cooperat Grp Paediat Res Asthma, Beijing, Peoples R China; [Chen, Y. Z.] Ctr Asthma Res &amp; Educ, Beijing, Peoples R China; [Chkhartishvili, E.] Grigol Robakidze Univ, David Tvildiani Med Univ, AIETI Med Sch, Chachava Clin, Tbilisi, Georgia; [Chuchalin, A. G.] Pulmonolory Res Inst FMBA, Moscow, Russia; [Ciprandi, G.] Azienda Osped Univ San Martino, IRCCS, Dept Med, Genoa, Italy; [Cirule, I.] Univ Children Hosp Latvia, Latvian Assoc Allergists, Riga, Latvia; [Correia de Sousa, J.] Univ Minho, Sch Hlth Sci, ICVS, Life &amp; Hlth Sci Res Inst, Braga, Portugal; [Cox, L.] Nova SE Univ, Dept Med, Davie, FL USA; [Crooks, G.] NHS Scotland, European Innovat Partnership Act &amp; Hlth Ageing, Reference Site, Glasgow, Lanark, Scotland; [Custovic, A.] Univ Manchester, Inst Inflammat &amp; Repair, Ctr Resp Med &amp; Allergy, Manchester, Lancs, England; [Custovic, A.] Univ S Manchester Hosp, Manchester M20 8LR, Lancs, England; [Dahlen, S. E.] Karolinska Inst, Inst Environm Med, Ctr Allergy Res, S-10401 Stockholm, Sweden; [Darsow, U.] Tech Univ Munich, Dept Dermatol &amp; Allergy, D-80290 Munich, Germany; [De Blay, F.] Univ Hosp Strasbourg, Chest Dis Dept, Div Allergy, Strasbourg, France; [Deleanu, D.] European Reg &amp; Local Hlth Assoc, Brussels, Belgium; [Deleanu, D.] Iuliu Hatieganu Univ Med &amp; Pharm, Allergol &amp; Immunol Discipline, Cluj Napoca, Romania; [Denburg, J. A.] McMaster Univ, Dept Med, Div Clin Immunol &amp; Allergy, Hamilton, ON, Canada; [Devillier, P.] Suresnes Univ Versailles St Quentin, Hop Foch, Lab Pharmacol Resp UPRES EA220, Versailles St Quentin, France; [Didier, A.] Rangueil Larrey Hosp, Dept Resp Dis, Toulouse, France; [Dinh-Xuan, A. T.] Univ Paris 05, Hop Cochin, AP HP, Serv Physiol, Paris, France; [Dokic, D.] Univ Skopje, Univ Clin Pulmol &amp; Allergy, Skopje, North Macedonia; [Douagui, H.] Ctr Hosp Univ Beni Messous, Serv Pneumo Allergol, Algiers, Algeria; [Dray, G.] Ecole Mines, Ales, France; [Dubakiene, R.] Vilnius State Univ, Fac Med, Vilnius, Lithuania; [Durham, S. R.] Univ London Imperial Coll Sci Technol &amp; Med, Natl Heart &amp; Lung Inst, Allergy &amp; Clin Immunol Sect, London, England; [Dykewicz, M. S.] St Louis Univ, Sch Med, Sect Allergy &amp; Immunol, St Louis, MI USA; [El-Gamal, Y.] Ain Shams Univ, Pediat Allergy &amp; Immunol Unit, Cairo, Egypt; [Emuzyte, R.] Vilnius State Univ, Fac Med, Clin Childrens Dis, Vilnius, Lithuania; [Wagner, A. Fink; Spranger, O.] Global Allergy &amp; Asthma Platform GAAPP, Vienna, Austria; [Fletcher, M.] Educ Hlth, Warwick, England; [Fiocchi, A.] Bambino Gesu Childrens Res Hosp Holy See, Dept Allergy, Rome, Italy; [Forastiere, F.] Reg Hlth Serv Lazio Reg, Dept Epidemiol, Rome, Italy; [Gamkrelidze, A.] Natl Ctr Dis Control &amp; Publ Hlth Georgia, Tbilisi, Georgia; [Gemicioglu, B.] Turkish Thorac Soc, Asthma Allergy Working Grp, Kocaeli, Turkey; [Gereda, J. E.] Clin Ricardo Palma, Allergy &amp; Immunol Div, Lima, Peru; [Gonzalez Diaz, S.] Sociedad Latinoamer Allergia Asma &amp; Immunol, Mexico City, DF, Mexico; [Gotua, M.] Georgian Assoc Allergol &amp; Clin Immunol, Ctr Allergy &amp; Immunol, Tbilisi, Georgia; [Grouse, L.] Univ Washington, Sch Med, Fac Dept Neurol, Seattle, WA USA; [Guzman, M. A.] Univ Chile, Clin Hosp, Immunol &amp; Allergy Div, Santiago, Chile; [Haahtela, T.; Makela, M. J.; Reitamo, S.] Helsinki Univ Hosp, Skin &amp; Allergy Hosp, Helsinki, Finland; [Hellquist-Dahl, B.] Odense Univ Hosp, Dept Resp Dis, DK-5000 Odense, Denmark; [Heinrich, J.] Helmholtz Zentrum Munchen, German Res Ctr Environm Hlth, Inst Epidemiol 1, Neuherberg, Germany; [Horak, F.] Vienna Challenge Chamber, Vienna, Austria; [Hourihane, J. O. B.] Natl Univ Ireland Univ Coll Cork, Dept Paediat &amp; Child Hlth, Cork, Ireland; [Howarth, P.] Univ Southampton, Southampton Univ Hosp, Fac Med, Southampton, Hants, England; [Humbert, M.] Univ Paris 11, Le Kremlin Bicetre, France; Univ Plymouth, Sch Psychol, Plymouth PL4 8AA, Devon, England; [Ivancevich, J. C.] Clin Santa Isabel, Serv Alergia &amp; Immunol, Buenos Aires, DF, Argentina; [Jares, E. J.] Libra Fdn, Buenos Aires, DF, Argentina; [Johnston, S. L.] Univ London Imperial Coll Sci Technol &amp; Med, Natl Heart &amp; Lung Inst, Airway Dis Infect Sect, London, England; [Joos, G.] Ghent Univ Hosp, Dept Resp Med, Ghent, Belgium; [Jonquet, O.] Montpellier Univ Hosp, Med Commiss, Montpellier, France; [Jung, K. S.] Hallym Univ, Sacred Heart Hosp, Coll Med, Chuncheon Si, Gyeonggi Do, South Korea; [Just, J.] Hop Enfants Armand Trousseau, Ctr Asthme &amp; Allergies, Dept Allergol, Paris, France; [Kaidashev, I.] Ukrainian Med Stomatol Acad, Poltava, Ukraine; [Kalayci, O.] Hacettepe Univ, Sch Med, Pediat Allergy &amp; Asthma Unit, Ankara, Turkey; [Kalyoncu, A. F.] Hacettepe Univ, Sch Med, Dept Chest Dis, Immunol &amp; Allergy Div, Ankara, Turkey; [Keil, T.] Charite, Inst Social Med Epidemiol &amp; Hlth Econ, D-13353 Berlin, Germany; [Keith, P. K.] McMaster Univ, Dept Med, Hlth Sci Ctr 3V47, Hamilton, ON, Canada; [Khaltaev, N.] GARD, Geneva, Switzerland; [Klimek, L.] Ctr Rhinol &amp; Allergol, Wiesbaden, Germany; [N'Goran, B. Koffi; Pigearias, B.] Soc Pneumol Langue Francaise, Paris, France; [N'Goran, B. Koffi; Pigearias, B.] Espace Francophone Pneumol, Paris, France; [Kolek, V.] Univ Hosp Olomouc, Fac Med &amp; Dent, Dept Resp Med, Olomouc, Czech Republic; [Koppelman, G. H.] Univ Groningen, Univ Med Ctr Groningen, Beatrix Childrens Hosp, GRIAC Res Inst,Dept Pediat Pulmonol &amp; Pediat Alle, Groningen, Netherlands; [Kowalski, M. L.] Med Univ Lodz, Dept Immunol Rheumatol &amp; Allergy, Lodz, Poland; [Kuna, P.] Med Univ Lodz, Barlicki Univ Hosp, KUNA, Div Internal Med Asthma &amp; Allergy, Lodz, Poland; [Kvedariene, V.] Vilnius State Univ, Pulmonol &amp; Allergol Ctr, Vilnius, Lithuania; [Lambrecht, B.] Univ Ghent, VIB Inflammat Res Ctr, B-9000 Ghent, Belgium; [Lau, S.] Charite, Dept Pediat Pneumol &amp; Immunol, D-13353 Berlin, Germany; [Larenas-Linnemann, D.] Hosp Med Sur, Clin Alergia Asma &amp; Pediat, Mexico City, DF, Mexico; [Le, L. T. T.] Univ Med &amp; Pharm, Hochiminh City, Vietnam; [Lieberman, P.] Univ Tennessee, Coll Med, Dept Internal Med, Germantown, TN USA; [Lieberman, P.] Univ Tennessee, Coll Med, Dept Pediat, Div Allergy, Germantown, TN USA; [Lieberman, P.] Univ Tennessee, Coll Med, Dept Pediat, Div Immunol, Germantown, TN USA; [Lipworth, B.] Univ Dundee, Ninewells Hosp, Med Res Inst, Scottish Ctr Resp Res Cardiovasc &amp; Diabet Med, Dundee, Scotland; [Li, J.; Zhong, N.] Guangzhou Med Univ, Affiliated Hosp 1, Guangzhou Inst Resp Dis, State Key Lab Resp Dis, Guangzhou, Guangdong, Peoples R China; [Louis, R.] CHU Sart Tilman, Dept Pulm Med, B-4000 Liege, Belgium; [Magard, Y.] Hop St Joseph, Serv Pneumoallergol, F-75674 Paris, France; [Magnan, A.] Univ Nantes, Inst Thorax, UMR INSERM, Serv Pneumol,UMR1087,CNR 6291, Nantes, France; [Mahboub, B.] Rashid Hosp, Dept Pulm Med, Dubai, U Arab Emirates; Univ Hosp, Dept Resp Med, Bratislava, Slovakia; Bon Secours Hosp, Dept Med RCSI, Dublin, Ireland; [De Manuel Keenoy, E.] Kronikgune, Baracaldo, Basque Region, Spain; [Marshall, G. D.] Univ Mississippi, Med Ctr, Lab Behav Immunol Res, Div Clin Immunol, Jackson, MS 39216 USA; [Masjedi, M. R.] Shahid Beheshti Univ Med Sci, Resp Dis Res, Tehran, Iran; [Maurer, M.] Charite, Allergie Ctr Charite, D-13353 Berlin, Germany; [Maurer, M.] Charite, Dept Dermatol &amp; Allergy, D-13353 Berlin, Germany; [Mavale-Manuel, S.] Maputo Cent Hosp, Dept Paediat, Maputo, Mozambique; [Melen, E.] Karolinska Inst, Inst Environm Med, S-10401 Stockholm, Sweden; [Meltzer, E. O.] Allergy &amp; Asthma Med Grp &amp; Res Ctr, San Diego, CA USA; [Merk, H.] Rhein Westfal TH Aachen, Univ Klinikum, Hautklin, Klin Dermatol &amp; Allergol, D-52062 Aachen, Germany; [Miculinic, N.] Croatian Pulm Soc, Zagreb, Croatia; [Mihaltan, F.] Natl Inst Pneumol M Nasta, Bucharest, Romania; [Milenkovic, B.] Univ Belgrade, Fac Med, Belgrade, Serbia; [Mohammad, Y.] Tishreen Univ, Sch Med, Natl Ctr Res Chron Resp Dis, Latakia, Syria; [Molimard, M.] Univ Bordeaux, CHU Bordeaux, INSERM U657, Dept Pharmacol, Bordeaux, France; [Momas, I.] Paris Descartes Univ, Dept Publ Hlth &amp; Biostat, Paris, France; [Momas, I.] Paris Municipal Dept Social Act Childhood &amp; Hlth, Paris, France; [Montilla-Santana, A.] Aura Andalucia, Jaen, Spain; [Morais-Almeida, M.] Hosp CUF Descobertas, Allergy &amp; Clin Immunol Dept, Lisbon, Portugal; [Moesges, R.] Univ Cologne, Fac Med, Inst Med Stat Informat &amp; Epidemiol, D-50931 Cologne, Germany; [Namazova-Baranova, L.] Russian Acad Med Sci, Sci Ctr Childrens Hlth, Moscow, Russia; [Naclerio, R.] Univ Chicago, Med Ctr, Sect Otolaryngol Head &amp; Neck Surg, Chicago, IL 60637 USA; [Naclerio, R.] Univ Chicago, Pritzker Sch Med, Chicago, IL 60637 USA; [Neffen, H.] Hosp Ninos Orlando Alassia, Santa Fe, Santa Fe, Argentina; [Nekam, K.] Hosp Hospitaller Bros Buda, Budapest, Hungary; [Niggemann, B.] Charite, Pediat Pneumol &amp; Immunol, D-13353 Berlin, Germany; [Nyembue, T. D.] Univ Hosp Kinshasa, ENT Dept, Kinshasa, DEM REP CONGO; [O'Hehir, R. E.] Monash Univ, Alfred Hosp &amp; Cent Clin Sch, Dept Allergy Immunol &amp; Resp Med, Melbourne, Vic 3004, Australia; [Ohta, K.] Tokyo Natl Hosp, Natl Hosp Org, Tokyo, Japan; [Okamoto, Y.] Chiba Univ Hosp, Dept Otorhinolaryngol, Chiba, Japan; [Okubo, K.] Nippon Med Sch, Depatment Otolaryngol, Tokyo 113, Japan; [Ouedraogo, S.] Ctr Hosp Univ Pediat Charles Gaulle, Ouagadougou, Burkina Faso; [Plavec, D.] Univ Hosp Pisa, Cardiothorac &amp; Vasc Dept, Pisa, Italy; [Pali-Schoell, I.] Univ Vienna, Messerli Res Inst, Dept Comparat Med, Vienna, Austria; [Pali-Schoell, I.] Univ Vet Med Vienna, Med Univ, Vienna, Austria; [Panzner, P.] Charles Univ Prague, Fac Med, Dept Immunol &amp; Allergol, Plzen, Czech Republic; [Panzner, P.] Charles Univ Prague, Fac Hosp Pilsen, Plzen, Czech Republic; [Papi, A.] Univ Ferrara, Dept Med Sci, Resp Med, I-44100 Ferrara, Italy; [Park, H. S.] Ajou Univ, Sch Med, Dept Allergy &amp; Clin Immunol, Suwon 441749, South Korea; [Pavord, I.] Univ Oxford, Nuffield Dept Med, Oxford, England; [Pawankar, R.] Nippon Med Sch, Dept Pediat, Tokyo 113, Japan; [Pfaar, O.] Ctr Rhinol &amp; Allergol, Wiesbaden, Germany; [Picard, R.] Conseil Gen Econ, Minist Econ Ind &amp; Numer, Paris, France; [Pin, I.] CHU Grenoble, Dept Pediat, F-38043 Grenoble 9, France; [Plavec, D.] Univ JJ Strossmayer, Childrens Hosp Srebrnjak, Zagreb Sch Med, Osijek, Croatia; [Pohl, W.] Hietzing Hosp, Karl Landsteiner Inst Clin &amp; Expt Pneumol, Vienna, Austria; [Popov, T. A.] Med Univ Sofia, Clin Allergy &amp; Asthma, Sofia, Bulgaria; [Postma, D.] Univ Groningen, Univ Med Ctr Groningen, GRIAC Res Inst, Dept Pulm Med &amp; TB, Groningen, Netherlands; [Potter, P.] Univ Cape Town, Lung Inst, Allergy Diagnost &amp; Clin Res Unit, ZA-7925 Cape Town, South Africa; [Price, D.] Univ Aberdeen, Acad Ctr Primary Care, Aberdeen, Scotland; [Rabe, K. F.] LungenClin Grosshansdorf, Airway Res Ctr North, Grosshansdorf, Germany; [Pontal, F. Radier] Maison Profess Liberales, Conseil Dept Ordre Pharmaciens, Montpellier, France; [Repka-Ramirez, S.] SLAAI, Mexico City, DF, Mexico; [Robalo-Cordeiro, C.] Hosp Univ Coimbra, Allergy &amp; Clin Immunol Dept, Coimbra, Portugal; [Rolland, C.] Assoc Asthme &amp; Allergie, Paris, France; [Roman Rodriguez, M.] Inst Invest Sanitaria Palma IdisPa, Primary Care Resp Res Unit, Palma de Mallorca, Spain; [Romano, A.] Complesso Integrato Columbus, Allergy Unit, Rome, Italy; [Rosario, N.] Univ Fed Parana, Hosp Clin, BR-80060000 Curitiba, Parana, Brazil; [Rosenwasser, L.] Univ Misouri, Kansas City Sch Med, Childrens Mercy Hosp &amp; Clin &amp; Pediat &amp; Med, Dept Allergy Asthma &amp; Immunol, Kansas City, MO USA; [Rottem, M.] Emek Med Ctr, Div Allergy Asthma &amp; Clin Immunol, Afula, Israel; [Sanchez-Borges, M.] Ctr Meddocente La, Allergy &amp; Clin Immunol Dept, Trinidad, Venezuela; [Scadding, G. K.] UCL, Royal Natl TNE Hosp, London, England; [Serrano, E.] CHU Rangueil Larrey, Otolaryngol &amp; Head &amp; Neck Surg, Toulouse, France; [Schmid-Grendelmeier, P.] Univ Zurich Hosp, Dept Dermatol, Allergy Unit, CH-8091 Zurich, Switzerland; [Sheikh, A.] Univ Edinburgh, Sch Med, Ctr Populat Hlth Sci, Allergy &amp; Resp Res Grp, Edinburgh, Midlothian, Scotland; [Simons, F. E. R.] Univ Manitoba, Fac Med, Dept Immunol, Dept Pediat &amp; Child Hlth, Winnipeg, MB R3E 0W3, Canada; [Sisul, J. C.] Soc Paraguaya Alergia Asma &amp; Inmunol, Paraguari, Paraguay; [Smit, H. A.] Univ Utrecht, Univ Med Ctr Utrecht, Julius Ctr Hlth Sci &amp; Primary Care, Utrecht, Netherlands; [Sole, D.] Univ Fed Sao Paulo, Dept Pediat, Div Allergy Clin Immunol &amp; Rheumatol, Sao Paulo, Brazil; [Sooronbaev, T.] Euroasian Resp Soc, Kyrgyzstan Natl Ctr Cardiol &amp; Internal Med, Bishkek, Kyrgyzstan; [Stelmach, R.] Univ Sao Paulo, Fac Med, Hosp Clin, Heart Inst InCor,Pulm Div, Sao Paulo, Brazil; [Strandberg, T.] European Union Geriatr Med Soc, Vienna, Austria; [Thijs, C.] Maastricht Univ, CAPHRI Sch Publ Hlth &amp; Primary Care, Dept Epidemiol, Maastricht, Netherlands; [Todo-Bom, A.] Univ Coimbra, Fac Med, Ctr Pneumol, Coimbra, Portugal; [Triggiani, M.] Univ Salerno, Div Allergy &amp; Clin Immunol, I-84100 Salerno, Italy; [Valenta, R.] Med Univ Vienna, Ctr Pathophysiol Infectiol &amp; Immunol, Ctr Pathophysiol, Dept Pathophysiol &amp; Allergy Res,Div Immunopathol, Vienna, Austria; [Valero, A. L.] IDIBAPS, Hosp Clin, Pneumol &amp; Allergy Dept, Clin &amp; Expt Resp Immunoallergy, Barcelona, Spain; [van Hage, M.] Karolinska Inst, Dept Med Solna, Clin Immunol &amp; Allergy Unit, Stockholm, Sweden; [Vandenplas, O.] Catholic Univ Louvain, Ctr Hosp Univ Dinant Godinne, Dept Chest Med, Yvoir, Belgium; [Vezzani, G.] Res Hosp, Arcispedale S Maria Nuova IRCCS, Dept Cardiol Thorac &amp; Vasc Med, Pulm Unit, Reggio Emilia, Italy; [Vichyanond, P.] Mahidol Univ, Siriraj Hosp, Fac Med, Dept Pediat,Div Allergy &amp; Immunol, Bangkok 10700, Thailand; [Viegi, G.] CNR, Inst Clin Physiol, Pulm Environm Epidemiol Unit, I-56100 Pisa, Italy; [Wagenmann, M.] Univ Klinikum Dusseldorf, HNO Klin, Dept Otorhinolaryngol, Dusseldorf, Germany; [Walker, S.] Asthma UK, London, England; [Wang, D. Y.] Natl Univ Singapore, Yong Loo Lin Sch Med, Dept Otolaryngol, Singapore 117548, Singapore; [Williams, D. M.] Univ N Carolina, Eshelman Sch Pharm, Chapel Hill, NC USA; [Wright, J.] Bradford Royal Infirm, Bradford Inst Hlth Res, Bradford, UJ, England; [Yawn, B. P.] Olmsted Med Ctr, Dept Res, Rochester, MN USA; [Yiallouros, P. K.] Cyprus Univ Technol, Harvard Sch Publ Hlth, Cyprus Int Inst Environm &amp; Publ Hlth, Limassol, Cyprus; [Yusuf, O. M.] Allergy &amp; Asthma Inst, Islamabad, Pakistan; [Zar, H. J.] Univ Cape Town, Red Cross Childrens Hosp, Dept Paediat &amp; Child Hlth, MRC Unit Child &amp; Adolescent Hlth, ZA-7925 Cape Town, South Africa; [Zernotti, M. E.] Univ Catolica Cordoba, Cordoba, Argentina; [Zhang, L.] Capital Med Univ, Beijing Tongren Hosp, Dept Otolaryngol Head &amp; Neck Surg, Beijing, Peoples R China; [Zidarn, M.] Univ Clin Resp &amp; Allerg Dis, Golnik, Slovenia; [Mercier, J.] Univ Montpellier, F-34059 Montpellier, France; [Bousquet, J.] Univ Versailles St Quentin En Yvelines UVSQ, UMR S 1168, Paris, France; [Fonseca, J.] Univ Porto, Inst CUF Porto, Allergy Unit, P-4100 Porto, Portugal; [Fonseca, J.] Univ Porto, Hosp CUF Porto, P-4100 Porto, Portugal; [Fonseca, J.] Univ Porto, Fac Med, CIDES, Hlth Informat &amp; Decis Sci Dept, P-4100 Porto, Portugal; [Fonseca, J.] Univ Porto, Fac Med, P-4100 Porto, Portugal; [Cruz, A. A.] GARD Execut Comm, Salvador, BA, Brazil; [Demoly, P.; Annesi-Maesano, I.; Bousquet, P. J.] UPMC, EPAR, UMR S, Paris, France; [Wickman, M.; Kull, I.] Karolinska Inst, Inst Environm Med, S-10401 Stockholm, Sweden; [Lodrup Carlsen, K.; Skrindo, I.] Univ Oslo, Fac Med, Inst Clin Med, Oslo, Norway; [Papadopoulos, N.] Univ Athens, Athens Gen Childrens Hosp P&amp;A Kyriakou, Dept Allergy, Pediat Clin 2, Athens, Greece; [Ryan, D.] Univ Edinburgh, Allergy &amp; Resp Res Grp, Edinburgh, Midlothian, Scotland; [Brightling, C. E.] Univ Leicester, Dept Infect Immun &amp; Inflammat, Leicester, Leics, England; [Burney, P. G.] Univ London Imperial Coll Sci Technol &amp; Med, Wellcome Ctr Global Hlth, London, England; [Burney, P. G.] Univ London Imperial Coll Sci Technol &amp; Med, MRC PHE Ctr Environm &amp; Hlth, London, England; [Camuzat, T.] Reg Languedoc Roussillon, Roussillon, France; [Sarabia, A. M. Cepeda] SLaai, Barranquilla, Colombia; [Chuchalin, A. G.] GARD Execut Comm, Moscow, Russia; [Darsow, U.] Tech Univ Munich, Helmholtz Ctr Munich, ZAUM Ctr Allergy &amp; Environm, D-80290 Munich, Germany; [Humbert, M.] Hop Bicetre, INSERM, UMR S999, Serv Pneumol, F-94270 Le Kremlin Bicetre, France; [Johnston, S. L.] MRC, London, England; [Johnston, S. L.] Asthma UK Ctr Allerg Mech Asthma, London, England; [Just, J.] Univ Paris 06, Sorbonne Univ, Inst Pierre Louis Epidemiol &amp; Sante Publ, Equipe EPAR,UMR S 1136, Paris, France; [Keil, T.] Univ Wurzburg, Inst Clin Epidemiol &amp; Biometry, D-97070 Wurzburg, Germany; [Milenkovic, B.] Serbian Assoc Asthma &amp; COPD, Belgrade, Serbia; [O'Hehir, R. E.] Monash Univ, Dept Immunol, Melbourne, Vic 3004, Australia; [Pali-Schoell, I.] Univ Vet Med Vienna, Med Univ, Messerli Res Inst, Vienna, Austria; [Pali-Schoell, I.] Univ Vienna, Vienna, Austria; [Pfaar, O.] Heidelberg Univ, Univ Med Mannheim, Med Fac Mannheim, Dept Otorhinolaryngol Head &amp; Neck Surg, Mannheim, Germany; [Price, D.] Res Real Life, Cambridge, England; [Rabe, K. F.] Univ Kiel, Airway Res Ctr North, Dept Med, Kiel, Germany; [Sanchez-Borges, M.] Clin El Avila, Caracas, Venezuela; [Vezzani, G.] Reg Agcy Hlth &amp; Social Care, Reggio Emilia, Italy; [Viegi, G.] CNR, Inst Biomed &amp; Mol Immunol A Monroy, Palermo, Italy; [Yiallouros, P. K.] Hosp Archbishop Makarios III, Dept Pediat, Nicosia, Cyprus; [Palmer, S.] Univ York, Ctr Hlth Econ, York YO10 5DD, N Yorkshire, England</t>
  </si>
  <si>
    <t>Universite de Montpellier; CHU de Montpellier; Institut National de la Sante et de la Recherche Medicale (Inserm); McMaster University; Universidade do Porto; Medical University of Warsaw; Ghent University; Ghent University Hospital; University of Genoa; IRCCS AOU San Martino IST; State University System of Florida; University of South Florida; Universidade Federal da Bahia; Universite de Montpellier; CHU de Montpellier; Institut National de la Sante et de la Recherche Medicale (Inserm); KU Leuven; Vilnius University; Berlin Institute of Health; Free University of Berlin; Humboldt University of Berlin; Charite Universitatsmedizin Berlin; University of Sydney; Woolcock Institute of Medical Research; Sydney Local Health District; University of Southern Denmark; Odense University Hospital; University of Southern Denmark; Odense University Hospital; University of Amsterdam; Academic Medical Center Amsterdam; University of Oslo; University of Barcelona; Hospital Clinic de Barcelona; IDIBAPS; University of Padua; Azienda Ospedaliera - Universita di Padova; University of Manchester; Royal Manchester Children's Hospital; University of Turku; Celal Bayar University; Medical University of Graz; Transylvania University of Brasov; International University of Health &amp; Welfare; University of Zurich; Swiss Institute of Allergy &amp; Asthma Research; Hospital del Mar Research Institute; Hospital del Mar; CIBER - Centro de Investigacion Biomedica en Red; CIBERESP; Pompeu Fabra University; Universidade de Lisboa; University of Cape Town; Universita di Modena e Reggio Emilia; University of Amsterdam; Academic Medical Center Amsterdam; Universite de Tunis-El-Manar; Hopital Abderrahmene Mami; Linkoping University; University of Bonn; Lund University; Skane University Hospital; Universite de Montpellier; CHU de Montpellier; Universite de Montpellier; University of Verona; Azienda Ospedaliera Universitaria Integrata Verona; Laval University; Quebec Heart &amp; Lung Institute; Sapienza University Rome; Universita della Campania Vanvitelli; Consiglio Nazionale delle Ricerche (CNR); Universite de Montpellier; CHU de Montpellier; University of Glasgow; University of Leicester; University Hospitals of Leicester NHS Trust; Johannes Gutenberg University of Mainz; Imperial College London; Imperial College London; Royal Brompton Hospital; Royal Brompton Hospital; Imperial College London; Universidade Federal de Minas Gerais; University of Oslo; University of Oslo; Leiden University; Leiden University Medical Center (LUMC); Leiden University - Excl LUMC; Capital Institute of Pediatrics (CIP); University of Genoa; IRCCS AOU San Martino IST; Universidade do Minho; Nova Southeastern University; NHS National Services Scotland; University of Manchester; Wythenshawe Hospital NHS Foundation Trust; Wythenshawe Hospital; Karolinska Institutet; Technical University of Munich; CHU Strasbourg; Iuliu Hatieganu University of Medicine &amp; Pharmacy; McMaster University; Hospital Foch; Universite Paris Saclay; CHU de Toulouse; Universite Paris Cite; Assistance Publique Hopitaux Paris (APHP); Hopital Universitaire Cochin - APHP; Saints Cyril &amp; Methodius University of Skopje; IMT - Institut Mines-Telecom; IMT Mines Ales; Vilnius University; Imperial College London; Saint Louis University; Egyptian Knowledge Bank (EKB); Ain Shams University; Vilnius University; National Center for Disease Control &amp; Public Health - Georgia; University of Washington; University of Washington Seattle; Universidad de Chile; University of Helsinki; Helsinki University Central Hospital; University of Southern Denmark; Odense University Hospital; Helmholtz Association; Helmholtz-Center Munich - German Research Center for Environmental Health; University College Cork; University of Southampton; Universite Paris Saclay; University of Plymouth; Imperial College London; Ghent University; Ghent University Hospital; Universite de Montpellier; CHU de Montpellier; Hallym University; Assistance Publique Hopitaux Paris (APHP); Sorbonne Universite; Hopital Universitaire Armand-Trousseau - APHP; Poltava State Medical University; Hacettepe University; Hacettepe University; Berlin Institute of Health; Free University of Berlin; Humboldt University of Berlin; Charite Universitatsmedizin Berlin; McMaster University; University Hospital Olomouc; University of Groningen; Medical University Lodz; Medical University Lodz; Vilnius University; Flanders Institute for Biotechnology (VIB); Ghent University; Berlin Institute of Health; Free University of Berlin; Humboldt University of Berlin; Charite Universitatsmedizin Berlin; Tecnologico de Monterrey; Hochiminh City University of Medicine &amp; Pharmacy; University of Tennessee System; University of Tennessee Health Science Center; University of Tennessee System; University of Tennessee Health Science Center; University of Tennessee System; University of Tennessee Health Science Center; University of Dundee; State Key Laboratory of Respiratory Disease; Guangzhou Medical University; University of Liege; Universite Paris Cite; Hopital Paris Saint-Joseph; Institut National de la Sante et de la Recherche Medicale (Inserm); Nantes Universite; CHU de Nantes; Slovak Medical University Bratislava; Royal College of Surgeons - Ireland; University of Mississippi; University of Mississippi Medical Center; Shahid Beheshti University Medical Sciences; Berlin Institute of Health; Free University of Berlin; Humboldt University of Berlin; Charite Universitatsmedizin Berlin; Berlin Institute of Health; Free University of Berlin; Humboldt University of Berlin; Charite Universitatsmedizin Berlin; Karolinska Institutet; Allergy &amp; Asthma Medical Group &amp; Research Center; RWTH Aachen University; RWTH Aachen University Hospital; Marius Nasta Pneumophtisiology Institute; University of Belgrade; Tishreen University; CHU Bordeaux; Universite de Bordeaux; Institut National de la Sante et de la Recherche Medicale (Inserm); Universite Paris Cite; University of Cologne; Russian Academy of Medical Sciences; University of Chicago; University of Chicago Medical Center; University of Chicago; Berlin Institute of Health; Free University of Berlin; Humboldt University of Berlin; Charite Universitatsmedizin Berlin; Monash University; Chiba University; Nippon Medical School; University of Pisa; Azienda Ospedaliero Universitaria Pisana; University of Vienna; University of Veterinary Medicine Vienna; Charles University Prague; Charles University Prague; University of Ferrara; Ajou University; University of Oxford; Nippon Medical School; Communaute Universite Grenoble Alpes; Universite Grenoble Alpes (UGA); CHU Grenoble Alpes; University of JJ Strossmayer Osijek; Hietzing Hospital; Medical University Sofia; University of Groningen; University of Cape Town; University of Aberdeen; Grosshansdorf Hospital; Universidade de Coimbra; Centro Hospitalar e Universitario de Coimbra (CHUC); Atencio Primaria de Mallorca; Institut Investigacio Sanitaria Illes Balears (IdISBa); Universidade Federal do Parana; Emek Medical Center; University of London; University College London; CHU de Toulouse; University of Zurich; University Zurich Hospital; University of Edinburgh; University of Manitoba; Utrecht University; Utrecht University Medical Center; Universidade Federal de Sao Paulo (UNIFESP); Universidade de Sao Paulo; Maastricht University; Universidade de Coimbra; University of Salerno; Medical University of Vienna; University of Barcelona; Hospital Clinic de Barcelona; IDIBAPS; Karolinska Institutet; Universite Catholique Louvain; IRCCS Arcispedale S. Maria Nuova; Mahidol University; Consiglio Nazionale delle Ricerche (CNR); Istituto di Fisiologia Clinica (IFC-CNR); Heinrich Heine University Dusseldorf; Heinrich Heine University Dusseldorf Hospital; National University of Singapore; University of North Carolina; University of North Carolina Chapel Hill; Bradford Royal Infirmary; Olmsted Medical Center; Cyprus International Institute for Environmental &amp; Public Health; Cyprus University of Technology; University of Cape Town; Catholic University of Cordoba; Capital Medical University; Universite de Montpellier; Universite Paris Saclay; Universidade do Porto; Universidade do Porto; Universidade do Porto; Universidade do Porto; Sorbonne Universite; Karolinska Institutet; University of Oslo; National &amp; Kapodistrian University of Athens; University of Edinburgh; University of Leicester; Imperial College London; Imperial College London; Helmholtz Association; Helmholtz-Center Munich - German Research Center for Environmental Health; Technical University of Munich; Institut National de la Sante et de la Recherche Medicale (Inserm); Universite Paris Saclay; Assistance Publique Hopitaux Paris (APHP); Hopital Universitaire Bicetre - APHP; Hopital Universitaire Antoine-Beclere - APHP; University of London; King's College London; Institut National de la Sante et de la Recherche Medicale (Inserm); Sorbonne Universite; University of Wurzburg; Monash University; University of Veterinary Medicine Vienna; University of Vienna; Ruprecht Karls University Heidelberg; University of Kiel; Consiglio Nazionale delle Ricerche (CNR); Istituto di Biomedicina e di Immunologia Molecolare Alberto Monroy (IBIM-CNR); University of York - UK</t>
  </si>
  <si>
    <t>Bousquet, J (corresponding author), CHRU Montpellier, F-34295 Montpellier 5, France.</t>
  </si>
  <si>
    <t>Makela, Mika/ADV-7407-2022; Akdis, Mubeccel/JCE-1576-2023; Blain, Hubert/AAZ-8017-2020; Thijs, Carel/H-8340-2019; Muñoz, Marta/AAB-4615-2019; Agache, Ioana/AAP-7403-2020; LOUIS, Renaud/HMO-7349-2023; Jung, Ki-Suck/AAN-2473-2021; Bousquet, Philippe Jean/AAW-8608-2021; Triggiani, Massimo/K-8271-2016; Ivancevich, Juan/AAB-4937-2020; Mohammad, Yousser/LTD-1984-2024; Yorgancioglu, Arzu/AAC-7548-2020; Zuberbier, Torsten/AFM-9173-2022; Papi, alberto/AAC-1888-2019; stelmach, rafael/AAH-1638-2019; Bieber, Thomas/AFM-9906-2022; Yiallouros, Panayiotis/AAF-6026-2019; Cruz, Alvaro/I-1676-2012; Djokic, Dejan/V-9813-2017; Todo Bom, Ana/AHD-3630-2022; Price, David/H-2837-2019; molimard, mathieu/T-2762-2019; Sheikh, Aziz/D-2818-2009; Viegi, Giovanni/K-2746-2016; Akdis, Cezmi/AAV-4844-2020; Popov, Todor/Q-9928-2016; Annesi-Maesano, Isabella/D-9173-2016; MAGNAN, ANTOINE/GVT-4308-2022; Gemicioglu, Bilun/AAH-6927-2019; Kaidashev, Igor/L-2606-2019; Gotua, Maia/ABA-1648-2021; Ciprandi, Giorgio/G-7462-2012; Cox, Linda/AAP-1697-2021; Robalo-Cordeiro, Carlos/I-4864-2012; Brozek, Jan/ADG-1130-2022; Fiocchi, Alessandro/K-9235-2016; Briggs, Andrew/ABA-9009-2020; Ryan, Dermot/AAJ-2329-2021; Koppelman, Gerard/AAG-9187-2020; Bachert, Claus/J-8825-2012; Nadif, Rachel/R-2876-2016; Bosnic-Anticevich, Sinthia/AAD-2526-2021; Barbara, C./AAF-3397-2020; Rabe, Klaus/AAW-6296-2021; Valenta, Richard/K-4072-2017; Bateman, Eric/B-7042-2011; costa, david/AAA-1971-2020; Bousquet, Jean/O-4221-2019; Zar, Heather/GZL-5350-2022; Marshall, Gailen/R-7459-2019; Klimek, Ludger/AFJ-9880-2022; Plavec, Davor/HKM-7822-2023; Kvedariene, Violeta/D-7730-2011; Bergmann, Karl-Christian/AAA-4104-2019; Wagenman, Martin/B-2524-2012; Schmid, Peter/D-1717-2013; Muraro, Antonella/AFO-2033-2022; Bonniaud, Philippe/ITT-4660-2023; PIN, Isabelle/N-3020-2013; Park, Hae-Sim/S-7974-2019; Lambrecht, Bart/K-2484-2014; Johnston, Sebastian/I-2423-2012; Solé, Dirceu/JAO-0340-2023; Valiulis, Arunas/JEZ-2972-2023; Anto, J/H-2676-2014; Dray, Gerard/ACO-1836-2022; Fokkens, Wytske/ABF-2185-2020; Asarnoj, Anna/ABC-4112-2020; Bjermer, Leif/I-4899-2014; Deleanu, Diana/G-3963-2015; Casale, Thomas/K-4334-2013; Correia de Sousa, Jaime/H-5607-2015; Hellings, Peter/I-4068-2018; Kaidashev, Igor/H-3827-2016; Namazova-Baranova, Leyla/C-9485-2019; Fonseca, Joao/B-7562-2008; Heinrich, Joachim/N-1720-2013; Schunemann, Holger/LRB-7016-2024; van Hage, Marianne/A-9678-2017; Cucalin, Aleksandr/P-5678-2018; Chavannes, Niels Henrik/F-1148-2011; Panzner, Petr/I-7034-2017; Romano, Antonino/D-3102-2017; Maurer, Marcus/ABG-2174-2020; Demoly, Pascal/Y-9938-2019; Forastiere, Francesco/J-9067-2016; O'Hehir, Robyn/H-3627-2011; Christoff, George/ABF-9789-2021; Papadopoulos, Nikolaos/L-8670-2013; Masjedi, Mohammad Reza/J-9776-2017; Namazova-Baranova, Leyla/C-9485-2019; Rodenas Rigla, Francisco/L-5293-2014; Bindslev-Jensen, Carsten/H-1877-2011; Humbert, Marc/AAC-8459-2019; Dinh-Xuan, Anh Tuan/A-9691-2008; Sunyer Deu, Jordi/G-6909-2014; Yusuf, Osman/AAI-1142-2020; Wright, John/H-1624-2012; Custovic, Adnan/A-2435-2012; Gonzalez-Diaz, Sandra Nora/H-3271-2018; Caimmi, Davide/AAA-1277-2019; CANONICA, GIORGIO WALTER/ABF-2037-2020; Bonini, Sergio/T-6594-2019</t>
  </si>
  <si>
    <t>Hyland, Michael/0000-0003-3879-0469; Casale, Thomas/0000-0002-3149-7377; Zidarn, Mihaela/0000-0003-0515-5207; Dray, Gerard/0000-0003-1525-5682; Ryan, Dermot/0000-0002-4115-7376; momas, isabelle/0000-0003-4344-3787; Correia de Sousa, Jaime/0000-0001-6459-7908; mohammad, yousser/0009-0003-0403-2747; Howarth, Peter/0000-0003-0619-7927; Hellings, Peter/0000-0001-6898-688X; Thijs, Carel/0000-0001-6646-5458; Kaidashev, Igor/0000-0002-4708-0859; yorgancioglu, arzu/0000-0002-4032-0944; Makela, Mika/0000-0002-2933-3111; Namazova-Baranova, Leyla/0000-0002-2209-7531; Fonseca, Joao/0000-0002-0887-8796; Larenas Linnemann, Desiree/0000-0002-5713-5331; Briggs, Andrew/0000-0002-0777-1997; Gotua, Maia/0000-0003-2497-4128; Heinrich, Joachim/0000-0002-9620-1629; Yiallouros, Panayiotis/0000-0002-8339-9285; Koppelman, Gerard/0000-0001-8567-3252; Valenta, Rudolf/0000-0001-5944-3365; Zar, Heather/0000-0002-9046-759X; Schunemann, Holger/0000-0003-3211-8479; van Hage, Marianne/0000-0003-3091-1596; Kull, Inger/0000-0001-6096-3771; Cucalin, Aleksandr/0000-0002-6808-5528; Park, Hae-Sim/0000-0003-2614-0303; Chavannes, Niels Henrik/0000-0002-8607-9199; Akdis, Cezmi/0000-0001-8020-019X; Rottem, Menachem/0000-0002-9915-0273; Panzner, Petr/0000-0002-1291-450X; Barbara, Cristina/0000-0003-0915-4105; Bosnic-Anticevich, Sinthia/0000-0001-5077-8329; Romano, Antonino/0000-0001-9742-9898; Zhang, Luo/0000-0002-0910-9884; cox, linda/0000-0002-5258-6870; Rabe, Klaus F./0000-0002-7020-1401; Maurer, Marcus/0000-0002-4121-481X; BONINI, Matteo/0000-0002-3042-0765; Fiocchi, Alessandro/0000-0002-2549-0523; Demoly, Pascal/0000-0001-7827-7964; Forastiere, Francesco/0000-0002-9162-5684; Todo-Bom, Ana/0000-0002-1850-6689; O'Hehir, Robyn/0000-0002-3489-7595; Romano, Andrea/0000-0002-5900-6883; Kvedariene, Violeta/0000-0002-6119-211X; Johnston, Sebastian/0000-0003-3009-9200; brightling, chris/0000-0002-9345-4903; Popov, Todor/0000-0001-5052-5866; Kuna, Piotr/0000-0003-2401-0070; Christoff, George/0000-0003-4549-7711; Ivancevich, Juan Carlos/0000-0001-8713-6258; Papadopoulos, Nikolaos/0000-0002-4448-3468; Lau, Susanne/0000-0002-5189-4265; Burney, Peter/0000-0001-8635-5678; Masjedi, Mohammadreza/0000-0003-4964-3851; Zuberbier, Torsten/0000-0002-1466-8875; Masjedi, Mohammad Reza/0000-0002-6871-382X; Raciborski, Filip/0000-0003-0562-0260; Pavord, Ian/0000-0002-4288-5973; Namazova-Baranova, Leyla/0000-0002-7902-6427; Rodenas Rigla, Francisco/0000-0003-3264-4735; TRIGGIANI, MASSIMO/0000-0001-7318-2093; Bindslev-Jensen, Carsten/0000-0002-8940-038X; Sheikh, Aziz/0000-0001-7022-3056; Humbert, Marc/0000-0003-0703-2892; Bergmann, Karl-Christian/0000-0002-0306-9922; Dinh-Xuan, Anh Tuan/0000-0001-8651-5176; Sunyer Deu, Jordi/0000-0002-2602-4110; Baigenzhin, Abay/0000-0002-7703-5004; Yusuf, Osman/0000-0002-8067-1204; Ciprandi, Giorgio/0000-0001-7016-8421; Wright, John/0000-0001-9572-7293; Custovic, Adnan/0000-0001-5218-7071; strandberg, timo/0000-0001-6299-925X; Gonzalez-Diaz, Sandra Nora/0000-0002-3612-0042; Molimard, Mathieu/0000-0002-4346-8346; Fletcher, Monica/0000-0002-9700-3552; Caimmi, Davide/0000-0003-4481-6194; CANONICA, GIORGIO WALTER/0000-0001-8467-2557; El-Gamal, Yehia/0000-0002-8177-4520; stelmach, rafael/0000-0002-5132-1934; Bonini, Sergio/0000-0003-0079-3031</t>
  </si>
  <si>
    <t>Chiesi; GSK; Cipla; Sanofi/Regeneron; Novartis; Circassia; Merck; Stallergenes; Medical Research Council; JP Moulton Charitable Foundation; North West Lung Research Centre Charity; European Union; National Institute of Health Research; Thermo Fisher; AstraZeneca; ALK; GlaxoSmithKline; ALK Abello; Merck USA; Biomay; Leti; Biotech Tools; A. Menarini; Aerocrine; Merck Sharp Dohme; Teva; Boehringer Ingelheim; MSD; OrionPharma; Centocor; Sanofi Pasteur; Grunenthal; Synairgen; Stallergens; ALK Abello (Germany/Denmark); Allergopharma (Germany); Stallergenes (Germany/France); HAL Allergy (Germany/the Netherlands); Artu Biologicals (the Netherlands); Allergy Therapeutics/Bencard (UK/Germany); Hartington (Spain); Lofarma (Italy); Novartis/Leti (Germany/Spain); GlaxoSmithKline (UK/Germany); Essex Pharma (Germany); Cytos (Switzerland); Curalogic (Denmark); Roxall (Germany); Biomay (Austria); Thermo Fisher (Germany); Circassia (UK); Biotech Tools s.a. (Belgium); Meda Pharma GmbH (Germany); HAL Allergy (the Netherlands/Germany); Meda (Germany/Sweden); Dutch Lung Foundation; Ubbo Emmius Foundation; Stichting Astma Bestrijding; Adamed; Allergopharma; Almirall; Celon Pharma; FAES; HAL; Meda; Pfizer; Polfarmex; Polpharma; Stallergen; Lekam; UCB; Sanofi; Carnot; Senosiain; Almirral; Jansen; Pearl; Roche; AZ; Astellas; Genentech; Uriach; Abbott Laboratories; ALK-Abello; Ohropax; Servier; Stada; Menarini; Allergy Therapeutics; Bayer; Johnson+ Johnson; Arthrocare; Bencard; BiotechTools; Lofarma; Ursapharm; Bitop; AIPreven; Optima; Torii Co. Ltd.; Shionogi Co. Ltd.; MSD Co. LtD; Tanabe-Mitsubishi; Ono; Taiho; Torii; Kyowa-Kirin; Guidotti-Malesci; Mundipharma; Takeda; Zambon; Chiesi Farmaceutici; Merck Sharp Dohme; DGAKI; GlaxoSmithKline (Germany); Bencard (Germany); Novartis (Germany); Ministry of Science, Education and Sports of Republic of Croatia; Sandoz; Salveo; Schering-Plough; UK National Health Service; British Lung Foundation; AKL Ltd; Eli Lilly; Napp; Orion; Respiratory Effectiveness Group; Zentiva; Efficacy and Mechanism Evaluation programme; HTA; Novartis Farma; Faes Farma; Bial Aristegui; Boehringer; Biomay AG; Vienna, Austria; Uppsala, Sweden; MRC [MR/K006665/1] Funding Source: UKRI</t>
  </si>
  <si>
    <t>Chiesi(Chiesi Pharmaceuticals Inc); GSK(GlaxoSmithKline); Cipla; Sanofi/Regeneron(Regeneron); Novartis(Novartis); Circassia; Merck(Merck &amp; Company); Stallergenes; Medical Research Council(UK Research &amp; Innovation (UKRI)Medical Research Council UK (MRC)); JP Moulton Charitable Foundation; North West Lung Research Centre Charity; European Union(European Union (EU)); National Institute of Health Research(National Institutes of Health Research (NIHR)); Thermo Fisher; AstraZeneca(AstraZeneca); ALK; GlaxoSmithKline(GlaxoSmithKline); ALK Abello; Merck USA(Merck &amp; Company); Biomay; Leti; Biotech Tools; A. Menarini(Menarini Group); Aerocrine; Merck Sharp Dohme(Merck &amp; Company); Teva(Teva Pharmaceutical Industries); Boehringer Ingelheim(Boehringer Ingelheim); MSD; OrionPharma; Centocor; Sanofi Pasteur; Grunenthal(HAL Allergy Group); Synairgen; Stallergens; ALK Abello (Germany/Denmark); Allergopharma (Germany); Stallergenes (Germany/France); HAL Allergy (Germany/the Netherlands)(HAL Allergy Group); Artu Biologicals (the Netherlands)(Netherlands Government); Allergy Therapeutics/Bencard (UK/Germany); Hartington (Spain); Lofarma (Italy); Novartis/Leti (Germany/Spain); GlaxoSmithKline (UK/Germany); Essex Pharma (Germany); Cytos (Switzerland); Curalogic (Denmark); Roxall (Germany); Biomay (Austria); Thermo Fisher (Germany); Circassia (UK); Biotech Tools s.a. (Belgium); Meda Pharma GmbH (Germany); HAL Allergy (the Netherlands/Germany)(HAL Allergy Group); Meda (Germany/Sweden); Dutch Lung Foundation; Ubbo Emmius Foundation(ACEV Foundation); Stichting Astma Bestrijding; Adamed; Allergopharma; Almirall(Almirall); Celon Pharma(Dexcel Pharma); FAES; HAL(Horticulture Innovation Australia); Meda; Pfizer(Pfizer); Polfarmex; Polpharma; Stallergen; Lekam; UCB(UCB Pharma SA); Sanofi; Carnot; Senosiain; Almirral; Jansen; Pearl(Luxembourg National Research Fund); Roche(Roche Holding); AZ; Astellas(Astellas Pharmaceuticals); Genentech(Roche HoldingGenentech); Uriach; Abbott Laboratories(Abbott Laboratories); ALK-Abello; Ohropax; Servier(Servier); Stada; Menarini(Menarini Group); Allergy Therapeutics; Bayer(Bayer AG); Johnson+ Johnson(Johnson &amp; JohnsonJohnson &amp; Johnson USA); Arthrocare; Bencard; BiotechTools; Lofarma; Ursapharm; Bitop; AIPreven; Optima; Torii Co. Ltd.; Shionogi Co. Ltd.; MSD Co. LtD; Tanabe-Mitsubishi; Ono; Taiho; Torii; Kyowa-Kirin; Guidotti-Malesci; Mundipharma; Takeda(Takeda Pharmaceutical Company Ltd); Zambon; Chiesi Farmaceutici(Chiesi Pharmaceuticals Inc); Merck Sharp Dohme(Merck &amp; Company); DGAKI; GlaxoSmithKline (Germany)(GlaxoSmithKline); Bencard (Germany); Novartis (Germany)(Novartis); Ministry of Science, Education and Sports of Republic of Croatia(Ministry of Science, Education and Sports, Republic of Croatia); Sandoz(Novartis); Salveo; Schering-Plough(Merck &amp; CompanySchering Plough Corporation); UK National Health Service; British Lung Foundation; AKL Ltd; Eli Lilly(Eli Lilly); Napp; Orion; Respiratory Effectiveness Group; Zentiva; Efficacy and Mechanism Evaluation programme; HTA; Novartis Farma; Faes Farma; Bial Aristegui(Bial Group); Boehringer(Boehringer Ingelheim); Biomay AG; Vienna, Austria; Uppsala, Sweden; MRC(UK Research &amp; Innovation (UKRI)Medical Research Council UK (MRC))</t>
  </si>
  <si>
    <t>Elisabeth Bel: reports grants from Chiesi and GSK outside the submitted work, and personal fees from Cipla, Sanofi/Regeneron, GSK, and Novartis, outside the submitted work; Jean Bousquet: has received honoraria for: Scientific and advisory boards - Almirall, Meda, Merck, MSD, Novartis, Sanofi-Aventis, Takeda, Teva, Uriach. Lectures during meetings - Almirall, AstraZeneca, Chiesi, GSK, Meda, Menarini, Merck, MSD, Novartis, Sanofi-Aventis, Takeda, Teva, Uriach. Board of Directors - Stallergenes; Warner Carr: Clinical Research, Merck, Mylan, Regeneron, Genentech, Novartis, Oriel, Afferent, Teva-Consultant, Teva, Meda, AstraZeneca, Alcon, Allergan, Merck, Boehringer Ingelheim - Honorarium and Speakers Bureau, Teva, Meda, AstraZeneca, Mylan, Alcon, Allergan; Thomas Casale: reports personal fees from Circassia, grants from Merck, grants from Stallergenes, outside the submitted work; Adnan Custovic: reports grants from Medical Research Council, grants from The JP Moulton Charitable Foundation, grants from North West Lung Research Centre Charity, grants from European Union 7th Framework Programme, grants from National Institute of Health Research, personal fees from Novartis, personal fees from Thermo Fisher, personal fees from AstraZeneca, personal fees from ALK, personal fees from GlaxoSmithKline, outside the submitted work; Ronald Dahl: Consulting, given lectures for: Boehringer-Ingelheim, Novartis, TEVA, MEDA, Pfizer, ALK-Abello, Vectura, AZ, GSK, CIPLA; Ulf Darsow: has been speaker, investigator and / or been a member of advisory boards for Allergopharma, ALK Abello', Bencard, GSK, Hermal, MEDA, Novartis Pharma, Stallergenes, Stiefel; Pascal Demoly: consultant (and speaker) for Stallergenes, ALK, Circassia and Chiesi and a speaker for Allergopharma, Merck, AstraZeneca, Menarini and GlaxoSmithKline. Investigator for Menarini, Pierre Fabre Medicaments, Stallergenes and ALK; Judah Denburg: is CEO and Scientific Advisor of the Allergy, Genes and Environment Network of Centres of Excellence (AllerGen NCE Inc); Alain Didier: have received honorarium for talks from Astra Zeneca, GSK, MSD, Novartis, Stallergenes and has consulting arrangement with GSK, Novartis, Stallergenes and Allerbio (ALK); Anh Tuan Dinh Xuan: has received honoraria from Aerocrine, Chiesi and Stallergenes for invited lectures during satellite scientific symposia of national and international meetings during the last 3 years; Stephen Durham: consultancy fees from ALK Abello, Circassia, Merck USA, Biomay and Leti, manufacturers of allergy vaccines. Research funding via Imperial College from Merck, ALK Abello and Biotech Tools; Mark Dykewicz: Merck (Consultant) and Novartis (research funding); Joao Fonseca: a member of advisory boards for Boehringer Ingelheim and Novartis, has received payment for lectures and services from A. Menarini, Aerocrine, AstraZeneca, Merck Sharp Dohme, Novartis, Teva; Carlos Ivancevich: Chief Editor of the WAO website, Interasma website and the Latin American Society of Allergy, Asthma and Immunology website. Collaborate with the laboratory Faes Pharma of Spain as scientific advisor on social media and speaker at symposiums of Sanofi-Aventis; Tari Haatela: reports personal fees from Boehringer Ingelheim, MSD and OrionPharma, outside the submitted work; Marc Humbert: has relationships with drug companies including Astrazeneca, Chiesi, GSK, Merck, Novartis, Pfizer, Roche, Sanofi and TEVA. In addition to being an investigator in trials involving these companies, relationships include consultancy service and membership of scientific advisory boards; Michael Hyland: reports grants and personal fees from Novartis, during the conduct of the study; personal fees from GSK, outside the submitted work; Sebastian Johnston: reports grants and personal fees from Centocor, grants and personal fees from Sanofi Pasteur, grants and personal fees from GSK, grants and personal fees from Chiesi, grants and personal fees from Boehringer Ingelheim, personal fees from Grunenthal, grants and personal fees from Novartis, grants, personal fees and Shareholding from Synairgen, outside the submitted work; In addition, Dr. Johnston has a patent Blair ED, Killington RA, Rowlands DJ, Clarke NJ, Johnston SL. Transgenic animal models of HRV with human ICAM-1 sequences. UK patent application No. 02 167 29.4, 18 July 2002 and International patent application No. PCT/EP2003/007939, 17 July 2003. licensed, a patent Wark PA, Johnston SL, Holgate ST, Davies DE. Anti-virus therapy for respiratory diseases. UK patent application No. GB 0405634.7, 12 March 2004. licensed, a patent Wark PA, Johnston SL, Holgate ST, Davies DE. Interferon-Beta for Anti-Virus Therapy for Respiratory Diseases. International Patent Application No. PCT/GB05/50031, 12 March 2004. licensed, a patent Wark PA, Johnston SL, Holgate ST, Davies DE. The use of Interferon Lambda for the treatment and prevention of virally-induced exacerbation in asthma and chronic pulmonary obstructive disease. UK patent application No. 0518425.4, 9 September 2005. licensed, a patent Wark PA, Johnston SL, Holgate ST, Davies DE. Anti-Virus Therapy for Respiratory Diseases. US Patent Application - 11/517,763, Patent No. 7569216, National Phase of PCT/GB2005/050031, 04 August 2009. licensed, a patent Wark PA, Johnston SL, Holgate ST, Davies DE. Interferon-beta for Anti-Virus Therapy for Respiratory Diseases. European Patent Number 1734987, 5 May 2010. licensed, a patent Wark PA, Johnston SL, Holgate ST, Davies DE. Anti-Virus Therapy for Respiratory Diseases (IFNb therapy) Hong Kong Patent Number 1097181, 31 August 2010. licensed, a patent Wark PA, Johnston SL, Holgate ST, Davies DE. Anti-Virus Therapy for Respiratory Diseases (IFNb therapy). Japanese Patent Number 4807526, 26 August 2011. licensed, a patent Wark PA, Johnston SL, Holgate ST, Davies DE. Interferon-beta for Anti-Virus Therapy for Respiratory Diseases. New Hong Kong -Divisional Patent Application No. 11100187.0, 10 January 2011. licensed, and a patent Burdin N, Almond J, Lecouturieir, V, Girerd-Chambaz Y, Guy, B, Bartlett N, Walton R, McLean G, Glanville N, Johnston SL. Induction of cross-reactive cellular response against rhinovirus antigens European Patent Number 13305152, 4 April 2013. Pending; Jocelyne Just: on the advisory board for Novartis, ALK, and Thermofischer; is a speaker for AstraZeneca, Novartis, ALK, Stallergens, Teva; and has received grants from Novartis and Stallergens; Ludger Klimek: has received research grants for his institution from ALK Abello (Germany/Denmark), Allergopharma (Germany), Stallergenes (Germany/France), HAL Allergy (Germany/the Netherlands), Artu Biologicals (the Netherlands), Allergy Therapeutics/Bencard (UK/Germany), Hartington (Spain), Lofarma (Italy), Novartis/Leti (Germany/Spain), GlaxoSmithKline (UK/Germany), Essex Pharma (Germany), Cytos (Switzerland), Curalogic (Denmark), Roxall (Germany), Biomay (Austria), Thermo Fisher (Germany), Circassia (UK), Biotech Tools s.a. (Belgium), and Meda Pharma GmbH (Germany); and/or he has served as an advisor and on speakers' bureaus for some of the aforementioned companies. LK has received travel grants from HAL Allergy (the Netherlands/Germany), Meda (Germany/Sweden) and Allergopharma (Germany), and he is a consultant for Bencard Germany), Novartis/Leti (Germany), Meda (Germany), ALK Abello (Germany/Denmark), Allergopharma (Germany) and Boehringer Ingelheim (Germany). LK is Board Member of the ENT Section of the European Academy of Allergy and Clinical Immunology (EAACI), Vice-President of the German Academy of Allergology and Clinical Immunology, Vice-President German Union of Allergologists, Member of the Board of Directors of the German Society for Otorhinolaryngology HNS. He is co-editor and author of different chapters of the textbook 'Allergien bei Kindern und Jugendlichen' (publisher: Schattauer-Verlag, Germany), author of one chapter in 'Allergologie' (publisher: Springer, Germany) and author of different chapters in 'Allergologie' (publisher: Schattauer-Verlag); Gerard Koppelman: grants outside this work from Dutch Lung Foundation, Ubbo Emmius Foundation and Stichting Astma Bestrijding; Piotr Kuna: reports personal fees from Adamed, personal fees from Allergopharma, personal fees from Almirall, personal fees from AstraZeneca, personal fees from Boehringer Ingelheim, personal fees from Celon Pharma, personal fees from Chiesi, personal fees from FAES, personal fees from GSK, personal fees from HAL, personal fees from Meda, personal fees from MSD, personal fees from Novartis, personal fees from Pfizer, personal fees from Polfarmex, personal fees from Polpharma, personal fees from Stallergen, personal fees from Teva, personal fees from Lekam, outside the submitted work; Desiree Larenas: Speaker para: Astrazeneca, Pfizer, MIT, Glenmark, MEDA, MSD, Novartis, UCB. Advisory board: Boerhinger-ingelheim, Novartis, Astrazeneca, MEDA, Mit, Glenmark, MSD, Pfizer. Grants from development of guidelines: TEVA, Pfizer, Novartis, UCB, Sanofi, GSK, Carnot, Senosiain, MEDA, MSD, Astrazeneca; Brian Lipworth: unrestricted grant support from Meda, Teva, Chiesi, Almirral. Multi centre grants from Jansen, Pearl, Roche, AZ, Teva. Consulting for Meda, Chiesi, Neopharma, Cipla, Sandoz. Ad boards for Teva, Meda, Chiesi. Support to attend educational meetings from Boerhinger, Teva, Chiesi; Renaud Louis: research grants from GSK, Novartis, Chiesi over the last 2 years -in national Aboard of GSK, AstraZeneca and Mundipharma; Le Ltt: honorarium for lectures, funding for investigation, support to attend symposium of Astra Zeneca, Boehringer-Ingelheim, Glaxo Smith kline, Novartis, Pfizer and MSD. Consultant of Astra -Zeneca and Boehringer-Ingelheim; Antoine Magnan: Investigator: GSK Novartis Astra Zeneca Roche SANOFI Amgen Boehringer. Consultant: Novartis, MSD, AstraZeneca, ALK, TEVA, Mundipharma, Takeda, GSK, Boehringer. Symposia: ALK, Stallergenes,Novartis, MSD, Chiesi, GSK, Astra-Zeneca, Roche. Research Grants: MSD, Astellas, Sanofi, Novartis, Stallergenes; P Manning: Personal Benefits &lt;$10 000: A. Menarrini, Shares: none, Non-Personal Interests/benefits &gt;$10 000: none; Marcus Maurer: Grant/Research/Clinical Trial Support: Novartis; Genentech; Uriach; Abbott Laboratories; FAES; UCB; Moxie. Consultant/Advisory Boards: Novartis Genentech; Uriach; Abbott Laboratories; FAES; MSD; Almirall; UCB; Moxie; Sanofi; Ralf Mosges: reports personal fees from ALK-Abello, Ohropax, Meda, Servier, Stada, Menarini, Allergy Therapeutics, Novartis, Leti, Allergopharma, Bayer, Faes, GSK, Johnson+ Johnson, MSD, grants and personal fees from Arthrocare, Bencard, Stallergenes, BiotechTools, Lofarma, grants from Ursapharm, Bitop, HAL, AIPreven, Optima, non-financial support from Greer, Roxall, personal fees and non-financial support from UCB, non-financial support from Atmos, outside the submitted work; member of the guidelines task force of the German Academy of Otorhinolaryngology, chairman of the International Standardisation Committee of the European Rhinologic Society (ERS) and chairman of the ENT-Section of the European Academy of Allergy, Asthma and Clinical Immunology (EAACI); Robert Naclerio: Advisory Board: GSK, Merck, Sanofi, Teva - Speaker: Merck, Teva; Ken Ohta: honoraria for lectures and advisory meetings from Kyorin, GSK, Boehringer Ingelheim, AstraZeneca and Astellas; Yoshitaka Okamoto: Research grant from Torii Co. Ltd., Shionogi Co. Ltd., - Lecture fee from Torii Co. LTD., MSD Co. LtD; Kimihio Okubo: Lecture Fee: GSK, MSD, Tanabe-Mitsubishi, Sanofi, Ono, Torii, Kyowa-Kirin - Consultancy: MSD, Tanabe-Mitsubishi, Sanofi, Ono, Torii, Taiho, Astellas, Teikoku; Pier Luigi Paggiaro: personal support for education and research from: AstraZeneca, Almirall, Boehringer Ingelheim, Chiesi, Guidotti-Malesci, GSK, Menarini, MSD, Mundipharma, Novartis, Takeda, Zambon; Nikos Papadopoulos: grant from GSK, Nestle, Merck - Fees from: Abbvie, Sanofi, Meda, GSK, Novartis, Menarini, ALK-Abello, Allergopharma, Uriach, Stallergenes, MSD; Alberto Papi: has received grants, personal fees, and non-financial support from AstraZeneca, Chiesi Farmaceutici, GlaxoSmithKline, Boehringer Ingelheim, Merck Sharp &amp; Dohme, Menarini, Novartis, Zambon, TEVA, Pfizer, Takeda, and Mundipharma; O Pfaar: has received research grants for his institution from ALK Abello (Germany/Denmark), Allergopharma (Germany), Stallergenes (Germany/France), HAL Allergy (Germany/the Netherlands), Artu Biologicals (the Netherlands), Allergy Therapeutics/Bencard (UK/Germany), Hartington (Spain), Lofarma (Italy), Novartis/Leti (Germany/Spain), GlaxoSmithKline (UK/Germany), Essex Pharma (Germany), Cytos (Switzerland), Curalogic (Denmark), Roxall (Germany), Biomay (Austria), Thermo Fisher (Germany), Circassia (UK), European Union (FP-7 Health-2013 Innovation 1), Biotech Tools s.a. (Belgium), and Meda Pharma GmbH (Germany); and/or he has served as an advisor and on speakers' bureaus for some of the aforementioned companies. OP has received travel grants from HAL Allergy (the Netherlands/Germany) and Allergopharma (Germany), and he is a consultant for Bencard (Germany), HAL Allergy (the Netherlands), Novartis/Leti (Germany), Meda (Germany), ALK Abello (Germany/Denmark), Allergopharma (Germany), Biotech Tools s. a. (Belgium), GfK Bridgehead (UK), Navigant Consulting (USA), Sanofi (USA), Guidepoint Global Advisors (USA), Thermo Fisher (Germany) and Stallergenes (Germany/France); he is Scientific Board Member of Mobile Chamber Experts (MCX), a GA2LEN Partner. OP is the current chairman of the Immunotherapy Interest Group (IT IG) of the European Academy of Allergy and Clinical Immunology (EAACI) and is the secretary of the ENT section of the German Society for Allergology and Clinical Immunology (DGAKI). He has received grants for the 'Spezifische Immuntherapie'-award 2014 and the 'Nachwuchsforderpreis'-award 2010 of the DGAKI. He is co-editor and an author of the textbook 'Allergien bei Kindern und Jugendlichen' (publisher: Schattauer-Verlag, Germany), 'Allergologie' (publisher: Schattauer-Verlag) and author of different chapters of 'Allergologie-Handbuch' (publisher: Schattauer-Verlag, Germany) and has received payment for development of educational presentations from GlaxoSmithKline (Germany), Bencard (Germany), and Novartis (Germany); Davor Plavek: reports grants from Ministry of Science, Education and Sports of Republic of Croatia, grants and personal fees from GlaxoSmithKline, grants and personal fees from MSD, personal fees from Sandoz, personal fees from Salveo, grants from Schering-Plough, outside the submitted work; Dirkje Postma: The University of Groningen has received money for Professor Postma regarding an unrestricted educational grant for research from Astra Zeneca. Travel to ERS and/or ATS has been partially funded by Astra Zeneca, Chiesi, GSK, Takeda. Fees for consultancies were given to the University of Groningen by Astra Zeneca, Boehringer Ingelheim, Chiesi, GSK, Takeda and TEVA. Travel and lectures in China paid by Chiesi; David Price: Board Membership with Aerocrine, Almirall, Amgen, AstraZeneca, Boehringer Ingelheim, Chiesi, Meda, Mundipharma, Napp, Novartis, and Teva. Consultancy: A Almirall, Amgen, AstraZeneca, Boehringer Ingelheim, Chiesi, GlaxoSmithKline, Meda, Mundipharma, Napp, Novartis, Pfizer, and Teva; Grants and unrestricted funding for investigator-initiated studies from UK National Health Service, British Lung Foundation, Aerocrine, AKL Ltd, Almirall, AstraZeneca, Boehringer Ingelheim, Chiesi, Eli Lilly, GlaxoSmithKline, Meda, Merck, Mundipharma, Napp, Novartis, Orion, Pfizer, Respiratory Effectiveness Group, Takeda, Teva, and Zentiva; Payments for lectures/speaking: Almirall, AstraZeneca, Boehringer Ingelheim, Chiesi, Cipla, GlaxoSmithKline, Kyorin, Meda, Merck, Mundipharma, Novartis, Pfizer, SkyePharma, Takeda, and Teva; Payment for manuscript preparation: Mundipharma and Teva; Patents (planned, pending or issued): AKL Ltd.; Payment for the development of educational materials: GlaxoSmithKline, Novartis; Stock/Stock options: Shares in AKL Ltd which produces phytopharmaceuticals and owns 80% of Research in Real Life Ltd and its subsidiary social enterprise Optimum Patient Care; received Payment for travel/accommodations/meeting expenses from Aerocrine, Boehringer Ingelheim, Mundipharma, Napp, Novartis, and Teva; Funding for patient enrolment or completion of research: Almirral, Chiesi, Teva, and Zentiva; and Peer reviewer for grant committees: Medical Research Council (2014), Efficacy and Mechanism Evaluation programme (2012), HTA (2014); Dermot Ryan: Board member URIACH and Stllargenes. received payments from GSK and MEDA to deliver lectures on their behalf. Chair of the Primary Care Interest Group of EAACI; Miguel Roman-Rodriguez: has provided consultancy to or lectured on behalf of AstraZeneca, GlaxoSmithKline, Novartis, Almirall, Chiesi, Mundipharma, Boehringer-Ingelheim, Rovi and Teva; Glenis Scadding: Research grants from GSK, ALK. Honoraria for articles, consulting, lectures/chairing and/or advisory boards: ALK, Astra Zeneca, Brittania Pharmaceuticals, Capnia, Church &amp; Dwight, Circassia, GSK, Groupo Uriach, Meda, Merck, MSD, Ono Pharmaceuticals, Oxford Therapeutics, Sanofi-Aventis, Shionogi, UCB. Travel funding from Bayer, GSK; Estelle Simons: Uriach Medical Advisory Board, UpToDate, The Medical Letter; Rafael Stelmach: AstraZeneca; Boehringer Ingelheim; Bayer; Chiesi; Eurofarma; Glaxo Smith Kline; Mantecorp-Farmasa; Novartis; MSD; Nycomed; Reckitt Bekinser, related to sponsorship for achievement/participation of clinical trials, conferences or consultancy activities; Ana Todo Bom: Fee for speaking, reimbursement for attending or organising a symposium) from Novartis Farma, Faes Farma, Astrazeneca, Bial Aristegui, Thermo Fisher, Boehringer; Rudolf Valenta: has received research grants from Biomay AG, Vienna, Austria, Thermo Fisher, Uppsala, Sweden. He serves as a consultant for Biomay AG, Vienna, austria, Thermofisher, Uppsala, Sweden and Fresenius Medical Care, Bad Homburg, Germany; Ulrich Wahn: received fees for lectures and consultation within the last 5 years from: Stallergenes, Allergopharma, ALK, Novartis, Merck, and MEDA; All the other authors declare that they have no conflicts of interest.</t>
  </si>
  <si>
    <t>10.1111/all.12686</t>
  </si>
  <si>
    <t>CU2CJ</t>
  </si>
  <si>
    <t>Green Submitted, Green Published, Green Accepted, Bronze</t>
  </si>
  <si>
    <t>WOS:000363329400003</t>
  </si>
  <si>
    <t>Pulmonary Hypertension Complicating Fibrosing Mediastinitis</t>
  </si>
  <si>
    <t>CALCIUM-CHANNEL BLOCKERS; LONG-TERM RESPONSE; SCLEROSING MEDIASTINITIS; ARTERY; HISTOPLASMOSIS</t>
  </si>
  <si>
    <t>Fibrosing mediastinitis is caused by a proliferation of fibrous tissue in the mediastinum with encasement of mediastinal viscera and compression of mediastinal bronchovascular structures. Pulmonary hypertension (PH) is a severe complication of fibrosing mediastinitis caused by extrinsic compression of the pulmonary arteries and/or veins.We have conducted a retrospective observational study reviewing clinical, functional, hemodynamic, radiological characteristics, and outcome of 27 consecutive cases of PH associated with fibrosing mediastinitis diagnosed between 2003 and 2014 at the French Referral Centre for PH.Fourteen men and 13 women with a median age of 60 years (range 18-84) had PH confirmed on right heart catheterization. The causes of fibrosing mediastinitis were sarcoidosis (n=13), tuberculosis-infection confirmed or suspected (n=9), mediastinal irradiation (n=2), and idiopathic (n=3). Sixteen patients (59%) were in NYHA functional class III and IV. Right heart catheterization confirmed moderate to severe PH with a median mean pulmonary artery pressure of 42 mm Hg (range 27-90) and a median cardiac index of 2.8 L/min/m(2) (range 1.6-4.3). Precapillary PH was found in 22 patients, postcapillary PH in 2, and combined postcapillary and precapillary PH in 3. Severe extrinsic compression of pulmonary arteries (&gt;60% reduction in diameter) was evidenced in 2, 8, and 12 patients at the main, lobar, or segmental levels, respectively. Fourteen patients had at least one severe pulmonary venous compression with associated pleural effusion in 6 of them. PAH therapy was initiated in 7 patients and corticosteroid therapy (0.5-1mg/kg/day) was initiated in 3 patients with sarcoidosis, with 9 other being already on low-dose corticosteroids. At 1-year follow-up, 3 patients had died and among the 21 patients evaluated, 3 deteriorated, 14 were stable, and only 4 patients with sarcoidosis improved (4 receiving corticosteroids and 1 receiving corticosteroids and PAH therapy). Survival was 88%, 73%, and 56% at 1, 3, and 5 years, respectively.We found no clear clinical improvement with the use of specific PAH therapy. Corticosteroid therapy may be associated with clinical improvement, in some patients with fibrosing mediastinitis due to sarcoidosis. Although never performed for this indication, lung transplantation may be proposed in eligible patients with severe PH and fibrosing mediastinitis.</t>
  </si>
  <si>
    <t>[Seferian, Andrei; Steriade, Alexandru; Jais, Xavier; Planche, Olivier; Savale, Laurent; Parent, Florence; Amar, David; Jovan, Roland; Fadel, Elie; Sitbon, Olivier; Simonneau, Gerald; Humbert, Marc; Montani, David] Univ Paris 11, Fac Med, Le Kremlin Bicetre, France; [Seferian, Andrei; Steriade, Alexandru; Jais, Xavier; Savale, Laurent; Parent, Florence; Amar, David; Jovan, Roland; Sitbon, Olivier; Simonneau, Gerald; Humbert, Marc; Montani, David] Hop Bicetre, AP HP, Dept Hosp Univ DHU Thorax Innovat TORINO, Ctr Reference Hypertens Pulm Severe,Serv Pneumol, Le Kremlin Bicetre, France; [Seferian, Andrei; Steriade, Alexandru; Jais, Xavier; Savale, Laurent; Parent, Florence; Amar, David; Jovan, Roland; Fadel, Elie; Sitbon, Olivier; Simonneau, Gerald; Humbert, Marc; Montani, David] Univ Paris 11, UMR S 999, Le Plessis Robinson, France; [Seferian, Andrei; Steriade, Alexandru; Jais, Xavier; Savale, Laurent; Parent, Florence; Amar, David; Jovan, Roland; Fadel, Elie; Sitbon, Olivier; Simonneau, Gerald; Humbert, Marc; Montani, David] INSERM, Le Plessis Robinson, France; [Seferian, Andrei; Steriade, Alexandru; Jais, Xavier; Savale, Laurent; Parent, Florence; Amar, David; Jovan, Roland; Fadel, Elie; Sitbon, Olivier; Simonneau, Gerald; Humbert, Marc; Montani, David] Ctr Chirurg Marie Lannelongue, LERMIT, Le Plessis Robinson, France; [Planche, Olivier] Hop Bicetre, AP HP, Serv Radiol, Le Kremlin Bicetre, France; [Fadel, Elie] Ctr Chirurg Marie Lannelongue, Serv Chirurg Thorac, Le Plessis Robinson, France</t>
  </si>
  <si>
    <t>Universite Paris Saclay; Assistance Publique Hopitaux Paris (APHP); Hopital Universitaire Antoine-Beclere - APHP; Universite Paris Saclay; Hopital Universitaire Bicetre - APHP; Universite Paris Saclay; Institut National de la Sante et de la Recherche Medicale (Inserm); Hopital Marie Lannelongue; Universite Paris Saclay; Assistance Publique Hopitaux Paris (APHP); Hopital Universitaire Bicetre - APHP; Hopital Universitaire Antoine-Beclere - APHP; Hopital Marie Lannelongue</t>
  </si>
  <si>
    <t>Montani, D (corresponding author), Univ Paris 11, Serv Pneumol, Hop Bicetre, 78 Rue Gen Leclerc, Le Kremlin Bicetre, France.</t>
  </si>
  <si>
    <t>Simonneau, Gerald/ABE-6614-2020; David, Montani/I-6885-2019; Sitbon, Olivier/I-3623-2019; Steriade, Alexandru/ABE-6649-2020; Savale, Laurent/AAJ-9781-2020; Humbert, Marc/AAC-8459-2019</t>
  </si>
  <si>
    <t>JAIS, XAVIER/0000-0002-4104-7994; Steriade, Alexandru Tudor/0000-0003-0253-6725; SITBON, Olivier/0000-0002-1942-1951; Seferian, Andrei/0000-0003-1007-433X; Montani, David/0000-0002-9358-6922; Humbert, Marc/0000-0003-0703-2892</t>
  </si>
  <si>
    <t>e1800</t>
  </si>
  <si>
    <t>10.1097/MD.0000000000001800</t>
  </si>
  <si>
    <t>DC9IX</t>
  </si>
  <si>
    <t>WOS:000369536100018</t>
  </si>
  <si>
    <t>Izikki, M; Hoang, E; Draskovic, I; Mercier, O; Lecerf, F; Lamrani, L; Liu, WY; Guignabert, C; Md, EF; Dorfmuller, P; Humbert, M; Londoño-Vallejo, A; Eddahibi, S</t>
  </si>
  <si>
    <t>Izikki, Mohamed; Hoang, Eric; Draskovic, Irena; Mercier, Olaf; Lecerf, Florence; Lamrani, Lilia; Liu, Win-Yan; Guignabert, Christophe; Md, Elie Fadel; Dorfmuller, Peter; Humbert, Marc; Londono-Vallejo, Arturo; Eddahibi, Saadia</t>
  </si>
  <si>
    <t>Telomere Maintenance Is a Critical Determinant in the Physiopathology of Pulmonary Hypertension</t>
  </si>
  <si>
    <t>SMOOTH-MUSCLE-CELLS; HYPERPLASIA</t>
  </si>
  <si>
    <t>[Eddahibi, Saadia] INSERM, U1046, Ctr Hosp Univ, F-34295 Montpellier 05, France</t>
  </si>
  <si>
    <t>Institut National de la Sante et de la Recherche Medicale (Inserm); CHU de Toulouse</t>
  </si>
  <si>
    <t>Londono-Vallejo, Arturo/ABH-5555-2020; Draskovic, Irena/HRD-0346-2023; Humbert, Marc/AAC-8459-2019; GUIGNABERT, Christophe/G-3873-2013</t>
  </si>
  <si>
    <t>Humbert, Marc/0000-0003-0703-2892; GUIGNABERT, Christophe/0000-0002-8545-4452; Dorfmuller, Peter/0000-0003-2499-6829; Mercier, Olaf/0000-0002-4760-6267; Londono Vallejo, Jose Arturo/0000-0003-3535-7563</t>
  </si>
  <si>
    <t>10.1016/j.jacc.2015.08.869</t>
  </si>
  <si>
    <t>CU2CK</t>
  </si>
  <si>
    <t>WOS:000363329500013</t>
  </si>
  <si>
    <t>Le Hiress, M; Tu, L; Ricard, N; Phan, C; Thuillet, R; Fadel, E; Dorfmüller, P; Montani, D; de Man, F; Humbert, M; Huertas, A; Guignabert, C</t>
  </si>
  <si>
    <t>Le Hiress, Morane; Tu, Ly; Ricard, Nicolas; Phan, Carole; Thuillet, Raphael; Fadel, Elie; Dorfmueller, Peter; Montani, David; de Man, Frances; Humbert, Marc; Huertas, Alice; Guignabert, Christophe</t>
  </si>
  <si>
    <t>Proinflammatory Signature of the Dysfunctional Endothelium in Pulmonary Hypertension Role of the Macrophage Migration Inhibitory Factor/CD74 Complex</t>
  </si>
  <si>
    <t>pulmonary hypertension; endothelial dysfunction; macrophage migration inhibitory factor; CD74 signaling pathway; adhesion molecules</t>
  </si>
  <si>
    <t>FIBROBLAST GROWTH FACTOR-2; ARTERIAL-HYPERTENSION; CELL-SURVIVAL; CD74; MIF; CONTRIBUTES; RECRUITMENT; PHENOTYPE; PREVENTS; MICE</t>
  </si>
  <si>
    <t>Rationale: Inflammation and endothelial dysfunction are considered two primary instigators of pulmonary arterial hypertension (PAH). CD74 is a receptor for the proinflammatory cytokine macrophage migration inhibitory factor (MIF). This ligand/receptor complex initiates survival pathways and cell proliferation, and it triggers the synthesis and secretion of major proinflammatory factors and cell adhesion molecules. Objectives: We hypothesized that the MIF/CD74 signaling pathway is overexpressed in idiopathic PAH (iPAH) and contributes to a proinflammatory endothelial cell (EC) phenotype. Methods: Primary early passage cultures of human ECs isolated from lung tissues obtained from patients with iPAH and controls were examined for their ability to secrete proinflammatory mediators and bind inflammatory cells with or without modulation of the functional activities of the MIF/CD74 complex. In addition, we tested the efficacies of curative treatments with either the MIF antagonist ISO-1 or anti-CD74 neutralizing antibodies on the aberrant proinflammatory EC phenotype in vitro and in vivo and on the progression of monocrotaline-induced pulmonary hypertension. Measurements and Main Results: In human lung tissues, intercellular adhesion molecule-1, vascular cell adhesion molecule-1, and E-selectin expressions are markedly up-regulated in the endothelium of distal iPAH pulmonary arteries. Circulating MIF levels are increased in the serum of patients with PAH compared with control subjects, and T-cell lymphocytes represent a source of this overabundance. In addition, CD74 is highly expressed in the endothelium of muscularized pulmonary arterioles and in cultured pulmonary ECs from iPAH, contributing to an exaggerated recruitment of peripheral blood mononuclear cells to pulmonary iPAH ECs. Finally, we found that curative treatments with the MIF antagonist ISO-1 or anti-CD74 neutralizing antibodies partially reversed development of pulmonary hypertension in rats and substantially reduced inflammatory cell infiltration. Conclusions: We report here that CD74 and MIF are markedly increased and activated in patients with iPAH, contributing to the abnormal proinflammatory phenotype of pulmonary ECs in iPAH.</t>
  </si>
  <si>
    <t>[Le Hiress, Morane; Tu, Ly; Ricard, Nicolas; Phan, Carole; Thuillet, Raphael; Fadel, Elie; Dorfmueller, Peter; Montani, David; Humbert, Marc; Huertas, Alice; Guignabert, Christophe] Ctr Chirurg Marie Lannelongue, INSERM, UMR S 999, LabEx LERMIT, F-92350 Le Plessis Robinson, France; [Le Hiress, Morane; Tu, Ly; Ricard, Nicolas; Phan, Carole; Thuillet, Raphael; Fadel, Elie; Dorfmueller, Peter; Montani, David; Humbert, Marc; Huertas, Alice; Guignabert, Christophe] Univ Paris 11, Le Kremlin Bicetre, France; [Le Hiress, Morane; Tu, Ly; Ricard, Nicolas; Phan, Carole; Thuillet, Raphael; Fadel, Elie; Dorfmueller, Peter; Montani, David; Humbert, Marc; Huertas, Alice; Guignabert, Christophe] Univ Paris Saclay, Sch Med, Le Kremlin Bicetre, France; [Montani, David; Humbert, Marc; Huertas, Alice] Hop Bicetre, AP HP, DHU Thorax Innovat, Serv Pneumol,Ctr Reference Hypertens Pulm Severe, Le Kremlin Bicetre, France; [de Man, Frances] Vrije Univ Amsterdam, Med Ctr, Dept Pulmonol, Inst Cardiovasc Res, Amsterdam, Netherlands</t>
  </si>
  <si>
    <t>Institut National de la Sante et de la Recherche Medicale (Inserm); Universite Paris Saclay; Hopital Marie Lannelongue; Universite Paris Saclay; Universite Paris Saclay; Assistance Publique Hopitaux Paris (APHP); Hopital Universitaire Antoine-Beclere - APHP; Hopital Universitaire Bicetre - APHP; Universite Paris Saclay; Vrije Universiteit Amsterdam</t>
  </si>
  <si>
    <t>Guignabert, C (corresponding author), Ctr Chirurg Marie Lannelongue, INSERM, UMR S 999, 133 Ave Resistance, F-92350 Le Plessis Robinson, France.</t>
  </si>
  <si>
    <t>Ricard, Nicolas/AAF-1083-2019; David, Montani/I-6885-2019; GUIGNABERT, Christophe/G-3873-2013; TU, Ly/G-4035-2013; Humbert, Marc/AAC-8459-2019; Huertas, Alice/E-8244-2017</t>
  </si>
  <si>
    <t>Ricard, Nicolas/0000-0002-7572-173X; Thuillet, Raphael/0000-0002-1379-3797; GUIGNABERT, Christophe/0000-0002-8545-4452; Handoko-de Man, Frances/0000-0002-5776-7793; TU, Ly/0000-0003-2336-5099; Dorfmuller, Peter/0000-0003-2499-6829; Humbert, Marc/0000-0003-0703-2892; Montani, David/0000-0002-9358-6922; Huertas, Alice/0000-0001-8545-747X; Phan, Carole/0000-0002-7834-508X</t>
  </si>
  <si>
    <t>French National Institute for Health and Medical Research; French National Agency for Research [ANR-12-JSV1-0004-01]; LabEx LERMIT [ANR-10-LABX-0033-LERMIT]; Agence Nationale de la Recherche (ANR) [ANR-12-JSV1-0004] Funding Source: Agence Nationale de la Recherche (ANR)</t>
  </si>
  <si>
    <t>French National Institute for Health and Medical Research(Institut National de la Sante et de la Recherche Medicale (Inserm)); French National Agency for Research(Agence Nationale de la Recherche (ANR)); LabEx LERMIT; Agence Nationale de la Recherche (ANR)(Agence Nationale de la Recherche (ANR))</t>
  </si>
  <si>
    <t>Supported by grants from the French National Institute for Health and Medical Research and French National Agency for Research grant no. ANR-12-JSV1-0004-01. M.L.H. is supported by the LabEx LERMIT (grant no ANR-10-LABX-0033-LERMIT).</t>
  </si>
  <si>
    <t>10.1164/rccm.201402-0322OC</t>
  </si>
  <si>
    <t>CU2NE</t>
  </si>
  <si>
    <t>WOS:000363359400014</t>
  </si>
  <si>
    <t>Konstantinides, SV; Torbicki, A; Agnelli, G; Danchin, N; Fitzmaurice, D; Galiè, N; Gibbs, JSR; Huisman, MV; Humbert, M; Kucher, N; Lang, I; Lankeit, M; Lekakis, J; Maack, C; Mayer, E; Meneveau, N; Perrier, A; Pruszczyk, P; Rasmussen, LH; Schindler, TH; Svitil, P; Noordegraaf, AV; Zamorano, JL; Zompatori, M</t>
  </si>
  <si>
    <t>Konstantinides, S. V.; Torbicki, A.; Agnelli, G.; Danchin, N.; Fitzmaurice, D.; Galie, N.; Gibbs, J. S. R.; Huisman, M. V.; Humbert, M.; Kucher, N.; Lang, I.; Lankeit, M.; Lekakis, J.; Maack, C.; Mayer, E.; Meneveau, N.; Perrier, A.; Pruszczyk, P.; Rasmussen, L. H.; Schindler, T. H.; Svitil, P.; Noordegraaf, A. Vonk; Zamorano, J. L.; Zompatori, M.</t>
  </si>
  <si>
    <t>2014 ESC Guidelines on the diagnosis and management of acute pulmonary embolism (vol 35, pg 3033, 2014)</t>
  </si>
  <si>
    <t>Konstantinides, Stavros/AAL-3174-2021; Lekakis, John/AAQ-6232-2020; Juni, Peter/Q-8700-2016; Mora, Josep/A-9355-2013; Danchin, Nicolas/AAN-8291-2020; Humbert, Marc/AAC-8459-2019; Ceresa, Fabrizio/AAC-5459-2022; Perrier, Arnaud/M-2263-2014; Galie, Nazzareno/F-7004-2014</t>
  </si>
  <si>
    <t>Galie, Nazzareno/0000-0003-4271-8670; Maack, Christoph/0000-0003-3694-4559; Schindler, Thomas Hellmut/0000-0002-2141-7716</t>
  </si>
  <si>
    <t>10.1093/eurheartj/ehv131</t>
  </si>
  <si>
    <t>CT5CJ</t>
  </si>
  <si>
    <t>WOS:000362824800017</t>
  </si>
  <si>
    <t>Konstantinides, SV; Torbicki, A; Agnelli, G; Danchin, N; Fitzmaurice, D; Galie, N; Gibbs, J; Huisman, MV; Humbert, M; Kucher, N; Lang, I; Lankeit, M; Lekakis, J; Maack, C; Mayer, E; Meneveau, N; Perrier, A; Pruszczyk, P; Rasmussen, LH; Schindler, TH; Svitil, P; Noordegraaf, AV; Zamorano, JL; Zompatori, M</t>
  </si>
  <si>
    <t>Ceresa, Fabrizio/AAC-5459-2022; Perrier, Arnaud/M-2263-2014; Lekakis, John/AAQ-6232-2020; Konstantinides, Stavros/AAL-3174-2021; Humbert, Marc/AAC-8459-2019; Galie, Nazzareno/F-7004-2014; Danchin, Nicolas/AAN-8291-2020; Mora, Josep/A-9355-2013</t>
  </si>
  <si>
    <t>10.1093/eurheartj/ehu479</t>
  </si>
  <si>
    <t>WOS:000362824800010</t>
  </si>
  <si>
    <t>Bailly, S; Tu, L; Mallet, C; Humbert, M; Guignabert, C</t>
  </si>
  <si>
    <t>Bailly, Sabine; Tu, Ly; Mallet, Christine; Humbert, Marc; Guignabert, Christophe</t>
  </si>
  <si>
    <t>Involvement of BMP9 in pulmonary arterial hypertension</t>
  </si>
  <si>
    <t>[Bailly, Sabine; Mallet, Christine] INSERM, U1036, F-38054 Grenoble, France; [Bailly, Sabine; Mallet, Christine] CEA Grenoble, DSV, iRTSV, Lab Biol Canc &amp; Infect, F-38054 Grenoble, France; [Bailly, Sabine; Mallet, Christine] Univ Grenoble Alpes, F-38041 Grenoble, France; [Tu, Ly; Humbert, Marc; Guignabert, Christophe] Ctr Chirurg Marie Lannelongue, LabEx LERMIT, Inserm UMR S 999, Le Plessis Robinson, France; [Tu, Ly; Humbert, Marc; Guignabert, Christophe] Univ Paris 11, Sch Med, Le Kremlin Bicetre, France</t>
  </si>
  <si>
    <t>Institut National de la Sante et de la Recherche Medicale (Inserm); Communaute Universite Grenoble Alpes; Universite Grenoble Alpes (UGA); CEA; Communaute Universite Grenoble Alpes; Universite Grenoble Alpes (UGA); Universite Paris Saclay; Institut National de la Sante et de la Recherche Medicale (Inserm); Hopital Marie Lannelongue; Universite Paris Saclay</t>
  </si>
  <si>
    <t>Humbert, Marc/AAC-8459-2019; TU, Ly/G-4035-2013; GUIGNABERT, Christophe/G-3873-2013; bailly, sabine/G-3540-2013</t>
  </si>
  <si>
    <t>bailly, sabine/0000-0003-1043-7030</t>
  </si>
  <si>
    <t>OR29</t>
  </si>
  <si>
    <t>CT3CF</t>
  </si>
  <si>
    <t>WOS:000362683200038</t>
  </si>
  <si>
    <t>Denton, CP; Coghlan, JG; Ghofrani, HA; Grimminger, F; He, JG; Riemekasten, G; Vizza, D; Boeckenhoff, A; Meier, C; Pena, JD; Humbert, M</t>
  </si>
  <si>
    <t>Denton, Christopher P.; Coghlan, J. Gerry; Ghofrani, Hossein-Ardeschir; Grimminger, Friedrich; He, Jianguo; Riemekasten, Gabriela; Vizza, Dario; Boeckenhoff, Annette; Meier, Christian; Pena, Janethe de Oliveira; Humbert, Marc</t>
  </si>
  <si>
    <t>Efficacy and Safety of Riociguat in Patients with Pulmonary Arterial Hypertension (PAH) Associated with Connective Tissue Disease (CTD)</t>
  </si>
  <si>
    <t>Annual Meeting of the American-College-of-Rheumatology (ACR) and Association-of-Rheumatology-Health-Professionals (ARHP)</t>
  </si>
  <si>
    <t>NOV 06-11, 2015</t>
  </si>
  <si>
    <t>[Denton, Christopher P.] UCL, Sch Med, Ctr Rheumatol &amp; Connect Tissue Dis, London, England; [Coghlan, J. Gerry] Royal Free London NHS Fdn Trust, London, England; [Ghofrani, Hossein-Ardeschir; Grimminger, Friedrich] Univ Giessen, D-35390 Giessen, Germany; [Ghofrani, Hossein-Ardeschir; Grimminger, Friedrich] Marburg Lung Ctr, Giessen, Germany; [He, Jianguo] Chinese Acad Med Sci, Beijing 100730, Peoples R China; [He, Jianguo] Peking Union Med Coll, Beijing 100021, Peoples R China; [Riemekasten, Gabriela] Clin Rheumatol &amp; Clin Immunol, Berlin, Germany; [Vizza, Dario] Univ Roma La Sapienza, I-00185 Rome, Italy; [Boeckenhoff, Annette] Bayer Pharma AG, Wuppertal, Germany; [Meier, Christian] Bayer Pharma AG, Berlin, Germany; [Pena, Janethe de Oliveira] Bayer HealthCare Pharma, Whippany, NJ USA; [Humbert, Marc] Univ Paris 11, Lab Excellence Rech Medicament &amp; Innovat Therapeu, Le Kremlin Bicetre, France; [Humbert, Marc] INSERM, U999, F-94275 Le Kremlin Bicetre, France</t>
  </si>
  <si>
    <t>University of London; University College London; UCL Medical School; University of London; University College London; Royal Free London NHS Foundation Trust; Justus Liebig University Giessen; Chinese Academy of Medical Sciences - Peking Union Medical College; Chinese Academy of Medical Sciences - Peking Union Medical College; Peking Union Medical College; Sapienza University Rome; Bayer AG; Bayer Healthcare Pharmaceuticals; Bayer AG; Bayer Healthcare Pharmaceuticals; Universite Paris Saclay; Institut National de la Sante et de la Recherche Medicale (Inserm)</t>
  </si>
  <si>
    <t>Humbert, Marc/AAC-8459-2019; Riemekasten, Gabriela/B-5019-2017; Ghofrani, Ardeschir/AAD-5293-2020; vizza, carmine dario/AAC-5540-2020</t>
  </si>
  <si>
    <t>DE8BG</t>
  </si>
  <si>
    <t>WOS:000370860204628</t>
  </si>
  <si>
    <t>Eyries, M; Leroy, A; Roume, J; Gouya, L; Lacombe, P; Chinet, T; Blivet, S; Humbert, M; Montani, D; Girerd, B; Levy, M; Bonnet, D; Ozanne, A; Saliou, G; Carette, MF; Bachmeyer, C; Soubrier, F</t>
  </si>
  <si>
    <t>Eyries, Melanie; Leroy, Anne; Roume, Joelle; Gouya, Laurent; Lacombe, Pascal; Chinet, Thierry; Blivet, Sandra; Humbert, Marc; Montani, David; Girerd, Barbara; Levy, Marilyne; Bonnet, Damien; Ozanne, Augustin; Saliou, Guillaume; Carette, Marie-France; Bachmeyer, Claude; Soubrier, Florent</t>
  </si>
  <si>
    <t>Targeted next generation sequencing panel for molecular diagnosis of hereditary phenotypically related vascular diseases</t>
  </si>
  <si>
    <t>[Eyries, Melanie; Leroy, Anne; Soubrier, Florent] Hop La Pitie Salpetriere, AP HP, Dept Genet, Paris, France; [Roume, Joelle; Gouya, Laurent; Lacombe, Pascal; Chinet, Thierry; Blivet, Sandra] Hop Ambroise Pare, AP HP, HHT Pluridisciplinary Clin, Boulogne, France; [Humbert, Marc; Montani, David; Girerd, Barbara] Hop Bicetre, AP HP, DHU Thorax Innovat, Ctr Reference Hypertens Pulm Severe,Serv Pneumol, Le Kremlin Bicetre, France; [Levy, Marilyne; Bonnet, Damien] Hop Necker Enfants Malad, AP HP, Dept Cardiac Surg, Le Kremlin Bicetre, France; [Ozanne, Augustin; Saliou, Guillaume] Hop Bicetre, AP HP, Dept Neuroradiol, Le Kremlin Bicetre, France; [Carette, Marie-France; Bachmeyer, Claude] Hop Tenon, AP HP, Dept Radiol, F-75970 Paris, France</t>
  </si>
  <si>
    <t>Sorbonne Universite; Assistance Publique Hopitaux Paris (APHP); Hopital Universitaire Pitie-Salpetriere - APHP; Assistance Publique Hopitaux Paris (APHP); Hopital Universitaire Ambroise-Pare - APHP; Universite Paris Saclay; Assistance Publique Hopitaux Paris (APHP); Hopital Universitaire Antoine-Beclere - APHP; Hopital Universitaire Bicetre - APHP; Assistance Publique Hopitaux Paris (APHP); Universite Paris Cite; Hopital Universitaire Necker-Enfants Malades - APHP; Hopital Universitaire Bicetre - APHP; Assistance Publique Hopitaux Paris (APHP); Hopital Universitaire Bicetre - APHP; Hopital Universitaire Antoine-Beclere - APHP; Universite Paris Saclay; Assistance Publique Hopitaux Paris (APHP); Sorbonne Universite; Hopital Universitaire Tenon - APHP</t>
  </si>
  <si>
    <t>EYRIES, melanie/ABF-1034-2020; Humbert, Marc/AAC-8459-2019; David, Montani/I-6885-2019</t>
  </si>
  <si>
    <t>P82</t>
  </si>
  <si>
    <t>WOS:000362683200148</t>
  </si>
  <si>
    <t>2015 ESC/ERS Guidelines for the diagnosis and treatment of pulmonary hypertension</t>
  </si>
  <si>
    <t>EXTRACORPOREAL MEMBRANE-OXYGENATION; BRAIN NATRIURETIC PEPTIDE; ENDOTHELIN-RECEPTOR ANTAGONIST; RIGHT-VENTRICULAR DYSFUNCTION; HEART-LUNG TRANSPLANTATION; CALCIUM-CHANNEL BLOCKERS; QUALITY-OF-LIFE; INTRAVENOUS EPOPROSTENOL PROSTACYCLIN; IMPROVES EXERCISE CAPACITY; TRANSCATHETER POTTS SHUNT</t>
  </si>
  <si>
    <t>[Galie, Nazzareno; Gibbs, Simon; Lang, Irene; Torbicki, Adam; Sanchez, Miguel Angel Gomez; Lancellotti, Patrizio; McDonagh, Theresa; Pierard, Luc A.; Trindade, Pedro T.] European Soc Cardiol, Sophia Antipolis, France; [Humbert, Marc; Simonneau, Gerald; Peacock, Andrew; Noordegraaf, Anton Vonk; Ghofrani, Ardeschir; Hoeper, Marius] European Resp Soc, Lausanne, Switzerland</t>
  </si>
  <si>
    <t>Galiè, N (corresponding author), Univ Bologna, Dept Expt Diagnost &amp; Specialty Med DIMES, Via Massarenti 9, I-40138 Bologna, Italy.</t>
  </si>
  <si>
    <t>Vachiery, Jean-Luc/ABC-6631-2021; Humbert, Marc/AAC-8459-2019; Ghofrani, Ardeschir/AAD-5293-2020; Simonneau, Gerald/ABE-6614-2020; Beghetti, Maurice/HNP-1055-2023; Lancellotti, Patrizio/AEK-4855-2022; Hoeper, Marius/Z-1546-2019; Kolh, Philippe/AAE-7224-2019; Hansmann, Georg/AAW-5843-2020; Galie, Nazzareno/F-7004-2014</t>
  </si>
  <si>
    <t>Galie, Nazzareno/0000-0003-4271-8670; Hoeper, Marius/0000-0001-9086-2293; Ghofrani, Ardeschir/0000-0002-2029-4419</t>
  </si>
  <si>
    <t>10.1183/13993003.01032-2015</t>
  </si>
  <si>
    <t>CU5WM</t>
  </si>
  <si>
    <t>WOS:000363602700007</t>
  </si>
  <si>
    <t>Hautefort, A; Girerd, B; Montani, D; Cohen-Kaminsky, S; Price, L; Lambrecht, BN; Humbert, M; Perros, F</t>
  </si>
  <si>
    <t>Hautefort, Aurelie; Girerd, Barbara; Montani, David; Cohen-Kaminsky, Sylvia; Price, Laura; Lambrecht, Bart N.; Humbert, Marc; Perros, Frederic</t>
  </si>
  <si>
    <t>Does Circulating IL-17 Identify a Subset of Patients With Idiopathic Pulmonary Arterial Hypertension? Response</t>
  </si>
  <si>
    <t>David, Montani/I-6885-2019; Perros, Frederic/N-6921-2017; Cohen-Kaminsky, Sylvia/E-4837-2014; Humbert, Marc/AAC-8459-2019; Lambrecht, Bart N/K-2484-2014</t>
  </si>
  <si>
    <t>Montani, David/0000-0002-9358-6922; Perros, Frederic/0000-0001-7730-2427; Cohen-Kaminsky, Sylvia/0000-0002-6341-7482; Humbert, Marc/0000-0003-0703-2892; Lambrecht, Bart N/0000-0003-4376-6834</t>
  </si>
  <si>
    <t>E132</t>
  </si>
  <si>
    <t>E133</t>
  </si>
  <si>
    <t>10.1378/chest.15-1573</t>
  </si>
  <si>
    <t>CV0QN</t>
  </si>
  <si>
    <t>WOS:000363956300012</t>
  </si>
  <si>
    <t>Perrin, S; Montani, D; O'Connell, C; Günther, S; Girerd, B; Savale, L; Guignabert, C; Sitbon, O; Simonneau, G; Humbert, M; Chaumais, MC</t>
  </si>
  <si>
    <t>Perrin, Swanny; Montani, David; O'Connell, Caroline; Guenther, Sven; Girerd, Barbara; Savale, Laurent; Guignabert, Christophe; Sitbon, Olivier; Simonneau, Gerald; Humbert, Marc; Chaumais, Marie-Camille</t>
  </si>
  <si>
    <t>Nasal decongestant exposure in patients with pulmonary arterial hypertension: a pilot study</t>
  </si>
  <si>
    <t>AMINOREX</t>
  </si>
  <si>
    <t>[Perrin, Swanny; Chaumais, Marie-Camille] Univ Paris 11, Fac Pharm, F-92290 Chatenay Malabry, France; [Perrin, Swanny; Montani, David; O'Connell, Caroline; Guenther, Sven; Girerd, Barbara; Savale, Laurent; Sitbon, Olivier; Simonneau, Gerald; Humbert, Marc] Hop Bicetre, AP HP, Ctr Natl Reference Hypertens Pulm Severe, Dept Hosp Univ DHU Thorax Innovat,Serv Pneumol &amp;, Le Kremlin Bicetre, France; [Montani, David; Guenther, Sven; Girerd, Barbara; Savale, Laurent; Guignabert, Christophe; Sitbon, Olivier; Simonneau, Gerald; Humbert, Marc; Chaumais, Marie-Camille] INSERM, UMRS 999, Le Plessis Robinson, France; [Montani, David; Guenther, Sven; Girerd, Barbara; Savale, Laurent; Guignabert, Christophe; Sitbon, Olivier; Simonneau, Gerald; Humbert, Marc; Chaumais, Marie-Camille] Univ Paris 11, LERMIT, Ctr Chirurg Marie Lannelongue, Le Plessis Robinson, France; [Montani, David; O'Connell, Caroline; Guenther, Sven; Girerd, Barbara; Savale, Laurent; Guignabert, Christophe; Sitbon, Olivier; Simonneau, Gerald; Humbert, Marc] Univ Paris 11, Fac Med, Le Kremlin Bicetre, France; [Chaumais, Marie-Camille] Hop Antoine Beclere, AP HP, Serv Pharm, Dept Hosp Univ DHU Thorax Innovat, Clamart, France</t>
  </si>
  <si>
    <t>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 Universite Paris Saclay; Assistance Publique Hopitaux Paris (APHP); Hopital Universitaire Antoine-Beclere - APHP</t>
  </si>
  <si>
    <t>Chaumais, MC (corresponding author), Hop Antoine Beclere, Serv Pharm, 157 Rue Porte Trivaux, F-92140 Clamart, France.</t>
  </si>
  <si>
    <t>Simonneau, Gerald/ABE-6614-2020; Günther, Sven/ACV-7191-2022; Sitbon, Olivier/I-3623-2019; David, Montani/I-6885-2019; Savale, Laurent/AAJ-9781-2020; Humbert, Marc/AAC-8459-2019; GUNTHER, Sven/P-4177-2017; GUIGNABERT, Christophe/G-3873-2013</t>
  </si>
  <si>
    <t>Humbert, Marc/0000-0003-0703-2892; SITBON, Olivier/0000-0002-1942-1951; Montani, David/0000-0002-9358-6922; Chaumais, Marie-Camille/0000-0002-1217-8442; GUNTHER, Sven/0000-0001-8388-6131; GUIGNABERT, Christophe/0000-0002-8545-4452</t>
  </si>
  <si>
    <t>10.1183/13993003.00051-2015</t>
  </si>
  <si>
    <t>WOS:000363602700034</t>
  </si>
  <si>
    <t>Lau, EMT; Montani, D; Jais, X; Sitbon, O; Simonneau, G; Humbert, M</t>
  </si>
  <si>
    <t>Lau, Edmund M. T.; Montani, David; Jais, Xavier; Sitbon, Olivier; Simonneau, Gerald; Humbert, Marc</t>
  </si>
  <si>
    <t>Response to Letter Regarding Article, Advances in Therapeutic Interventions for Patients With Pulmonary Arterial Hypertension</t>
  </si>
  <si>
    <t>QUALITY-OF-LIFE; EXERCISE</t>
  </si>
  <si>
    <t>[Lau, Edmund M. T.; Montani, David; Jais, Xavier; Sitbon, Olivier; Simonneau, Gerald; Humbert, Marc] Hop Bicetre, AP HP, DHU Thorax Innovat, Serv Pneumol,Ctr Reference Hypertens Pulm Severe, Le Kremlin Bicetre, France; [Lau, Edmund M. T.; Montani, David; Jais, Xavier; Sitbon, Olivier; Simonneau, Gerald; Humbert, Marc] Ctr Chirurg Marie Lannelongue, INSERM, UMR S999, LabEx LERMIT, Le Plessis Robinson, France; [Lau, Edmund M. T.] Univ Sydney, Sydney Med Sch, Camperdown, NSW, Australia; [Montani, David; Jais, Xavier; Sitbon, Olivier; Simonneau, Gerald; Humbert, Marc] Univ Paris Sud, F-94275 Le Kremlin Bicetre, France</t>
  </si>
  <si>
    <t>Universite Paris Saclay; Assistance Publique Hopitaux Paris (APHP); Hopital Universitaire Antoine-Beclere - APHP; Hopital Universitaire Bicetre - APHP; Institut National de la Sante et de la Recherche Medicale (Inserm); Hopital Marie Lannelongue; Universite Paris Saclay; University of Sydney; Universite Paris Saclay</t>
  </si>
  <si>
    <t>Lau, EMT (corresponding author), Hop Bicetre, AP HP, DHU Thorax Innovat, Serv Pneumol,Ctr Reference Hypertens Pulm Severe, Le Kremlin Bicetre, France.</t>
  </si>
  <si>
    <t>Sitbon, Olivier/I-3623-2019; Simonneau, Gerald/ABE-6614-2020; David, Montani/I-6885-2019; Humbert, Marc/AAC-8459-2019</t>
  </si>
  <si>
    <t>Montani, David/0000-0002-9358-6922; Humbert, Marc/0000-0003-0703-2892; JAIS, XAVIER/0000-0002-4104-7994; SITBON, Olivier/0000-0002-1942-1951</t>
  </si>
  <si>
    <t>SEP 22</t>
  </si>
  <si>
    <t>E154</t>
  </si>
  <si>
    <t>10.1161/CIRCULATIONAHA.115.016226</t>
  </si>
  <si>
    <t>CR6VD</t>
  </si>
  <si>
    <t>WOS:000361485100004</t>
  </si>
  <si>
    <t>Price, LC; Shao, DM; Meng, C; Perros, F; Garfield, BE; Zhu, J; Montani, D; Dorfmuller, P; Humbert, M; Adcock, IM; Wort, SJ</t>
  </si>
  <si>
    <t>Price, Laura C.; Shao, Dongmin; Meng, Chao; Perros, Frederic; Garfield, Benjamin E.; Zhu, Jie; Montani, David; Dorfmuller, Peter; Humbert, Marc; Adcock, Ian M.; Wort, Stephen J.</t>
  </si>
  <si>
    <t>Dexamethasone induces apoptosis in pulmonary arterial smooth muscle cells</t>
  </si>
  <si>
    <t>NF-KAPPA-B; CONNECTIVE-TISSUE DISEASES; NECROSIS-FACTOR-ALPHA; NUCLEAR-FACTOR; IMMUNOSUPPRESSIVE THERAPY; GLUCOCORTICOID-RECEPTOR; PLEXIFORM LESIONS; MONONUCLEAR-CELLS; VASCULAR-DISEASE; T-CELLS</t>
  </si>
  <si>
    <t>Background: Dexamethasone suppressed inflammation and haemodynamic changes in an animal model of pulmonary arterial hypertension (PAH). A major target for dexamethasone actions is NF-kappa B, which is activated in pulmonary vascular cells and perivascular inflammatory cells in PAH. Reverse remodelling is an important concept in PAH disease therapy, and further to its anti-proliferative effects, we sought to explore whether dexamethasone augments pulmonary arterial smooth muscle cell (PASMC) apoptosis. Methods: Analysis of apoptosis markers (caspase 3, in-situ DNA fragmentation) and NF-kappa B (p65 and phospho-IKK-alpha/beta) activation was performed on lung tissue from rats with monocrotaline (MCT)-induced pulmonary hypertension (PH), before and after day 14-28 treatment with dexamethasone (5 mg/kg/day). PASMC were cultured from this rat PH model and from normal human lung following lung cancer surgery. Following stimulation with TNF-alpha (10 ng/ml), the effects of dexamethasone (10(-8)-10(-6) M) and IKK2 (NF-kappa B) inhibition (AS602868, 0-3 mu M (0-3x10(-6) M) on IL-6 and CXCL8 release and apoptosis was determined by ELISA and by Hoechst staining. NF-kappa B activation was measured by TransAm assay. Results: Dexamethasone treatment of rats with MCT-induced PH in vivo led to PASMC apoptosis as displayed by increased caspase 3 expression and DNA fragmentation. A similar effect was seen in vitro using TNF-alpha-simulated human and rat PASMC following both dexamethasone and IKK2 inhibition. Increased apoptosis was associated with a reduction in NF-kappa B activation and in IL-6 and CXCL8 release from PASMC. Conclusions: Dexamethasone exerted reverse-remodelling effects by augmenting apoptosis and reversing inflammation in PASMC possibly via inhibition of NF-kappa B. Future PAH therapies may involve targeting these important inflammatory pathways.</t>
  </si>
  <si>
    <t>[Price, Laura C.; Shao, Dongmin; Meng, Chao; Garfield, Benjamin E.; Wort, Stephen J.] Royal Brompton Hosp, Pulm Hypertens Serv, London SW3 6NP, England; [Perros, Frederic; Montani, David; Dorfmuller, Peter; Humbert, Marc] Hop Bicetre, Serv Pneumol &amp; Reanimat Resp, F-94270 Le Kremlin Bicetre, France; [Zhu, Jie] Royal Brompton Hosp, Dept Histopathol, London SW3 6NP, England; [Adcock, Ian M.] Univ London Imperial Coll Sci Technol &amp; Med, Natl Heart &amp; Lung Inst, Airways Dis Sect, London SW3 6LY, England; [Meng, Chao] Shanghai Jiao Tong Univ, Sch Med, Renji Hosp, Dept Geriatr, Shanghai 200030, Peoples R China</t>
  </si>
  <si>
    <t>Royal Brompton Hospital; Universite Paris Saclay; Assistance Publique Hopitaux Paris (APHP); Hopital Universitaire Antoine-Beclere - APHP; Hopital Universitaire Bicetre - APHP; Royal Brompton Hospital; Imperial College London; Shanghai Jiao Tong University</t>
  </si>
  <si>
    <t>Price, LC (corresponding author), Royal Brompton Hosp, Pulm Hypertens Serv, London SW3 6NP, England.</t>
  </si>
  <si>
    <t>l.price@imperial.ac.uk</t>
  </si>
  <si>
    <t>Adcock, Ian/L-3217-2019; David, Montani/I-6885-2019; Perros, Frederic/N-6921-2017; Humbert, Marc/AAC-8459-2019</t>
  </si>
  <si>
    <t>Perros, Frederic/0000-0001-7730-2427; Montani, David/0000-0002-9358-6922; Adcock, Ian/0000-0003-2101-8843; Humbert, Marc/0000-0003-0703-2892; Dorfmuller, Peter/0000-0003-2499-6829</t>
  </si>
  <si>
    <t>British Heart Foundation; Wellcome Trust; NIHR; MRC [MR/K023918/1] Funding Source: UKRI</t>
  </si>
  <si>
    <t>British Heart Foundation(British Heart Foundation); Wellcome Trust(Wellcome Trust); NIHR(National Institutes of Health Research (NIHR)); MRC(UK Research &amp; Innovation (UKRI)Medical Research Council UK (MRC))</t>
  </si>
  <si>
    <t>British Heart Foundation, Wellcome Trust, NIHR.</t>
  </si>
  <si>
    <t>1465-9921</t>
  </si>
  <si>
    <t>SEP 18</t>
  </si>
  <si>
    <t>10.1186/s12931-015-0262-y</t>
  </si>
  <si>
    <t>CR5EA</t>
  </si>
  <si>
    <t>WOS:000361361800001</t>
  </si>
  <si>
    <t>Boucly, A; Jaïs, X; Sattler, C; Seferian, A; Amar, D; Montani, D; Simonneau, G; Humbert, M; Sitbon, O; Savale, L</t>
  </si>
  <si>
    <t>Boucly, Athenais; Jais, Xavier; Sattler, Caroline; Seferian, Andrei; Amar, David; Montani, David; Simonneau, Gerald; Humbert, Marc; Sitbon, Olivier; Savale, Laurent</t>
  </si>
  <si>
    <t>Long-term outcome of sarcoidosis-associated pulmonary hypertension in the modern treatment era</t>
  </si>
  <si>
    <t>Pulmonary hypertension; Sarcoidosis; Treatments</t>
  </si>
  <si>
    <t>[Boucly, Athenais; Jais, Xavier; Sattler, Caroline; Seferian, Andrei; Amar, David; Montani, David; Simonneau, Gerald; Humbert, Marc; Sitbon, Olivier; Savale, Laurent] Hop Bicetre, Serv Pneumol, Le Kremlin Bicetre, France</t>
  </si>
  <si>
    <t>Assistance Publique Hopitaux Paris (APHP); Hopital Universitaire Bicetre - APHP; Universite Paris Saclay; Hopital Universitaire Antoine-Beclere - APHP</t>
  </si>
  <si>
    <t>Savale, Laurent/AAJ-9781-2020; David, Montani/I-6885-2019; Sitbon, Olivier/I-3623-2019; Humbert, Marc/AAC-8459-2019; Simonneau, Gerald/ABE-6614-2020</t>
  </si>
  <si>
    <t>OA4998</t>
  </si>
  <si>
    <t>10.1183/13993003.congress-2015.OA4998</t>
  </si>
  <si>
    <t>VH2QW</t>
  </si>
  <si>
    <t>WOS:000451979401044</t>
  </si>
  <si>
    <t>GINA 2015: the latest iteration of a magnificent journey</t>
  </si>
  <si>
    <t>SEVERE ASTHMA; ALLERGIC RHINITIS; GUIDELINES; POPULATION; DEFINITION; STRATEGY; COPD; CARE; MANAGEMENT; SEVERITY</t>
  </si>
  <si>
    <t>[Bousquet, Jean] Univ Hosp, Montpellier, France; [Bousquet, Jean] MACVIA LR, Malad Chron Spour Vieillissement Actif Languedoc, Montpellier, France; [Bousquet, Jean] INSERM, VIMA:Ageing &amp; Chron Dis Epidemiol &amp; Publ Hlth App, U1168, Paris, France; [Bousquet, Jean] Univ Versailles St Quentin En Yvelines, UVSQ, UMR S 1168, Paris, France; [Humbert, Marc] Univ Paris 11, Fac Med, Le Kremlin Bicetre, France; [Humbert, Marc] Hop Bicetre, AP HP, Ctr Reference Hypertens Pulm Severe, Dept Hosp Univ DHU Thorax Innovat TORINO,Serv Pne, Le Kremlin Bicetre, France; [Humbert, Marc] Univ Paris 11, INSERM, UMR S 999,Ctr Chirurg Marie Lannelongue, Lab Excellence LabEx Rech Medicament &amp; Innovat Th, Le Plessis Robinson, France</t>
  </si>
  <si>
    <t>Universite de Montpellier; CHU de Montpellier; Universite de Montpellier; Institut National de la Sante et de la Recherche Medicale (Inserm); Universite Paris Saclay; Universite Paris Saclay; Universite Paris Saclay; Universite Paris Saclay; Assistance Publique Hopitaux Paris (APHP); Hopital Universitaire Bicetre - APHP; Hopital Universitaire Antoine-Beclere - APHP; Hopital Marie Lannelongue; Universite Paris Saclay; Institut National de la Sante et de la Recherche Medicale (Inserm)</t>
  </si>
  <si>
    <t>10.1183/13993003.01084-2015</t>
  </si>
  <si>
    <t>CQ6BM</t>
  </si>
  <si>
    <t>WOS:000360689400001</t>
  </si>
  <si>
    <t>Courboulin, A; Sanz, G; Breuils-Bonnet, S; Quatredeniers, M; Vocelle, M; Lafond, M; Perros, F; Bonnet, S; Pajot-Augy, E; Humbert, M; Cohen-Kaminsky, S</t>
  </si>
  <si>
    <t>Courboulin, Audrey; Sanz, Guenhael; Breuils-Bonnet, Sandra; Quatredeniers, Marceau; Vocelle, Matthieu; Lafond, Mathilde; Perros, Frederic; Bonnet, Sebastien; Pajot-Augy, Edith; Humbert, Marc; Cohen-Kaminsky, Sylvia</t>
  </si>
  <si>
    <t>Olfactory receptors in pulmonary arterial hypertension: A novel pathway of vascular remodeling?</t>
  </si>
  <si>
    <t>Pulmonary hypertension; Cell biology; Treatments</t>
  </si>
  <si>
    <t>[Courboulin, Audrey; Quatredeniers, Marceau; Vocelle, Matthieu; Lafond, Mathilde; Perros, Frederic; Humbert, Marc; Cohen-Kaminsky, Sylvia] Univ Paris Sud, Ctr Chirurg Marie Lannelongue, Inserm, U999, Le Plessis Robinson, France; [Sanz, Guenhael; Pajot-Augy, Edith] INRA, UR1197, Jouy En Josas, France; [Breuils-Bonnet, Sandra; Bonnet, Sebastien] CRIUCPQ, Grp Rech Hypertens Arterielle Pulm, Quebec City, PQ, Canada</t>
  </si>
  <si>
    <t>Institut National de la Sante et de la Recherche Medicale (Inserm); Universite Paris Saclay; Hopital Marie Lannelongue; Universite Paris Saclay; INRAE</t>
  </si>
  <si>
    <t>Perros, Frédéric/N-6921-2017; Humbert, Marc/AAC-8459-2019; Cohen-Kaminsky, Sylvia/E-4837-2014</t>
  </si>
  <si>
    <t>PA2431</t>
  </si>
  <si>
    <t>10.1183/13993003.congress-2015.PA2431</t>
  </si>
  <si>
    <t>WOS:000451979403137</t>
  </si>
  <si>
    <t>Dumas, SJ; Perros, F; Bru-Mercier, G; Courboulin, A; Ranchoux, B; Rücker-Martin, C; Gouadon, E; Vocelle, M; Raymond, N; Dorfmüller, P; Fadel, E; Humbert, M; Cohen-Kaminsky, S</t>
  </si>
  <si>
    <t>Dumas, Sebastien J.; Perros, Frederic; Bru-Mercier, Gilles; Courboulin, Audrey; Ranchoux, Benoit; Rucker-Martin, Catherine; Gouadon, Elodie; Vocelle, Matthieu; Raymond, Nicolas; Dorfmueller, Peter; Fadel, Elie; Humbert, Marc; Cohen-Kaminsky, Sylvia</t>
  </si>
  <si>
    <t>LSC Abstract - Glutamatergic signaling through pulmonary vascular NMDA receptors in pulmonary hypertension</t>
  </si>
  <si>
    <t>[Dumas, Sebastien J.; Perros, Frederic; Bru-Mercier, Gilles; Courboulin, Audrey; Rucker-Martin, Catherine; Gouadon, Elodie; Vocelle, Matthieu; Raymond, Nicolas; Dorfmueller, Peter; Fadel, Elie; Humbert, Marc; Cohen-Kaminsky, Sylvia] Univ Paris Sud, Fac Med, Le Kremlin Bicetre, France; [Dumas, Sebastien J.] Univ Paris Sud, Fac Pharm, Chatenay Malabry, France; [Dumas, Sebastien J.; Perros, Frederic; Bru-Mercier, Gilles; Courboulin, Audrey; Ranchoux, Benoit; Rucker-Martin, Catherine; Gouadon, Elodie; Vocelle, Matthieu; Raymond, Nicolas; Dorfmueller, Peter; Fadel, Elie; Humbert, Marc; Cohen-Kaminsky, Sylvia] INSERM, Dhu Torino, UMR S 999, LabEx Lermit, Le Plessis Robinson, France; [Humbert, Marc] Hop Bicetre, CNR Hypertens Pulm Severe, AP HP, Serv Pneumol, Le Kremlin Bicetre, France; [Fadel, Elie] Ctr Chirurg Marie Lannelongue, Lab Chirurg Expt, Le Kremlin Bicetre, France</t>
  </si>
  <si>
    <t>Universite Paris Saclay; Universite Paris Saclay; Institut National de la Sante et de la Recherche Medicale (Inserm); Universite Paris Saclay; Assistance Publique Hopitaux Paris (APHP); Hopital Universitaire Antoine-Beclere - APHP; Hopital Universitaire Bicetre - APHP; Universite Paris Saclay; Hopital Marie Lannelongue</t>
  </si>
  <si>
    <t>Perros, Frédéric/N-6921-2017; Ranchoux, Benoît/AAX-6037-2020; Humbert, Marc/AAC-8459-2019; Dumas, Sébastien/AAA-2056-2021; Cohen-Kaminsky, Sylvia/E-4837-2014</t>
  </si>
  <si>
    <t>PA4898</t>
  </si>
  <si>
    <t>10.1183/13993003.congress-2015.PA4898</t>
  </si>
  <si>
    <t>WOS:000451979407089</t>
  </si>
  <si>
    <t>Dumas, SJ; Legouffe, R; Pamelard, F; Bonnel, D; De Muller, GP; Hamm, G; Dorfmüller, P; Fadel, E; Humbert, M; Stauber, J; Cohen-Kaminsky, S; Heron, A</t>
  </si>
  <si>
    <t>Dumas, Sebastien J.; Legouffe, Raphael; Pamelard, Fabien; Bonnel, David; De Muller, Gael Picard; Hamm, Gregory; Dorfmueller, Peter; Fadel, Elie; Humbert, Marc; Stauber, Jonathan; Cohen-Kaminsky, Sylvia; Heron, Alain</t>
  </si>
  <si>
    <t>In-situ metabolite profiling of remodeled arteries in Pulmonary Arterial Hypertension (PAH) using innovative mass spectrometry imaging (MSI) tools</t>
  </si>
  <si>
    <t>Pulmonary hypertension; Biomarkers; Imaging</t>
  </si>
  <si>
    <t>[Dumas, Sebastien J.; Dorfmueller, Peter; Fadel, Elie; Humbert, Marc; Stauber, Jonathan; Cohen-Kaminsky, Sylvia] Univ Paris Sud, LabEx LERMIT, INSERM, UMR S 999, Le Plessis Robinson, France; [Legouffe, Raphael; Pamelard, Fabien; Bonnel, David; De Muller, Gael Picard; Hamm, Gregory; Heron, Alain] ImaBiotech, MS Imaging Dept, Loos, France; [Fadel, Elie] Hop Marie Lannelongue, Dept Chirurg, Le Plessis Robinson, France; [Humbert, Marc] Ctr Natl Reference HTAP Severe, DHU TORINO, Le Plessis Robinson, France</t>
  </si>
  <si>
    <t>Universite Paris Saclay; Institut National de la Sante et de la Recherche Medicale (Inserm); Hopital Marie Lannelongue</t>
  </si>
  <si>
    <t>Dumas, Sébastien/AAA-2056-2021; Humbert, Marc/AAC-8459-2019; Cohen-Kaminsky, Sylvia/E-4837-2014</t>
  </si>
  <si>
    <t>PA4899</t>
  </si>
  <si>
    <t>10.1183/13993003.congress-2015.PA4899</t>
  </si>
  <si>
    <t>WOS:000451979407090</t>
  </si>
  <si>
    <t>Groh, M; Pagnoux, C; Baldini, C; Bel, E; Bottero, P; Cottin, V; Dalhoff, K; Dunogué, B; Gross, W; Holle, J; Humbert, M; Jayne, D; Jennette, JC; Lazor, R; Mahr, A; Merkel, PA; Mouthon, L; Sinico, RA; Specks, U; Vaglio, A; Wechsler, ME; Cordier, JF; Guillevin, L</t>
  </si>
  <si>
    <t>Groh, Matthieu; Pagnoux, Christian; Baldini, Chiara; Bel, Elisabeth; Bottero, Paolo; Cottin, Vincent; Dalhoff, Klaus; Dunogue, Bertrand; Gross, Wolfgang; Holle, Julia; Humbert, Marc; Jayne, David; Jennette, J. Charles; Lazor, Romain; Mahr, Alfred; Merkel, Peter A.; Mouthon, Luc; Sinico, Renato Alberto; Specks, Ulrich; Vaglio, Augusto; Wechsler, Michael E.; Cordier, Jean-Francois; Guillevin, Loic</t>
  </si>
  <si>
    <t>Eosinophilic granulomatosis with polyangiitis (Churg-Strauss) (EGPA) Consensus Task Force recommendations for evaluation and management</t>
  </si>
  <si>
    <t>EUROPEAN JOURNAL OF INTERNAL MEDICINE</t>
  </si>
  <si>
    <t>Churg-Strauss syndrome; Anti-neutrophil cytoplasm antibody-associated vasculitis; Eosinophilia; Asthma; Recommendations; Eosinophilic granulomatosis with polyangiitis</t>
  </si>
  <si>
    <t>SYSTEMIC-NECROTIZING-VASCULITIDES; ANCA-ASSOCIATED VASCULITIS; TERM-FOLLOW-UP; ANTINEUTROPHIL CYTOPLASMIC ANTIBODIES; PNEUMOCYSTIS-CARINII-PNEUMONIA; POLYARTERITIS-NODOSA; MICROSCOPIC POLYANGIITIS; WEGENERS-GRANULOMATOSIS; RANDOMIZED-TRIAL; PLASMA-EXCHANGE</t>
  </si>
  <si>
    <t>Objective: To develop disease-specific recommendations for the diagnosis and management of eosinophilic granulomatosis with polyangiitis (Churg-Strauss syndrome) (EGPA). Methods: The EGPA Consensus Task Force experts comprised 8 pulmonologists, 6 internists, 4 rheumatologists, 3 nephrologists, 1 pathologist and 1 allergist from 5 European countries and the USA. Using a modified Delphi process, a list of 40 questions was elaborated by 2 members and sent to all participants prior to the meeting. Concurrently, an extensive literature search was undertaken with publications assigned with a level of evidence according to accepted criteria. Drafts of the recommendations were circulated for review to all members until final consensus was reached. Results: Twenty-two recommendations concerning the diagnosis, initial evaluation, treatment and monitoring of EGPA patients were established. The relevant published information on EGPA, antineutrophil-cytoplasm antibody-associated vasculitides, hypereosinophilic syndromes and eosinophilic asthma supporting these recommendations was also reviewed. Discussion: These recommendations aim to give physicians tools for effective and individual management of EGPA patients, and to provide guidance for further targeted research. (C) 2015 European Federation of Internal Medicine. Published by Elsevier B.V. All rights reserved.</t>
  </si>
  <si>
    <t>[Groh, Matthieu; Dunogue, Bertrand; Mouthon, Luc; Guillevin, Loic] Univ Paris 05, Natl Referral Ctr Rare Autoimmune &amp; Syst Dis Vasc, Dept Internal Med, Hop Cochin,APHP,INSERM,U1016, Paris, France; [Pagnoux, Christian] Univ Toronto, Mt Sinai Hosp, Dept Med, Div Rheumatol, Toronto, ON M5G 1X5, Canada; [Baldini, Chiara] Univ Pisa, Dept Internal Med, Rheumatol Unit, Pisa, Italy; [Bel, Elisabeth] Univ Amsterdam, Acad Med Ctr, Dept Resp Med, NL-1105 AZ Amsterdam, Netherlands; [Bottero, Paolo] Azienda Osped Legnano, Osped G Fornaroli Magenta, Allergy &amp; Clin Immunol Outpatient Clin, Milan, Italy; [Cottin, Vincent; Cordier, Jean-Francois] Hosp Civils Lyon, Hop Louis Pradel, Natl Referral Ctr Rare Lung Dis, Dept Resp Med, Lyon, France; [Dalhoff, Klaus; Gross, Wolfgang; Holle, Julia] Univ Clin Schleswig Holstein, Dept Rheumatol, Vasculitis Ctr, Med Clin, Lubeck, Germany; [Gross, Wolfgang; Holle, Julia] Univ Clin Schleswig Holstein, Dept Rheumatol, Vasculitis Ctr, Med Clin, Bad Bramstedt, Germany; [Humbert, Marc] Univ Paris 11, Natl Referral Ctr Severe Pulm Hypertens, Dept Resp &amp; Crit Care Med, Hop Bicetre,APHP,INSERM,UMR S 999, F-94270 Le Kremlin Bicetre, France; [Jayne, David] Addenbrookes Hosp, Vasculitis &amp; Lupus Clin, Cambridge, England; [Jennette, J. Charles] Univ N Carolina, UNC Kidney Ctr, Dept Pathol &amp; Lab Med, Chapel Hill, NC USA; [Lazor, Romain] CHU Vaudois, Dept Resp Med, Interstitial &amp; Rare Lung Dis Unit, Lausanne, Switzerland; [Mahr, Alfred] Univ Paris 07, Hop St Louis, Dept Internal Med, Paris, France; [Merkel, Peter A.] Univ Penn, Div Rheumatol, Philadelphia, PA 19104 USA; [Sinico, Renato Alberto] Azienda Osped San Carlo Borromeo, Dept Med, Clin Immunol Unit, Milan, Italy; [Sinico, Renato Alberto] Azienda Osped San Carlo Borromeo, Dept Med, Renal Unit, Milan, Italy; [Specks, Ulrich] Mayo Clin, Coll Med, Div Pulm &amp; Crit Care Med, Rochester, MN USA; [Vaglio, Augusto] Univ Hosp Parma, Nephrol Unit, Parma, Italy; [Wechsler, Michael E.] Natl Jewish Hlth, Div Pulm Crit Care &amp; Sleep Med, Denver, CO USA</t>
  </si>
  <si>
    <t>Assistance Publique Hopitaux Paris (APHP); Hopital Universitaire Ambroise-Pare - APHP; Institut National de la Sante et de la Recherche Medicale (Inserm); Universite Paris Cite; Hopital Universitaire Hotel-Dieu - APHP; Hopital Universitaire Cochin - APHP; University of Toronto; Sinai Health System Toronto; Lunenfeld Tanenbaum Research Institute; University of Pisa; University of Amsterdam; Academic Medical Center Amsterdam; CHU Lyon; University of Kiel; Schleswig Holstein University Hospital; University of Kiel; Schleswig Holstein University Hospital; Universite Paris Saclay; Institut National de la Sante et de la Recherche Medicale (Inserm); Assistance Publique Hopitaux Paris (APHP); Hopital Universitaire Ambroise-Pare - APHP; Hopital Universitaire Bicetre - APHP; Hopital Universitaire Antoine-Beclere - APHP; University of Cambridge; Cambridge University Hospitals NHS Foundation Trust; Addenbrooke's Hospital; University of North Carolina; University of North Carolina Chapel Hill; University of Lausanne; Centre Hospitalier Universitaire Vaudois (CHUV); Assistance Publique Hopitaux Paris (APHP); Universite Paris Cite; Hopital Universitaire Saint-Louis - APHP; University of Pennsylvania; San Carlo Borromeo Hospital; San Carlo Borromeo Hospital; Mayo Clinic; University of Parma; University Hospital of Parma; National Jewish Health</t>
  </si>
  <si>
    <t>Guillevin, L (corresponding author), Hop Cochin, Dept Internal Med, 27 Rue Faubourg St Jacques, F-75679 Paris 14, France.</t>
  </si>
  <si>
    <t>loic.guillevin@cch.aphp.fr</t>
  </si>
  <si>
    <t>sinico, renato/I-6777-2012; Wechsler, Michael/AAC-5506-2019; Holle, Julia/MFZ-8146-2025; Pagnoux, Christian/C-4612-2015; Vaglio, Augusto/AHE-8117-2022; Humbert, Marc/AAC-8459-2019; BALDINI, CHIARA/K-9829-2016</t>
  </si>
  <si>
    <t>Mahr, Alfred/0000-0002-1564-9115; Vaglio, Augusto/0000-0002-3814-9172; Groh, Matthieu/0000-0003-0810-136X; Jennette, John Charles/0000-0002-8081-6565; Humbert, Marc/0000-0003-0703-2892; BALDINI, CHIARA/0000-0002-4454-1824; Lazor, Romain/0000-0002-2933-0754; Jayne, David/0000-0002-1712-0637</t>
  </si>
  <si>
    <t>Foundation for the Development of Internal Medicine in Europe; European Respiratory Society</t>
  </si>
  <si>
    <t>The authors thank the Foundation for the Development of Internal Medicine in Europe and the European Respiratory Society for sponsorship, and Mrs Janet Jacobson for editorial assistance.</t>
  </si>
  <si>
    <t>0953-6205</t>
  </si>
  <si>
    <t>1879-0828</t>
  </si>
  <si>
    <t>EUR J INTERN MED</t>
  </si>
  <si>
    <t>Eur. J. Intern. Med.</t>
  </si>
  <si>
    <t>10.1016/j.ejim.2015.04.022</t>
  </si>
  <si>
    <t>CX5UJ</t>
  </si>
  <si>
    <t>WOS:000365767700023</t>
  </si>
  <si>
    <t>Günther, S; Chebly, G; Humbert, M; Arnulf, I; Similowski, T; Redolfi, S</t>
  </si>
  <si>
    <t>Gunther, Sven; Chebly, Georges; Humbert, Marc; Arnulf, Isabelle; Similowski, Thomas; Redolfi, Stefania</t>
  </si>
  <si>
    <t>Sleep disorders; Pulmonary hypertension; Physiology</t>
  </si>
  <si>
    <t>[Gunther, Sven; Humbert, Marc] Univ Paris Sud, Fac Med, Le Kremlin Bicetre, France; [Gunther, Sven; Humbert, Marc] Hop Bicetre, AP HP, Ctr Natl Reference Hypertens Pulm Severe, Dept Hosp Univ DHU Thorax Innovat,Serv Pneumol, Le Kremlin Bicetre, France; [Chebly, Georges; Arnulf, Isabelle; Redolfi, Stefania] Grp Hosp Pitie Salpetriere Charles Foix, AP HP, Serv Pathol Sommeil, Dept R3S, Paris, France; [Similowski, Thomas; Redolfi, Stefania] UPMC Univ Paris 06, Sorbonne Univ, INSERM, Neurophysiol Resp Expt &amp; Clin UMRS1158, Paris, France</t>
  </si>
  <si>
    <t>Universite Paris Saclay; Universite Paris Saclay; Assistance Publique Hopitaux Paris (APHP); Hopital Universitaire Bicetre - APHP; Hopital Universitaire Antoine-Beclere - APHP; Sorbonne Universite; Assistance Publique Hopitaux Paris (APHP); Hopital Universitaire Pitie-Salpetriere - APHP; Hopital Universitaire Charles-Foix - APHP; Institut National de la Sante et de la Recherche Medicale (Inserm); Sorbonne Universite</t>
  </si>
  <si>
    <t>REDOLFI, STEFANIA/AAH-8446-2019; Similowski, Thomas/GQQ-9468-2022; Humbert, Marc/AAC-8459-2019</t>
  </si>
  <si>
    <t>OA3527</t>
  </si>
  <si>
    <t>10.1183/13993003.congress-2015.OA3527</t>
  </si>
  <si>
    <t>WOS:000451979400341</t>
  </si>
  <si>
    <t>Günther, S; Perros, F; Ranchoux, B; Godinas, L; Antigny, F; Chaumais, MC; Dorfmuller, P; Hautefort, A; Raymond, N; Savale, L; Jaïs, X; Sitbon, O; Simonneau, G; Humbert, M; Montani, D</t>
  </si>
  <si>
    <t>Gunther, Sven; Perros, Frederic; Ranchoux, Benoit; Godinas, Laurent; Antigny, Fabrice; Chaumais, Marie-Camille; Dorfmuller, Peter; Hautefort, Aurelie; Raymond, Nicolas; Savale, Laurent; Jais, Xavier; Sitbon, Olivier; Simonneau, Gerald; Humbert, Marc; Montani, David</t>
  </si>
  <si>
    <t>Mitomycin-induced pulmonary veno-occlusive disease: Experience from the French pulmonary hypertension network</t>
  </si>
  <si>
    <t>Pulmonary hypertension; Lung injury; Circulation</t>
  </si>
  <si>
    <t>[Gunther, Sven; Perros, Frederic; Ranchoux, Benoit; Godinas, Laurent; Antigny, Fabrice; Chaumais, Marie-Camille; Dorfmuller, Peter; Hautefort, Aurelie; Raymond, Nicolas; Savale, Laurent; Jais, Xavier; Sitbon, Olivier; Simonneau, Gerald; Humbert, Marc; Montani, David] Hop Bicetre, Serv Pneumol, Le Kremlin Bicetre, France</t>
  </si>
  <si>
    <t>Assistance Publique Hopitaux Paris (APHP); Hopital Universitaire Antoine-Beclere - APHP; Universite Paris Saclay; Hopital Universitaire Bicetre - APHP</t>
  </si>
  <si>
    <t>Simonneau, Gerald/ABE-6614-2020; Humbert, Marc/AAC-8459-2019; Sitbon, Olivier/I-3623-2019; Antigny, Fabrice/Q-3999-2018; Savale, Laurent/AAJ-9781-2020; Ranchoux, Benoît/AAX-6037-2020; Godinas, Laurette/AAS-1059-2021; David, Montani/I-6885-2019; Perros, Frédéric/N-6921-2017</t>
  </si>
  <si>
    <t>PA579</t>
  </si>
  <si>
    <t>10.1183/13993003.congress-2015.PA579</t>
  </si>
  <si>
    <t>WOS:000451979407303</t>
  </si>
  <si>
    <t>Halank, M; Humbert, M; Sanchez, MAG; Pittrow, D; Hoeper, M; Grünig, E; Ghofrani, HA; Wirtz, H; Klose, H; Ewert, R; Lange, TJ; Klotsche, J; Meier, C; Brunn, M; Simonneau, G</t>
  </si>
  <si>
    <t>Halank, Michael; Humbert, Marc; Gomez Sanchez, Miguel-Angel; Pittrow, David; Hoeper, Marius; Gruenig, Ekkehard; Ghofrani, H. Ardeschir; Wirtz, Hubert; Klose, Hans; Ewert, Ralf; Lange, Tobias J.; Klotsche, Jens; Meier, Christian; Brunn, Monika; Simonneau, Gerald</t>
  </si>
  <si>
    <t>Riociguat for the treatment of pulmonary arterial hypertension and chronic thromboembolic pulmonary hypertension: Real-life data from the EXPERT registry</t>
  </si>
  <si>
    <t>Pulmonary hypertension; Treatments; Epidemiology</t>
  </si>
  <si>
    <t>[Halank, Michael] Univ Hosp Carl Gustav Carus, Dept Pneumol, Med Clin 1, Dresden, Germany; [Humbert, Marc; Simonneau, Gerald] Univ Paris Sud, Hop Bicetre, DHU Thorax Innovat, Serv Pneumol,Ctr Reference Hypertens Pulm Severe, Le Kremlin Bicetre, France; [Gomez Sanchez, Miguel-Angel] Hosp Univ, CIBERES, Unidad Insuficiencia Cardiaca Trasplante &amp; Hipert, Madrid, Spain; [Pittrow, David] Tech Univ, Inst Clin Pharmacol, Fac Med, Dresden, Germany; [Hoeper, Marius] Hannover Med Sch, Dept Resp Med, Hannover, NH, Germany; [Hoeper, Marius] Hannover Med Sch, German Ctr Lung Res, Hannover, NH, Germany; [Gruenig, Ekkehard] Univ Leipzig, Dept Resp Med, Leipzig, Germany; [Ghofrani, H. Ardeschir] Univ Hosp Giessen &amp; Marburg, Dept Internal Med, Giessen, Germany; [Wirtz, Hubert] Univ Leipzig, Dept Resp Med, Leipzig, Germany; [Klose, Hans] Univ Med Ctr Hamburg Eppendorf, Sect Pneumol, Hamburg, Germany; [Ewert, Ralf] Ernst Moritz Arndt Univ Greifswald, Dept Internal Med Cardiol Intens Care Pulm Med &amp;, Greifwald, Germany; [Lange, Tobias J.] Univ Med Ctr, Dept Internal Med 2, Div Pneumol, Regensburg, Germany; [Klotsche, Jens] Leibniz Inst, German Rheumatism Res Ctr Berlin, Berlin, Germany; [Meier, Christian; Brunn, Monika] Bayer Pharma AG, Global Dev, Global Med Affairs, Berlin, Germany</t>
  </si>
  <si>
    <t>Technische Universitat Dresden; Carl Gustav Carus University Hospital; Universite Paris Saclay; Assistance Publique Hopitaux Paris (APHP); Hopital Universitaire Antoine-Beclere - APHP; Hopital Universitaire Bicetre - APHP; CIBER - Centro de Investigacion Biomedica en Red; CIBERES; University of Sevilla; Technische Universitat Dresden; Hannover Medical School; Hannover Medical School; Leipzig University; University Hospital of Giessen &amp; Marburg; Leipzig University; University of Hamburg; University Medical Center Hamburg-Eppendorf; Universitat Greifswald; University of Regensburg; Leibniz Association; Deutsches Rheuma-Forschungszentrum (DRFZ); Bayer AG; Bayer Healthcare Pharmaceuticals</t>
  </si>
  <si>
    <t>Hoeper, Marius/Z-1546-2019; Simonneau, Gerald/ABE-6614-2020; Pittrow, David/AAY-5042-2021; Humbert, Marc/AAC-8459-2019; Ghofrani, Ardeschir/AAD-5293-2020; Sicilia, Miguel-Angel/F-5002-2012</t>
  </si>
  <si>
    <t>OA4999</t>
  </si>
  <si>
    <t>10.1183/13993003.congress-2015.OA4999</t>
  </si>
  <si>
    <t>WOS:000451979401045</t>
  </si>
  <si>
    <t>Herve, P; Lau, EM; Sitbon, O; Savale, L; Montani, D; Godinas, L; Lador, F; Jaïs, X; Parent, F; Günther, S; Humbert, M; Simonneau, G; Chemla, D</t>
  </si>
  <si>
    <t>Herve, Philippe; Lau, Edmund M.; Sitbon, Olivier; Savale, Laurent; Montani, David; Godinas, Laurent; Lador, Frederic; Jais, Xavier; Parent, Florence; Guenther, Sven; Humbert, Marc; Simonneau, Gerald; Chemla, Denis</t>
  </si>
  <si>
    <t>Criteria for diagnosis of exercise pulmonary hypertension</t>
  </si>
  <si>
    <t>STROKE VOLUME; ARTERIAL-HYPERTENSION; PRESSURE; CIRCULATION; POSITION; REST</t>
  </si>
  <si>
    <t>The previous definition of exercise pulmonary hypertension (PH) with a mean pulmonary artery pressure (mPAP) &gt;30 mmHg was abandoned because healthy individuals can exceed this threshold at high cardiac output (CO). We hypothesised that incorporating assessment of the pressure-flow relationship using the mPAP/CO ratio, i.e. total pulmonary resistance (TPR), might enhance the accuracy of diagnosing an abnormal exercise haemodynamic response. Exercise haemodynamics were evaluated in 169 consecutive subjects with normal resting mPAP &lt;= 20 mmHg. Subjects were classified into controls without heart or lung disease (n=68) versus patients with pulmonary vascular disease (PVD) (n=49) and left heart disease (LHD) (n=52). TPR and mPAP at maximal exercise produced diagnostic accuracy with area under the receiver operating curve of 0.99 and 0.95, respectively, for discriminating controls versus patients with PVD and LHD. The old criterion of mPAP &gt;30 mmHg had sensitivity of 0.98 but specificity of 0.77. Combining maximal mPAP &gt;30 mmHg and TPR &gt;3 mmHg.min.L-1 retained sensitivity at 0.93 but improved specificity to 1.0. The accuracy of the combined criteria was high across different age groups, sex, body mass index and diagnosis (PVD or LHD). Combining mPAP &gt;30 mmHg and TPR &gt;3 mmHg.min.L-1 is superior to mPAP &gt;30 mmHg alone for defining a pathological haemodynamic response of the pulmonary circulation during exercise.</t>
  </si>
  <si>
    <t>[Herve, Philippe] Ctr Chirurg Marie Lannelongue, Dept Chirurg Thorac &amp; Vasc &amp; Transplantat Cardiop, Le Plessis Robinson, France; [Herve, Philippe; Lau, Edmund M.; Sitbon, Olivier; Savale, Laurent; Montani, David; Godinas, Laurent; Lador, Frederic; Jais, Xavier; Parent, Florence; Guenther, Sven; Humbert, Marc; Simonneau, Gerald; Chemla, Denis] Hop Bicetre, AP HP, Dept Pulm, Ctr Reference Hypertens Pulm Severe,DHU Thorax In, Le Kremlin Bicetre, France; [Herve, Philippe; Sitbon, Olivier; Savale, Laurent; Montani, David; Godinas, Laurent; Jais, Xavier; Parent, Florence; Guenther, Sven; Humbert, Marc; Simonneau, Gerald] Ctr Chirurg Marie Lannelongue, INSERM, UMR S999, LabEx LERMIT, Le Plessis Robinson, France; [Lau, Edmund M.] Univ Sydney, Sydney Med Sch, Camperdown, NSW, Australia; [Sitbon, Olivier; Montani, David; Humbert, Marc; Simonneau, Gerald; Chemla, Denis] Univ Paris 11, Le Kremlin Bicetre, France</t>
  </si>
  <si>
    <t>Hopital Marie Lannelongue; Assistance Publique Hopitaux Paris (APHP); Hopital Universitaire Bicetre - APHP; Universite Paris Saclay; Hopital Universitaire Antoine-Beclere - APHP; Universite Paris Saclay; Hopital Marie Lannelongue; Institut National de la Sante et de la Recherche Medicale (Inserm); University of Sydney; Universite Paris Saclay</t>
  </si>
  <si>
    <t>Herve, P (corresponding author), Hop Marie Lannelongue, 133 Ave Resistance, F-92350 Le Plessis Robinson, France.</t>
  </si>
  <si>
    <t>herveccml@gmail.com</t>
  </si>
  <si>
    <t>David, Montani/I-6885-2019; Simonneau, Gerald/ABE-6614-2020; Savale, Laurent/AAJ-9781-2020; Sitbon, Olivier/I-3623-2019; Günther, Sven/ACV-7191-2022; Godinas, Laurette/AAS-1059-2021; GUNTHER, Sven/P-4177-2017; Humbert, Marc/AAC-8459-2019</t>
  </si>
  <si>
    <t>Godinas, Laurent/0000-0003-2214-5879; GUNTHER, Sven/0000-0001-8388-6131; CHEMLA, Denis/0000-0001-7479-9896; Montani, David/0000-0002-9358-6922; SITBON, Olivier/0000-0002-1942-1951; JAIS, XAVIER/0000-0002-4104-7994; Lador, Frederic/0000-0002-4276-635X; Humbert, Marc/0000-0003-0703-2892</t>
  </si>
  <si>
    <t>10.1183/09031936.00021915</t>
  </si>
  <si>
    <t>WOS:000360689400023</t>
  </si>
  <si>
    <t>Hew, M; Humbert, M; Bottoli, I; Jaumont, X; Lowe, P; Hosoe, M; Pethe, A; Corrigan, C</t>
  </si>
  <si>
    <t>Hew, Mark; Humbert, Marc; Bottoli, Ivan; Jaumont, Xavier; Lowe, Phil; Hosoe, Motoi; Pethe, Abhijit; Corrigan, Chris</t>
  </si>
  <si>
    <t>TRIAL DESIGN CHOICES FOR CQGE031B2204: A CLINICAL PROTOCOL OF A PHASE IIB RANDOMIZED CONTROLLED TRIAL OF ANTI-IgE TREATMENT WITH QGE031/LIGELIZUMAB IN ADULTS WITH MODERATE TO SEVERE ASTHMA</t>
  </si>
  <si>
    <t>INTERNAL MEDICINE JOURNAL</t>
  </si>
  <si>
    <t>[Hew, Mark] Alfred Hosp, AIRMED, Allergy Asthma &amp; Clin Immunol, Melbourne, Vic, Australia; [Humbert, Marc] Univ Paris 11, Serv Pneumol &amp; Reanimat Resp, UPRES EA2705, Inst Paris Sud Cytokines,Hop Antoine Beclere, Clamart, France; [Bottoli, Ivan; Jaumont, Xavier; Lowe, Phil; Hosoe, Motoi] Novartis Pharma AG, Basel, Switzerland; [Pethe, Abhijit] Novartis Corp, E Hanover, NJ USA; [Corrigan, Chris] Kings Coll London, Div Asthma Allergy &amp; Lung Biol, MRC &amp; Asthma, UK Ctr Allerg Mech Asthma, London, England</t>
  </si>
  <si>
    <t>Florey Institute of Neuroscience &amp; Mental Health; Howard Florey Institute Affiliates; Assistance Publique Hopitaux Paris (APHP); Hopital Universitaire Antoine-Beclere - APHP; Universite Paris Saclay; Novartis; Novartis; Novartis USA; University of London; King's College London</t>
  </si>
  <si>
    <t>Lowe, Phil/K-8483-2019; Humbert, Marc/AAC-8459-2019</t>
  </si>
  <si>
    <t>1444-0903</t>
  </si>
  <si>
    <t>1445-5994</t>
  </si>
  <si>
    <t>INTERN MED J</t>
  </si>
  <si>
    <t>Intern. Med. J.</t>
  </si>
  <si>
    <t>P51</t>
  </si>
  <si>
    <t>CQ8CV</t>
  </si>
  <si>
    <t>WOS:000360834700052</t>
  </si>
  <si>
    <t>Jevnikar, M; Godinas, L; Jaïs, X; Sitbon, O; Humbert, M; Simonneau, G; Laveneziana, P; Garcia, G</t>
  </si>
  <si>
    <t>Jevnikar, Mitja; Godinas, Laurent; Jais, Xavier; Sitbon, Olivier; Humbert, Marc; Simonneau, Gerald; Laveneziana, Pierantonio; Garcia, Gilles</t>
  </si>
  <si>
    <t>Small airways dysfunction in chronic thromboembolic pulmonary hypertension</t>
  </si>
  <si>
    <t>Pulmonary hypertension; Lung function testing; Lung mechanics</t>
  </si>
  <si>
    <t>[Jevnikar, Mitja; Godinas, Laurent; Garcia, Gilles] Hop Univ Bicetre, AP HP, Ctr Reference Hypertens Pulm Severe, Serv Explorat Fonct Resp,DHU TORINO Thorax Innova, Le Kremlin Bicetre, France; [Jevnikar, Mitja; Godinas, Laurent; Jais, Xavier; Sitbon, Olivier; Humbert, Marc; Simonneau, Gerald; Garcia, Gilles] Univ Paris Sud 11, Fac Med, Le Kremlin Bicetre, France; [Jevnikar, Mitja; Godinas, Laurent; Jais, Xavier; Sitbon, Olivier; Humbert, Marc; Simonneau, Gerald; Garcia, Gilles] Ctr Chirurg Marie Lannelongue, LabEx LERMIT, INSERM, U999, Le Plessis Robinson, France; [Jais, Xavier; Sitbon, Olivier; Humbert, Marc; Simonneau, Gerald] Hop Univ Bicetre, AP HP, Ctr Reference Hypertens Pulmonaire Severe, Serv Pneumol &amp; Soins Intensifs Thorac,DHU TORINO, Le Kremlin Bicetre, France; [Laveneziana, Pierantonio] UPMC Univ Paris 06, Sorbonne Univ, Neurophysiol Resp Expt &amp; Clin, INSERM,UMRS1158, Paris, France; [Laveneziana, Pierantonio] Grp Hosp Pitie Salpetriere Charles Foix, AP HP, Serv Explorat Fonct Resp Exercice &amp; Dyspnee, Dept R3S, Paris, France</t>
  </si>
  <si>
    <t>Assistance Publique Hopitaux Paris (APHP); Hopital Universitaire Bicetre - APHP; Universite Paris Saclay; Hopital Marie Lannelongue; Institut National de la Sante et de la Recherche Medicale (Inserm); Universite Paris Saclay; Assistance Publique Hopitaux Paris (APHP); Hopital Universitaire Bicetre - APHP; Sorbonne Universite; Institut National de la Sante et de la Recherche Medicale (Inserm); Assistance Publique Hopitaux Paris (APHP); Hopital Universitaire Charles-Foix - APHP; Hopital Universitaire Pitie-Salpetriere - APHP; Sorbonne Universite</t>
  </si>
  <si>
    <t>Laveneziana, Pierantonio/GWC-2028-2022; Sitbon, Olivier/I-3623-2019; Godinas, Laurette/AAS-1059-2021; Simonneau, Gerald/ABE-6614-2020; Humbert, Marc/AAC-8459-2019</t>
  </si>
  <si>
    <t>OA4958</t>
  </si>
  <si>
    <t>10.1183/13993003.congress-2015.OA4958</t>
  </si>
  <si>
    <t>WOS:000451979400458</t>
  </si>
  <si>
    <t>Lau, E; Godinas, L; Montani, D; Seferian, A; Jais, X; Savale, L; Sitbon, O; Simonneau, G; Humbert, M; Chemla, D; Herve, P</t>
  </si>
  <si>
    <t>Lau, Edmund; Godinas, Laurent; Montani, David; Seferian, Andrei; Jais, Xavier; Savale, Laurent; Sitbon, Oliver; Simonneau, Gerald; Humbert, Marc; Chemla, Denis; Herve, Philippe</t>
  </si>
  <si>
    <t>Clinical and haemodynamic predictors of abnormal pulmonary vascular response at exercise</t>
  </si>
  <si>
    <t>Pulmonary hypertension; Exercise; Physiology</t>
  </si>
  <si>
    <t>[Lau, Edmund] Royal Prince Alfred Hosp, Dept Resp Med, Sydney, NSW, Australia; [Godinas, Laurent; Montani, David; Seferian, Andrei; Jais, Xavier; Savale, Laurent; Sitbon, Oliver; Simonneau, Gerald; Humbert, Marc; Chemla, Denis; Herve, Philippe] Hop Bicetre, Serv Pneumol, Le Kremlin Bicetre, France</t>
  </si>
  <si>
    <t>NSW Health; Royal Prince Alfred Hospital; University of Sydney; Universite Paris Saclay; Assistance Publique Hopitaux Paris (APHP); Hopital Universitaire Antoine-Beclere - APHP; Hopital Universitaire Bicetre - APHP</t>
  </si>
  <si>
    <t>Simonneau, Gerald/ABE-6614-2020; Humbert, Marc/AAC-8459-2019; Savale, Laurent/AAJ-9781-2020; David, Montani/I-6885-2019; Godinas, Laurette/AAS-1059-2021; Sitbon, Olivier/I-3623-2019</t>
  </si>
  <si>
    <t>OA3529</t>
  </si>
  <si>
    <t>10.1183/13993003.congress-2015.OA3529</t>
  </si>
  <si>
    <t>WOS:000451979400343</t>
  </si>
  <si>
    <t>Laveneziana, P; Degano, B; Boutet, K; Jaïs, X; Simonneau, G; Humbert, M; Sitbon, O; Garcia, G</t>
  </si>
  <si>
    <t>Laveneziana, Pierantonio; Degano, Bruno; Boutet, Kim; Jais, Xavier; Simonneau, Gerald; Humbert, Marc; Sitbon, Olivier; Garcia, Gilles</t>
  </si>
  <si>
    <t>Effects of 12-week exercise training-related rehabilitation on exertional dyspnoea in patients with idiopathic pulmonary arterial hypertension</t>
  </si>
  <si>
    <t>Exercise; Pulmonary hypertension; Rehabilitation</t>
  </si>
  <si>
    <t>[Laveneziana, Pierantonio] UPMC Univ Paris 06, Sorbonne Univ, INSERM, UMRS1158,Neurophysiol Resp Exp &amp; Clin, Paris, France; [Laveneziana, Pierantonio] Grp Hosp Pitie Salpetriere Charles Foix, AP HP, Dept R3S, Serv Explorat Fonct Resp Exercice &amp; Dyspnee, Paris, France; [Laveneziana, Pierantonio; Boutet, Kim; Garcia, Gilles] Hop Univ Bicetre, AP HP, DHU TORINO Thorax Innovat, Serv Explorat Fonct Resp,Ctr Reference Hypertens, Paris, France; [Degano, Bruno] Hop Jean Minjoz, Serv Physiol Explorat Fonct, Besancon, France; [Degano, Bruno] Univ Franche Comte, EA 3920, Besancon, France; [Boutet, Kim; Jais, Xavier; Simonneau, Gerald; Humbert, Marc; Sitbon, Olivier; Garcia, Gilles] Univ Paris Sud 11, Fac Med, Le Kremlin Bicetre, France; [Boutet, Kim; Jais, Xavier; Simonneau, Gerald; Humbert, Marc; Sitbon, Olivier; Garcia, Gilles] INSERM, Ctr Chirurg Marie Lannelongue, LabEx LERMIT, U999, Le Plessis Robinson, France; [Jais, Xavier; Simonneau, Gerald; Humbert, Marc; Sitbon, Olivier] Hop Univ Bicetre, AP HP, DHU TORINO Thorax Innovat, Serv Pneumol &amp; Soins Intensifs Thorac,Ctr Referen, Le Kremlin Bicetre, France</t>
  </si>
  <si>
    <t>Institut National de la Sante et de la Recherche Medicale (Inserm); Sorbonne Universite; Sorbonne Universite; Assistance Publique Hopitaux Paris (APHP); Hopital Universitaire Pitie-Salpetriere - APHP; Hopital Universitaire Charles-Foix - APHP; Assistance Publique Hopitaux Paris (APHP); Hopital Universitaire Bicetre - APHP; Universite de Franche-Comte; CHU Besancon; Universite de Franche-Comte; Universite Paris Saclay; Hopital Marie Lannelongue; Universite Paris Saclay; Institut National de la Sante et de la Recherche Medicale (Inserm); Assistance Publique Hopitaux Paris (APHP); Hopital Universitaire Bicetre - APHP</t>
  </si>
  <si>
    <t>Humbert, Marc/AAC-8459-2019; Laveneziana, Pierantonio/GWC-2028-2022; Degano, Bruno/IAQ-7289-2023</t>
  </si>
  <si>
    <t>PA2230</t>
  </si>
  <si>
    <t>10.1183/13993003.congress-2015.PA2230</t>
  </si>
  <si>
    <t>WOS:000451979402425</t>
  </si>
  <si>
    <t>Le Hiress, M; Tu, L; Phan, C; Thuillet, R; Ricard, N; Seferian, A; Fadel, E; Simonneau, G; Huertas, A; Tamura, Y; Humbert, M; Guignabert, C</t>
  </si>
  <si>
    <t>Le Hiress, Morane; Tu, Ly; Phan, Carole; Thuillet, Raphael; Ricard, Nicolas; Seferian, Andrei; Fadel, Elie; Simonneau, Gerald; Huertas, Alice; Tamura, Yuichi; Humbert, Marc; Guignabert, Christophe</t>
  </si>
  <si>
    <t>Endothelial-derived MIF contributes to pulmonary endothelial cell proliferation in human pulmonary arterial hypertension</t>
  </si>
  <si>
    <t>[Le Hiress, Morane; Tu, Ly; Phan, Carole; Thuillet, Raphael; Ricard, Nicolas; Seferian, Andrei; Fadel, Elie; Simonneau, Gerald; Huertas, Alice; Tamura, Yuichi; Humbert, Marc; Guignabert, Christophe] Ctr Chirurg Marie Lannelongue, INSERM, UMR S 999, Le Plessis Robinson, France; [Le Hiress, Morane; Tu, Ly; Phan, Carole; Thuillet, Raphael; Ricard, Nicolas; Seferian, Andrei; Fadel, Elie; Simonneau, Gerald; Huertas, Alice; Tamura, Yuichi; Humbert, Marc; Guignabert, Christophe] Univ Paris Sud, Sch Med, Le Kremlin Bicetre, France; [Seferian, Andrei; Simonneau, Gerald; Huertas, Alice; Humbert, Marc] AP HP, Ctr Reference Hypertens Pulm Severe, Serv Pneumol, Le Kremlin Bicetre, France</t>
  </si>
  <si>
    <t>Hopital Marie Lannelongue; Universite Paris Saclay; Institut National de la Sante et de la Recherche Medicale (Inserm); Universite Paris Saclay; Assistance Publique Hopitaux Paris (APHP); Hopital Universitaire Bicetre - APHP</t>
  </si>
  <si>
    <t>Tamura, Yuichi/B-5991-2014; GUIGNABERT, Christophe/G-3873-2013; Humbert, Marc/AAC-8459-2019; Simonneau, Gerald/ABE-6614-2020; Ricard, Nicolas/AAF-1083-2019; TU, Ly/G-4035-2013; Huertas, Alice/E-8244-2017</t>
  </si>
  <si>
    <t>PA4900</t>
  </si>
  <si>
    <t>10.1183/13993003.congress-2015.PA4900</t>
  </si>
  <si>
    <t>WOS:000451979407091</t>
  </si>
  <si>
    <t>Montani, D; Girerd, B; Amar, D; Jais, X; Savale, L; Dorfmuller, P; Lepavec, J; Eyries, M; Soubrier, F; Sitbon, O; Simonneau, G; Humbert, M</t>
  </si>
  <si>
    <t>Montani, David; Girerd, Barbara; Amar, David; Jais, Xavier; Savale, Laurent; Dorfmuller, Peter; Lepavec, Jerome; Eyries, Melanie; Soubrier, Florent; Sitbon, Olivier; Simonneau, Gerald; Humbert, Marc</t>
  </si>
  <si>
    <t>Characteristics and outcomes of heritable pulmonary veno-occlusive disease due to EIF2AK4 mutations</t>
  </si>
  <si>
    <t>Pulmonary hypertension; Genetics; Orphan disease</t>
  </si>
  <si>
    <t>[Montani, David; Girerd, Barbara; Amar, David; Jais, Xavier; Savale, Laurent; Dorfmuller, Peter; Lepavec, Jerome; Sitbon, Olivier; Simonneau, Gerald; Humbert, Marc] Univ Paris Sud, Hop Bicetre, INSERM,UMR S999,DHU Thorax Innovat TORINO, AP HP,Serv Pneumol,Ctr Reference Hypertens Pulm S, Le Kremlin Bicetre, France; [Eyries, Melanie; Soubrier, Florent] Univ Pierre &amp; Marie Curie Paris 6, Grp Hosp Pitie Salpetriere, INSERM, Lab Oncogenet &amp; Angiogenet Mol,UMRS 956, Paris, France</t>
  </si>
  <si>
    <t>Assistance Publique Hopitaux Paris (APHP); Hopital Universitaire Bicetre - APHP; Universite Paris Saclay; Institut National de la Sante et de la Recherche Medicale (Inserm); Hopital Universitaire Antoine-Beclere - APHP; Assistance Publique Hopitaux Paris (APHP); Hopital Universitaire Pitie-Salpetriere - APHP; Institut National de la Sante et de la Recherche Medicale (Inserm); Sorbonne Universite</t>
  </si>
  <si>
    <t>Sitbon, Olivier/I-3623-2019; Savale, Laurent/AAJ-9781-2020; Simonneau, Gerald/ABE-6614-2020; EYRIES, melanie/ABF-1034-2020; Humbert, Marc/AAC-8459-2019; David, Montani/I-6885-2019</t>
  </si>
  <si>
    <t>PA580</t>
  </si>
  <si>
    <t>10.1183/13993003.congress-2015.PA580</t>
  </si>
  <si>
    <t>WOS:000451979407304</t>
  </si>
  <si>
    <t>Nossent, E; Montani, D; Girerd, B; Perros, F; Soubrier, F; Fadel, E; Grünberg, K; Bogaard, HJ; Simonneau, G; Noordegraaf, AV; Humbert, M; Dorfmüller, P</t>
  </si>
  <si>
    <t>Nossent, Esther; Montani, David; Girerd, Barbara; Perros, Frederic; Soubrier, Florent; Fadel, Eli; Grunberg, Katrien; Bogaard, Harm Jan; Simonneau, Gerald; Noordegraaf, Anton Vonk; Humbert, Marc; Dorfmueller, Peter</t>
  </si>
  <si>
    <t>Pulmonary arterial lesions and interstitial remodeling patterns in histology differentiate EIF2AK4 mutation-carriers from non-carriers with pulmonary veno-occlusive disease</t>
  </si>
  <si>
    <t>Pulmonary hypertension; Genetics; Molecular pathology</t>
  </si>
  <si>
    <t>[Nossent, Esther; Bogaard, Harm Jan; Noordegraaf, Anton Vonk] Vrije Univ Amsterdam, Inst Cardiovasc Res, Pulm Dis, Med Ctr, Amsterdam, Netherlands; [Grunberg, Katrien] Vrije Univ Amsterdam, Inst Cardiovasc Res, Pathol, Med Ctr, Amsterdam, Netherlands; [Montani, David; Girerd, Barbara; Perros, Frederic; Simonneau, Gerald; Humbert, Marc; Dorfmueller, Peter] Paris South Univ, Fac Med, Paris, France; [Dorfmueller, Peter] Ctr Chirurg Marie Lannelongue, Pathol, Paris, France; [Montani, David; Girerd, Barbara; Perros, Frederic; Simonneau, Gerald; Humbert, Marc; Dorfmueller, Peter] INSERM, Ctr Chirurg Marie Lannelongue, Pulm Hypertens Pathophysiol &amp; Novel Therapies, U999, Paris, France; [Montani, David; Girerd, Barbara; Simonneau, Gerald; Humbert, Marc] Hop Bicetre, AP HP, Natl Reference Ctr Pulm Hypertens, Dept Pulmonol &amp; Intens Care,Unit Resp Dis, Paris, France; [Soubrier, Florent] Univ Paris 06, UPMC, Unite Mixte Rech Sante UMR S 956, Paris, France; [Soubrier, Florent] INSERM, Paris, France; [Fadel, Eli] Ctr Chirurg Marie Lannelongue, Thorac Surg, Paris, France</t>
  </si>
  <si>
    <t>Vrije Universiteit Amsterdam; Vrije Universiteit Amsterdam; Universite Paris Saclay; Hopital Marie Lannelongue; Institut National de la Sante et de la Recherche Medicale (Inserm); Universite Paris Saclay; Hopital Marie Lannelongue; Assistance Publique Hopitaux Paris (APHP); Hopital Universitaire Bicetre - APHP; Universite Paris Saclay; Sorbonne Universite; Institut National de la Sante et de la Recherche Medicale (Inserm); Hopital Marie Lannelongue</t>
  </si>
  <si>
    <t>David, Montani/I-6885-2019; Humbert, Marc/AAC-8459-2019; Simonneau, Gerald/ABE-6614-2020; Perros, Frédéric/N-6921-2017; Grünberg, Katrien/M-9715-2015</t>
  </si>
  <si>
    <t>PA582</t>
  </si>
  <si>
    <t>10.1183/13993003.congress-2015.PA582</t>
  </si>
  <si>
    <t>WOS:000451979407306</t>
  </si>
  <si>
    <t>Perros, F; Günther, S; Ranchoux, B; Godinas, L; Antigny, F; Chaumais, MC; Dorfmüller, P; Hautefort, A; Raymond, N; Savale, L; Jais, X; Girerd, B; Cottin, V; Sitbon, O; Simonneau, G; Humbert, M; Montani, D</t>
  </si>
  <si>
    <t>Perros, Frederic; Guenther, Sven; Ranchoux, Benoit; Godinas, Laurent; Antigny, Fabrice; Chaumais, Marie-Camille; Dorfmueller, Peter; Hautefort, Aurelie; Raymond, Nicolas; Savale, Laurent; Jais, Xavier; Girerd, Barbara; Cottin, Vincent; Sitbon, Olivier; Simonneau, Gerald; Humbert, Marc; Montani, David</t>
  </si>
  <si>
    <t>Mitomycin-Induced Pulmonary Veno-Occlusive Disease Evidence From Human Disease and Animal Models</t>
  </si>
  <si>
    <t>alkylating agents; antineoplastic agents; complications; drug-related side effects and adverse reactions; GCN2; hypertension; pulmonary; pulmonary veno-occlusive disease</t>
  </si>
  <si>
    <t>VENO-OCCLUSIVE DISEASE; ARTERIAL-HYPERTENSION; CHEMOTHERAPY; LUNG; ECHOCARDIOGRAPHY; PROSTACYCLIN; MANAGEMENT; TOXICITY; SURVIVAL; FRANCE</t>
  </si>
  <si>
    <t>Background Pulmonary veno-occlusive disease (PVOD) is an uncommon form of pulmonary hypertension characterized by the obstruction of small pulmonary veins and a dismal prognosis. PVOD may be sporadic or heritable because of biallelic mutations of the EIF2AK4 gene coding for GCN2. Isolated case reports suggest that chemotherapy may be a risk factor for PVOD. Methods and Results We reported on the clinical, functional, and hemodynamic characteristics and outcomes of 7 cases of PVOD induced by mitomycin-C (MMC) therapy from the French Pulmonary Hypertension Registry. All patients displayed squamous anal cancer and were treated with MMC alone or MMC plus 5-fluoruracil. The estimated annual incidence of PVOD in the French population that have anal cancer is 3.9 of 1000 patients, which is much higher than the incidence of PVOD in the general population (0.5/million per year). In rats, intraperitoneal administration of MMC induced PVOD, as demonstrated by pulmonary hypertension at right-heart catheterization at days 21 to 35 and major remodeling of small pulmonary veins associated with foci of intense microvascular endothelial-cell proliferation of the capillary bed. In rats, MMC administration was associated with dose-dependent depletion of pulmonary GCN2 content and decreased smad1/5/8 signaling. Amifostine prevented the development of MMC-induced PVOD in rats. Conclusions MMC therapy is a potent inducer of PVOD in humans and rats. Amifostine prevents MMC-induced PVOD in rats and should be tested as a preventive therapy for MMC-induced PVOD in humans. MMC-induced PVOD in rats represents a unique model to test novel therapies in this devastating orphan disease.</t>
  </si>
  <si>
    <t>[Perros, Frederic; Guenther, Sven; Ranchoux, Benoit; Godinas, Laurent; Antigny, Fabrice; Dorfmueller, Peter; Hautefort, Aurelie; Raymond, Nicolas; Savale, Laurent; Jais, Xavier; Girerd, Barbara; Cottin, Vincent; Simonneau, Gerald; Humbert, Marc; Montani, David] Univ Paris 11, Fac Med, Le Kremlin Bicetre, France; [Perros, Frederic; Guenther, Sven; Ranchoux, Benoit; Godinas, Laurent; Antigny, Fabrice; Hautefort, Aurelie; Savale, Laurent; Jais, Xavier; Girerd, Barbara; Sitbon, Olivier; Simonneau, Gerald; Humbert, Marc; Montani, David] Hop Bicetre, AP HP, Dept Hosp Univ DHU Thorax Innovat TORINO, Ctr Reference Hypertens Pulm Severe,Serv Pneumol, F-94720 Le Kremlin Bicetre, France; [Perros, Frederic; Guenther, Sven; Ranchoux, Benoit; Godinas, Laurent; Antigny, Fabrice; Chaumais, Marie-Camille; Dorfmueller, Peter; Savale, Laurent; Jais, Xavier; Girerd, Barbara; Sitbon, Olivier; Simonneau, Gerald; Humbert, Marc; Montani, David] Univ Paris 11, Lab Excellence LabEx Rech Medicament &amp; Innovat Th, Ctr Chirurg Marie Lannelongue, INSERM,UMR S 999, Le Plessis Robinson, France; [Chaumais, Marie-Camille] Univ Paris 11, Fac Med, Le Kremlin Bicetre, France; [Perros, Frederic] Univ Laval, Inst Univ Cardiol &amp; Pneumol Quebec, Pulm Hypertens Res Grp, Ctr Rech, Quebec City, PQ G1K 7P4, Canada; [Godinas, Laurent] CHU Mt Godinne Univ Catholique Louvain, Serv Pneumol, Yvoir, Belgium; [Chaumais, Marie-Camille] Hop Antoine Beclere, AP HP, Serv Pharm, Dept Hosp Univ DHU Thorax Innovat, Clamart, France; [Dorfmueller, Peter] Ctr Chirurg Marie Lannelongue, Dept Pathol, Le Plessis Robinson, France; [Cottin, Vincent] Louis Pradel Hosp, Dept Resp Med, Natl Reference Ctr Rare Pulm Dis, Lyon, France</t>
  </si>
  <si>
    <t>Universite Paris Saclay; Assistance Publique Hopitaux Paris (APHP); Hopital Universitaire Antoine-Beclere - APHP; Universite Paris Saclay; Hopital Universitaire Bicetre - APHP; Institut National de la Sante et de la Recherche Medicale (Inserm); Hopital Marie Lannelongue; Universite Paris Saclay; Universite Paris Saclay; Laval University; Assistance Publique Hopitaux Paris (APHP); Hopital Universitaire Antoine-Beclere - APHP; Hopital Marie Lannelongue; CHU Lyon</t>
  </si>
  <si>
    <t>Montani, D (corresponding author), Hop Bicetre, DHU Thorax Innovat, Ctr Reference Hypertens Pulm Severe, Serv Pneumol &amp; Reanimat Resp, 78 Rue Gen Leclerc, F-94720 Le Kremlin Bicetre, France.</t>
  </si>
  <si>
    <t>Sitbon, Olivier/I-3623-2019; Ranchoux, Benoît/AAX-6037-2020; Günther, Sven/ACV-7191-2022; Simonneau, Gerald/ABE-6614-2020; Savale, Laurent/AAJ-9781-2020; Godinas, Laurette/AAS-1059-2021; David, Montani/I-6885-2019; Perros, Frederic/N-6921-2017; Humbert, Marc/AAC-8459-2019; Antigny, Fabrice/Q-3999-2018; GUNTHER, Sven/P-4177-2017</t>
  </si>
  <si>
    <t>Dorfmuller, Peter/0000-0003-2499-6829; Godinas, Laurent/0000-0003-2214-5879; Montani, David/0000-0002-9358-6922; SITBON, Olivier/0000-0002-1942-1951; Perros, Frederic/0000-0001-7730-2427; Chaumais, Marie-Camille/0000-0002-1217-8442; Humbert, Marc/0000-0003-0703-2892; Antigny, Fabrice/0000-0002-9515-6571; GUNTHER, Sven/0000-0001-8388-6131; JAIS, XAVIER/0000-0002-4104-7994</t>
  </si>
  <si>
    <t>National Funding Agency for Research (ANR) [ANR-13-JSV1-001]; LabEx LERMIT; Region Ile de France (CORDDIM); Aviesan (ITMO IHP); European Respiratory Society [LTRF-2013-1592]</t>
  </si>
  <si>
    <t>National Funding Agency for Research (ANR)(Agence Nationale de la Recherche (ANR)); LabEx LERMIT; Region Ile de France (CORDDIM)(Region Ile-de-France); Aviesan (ITMO IHP); European Respiratory Society</t>
  </si>
  <si>
    <t>Dr Perros receives funding from National Funding Agency for Research (ANR; grant ANR-13-JSV1-001). Dr Ranchoux is supported by the LabEx LERMIT. Dr Hautefort is supported by a PhD grant from Region Ile de France (CORDDIM). Dr Antigny is supported by a postdoctoral grant from Aviesan (ITMO IHP). Dr Godinas is supported from the European Respiratory Society (grant LTRF-2013-1592).</t>
  </si>
  <si>
    <t>10.1161/CIRCULATIONAHA.115.014207</t>
  </si>
  <si>
    <t>CQ0VE</t>
  </si>
  <si>
    <t>WOS:000360315000008</t>
  </si>
  <si>
    <t>Ranchoux, B; Günther, S; Quarck, R; Chaumais, MC; Dorfmüller, P; Antigny, F; Dumas, SJ; Raymond, N; Lau, E; Savale, L; Jaïs, X; Sitbon, O; Simonneau, G; Stenmark, K; Cohen-Kaminsky, S; Humbert, M; Montani, D; Perros, F</t>
  </si>
  <si>
    <t>Ranchoux, Benoit; Gunther, Sven; Quarck, Rozenn; Chaumais, Marie-Camille; Dorfmueller, Peter; Antigny, Fabrice; Dumas, Sebastian J.; Raymond, Nicolas; Lau, Edmund; Savale, Laurent; Jais, Xavier; Sitbon, Olivier; Simonneau, Gerald; Stenmark, Kurt; Cohen-Kaminsky, Sylvia; Humbert, Marc; Montani, David; Perros, Frederic</t>
  </si>
  <si>
    <t>Chemotherapy-induced pulmonary hypertension: Role of alkylating agents</t>
  </si>
  <si>
    <t>[Gunther, Sven; Lau, Edmund; Savale, Laurent; Jais, Xavier; Sitbon, Olivier; Simonneau, Gerald; Humbert, Marc; Montani, David] Hop Bicetre, Serv Pneumol, Le Kremlin Bicetre, France; [Quarck, Rozenn] Katholieke Univ Leuven, Dept Clin &amp; Expt Med, Leuven, Belgium; [Stenmark, Kurt] Univ Colorado Denver, Dept Pediat, Aurora, CO USA; [Ranchoux, Benoit; Chaumais, Marie-Camille; Dorfmueller, Peter; Antigny, Fabrice; Dumas, Sebastian J.; Raymond, Nicolas; Cohen-Kaminsky, Sylvia; Perros, Frederic] INSERM, U999, Ctr Chirurg Marie Lannelongue, Le Plessis Robinson, France</t>
  </si>
  <si>
    <t>Assistance Publique Hopitaux Paris (APHP); Hopital Universitaire Antoine-Beclere - APHP; Universite Paris Saclay; Hopital Universitaire Bicetre - APHP; KU Leuven; University of Colorado System; University of Colorado Anschutz Medical Campus; Children's Hospital Colorado; Institut National de la Sante et de la Recherche Medicale (Inserm); Hopital Marie Lannelongue; Universite Paris Saclay</t>
  </si>
  <si>
    <t>Quarck, Rozenn/J-8067-2018; David, Montani/I-6885-2019; stenmark, kurt/AFI-6776-2022; Sitbon, Olivier/I-3623-2019; Antigny, Fabrice/Q-3999-2018; Cohen-Kaminsky, Sylvia/E-4837-2014; Ranchoux, Benoît/AAX-6037-2020; Perros, Frédéric/N-6921-2017; Dumas, Sébastien/AAA-2056-2021; Simonneau, Gerald/ABE-6614-2020; Humbert, Marc/AAC-8459-2019; Savale, Laurent/AAJ-9781-2020</t>
  </si>
  <si>
    <t>PA581</t>
  </si>
  <si>
    <t>10.1183/13993003.congress-2015.PA581</t>
  </si>
  <si>
    <t>WOS:000451979407305</t>
  </si>
  <si>
    <t>Sattler, C; Delphine, B; Bertoletti, L; Savale, L; O'Connell, C; Jais, X; Montani, D; Humbert, M; Simonneau, G; Sitbon, O</t>
  </si>
  <si>
    <t>Sattler, Caroline; Delphine, Bourlier; Bertoletti, Laurent; Savale, Laurent; O'Connell, Caroline; Jais, Xavier; Montani, David; Humbert, Marc; Simonneau, Gerald; Sitbon, Olivier</t>
  </si>
  <si>
    <t>Initial dual oral combination therapy for pulmonary arterial hypertension (PAH) in daily practice</t>
  </si>
  <si>
    <t>Pulmonary hypertension; Treatments; Circulation</t>
  </si>
  <si>
    <t>[Sattler, Caroline; Delphine, Bourlier; Savale, Laurent; O'Connell, Caroline; Jais, Xavier; Montani, David; Humbert, Marc; Simonneau, Gerald; Sitbon, Olivier] Univ Paris Sud, Hop Bicetre, Serv Pneumol, Le Kremlin Bicetre, France; [Bertoletti, Laurent] CHU St Etienne, Hop Nord, Serv Med Vasc &amp; Therapeut, St Etienne, France</t>
  </si>
  <si>
    <t>Universite Paris Saclay; Assistance Publique Hopitaux Paris (APHP); Hopital Universitaire Antoine-Beclere - APHP; Hopital Universitaire Bicetre - APHP; CHU de St Etienne</t>
  </si>
  <si>
    <t>Savale, Laurent/AAJ-9781-2020; David, Montani/I-6885-2019; Sitbon, Olivier/I-3623-2019; Bertoletti, Laurent/X-1319-2019; Humbert, Marc/AAC-8459-2019; Simonneau, Gerald/ABE-6614-2020</t>
  </si>
  <si>
    <t>PA3775</t>
  </si>
  <si>
    <t>10.1183/13993003.congress-2015.PA3775</t>
  </si>
  <si>
    <t>WOS:000451979405128</t>
  </si>
  <si>
    <t>Tamura, Yuichi; Phan, Carole; Tu, Ly; Thuillet, Raphael; Le Hiress, Morane; Huertas, Alice; Fadel, Elie; Simonneau, Gerald; Humbert, Marc; Guignabert, Christophe</t>
  </si>
  <si>
    <t>IL-6 receptor overexpression in pulmonary arterial smooth muscle cells in idiopathic pulmonary hypertension</t>
  </si>
  <si>
    <t>Pulmonary hypertension; Inflammation</t>
  </si>
  <si>
    <t>[Tamura, Yuichi; Phan, Carole; Tu, Ly; Thuillet, Raphael; Le Hiress, Morane; Huertas, Alice; Fadel, Elie; Simonneau, Gerald; Humbert, Marc; Guignabert, Christophe] INSERM, LabEx LERMIT, UMR S 999, Ctr Chirurg Marie Lannelongue, Le Plessis Robinson, France; [Tamura, Yuichi; Phan, Carole; Tu, Ly; Thuillet, Raphael; Le Hiress, Morane; Huertas, Alice; Fadel, Elie; Simonneau, Gerald; Humbert, Marc; Guignabert, Christophe] Univ Paris Sud, Sch Med, Le Kremlin Bicetre, France; [Huertas, Alice; Simonneau, Gerald; Humbert, Marc] Hop Bicetre, AP HP, Serv Pneumol, Ctr Reference Hypertens Pulm Severe,DHU Thorax In, Le Kremlin Bicetre, France</t>
  </si>
  <si>
    <t>Institut National de la Sante et de la Recherche Medicale (Inserm); Universite Paris Saclay; Hopital Marie Lannelongue; Universite Paris Saclay; Assistance Publique Hopitaux Paris (APHP); Hopital Universitaire Bicetre - APHP; Hopital Universitaire Antoine-Beclere - APHP; Universite Paris Saclay</t>
  </si>
  <si>
    <t>Huertas, Alice/E-8244-2017; Humbert, Marc/AAC-8459-2019; TU, Ly/G-4035-2013; Tamura, Yuichi/B-5991-2014; GUIGNABERT, Christophe/G-3873-2013; Simonneau, Gerald/ABE-6614-2020</t>
  </si>
  <si>
    <t>PA2436</t>
  </si>
  <si>
    <t>10.1183/13993003.congress-2015.PA2436</t>
  </si>
  <si>
    <t>WOS:000451979403142</t>
  </si>
  <si>
    <t>Atzler, D; Cracowski, JL; Cordts, K; Boeger, RH; Humbert, M; Schwedhelm, E</t>
  </si>
  <si>
    <t>Atzler, D.; Cracowski, J. -L.; Cordts, K.; Boeger, R. H.; Humbert, M.; Schwedhelm, E.</t>
  </si>
  <si>
    <t>Congress of the European-Society-of-Cardiology (ESC)</t>
  </si>
  <si>
    <t>AUG 29-SEP 02, 2015</t>
  </si>
  <si>
    <t>[Atzler, D.] Univ Oxford, Radcliffe Dept Med, Oxford, England; [Cracowski, J. -L.] Univ Hosp Grenoble, Grenoble, France; [Cordts, K.; Boeger, R. H.; Schwedhelm, E.] Univ Med Ctr Hamburg Eppendorf, Hamburg, Germany; [Humbert, M.] Bicetre Univ Hosp, Le Kremlin Bicetre, France</t>
  </si>
  <si>
    <t>University of Oxford; CHU Grenoble Alpes; Communaute Universite Grenoble Alpes; Universite Grenoble Alpes (UGA); University of Hamburg; University Medical Center Hamburg-Eppendorf; Assistance Publique Hopitaux Paris (APHP); Hopital Universitaire Bicetre - APHP</t>
  </si>
  <si>
    <t>Atzler, Dorothee/ACA-4345-2022; Humbert, Marc/AAC-8459-2019; , CRACOWSKI/M-6946-2014</t>
  </si>
  <si>
    <t>Atzler, Dorothee/0000-0002-6551-1544</t>
  </si>
  <si>
    <t>P3623</t>
  </si>
  <si>
    <t>CR3BL</t>
  </si>
  <si>
    <t>WOS:000361205104436</t>
  </si>
  <si>
    <t>Berthelot, E; Montani, D; Jais, X; Dreyfuss, C; Rifai, R; Bouchachi, A; Humbert, M; Simonneau, G; Sitbon, O; Assayag, P</t>
  </si>
  <si>
    <t>Berthelot, E.; Montani, D.; Jais, X.; Dreyfuss, C.; Rifai, R.; Bouchachi, A.; Humbert, M.; Simonneau, G.; Sitbon, O.; Assayag, P.</t>
  </si>
  <si>
    <t>Clinical and echocardiographic characteristics of patients with pulmonary hypertension associated with heart failure with preserved ejection fraction or with pre-capillary pulmonary hypertension</t>
  </si>
  <si>
    <t>[Berthelot, E.; Dreyfuss, C.; Rifai, R.; Bouchachi, A.; Assayag, P.] Univ Paris 11, Hop Bicetre, AP HP, Serv Cardiol, Le Kremlin Bicetre, France; [Montani, D.; Jais, X.; Humbert, M.; Simonneau, G.; Sitbon, O.] Univ Paris 11, Hop Bicetre, AP HP, Serv Pneumol &amp; Soins Intensifs, Le Kremlin Bicetre, France</t>
  </si>
  <si>
    <t>Assistance Publique Hopitaux Paris (APHP); Hopital Universitaire Antoine-Beclere - APHP; Hopital Universitaire Bicetre - APHP; Universite Paris Saclay; Universite Paris Saclay; Assistance Publique Hopitaux Paris (APHP); Hopital Universitaire Bicetre - APHP; Hopital Universitaire Antoine-Beclere - APHP</t>
  </si>
  <si>
    <t>Sitbon, Olivier/I-3623-2019; Humbert, Marc/AAC-8459-2019; Assayag, Patrick/GPS-4910-2022; Simonneau, Gerald/ABE-6614-2020; David, Montani/I-6885-2019</t>
  </si>
  <si>
    <t>Montani, David/0000-0002-9358-6922; Assayag, Patrick/0000-0001-9406-4555</t>
  </si>
  <si>
    <t>P4548</t>
  </si>
  <si>
    <t>WOS:000361205105376</t>
  </si>
  <si>
    <t>Freund-Michel, V; Dos Santos, MC; Guignabert, C; Montani, D; Phan, C; Coste, F; Tu, L; Dubois, M; Girerd, B; Courtois, A; Humbert, M; Savineau, JP; Marthan, R; Muller, B</t>
  </si>
  <si>
    <t>Freund-Michel, Veronique; Dos Santos, Marcelina Cardoso; Guignabert, Christophe; Montani, David; Phan, Carole; Coste, Florence; Tu, Ly; Dubois, Mathilde; Girerd, Barbara; Courtois, Arnaud; Humbert, Marc; Savineau, Jean-Pierre; Marthan, Roger; Muller, Bernard</t>
  </si>
  <si>
    <t>Role of Nerve Growth Factor in Development and Persistence of Experimental Pulmonary Hypertension</t>
  </si>
  <si>
    <t>pulmonary circulation; animal disease models; blocking antibodies</t>
  </si>
  <si>
    <t>VASCULAR SMOOTH-MUSCLE; ARTERIAL-HYPERTENSION; FACTOR EXPRESSION; ENDOTHELIAL DYSFUNCTION; FASINUMAB REGN475; DOUBLE-BLIND; NEUROTROPHIN; RECEPTOR; INFLAMMATION; MECHANISMS</t>
  </si>
  <si>
    <t>Rationale: Pulmonary hypertension (PH) is characterized by a progressive elevation in mean pulmonary arterial pressure, often leading to right ventricular failure and death. Growth factors play significant roles in the pathogenesis of PH, and their targeting may therefore offer novel therapeutic strategies in this disease. Objectives: To evaluate the nerve growth factor (NGF) as a potential new target in PH. Methods: Expression and/or activation of NGF and its receptors were evaluated in rat experimental PH induced by chronic hypcuda or monocrotaline and in human PH (idiopathic or associated with chronic obstructive pulmonary disease). Effects of exogenous NGF were evaluated ex vivo on pulmonary arterial inflammation and contraction, and in vitro on pulmonary vascular cell proliferation, migration, and cytokine secretion. Effects of NGF inhibition were evaluated in vivo with anti-NGF blocking antibodies administered both in rat chronic hypoxia- and monocrotaline-induced PH. Measurements and Main Results: Our results show increased expression of NGF and/or increased expression/activation of its receptors in experimental and human PH. Ex vivo/in vitro, we found out that NGF promotes pulmonaryvascular cell proliferation and migration, pulmonary arterial hyperreactivity, and secretion of proinflammatory cytolcines. In vivo, we demonstrated that anti-NGF blocking antibodies prevent and reverse PH in rats through significant reduction of pulmonary arterial inflammation, hyperreactivity, and remodeling. Conclusions: This study highlights the critical role of NGF in PH. Because of the recent development of anti-NGF blocking antibodies as a possible new pain treatment, such a therapeutic strategy of NGF inhibition may be of interest in PH.</t>
  </si>
  <si>
    <t>[Freund-Michel, Veronique; Dos Santos, Marcelina Cardoso; Coste, Florence; Dubois, Mathilde; Courtois, Arnaud; Savineau, Jean-Pierre; Marthan, Roger; Muller, Bernard] Univ Bordeaux, F-33076 Bordeaux, France; [Freund-Michel, Veronique; Dos Santos, Marcelina Cardoso; Coste, Florence; Dubois, Mathilde; Courtois, Arnaud; Savineau, Jean-Pierre; Marthan, Roger; Muller, Bernard] INSERM, U1045, Ctr Rech Cardiothorac Bordeaux, Bordeaux, France; [Guignabert, Christophe; Montani, David; Phan, Carole; Tu, Ly; Girerd, Barbara; Humbert, Marc] Univ Paris 11, Fac Med, Le Kremlin Bicetre, France; [Guignabert, Christophe; Montani, David; Phan, Carole; Tu, Ly; Girerd, Barbara; Humbert, Marc] INSERM, UMR S 999, LabEx LERMIT, Ctr Chirurg Marie Lannelongue, Le Plessis Robinson, France; [Montani, David; Girerd, Barbara; Humbert, Marc] Hop Bicetre, AP HP, Ctr Reference Hypertens Pulm Severe, Serv Pneumol &amp; Reanimat Resp,DHU Thorax Innovat, Le Kremlin Bicetre, France; [Coste, Florence; Marthan, Roger] CHU Bordeaux, Bordeaux, France</t>
  </si>
  <si>
    <t>Universite de Bordeaux; Institut National de la Sante et de la Recherche Medicale (Inserm); Universite de Bordeaux; Universite Paris Saclay; Universite Paris Saclay; Institut National de la Sante et de la Recherche Medicale (Inserm); Hopital Marie Lannelongue; Universite Paris Saclay; Assistance Publique Hopitaux Paris (APHP); Hopital Universitaire Bicetre - APHP; Hopital Universitaire Antoine-Beclere - APHP; CHU Bordeaux; Universite de Bordeaux</t>
  </si>
  <si>
    <t>Freund-Michel, V (corresponding author), Univ Bordeaux, Lab Pharmacol, INSERM, UFR Sci Pharmaceut,U1045, Case 83,146 Rue Leo Saignat, F-33076 Bordeaux, France.</t>
  </si>
  <si>
    <t>veronique.michel@u-bordeaux.fr</t>
  </si>
  <si>
    <t>David, Montani/I-6885-2019; FREUND-MICHEL, Véronique/M-2827-2014; Dubois, Mathilde/M-2971-2014; TU, Ly/G-4035-2013; GUIGNABERT, Christophe/G-3873-2013; Humbert, Marc/AAC-8459-2019</t>
  </si>
  <si>
    <t>TU, Ly/0000-0003-2336-5099; Marthan, Roger/0000-0001-5412-5712; GUIGNABERT, Christophe/0000-0002-8545-4452; Montani, David/0000-0002-9358-6922; courtois, arnaud/0000-0002-0996-7133; Cardoso Dos Santos, Marcelina/0000-0003-2004-1777; Coste, Florence/0000-0001-5858-8327; Phan, Carole/0000-0002-7834-508X; FREUND-MICHEL, Veronique/0000-0001-8912-6117; Humbert, Marc/0000-0003-0703-2892</t>
  </si>
  <si>
    <t>INSERM; Fondation de France [2008002719]; Agence Nationale de la Recherche [ANR06 Physio 015 01]</t>
  </si>
  <si>
    <t>INSERM(Institut National de la Sante et de la Recherche Medicale (Inserm)); Fondation de France(Fondation de France); Agence Nationale de la Recherche(Agence Nationale de la Recherche (ANR))</t>
  </si>
  <si>
    <t>Supported by grants from INSERM, Fondation de France (2008002719), and Agence Nationale de la Recherche (ANR06 Physio 015 01).</t>
  </si>
  <si>
    <t>10.1164/rccm.201410-1851OC</t>
  </si>
  <si>
    <t>CO5CZ</t>
  </si>
  <si>
    <t>WOS:000359178500016</t>
  </si>
  <si>
    <t>Lambert, V; Hodzic, A; Coblence, M; Ly, M; Le Bret, E; Gouadon, E; Humbert, M; Jourdon, P; Puceat, M; Rucker-Martin, C</t>
  </si>
  <si>
    <t>Lambert, V.; Hodzic, A.; Coblence, M.; Ly, M.; Le Bret, E.; Gouadon, E.; Humbert, M.; Jourdon, P.; Puceat, M.; Rucker-Martin, C.</t>
  </si>
  <si>
    <t>Survival, migration and benefits of human cardiac progenitor cell seeded-collagen patches applied on failing right ventricle: preliminary results in a large animal model</t>
  </si>
  <si>
    <t>[Lambert, V.; Coblence, M.; Ly, M.; Le Bret, E.] Ctr Chirurg Marie Lannelongue, Le Plessis Robinson, France; [Hodzic, A.; Gouadon, E.; Humbert, M.; Jourdon, P.; Rucker-Martin, C.] INSERM, U999, Le Plessis Robinson, France; [Puceat, M.] Hosp La Timone Marseille, INSERM, U910, Marseille, France</t>
  </si>
  <si>
    <t>Hopital Marie Lannelongue; Universite Paris Saclay; Institut National de la Sante et de la Recherche Medicale (Inserm); Institut National de la Sante et de la Recherche Medicale (Inserm); Aix-Marseille Universite; Assistance Publique-Hopitaux de Marseille</t>
  </si>
  <si>
    <t>Hodzic, Amir/AAG-5977-2021; Humbert, Marc/AAC-8459-2019; PUCEAT, Michel/R-6140-2017</t>
  </si>
  <si>
    <t>PUCEAT, Michel/0000-0001-9055-7563; HODZIC, AMIR/0000-0001-8099-0654</t>
  </si>
  <si>
    <t>P5446</t>
  </si>
  <si>
    <t>WOS:000361205106359</t>
  </si>
  <si>
    <t>Lador, F; Hervé, P; Bringard, A; Günther, S; Garcia, G; Savale, L; Ferretti, G; Soccal, PM; Chemla, D; Humbert, M; Simonneau, G; Sitbon, O</t>
  </si>
  <si>
    <t>Lador, Frederic; Herve, Philippe; Bringard, Aurellen; Guenther, Sven; Garcia, Gilles; Savale, Laurent; Ferretti, Guido; Soccal, Paola M.; Chemla, Denis; Humbert, Marc; Simonneau, Gerald; Sitbon, Olivier</t>
  </si>
  <si>
    <t>Non-Invasive Determination of Cardiac Output in Pre-Capillary Pulmonary Hypertension</t>
  </si>
  <si>
    <t>PULSE PRESSURE PROFILES; ARTERIAL-HYPERTENSION; STRESS ECHOCARDIOGRAPHY; EXERCISE; CIRCULATION; FLOW; HEMODYNAMICS; MODELFLOW(R); RESISTANCE; CONTOUR</t>
  </si>
  <si>
    <t>Background Cardiac output (CO) is a major diagnostic and prognostic factor in pre-capillary pulmonary hypertension (PH). Reference methods for CO determination, like thermodilution (TD), require invasive procedures and allow only steady-state measurements. The Modelflow (MF) method is an appealing technique for this purpose as it allows non-invasive and beat-by-beat determination of CO. Methods We aimed to compare CO values obtained simultaneously from non-invasive pulse wave analysis by MF (COMF) and by TD (COTD) to determine its precision and accuracy in precapillary PH. The study was performed on 50 patients with pulmonary arterial hypertension (PAH) or chronic thrombo-embolic PH (CTEPH). CO was determined at rest in all patients (n = 50) and during nitric oxide vasoreactivity test, fluid challenge or exercise (n = 48). Results Baseline COMF and COTD were 6.18 +/- 1.95 and 5.46 +/- 1.95 L.min(-1), respectively. Accuracy and precision were 0.72 and 1.04 L.min-1, respectively. Limits of agreement (LoA) ranged from -1.32 to 2.76 L.min-1. Percentage error (PE) was +/- 35.7%. Overall sensitivity and specificity of COMF for directional change were 95.2% and 82.4%, (n = 48) and 93.3% and 100% for directional changes during exercise (n = 16), respectively. After application of a correction factor (1.17 +/- 0.25), neither proportional nor fixed bias was found for subsequent CO determination (n = 48). Accuracy was -0.03 L.min(-1) and precision 0.61 L.min(-1). LoA ranged from -1.23 to 1.17 L.min(-1) and PE was +/- 19.8%. Conclusions After correction against a reference method, MF is precise and accurate enough to determine absolute values and beat-by-beat relative changes of CO in pre-capillary PH.</t>
  </si>
  <si>
    <t>[Lador, Frederic; Soccal, Paola M.] Hop Univ Geneve, Programme Hypertens Pulm, Serv Pneumol, Geneva, Switzerland; [Herve, Philippe; Guenther, Sven; Garcia, Gilles; Savale, Laurent; Humbert, Marc; Simonneau, Gerald; Sitbon, Olivier] Hop Bicetre, AP HP, Ctr Reference Hypertens Pulm Severe,Serv Pneumol, Dept Hosp Univ DHU Thorax Innovat TORINO, Le Kremlin Bicetre, France; [Herve, Philippe] Ctr Chirurg Marie Lannelongue, Le Plessis Robinson, France; [Bringard, Aurellen] Univ Geneva, Dept Neurosci Fondamentales, Ctr Med Univ, Geneva, Switzerland; [Guenther, Sven; Garcia, Gilles; Savale, Laurent; Humbert, Marc; Simonneau, Gerald; Sitbon, Olivier] Univ Paris 11, Fac Med, Le Kremlin Bicetre, France; [Ferretti, Guido] Univ Brescia, Dipartimento Sci Clin &amp; Sperimentali, Brescia, Italy; [Chemla, Denis] Univ Paris 11, Fac Med, Dept Physiol, EA4533,APHP, Le Kremlin Bicetre, France</t>
  </si>
  <si>
    <t>University of Geneva; Assistance Publique Hopitaux Paris (APHP); Hopital Universitaire Antoine-Beclere - APHP; Hopital Universitaire Bicetre - APHP; Universite Paris Saclay; Hopital Marie Lannelongue; University of Geneva; Universite Paris Saclay; University of Brescia; Assistance Publique Hopitaux Paris (APHP); Hopital Universitaire Ambroise-Pare - APHP; Universite Paris Saclay; Hopital Universitaire Bicetre - APHP</t>
  </si>
  <si>
    <t>Lador, F (corresponding author), Hop Univ Geneve, Programme Hypertens Pulm, Serv Pneumol, Geneva, Switzerland.</t>
  </si>
  <si>
    <t>Frederic.lador@hcuge.ch</t>
  </si>
  <si>
    <t>Simonneau, Gerald/ABE-6614-2020; Sitbon, Olivier/I-3623-2019; Günther, Sven/ACV-7191-2022; Savale, Laurent/AAJ-9781-2020; GUNTHER, Sven/P-4177-2017; Humbert, Marc/AAC-8459-2019</t>
  </si>
  <si>
    <t>SITBON, Olivier/0000-0002-1942-1951; GUNTHER, Sven/0000-0001-8388-6131; CHEMLA, Denis/0000-0001-7479-9896; Humbert, Marc/0000-0003-0703-2892</t>
  </si>
  <si>
    <t>European Respiratory Society (RESPIRE postdoctoral fellowship program - European Commission Seventh Framework Program (FP7)-Marie Curie Actions) [MC-1630-2010]</t>
  </si>
  <si>
    <t>European Respiratory Society (RESPIRE postdoctoral fellowship program - European Commission Seventh Framework Program (FP7)-Marie Curie Actions)</t>
  </si>
  <si>
    <t>This study was supported by an educational grant from the European Respiratory Society (RESPIRE postdoctoral fellowship program-Co-funded by the European Commission Seventh Framework Program (FP7)-Marie Curie Actions; MC-1630-2010) to Frederic Lador.</t>
  </si>
  <si>
    <t>JUL 30</t>
  </si>
  <si>
    <t>e0134221</t>
  </si>
  <si>
    <t>10.1371/journal.pone.0134221</t>
  </si>
  <si>
    <t>CO0JT</t>
  </si>
  <si>
    <t>WOS:000358837700064</t>
  </si>
  <si>
    <t>Sitbon, O; Benza, RL; Badesch, DB; Barst, RJ; Elliott, CG; Gressin, V; Lemarie, JC; Miller, DP; Rouzic, EML; Simonneau, G; Frost, AE; Farber, HW; Humbert, M; McGoon, MD</t>
  </si>
  <si>
    <t>Sitbon, Olivier; Benza, Raymond L.; Badesch, David B.; Barst, Robyn J.; Elliott, C. Gregory; Gressin, Virginie; Lemarie, Jean-Christophe; Miller, Dave P.; Rouzic, Erwan Muros-Le; Simonneau, Gerald; Frost, Adaani E.; Farber, Harrison W.; Humbert, Marc; McGoon, Michael D.</t>
  </si>
  <si>
    <t>Validation of two predictive models for survival in pulmonary arterial hypertension</t>
  </si>
  <si>
    <t>DISEASE MANAGEMENT REVEAL; LONG-TERM SURVIVAL; PROGNOSTIC-FACTORS; BASE-LINE; REGISTRY; INSIGHTS; THERAPY; IMPACT; TIME</t>
  </si>
  <si>
    <t>The French Pulmonary Hypertension Network (FPHN) registry and the Registry to Evaluate Early And Long-term Pulmonary Arterial Hypertension Disease Management (REVEAL) have developed predictive models for survival in pulmonary arterial hypertension (PAH). In this collaboration, we assess the external validity (or generalisability) of the FPHN Itiner AIR-HTAP predictive equation and the REVEAL risk score calculator. Validation cohorts approximated the eligibility criteria defined for each model. The REVEAL cohort comprised 292 treatment-naive, adult patients diagnosed &lt;1 year prior to enrolment with idiopathic, familial or anorexigen-induced PAH. The FPHN cohort comprised 1737 patients with group 1 PAH. Application of FPHN parameters to REVEAL and REVEAL risk scores to FPHN demonstrated estimated hazard ratios that were consistent between studies and had high probabilities of concordance (hazard ratios of 0.72, 95% CI 0.64-0.80, and 0.73, 95% CI 0.70-0.77, respectively). The REVEAL risk score calculator and FPHN Itiner AIR-HTAP predictive equation showed good discrimination and calibration for prediction of survival in the FPHN and REVEAL cohorts, respectively, suggesting prognostic generalisability in geographically different PAH populations. Once prospectively validated, these may become valuable tools in clinical practice.</t>
  </si>
  <si>
    <t>[Sitbon, Olivier; Simonneau, Gerald; Humbert, Marc] Univ Paris 11, CHU Bicetre, INSERM U999, Le Kremlin Bicetre, France; [Benza, Raymond L.] West Penn Allegheny Hlth Syst, Cardiovasc Inst, Pittsburgh, PA USA; [Badesch, David B.] Univ Colorado Hlth Sci Ctr, Div Pulm Sci &amp; Crit Care Med, Denver, CO USA; [Barst, Robyn J.] Columbia Univ Coll Phys &amp; Surg, New York, NY USA; [Elliott, C. Gregory] Intermt Med Ctr, Salt Lake City, UT USA; [Elliott, C. Gregory] Univ Utah, Salt Lake City, UT USA; [Gressin, Virginie] Actel Pharmaceut France, Paris, France; [Miller, Dave P.] ICON Clin Res, San Francisco, CA USA; [Rouzic, Erwan Muros-Le] Actel Pharmaceut, Allschwil, Switzerland; [Frost, Adaani E.] Baylor Coll Med, Houston, TX 77030 USA; [Farber, Harrison W.] Boston Univ, Sch Med, Boston, MA 02118 USA; [McGoon, Michael D.] Mayo Clin, Rochester, MN USA</t>
  </si>
  <si>
    <t>Assistance Publique Hopitaux Paris (APHP); Hopital Universitaire Bicetre - APHP; Universite Paris Saclay; Institut National de la Sante et de la Recherche Medicale (Inserm); University of Colorado System; University of Colorado Anschutz Medical Campus; Columbia University; Intermountain Healthcare; Intermountain Medical Center; Utah System of Higher Education; University of Utah; ICON plc; Actelion Pharmaceuticals Ltd; Baylor College of Medicine; Boston University; Mayo Clinic</t>
  </si>
  <si>
    <t>Sitbon, O (corresponding author), Univ Paris 11, CHU Bicetre, Serv Pneumol, 78 Rue Gen Leclerc, F-94275 Le Kremlin Bicetre, France.</t>
  </si>
  <si>
    <t>Simonneau, Gerald/ABE-6614-2020; Benza, Raymond/AAD-4885-2019; Sitbon, Olivier/I-3623-2019; Humbert, Marc/AAC-8459-2019</t>
  </si>
  <si>
    <t>Humbert, Marc/0000-0003-0703-2892; Muros-Le Rouzic, Erwan/0000-0002-8925-0481; Miller, Dave/0000-0003-2947-152X; SITBON, Olivier/0000-0002-1942-1951</t>
  </si>
  <si>
    <t>Actelion Pharmaceuticals US Inc.</t>
  </si>
  <si>
    <t>Actelion Pharmaceuticals US Inc. is the sponsor of the REVEAL Registry, and provided funding and support for the analysis presented.</t>
  </si>
  <si>
    <t>10.1183/09031936.00004414</t>
  </si>
  <si>
    <t>CL7FG</t>
  </si>
  <si>
    <t>WOS:000357137300020</t>
  </si>
  <si>
    <t>Tamura, Y; Kimura, M; Takei, M; Ono, T; Kuwana, M; Satoh, T; Fukuda, K; Humbert, M</t>
  </si>
  <si>
    <t>Tamura, Yuichi; Kimura, Mai; Takei, Makoto; Ono, Tomohiko; Kuwana, Masataka; Satoh, Toru; Fukuda, Keiichi; Humbert, Marc</t>
  </si>
  <si>
    <t>Oral vasopressin receptor antagonist tolvaptan in right heart failure due to pulmonary hypertension</t>
  </si>
  <si>
    <t>[Tamura, Yuichi; Kimura, Mai; Takei, Makoto; Ono, Tomohiko; Fukuda, Keiichi] Keio Univ, Sch Med, Dept Cardiol, Tokyo 1608582, Japan; [Tamura, Yuichi; Humbert, Marc] Univ Paris Sud, Fac Med, F-94275 Le Kremlin Bicetre, France; [Tamura, Yuichi; Humbert, Marc] Hop Bicetre, AP HP, DHU Thorax Innovat, Serv Pneumol, Le Kremlin Bicetre, France; [Tamura, Yuichi; Humbert, Marc] INSERM, UMR_ S 999, LabExLERMIT, Ctr Chirurg Marie Lannelongue, Le Plessis Robinson, France; [Kuwana, Masataka] Nippon Med Sch, Dept Allergy &amp; Rheumatol, Tokyo 113, Japan; [Satoh, Toru] Kyorin Univ, Sch Med, Dept Cardiol, Tokyo, Japan</t>
  </si>
  <si>
    <t>Keio University; Universite Paris Saclay; Assistance Publique Hopitaux Paris (APHP); Hopital Universitaire Bicetre - APHP; Universite Paris Saclay; Hopital Universitaire Antoine-Beclere - APHP; Universite Paris Saclay; Hopital Marie Lannelongue; Institut National de la Sante et de la Recherche Medicale (Inserm); Nippon Medical School; Kyorin University</t>
  </si>
  <si>
    <t>Tamura, Y (corresponding author), Keio Univ, Sch Med, Dept Cardiol, Shinjuku Ku, 35 Shinanomachi, Tokyo 1608582, Japan.</t>
  </si>
  <si>
    <t>Kuwana, Masataka/L-2918-2013; Satoh, Toru/KDM-6311-2024; Fukuda, Keiichi/L-3777-2013; Tamura, Yuichi/B-5991-2014; Humbert, Marc/AAC-8459-2019</t>
  </si>
  <si>
    <t>Humbert, Marc/0000-0003-0703-2892; Tamura, Yuichi/0000-0002-4437-8019</t>
  </si>
  <si>
    <t>Grants-in-Aid for Scientific Research [26461471] Funding Source: KAKEN</t>
  </si>
  <si>
    <t>Grants-in-Aid for Scientific Research(Ministry of Education, Culture, Sports, Science and Technology, Japan (MEXT)Japan Society for the Promotion of ScienceGrants-in-Aid for Scientific Research (KAKENHI))</t>
  </si>
  <si>
    <t>10.1183/09031936.00044915</t>
  </si>
  <si>
    <t>WOS:000357137300039</t>
  </si>
  <si>
    <t>Jacquin, S; Rincheval, V; Mignotte, B; Richard, S; Humbert, M; Mercier, O; Londoño-Vallejo, A; Fadel, E; Eddahibi, S</t>
  </si>
  <si>
    <t>Jacquin, S.; Rincheval, V.; Mignotte, B.; Richard, S.; Humbert, M.; Mercier, O.; Londono-Vallejo, A.; Fadel, E.; Eddahibi, S.</t>
  </si>
  <si>
    <t>Inactivation of p53 Is Sufficient to Induce Development of Pulmonary Hypertension in Rats</t>
  </si>
  <si>
    <t>ARTERIAL-HYPERTENSION; PATHWAY; ACTIVATION; PROMOTES</t>
  </si>
  <si>
    <t>Objective Pulmonary artery smooth muscle cells (PA-SMCs) in pulmonary arterial hypertension (PAH) show similarities to cancer cells. Due to the growth-suppressive and pro-apoptotic effects of p53 and its inactivation in cancer, we hypothesized that the p53 pathway could be altered in PAH. We therefore explored the involvement of p53 in the monocrotaline (MCT) rat model of pulmonary hypertension (PH) and the pathophysiological consequences of p53 inactivation in response to animal treatment with pifithrin-a (PFT, an inhibitor of p53 activity). Methods and Results PH development was assessed by pulmonary arterial pressure, right ventricular hypertrophy and arterial wall thickness. The effect of MCT and PFT on lung p53 pathway expression was evaluated by western blot. Fourteen days of daily PFT treatment (2.2 mg/kg/day), similar to a single injection of MCT (60 mg/kg), induced PH and aggravated MCT-induced PH. In the first week after MCT administration and prior to PH development, p53, p21 and MDM2 protein levels were significantly reduced; whereas PFT administration effectively altered the protein level of p53 targets. Anti-apoptotic and pro-proliferative effects of PFT were revealed by TUNEL and MTT assays on cultured human PA-SMCs treated with 50 mu M PFT. Conclusions Pharmacological inactivation of p53 is sufficient to induce PH with a chronic treatment by PFT, an effect related to its anti-apoptotic and pro-proliferative properties. The p53 pathway was down-regulated during the first week in the rat MCT model. These in vivo experiments implicate the p53 pathway at the initiation stages of PH pathogenesis.</t>
  </si>
  <si>
    <t>[Jacquin, S.; Humbert, M.] Ctr Chirurg Marie Lannelongue, INSERM, U999, Le Plessis Robinson, France; [Rincheval, V.; Mignotte, B.] Univ Versailles St Quentin En Yvelines, Lab Genet &amp; Biol Cellulaire, Montigny Le Bretonneux, France; [Jacquin, S.; Richard, S.; Eddahibi, S.] Univ Arnaud Villeneuve, Ctr Hosp, INSERM, U1046, Montpellier, France; [Londono-Vallejo, A.] Inst Curie, UMR3244, Telomeres &amp; Canc Lab, Labeled Ligue Contre Canc, Paris, France; [Mercier, O.; Fadel, E.] Ctr Chirurg Marie Lannelongue, Le Plessis Robinson, France</t>
  </si>
  <si>
    <t>Hopital Marie Lannelongue; Universite Paris Saclay; Institut National de la Sante et de la Recherche Medicale (Inserm); Universite Paris Saclay; Institut National de la Sante et de la Recherche Medicale (Inserm); Universite de Montpellier; CHU de Montpellier; Universite PSL; UNICANCER; Institut Curie; Centre National de la Recherche Scientifique (CNRS); Sorbonne Universite; CNRS - National Institute for Biology (INSB); Hopital Marie Lannelongue</t>
  </si>
  <si>
    <t>Eddahibi, S (corresponding author), Univ Arnaud Villeneuve, Ctr Hosp, INSERM, U1046, Montpellier, France.</t>
  </si>
  <si>
    <t>Londono-Vallejo, Arturo/ABH-5555-2020; Richard, Sylvain/C-9695-2016; Humbert, Marc/AAC-8459-2019; Mignotte, Bernard/A-3499-2009</t>
  </si>
  <si>
    <t>Richard, Sylvain/0000-0001-9460-6705; Londono Vallejo, Jose Arturo/0000-0003-3535-7563; Humbert, Marc/0000-0003-0703-2892; Mignotte, Bernard/0000-0002-8512-8518; Mercier, Olaf/0000-0002-4760-6267</t>
  </si>
  <si>
    <t>Agence National de la Recherche [ANR-08-GENOPAT- 004]</t>
  </si>
  <si>
    <t>Agence National de la Recherche(Agence Nationale de la Recherche (ANR))</t>
  </si>
  <si>
    <t>This work was supported by grants from the Agence National de la Recherche (ANR-08-GENOPAT- 004 to S.E., A.L.-V. and M.H.), Leg Poix (Chancellerie de Paris) and CORDDIM (Domaine d'Interet Majeur: Cardiovasculaire Obesite Rein Diabete, Region lle de France). The Telomeres and Cancer laboratory is a team labeled Ligue Contre le Cancer. The funders had no role in study design, data collection and analysis, decision to publish, or preparation of the manuscript.</t>
  </si>
  <si>
    <t>JUN 29</t>
  </si>
  <si>
    <t>e0131940</t>
  </si>
  <si>
    <t>10.1371/journal.pone.0131940</t>
  </si>
  <si>
    <t>CN1BL</t>
  </si>
  <si>
    <t>WOS:000358150400183</t>
  </si>
  <si>
    <t>Bateman, ED; Buhl, R; O'Byrne, PM; Humbert, M; Reddel, HK; Sears, MR; Jenkins, C; Harrison, TW; Quirce, S; Peterson, S; Eriksson, G</t>
  </si>
  <si>
    <t>Bateman, Eric D.; Buhl, Roland; O'Byrne, Paul M.; Humbert, Marc; Reddel, Helen K.; Sears, Malcolm R.; Jenkins, Christine; Harrison, Tim W.; Quirce, Santiago; Peterson, Stefan; Eriksson, Goeran</t>
  </si>
  <si>
    <t>Development and validation of a novel risk score for asthma exacerbations: The risk score for exacerbations</t>
  </si>
  <si>
    <t>Asthma; asthma control; budesonide/formoterol maintenance and reliever therapy; exacerbations; Global Initiative for Asthma; predictors; risk score</t>
  </si>
  <si>
    <t>QUALITY-OF-LIFE; PSYCHOMETRIC TOOLS; RELIEVER THERAPY; DOUBLE-BLIND; MAINTENANCE; COMBINATION; OBESITY; BUDESONIDE/FORMOTEROL; ASSOCIATION; PREDICTORS</t>
  </si>
  <si>
    <t>Background: Identifying patients at risk of future severe asthma exacerbations, those whose asthma might be less treatment responsive, or both might guide treatment selection. Objective: We sought to investigate predictors for failure to achieve Global Initiative for Asthma (GINA)-defined good current asthma control and severe exacerbations on treatment and to develop a simple risk score for exacerbations (RSE) for clinical use. Methods: A large data set from 3 studies comparing budesonide/formoterol maintenance and reliever therapy with fixed-dose inhaled corticosteroid/long-acting beta(2)-agonist therapy was analyzed. Baseline patient characteristics were investigated to determine dominant predictors for uncontrolled asthma at 3 months and for severe asthma exacerbations within 12 months of commencing treatment. The RSE, right censored at 6 months to include all 3 studies, was based on the dominant predictors for exacerbations in two thirds of the data set and validated in one third. Results: Patients (n = 7446) whose symptoms were not controlled on GINA treatment steps 3 and 4 and with 1 or more exacerbations (as judged by a clinician based on patient records, history, or both) in the previous year were included. On multivariate analysis, GINA step, reliever use, postbronchodilator FEV1, and 5-item Asthma Control Questionnaire score were dominant (all P &lt; .001) predictors for both the risk of uncontrolled asthma and severe exacerbations. Additional dominant predictors for uncontrolled asthma were smoking status and asthma symptom scores and an additional predictor for severe exacerbation was body mass index. An exponential increase in risk was observed with increments in RSE based on 5 selected predictors for exacerbations. Conclusion: Risk of uncontrolled asthma at 3 months and a severe exacerbation within 12 months can be estimated from simple clinical assessments. Prospective validation of these predictive factors and the RSE is required. Use of these models might guide the management of asthmatic patients.</t>
  </si>
  <si>
    <t>[Bateman, Eric D.] Univ Cape Town, Dept Med, Div Pulmonol, ZA-7700 Cape Town, South Africa; [Buhl, Roland] Mainz Univ Hosp, Dept Pulm, Mainz, Germany; [O'Byrne, Paul M.; Sears, Malcolm R.] McMaster Univ, Fac Hlth Sci, Michael G DeGroote Sch Med, Hamilton, ON L8S 4L8, Canada; [Humbert, Marc] Univ Paris 11, Serv Pneumol &amp; Reanimat Resp, Hop Antoine Beclere, AP HP, Clamart, France; [Reddel, Helen K.] Univ Sydney, Woolcock Inst Med Res, Clin Management Grp, Sydney, NSW 2006, Australia; [Jenkins, Christine] George Inst Global Hlth, Resp Grp, Sydney, NSW, Australia; [Harrison, Tim W.] Univ Nottingham, Resp Res Unit, Nottingham NG7 2RD, England; [Quirce, Santiago] Hosp La Paz Inst Hlth Res IdiPAZ, Dept Allergy, Madrid, Spain; [Peterson, Stefan] StatMind AB, Lund, Sweden; [Eriksson, Goeran] Univ Lund Hosp, Dept Resp Med &amp; Allergol, S-22185 Lund, Sweden</t>
  </si>
  <si>
    <t>University of Cape Town; University Hospital Mainz; McMaster University; Universite Paris Saclay; Assistance Publique Hopitaux Paris (APHP); Hopital Universitaire Antoine-Beclere - APHP; University of Sydney; Woolcock Institute of Medical Research; George Institute for Global Health; University of Nottingham; Lund University; Skane University Hospital</t>
  </si>
  <si>
    <t>Bateman, ED (corresponding author), Univ Cape Town, Dept Med, Div Pulmonol, George St, ZA-7700 Cape Town, South Africa.</t>
  </si>
  <si>
    <t>Eric.Bateman@uct.ac.za</t>
  </si>
  <si>
    <t>Reddel, Helen/IZD-8890-2023; Bateman, Eric/B-7042-2011; s, q/AAD-7171-2020; Humbert, Marc/AAC-8459-2019</t>
  </si>
  <si>
    <t>O'Byrne, Paul/0000-0003-0979-281X; Humbert, Marc/0000-0003-0703-2892; Reddel, Helen/0000-0002-6695-6350</t>
  </si>
  <si>
    <t>AstraZeneca; ALK-Abello; Boehringer Ingelheim; Chiesi; GlaxoSmithKline; Novartis; Pfizer; Takeda; Actelion; Aeras; Almirall; Forest; Hoffman La Roche; Merck; TEVA; AstraZeneca AB, Molndal, Sweden</t>
  </si>
  <si>
    <t>AstraZeneca(AstraZeneca); ALK-Abello; Boehringer Ingelheim(Boehringer Ingelheim); Chiesi(Chiesi Pharmaceuticals Inc); GlaxoSmithKline(GlaxoSmithKline); Novartis(Novartis); Pfizer(Pfizer); Takeda(Takeda Pharmaceutical Company Ltd); Actelion; Aeras; Almirall(Almirall); Forest; Hoffman La Roche; Merck(Merck &amp; Company); TEVA(Teva Pharmaceutical Industries); AstraZeneca AB, Molndal, Sweden(AstraZeneca)</t>
  </si>
  <si>
    <t>The analysis was sponsored by AstraZeneca. E.D.B. has served as a consultant to ALK-Abello, Almirall, Cephalon, Hoffman La Roche, ICON, and MS Consulting Group; been involved with advisory boards for Almirall, AstraZeneca, Boehringer Ingelheim, Elevation Pharma, Forest, GlaxoSmithKline, Merck, Napp, Novartis, and Nycomed; and received lecture fees from ALK-Abello, AstraZeneca, Boehringer Ingelheim, Chiesi, GlaxoSmithKline, Novartis, Pfizer, and Takeda; his institution has received remuneration for participation in clinical trials sponsored by Actelion, Aeras, Almirall, AstraZeneca, Boehringer Ingelheim, Forest, GlaxoSmithKline, Hoffman La Roche, Merck, Novartis, Takeda, and TEVA. S.P. and G.E. were employees of AstraZeneca at the time this analysis was conducted. The analysis was funded by AstraZeneca AB, Molndal, Sweden.</t>
  </si>
  <si>
    <t>U102</t>
  </si>
  <si>
    <t>10.1016/j.jaci.2014.08.015</t>
  </si>
  <si>
    <t>CK0ZC</t>
  </si>
  <si>
    <t>WOS:000355933400007</t>
  </si>
  <si>
    <t>Denton, C; Coghlan, JG; Ghofrani, HA; Grimminger, F; He, J; Riemekasten, G; Vizza, CD; Boeckenhoff, A; Meier, C; Nikkho, S; Pena, J; Humbert, M</t>
  </si>
  <si>
    <t>Denton, C.; Coghlan, J. G.; Ghofrani, H. -A.; Grimminger, F.; He, J.; Riemekasten, G.; Vizza, C. D.; Boeckenhoff, A.; Meier, C.; Nikkho, S.; Pena, J.; Humbert, M.</t>
  </si>
  <si>
    <t>EFFICACY AND SAFETY OF RIOCIGUAT IN PATIENTS WITH PULMONARY ARTERIAL HYPERTENSION (PAH) ASSOCIATED WITH CONNECTIVE TISSUE DISEASE (CTD): RESULTS FROM PATENT-1 AND PATENT-2</t>
  </si>
  <si>
    <t>[Denton, C.] UCL, London, England; [Coghlan, J. G.] Royal Free London NHS Fdn Trust, London, England; [Ghofrani, H. -A.; Grimminger, F.] Univ Giessen, Giessen, Germany; [Ghofrani, H. -A.; Grimminger, F.] Marburg Lung Ctr, Giessen, Germany; [He, J.] Chinese Acad Med Sci, Beijing, Peoples R China; [He, J.] Peking Union Med Coll, Beijing, Peoples R China; [Riemekasten, G.] Clin Rheumatol &amp; Clin Immunol, Berlin, Germany; [Vizza, C. D.] Univ Roma La Sapienza, Rome, Italy; [Boeckenhoff, A.] Bayer Pharma AG, Wuppertal, Germany; [Meier, C.; Nikkho, S.] Bayer Pharma AG, Berlin, Germany; [Pena, J.] Bayer Pharma AG, Whippany, NJ USA; [Humbert, M.] Lab Excellence Rech Medicament &amp; Innovat Therapeu, Le Kremlin Bicetre, France; [Humbert, M.] INSERM, U999, Le Kremlin Bicetre, France; [Humbert, M.] Univ Paris Sud, Paris, France</t>
  </si>
  <si>
    <t>University of London; University College London; University of London; University College London; Royal Free London NHS Foundation Trust; Justus Liebig University Giessen; Chinese Academy of Medical Sciences - Peking Union Medical College; Chinese Academy of Medical Sciences - Peking Union Medical College; Peking Union Medical College; Sapienza University Rome; Bayer AG; Bayer Healthcare Pharmaceuticals; Bayer AG; Bayer Healthcare Pharmaceuticals; Bayer AG; Bayer Healthcare Pharmaceuticals; Institut National de la Sante et de la Recherche Medicale (Inserm); Universite Paris Saclay</t>
  </si>
  <si>
    <t>Humbert, Marc/AAC-8459-2019; Ghofrani, Ardeschir/AAD-5293-2020; Riemekasten, Gabriela/B-5019-2017; vizza, carmine dario/AAC-5540-2020</t>
  </si>
  <si>
    <t>Bayer; Actelion; GSK; Novartis; Gilead</t>
  </si>
  <si>
    <t>Bayer(Bayer AG); Actelion; GSK(GlaxoSmithKline); Novartis(Novartis); Gilead(Gilead Sciences)</t>
  </si>
  <si>
    <t>C. Denton Consultant for: Bayer, Speakers bureau: Novertis, Pfizer, J. Coghlan: None declared, H.-A. Ghofrani Consultant for: Novertis, Pfizer, Speakers bureau: Novertis, Pfizer, F. Grimminger: None declared, J. He: None declared, G. Riemekasten Consultant for: Bayer, Speakers bureau: Bayer, C. Vizza Grant/research support from: Bayer, Actelion, GSK, Novartis, Gilead, Consultant for: Bayer, Actelion, GSK, Utel, A. Boeckenhoff Employee of: Bayer Pharma AG, C. Meier Employee of: Bayer Pharma AG, S. Nikkho Employee of: Bayer Pharma AG, J. Pena Employee of: Bayer Pharma AG, M. Humbert Consultant for: Novartis, Pfizer, GSK, Actelion, Bayer, Speakers bureau: Novartis, Pfizer, GSK, Actelion, Bayer</t>
  </si>
  <si>
    <t>FRI0445</t>
  </si>
  <si>
    <t>10.1136/annrheumdis-2015-eular.4461</t>
  </si>
  <si>
    <t>V33XW</t>
  </si>
  <si>
    <t>WOS:000215799101795</t>
  </si>
  <si>
    <t>T-Helper 17 Cell Polarization in Pulmonary Arterial Hypertension</t>
  </si>
  <si>
    <t>DENDRITIC CELLS; LYMPHOID-TISSUE; INFLAMMATION; ANTIBODIES; SURVIVAL; THERAPY; AXIS</t>
  </si>
  <si>
    <t>BACKGROUND: Inflammation may contribute to the pathobiology of pulmonary arterial hypertension (PAH). Deciphering the PAH fingerprint on the inflammation orchestrated by dendritic cells (DCs) and T cells, key driver and effector cells, respectively, of the immune system, may allow the identification of immunopathologic approaches to PAH management. METHODS: Using flow cytometry, we performed immunophenotyping of monocyte-derived DCs (MoDCs) and circulating lymphocytes from patients with idiopathic PAH and control subjects. With the same technique, we performed cytokine profiling of both populations following stimulation, coculture, or both. We tested the immunomodulatory effects of a glucocorticoid (dexamethasone [Dex]) on this immunophenotype and cytokine profile. Using an epigenetic approach, we confirmed the immune polarization in blood DNA of patients with PAH. RESULTS: The profile of membrane costimulatory molecules of PAH MoDCs was similar to that of control subjects. However, PAH MoDCs retained higher levels of the T-cell activating molecules CD86 and CD40 after Dex pretreatment than did control MoDCs. This was associated with an increased expression of IL-12p40 and a reduced migration toward chemokine (C-C motif) ligand 21. Moreover, both with and without Dex, PAH MoDCs induced a higher activation and proliferation of CD4(+) T cells, associated with a reduced expression of IL-4 (T helper 2 response) and a higher expression of IL-17 (T helper 17 response). Purified PAH CD4(+) T cells expressed a higher level of IL-17 aft er activation than did those of control subjects. Lastly, there was significant hypomethylation of the IL-17 promoter in the PAH blood DNA as compared with the control blood. CONCLUSIONS: We have highlighted T helper 17 cell immune polarization in patients with PAH, as has been previously demonstrated in other chronic inflammatory and autoimmune conditions.</t>
  </si>
  <si>
    <t>[Hautefort, Aurelie; Girerd, Barbara; Montani, David; Cohen-Kaminsky, Sylvia; Humbert, Marc; Perros, Frederic] Univ Paris 11, Fac Med, Le Kremlin Bicetre, France; [Girerd, Barbara; Montani, David; Humbert, Marc] Hop Bicetre, AP HP, DHU TORINO, Serv Pneumol &amp; Reanimat Resp,Ctr Reference Hypert, Le Kremlin Bicetre, France; [Hautefort, Aurelie; Girerd, Barbara; Montani, David; Cohen-Kaminsky, Sylvia; Humbert, Marc; Perros, Frederic] INSERM, UMR S 999, Labex LERMIT, Ctr Chirurg Marie Lannelongue,Hypertens Arteriell, F-92350 Le Plessis Robinson, France; [Price, Laura] Royal Brompton Hosp, Pulm Hypertens Serv, London SW3 6LY, England; [Lambrecht, Bart N.] Univ Ghent VIB, Inflammat Res Ctr, Ghent, Belgium</t>
  </si>
  <si>
    <t>Universite Paris Saclay; Universite Paris Saclay; Assistance Publique Hopitaux Paris (APHP); Hopital Universitaire Antoine-Beclere - APHP; Hopital Universitaire Bicetre - APHP; Hopital Marie Lannelongue; Institut National de la Sante et de la Recherche Medicale (Inserm); Universite Paris Saclay; Royal Brompton Hospital; Ghent University; Flanders Institute for Biotechnology (VIB)</t>
  </si>
  <si>
    <t>Perros, F (corresponding author), INSERM, U999, Ctr Chirurg Marie Lannelongue, 133 Ave Resistance, F-92350 Le Plessis Robinson, France.</t>
  </si>
  <si>
    <t>David, Montani/I-6885-2019; Lambrecht, Bart N/K-2484-2014; Perros, Frederic/N-6921-2017; Humbert, Marc/AAC-8459-2019; Cohen-Kaminsky, Sylvia/E-4837-2014</t>
  </si>
  <si>
    <t>Lambrecht, Bart N/0000-0003-4376-6834; Perros, Frederic/0000-0001-7730-2427; Humbert, Marc/0000-0003-0703-2892; Cohen-Kaminsky, Sylvia/0000-0002-6341-7482; Montani, David/0000-0002-9358-6922</t>
  </si>
  <si>
    <t>Region Ile de France (CORDDIM); National Funding Agency for Research (ANR) [ANR-13-JSV1-001]; Fondation pour la Recherche Medicale (FRM) [EQ20100318257]</t>
  </si>
  <si>
    <t>Region Ile de France (CORDDIM)(Region Ile-de-France); National Funding Agency for Research (ANR)(Agence Nationale de la Recherche (ANR)); Fondation pour la Recherche Medicale (FRM)(Fondation pour la Recherche Medicale)</t>
  </si>
  <si>
    <t>Ms Hautefort is supported by a PhD grant from Region Ile de France (CORDDIM). This study was supported by grants from the National Funding Agency for Research (ANR) [Grant ANR-13-JSV1-001] and from the Fondation pour la Recherche Medicale (FRM) [EQ20100318257].</t>
  </si>
  <si>
    <t>10.1378/chest.14-1678</t>
  </si>
  <si>
    <t>CJ9QS</t>
  </si>
  <si>
    <t>WOS:000355837900042</t>
  </si>
  <si>
    <t>Jouneau, S; Hervier, B; Jutant, EM; Decaux, O; Kambouchner, M; Humbert, M; Delaval, P; Montani, D</t>
  </si>
  <si>
    <t>Jouneau, S.; Hervier, B.; Jutant, E. -M.; Decaux, O.; Kambouchner, M.; Humbert, M.; Delaval, P.; Montani, D.</t>
  </si>
  <si>
    <t>Pulmonary manifestations of antisynthetase syndrome</t>
  </si>
  <si>
    <t>Inflammatory myopathy; Myositis; Anti-Jo1; Infittrative lung disease; pulmonary hypertension</t>
  </si>
  <si>
    <t>INTERSTITIAL LUNG-DISEASE; TRANSFER-RNA-SYNTHETASE; OF-THE-LITERATURE; IDIOPATHIC INFLAMMATORY MYOPATHIES; SYSTEMIC-LUPUS-ERYTHEMATOSUS; ANTI-JO1-POSITIVE PATIENTS; CLINICAL-MANIFESTATIONS; ARTERIAL-HYPERTENSION; ANTI-JO-1 ANTIBODIES; PROGNOSTIC-FACTORS</t>
  </si>
  <si>
    <t>Antisynthetase syndrome is an inflammatory myopathy frequently associated with pulmonary manifestations, especially interstitial lung diseases, and uncommonly pulmonary hypertension. In the context of a suggestive clinical and radiological picture, positive anti-RNA synthetase antibodies confirm the diagnosis. Anti-Jo1, anti-PL7, and anti-PL12 antibodies are the more commonly encountered. The presence of a number of extra-thoracic manifestations in association with pulmonary disease may suggest the diagnosis. These include: myalgia or muscular deficit, Raynaud's phenomenon, polyarthritis, fever, mechanics hands. Serum creatine kinase levels are usually increased. Electromyogram, muscular magnetic resonance imaging or muscle pathology are not mandatory to make the diagnosis. There is a high variability in symptoms and severity, between patients but also during the course of the disease in the same patient. The presence of an interstitial lung disease is a major prognostic factor and an indication for more intensive treatment, principally with systemic corticosteroids with or without immunosuppressive drugs. Improving respiratory physicians' knowledge of this disease, which is often revealed by its pulmonary manifestations, should help diagnosis, therapeutic management, and possibly prognosis. (C) 2014 Published by Elsevier Masson SAS on behalf of SPLF.</t>
  </si>
  <si>
    <t>[Jouneau, S.; Delaval, P.] Hop Pontchaillou, Ctr Competences Malad Pulm Rares Bretagne, Serv Pneumol, F-35033 Rennes, France; [Jouneau, S.; Delaval, P.] Univ Rennes 1, IRSET UMR 1085, Rennes, France; [Hervier, B.] UPMC, Grp Hosp Pitie Salpetriere, AP HP, Serv Med Interne &amp; Immunol Clin, Paris, France; [Jutant, E. -M.; Humbert, M.; Montani, D.] Univ Paris 11, Ctr Reference Hypertens Pulm Severe, Hop Bicetre, Fac Med,AP HP,Thorax Innovat TORINO,DHU,Serv Pneu, F-94270 Le Kremlin Bicetre, France; [Humbert, M.; Montani, D.] Univ Paris 11, Lab Excellence LabEx Rech Medicament &amp; Innovat Th, Ctr Chirurg Marie Lannelongue, UMR S 999,Inserm, F-92350 Le Plessis Robinson, France; [Decaux, O.] Hop Sud, Serv Med Interne, Rennes, France; [Decaux, O.] Univ Rennes 1, UMR CNRS IGDR 6290, Rennes, France; [Kambouchner, M.] Hop Avicenne, AP HP, Serv Anat Pathol, F-93009 Bobigny, France</t>
  </si>
  <si>
    <t>Universite de Rennes; CHU Rennes; Institut National de la Sante et de la Recherche Medicale (Inserm); Universite de Rennes; Assistance Publique Hopitaux Paris (APHP); Hopital Universitaire Pitie-Salpetriere - APHP; Sorbonne Universite; Universite Paris Saclay; Assistance Publique Hopitaux Paris (APHP); Hopital Universitaire Bicetre - APHP; Hopital Universitaire Antoine-Beclere - APHP; Hopital Marie Lannelongue; Universite Paris Saclay; Institut National de la Sante et de la Recherche Medicale (Inserm); CHU Rennes; Universite de Rennes; Universite de Rennes; Centre National de la Recherche Scientifique (CNRS); CNRS - National Institute for Biology (INSB); Assistance Publique Hopitaux Paris (APHP); Hopital Universitaire Avicenne - APHP; Universite Paris 13</t>
  </si>
  <si>
    <t>Jouneau, S (corresponding author), Hop Pontchaillou, Ctr Competences Malad Pulm Rares Bretagne, Serv Pneumol, 2 Rue Henri Le Guilloux, F-35033 Rennes, France.</t>
  </si>
  <si>
    <t>stephane.jouneau@chu-rennes.fr</t>
  </si>
  <si>
    <t>Jouneau, Stephane/K-9956-2015; David, Montani/I-6885-2019; Humbert, Marc/AAC-8459-2019</t>
  </si>
  <si>
    <t>10.1016/j.rmr.2014.07.013</t>
  </si>
  <si>
    <t>CR6TA</t>
  </si>
  <si>
    <t>WOS:000361479100006</t>
  </si>
  <si>
    <t>McLaughlin, VV; Shah, SJ; Souza, R; Humbert, M</t>
  </si>
  <si>
    <t>McLaughlin, Vallerie V.; Shah, Sanjiv J.; Souza, Rogerio; Humbert, Marc</t>
  </si>
  <si>
    <t>echocardiography; endothelin receptor antagonists; hemodynamics; phosphodiesterase type 5 inhibitors; prostacyclins; pulmonary arterial hypertension</t>
  </si>
  <si>
    <t>CONTINUOUS INTRAVENOUS EPOPROSTENOL; ENDOTHELIN RECEPTOR ANTAGONIST; SOLUBLE GUANYLATE-CYCLASE; CALCIUM-CHANNEL BLOCKERS; 5 INHIBITOR THERAPY; DOUBLE-BLIND; ORAL TREPROSTINIL; CLINICAL CHARACTERISTICS; SYSTEMIC-SCLEROSIS; BOSENTAN THERAPY</t>
  </si>
  <si>
    <t>Pulmonary hypertension (PH) is common and may result from a number of disorders, including left heart disease, lung disease, and chronic thromboembolic disease. Pulmonary arterial hypertension (PAH) is an uncommon disease characterized by progressive remodeling of the distal pulmonary arteries, resulting in elevated pulmonary vascular resistance and, eventually, in right ventricular failure. Over the past decades, knowledge of the basic pathobiology of PAH and its natural history, prognostic indicators, and therapeutic options has exploded. A thorough evaluation of a patient is critical to correctly characterize the PH. Cardiac studies, including echocardiography and right heart catheterization, are key elements in the assessment. Given the multitude of treatment options currently available for PAH, assessment of risk and response to therapy is critical in long-term management. This review also underscores unique situations, including perioperative management, intensive care unit management, and pregnancy, and highlights the importance of collaborative care of the PAH patient through a multidisciplinary approach. (C) 2015 by the American College of Cardiology Foundation.</t>
  </si>
  <si>
    <t>[McLaughlin, Vallerie V.] Univ Michigan Hosp &amp; Hlth Syst, Ann Arbor, MI 48109 USA; [Shah, Sanjiv J.] Northwestern Univ, Feinberg Sch Med, Feinberg Cardiovasc Res Inst, Chicago, IL 60611 USA; [Souza, Rogerio] Univ Sao Paulo, Sch Med, Inst Heart, Dept Pulm, Sao Paulo, Brazil; [Humbert, Marc] Univ Paris Sud, F-94275 Le Kremlin Bicetre, France; [Humbert, Marc] Hop Bicetre, AP HP, DHU Thorax Innovat, Serv Pneumol, Le Kremlin Bicetre, France; [Humbert, Marc] Ctr Chirurg Marie Lannelongue, LabEx LERMIT, INSERM U999, Le Plessis Robinson, France</t>
  </si>
  <si>
    <t>University of Michigan System; University of Michigan; Northwestern University; Feinberg School of Medicine; Universidade de Sao Paulo; Universite Paris Saclay; Assistance Publique Hopitaux Paris (APHP); Hopital Universitaire Antoine-Beclere - APHP; Hopital Universitaire Bicetre - APHP; Universite Paris Saclay; Universite Paris Saclay; Institut National de la Sante et de la Recherche Medicale (Inserm); Hopital Marie Lannelongue</t>
  </si>
  <si>
    <t>McLaughlin, VV (corresponding author), Univ Michigan Hosp &amp; Hlth Syst, Ctr Cardiovasc, Pulm Hypertens Program, 1500 East Med Ctr Dr,Room 2392, Ann Arbor, MI 48109 USA.</t>
  </si>
  <si>
    <t>vmclaugh@med.umich.edu</t>
  </si>
  <si>
    <t>Shah, Sanjiv/AFQ-9480-2022; Souza, Rogerio/I-3584-2013; Humbert, Marc/AAC-8459-2019</t>
  </si>
  <si>
    <t>Souza, Rogerio/0000-0003-2789-9143; Humbert, Marc/0000-0003-0703-2892</t>
  </si>
  <si>
    <t>Actelion Bayer; Gilead; United Therapeutics; Actelion; Bayer; National Institutes of Health [R24 HL123767, R01 HL107577]; Actelion Pharmaceuticals; American Board of Internal Medicine; Novartis; DC Devices; AstraZeneca; Alnylam Pharmaceuticals; Pulmonary Hypertension Association; American Society of Echocardiography; GlaxoSmithKline; Bristol-Myers Squibb</t>
  </si>
  <si>
    <t>Actelion Bayer; Gilead(Gilead Sciences); United Therapeutics; Actelion; Bayer(Bayer AG); National Institutes of Health(United States Department of Health &amp; Human ServicesNational Institutes of Health (NIH) - USA); Actelion Pharmaceuticals; American Board of Internal Medicine; Novartis(Novartis); DC Devices; AstraZeneca(AstraZeneca); Alnylam Pharmaceuticals; Pulmonary Hypertension Association; American Society of Echocardiography; GlaxoSmithKline(GlaxoSmithKline); Bristol-Myers Squibb(Bristol-Myers Squibb)</t>
  </si>
  <si>
    <t>Dr. McLaughlin has been a consultant for Actelion Bayer, Gilead, and United Therapeutics; has received research funding for clinical trials to the University of Michigan from Actelion, Bayer, Gilead, and the National Institutes of Health (R24 HL123767); and has a relationship with United Therapeutics. Dr. Shah has received research grant support from the National Institutes of Health (R01 HL107577) and Actelion Pharmaceuticals; has received generous funding from Jo Anne and Stephen A. Schiller in support of pulmonary hypertension research; has received consulting fees from the American Board of Internal Medicine, Novartis, Bayer, DC Devices, AstraZeneca, and Alnylam Pharmaceuticals; and has received speaker fees from the Pulmonary Hypertension Association and the American Society of Echocardiography. Dr. Souza has received lecture fees from Actelion, Bayer, GlaxoSmithKline, and Bristol-Myers Squibb; and has received advisory board fees from Actelion and Bayer. Dr. Humbert has served as a consultant for Actelion, Bayer, GlaxoSmithKline, and Pfizer.</t>
  </si>
  <si>
    <t>MAY 12</t>
  </si>
  <si>
    <t>10.1016/j.jacc.2015.03.540</t>
  </si>
  <si>
    <t>CH4GD</t>
  </si>
  <si>
    <t>WOS:000353991000011</t>
  </si>
  <si>
    <t>Girerd, B; Coulet, F; Jaïs, X; Eyries, M; Van Der Bruggen, C; De Man, F; Houweling, A; Dorfmüller, P; Savale, L; Sitbon, O; Vonk-Noordegraaf, A; Soubrier, F; Simonneau, G; Humbert, M; Montani, D</t>
  </si>
  <si>
    <t>Girerd, Barbara; Coulet, Florence; Jais, Xavier; Eyries, Melanie; Van Der Bruggen, Cathelijne; De Man, Frances; Houweling, Arjan; Dorfmueller, Peter; Savale, Laurent; Sitbon, Olivier; Vonk-Noordegraaf, Anton; Soubrier, Florent; Simonneau, Gerald; Humbert, Marc; Montani, David</t>
  </si>
  <si>
    <t>Characteristics of Pulmonary Arterial Hypertension in Affected Carriers of a Mutation Located in the Cytoplasmic Tail of Bone Morphogenetic Protein Receptor Type 2</t>
  </si>
  <si>
    <t>CALCIUM-CHANNEL BLOCKERS; LONG-TERM RESPONSE; II RECEPTOR; CLINICAL-OUTCOMES; BMPR2 MUTATIONS; GUIDELINES; DIAGNOSIS; DOMAIN</t>
  </si>
  <si>
    <t>BACKGROUND: Mutations in BMPR2 encoding bone morphogenetic protein receptor type 2 (BMPRII) is the main genetic risk factor for heritable pulmonary arterial hypertension (PAH). The suspected mechanism is considered to be a defect of BMP signaling. The BMPRII receptor exists in a short isoform without a cytoplasmic tail, which has preserved BMP signaling. METHODS: This cohort study compared age at PAH diagnosis and severity between patients carrying a BMPR2 mutation affecting the cytoplasmic tail of BMPRII and affected carriers of a mutation upstream of this domain. RESULTS: We identified 171 carriers affected with PAH with a mutated BMPR2. Twenty-three were carriers of a point mutation located on the cytoplasmic tail of BMPRII. This population was characterized by having an older age at diagnosis compared with other BMPR2 mutation carriers (43.2 +/- 12.1 years and 35.7 +/- 14.6 years, P = .040), a lower pulmonary vascular resistance (13.3 +/- 3.5 and 17.4 +/- 6.7, P = .023), and a higher proportion of acute vasodilator responders with a long-term response to calcium channel blockers (8.7% and 0%, P = .02). No statistically significant differences were observed in survival. An in vitro assay showed that mutations located in the cytoplasmic tail led to normal activation of the Smad pathway, whereas activation was abolished in the presence of mutations located in the kinase domain. CONCLUSIONS: Patients carrying a mutation affecting the cytoplasmic tail of BMPRII were characterized by an older age at diagnosis compared with other BMPR2 mutation carriers, less severe hemodynamic characteristics, and a greater chance of being a long-term responder to calcium channel blockers. Further investigations are needed to better understand the consequences of these BMPR2 mutations in BMPRII signaling pathways and their possible role in pulmonary arterial remodeling.</t>
  </si>
  <si>
    <t>[Girerd, Barbara; Jais, Xavier; Dorfmueller, Peter; Savale, Laurent; Sitbon, Olivier; Simonneau, Gerald; Humbert, Marc; Montani, David] Univ Paris 11, F-94275 Le Kremlin Bicetre, France; [Girerd, Barbara; Jais, Xavier; Dorfmueller, Peter; Savale, Laurent; Sitbon, Olivier; Simonneau, Gerald; Humbert, Marc; Montani, David] Hop Bicetre, DHU Thorax Innovat, Ctr Reference Hypertens Pulm Severe, AP HP,Serv Pneumol, Le Kremlin Bicetre, France; [Girerd, Barbara; Jais, Xavier; Dorfmueller, Peter; Savale, Laurent; Sitbon, Olivier; Simonneau, Gerald; Humbert, Marc; Montani, David] Ctr Chirurg Marie Lannelongue, LabEx LERMIT, INSERM, U999, Le Kremlin Bicetre, France; [Coulet, Florence; Eyries, Melanie; Soubrier, Florent] Hop La Pitie Salpetriere, AP HP, Dept Genet, Paris, France; [Eyries, Melanie; Soubrier, Florent] ICAN Inst Cardiometab &amp; Nutr, Paris, France</t>
  </si>
  <si>
    <t>Universite Paris Saclay; Universite Paris Saclay; Assistance Publique Hopitaux Paris (APHP); Hopital Universitaire Antoine-Beclere - APHP; Hopital Universitaire Bicetre - APHP; Hopital Marie Lannelongue; Institut National de la Sante et de la Recherche Medicale (Inserm); Assistance Publique Hopitaux Paris (APHP); Hopital Universitaire Pitie-Salpetriere - APHP; Sorbonne Universite; Sorbonne Universite</t>
  </si>
  <si>
    <t>Montani, D (corresponding author), Univ Paris 11, Hop Bicetre, Ctr Reference Hypertens Pulm Severe, Serv Pneumol, 78 Rue Gen Leclerc, F-94275 Le Kremlin Bicetre, France.</t>
  </si>
  <si>
    <t>David, Montani/I-6885-2019; Savale, Laurent/AAJ-9781-2020; Simonneau, Gerald/ABE-6614-2020; EYRIES, melanie/ABF-1034-2020; Sitbon, Olivier/I-3623-2019; Humbert, Marc/AAC-8459-2019</t>
  </si>
  <si>
    <t>Vonk Noordegraaf, Anton/0000-0002-4057-758X; Dorfmuller, Peter/0000-0003-2499-6829; Humbert, Marc/0000-0003-0703-2892; Handoko-de Man, Frances/0000-0002-5776-7793; SITBON, Olivier/0000-0002-1942-1951; Montani, David/0000-0002-9358-6922; JAIS, XAVIER/0000-0002-4104-7994</t>
  </si>
  <si>
    <t>5th World Symposium on Pulmonary Hypertension, Nice, France</t>
  </si>
  <si>
    <t>Dr Montani received a young investigator award for this work from the 5th World Symposium on Pulmonary Hypertension, February 27-March 1, 2013, Nice, France.</t>
  </si>
  <si>
    <t>10.1378/chest.14-0880</t>
  </si>
  <si>
    <t>CI2VW</t>
  </si>
  <si>
    <t>WOS:000354606600044</t>
  </si>
  <si>
    <t>Laveneziana, P; Degano, B; Jais, X; Simonneau, G; Humbert, M; Sitbon, O; Garcia, G</t>
  </si>
  <si>
    <t>Laveneziana, Pierantonio; Degano, Bruno; Jais, Xavier; Simonneau, Gerald; Humbert, Marc; Sitbon, Olivier; Garcia, Gilles</t>
  </si>
  <si>
    <t>EFFECTS OF 12-WEEK EXERCISE TRAINING-RELATED REHABILITATION ON EXERTIONAL DYSPNOEA IN PATIENTS WITH IDIOPATHIC PULMONARY ARTERIAL HYPERTENSION</t>
  </si>
  <si>
    <t>[Garcia, Gilles] Hop Univ Bicetre, Ctr Reference Hypertens Pulm Severe, Serv Explorat Fonct Resp, AP HP,DHU TORINO Thorax Innovat, Le Kremlin Bicetre, France; [Garcia, Gilles] Univ Paris 11, Fac Med, Paris, France</t>
  </si>
  <si>
    <t>Sitbon, Olivier/I-3623-2019; Laveneziana, Pierantonio/GWC-2028-2022; Humbert, Marc/AAC-8459-2019; Degano, Bruno/IAQ-7289-2023; Simonneau, Gerald/ABE-6614-2020</t>
  </si>
  <si>
    <t>P-03-012</t>
  </si>
  <si>
    <t>CI1TY</t>
  </si>
  <si>
    <t>WOS:000354528800242</t>
  </si>
  <si>
    <t>Laveneziana, P; Humbert, M; Godinas, L; Joureau, B; Malrin, R; Straus, C; Jaïs, X; Sitbon, O; Simonneau, G; Similowski, T; Garcia, G</t>
  </si>
  <si>
    <t>Laveneziana, Pierantonio; Humbert, Marc; Godinas, Laurent; Joureau, Barbara; Malrin, Roxane; Straus, Christian; Jais, Xavier; Sitbon, Olivier; Simonneau, Gerald; Similowski, Thomas; Garcia, Gilles</t>
  </si>
  <si>
    <t>Inspiratory muscle function, dynamic hyperinflation and exertional dyspnoea in pulmonary arterial hypertension</t>
  </si>
  <si>
    <t>RESPIRATORY MECHANICS; EXERCISE; DISEASE</t>
  </si>
  <si>
    <t>[Laveneziana, Pierantonio; Joureau, Barbara; Straus, Christian; Similowski, Thomas] Univ Paris 06, Sorbonne Univ, UMR S 1158, Neurophysiol Resp Expt &amp; Clin, Paris, France; [Laveneziana, Pierantonio; Joureau, Barbara; Straus, Christian; Similowski, Thomas] INSERM, UMR S 1158, Neurophysiol Resp Expt &amp; Clin, Paris, France; [Laveneziana, Pierantonio; Straus, Christian] Grp Hosp Pitie Salpetriere Charles Foix, AP HP, Serv Explorat Fonct Resp Exercice &amp; Dyspnee, Paris, France; [Laveneziana, Pierantonio; Godinas, Laurent; Malrin, Roxane; Garcia, Gilles] Hop Univ Bicetre, AP HP, Serv Explorat Fonct Resp, Ctr Reference Hypertens Pulm Severe,DHU TORINO Th, Le Kremlin Bicetre, France; [Humbert, Marc; Godinas, Laurent; Malrin, Roxane; Jais, Xavier; Sitbon, Olivier; Simonneau, Gerald; Garcia, Gilles] Univ Paris 11, Fac Med, Le Kremlin Bicetre, France; [Humbert, Marc; Godinas, Laurent; Malrin, Roxane; Jais, Xavier; Sitbon, Olivier; Simonneau, Gerald; Garcia, Gilles] INSERM, U999, LabEx LERMIT, Le Plessis Robinson, France; [Humbert, Marc; Jais, Xavier; Sitbon, Olivier; Simonneau, Gerald] Hop Univ Bicetre, AP HP, Serv Pneumol &amp; Soins Intensifs Thorac, Ctr Reference Hypertens Pulm Severe,DHU TORINO Th, Le Kremlin Bicetre, France; [Similowski, Thomas] Grp Hosp Pitie Salpetriere Charles Foix, AP HP, Serv Pneumol &amp; Reanimat Med, Paris, France</t>
  </si>
  <si>
    <t>Sorbonne Universite; Institut National de la Sante et de la Recherche Medicale (Inserm); Assistance Publique Hopitaux Paris (APHP); Hopital Universitaire Charles-Foix - APHP; Hopital Universitaire Pitie-Salpetriere - APHP; Sorbonne Universite; Assistance Publique Hopitaux Paris (APHP); Hopital Universitaire Bicetre - APHP; Universite Paris Saclay; Institut National de la Sante et de la Recherche Medicale (Inserm); Universite Paris Saclay; Assistance Publique Hopitaux Paris (APHP); Hopital Universitaire Bicetre - APHP; Assistance Publique Hopitaux Paris (APHP); Hopital Universitaire Charles-Foix - APHP; Hopital Universitaire Pitie-Salpetriere - APHP; Sorbonne Universite</t>
  </si>
  <si>
    <t>Laveneziana, P (corresponding author), Hop Univ Pitie Salpetriere, AP HP, Serv Explorat Fonct Resp Exercice &amp; Dyspnee EFRED, Dept Resp Reanimat Rehabil Sommeil R3S,Pole PRAGU, 47-83 Blvd Hop, F-75013 Paris, France.</t>
  </si>
  <si>
    <t>pierantonio.laveneziana@psl.aphp.fr</t>
  </si>
  <si>
    <t>Godinas, Laurette/AAS-1059-2021; Laveneziana, Pierantonio/GWC-2028-2022; Simonneau, Gerald/ABE-6614-2020; Similowski, Thomas/GQQ-9468-2022; Sitbon, Olivier/I-3623-2019; Humbert, Marc/AAC-8459-2019</t>
  </si>
  <si>
    <t>SITBON, Olivier/0000-0002-1942-1951; Godinas, Laurent/0000-0003-2214-5879; JAIS, XAVIER/0000-0002-4104-7994; Humbert, Marc/0000-0003-0703-2892</t>
  </si>
  <si>
    <t>10.1183/09031936.00153214</t>
  </si>
  <si>
    <t>CH6KI</t>
  </si>
  <si>
    <t>WOS:000354145100036</t>
  </si>
  <si>
    <t>Rubin, LJ; Galié, N; Grimminger', F; Grünig, E; Humbert, M; Jing, ZC; Keogh, A; Langleben, D; Fritsch, A; Menezes, F; Davie, N; Ghofrani, HA</t>
  </si>
  <si>
    <t>Rubin, Lewis J.; Galie, Nazzareno; Grimminger, Friedrich; Gruenig, Ekkehard; Humbert, Marc; Jing, Zhi-Cheng; Keogh, Anne; Langleben, David; Fritsch, Arno; Menezes, Flavia; Davie, Neil; Ghofrani, Hossein-Ardeschir</t>
  </si>
  <si>
    <t>Riociguat for the treatment of pulmonary arterial hypertension: a long-term extension study (PATENT-2)</t>
  </si>
  <si>
    <t>Riociguat is a soluble, guanylate cyclase stimulator, approved for pulmonary arterial hypertension. In the 12-week PATENT-1 study, riociguat was well tolerated and improved several clinically relevant end-points in patients with pulmonary arterial hypertension who were treatment naive or had been pretreated with endothelin-receptor antagonists or prostanoids. The PATENT-2 open-label extension evaluated the long-term safety and efficacy of riociguat. Eligible patients from the PATENT-1 study received riociguat individually adjusted up to a maximum dose of 2.5 mg three times daily. The primary objective was to assess the safety and tolerability of riociguat; exploratory efficacy assessments included 6-min walking distance and World Health Organization (WHO) functional class. Overall, 396 patients entered the PATENT-2 study and 324 (82%) were ongoing at this interim analysis (March 2013). The safety profile of riociguat in PATENT-2 was similar to that observed in PATENT-1, with cases of haemoptysis and pulmonary haemorrhage also being observed in PATENT-2. Improvements in the patients', 6-min walking distance and WHO functional class observed in PATENT-1 persisted for up to 1 year in PATENT-2. In the observed population at the 1-year time point, mean +/- SD 6-min walking distance had changed by 51 +/- 74 m and WHO functional class had improved in 33%, stabilised in 61% and worsened in 6% of the patients versus the PATENT-1 baseline. Long-term riociguat was well tolerated in patients with pulmonary arterial hypertension, and led to sustained improvements in exercise capacity and functional capacity for up to 1 year.</t>
  </si>
  <si>
    <t>[Rubin, Lewis J.] Univ Calif San Diego, Dept Med, La Jolla, CA 92037 USA; [Galie, Nazzareno] Bologna Univ Hosp, Dept Expt Diagnost &amp; Specialty Med DIMES, Bologna, Italy; [Grimminger, Friedrich; Ghofrani, Hossein-Ardeschir] Univ Giessen, D-35390 Giessen, Germany; [Grimminger, Friedrich; Ghofrani, Hossein-Ardeschir] Marburg Lung Ctr, Giessen, Germany; [Gruenig, Ekkehard] Univ Heidelberg Hosp, Thoraxclin, Ctr Pulm Hypertens, Heidelberg, Germany; [Humbert, Marc] Univ Paris 11, Le Kremlin Bicetre, France; [Humbert, Marc] Hop Bicetre, AP HP, Serv Pneumol, DHU Thorax Innovat, Le Kremlin Bicetre, France; [Humbert, Marc] Ctr Chirurg Marie Lannelongue, LabEx LERMIT, INSERM, U999, Le Plessis Robinson, Robinson, France; [Jing, Zhi-Cheng] Peking Union Med Coll, Fu Wai Hosp, State Key Lab Cardiovasc Dis, Beijing 100021, Peoples R China; [Jing, Zhi-Cheng] Chinese Acad Med Sci, Beijing 100730, Peoples R China; [Keogh, Anne] St Vincents Hosp, Sydney, NSW 2010, Australia; [Langleben, David] McGill Univ, Jewish Gen Hosp, Ctr Pulm Vasc Dis, Montreal, PQ H3T 1E2, Canada; [Langleben, David] McGill Univ, Jewish Gen Hosp, Lady Davis Inst, Montreal, PQ H3T 1E2, Canada; [Fritsch, Arno; Davie, Neil] Bayer HealthCare Pharmaceut, Global Clin Dev, Wuppertal, Germany; [Menezes, Flavia] Bayer HealthCare Pharmaceut, Sao Paulo, Brazil; [Ghofrani, Hossein-Ardeschir] Univ London Imperial Coll Sci Technol &amp; Med, Dept Med, London, England</t>
  </si>
  <si>
    <t>University of California System; University of California San Diego; IRCCS Azienda Ospedaliero-Universitaria di Bologna; Justus Liebig University Giessen; Ruprecht Karls University Heidelberg; Universite Paris Saclay; Assistance Publique Hopitaux Paris (APHP); Hopital Universitaire Bicetre - APHP; Hopital Universitaire Antoine-Beclere - APHP; Universite Paris Saclay; Universite Paris Saclay; Hopital Marie Lannelongue; Institut National de la Sante et de la Recherche Medicale (Inserm); Chinese Academy of Medical Sciences - Peking Union Medical College; Peking Union Medical College; Fu Wai Hospital - CAMS; Chinese Academy of Medical Sciences - Peking Union Medical College; NSW Health; St Vincents Hospital Sydney; McGill University; McGill University; Lady Davis Institute; Bayer AG; Bayer Healthcare Pharmaceuticals; Bayer AG; Bayer Healthcare Pharmaceuticals; Imperial College London</t>
  </si>
  <si>
    <t>Rubin, LJ (corresponding author), Univ Calif San Diego, 5550 Caminito Genio, La Jolla, CA 92037 USA.</t>
  </si>
  <si>
    <t>ljr@lewisrubinmd.com</t>
  </si>
  <si>
    <t>Menezes, Flavia/JDV-6626-2023; Rubin, Lewis/AEW-1719-2022; Ghofrani, Ardeschir/AAD-5293-2020; Langleben, David/AAJ-9152-2020; Galie, Nazzareno/F-7004-2014; Jing, Zhi-Cheng/AAT-9081-2021; Humbert, Marc/AAC-8459-2019</t>
  </si>
  <si>
    <t>Grimminger, Friedrich/0000-0001-8725-6276; Galie, Nazzareno/0000-0003-4271-8670; Ghofrani, Ardeschir/0000-0002-2029-4419; Jing, Zhi-Cheng/0000-0003-0493-0929; Humbert, Marc/0000-0003-0703-2892</t>
  </si>
  <si>
    <t>10.1183/09031936.00090614</t>
  </si>
  <si>
    <t>WOS:000354145100015</t>
  </si>
  <si>
    <t>Boulate, D; Giraldeau, G; Guihaire, J; Decante, B; Skhiri, M; Schnittger, I; Humbert, M; Wu, JC; Zamanian, RT; Fadel, E; Mercier, O; Haddad, F</t>
  </si>
  <si>
    <t>Boulate, D.; Giraldeau, G.; Guihaire, J.; Decante, B.; Skhiri, M.; Schnittger, I.; Humbert, M.; Wu, J. C.; Zamanian, R. T.; Fadel, E.; Mercier, O.; Haddad, F.</t>
  </si>
  <si>
    <t>Normalized Right Isovolumic Relaxation Time and Post-Stress Myocardial Deformation Imaging Reveal Early Signs of Precapillary Pulmonary Hypertension: Insights From a Large Animal Model of Chronic Pressure Overload and Clinical Validation</t>
  </si>
  <si>
    <t>35th Annual Meeting and Scientific Sessions of the International-Society-for-Heart-and-Lung-Transplantation</t>
  </si>
  <si>
    <t>APR 15-18, 2015</t>
  </si>
  <si>
    <t>[Boulate, D.; Decante, B.; Fadel, E.; Mercier, O.] Marie Lannelongue Surg Ctr, Surg Res Lab, Le Plessis Robinson, France; [Giraldeau, G.; Skhiri, M.; Schnittger, I.] Stanford Univ, Cardiovasc Med, Stanford, CA 94305 USA; [Guihaire, J.] Ctr Hosp Univ Rennes, Adult Cardiac Surg, Rennes, France; [Humbert, M.] Marie Lannelongue Surg Ctr, INSERM, U999, Pulm Arterial Hypertens,Pathophysiol &amp; Therapeut, Le Plessis Robinson, France; [Wu, J. C.] Stanford Univ, Cardiovasc Inst, Stanford, CA 94305 USA; [Zamanian, R. T.] Stanford Univ, Pulm &amp; Crit Care Med, Stanford, CA 94305 USA; [Haddad, F.] Stanford Univ, Cardiovasc Inst, Biomarker &amp; Phenotyp Core Lab, Stanford, CA 94305 USA</t>
  </si>
  <si>
    <t>Stanford University; CHU Rennes; Universite de Rennes; Universite Paris Saclay; Institut National de la Sante et de la Recherche Medicale (Inserm); Stanford University; Stanford University; Stanford University</t>
  </si>
  <si>
    <t>S339</t>
  </si>
  <si>
    <t>S340</t>
  </si>
  <si>
    <t>10.1016/j.healun.2015.01.967</t>
  </si>
  <si>
    <t>CG4JN</t>
  </si>
  <si>
    <t>WOS:000353251500929</t>
  </si>
  <si>
    <t>Boulate, D; Haddad, F; Noly, P; Kuznetsova, T; Giraldeau, G; Dorfmuller, P; Kobayashi, Y; Decante, B; Wu, JC; Liang, D; Schnittger, I; Humbert, M; Fadel, E; Mercier, O</t>
  </si>
  <si>
    <t>Boulate, D.; Haddad, F.; Noly, P.; Kuznetsova, T.; Giraldeau, G.; Dorfmuller, P.; Kobayashi, Y.; Decante, B.; Wu, J. C.; Liang, D.; Schnittger, I.; Humbert, M.; Fadel, E.; Mercier, O.</t>
  </si>
  <si>
    <t>Late Diastolic Strain Index Is a Marker of Right Ventricular Fibrosis Content in Precapillary Pulmonary Hypertension</t>
  </si>
  <si>
    <t>[Boulate, D.; Noly, P.; Decante, B.; Fadel, E.; Mercier, O.] Marie Lannelongue Surg Ctr, Surg Res Lab, Le Plessis Robinson, France; [Haddad, F.; Kobayashi, Y.] Stanford Univ, Cardiovasc Inst, Biomarker &amp; Phenotyp Core Lab, Stanford, CA 94305 USA; [Kuznetsova, T.] Univ Leuven, Dept Cardiovasc Sci, Res Unit Hypertens &amp; Cardiovasc Epidemiol, Leuven, Belgium; [Giraldeau, G.; Liang, D.; Schnittger, I.] Stanford Univ, Cardiovasc Med, Stanford, CA 94305 USA; [Dorfmuller, P.] Marie Lannelongue Surg Ctr, Dept Pathol, Le Plessis Robinson, France; [Wu, J. C.] Stanford Univ, Cardiovasc Inst, Stanford, CA 94305 USA; [Humbert, M.] Marie Lannelongue Surg Ctr, INSERM, U999, Pulm Arterial Hypertens Pathophysiol &amp; Therapeut, Le Plessis Robinson, France</t>
  </si>
  <si>
    <t>Stanford University; KU Leuven; Stanford University; Stanford University; Institut National de la Sante et de la Recherche Medicale (Inserm); Universite Paris Saclay</t>
  </si>
  <si>
    <t>S143</t>
  </si>
  <si>
    <t>S144</t>
  </si>
  <si>
    <t>10.1016/j.healun.2015.01.387</t>
  </si>
  <si>
    <t>WOS:000353251500367</t>
  </si>
  <si>
    <t>Chemla, D; Humbert, M; Sitbon, O; Montani, D; Hervé, P</t>
  </si>
  <si>
    <t>Chemla, Denis; Humbert, Marc; Sitbon, Olivier; Montani, David; Herve, Philippe</t>
  </si>
  <si>
    <t>Systolic and Mean Pulmonary Artery Pressures Are They Interchangeable in Patients With Pulmonary Hypertension?</t>
  </si>
  <si>
    <t>VASCULAR-RESISTANCE; PULSE PRESSURE; HEART-FAILURE; DIAGNOSIS; ECHOCARDIOGRAPHY; CONSTANT; FRACTION; THROMBOEMBOLISM; REFLECTION; DERIVATION</t>
  </si>
  <si>
    <t>Pulmonary hypertension (PH) is a common complication of numerous diseases, including leftsided heart diseases and chronic lung diseases and/or hypoxia, where PH is associated with exercise limitation and a worse prognosis. Other forms of PH include pulmonary arterial hypertension (PAH), chronic thromboembolic PH (CTEPH), and PH with unclear multifactorial mechanisms. Over the past decade, it has been documented that systolic pulmonary artery pressure (sPAP) may help estimate mean pulmonary artery pressure (mPAP) in adults with high accuracy and reasonably good precision (mPAP 5 0.61 sPAP 1 2 mm Hg). This strong linear relationship between sPAP and mPAP was unexpected from a classic physiologic point of view. Consistent results have been obtained from independent teams using either highfidelity micromanometer-tipped PA catheters or fluid-filled catheters. Overall, the strong link between sPAP and mPAP has been documented over a wide range of PAPs, heart rate, cardiac output, wedge pressure, and causes of PH, during changes in posture and activity, and irrespective of patient's sex, age, and BMI. A review of available invasive data confirms that patients with CTEPH and idiopathic PAH matched for their mPAP exhibit essentially similar sPAP. Pressure redundancy may be explained by the dependence of PA compliance upon mPAP. The 25 mm Hg threshold used to define PH accurately corresponds to an sPAP of 38 mm Hg. Although the limits of the echocardiographic estimation of sPAP are widely documented, results from invasive studies may furnish an evidence-based sPAP-derived mPAP value, potentially useful in the multiparameter echocardiographic approach currently used to diagnose and follow patients with PH.</t>
  </si>
  <si>
    <t>Univ Paris 11, Fac Med, Le Kremlin Bicetre, France; Hop Bicetre, AP HP, Serv Explorat Fonct &amp; Pneumol, F-94275 Le Kremlin Bicetre, France; Ctr Chirurg Marie Lannelongue, Inserm UMR S999, Le Plessis Robinson, France</t>
  </si>
  <si>
    <t>Universite Paris Saclay; Universite Paris Saclay; Assistance Publique Hopitaux Paris (APHP); Hopital Universitaire Bicetre - APHP; Hopital Universitaire Antoine-Beclere - APHP; Institut National de la Sante et de la Recherche Medicale (Inserm); Hopital Marie Lannelongue</t>
  </si>
  <si>
    <t>Chemla, D (corresponding author), Hop Bicetre, Serv Explorat Fonct, Broca 7,78 Rue Gen Leclerc, F-94275 Le Kremlin Bicetre, France.</t>
  </si>
  <si>
    <t>denis.chemla@bct.aphp.fr</t>
  </si>
  <si>
    <t>Sitbon, Olivier/I-3623-2019; David, Montani/I-6885-2019; Humbert, Marc/AAC-8459-2019</t>
  </si>
  <si>
    <t>Montani, David/0000-0002-9358-6922; Humbert, Marc/0000-0003-0703-2892; SITBON, Olivier/0000-0002-1942-1951; CHEMLA, Denis/0000-0001-7479-9896</t>
  </si>
  <si>
    <t>10.1378/chest.14-1755</t>
  </si>
  <si>
    <t>CI2VT</t>
  </si>
  <si>
    <t>WOS:000354606300023</t>
  </si>
  <si>
    <t>Günther, S; Sztrymf, B; Savale, L; Lau, EM; Montani, D; Hervé, P; Lador, F; Jaïs, X; Parent, F; Simonneau, G; Sitbon, O; Humbert, M; Chemla, D</t>
  </si>
  <si>
    <t>Guenther, Sven; Sztrymf, Benjamin; Savale, Laurent; Lau, Edmund M.; Montani, David; Herve, Philippe; Lador, Frederic; Jais, Xavier; Parent, Florence; Simonneau, Gerald; Sitbon, Olivier; Humbert, Marc; Chemla, Denis</t>
  </si>
  <si>
    <t>Relation between left ventricular ejection time and pulmonary hemodynamics in pulmonary hypertension</t>
  </si>
  <si>
    <t>Pulmonary hypertension; Stroke volume; Ejection time; Right ventricle; Arterial tonometry</t>
  </si>
  <si>
    <t>ACUTE HEART-FAILURE; INTERVALS</t>
  </si>
  <si>
    <t>[Guenther, Sven; Savale, Laurent; Lau, Edmund M.; Montani, David; Lador, Frederic; Jais, Xavier; Parent, Florence; Simonneau, Gerald; Sitbon, Olivier; Humbert, Marc; Chemla, Denis] Hop Bicetre, AP HP, Serv Pneumol &amp; Physiol DHU Thorax Innovat, F-94275 Le Kremlin Bicetre, France; [Sztrymf, Benjamin] Hop Antoine Beclere, AP HP, Reanimat Med, Clamart, France; [Herve, Philippe] Ctr Chirurg Marie Lannelongue, Le Plessis Robinson, France; [Simonneau, Gerald; Sitbon, Olivier; Humbert, Marc; Chemla, Denis] Univ Paris Sud, Fac Med, F-94275 Le Kremlin Bicetre, France; [Simonneau, Gerald; Sitbon, Olivier; Humbert, Marc; Chemla, Denis] Ctr Chirurg Marie Lannelongue, LabEx LERMIT, INSERM UMR S 999, Le Plessis Robinson, France</t>
  </si>
  <si>
    <t>Assistance Publique Hopitaux Paris (APHP); Hopital Universitaire Bicetre - APHP; Hopital Universitaire Antoine-Beclere - APHP; Universite Paris Saclay; Assistance Publique Hopitaux Paris (APHP); Hopital Universitaire Antoine-Beclere - APHP; Hopital Marie Lannelongue; Universite Paris Saclay; Universite Paris Saclay; Institut National de la Sante et de la Recherche Medicale (Inserm); Hopital Marie Lannelongue</t>
  </si>
  <si>
    <t>Chemla, D (corresponding author), Hop Bicetre, Cardiovasc Physiol, 78 Rue Gen Leclerc, F-94275 Le Kremlin Bicetre, France.</t>
  </si>
  <si>
    <t>David, Montani/I-6885-2019; Sitbon, Olivier/I-3623-2019; Savale, Laurent/AAJ-9781-2020; Günther, Sven/ACV-7191-2022; Simonneau, Gerald/ABE-6614-2020; Humbert, Marc/AAC-8459-2019; GUNTHER, Sven/P-4177-2017</t>
  </si>
  <si>
    <t>CHEMLA, Denis/0000-0001-7479-9896; SITBON, Olivier/0000-0002-1942-1951; Humbert, Marc/0000-0003-0703-2892; Montani, David/0000-0002-9358-6922; GUNTHER, Sven/0000-0001-8388-6131; JAIS, XAVIER/0000-0002-4104-7994</t>
  </si>
  <si>
    <t>10.1016/j.ijcard.2015.02.101</t>
  </si>
  <si>
    <t>CH1EL</t>
  </si>
  <si>
    <t>WOS:000353763800173</t>
  </si>
  <si>
    <t>Huertas, A; Tu, L; Thuillet, R; Le Hiress, M; Phan, C; Ricard, N; Nadaud, S; Fadel, E; Humbert, M; Guignabert, C</t>
  </si>
  <si>
    <t>Huertas, Alice; Tu, Ly; Thuillet, Raphael; Le Hiress, Morane; Phan, Carole; Ricard, Nicolas; Nadaud, Sophie; Fadel, Elie; Humbert, Marc; Guignabert, Christophe</t>
  </si>
  <si>
    <t>Leptin signalling system as a target for pulmonary arterial hypertension therapy</t>
  </si>
  <si>
    <t>SMOOTH-MUSCLE-CELLS; FIBROBLAST GROWTH FACTOR-2; HYPOXIA-INDUCIBLE FACTORS; PROTEIN-KINASE-A; GRANULOSA-CELLS; MICE; INFLAMMATION; ACTIVATION; RATS; PROGRESSION</t>
  </si>
  <si>
    <t>Excessive proliferation of pulmonary arterial smooth muscle cells (PA-SMCs) and perivascular inflammation lead to pulmonary arterial hypertension (PAH) progression, but they are not specifically targeted by the current therapies. Since leptin (Ob) and its main receptor ObR-b contribute to systemic vascular cell proliferation and inflammation, we questioned whether targeting Ob/ObR-b axis would be an effective antiproliferative and anti-inflammatory strategy against PAH. In idiopathic PAH (iPAH), using human lung tissues and primary cell cultures (early passages. 5), we demonstrate that pulmonary endothelial cells (P-ECs) over produce Ob and that PA-SMCs overexpress ObR-b. Furthermore, we obtain evidence that Ob enhances proliferation of human PA-SMCs in vitro and increases right ventricular systolic pressure in Ob-treated mice in the chronic hypoxia-induced pulmonary hypertension (PH) model. Using human cells, we also show that Ob leads to monocyte activation and increases cell adhesion molecule expression levels in P-ECs. We also find that Ob/ObR-b axis contributes to PH susceptibility by using ObR-deficient rats, which display less severe hypoxia-induced PH (pulmonary haemodynamics, arterial muscularisation, PA-SMC proliferation and perivascular inflammation). Importantly, we demonstrate the efficacy of two curative strategies using a soluble Ob neutraliser and dichloroacetate in hypoxia-induced PH. We demonstrate here that Ob/ObR-b axis may represent anti-proliferative and anti-inflammatory targets in PAH.</t>
  </si>
  <si>
    <t>[Huertas, Alice; Tu, Ly; Thuillet, Raphael; Le Hiress, Morane; Phan, Carole; Ricard, Nicolas; Fadel, Elie; Humbert, Marc; Guignabert, Christophe] INSERM, Ctr Chirurg Marie Lannelongue, LabEx LERMIT, UMR S 999, F-92350 Le Plessis Robinson, France; [Huertas, Alice; Tu, Ly; Thuillet, Raphael; Le Hiress, Morane; Phan, Carole; Ricard, Nicolas; Fadel, Elie; Humbert, Marc; Guignabert, Christophe] Univ Paris 11, Fac Med, Le Kremlin Bicetre, France; [Huertas, Alice; Humbert, Marc] Hop Bicetre, DHU Thorax Innovat, AP HP, Serv Pneumol, Le Kremlin Bicetre, France; [Nadaud, Sophie] Univ Paris 06, INSERM, UMR S 956, Paris, France</t>
  </si>
  <si>
    <t>Hopital Marie Lannelongue; Institut National de la Sante et de la Recherche Medicale (Inserm); Universite Paris Saclay; Universite Paris Saclay; Assistance Publique Hopitaux Paris (APHP); Hopital Universitaire Bicetre - APHP; Hopital Universitaire Antoine-Beclere - APHP; Universite Paris Saclay; Sorbonne Universite; Institut National de la Sante et de la Recherche Medicale (Inserm)</t>
  </si>
  <si>
    <t>Huertas, A (corresponding author), INSERM, Ctr Chirurg Marie Lannelongue, UMR S 999, 133 Ave Resistance, F-92350 Le Plessis Robinson, France.</t>
  </si>
  <si>
    <t>Nadaud, Sophie/A-7063-2013; Ricard, Nicolas/AAF-1083-2019; Huertas, Alice/E-8244-2017; TU, Ly/G-4035-2013; GUIGNABERT, Christophe/G-3873-2013; Humbert, Marc/AAC-8459-2019</t>
  </si>
  <si>
    <t>Huertas, Alice/0000-0001-8545-747X; TU, Ly/0000-0003-2336-5099; Nadaud, Sophie/0000-0002-1452-6009; Thuillet, Raphael/0000-0002-1379-3797; GUIGNABERT, Christophe/0000-0002-8545-4452; Ricard, Nicolas/0000-0002-7572-173X; Humbert, Marc/0000-0003-0703-2892; Phan, Carole/0000-0002-7834-508X</t>
  </si>
  <si>
    <t>French National Institute for Health and Medical Research (INSERM) [ANR_12_JSV1_0004_01]; GlaxoSmithKline; Pfizer [WI182054]</t>
  </si>
  <si>
    <t>French National Institute for Health and Medical Research (INSERM)(Institut National de la Sante et de la Recherche Medicale (Inserm)); GlaxoSmithKline(GlaxoSmithKline); Pfizer(Pfizer)</t>
  </si>
  <si>
    <t>This research was supported by grants from the French National Institute for Health and Medical Research (INSERM, the French National Agency for Research: grant ANR_12_JSV1_0004_01), from GlaxoSmithKline (PAH grant 2013), and from Pfizer (IIR grant WI182054). Funding information for this article has been deposited with FundRef</t>
  </si>
  <si>
    <t>10.1183/09031936.00193014</t>
  </si>
  <si>
    <t>CE7MB</t>
  </si>
  <si>
    <t>WOS:000352023800019</t>
  </si>
  <si>
    <t>Lau, EMT; Humbert, M</t>
  </si>
  <si>
    <t>Lau, Edmund M. T.; Humbert, Marc</t>
  </si>
  <si>
    <t>A Critical Appraisal of the Updated 2014 Nice Pulmonary Hypertension Classification System</t>
  </si>
  <si>
    <t>SEROTONIN-REUPTAKE INHIBITORS; ARTERIAL-HYPERTENSION; CLINICAL CLASSIFICATION; VENOOCCLUSIVE DISEASE; PRESSURE-GRADIENT; NITRIC-OXIDE; RISK; THERAPY; SILDENAFIL; DIAGNOSIS</t>
  </si>
  <si>
    <t>In 2013, the Fifth World Symposium on Pulmonary Hypertension (PH) was held in Nice, France. This meeting has been held every 5 years since the Second World Symposium in 1998, when the modern-day classification system of PH was initially conceived. PH is a pathophysiologic state of the pulmonary circulation characterized by an increased mean pulmonary artery pressure &gt;= 25 mm Hg at rest, and can be the consequence of a variety of distinct disease entities. The rationale of a classification system for PH was to group together disease entities that share similar pathomechanisms, clinical presentation, and therapeutic approaches. Refinements of the classification system have been made at each subsequent World Symposium, reflecting the ongoing research and new knowledge acquired in the science of PH. We provide an update of the recent changes made to the PH classification system from the Nice meeting.</t>
  </si>
  <si>
    <t>[Lau, Edmund M. T.; Humbert, Marc] Hop Bicetre, AP HP, Ctr Reference Hypertens Pulm Severe, DHU Thorax Innovat,Serv Pneumol, Le Kremlin Bicetre, France; [Lau, Edmund M. T.; Humbert, Marc] Ctr Chirurg Marie Lannelongue, LabEx LERMIT, INSERM UMR S999, Le Plessis Robinson, France; [Lau, Edmund M. T.] Univ Sydney, Sydney Med Sch, Camperdown, NSW, Australia; [Humbert, Marc] Univ Paris 11, Le Kremlin Bicetre, France</t>
  </si>
  <si>
    <t>Assistance Publique Hopitaux Paris (APHP); Hopital Universitaire Bicetre - APHP; Hopital Universitaire Antoine-Beclere - APHP; Universite Paris Saclay; Institut National de la Sante et de la Recherche Medicale (Inserm); Hopital Marie Lannelongue; University of Sydney; Universite Paris Saclay</t>
  </si>
  <si>
    <t>Humbert, M (corresponding author), Hop Bicetre, Serv Pneumol &amp; Reanimat Resp, 78 Rue Gen Leclerc, F-94275 Le Kremlin Bicetre, France.</t>
  </si>
  <si>
    <t>10.1016/j.cjca.2014.09.033</t>
  </si>
  <si>
    <t>CE9EB</t>
  </si>
  <si>
    <t>WOS:000352145500001</t>
  </si>
  <si>
    <t>Savale, L; Le Pavec, J; Mercier, O; Mussot, S; Fabre, D; Jaïs, X; Montani, D; Sitbon, O; Humbert, M; Simonneau, G; Dartevelle, P; Fadel, E</t>
  </si>
  <si>
    <t>Savale, L.; Le Pavec, J.; Mercier, O.; Mussot, S.; Fabre, D.; Jais, X.; Montani, D.; Sitbon, O.; Humbert, M.; Simonneau, G.; Dartevelle, P.; Fadel, E.</t>
  </si>
  <si>
    <t>Six-Years Experience With High Priority Allocation Program for Lung and Heart-Lung Transplantation in Pulmonary Hypertension</t>
  </si>
  <si>
    <t>[Savale, L.; Jais, X.; Montani, D.; Sitbon, O.; Humbert, M.; Simonneau, G.; Dartevelle, P.; Fadel, E.] Hop Bicetre, Le Kremlin Bicetre, France; [Le Pavec, J.; Mercier, O.; Mussot, S.; Fabre, D.] Ctr Chirurg Marie Lannelongue, Le Plessis Robinson, France</t>
  </si>
  <si>
    <t>Assistance Publique Hopitaux Paris (APHP); Hopital Universitaire Bicetre - APHP; Universite Paris Saclay; Hopital Universitaire Antoine-Beclere - APHP; Hopital Marie Lannelongue</t>
  </si>
  <si>
    <t>Simonneau, Gerald/ABE-6614-2020; Sitbon, Olivier/I-3623-2019; Humbert, Marc/AAC-8459-2019; Mussot, S/AAL-7512-2020; Savale, Laurent/AAJ-9781-2020; David, Montani/I-6885-2019</t>
  </si>
  <si>
    <t>S160</t>
  </si>
  <si>
    <t>10.1016/j.healun.2015.01.434</t>
  </si>
  <si>
    <t>WOS:000353251500412</t>
  </si>
  <si>
    <t>Ranchoux, B; Antigny, F; Rucker-Martin, C; Hautefort, A; Péchoux, C; Bogaard, HJ; Dorfmüller, P; Remy, S; Lecerf, F; Planté, S; Chat, S; Fadel, E; Houssaini, A; Anegon, I; Adnot, S; Simonneau, G; Humbert, M; Cohen-Kaminsky, S; Perros, F</t>
  </si>
  <si>
    <t>Ranchoux, Benoit; Antigny, Fabrice; Rucker-Martin, Catherine; Hautefort, Aurelie; Pechoux, Christine; Bogaard, Harm Jan; Dorfmueller, Peter; Remy, Severine; Lecerf, Florence; Plante, Sylvie; Chat, Sophie; Fadel, Elie; Houssaini, Amal; Anegon, Ignacio; Adnot, Serge; Simonneau, Gerald; Humbert, Marc; Cohen-Kaminsky, Sylvia; Perros, Frederic</t>
  </si>
  <si>
    <t>Endothelial-to-Mesenchymal Transition in Pulmonary Hypertension</t>
  </si>
  <si>
    <t>bone morphogenetic protein receptors, type II; cardiovascular diseases; epithelial-mesenchymal transition; hypertension, pulmonary; models, animal; neointima; sirolimus; TWIST1 protein, human; vascular remodeling; vimentin</t>
  </si>
  <si>
    <t>SMOOTH-MUSCLE-CELLS; ARTERIAL-HYPERTENSION; TRANSDIFFERENTIATION; DISCOVERY; RATS</t>
  </si>
  <si>
    <t>Background-The vascular remodeling responsible for pulmonary arterial hypertension (PAH) involves predominantly the accumulation of a-smooth muscle actin-expressing mesenchymal-like cells in obstructive pulmonary vascular lesions. Endothelial-to-mesenchymal transition (EndoMT) may be a source of those a-smooth muscle actin-expressing cells. Methods and Results-In situ evidence of EndoMT in human PAH was obtained by using confocal microscopy of multiple fluorescent stainings at the arterial level, and by using transmission electron microscopy and correlative light and electron microscopy at the ultrastructural level. Findings were confirmed by in vitro analyses of human PAH and control cultured pulmonary artery endothelial cells. In addition, the mRNA and protein signature of EndoMT was recognized at the arterial and lung level by quantitative real-time polymerase chain reaction and Western blot analyses. We confirmed our human observations in established animal models of pulmonary hypertension (monocrotaline and SuHx). After establishing the first genetically modified rat model linked to BMPR2 mutations (BMPR2(Delta 140Ex1/+) rats), we demonstrated that EndoMT is linked to alterations in signaling of BMPR2, a gene that is mutated in 70% of cases of familial PAH and in 10% to 40% of cases of idiopathic PAH. We identified molecular actors of this pathological transition, including twist overexpression and vimentin phosphorylation. We demonstrated that rapamycin partially reversed the protein expression patterns of EndoMT, improved experimental PAH, and decreased the migration of human pulmonary artery endothelial cells, providing the proof of concept that EndoMT is druggable. Conclusions-EndoMT is linked to alterations in BPMR2 signaling and is involved in the occlusive vascular remodeling of PAH, findings that may have therapeutic implications.</t>
  </si>
  <si>
    <t>[Ranchoux, Benoit; Antigny, Fabrice; Rucker-Martin, Catherine; Hautefort, Aurelie; Dorfmueller, Peter; Lecerf, Florence; Fadel, Elie; Simonneau, Gerald; Humbert, Marc; Cohen-Kaminsky, Sylvia; Perros, Frederic] Univ Paris Sud, Fac Med, Le Kremlin Bicetre, France; [Ranchoux, Benoit; Antigny, Fabrice; Rucker-Martin, Catherine; Hautefort, Aurelie; Dorfmueller, Peter; Lecerf, Florence; Simonneau, Gerald; Humbert, Marc; Cohen-Kaminsky, Sylvia; Perros, Frederic] Hop Bicetre, Serv Pneumol &amp; Reanimat Respiratoire, AP HP, DHU TORINO,Ctr Reference lHypertens Pulmonaire Se, Le Kremlin Bicetre, France; [Ranchoux, Benoit; Antigny, Fabrice; Rucker-Martin, Catherine; Hautefort, Aurelie; Dorfmueller, Peter; Lecerf, Florence; Fadel, Elie; Simonneau, Gerald; Humbert, Marc; Cohen-Kaminsky, Sylvia; Perros, Frederic] Ctr Chirurg Marie Lannelongue, Physiopathol &amp; Innovat Therapeut, INSERM UMR S 999, Labex LERMIT,Hypertens Arterielle Pulmonaire, Le Plessis Robinson, France; [Pechoux, Christine; Chat, Sophie] INRA U1196, Genom &amp; Physiol Lactat Plateau Microscopie Elect, Jouy En Josas, France; [Fadel, Elie] Ctr Chirurg Marie Lannelongue, Serv Chirurg Thorac, Le Plessis Robinson, France; [Dorfmueller, Peter; Plante, Sylvie] Ctr Chirurg Marie Lannelongue, Serv Anat Pathol, Le Plessis Robinson, France; [Bogaard, Harm Jan] Vrije Univ Amsterdam Med Ctr, Inst Cardiovasc Res, Dept Pulm Med, Amsterdam, Netherlands; [Remy, Severine; Anegon, Ignacio] Ctr Res Transplantat &amp; Immunol, INSERM UMR 1064, ITUN &amp; Transgen Rats &amp; Immunophen Platform, Nantes, France; [Hautefort, Aurelie; Adnot, Serge] UPEC, AP HP, Hop Henri Mondor, Dept Physiol,INSERM U955, Creteil, France; [Houssaini, Amal; Adnot, Serge] UPEC, AP HP, Hop Henri Mondor, Serv Cardiol, Creteil, France</t>
  </si>
  <si>
    <t>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 INRAE; Hopital Marie Lannelongue; Hopital Marie Lannelongue; Vrije Universiteit Amsterdam; VU UNIVERSITY MEDICAL CENTER; Institut National de la Sante et de la Recherche Medicale (Inserm); Universite Paris-Est-Creteil-Val-de-Marne (UPEC); Institut National de la Sante et de la Recherche Medicale (Inserm); Assistance Publique Hopitaux Paris (APHP); Hopital Universitaire Henri-Mondor - APHP; Assistance Publique Hopitaux Paris (APHP); Universite Paris-Est-Creteil-Val-de-Marne (UPEC); Hopital Universitaire Henri-Mondor - APHP</t>
  </si>
  <si>
    <t>Perros, F (corresponding author), Ctr Chirurg Marie Lannelongue, INSERM U999, 133,Ave Resistance, F-92350 Le Plessis Robinson, France.</t>
  </si>
  <si>
    <t>Ranchoux, Benoît/AAX-6037-2020; Anegon, Ignacio/I-7498-2018; Simonneau, Gerald/ABE-6614-2020; Humbert, Marc/AAC-8459-2019; Antigny, Fabrice/Q-3999-2018; Cohen-Kaminsky, Sylvia/E-4837-2014; Perros, Frederic/N-6921-2017</t>
  </si>
  <si>
    <t>Dorfmuller, Peter/0000-0003-2499-6829; Humbert, Marc/0000-0003-0703-2892; Bogaard, Harm Jan/0000-0001-5371-0346; Antigny, Fabrice/0000-0002-9515-6571; Rucker-Martin, Catherine/0000-0002-1593-7432; Chat, Sophie/0000-0003-0671-5229; Cohen-Kaminsky, Sylvia/0000-0002-6341-7482; Perros, Frederic/0000-0001-7730-2427</t>
  </si>
  <si>
    <t>LabEx LERMIT; Aviesan (ITMO IHP); Region Ile de France (CORDDIM); National Funding Agency for Research (ANR) [ANR-13-JSV1-001]; Netherlands Cardiovascular Research Initiative: the Dutch Heart Foundation; Dutch Federation of University Medical Centers; Netherlands Organization for Health Research and Development; Royal Netherlands Academy of Sciences</t>
  </si>
  <si>
    <t>LabEx LERMIT; Aviesan (ITMO IHP); Region Ile de France (CORDDIM)(Region Ile-de-France); National Funding Agency for Research (ANR)(Agence Nationale de la Recherche (ANR)); Netherlands Cardiovascular Research Initiative: the Dutch Heart Foundation; Dutch Federation of University Medical Centers; Netherlands Organization for Health Research and Development(Netherlands Organization for Health Research and Development); Royal Netherlands Academy of Sciences</t>
  </si>
  <si>
    <t>Dr Ranchoux is supported by the LabEx LERMIT. Dr Antigny is supported by a postdoctoral grant from Aviesan (ITMO IHP). Dr Hautefort is supported by a PhD grant from Region Ile de France (CORDDIM). Dr Perros receives funding from National Funding Agency for Research (ANR; Grant ANR-13-JSV1-001). Dr Bogaard is supported by the Netherlands Cardiovascular Research Initiative: the Dutch Heart Foundation, Dutch Federation of University Medical Centers, the Netherlands Organization for Health Research and Development, and the Royal Netherlands Academy of Sciences</t>
  </si>
  <si>
    <t>MAR 17</t>
  </si>
  <si>
    <t>10.1161/CIRCULATIONAHA.114.008750</t>
  </si>
  <si>
    <t>CD6CG</t>
  </si>
  <si>
    <t>WOS:000351175900012</t>
  </si>
  <si>
    <t>Baruteau, AE; Belli, E; Boudjemline, Y; Laux, D; Lévy, M; Simonneau, G; Carotti, A; Humbert, M; Bonnet, D</t>
  </si>
  <si>
    <t>Baruteau, Alban-Elouen; Belli, Emre; Boudjemline, Younes; Laux, Daniela; Levy, Marilyne; Simonneau, Gerald; Carotti, Adriano; Humbert, Marc; Bonnet, Damien</t>
  </si>
  <si>
    <t>Palliative Potts shunt for the treatment of children with drug-refractory pulmonary arterial hypertension: updated data from the first 24 patients</t>
  </si>
  <si>
    <t>EUROPEAN JOURNAL OF CARDIO-THORACIC SURGERY</t>
  </si>
  <si>
    <t>Potts shunt; Paediatric; Pulmonary arterial hypertension</t>
  </si>
  <si>
    <t>TRANSCATHETER AORTOPULMONARY; LUNG TRANSPLANTATION; SURVIVAL; CREATION</t>
  </si>
  <si>
    <t>OBJECTIVES: Palliative Potts shunt has been proposed in children with suprasystemic pulmonary arterial hypertension (PAH). METHODS: A retrospective multicentre study was performed to assess short-and long-term outcomes after Potts shunt. RESULTS: From 2003 to 2014, 24 children underwent a Potts shunt [19 surgical, median age: 7.7 years (1.5-17 years), median weight: 19.5 kg (10.2-47 kg) and 5 transcatheter, median age: 8.1 years (2.3-9.7 years), median weight: 22 kg (12.5-31 kg)] for drug-refractory PAH. For the first time in humans, we performed an unidirectional valved Potts anastomosis in a child with infrasystemic PAH on intravenous epoprostenol who experienced repeated central line infections. Severe postoperative complications occurred in 6 patients (25.0%, all from the surgical group) including 3 early deaths (12.5%) related to low cardiac output. After a median follow-up (FU) of 2.1 years (range, 3 months to 14.3 years, &gt;= 8 years in 7 patients), World Health Organization (WHO) functional class was dramatically improved in the 21 survivors, all being in WHO-functional class 1 or 2 (P &lt; 0.05); none experienced syncope during the FU; none had overt right ventricular failure; mean 6-min walk distance improved from 42.3 +/- 10.0% to 81.2 +/- 9.7% of adjusted values for age and sex (P &lt; 0.001), BNP/NT-proBNP levels normalized in all; and weaning of intravenous epoprostenol was obtained in all patients who received triple combination as pre-Potts anastomosis therapy. Finally, all survivors caught up to normal growth curves. Arterial oxygen saturation gradient between upper and lower limbs persisted at the last FU (94.7 +/- 3.6% vs 81.6 +/- 5.1%, P &lt; 0.001). One patient required double lung transplantation 6 years after a surgical Potts shunt. CONCLUSIONS: Palliative Potts shunt allows prolonged survival and dramatic, long-lasting improvement in functional capacities in children with severe, drug-refractory PAH. The Potts shunt might be considered as a first surgical or interventional step in the management of children with severe, drug-refractory PAH, leaving the door open for further lung transplantation, if needed.</t>
  </si>
  <si>
    <t>[Baruteau, Alban-Elouen; Belli, Emre; Laux, Daniela] Hop Marie Lannelongue, Pediat &amp; Congenital Cardiac Surg, Reference Ctr Complex Congenital Heart Dis, M3C, F-92350 Le Plessis Robinson, France; [Baruteau, Alban-Elouen; Simonneau, Gerald; Humbert, Marc] Univ Paris Sud, F-94275 Le Kremlin Bicetre, France; [Boudjemline, Younes; Levy, Marilyne; Bonnet, Damien] Necker Hosp Sick Children, AP HP, Reference Ctr Complex Congenital Heart Dis, Pediat Cardiol,M3C, Paris, France; [Boudjemline, Younes; Levy, Marilyne; Bonnet, Damien] Univ Paris 05, Sorbonne Paris Cite, Paris, France; [Simonneau, Gerald; Humbert, Marc] Bicetre Hosp, AP HP, Reference Ctr Severe Pulm Hypertens, Pneumol,TORINO, Le Kremlin Bicetre, France; [Simonneau, Gerald; Humbert, Marc] Hop Marie Lannelongue, INSERM, UMR 999, LabEx LERMIT, F-92350 Le Plessis Robinson, France; [Carotti, Adriano] Bambino Gesu Pediat Hosp, Pediat Cardiac Surg, IRCCS, Rome, Italy</t>
  </si>
  <si>
    <t>Hopital Marie Lannelongue; Universite Paris Saclay; Assistance Publique Hopitaux Paris (APHP); Universite Paris Cite; Hopital Universitaire Necker-Enfants Malades - APHP; Universite Paris Cite; Assistance Publique Hopitaux Paris (APHP); Hopital Universitaire Bicetre - APHP; Universite Paris Saclay; Hopital Marie Lannelongue; Institut National de la Sante et de la Recherche Medicale (Inserm); IRCCS Bambino Gesu</t>
  </si>
  <si>
    <t>Baruteau, AE (corresponding author), Ctr Chirurg Marie Lannelongue, Dept Chirurg Cardiaque Pediat &amp; Congenitale, 133 Ave Resistance, F-92350 Le Plessis Robinson, France.</t>
  </si>
  <si>
    <t>a.baruteau@gmail.com</t>
  </si>
  <si>
    <t>Belli, Emre/AAK-7866-2021; Baruteau, Alban-Elouen/LDF-8902-2024; Carotti, Adriano/AAR-8567-2021; Simonneau, Gerald/ABE-6614-2020; Humbert, Marc/AAC-8459-2019</t>
  </si>
  <si>
    <t>Bonnet, Damien/0000-0002-8722-5805; Laux, Daniela/0000-0002-1057-9314; Humbert, Marc/0000-0003-0703-2892; Baruteau, Alban-Elouen/0000-0003-2548-7858</t>
  </si>
  <si>
    <t>OXFORD UNIV PRESS INC</t>
  </si>
  <si>
    <t>CARY</t>
  </si>
  <si>
    <t>JOURNALS DEPT, 2001 EVANS RD, CARY, NC 27513 USA</t>
  </si>
  <si>
    <t>1010-7940</t>
  </si>
  <si>
    <t>1873-734X</t>
  </si>
  <si>
    <t>EUR J CARDIO-THORAC</t>
  </si>
  <si>
    <t>Eur. J. Cardio-Thorac. Surg.</t>
  </si>
  <si>
    <t>E105</t>
  </si>
  <si>
    <t>E110</t>
  </si>
  <si>
    <t>10.1093/ejcts/ezu445</t>
  </si>
  <si>
    <t>CI4MI</t>
  </si>
  <si>
    <t>WOS:000354723200005</t>
  </si>
  <si>
    <t>Boulate, D; Perros, F; Dorfmuller, P; Arthur-Ataam, J; Guihaire, J; Lamrani, L; Decante, B; Humbert, M; Eddahibi, S; Dartevelle, P; Fadel, E; Mercier, O</t>
  </si>
  <si>
    <t>Boulate, David; Perros, Frederic; Dorfmuller, Peter; Arthur-Ataam, Jennifer; Guihaire, Julien; Lamrani, Lilia; Decante, Benoit; Humbert, Marc; Eddahibi, Saadia; Dartevelle, Philippe; Fadel, Elie; Mercier, Olaf</t>
  </si>
  <si>
    <t>Pulmonary microvascular lesions regress in reperfused chronic thromboembolic pulmonary hypertension</t>
  </si>
  <si>
    <t>pulmonary endarterectomy; microvascular disease; pulmonary hypertension; chronic thromboembolic pulmonary hypertension; endothelin-1; interleukin-6</t>
  </si>
  <si>
    <t>INTERNATIONAL PROSPECTIVE REGISTRY; ARTERIAL-HYPERTENSION; GROWTH-FACTORS; LUNG; INTERLEUKIN-6; ENDOTHELIN-1; VASCULOPATHY; ANGIOGENESIS; INFLAMMATION; EXPRESSION</t>
  </si>
  <si>
    <t>BACKGROUND: Pulmonary microvascular disease (PMD) develops in both occluded and non-occluded territories in patients with chronic thromboembolic pulmonary hypertension (CTEPH) and may cause persistent pulmonary hypertension after pulmonary endarterectomy. Endothelin-1 (ET-1) and interleukin-6 (IL-6) are potential PMD severity biomarkers, but it remains unknown whether they are related to occluded or non-occluded territories. We assessed PMD and ET-1/IL-6 gene expression profiles in occluded and non-occluded territories with and without chronic lung reperfusion in an animal CTEPH model. METHODS: Chronic PH was induced in 10 piglets by left pulmonary artery (PA) ligation followed by weekly embolization of right lower lobe arteries with enbucrilate tissue adhesive for 5 weeks. At Week 6, 5 of 10 animals underwent left PA reperfusion. At Week 12, animals with and without reperfusion were compared with sham animals (n = 5). Hemodynamics, lung morphometry and ET-1/IL-6 gene expression profiles were assessed in the left lung (LL, occluded territories) and right upper lobe (RUL, non-occluded territories). RESULTS: At Week 12, mean PA pressure remained elevated without reperfusion (29.0 +/- 2.8 vs 27.0 +/- 1.1 mm Hg, p = 0.502), but decreased after reperfusion (30.0 +/- 1.5 vs 20.5 +/- 1.7 mm Hg, p = 0.013). Distal media thickness in the LL and RUL PAs and systemic vasculature to the LL were significantly lower in the reperfused and sham groups compared with the non-reperfused group. PMD progression was related to ET-1 and IL-6 gene expression in the RUL and to the ET-A/ET-B gene expression ratio in the LL. CONCLUSIONS: PMD regressed in occluded and non-occluded territories after lung reperfusion. Changes in ET-1 and IL-6 gene expression were associated with PMD in non-occluded territories. (C) 2015 International Society for Heart and Lung Transplantation. All rights reserved.</t>
  </si>
  <si>
    <t>[Boulate, David; Dorfmuller, Peter; Arthur-Ataam, Jennifer; Guihaire, Julien; Decante, Benoit; Dartevelle, Philippe; Fadel, Elie; Mercier, Olaf] Ctr Chirurg Marie Lannelongue, Lab Rech Chirurg, F-92350 Le Plessis Robinson, France; [Perros, Frederic; Dorfmuller, Peter; Arthur-Ataam, Jennifer; Humbert, Marc; Eddahibi, Saadia; Dartevelle, Philippe; Fadel, Elie; Mercier, Olaf] Ctr Chirurg Marie Lannelongue, INSERM U999, Labex LERMIT, Hypertens Arterielle Pulm Physiopathol &amp; Innovat, F-92350 Le Plessis Robinson, France; [Dorfmuller, Peter] Ctr Chirurg Marie Lannelongue, Serv Anatomopathol, F-92350 Le Plessis Robinson, France; [Dorfmuller, Peter; Humbert, Marc; Dartevelle, Philippe; Fadel, Elie; Mercier, Olaf] Univ Paris 11, Fac Med, Le Kremlin Bicetre, France; [Lamrani, Lilia; Dartevelle, Philippe; Fadel, Elie; Mercier, Olaf] Ctr Chirurg Marie Lannelongue, Serv Chirurg Thorac Vasc &amp; Transplantat Cardiopul, F-92350 Le Plessis Robinson, France; [Humbert, Marc] Hop Bicetre, Serv Pneumol &amp; Reanimat Resp, Le Kremlin Bicetre, France</t>
  </si>
  <si>
    <t>Hopital Marie Lannelongue; Institut National de la Sante et de la Recherche Medicale (Inserm); Hopital Marie Lannelongue; Universite Paris Saclay; Hopital Marie Lannelongue; Universite Paris Saclay; Hopital Marie Lannelongue; Assistance Publique Hopitaux Paris (APHP); Hopital Universitaire Antoine-Beclere - APHP; Hopital Universitaire Bicetre - APHP; Universite Paris Saclay</t>
  </si>
  <si>
    <t>Mercier, O (corresponding author), Ctr Chirurg Marie Lannelongue, Serv Chirurg Thorac Vasc &amp; Transplantat Cardiopul, 133 Ave Resistance, F-92350 Le Plessis Robinson, France.</t>
  </si>
  <si>
    <t>o.mercier@ccml.fr</t>
  </si>
  <si>
    <t>Mercier, Olaf/0000-0002-4760-6267; Humbert, Marc/0000-0003-0703-2892; Dorfmuller, Peter/0000-0003-2499-6829; DECANTE, Benoit/0000-0003-1642-7589; Perros, Frederic/0000-0001-7730-2427; Guihaire, Julien/0000-0001-7414-3176</t>
  </si>
  <si>
    <t>ADETEC (Association chirurgicale pour le developpement et l'amelioration des techniques de depistage et de trakement des maladies cardio-vasculaires); SFCTCV (Societe Francaise de Chirurgie Thoracique et Cardiovasculaire); public research funding agency Programme Hospitalier de Recherche Clinique (Assistance Publique des Hopitaux de Paris)</t>
  </si>
  <si>
    <t>This study was supported by grants from two non-profit organizations, the ADETEC (Association chirurgicale pour le developpement et l'amelioration des techniques de depistage et de trakement des maladies cardio-vasculaires) and the SFCTCV (Societe Francaise de Chirurgie Thoracique et Cardiovasculaire), and by a grant from the public research funding agency Programme Hospitalier de Recherche Clinique (Assistance Publique des Hopitaux de Paris). The funding organizations had no role in the study design, data collection, analysis or interpretation or in the approval of the manuscript before publication.</t>
  </si>
  <si>
    <t>10.1016/j.healun.2014.07.005</t>
  </si>
  <si>
    <t>CF1TX</t>
  </si>
  <si>
    <t>WOS:000352331900024</t>
  </si>
  <si>
    <t>Guihaire, J; Haddad, F; Noly, PE; Boulate, D; Decante, B; Dartevelle, P; Humbert, M; Verhoye, JP; Mercier, O; Fadel, E</t>
  </si>
  <si>
    <t>Guihaire, Julien; Haddad, Francois; Noly, Pierre-Emmanuel; Boulate, David; Decante, Benoit; Dartevelle, Philippe; Humbert, Marc; Verhoye, Jean-Philippe; Mercier, Olaf; Fadel, Elie</t>
  </si>
  <si>
    <t>Right ventricular reserve in a piglet model of chronic pulmonary hypertension</t>
  </si>
  <si>
    <t>CHRONIC PRESSURE-OVERLOAD; RIGHT-HEART-FAILURE; ARTERIAL-HYPERTENSION; CONTRACTILE RESERVE; OXYGEN-CONSUMPTION; PORCINE MODEL; MYOCARDIUM; EXERCISE; VALIDATION; MANAGEMENT</t>
  </si>
  <si>
    <t>Right ventricular (RV) response to exercise or pharmacological stress is not well documented in pulmonary hypertension (PH). We investigated the relationship between RV reserve and ventricular-arterial coupling. Surgical ligation of the left pulmonary artery was performed in 13 Large White piglets (PH group), thereafter weekly embolisations of the right lower lobe were performed for 5 weeks. A control group of six piglets underwent sham procedures. Right heart catheterisation and echocardiography were performed at week 6. Pressure-volume loops were recorded before and after dobutamine infusion. Induction of experimental PH resulted in a higher mean +/- SD pulmonary artery pressure (34 +/- 9 versus 14 +/- 2 mmHg; p&lt; 0.01) and in a lower ventricular-arterial coupling efficiency (0.66 +/- 0.18 versus 1.24 +/- 0.17; p&lt; 0.01) compared with controls at 6 weeks. Dobutamine-induced relative changes in RV stroke volume index (SVI) and end-systolic elastance were lower in the PH group (mean +/- SD 47 +/- 5% versus 20 +/- 5%, p&lt; 0.01, and 81 +/- 37% versus 32 +/- 14%, p&lt; 0.01, respectively). Change in SVI was strongly associated with resting ventricular-arterial coupling (R-2=0.74; p&lt; 0.01). RV reserve was associated with ventricular-arterial coupling in a porcine model of chronic pressure overload.</t>
  </si>
  <si>
    <t>[Guihaire, Julien; Noly, Pierre-Emmanuel; Boulate, David; Decante, Benoit; Dartevelle, Philippe; Mercier, Olaf; Fadel, Elie] Univ Paris 11, Hop Marie Lannelongue, Surg Res Lab, F-92350 Le Plessis Robinson, France; [Guihaire, Julien; Noly, Pierre-Emmanuel; Boulate, David; Decante, Benoit; Dartevelle, Philippe; Mercier, Olaf; Fadel, Elie] Univ Paris 11, Hop Marie Lannelongue, INSERM, U999, F-92350 Le Plessis Robinson, France; [Haddad, Francois] Stanford Univ, Div Cardiovasc Med, Palo Alto, CA 94304 USA; [Humbert, Marc] Univ Paris 11, Fac Med, Le Kremlin Bicetre, France; [Humbert, Marc] Hop Bicetre, AP HP, Serv Pneumol &amp; Reanimat Resp, Le Kremlin Bicetre, France; [Humbert, Marc] Hop Marie Lannelongue, INSERM, U999, F-92350 Le Plessis Robinson, France; [Verhoye, Jean-Philippe] Univ Hosp Rennes, Dept Thorac &amp; Cardiovasc Surg, Rennes, France</t>
  </si>
  <si>
    <t>Universite Paris Saclay; Hopital Marie Lannelongue; Universite Paris Saclay; Institut National de la Sante et de la Recherche Medicale (Inserm); Hopital Marie Lannelongue; Stanford University; Universite Paris Saclay; Universite Paris Saclay; Assistance Publique Hopitaux Paris (APHP); Hopital Universitaire Bicetre - APHP; Hopital Universitaire Antoine-Beclere - APHP; Institut National de la Sante et de la Recherche Medicale (Inserm); Universite Paris Saclay; Hopital Marie Lannelongue; CHU Rennes; Universite de Rennes</t>
  </si>
  <si>
    <t>Guihaire, J (corresponding author), Univ Paris 11, Hop Marie Lannelongue, Surg Res Lab, 133 Ave Resistance, F-92350 Le Plessis Robinson, France.</t>
  </si>
  <si>
    <t>julien.guihaire@chu-rennes.fr</t>
  </si>
  <si>
    <t>Boulate, David/ABC-8057-2020; Verhoye, Jean-Philippe/ABD-8930-2020; Humbert, Marc/AAC-8459-2019</t>
  </si>
  <si>
    <t>Guihaire, Julien/0000-0001-7414-3176; Humbert, Marc/0000-0003-0703-2892; Mercier, Olaf/0000-0002-4760-6267; DECANTE, Benoit/0000-0003-1642-7589</t>
  </si>
  <si>
    <t>Association chirurgicale pour le developpement et l'amelioration des techniques de depistage et de traitement des maladies cardio-vasculaires (ADETEC, Suresnes, France); Cardio-vasculaire-Obesite Domaine D'Interet Majeur, Region Ile-de-France, France [CODDIM cod100158]</t>
  </si>
  <si>
    <t>Association chirurgicale pour le developpement et l'amelioration des techniques de depistage et de traitement des maladies cardio-vasculaires (ADETEC, Suresnes, France); Cardio-vasculaire-Obesite Domaine D'Interet Majeur, Region Ile-de-France, France</t>
  </si>
  <si>
    <t>This work was supported by the Association chirurgicale pour le developpement et l'amelioration des techniques de depistage et de traitement des maladies cardio-vasculaires (ADETEC, Suresnes, France). The Vivid E9 cardiac ultrasound system (General Electric Medical System) was financed by a grant from the Cardio-vasculaire-Obesite Domaine D'Interet Majeur (CODDIM cod100158, Region Ile-de-France, France).</t>
  </si>
  <si>
    <t>10.1183/09031936.00081314</t>
  </si>
  <si>
    <t>CC9OX</t>
  </si>
  <si>
    <t>WOS:000350701200020</t>
  </si>
  <si>
    <t>Langleben, D; Galiè, N; He, JG; Huang, YG; Humbert, M; Keogh, A; Rubin, LJ; Zhou, DX; Curram, J; Davie, N; Ghofrani, HA</t>
  </si>
  <si>
    <t>Langleben, David; Galie, Nazzareno; He, Jianguo; Huang, Yigao; Humbert, Marc; Keogh, Anne; Rubin, Lewis J.; Zhou, Daxin; Curram, John; Davie, Neil; Ghofrani, Hossein-Ardeschir</t>
  </si>
  <si>
    <t>Use of clinically relevant responder threshold criteria to evaluate the response to treatment in the Phase III PATENT-1 study</t>
  </si>
  <si>
    <t>pulmonary arterial hypertension; riociguat; soluble guanylate cyclase stimulator; treatment response; responder threshold criteria</t>
  </si>
  <si>
    <t>PULMONARY ARTERIAL-HYPERTENSION; 6-MINUTE WALK DISTANCE; SURVIVAL; METAANALYSIS; RIOCIGUAT; TRIALS</t>
  </si>
  <si>
    <t>BACKGROUND: In PATENT-1, riociguat significantly improved 6-minute walking distance (6MWD) pulmonary arterial and a range of secondary end-points in patients with pulmonary arterial hypertension (PAH). We hypertension; investigated whether riociguat increased the proportion of patients achieving clinically relevant riociguat; responder thresholds compared with placebo during PATENT-1. soluble guanylate METHODS: In PATENT-1, a randomized, double-blind study, treatment-nave patients or patients on cyclase stimulator; background PAR-targeted therapy with symptomatic PAR received 12 weeks of treatment with placebo, treatment response; riociguat up to 2.5 mg 3 times daily, or riociguat up to 1.5 mg 3 times daily. Increases in 6MWD 40 responder threshold m, 6MWD &gt;= 380 m, cardiac index &gt;= 2.5 liter/min/m(2), mixed venous oxygen saturation &gt;= 65%, World criteria Health Organization functional class I/II, N-terminal pro-brain nattiuretic peptide &lt;1,800 pg/ml, and right atrial pressure &lt;8 mm Hg were chosen as threshold criteria of a positive response. RESULTS: Riociguat increased the proportion of treatment-naive patients and patients on background PAH-targeted therapy with 61VIWD &gt;= 380 m at Week 12 (+21% and +15%, respectively), whereas there was a small reduction in 6MWD in placebo-treated patients for both sub-groups. Riociguat also increased the proportion of treatment-naive patients and patients on background PAR-targeted therapy achieving World Health Organization functional class I/II (+12% and +19%, respectively) and cardiac index &gt;= 2.5 liter/min/m(2) (+30% and +33%, respectively) at Week 12, whereas there was little change in the respective placebo groups. CONCLUSIONS: Compared with placebo, riociguat increased the proportion of treatment-naive patients and patients on background PAR-targeted therapy who fulfilled criteria defining a positive response to therapy. (C) 2015 International Society for Heart and Lung Transplantation. All rights reserved.</t>
  </si>
  <si>
    <t>[Langleben, David] McGill Univ, Jewish Gen Hosp, Ctr Pulm Vasc Dis, Montreal, PQ H3T 1E2, Canada; [Langleben, David] McGill Univ, Jewish Gen Hosp, Lady Davis Inst, Montreal, PQ H3T 1E2, Canada; [Galie, Nazzareno] Bologna Univ Hosp, Dept Expt Diagnost &amp; Specialty Med, Bologna, Italy; [He, Jianguo] Chinese Acad Med Sci, Natl Ctr Cardiovasc Dis, Fuwai Hosp, State Key Lab Cardiovasc Dis, Beijing 100730, Peoples R China; [He, Jianguo] Peking Union Med Coll, Beijing 100021, Peoples R China; [Huang, Yigao] Guangdong Gen Hosp, Dept Cardiol, Guangzhou, Guangdong, Peoples R China; [Huang, Yigao] Guangdong Cardiovasc Inst, Guangzhou, Guangdong, Peoples R China; [Humbert, Marc] Univ Paris 11, Hop Bicetre, AP HP, Serv Pneumol,Lab Excellence Rech Medicament &amp; Inn, Le Kremlin Bicetre, France; [Humbert, Marc] INSERM, U999, F-94275 Le Kremlin Bicetre, France; [Keogh, Anne] St Vincents Hosp, Sydney, NSW 2010, Australia; [Rubin, Lewis J.] Univ Calif San Diego, La Jolla, CA 92093 USA; [Zhou, Daxin] Fudan Univ, Shanghai Inst Cardiovasc Dis, Zhongshan Hosp, Dept Cardiol, Shanghai 200433, Peoples R China; [Curram, John] Bayer Pharma AG, Global Dev, Newbury, Berks, England; [Davie, Neil] Bayer Pharma AG, Global Clin Dev, Wuppertal, Germany; [Ghofrani, Hossein-Ardeschir] Univ Giessen, D-35390 Giessen, Germany; [Ghofrani, Hossein-Ardeschir] Marburg Lung Ctr, D-35390 Giessen, Germany; [Ghofrani, Hossein-Ardeschir] German Ctr Lung Res, Borstel, Germany; [Ghofrani, Hossein-Ardeschir] Univ London Imperial Coll Sci Technol &amp; Med, Dept Med, London, England</t>
  </si>
  <si>
    <t>McGill University; McGill University; Lady Davis Institute; IRCCS Azienda Ospedaliero-Universitaria di Bologna; Chinese Academy of Medical Sciences - Peking Union Medical College; Fu Wai Hospital - CAMS; Chinese Academy of Medical Sciences - Peking Union Medical College; Peking Union Medical College; Guangdong Academy of Medical Sciences &amp; Guangdong General Hospital; Assistance Publique Hopitaux Paris (APHP); Hopital Universitaire Bicetre - APHP; Hopital Universitaire Antoine-Beclere - APHP; Universite Paris Saclay; Institut National de la Sante et de la Recherche Medicale (Inserm); NSW Health; St Vincents Hospital Sydney; University of California System; University of California San Diego; Fudan University; Bayer AG; Bayer Healthcare Pharmaceuticals; Bayer AG; Bayer Healthcare Pharmaceuticals; Justus Liebig University Giessen; Imperial College London</t>
  </si>
  <si>
    <t>Langleben, D (corresponding author), McGill Univ, Jewish Gen Hosp, 3755 Cote Ste Catherine, Montreal, PQ H3T 1E2, Canada.</t>
  </si>
  <si>
    <t>david.langleben@mcgill.ca</t>
  </si>
  <si>
    <t>Langleben, David/AAJ-9152-2020; Rubin, Lewis/AEW-1719-2022; Ghofrani, Ardeschir/AAD-5293-2020; Galie, Nazzareno/F-7004-2014; Humbert, Marc/AAC-8459-2019</t>
  </si>
  <si>
    <t>Galie, Nazzareno/0000-0003-4271-8670; Humbert, Marc/0000-0003-0703-2892; Ghofrani, Ardeschir/0000-0002-2029-4419; Zhou, Daxin/0000-0002-9926-5708</t>
  </si>
  <si>
    <t>Bayer Pharma (Berlin, Germany); Actelion; Pfizer; Eli Lilly and Company; GlaxoSmithKline; Novartis; Aires; Liquidia; Regeneron; United Therapeutics; Lung Biotechnology Inc; National Heart, Lung, and Blood Institute; Food and Drug Administration; Arena Pharmaceuticals; Ergonex; GeNO; Gilead; Merck</t>
  </si>
  <si>
    <t>Bayer Pharma (Berlin, Germany); Actelion; Pfizer(Pfizer); Eli Lilly and Company(Eli Lilly); GlaxoSmithKline(GlaxoSmithKline); Novartis(Novartis); Aires; Liquidia; Regeneron(Regeneron); United Therapeutics; Lung Biotechnology Inc; National Heart, Lung, and Blood Institute(United States Department of Health &amp; Human ServicesNational Institutes of Health (NIH) - USANIH National Heart Lung &amp; Blood Institute (NHLBI)); Food and Drug Administration(United States Department of Health &amp; Human ServicesUS Food &amp; Drug Administration (FDA)); Arena Pharmaceuticals; Ergonex; GeNO; Gilead(Gilead Sciences); Merck(Merck &amp; Company)</t>
  </si>
  <si>
    <t>This study was supported by Bayer Pharma AG (Berlin, Germany). Editorial assistance was provided by Adelphi Communications Ltd (Bollington, United Kingdom), sponsored by Bayer Pharma AG. D.L. reports receiving grants and personal fees from Bayer Pharma AG. N.G. reports receiving grants and personal fees from Actelion, Pfizer, and Bayer Pharma AG and personal fees from Eli Lilly and Company, GlaxoSmithKline, and Novartis. J.H. was an investigator in the PAIENT study and reports receiving speaker fees from Bayer Pharma AG. Y.H. was an investigator in the PATENT study. M.H. reports receiving personal fees from Actelion, Bayer Pharma AG, GlaxoSmithKline, Novartis, Pfizer, and Aires. A.K. reports receiving grants and personal fees from Bayer Pharma AG. L.J.R. reports receiving personal fees for participation in review activities from Actelion, Aires, Bayer Pharma AG, GeNO, Gilead, GlaxoSmithKline, Liquidia, Pfizer, Regeneron, United Therapeutics, Lung Biotechnology Inc, National Heart, Lung, and Blood Institute, Food and Drug Administration, and Arena Pharmaceuticals. D.Z. was an investigator in the PATENT study. J.C. is an employee of Bayer Pharma AG. N.D. is an employee of Bayer Pharma AG. H.-A.G. reports receiving personal fees as a board member of Actelion, Bayer Pharma AG, Ergonex, Novartis, and Pfizer; consultancy fees from Actelion, Bayer Pharma AG, Ergonex, Gilead, GlaxoSmithKline, Merck, Novartis, and Pfizer; payment for lectures including service on speaker bureaus from Actelion, Bayer Pharma AG, Ergonex, Gilead, GlaxoSmithKline, Novartis, and Pfizer; and expenses for travel and accommodation from Actelion, Bayer Pharma AG, Ergonex, GlaxoSmithKline, Merck, Novartis, and Pfizer.</t>
  </si>
  <si>
    <t>10.1016/j.healun.2014.12.001</t>
  </si>
  <si>
    <t>WOS:000352331900009</t>
  </si>
  <si>
    <t>Lau, E; Herve, P; Sitbon, O; Savale, L; Montani, D; Godinas, L; Jais, X; Humbert, M; Simonneau, G; Chemla, D</t>
  </si>
  <si>
    <t>Lau, E.; Herve, P.; Sitbon, O.; Savale, L.; Montani, D.; Godinas, L.; Jais, X.; Humbert, M.; Simonneau, G.; Chemla, D.</t>
  </si>
  <si>
    <t>ACCURATE DIAGNOSIS OF PULMONARY HYPERTENSION AT EXERCISE USING COMBINED ASSESSMENT OF MAXIMAL MEAN PULMONARY ARTERY PRESSURE AND TOTAL PULMONARY RESISTANCE</t>
  </si>
  <si>
    <t>Thoracic Society Australia New Zealand Australian New Zealand Society Respiratory Science Annual Scientific Meeting 2015</t>
  </si>
  <si>
    <t>MAR 27-APR 01, 2015</t>
  </si>
  <si>
    <t>Queensland, AUSTRALIA</t>
  </si>
  <si>
    <t>[Lau, E.; Herve, P.; Sitbon, O.; Savale, L.; Montani, D.; Godinas, L.; Jais, X.; Humbert, M.; Simonneau, G.; Chemla, D.] Hop Bicetre, DHU Thorax Innovat, Ctr Reference Hypertens Pulm Severe, AP HP,Serv Pneumol, Le Kremlin Bicetre, France; [Lau, E.; Herve, P.; Sitbon, O.; Savale, L.; Montani, D.; Godinas, L.; Jais, X.; Humbert, M.; Simonneau, G.; Chemla, D.] INSERM, Ctr Chirurg Marie Lannelongue, LabEx LERMIT, UMR S999, Le Plessis Robinson, France; [Herve, P.] Ctr Chirurg Marie Lannelongue, Serv Pneumol, Le Plessis Robinson, France; [Sitbon, O.; Savale, L.; Montani, D.; Godinas, L.; Jais, X.; Humbert, M.; Simonneau, G.; Chemla, D.] Univ Paris Sud, F-94275 Le Kremlin Bicetre, France</t>
  </si>
  <si>
    <t>Universite Paris Saclay; Assistance Publique Hopitaux Paris (APHP); Hopital Universitaire Bicetre - APHP; Hopital Universitaire Antoine-Beclere - APHP; Hopital Marie Lannelongue; Universite Paris Saclay; Institut National de la Sante et de la Recherche Medicale (Inserm); Hopital Marie Lannelongue; Universite Paris Saclay</t>
  </si>
  <si>
    <t>Savale, Laurent/AAJ-9781-2020; Sitbon, Olivier/I-3623-2019; Humbert, Marc/AAC-8459-2019; Simonneau, Gerald/ABE-6614-2020; David, Montani/I-6885-2019; Godinas, Laurette/AAS-1059-2021</t>
  </si>
  <si>
    <t>TO 015</t>
  </si>
  <si>
    <t>CE0AQ</t>
  </si>
  <si>
    <t>WOS:000351464400052</t>
  </si>
  <si>
    <t>Lau, EMT; Humbert, M; Celermajer, DS</t>
  </si>
  <si>
    <t>Lau, Edmund M. T.; Humbert, Marc; Celermajer, David S.</t>
  </si>
  <si>
    <t>Early detection of pulmonary arterial hypertension</t>
  </si>
  <si>
    <t>BRAIN NATRIURETIC PEPTIDE; RIGHT HEART CATHETERIZATION; SICKLE-CELL-DISEASE; SYSTEMIC-SCLEROSIS; PORTOPULMONARY HYPERTENSION; DOPPLER-ECHOCARDIOGRAPHY; STRESS ECHOCARDIOGRAPHY; RISK STRATIFICATION; COMPUTED-TOMOGRAPHY; BREATH ANALYSIS</t>
  </si>
  <si>
    <t>Pulmonary arterial hypertension (PAH) remains an incurable disease associated with an unacceptably high early mortality, despite advances in therapeutic options. The disease is clinically silent until late in its natural history, when most of the distal pulmonary arteries have been obliterated. Early diagnosis of PAH is associated with improved long-term survival, and screening of at-risk populations is, therefore, a rational strategy to improve outcomes in this condition. Doppler echocardiography is the most widely used screening tool in current clinical practice. The role of evidence-based screening strategies has been clarified by research such as the DETECT study in patients with systemic sclerosis. A multimodal approach, using a range of noninvasive tests, improves the performance of screening algorithms. Right heart catheterization is mandatory to confirm a diagnosis of PAH. Uncertainties exist about the definition and prognostic relevance of pulmonary hypertension during exercise, but accumulating evidence suggests that stress testing of the pulmonary circulation can unmask clinically important early disease. Novel tools for the early detection of pulmonary vascular disease are urgently needed, given the substantial limitations of currently available techniques.</t>
  </si>
  <si>
    <t>[Lau, Edmund M. T.; Celermajer, David S.] Univ Sydney, Sydney Med Sch, Camperdown, NSW 2050, Australia; [Humbert, Marc] Univ Paris 11, Hop Bicetre, AP HP, Inserm UMR S999, F-94270 Le Kremlin Bicetre, France</t>
  </si>
  <si>
    <t>University of Sydney; Institut National de la Sante et de la Recherche Medicale (Inserm); Assistance Publique Hopitaux Paris (APHP); Hopital Universitaire Antoine-Beclere - APHP; Hopital Universitaire Bicetre - APHP; Universite Paris Saclay</t>
  </si>
  <si>
    <t>Celermajer, DS (corresponding author), Univ Sydney, Sydney Med Sch, Missenden Rd, Camperdown, NSW 2050, Australia.</t>
  </si>
  <si>
    <t>david.celermajer@email.cs.nsw.gov.au</t>
  </si>
  <si>
    <t>Humbert, Marc/0000-0003-0703-2892; Celermajer, David/0000-0001-7640-0439</t>
  </si>
  <si>
    <t>10.1038/nrcardio.2014.191</t>
  </si>
  <si>
    <t>CC1NK</t>
  </si>
  <si>
    <t>WOS:000350107600004</t>
  </si>
  <si>
    <t>Perros, F; Ranchoux, B; Izikki, M; Bentebbal, S; Happé, C; Antigny, F; Jourdon, P; Dorfmüller, P; Lecerf, F; Fadel, E; Simonneau, G; Humbert, M; Bogaard, HJ; Eddahibi, S</t>
  </si>
  <si>
    <t>Perros, Frederic; Ranchoux, Benoit; Izikki, Mohamed; Bentebbal, Sana; Happe, Chris; Antigny, Fabrice; Jourdon, Philippe; Dorfmueller, Peter; Lecerf, Florence; Fadel, Elie; Simonneau, Gerald; Humbert, Marc; Bogaard, Harm Jan; Eddahibi, Saadia</t>
  </si>
  <si>
    <t>Nebivolol for Improving Endothelial Dysfunction, Pulmonary Vascular Remodeling, and Right Heart Function in Pulmonary Hypertension</t>
  </si>
  <si>
    <t>beta-blocker; endothelial dysfunction; inflammation; nebivolol; pulmonary hypertension</t>
  </si>
  <si>
    <t>SMOOTH-MUSCLE HYPERPLASIA; ARTERIAL-HYPERTENSION; ANIMAL-MODELS; CROSS-TALK; RATS; PROGRESSION; BLOCKADE; THERAPY; CELLS</t>
  </si>
  <si>
    <t>BACKGROUND Endothelial cell (EC) dysfunction plays a central role in the pathogenesis of pulmonary arterial hypertension (PAH), promoting vasoconstriction, smooth muscle proliferation, and inflammation. OBJECTIVES This study sought to test the hypothesis that nebivolol, a beta(1)-antagonist and beta(2,3)-agonist, may improve PAH and reverse the PAH-related phenotype of pulmonary ECs (P-EC). METHODS We compared the effects of nebivolol with metoprolol, a first-generation beta(1)-selective beta -blocker, on human cultured PAH and control P-EC proliferation, vasoactive and proinflammatory factor production, and crosstalk with PA smooth muscle cells. We assessed the effects of both beta-blockers in precontracted PA rings. We also compared the effects of both beta-blockers in experimental PAH. RESULTS PAH P-ECs overexpressed the proinflammatory mediators interleukin-6 and monocyte chemoattractant protein-1, fibroblast growth factor-2, and the potent vasoconstrictive agent endothelin-1 as compared with control cells. This pathological phenotype was corrected by nebivolol but not metoprolol in a dose-dependent fashion. We confirmed that PAH P-EC proliferate more than control cells and stimulate more PA smooth muscle cell mitosis, a growth abnormality that was normalized by nebivolol but not by metoprolol. Nebivolol but not metoprolol induced endothelium-dependent and nitric oxide-dependent relaxation of PA. Nebivolol was more potent than metoprolol in improving cardiac function, pulmonary vascular remodeling, and inflammation of rats with monocrotaline-induced pulmonary hypertension. CONCLUSIONS Nebivolol could be a promising option for the management of PAH, improving endothelial dysfunction, pulmonary vascular remodeling, and right heart function. Until clinical studies are undertaken, however, routine use of b-blockers in PAH cannot be recommended. (C) 2015 by the American College of Cardiology Foundation.</t>
  </si>
  <si>
    <t>[Perros, Frederic; Ranchoux, Benoit; Antigny, Fabrice; Jourdon, Philippe; Dorfmueller, Peter; Lecerf, Florence; Simonneau, Gerald; Humbert, Marc] Univ Paris Sud, Fac Med, Le Kremlin Bicetre, France; [Perros, Frederic; Ranchoux, Benoit; Antigny, Fabrice; Jourdon, Philippe; Dorfmueller, Peter; Lecerf, Florence; Simonneau, Gerald; Humbert, Marc] Hop Bicetre, AP HP, DHU TORINO, Ctr Reference Hypertens Pulm Severe,Serv Pneumol, Le Kremlin Bicetre, France; [Perros, Frederic; Ranchoux, Benoit; Antigny, Fabrice; Jourdon, Philippe; Dorfmueller, Peter; Lecerf, Florence; Simonneau, Gerald; Humbert, Marc] INSERM, UMR S 999, Labex LERMIT, Le Plessis Robinson, France; [Izikki, Mohamed; Bentebbal, Sana; Eddahibi, Saadia] Univ Montpellier, INSERM, U1046, F-34059 Montpellier, France; [Happe, Chris; Bogaard, Harm Jan] Vrije Univ Amsterdam, Med Ctr, Inst Cardiovasc Res, Dept Pulm Med, Amsterdam, Netherlands; [Dorfmueller, Peter] Ctr Chirurg Marie Lannelongue, Serv Anat Pathol, Le Plessis Robinson, France; [Fadel, Elie] Ctr Chirurg Marie Lannelongue, Serv Chirurg Thorac, Le Plessis Robinson, France</t>
  </si>
  <si>
    <t>Universite Paris Saclay; Universite Paris Saclay; Assistance Publique Hopitaux Paris (APHP); Hopital Universitaire Antoine-Beclere - APHP; Hopital Universitaire Bicetre - APHP; Institut National de la Sante et de la Recherche Medicale (Inserm); Universite Paris Saclay; Universite de Montpellier; Institut National de la Sante et de la Recherche Medicale (Inserm); Vrije Universiteit Amsterdam; Hopital Marie Lannelongue; Hopital Marie Lannelongue</t>
  </si>
  <si>
    <t>Perros, F (corresponding author), INSERM, Ctr Chirurg Marie Lannelongue, U999, 133 Ave Resistance, F-92350 Le Plessis Robinson, France.</t>
  </si>
  <si>
    <t>Ranchoux, Benoît/AAX-6037-2020; Simonneau, Gerald/ABE-6614-2020; Antigny, Fabrice/Q-3999-2018; Perros, Frederic/N-6921-2017; Humbert, Marc/AAC-8459-2019</t>
  </si>
  <si>
    <t>Bentebbal, Sana/0000-0001-8686-2434; Antigny, Fabrice/0000-0002-9515-6571; Bogaard, Harm Jan/0000-0001-5371-0346; Perros, Frederic/0000-0001-7730-2427; Dorfmuller, Peter/0000-0003-2499-6829; Humbert, Marc/0000-0003-0703-2892</t>
  </si>
  <si>
    <t>INSERM; Agence National de la Recherche [ANR-13-JSV1-0011]; Labex LERMIT; Aviesan (ITMO IHP); Bayer; Actelion; Bristol-Myers Squibb; GlaxoSmithKline; Eli Lilly and Company; Novartis; Pfizer; United Therapeutics; Agence Nationale de la Recherche (ANR) [ANR-13-JSV1-0011] Funding Source: Agence Nationale de la Recherche (ANR)</t>
  </si>
  <si>
    <t>INSERM(Institut National de la Sante et de la Recherche Medicale (Inserm)); Agence National de la Recherche(Agence Nationale de la Recherche (ANR)); Labex LERMIT; Aviesan (ITMO IHP); Bayer(Bayer AG); Actelion; Bristol-Myers Squibb(Bristol-Myers Squibb); GlaxoSmithKline(GlaxoSmithKline); Eli Lilly and Company(Eli Lilly); Novartis(Novartis); Pfizer(Pfizer); United Therapeutics; Agence Nationale de la Recherche (ANR)(Agence Nationale de la Recherche (ANR))</t>
  </si>
  <si>
    <t>This study was supported by grants from the INSERM and the Agence National de la Recherche (ANR-13-JSV1-0011). Dr. Ranchoux is supported by Labex LERMIT. Dr. Antigny is supported by a post-doctoral grant from Aviesan (ITMO IHP). Dr. Perros has an Investigator-Sponsored Study (ISS) grant from Bayer. Drs. Simonneau and Humbert have received speaker fees or honoraria for consultations from Actelion, Bayer, Bristol-Myers Squibb, GlaxoSmithKline, Eli Lilly and Company, Novartis, Pfizer, and United Therapeutics; has received reimbursement from Actelion and Eli Lilly and Company for attending French and international meetings; and has received fees from Bristol-Myers Squibb and Eli Lilly and Company for participating with advisory boards. All other authors have reported that they have no relationships relevant to the contents of this paper to disclose.</t>
  </si>
  <si>
    <t>FEB 24</t>
  </si>
  <si>
    <t>10.1016/j.jacc.2014.11.050</t>
  </si>
  <si>
    <t>CB1BR</t>
  </si>
  <si>
    <t>WOS:000349362000007</t>
  </si>
  <si>
    <t>Alves, JL; Gavilanes, F; Jardim, C; Fernandes, CJCD; Morinaga, LTK; Dias, B; Hoette, S; Humbert, M; Souza, R</t>
  </si>
  <si>
    <t>Alves, Jose Leonidas, Jr.; Gavilanes, Francisca; Jardim, Carlos; Cesar dos Santos Fernandes, Caio Julio; Kato Morinaga, Luciana Tamie; Dias, Bruno; Hoette, Susana; Humbert, Marc; Souza, Rogerio</t>
  </si>
  <si>
    <t>Pulmonary Arterial Hypertension in the Southern Hemisphere Results From a Registry of Incident Brazilian Cases</t>
  </si>
  <si>
    <t>SURVIVAL; DIAGNOSIS; EPIDEMIOLOGY</t>
  </si>
  <si>
    <t>BACKGROUND: Pulmonary arterial hypertension (PAH) is a rare and ultimately fatal disorder of the pulmonary vasculature. There is increasing interest in the worldwide characteristics of patients with PAH, although data coming from the Southern Hemisphere remain scarce. The objective of this study was to describe a cohort of incident patients with PAH from a large reference center in Brazil. METHODS: All consecutive patients who received a diagnosis of PAH by right-sided heart catheterization between 2008 and 2013 were included in the study. RESULTS: A total of 178 patients with newly diagnosed PAH were enrolled in the study (mean age, 46 years; female/male ratio, 3.3: 1; 45.5% in New York Heart Association functional class III or IV). Idiopathic PAH (IPAH), connective tissue disease (CTD), and schistosomiasis-associated PAH (Sch-PAH) accounted for 28.7%, 25.8%, and 19.7% of all cases, respectively. The patients were treated with phosphodiesterase type 5 inhibitors (66%), endothelin receptor antagonists (27%), or a combination of both (5%). For the PAH group as a whole, the estimated survival rate 3 years aft er diagnosis was 73.9%. The prognosis for the patients with CTD was worse than that for the patients with IPAH and Sch-PAH (P = .03). CONCLUSIONS: The distribution of PAH causes and the baseline characteristics in our registry clearly differ from the previously published European and US-based registries. These differences highlight the importance of regional registries and also raise questions regarding the need to better account for such differences in future clinical trials.</t>
  </si>
  <si>
    <t>[Alves, Jose Leonidas, Jr.; Gavilanes, Francisca; Jardim, Carlos; Cesar dos Santos Fernandes, Caio Julio; Kato Morinaga, Luciana Tamie; Dias, Bruno; Hoette, Susana; Souza, Rogerio] Univ Sao Paulo, Sch Med, Inst Heart, Dept Pulm, BR-05403000 Sao Paulo, Brazil; [Humbert, Marc] Univ Paris Sud, Hop Bicetre, AP HP, INSERM,Serv Pneumol,UMR S 999, Le Kremlin Bicetre, France</t>
  </si>
  <si>
    <t>Universidade de Sao Paulo; Universite Paris Saclay; Assistance Publique Hopitaux Paris (APHP); Hopital Universitaire Bicetre - APHP; Hopital Universitaire Antoine-Beclere - APHP; Institut National de la Sante et de la Recherche Medicale (Inserm)</t>
  </si>
  <si>
    <t>Souza, R (corresponding author), Univ Sao Paulo, Sch Med, Inst Heart, Dept Pulm, Av Dr Eneas Carvalho Aguiar 44, BR-05403000 Sao Paulo, Brazil.</t>
  </si>
  <si>
    <t>rogerio.souza@incor.usp.br</t>
  </si>
  <si>
    <t>Dias, Bruno/ABC-3454-2021; Fernandes, Caio/W-8676-2019; Alves, Jose/AAL-5091-2020; Jardim, Carlos/N-8061-2017; Humbert, Marc/AAC-8459-2019; Fernandes, Caio/K-9194-2016; Souza, Rogerio/I-3584-2013</t>
  </si>
  <si>
    <t>Jardim, Carlos/0000-0003-0425-5548; Humbert, Marc/0000-0003-0703-2892; Fernandes, Caio/0000-0002-4912-021X; Souza, Rogerio/0000-0003-2789-9143</t>
  </si>
  <si>
    <t>Bayer AG; GlaxoSmithKline; Actelion Pharmaceuticals Ltd; Bristol-Myers Squibb</t>
  </si>
  <si>
    <t>Bayer AG(Bayer AG); GlaxoSmithKline(GlaxoSmithKline); Actelion Pharmaceuticals Ltd; Bristol-Myers Squibb(Bristol-Myers Squibb)</t>
  </si>
  <si>
    <t>Financial/nonfinancial disclosures: The authors have reported to CHEST the following conflicts of interest: Dr Souza has received lecture fees and/or has participated in advisory boards for Bayer AG, GlaxoSmithKline, Actelion Pharmaceuticals Ltd, and Bristol-Myers Squibb. Drs Alves, Gavilanes, Jardim, Fernandes, Morinaga, Dias, Hoette, and Humbert have reported that no potential conflicts of interest exist with any companies/organizations whose products or services may be discussed in this article.</t>
  </si>
  <si>
    <t>10.1378/chest.14-1036</t>
  </si>
  <si>
    <t>CB1YF</t>
  </si>
  <si>
    <t>WOS:000349423200031</t>
  </si>
  <si>
    <t>Chaumais, MC; Guignabert, C; Savale, L; Jaïs, X; Boucly, A; Montani, D; Simonneau, G; Humbert, M; Sitbon, O</t>
  </si>
  <si>
    <t>Chaumais, Marie-Camille; Guignabert, Christophe; Savale, Laurent; Jais, Xavier; Boucly, Athenais; Montani, David; Simonneau, Grald; Humbert, Marc; Sitbon, Olivier</t>
  </si>
  <si>
    <t>Clinical Pharmacology of Endothelin Receptor Antagonists Used in the Treatment of Pulmonary Arterial Hypertension</t>
  </si>
  <si>
    <t>AMERICAN JOURNAL OF CARDIOVASCULAR DRUGS</t>
  </si>
  <si>
    <t>MUTUAL PHARMACOKINETIC INTERACTIONS; RIGHT-VENTRICULAR HYPERTROPHY; AMBRISENTAN THERAPY; BOSENTAN THERAPY; HEALTHY-SUBJECTS; DOUBLE-BLIND; ET(B) RECEPTORS; LIVER TOXICITY; VASCULAR-TONE; MACITENTAN</t>
  </si>
  <si>
    <t>Pulmonary arterial hypertension (PAH) is a devastating life-threatening disorder characterized by elevated pulmonary vascular resistance leading to elevated pulmonary arterial pressures, right ventricular failure, and ultimately death. Vascular endothelial cells mainly produce and secrete endothelin (ET-1) in vessels that lead to a potent and long-lasting vasoconstrictive effect in pulmonary arterial smooth muscle cells. Along with its strong vasoconstrictive action, ET-1 can promote smooth muscle cell proliferation. Thus, ET-1 blockers have attracted attention as an antihypertensive drug, and the ET-1 signaling system has paved a new therapeutic avenue for the treatment of PAH. We outline the current understanding of not only the pathogenic role played by ET-1 signaling systems in the pathogenesis of PH but also the clinical pharmacology of endothelin receptor antagonists (ERA) used in the treatment of PAH.</t>
  </si>
  <si>
    <t>[Chaumais, Marie-Camille] Univ Paris 11, Fac Pharm, Chatenay Malabry, France; [Chaumais, Marie-Camille; Guignabert, Christophe; Savale, Laurent; Jais, Xavier; Montani, David; Simonneau, Grald; Humbert, Marc; Sitbon, Olivier] INSERM, Ctr Chirurg Marie Lannelongue, LabEx LERMIT, UMR S 999, Le Plessis Robinson, France; [Chaumais, Marie-Camille] Hop Antoine Beclere, AP HP, DHU Thorax Innovat, Serv Pharm, Clamart, France; [Savale, Laurent; Jais, Xavier; Boucly, Athenais; Montani, David; Simonneau, Grald; Humbert, Marc; Sitbon, Olivier] Hop Antoine Beclere, Ctr Reference Hypertens Pumonaire Severe, DHU Thorax Innovat, Serv Pneumol &amp;, Le Kremlin Bicetre, France; [Montani, David; Simonneau, Grald; Humbert, Marc; Sitbon, Olivier] Univ Paris 11, Fac Med, Le Kremlin Bicetre, France; [Sitbon, Olivier] Hop Univ Bicetre, Serv Pneumol &amp; Soins Intensifs, F-94270 Le Kremlin Bicetre, France</t>
  </si>
  <si>
    <t>Universite Paris Saclay; Universite Paris Saclay; Hopital Marie Lannelongue; Institut National de la Sante et de la Recherche Medicale (Inserm); Assistance Publique Hopitaux Paris (APHP); Hopital Universitaire Antoine-Beclere - APHP; Assistance Publique Hopitaux Paris (APHP); Hopital Universitaire Antoine-Beclere - APHP; Hopital Universitaire Bicetre - APHP; Universite Paris Saclay; Assistance Publique Hopitaux Paris (APHP); Hopital Universitaire Bicetre - APHP</t>
  </si>
  <si>
    <t>Sitbon, O (corresponding author), Hop Univ Bicetre, Serv Pneumol &amp; Soins Intensifs, 78 Rue Gen Leclerc, F-94270 Le Kremlin Bicetre, France.</t>
  </si>
  <si>
    <t>Simonneau, Gerald/ABE-6614-2020; David, Montani/I-6885-2019; Sitbon, Olivier/I-3623-2019; Savale, Laurent/AAJ-9781-2020; Humbert, Marc/AAC-8459-2019; GUIGNABERT, Christophe/G-3873-2013</t>
  </si>
  <si>
    <t>Montani, David/0000-0002-9358-6922; SITBON, Olivier/0000-0002-1942-1951; Boucly, Athenais/0000-0001-6246-5557; Chaumais, Marie-Camille/0000-0002-1217-8442; JAIS, XAVIER/0000-0002-4104-7994; Humbert, Marc/0000-0003-0703-2892; GUIGNABERT, Christophe/0000-0002-8545-4452</t>
  </si>
  <si>
    <t>1175-3277</t>
  </si>
  <si>
    <t>1179-187X</t>
  </si>
  <si>
    <t>AM J CARDIOVASC DRUG</t>
  </si>
  <si>
    <t>Am. J. Cardiovasc. Drugs</t>
  </si>
  <si>
    <t>10.1007/s40256-014-0095-y</t>
  </si>
  <si>
    <t>Cardiac &amp; Cardiovascular Systems; Pharmacology &amp; Pharmacy</t>
  </si>
  <si>
    <t>Cardiovascular System &amp; Cardiology; Pharmacology &amp; Pharmacy</t>
  </si>
  <si>
    <t>CC1LN</t>
  </si>
  <si>
    <t>WOS:000350102300002</t>
  </si>
  <si>
    <t>Guignabert, C; Tu, L; Girerd, B; Ricard, N; Huertas, A; Montani, D; Humbert, M</t>
  </si>
  <si>
    <t>Guignabert, Christophe; Tu, Ly; Girerd, Barbara; Ricard, Nicolas; Huertas, Alice; Montani, David; Humbert, Marc</t>
  </si>
  <si>
    <t>New Molecular Targets of Pulmonary Vascular Remodeling in Pulmonary Arterial Hypertension Importance of Endothelial Communication</t>
  </si>
  <si>
    <t>FIBROBLAST GROWTH FACTOR-2; CYTOKINES PREDICT SURVIVAL; SERINE ELASTASE INHIBITOR; TIMP-1 GENE-TRANSFER; SMOOTH-MUSCLE-CELLS; MATRIX METALLOPROTEINASES; ELEVATED LEVELS; PREVENTS; CONTRIBUTES; BMPR2</t>
  </si>
  <si>
    <t>Pulmonary arterial hypertension (PAH) is a disorder in which mechanical obstruction of the pulmonary vascular bed is largely responsible for the rise in mean pulmonary arterial pressure, resulting in a progressive functional decline despite current available therapeutic options. The fundamental pathogenetic mechanisms underlying this disorder include pulmonary vasoconstriction, in situ thrombosis, medial hypertrophy, and intimal proliferation, leading to occlusion of the small to mid-sized pulmonary arterioles and the formation of plexiform lesions. Several predisposing or promoting mechanisms that contribute to excessive pulmonary vascular remodeling in PAH have emerged, such as altered crosstalk between cells within the vascular wall, sustained inflammation and dysimmunity, inhibition of cell death, and excessive activation of signaling pathways, in addition to the impact of systemic hormones, local growth factors, cytokines, transcription factors, and germline mutations. Although the spectrum of therapeutic options for PAH has expanded in the last 20 years, available therapies remain essentially palliative. However, over the past decade, a better understanding of new key regulators of this irreversible pulmonary vascular remodeling has been obtained. This review examines the state-of-the-art potential new targets for innovative research in PAH, focusing on (1) the crosstalk between cells within the pulmonary vascular wall, with particular attention to the role played by dysfunctional endothelial cells; (2) aberrant inflammatory and immune responses; (3) the abnormal extracellular matrix function; and (4) altered BMPRII/KCNK3 signaling systems. A better understanding of novel pathways and therapeutic targets will help in the designing of new and more effective approaches for PAH treatment.</t>
  </si>
  <si>
    <t>[Guignabert, Christophe; Tu, Ly; Girerd, Barbara; Ricard, Nicolas; Huertas, Alice; Montani, David; Humbert, Marc] Ctr Chirurg Marie Lannelongue, INSERM UMR S 999, Le Plessis Robinson, France; [Guignabert, Christophe; Tu, Ly; Girerd, Barbara; Ricard, Nicolas; Huertas, Alice; Montani, David; Humbert, Marc] Univ Paris 11, Sch Med, DHU Th orax Innovat, Le Kremlin Bicetre, France; [Girerd, Barbara; Huertas, Alice; Montani, David; Humbert, Marc] Hop Bicetre, AP HP, Ctr Reference Hypertens Pulm Severe, DHU Thorax Innovat,Serv Pneumol, Paris, France</t>
  </si>
  <si>
    <t>Institut National de la Sante et de la Recherche Medicale (Inserm); Hopital Marie Lannelongue; Universite Paris Saclay; Universite Paris Saclay; Universite Paris Saclay; Assistance Publique Hopitaux Paris (APHP); Hopital Universitaire Bicetre - APHP</t>
  </si>
  <si>
    <t>Humbert, M (corresponding author), Hop Bicetre, Serv Pneumol, Serv Pneumol &amp; Reanimat Resp, 78 Rue Gen Leclerc, F-94275 Le Kremlin Bicetre, France.</t>
  </si>
  <si>
    <t>Ricard, Nicolas/AAF-1083-2019; David, Montani/I-6885-2019; TU, Ly/G-4035-2013; GUIGNABERT, Christophe/G-3873-2013; Huertas, Alice/E-8244-2017; Humbert, Marc/AAC-8459-2019</t>
  </si>
  <si>
    <t>TU, Ly/0000-0003-2336-5099; Ricard, Nicolas/0000-0002-7572-173X; Montani, David/0000-0002-9358-6922; GUIGNABERT, Christophe/0000-0002-8545-4452; Huertas, Alice/0000-0001-8545-747X; Humbert, Marc/0000-0003-0703-2892</t>
  </si>
  <si>
    <t>10.1378/chest.14-0862</t>
  </si>
  <si>
    <t>WOS:000349423200035</t>
  </si>
  <si>
    <t>Harari, S; Lau, EMT; Tamura, Y; Cottin, V; Simonneau, G; Humbert, M</t>
  </si>
  <si>
    <t>Harari, Sergio; Lau, Edmund M. T.; Tamura, Yuichi; Cottin, Vincent; Simonneau, Gerald; Humbert, Marc</t>
  </si>
  <si>
    <t>Rare (pulmonary) disease day: feeding the breath, energy for life!</t>
  </si>
  <si>
    <t>ARTERIAL-HYPERTENSION; FIBROSIS; LYMPHANGIOLEIOMYOMATOSIS; EFFICACY; BRONCHIOLITIS; PIRFENIDONE; REGISTRY; THERAPY; SAFETY; TRIAL</t>
  </si>
  <si>
    <t>(1)U0 Pneumologia e Terapia Semi-Intensiva Respiratoria, Servizio di Eisiopatologia Respiratoria ed Emodinamica Polmonare, Ospedale San Giuseppe - MultiMedica, Milan, Italy. (2)Dept of Respiratory Medicine, Royal Prince Alfred Hospital, University of Sydney, Camperdown, Australia. (3)Faculte de Medecine, Universite Paris-Sud, Le Kremlin Bicetre, France. (4)Service de Pneumologie, DHU Thorax Innovation, Hopital Bicetre, Assistance Publigue Hepitaux de Paris, Le Kremlin-Bicetre, France. (5)Inserm UMR_S 999, LabExLERMIT, Centre Chirurgical Marie Lannelongue, Le Plessis Robinson, France. (6)Dept of Cardiology, Keio University School of Medicine, Tokyo, Japan. (7)Centre national de reference des maladies pulmonaires rares, Service de pneumologie, Hopital Louis-Pradel, Hopitaux de Lyon, UMR 754, Universite Claude-Bernard Lyon 1, Lyon, France.</t>
  </si>
  <si>
    <t>[Harari, Sergio] Osped San Giuseppe MultiMed, Serv Fisiopatol &amp; Resp Emodinam Polmonare, UO Pneumol &amp; Terapia Semi Intensiva Resp, Milan, Italy; [Lau, Edmund M. T.] Univ Sydney, Royal Prince Alfred Hosp, Dept Resp Med, Camperdown, NSW, Australia; [Lau, Edmund M. T.; Tamura, Yuichi; Simonneau, Gerald; Humbert, Marc] Univ Paris Sud, Fac Med, F-94275 Le Kremlin Bicetre, France; [Lau, Edmund M. T.; Tamura, Yuichi; Simonneau, Gerald; Humbert, Marc] Hop Bicetre, AP HP, DHU Thorax Innovat, Serv Pneumol, Le Kremlin Bicetre, France; [Lau, Edmund M. T.; Tamura, Yuichi; Simonneau, Gerald; Humbert, Marc] Ctr Chirurg Marie Lannelongue, Inserm UMR S 999, LabExLERMIT, Le Plessis Robinson, France; [Tamura, Yuichi] Keio Univ, Sch Med, Dept Cardiol, Tokyo, Japan; [Cottin, Vincent] Univ Lyon 1, Hop Lyon, Ctr Natl Reference Malad Pulmonaires Rares, Serv Pneumol,Hop Louis Pradel,UMR 754, F-69365 Lyon, France</t>
  </si>
  <si>
    <t>NSW Health; Royal Prince Alfred Hospital; University of Sydney; Universite Paris Saclay; Universite Paris Saclay; Assistance Publique Hopitaux Paris (APHP); Hopital Universitaire Antoine-Beclere - APHP; Hopital Universitaire Bicetre - APHP; Institut National de la Sante et de la Recherche Medicale (Inserm); Hopital Marie Lannelongue; Universite Paris Saclay; Keio University; Universite Claude Bernard Lyon 1; CHU Lyon</t>
  </si>
  <si>
    <t>Harari, S (corresponding author), Osped San Giuseppe MultiMed, Serv Fisiopatol &amp; Resp Emodinam Polmonare, UO Pneumol &amp; Terapia Semi Intensiva Resp, Milan, Italy.</t>
  </si>
  <si>
    <t>sharari@ilpolmone.it</t>
  </si>
  <si>
    <t>Simonneau, Gerald/ABE-6614-2020; Tamura, Yuichi/B-5991-2014; Humbert, Marc/AAC-8459-2019</t>
  </si>
  <si>
    <t>Tamura, Yuichi/0000-0002-4437-8019; Harari, Sergio/0000-0001-8629-7391; Humbert, Marc/0000-0003-0703-2892</t>
  </si>
  <si>
    <t>10.1183/09031936.00221914</t>
  </si>
  <si>
    <t>CB3DZ</t>
  </si>
  <si>
    <t>WOS:000349509700001</t>
  </si>
  <si>
    <t>Ranchoux, B; Günther, S; Quarck, R; Chaumais, MC; Dorfmüller, P; Antigny, F; Dumas, SJ; Raymond, N; Lau, E; Savale, L; Jais, X; Sitbon, O; Simonneau, G; Stenmark, K; Cohen-Kaminsky, S; Humbert, M; Montani, D; Perros, F</t>
  </si>
  <si>
    <t>Ranchoux, Benoit; Gunether, Sven; Quarck, Rozenn; Chaumais, Marie-Camille; Dorfmueller, Peter; Antigny, Fabrice; Dumas, Sebastien J.; Raymond, Nicolas; Lau, Edmund; Savale, Laurent; Jais, Xavier; Sitbon, Olivier; Simonneau, Gerald; Stenmark, Kurt; Cohen-Kaminsky, Sylvia; Humbert, Marc; Montani, David; Perros, Frederic</t>
  </si>
  <si>
    <t>Chemotherapy-Induced Pulmonary Hypertension Role of Alkylating Agents</t>
  </si>
  <si>
    <t>BONE-MARROW-TRANSPLANTATION; VENO-OCCLUSIVE DISEASE; VENOOCCLUSIVE-DISEASE; IMMUNOSUPPRESSIVE THERAPY; ARTERIAL-HYPERTENSION; CYCLOPHOSPHAMIDE; TOXICITY; GLUTATHIONE; KINASE; CELLS</t>
  </si>
  <si>
    <t>Pulmonary veno-occlusive disease (PVOD) is an uncommon form of pulmonary hypertension (PH) characterized by progressive obstruction of small pulmonary veins and a dismal prognosis. Limited case series have reported a possible association between different chemotherapeutic agents and PVOD. We evaluated the relationship between chemotherapeutic agents and PVOD. Cases of chemotherapy-induced PVOD from the French PH network and literature were reviewed. Consequences of chemotherapy exposure on the pulmonary vasculature and hemodynamics were investigated in three different animal models (mouse, rat, and rabbit). Thirty-seven cases of chemotherapy-associated NOD were identified in the French PH network and systematic literature analysis. Exposure to alkylating agents was observed in 83.8% of cases, mostly represented by cyclophosphamide (43.2%). In three different animal models, cyclophosphamide was able to induce PH on the basis of hemodynamic, morphological, and biological parameters. In these models, histopathological assessment confirmed significant pulmonary venous involvement highly suggestive of PVOD. Together, clinical data and animal models demonstrated a plausible cause-effect relationship between alkylating agents and PVOD. Clinicians should be aware of this uncommon, but severe, pulmonary vascular complication of alkylating agents.</t>
  </si>
  <si>
    <t>[Ranchoux, Benoit; Gunether, Sven; Chaumais, Marie-Camille; Dorfmueller, Peter; Antigny, Fabrice; Dumas, Sebastien J.; Raymond, Nicolas; Lau, Edmund; Savale, Laurent; Jais, Xavier; Sitbon, Olivier; Simonneau, Gerald; Cohen-Kaminsky, Sylvia; Humbert, Marc; Montani, David; Perros, Frederic] Univ Paris 11, AP HP, Fac Med, Paris, France; [Gunether, Sven; Lau, Edmund; Savale, Laurent; Jais, Xavier; Sitbon, Olivier; Simonneau, Gerald; Humbert, Marc; Montani, David] Hop Bicetre, Reference Ctr Severe Pulm Hypertens, Pneumol &amp; Resp Intens Care Serv, Paris, France; [Ranchoux, Benoit; Gunether, Sven; Chaumais, Marie-Camille; Dorfmueller, Peter; Antigny, Fabrice; Dumas, Sebastien J.; Raymond, Nicolas; Lau, Edmund; Savale, Laurent; Jais, Xavier; Sitbon, Olivier; Simonneau, Gerald; Cohen-Kaminsky, Sylvia; Humbert, Marc; Montani, David; Perros, Frederic] INSERM, Ctr Chirurg Marie Lannelongue, U999, F-92350 Le Plessis Robinson, France; [Dorfmueller, Peter; Raymond, Nicolas] Ctr Chirurg Marie Lannelongue, Pathol Serv, Le Plessis Robinson, France; [Quarck, Rozenn] Katholieke Univ Leuven, Dept Clin &amp; Expt Med, Leuven, Belgium; [Chaumais, Marie-Camille] Univ Thorax Innovat, AP HP, Hop Antoine Beclere, Dept Hosp,Pharm Serv, Clamart, France; [Stenmark, Kurt] Univ Colorado Denver, Dept Pediat, Aurora, CO USA</t>
  </si>
  <si>
    <t>Universite Paris Saclay; Assistance Publique Hopitaux Paris (APHP); Assistance Publique Hopitaux Paris (APHP); Hopital Universitaire Bicetre - APHP; Universite Paris Saclay; Institut National de la Sante et de la Recherche Medicale (Inserm); Universite Paris Saclay; Hopital Marie Lannelongue; Hopital Marie Lannelongue; KU Leuven; Assistance Publique Hopitaux Paris (APHP); Hopital Universitaire Antoine-Beclere - APHP; Children's Hospital Colorado; University of Colorado System; University of Colorado Anschutz Medical Campus</t>
  </si>
  <si>
    <t>stenmark, kurt/AFI-6776-2022; Ranchoux, Benoît/AAX-6037-2020; Günther, Sven/ACV-7191-2022; David, Montani/I-6885-2019; Dumas, Sébastien/AAA-2056-2021; Savale, Laurent/AAJ-9781-2020; Simonneau, Gerald/ABE-6614-2020; Sitbon, Olivier/I-3623-2019; Cohen-Kaminsky, Sylvia/E-4837-2014; Quarck, Rozenn/J-8067-2018; Antigny, Fabrice/Q-3999-2018; Humbert, Marc/AAC-8459-2019; Perros, Frederic/N-6921-2017; GUNTHER, Sven/P-4177-2017</t>
  </si>
  <si>
    <t>Cohen-Kaminsky, Sylvia/0000-0002-6341-7482; SITBON, Olivier/0000-0002-1942-1951; JAIS, XAVIER/0000-0002-4104-7994; Montani, David/0000-0002-9358-6922; Quarck, Rozenn/0000-0002-8293-6261; Antigny, Fabrice/0000-0002-9515-6571; Dumas, Sebastien/0000-0001-9958-3485; Dorfmuller, Peter/0000-0003-2499-6829; Chaumais, Marie-Camille/0000-0002-1217-8442; Humbert, Marc/0000-0003-0703-2892; Perros, Frederic/0000-0001-7730-2427; GUNTHER, Sven/0000-0001-8388-6131</t>
  </si>
  <si>
    <t>Agence National de la Recherche [ANR-13-JSV1-0011]; Labex LERMIT; Association HTAPFrance grant; Aviesan [Institut Thematique Multi-Organismes Immunologie, Hematologic et Pneumologie (ITMO HIP)] post-doctoral grant; Bayer Investigator Sponsored Study grant; Fonds de Dotation Recherche en Sante Respiratoire; Agence Nationale de Securite du Medicament et des Produits de Sante; Actelion; Bayer; Bristol-Myers-Squib; GSK; Lilly; Novartis; Pfizer; United Therapeutics Corporation; Agence Nationale de la Recherche (ANR) [ANR-13-JSV1-0011] Funding Source: Agence Nationale de la Recherche (ANR)</t>
  </si>
  <si>
    <t>Agence National de la Recherche(Agence Nationale de la Recherche (ANR)); Labex LERMIT; Association HTAPFrance grant; Aviesan [Institut Thematique Multi-Organismes Immunologie, Hematologic et Pneumologie (ITMO HIP)] post-doctoral grant; Bayer Investigator Sponsored Study grant; Fonds de Dotation Recherche en Sante Respiratoire; Agence Nationale de Securite du Medicament et des Produits de Sante(Agence Nationale de la Recherche (ANR)); Actelion; Bayer(Bayer AG); Bristol-Myers-Squib; GSK(GlaxoSmithKline); Lilly(Eli Lilly); Novartis(Novartis); Pfizer(Pfizer); United Therapeutics Corporation; Agence Nationale de la Recherche (ANR)(Agence Nationale de la Recherche (ANR))</t>
  </si>
  <si>
    <t>Supported by Agence National de la Recherche grant ANR-13-JSV1-0011, Labex LERMIT (BR.), Association HTAPFrance grant (S.G. and D.M.), Aviesan [Institut Thematique Multi-Organismes Immunologie, Hematologic et Pneumologie (ITMO HIP)] post-doctoral grant (F.A.), a Bayer Investigator Sponsored Study grant (F.P.), and Fonds de Dotation Recherche en Sante Respiratoire (S.J.D.). The French pulmonary hypertension pharmacovigilance network VIGIAPATH is chaired by M.H. and supported by the Agence Nationale de Securite du Medicament et des Produits de Sante. Disclosures: L.S., X.J., O.S., G.S., M.H., and D.M. have received speaker fees or honoraria for consultations from Actelion, Bayer, Bristol-Myers-Squib, GSK, Lilly, Novartis, Pfizer, and United Therapeutics Corporation; received reimbursement from Actelion and Lilly for attending French and international meetings; and received fees from Bristol-Myers-Squib and Lilly for participating to advisory boards.</t>
  </si>
  <si>
    <t>10.1016/j.ajpath.2014.10.021</t>
  </si>
  <si>
    <t>AZ8UH</t>
  </si>
  <si>
    <t>WOS:000348489400009</t>
  </si>
  <si>
    <t>Sanchez, M; Varraso, R; Bousquet, J; Clavel-Chapelon, F; Pison, C; Kauffmann, F; Humbert, M; Siroux, V</t>
  </si>
  <si>
    <t>Sanchez, Margaux; Varraso, Raphaelle; Bousquet, Jean; Clavel-Chapelon, Francoise; Pison, Christophe; Kauffmann, Francine; Humbert, Marc; Siroux, Valerie</t>
  </si>
  <si>
    <t>Perceived 10-year change in respiratory health: Reliability and predictive ability</t>
  </si>
  <si>
    <t>Asthma; Longitudinal; Perceived health; Respiratory health; Variability</t>
  </si>
  <si>
    <t>SELF-RATED HEALTH; QUALITY-OF-LIFE; PATIENT-REPORTED OUTCOMES; BRONCHIAL HYPERRESPONSIVENESS; ASTHMA SEVERITY; RISK-FACTORS; RESPONSIVENESS; POPULATION; DISEASE; COHORT</t>
  </si>
  <si>
    <t>Objective: To investigate the usefulness of a self-reported respiratory health transition question over 10 years through reliability, ability to capture long-term asthma trajectory and predictive ability. Settings: In two 20-year cohorts (Asthma-E3N, n = 16,371, 61-88 years; EGEA, n = 1254, 27 82 years), perceived 10-year change in respiratory health (Overall, in the last 10 years, do you think that your bronchial or respiratory health has changed? if yes: Has it improved/deteriorated?) was studied in relation with change in respiratory medication dispensation and lung function, with change in asthma status measured over the same period of time, and with subsequent asthma-related outcomes. Results: Perceived deterioration (14% in Asthma-E3N) was associated with increased dispensations of respiratory medications over time (from 17% with &gt;2 dispensations in 2004 to 26% in 2010). Report of perceived deterioration (13% in EGEA) was related to a lung function decline steeper by 9.3 mL/year as compared to perceived improvement. In both cohorts, change (improvement or deterioration) was more often perceived by participants with than without asthma (&gt;45% vs &lt;20%) and was dominant among participants with persistent current asthma (77%). Perceived deterioration was related to poorer asthma control 7 years later and to higher use of oral corticosteroids in the following 18 months. Conclusion: The proposed simple self-reported respiratory health transition question over 10 years allows predicting part of the long-term trajectory of asthma. (C) 2014 Elsevier Ltd. All rights reserved.</t>
  </si>
  <si>
    <t>[Sanchez, Margaux; Varraso, Raphaelle; Bousquet, Jean; Kauffmann, Francine] INSERM, U1018, CESP Ctr Res Epidemiol &amp; Populat Hlth, Resp &amp; Environm Epidemiol Team, F-94807 Villejuif, France; [Sanchez, Margaux; Varraso, Raphaelle; Bousquet, Jean; Clavel-Chapelon, Francoise; Kauffmann, Francine] Univ Paris 11, UMRS1018, F-94807 Villejuif, France; [Clavel-Chapelon, Francoise] INSERM, U1018, CESP Ctr Res Epidemiol &amp; Populat Hlth, Nutr Hormones &amp; Womens Hlth Team, F-94807 Villejuif, France; [Pison, Christophe; Siroux, Valerie] Univ Grenoble Atpes, Inst Albert Bonniot, Team Environm Epidemiol Appl Reprod &amp; Resp Hlth, F-38000 Grenoble, France; [Pison, Christophe] CHU Grenoble, Clin Univ Pneumol, F-38000 Grenoble, France; [Pison, Christophe] INSERM, U1055, Lab Bioenerget Fondamentale &amp; Appl, F-38000 Grenoble, France; [Humbert, Marc] Hop Bicetre, AP HP, DHU Thorax Innovat, Serv Pneumol, F-94270 Le Kremlin Bicetre, France; [Humbert, Marc] Ctr Chirurg Marie Lannelongue, LabEx LERMIT, INSERM, U999, F-92350 Le Plessis Robinson, France; [Humbert, Marc] Univ Paris 11, Fac Med, F-94270 Le Kremlin Bicetre, France; [Siroux, Valerie] INSERM, Inst Albert Bonniot, Team Environm Epidemiol Appl Reprod &amp; Resp Hlth, F-38000 Grenoble, France; [Siroux, Valerie] CHU Grenoble, Inst Albert Bonniot, Team Environm Epidemiol Appl Reprod &amp; Resp Hlth, F-38000 Grenoble, France</t>
  </si>
  <si>
    <t>Universite Paris Saclay; Institut National de la Sante et de la Recherche Medicale (Inserm); Universite Paris Saclay; Universite Paris Saclay; Institut National de la Sante et de la Recherche Medicale (Inserm); Communaute Universite Grenoble Alpes; Universite Grenoble Alpes (UGA); CHU Grenoble Alpes; Communaute Universite Grenoble Alpes; Universite Grenoble Alpes (UGA); Institut National de la Sante et de la Recherche Medicale (Inserm); Communaute Universite Grenoble Alpes; Universite Grenoble Alpes (UGA); Assistance Publique Hopitaux Paris (APHP); Hopital Universitaire Bicetre - APHP; Universite Paris Saclay; Hopital Universitaire Antoine-Beclere - APHP; Hopital Marie Lannelongue; Universite Paris Saclay; Institut National de la Sante et de la Recherche Medicale (Inserm); Universite Paris Saclay; Communaute Universite Grenoble Alpes; Universite Grenoble Alpes (UGA); Institut National de la Sante et de la Recherche Medicale (Inserm); CHU Grenoble Alpes; Communaute Universite Grenoble Alpes; Universite Grenoble Alpes (UGA)</t>
  </si>
  <si>
    <t>Sanchez, M (corresponding author), INSERM, U1018, CESP, Resp &amp; Environm Epidemiol, 16 Ave Paul Vaillant Couturier, F-94807 Villejuif, France.</t>
  </si>
  <si>
    <t>margaux.sanchez@inserm.fr</t>
  </si>
  <si>
    <t>Bousquet, Jean/O-4221-2019; Varraso, raphaelle/R-8740-2016; SIROUX, Valerie/N-1865-2013; Humbert, Marc/AAC-8459-2019</t>
  </si>
  <si>
    <t>Varraso, raphaelle/0000-0002-3338-7825; /0000-0002-1923-6393; SIROUX, Valerie/0000-0001-7329-7237; Humbert, Marc/0000-0003-0703-2892</t>
  </si>
  <si>
    <t>10.1016/j.rmed.2014.11.010</t>
  </si>
  <si>
    <t>CC6ZC</t>
  </si>
  <si>
    <t>WOS:000350516500005</t>
  </si>
  <si>
    <t>Courand, PY; Jomir, GP; Khouatra, C; Scheiber, C; Turquier, S; Glérant, JC; Mastroianni, B; Gentil, B; Blanchet-Legens, AS; Dib, A; Derumeaux, G; Humbert, M; Mornex, JF; Cordier, JF; Cottin, V</t>
  </si>
  <si>
    <t>Courand, Pierre-Yves; Jomir, Geraldine Pina; Khouatra, Chahera; Scheiber, Christian; Turquier, Segolene; Glerant, Jean-Charles; Mastroianni, Benedicte; Gentil, Beatrice; Blanchet-Legens, Anne-Sophie; Dib, Alfred; Derumeaux, Genevieve; Humbert, Marc; Mornex, Jean-Francois; Cordier, Jean-Francois; Cottin, Vincent</t>
  </si>
  <si>
    <t>Prognostic value of right ventricular ejection fraction in pulmonary arterial hypertension</t>
  </si>
  <si>
    <t>CARDIAC MAGNETIC-RESONANCE; PREDICTS SURVIVAL; VALIDATION; SPECT; RISK</t>
  </si>
  <si>
    <t>Right ventricle ejection fraction (RVEF) evaluated with magnetic resonance imaging is a strong determinant of patient outcomes in pulmonary arterial hypertension. We evaluated the prognostic value of RVEF assessed with conventional planar equilibrium radionuclide angiography at baseline and change 3-6 months after initiating pulmonary arterial hypertension-specific therapy. In a prospective cohort of newly diagnosed patients with idiopathic, heritable or anorexigen-associated pulmonary arterial hypertension, RVEF was measured at baseline (n=100) and 3-6 months after initiation of therapy (n=78). After a median follow-up of 4.1 years, 41 deaths occurred, including 35 from cardiovascular causes. Patients with a (median) baseline RVEF &gt;25% had better survival than those with a RVEF &lt;25% using Kaplan-Meier analysis (p=0.010). RVEF at baseline was an independent predictor of all-cause and cardiovascular mortality in adjusted Cox regression model (p=0.002 and p=0.007, respectively; HR 0.93 for both). Patients with stable or increased RVEF at 3-6 months had a trend for improved all-cause survival (HR 2.43, p=0.086) and had less cardiovascular mortality (HR 3.25, p=0.034) than those in whom RVEF decreased despite therapy. RVEF assessed with conventional planar equilibrium radionuclide angiography at baseline and change in RVEF 3-6 months after therapy initiation independently predict outcomes in patients with pulmonary arterial hypertension.</t>
  </si>
  <si>
    <t>[Courand, Pierre-Yves] Croix Rousse Hosp, Hosp Civils Lyon, Dept Cardiol, Lyon, France; [Jomir, Geraldine Pina; Scheiber, Christian] Louis Pradel Hosp, Hosp Civils Lyon, Dept Nucl Med, Lyon, France; [Khouatra, Chahera; Mastroianni, Benedicte; Gentil, Beatrice; Blanchet-Legens, Anne-Sophie; Dib, Alfred; Mornex, Jean-Francois; Cordier, Jean-Francois; Cottin, Vincent] Louis Pradel Hosp, Hosp Civils Lyon, Dept Resp Dis, Serv Pneumol,Natl Reference Ctr Rare Pulm Dis,Reg, Lyon, France; [Turquier, Segolene; Glerant, Jean-Charles] Louis Pradel Hosp, Hosp Civils Lyon, Dept Resp Physiol, Lyon, France; [Dib, Alfred; Mornex, Jean-Francois; Cordier, Jean-Francois; Cottin, Vincent] Univ Lyon 1, INRA, INRA Vetagrosup EPHE IFR 128 UMR754, F-69365 Lyon, France; [Derumeaux, Genevieve] Louis Pradel Hosp, Hosp Civils Lyon, Dept Echocardiog, Lyon, France; [Humbert, Marc] Univ Paris Sud, F-94275 Le Kremlin Bicetre, France; [Humbert, Marc] Hop Bicetre, AP HP, Serv Pneumol, DHU Thorax Innovat, Le Kremlin Bicetre, France; [Humbert, Marc] Ctr Chirurg Marie Lannelongue, LabEx LERMIT, INSERM U999, Le Plessis Robinson, France</t>
  </si>
  <si>
    <t>CHU Lyon; CHU Lyon; CHU Lyon; CHU Lyon; INRAE; Universite Claude Bernard Lyon 1; CHU Lyon; Universite Paris Saclay; Assistance Publique Hopitaux Paris (APHP); Hopital Universitaire Antoine-Beclere - APHP; Hopital Universitaire Bicetre - APHP; Universite Paris Saclay; Universite Paris Saclay; Hopital Marie Lannelongue; Institut National de la Sante et de la Recherche Medicale (Inserm)</t>
  </si>
  <si>
    <t>Cottin, V (corresponding author), Hop Louis Pradel, Hosp Civils Lyon, Serv Pneumol, Ctr Reference Natl Malad Pulm Rares, Lyon, France.</t>
  </si>
  <si>
    <t>Scheiber, Christian/O-3259-2017; Humbert, Marc/AAC-8459-2019; Courand, Pierre-yves/O-1054-2016; DERUMEAUX, Genevieve/T-2489-2018</t>
  </si>
  <si>
    <t>Humbert, Marc/0000-0003-0703-2892; Courand, Pierre-yves/0000-0003-3199-7977; DERUMEAUX, Genevieve/0000-0003-1471-1631</t>
  </si>
  <si>
    <t>Fondation du souffle - Comite National contre les Maladies Respiratoires; Programme Hospitalier de Recherche Clinique; Hospices Civils de Lyon</t>
  </si>
  <si>
    <t>This study was funded by Fondation du souffle - Comite National contre les Maladies Respiratoires; Programme Hospitalier de Recherche Clinique; Hospices Civils de Lyon.</t>
  </si>
  <si>
    <t>10.1183/09031936.00158014</t>
  </si>
  <si>
    <t>AZ4GM</t>
  </si>
  <si>
    <t>WOS:000348179800019</t>
  </si>
  <si>
    <t>Zatwierdzone przez: Association for European Paediatric and Congenital Cardiology (AEPC), International Society for Heart and Lung Transplantation (ISHLT)</t>
  </si>
  <si>
    <t>KARDIOLOGIA POLSKA</t>
  </si>
  <si>
    <t>Polish</t>
  </si>
  <si>
    <t>PULMONARY-ARTERIAL-HYPERTENSION; QUALITY-OF-LIFE; BRAIN NATRIURETIC PEPTIDE; EXTRACORPOREAL MEMBRANE-OXYGENATION; RIGHT-VENTRICULAR DYSFUNCTION; ENDOTHELIN-RECEPTOR ANTAGONIST; CALCIUM-CHANNEL BLOCKERS; INHALED NITRIC-OXIDE; INTRAVENOUS EPOPROSTENOL PROSTACYCLIN; IMPROVES EXERCISE CAPACITY</t>
  </si>
  <si>
    <t>[Galie, Nazzareno] Univ Bologna, Dept Expt Diagnost &amp; Specialty Med DIMES, Via Massarenti 9, I-40138 Bologna, Italy; [Humbert, Marc; Vachiery, Jean-Luc; Simonneau, Gerald; Peacock, Andrew; Noordegraaf, Anton Vonk; Ghofrani, Ardeschir; Hoeper, Marius] ERS, Stockholm, Sweden; [Beghetti, Maurice; Hansmann, Georg] AEPCC, Las Palmas Gran Canaria, Spain; [Vachiery, Jean-Luc; Klepetko, Walter] ISHLT, Philadelphia, PA USA; [Matucci, Marco] European League Rheumatism EULAR, Philadelphia, PA USA; [Zompatori, Maurizio] ESR, Philadelphia, PA USA</t>
  </si>
  <si>
    <t>University of Bologna</t>
  </si>
  <si>
    <t>Simonneau, Gerald/ABE-6614-2020; Humbert, Marc/AAC-8459-2019; Ghofrani, Ardeschir/AAD-5293-2020; Lancellotti, Patrizio/AEK-4855-2022; Vachiery, Jean-Luc/ABC-6631-2021; Beghetti, Maurice/HNP-1055-2023; Hoeper, Marius/Z-1546-2019; Hansmann, Georg/AAW-5843-2020; Sicilia, Miguel-Angel/F-5002-2012; Kolh, Philippe/AAE-7224-2019</t>
  </si>
  <si>
    <t>Hoeper, Marius/0000-0001-9086-2293; Ghofrani, Ardeschir/0000-0002-2029-4419</t>
  </si>
  <si>
    <t>POLISH CARDIAC SOC-POLSKIE TOWARZYSTWO KARDIOLOGICZNE</t>
  </si>
  <si>
    <t>WARSZAWA</t>
  </si>
  <si>
    <t>UL STAWKI 3 A LOK 1-2, WARSZAWA, POLAND</t>
  </si>
  <si>
    <t>0022-9032</t>
  </si>
  <si>
    <t>1897-4279</t>
  </si>
  <si>
    <t>KARDIOL POL</t>
  </si>
  <si>
    <t>Kardiol. Pol.</t>
  </si>
  <si>
    <t>10.5603/KP.2015.0242</t>
  </si>
  <si>
    <t>DF1NC</t>
  </si>
  <si>
    <t>WOS:000371105500001</t>
  </si>
  <si>
    <t>Godinas, L; Laveneziana, P; Jais, X; Lau, E; Montani, D; Savale, L; Sitbon, O; Humbert, M; Simonneau, G; Garcia, G</t>
  </si>
  <si>
    <t>Godinas, L.; Laveneziana, P.; Jais, X.; Lau, E.; Montani, D.; Savale, L.; Sitbon, O.; Humbert, M.; Simonneau, G.; Garcia, G.</t>
  </si>
  <si>
    <t>Impaired Exercise Response In CTeph With Distal Disease</t>
  </si>
  <si>
    <t>MAY 15-20, 2015</t>
  </si>
  <si>
    <t>[Godinas, L.; Laveneziana, P.; Jais, X.; Lau, E.; Montani, D.; Savale, L.; Sitbon, O.; Humbert, M.; Simonneau, G.; Garcia, G.] Hop Bicetre, AP HP, DHU Thorax Innovat, Ctr Reference HTAP Severe, Le Kremlin Bicetre, France</t>
  </si>
  <si>
    <t>Humbert, Marc/AAC-8459-2019; Laveneziana, Pierantonio/GWC-2028-2022; Godinas, Laurette/AAS-1059-2021; Simonneau, Gerald/ABE-6614-2020; David, Montani/I-6885-2019; Savale, Laurent/AAJ-9781-2020; Sitbon, Olivier/I-3623-2019</t>
  </si>
  <si>
    <t>A5412</t>
  </si>
  <si>
    <t>DO2AW</t>
  </si>
  <si>
    <t>WOS:000377582807280</t>
  </si>
  <si>
    <t>Huertas, A; Humbert, M; Guignabert, C</t>
  </si>
  <si>
    <t>Firth, A; Yuan, JXJ</t>
  </si>
  <si>
    <t>Huertas, Alice; Humbert, Marc; Guignabert, Christophe</t>
  </si>
  <si>
    <t>Hematopoietic Stem Cells and Chronic Hypoxia-Induced Pulmonary Vascular Remodelling</t>
  </si>
  <si>
    <t>LUNG STEM CELLS IN THE EPITHELIUM AND VASCULATURE</t>
  </si>
  <si>
    <t>Stem Cell Biology and Regenerative Medicine</t>
  </si>
  <si>
    <t>ELEMENT-BINDING PROTEIN; MARROW-DERIVED CELLS; BONE-MARROW; PROGENITOR CELLS; KAPPA-B; HIGH-ALTITUDE; TRANSCRIPTION FACTOR; CXCR4 ANTAGONIST; DOWN-REGULATION; ADVENTITIAL FIBROBLASTS</t>
  </si>
  <si>
    <t>[Huertas, Alice; Humbert, Marc; Guignabert, Christophe] INSERM, UMR S 999, LabEx LERMIT, Ctr Chirurg Marie Lannelongue, Le Plessis Robinson, France; [Huertas, Alice; Humbert, Marc; Guignabert, Christophe] Univ Paris 11, Sch Med, Le Kremlin Bicetre, France; [Huertas, Alice; Humbert, Marc] Hop Bicetre, AP HP, Serv Pneumol, Ctr Reference Hypertens Pulm Severe DHU Thorax In, Le Kremlin Bicetre, France</t>
  </si>
  <si>
    <t>Institut National de la Sante et de la Recherche Medicale (Inserm); Universite Paris Saclay; Hopital Marie Lannelongue; Universite Paris Saclay; Universite Paris Saclay; Assistance Publique Hopitaux Paris (APHP); Hopital Universitaire Antoine-Beclere - APHP; Hopital Universitaire Bicetre - APHP</t>
  </si>
  <si>
    <t>Guignabert, C (corresponding author), INSERM, UMR S 999, LabEx LERMIT, Ctr Chirurg Marie Lannelongue, Le Plessis Robinson, France.</t>
  </si>
  <si>
    <t>GUIGNABERT, Christophe/G-3873-2013; Humbert, Marc/AAC-8459-2019; Huertas, Alice/E-8244-2017</t>
  </si>
  <si>
    <t>Huertas, Alice/0000-0001-8545-747X</t>
  </si>
  <si>
    <t>HUMANA PRESS INC</t>
  </si>
  <si>
    <t>TOTOWA</t>
  </si>
  <si>
    <t>999 RIVERVIEW DR, STE 208, TOTOWA, NJ 07512-1165 USA</t>
  </si>
  <si>
    <t>2196-8985</t>
  </si>
  <si>
    <t>978-3-319-16232-4; 978-3-319-16231-7</t>
  </si>
  <si>
    <t>STEM CELLS BIOL REG</t>
  </si>
  <si>
    <t>Stem Cell Biol. Regen. Med.</t>
  </si>
  <si>
    <t>10.1007/978-3-319-16232-4_13</t>
  </si>
  <si>
    <t>10.1007/978-3-319-16232-4</t>
  </si>
  <si>
    <t>Cell Biology; Respiratory System</t>
  </si>
  <si>
    <t>BE9UP</t>
  </si>
  <si>
    <t>WOS:000378209000014</t>
  </si>
  <si>
    <t>Humbert, M; Coghlan, G; Denton, C; Grimminger, F; He, J; Riemekasten, G; Vizza, CD; Menezes, F; Fritsch, A; Nikkho, S; Ghofrani, HA</t>
  </si>
  <si>
    <t>Humbert, M.; Coghlan, G.; Denton, C.; Grimminger, F.; He, J.; Riemekasten, G.; Vizza, C. D.; Menezes, F.; Fritsch, A.; Nikkho, S.; Ghofrani, H. -A.</t>
  </si>
  <si>
    <t>Efficacy And Safety Of Riociguat In Patients With Pulmonary Arterial Hypertension Associated With Connective Tissue Disease: Results From Patent-1 And Patent-2</t>
  </si>
  <si>
    <t>[Humbert, M.] Univ Paris Sud, Paris, France; [Humbert, M.] INSERM, U999, Paris, France; [Humbert, M.] Hop Bicetre, AP HP, Paris, France; [Coghlan, G.] Royal Free London NHS Fdn Trust, London, England; [Denton, C.] UCL, London, England; [Grimminger, F.] Univ Giessen, D-35390 Giessen, Germany; [Grimminger, F.; Ghofrani, H. -A.] Marburg Lung Ctr, Giessen, Germany; [He, J.] Chinese Acad Med Sci, Fuwai Hosp, Natl Ctr Cardiovasc Dis, Beijing 100730, Peoples R China; [He, J.] Peking Union Med Coll, Beijing 100021, Peoples R China; [Riemekasten, G.] Clin Rheumatol &amp; Clin Immunol, Berlin, Germany; [Vizza, C. D.] Univ Roma La Sapienza, I-00185 Rome, Italy; [Menezes, F.] Bayer HealthCare Pharmaceut, Sao Paulo, Brazil; [Fritsch, A.] Bayer HealthCare, Wuppertal, Germany; [Nikkho, S.] Bayer HealthCare Pharmaceut, Berlin, Germany</t>
  </si>
  <si>
    <t>Universite Paris Saclay; Institut National de la Sante et de la Recherche Medicale (Inserm); Universite Paris Saclay; Universite Paris Saclay; Assistance Publique Hopitaux Paris (APHP); Hopital Universitaire Bicetre - APHP; University of London; University College London; Royal Free London NHS Foundation Trust; University of London; University College London; Justus Liebig University Giessen; Chinese Academy of Medical Sciences - Peking Union Medical College; Fu Wai Hospital - CAMS; Chinese Academy of Medical Sciences - Peking Union Medical College; Peking Union Medical College; Sapienza University Rome; Bayer AG; Bayer Healthcare Pharmaceuticals; Bayer AG; Bayer Healthcare Pharmaceuticals; Bayer AG; Bayer Healthcare Pharmaceuticals</t>
  </si>
  <si>
    <t>Humbert, Marc/AAC-8459-2019; Ghofrani, Ardeschir/AAD-5293-2020; Menezes, Flavia/JDV-6626-2023; Riemekasten, Gabriela/B-5019-2017; vizza, carmine dario/AAC-5540-2020</t>
  </si>
  <si>
    <t>A2198</t>
  </si>
  <si>
    <t>WOS:000377582801590</t>
  </si>
  <si>
    <t>Humbert, Marc; Anh Tuan Dinh-Xuan; Reeves, Elin L.; Broadhead, Matthew G.; Bullen, Neil. J.</t>
  </si>
  <si>
    <t>The ambition of the European Respiratory Journal: chapter 3</t>
  </si>
  <si>
    <t>FIELD WALKING TESTS; CYSTIC-FIBROSIS; SEVERE ASTHMA; DISEASE; LUNG; MULTIMORBIDITY; MEDICINE; COPD; TUBERCULOSIS; GUIDELINES</t>
  </si>
  <si>
    <t>[Humbert, Marc] Univ Paris Sud, Serv Pneumol, Inserm U999, AP HP,Hop Bicetre, F-94275 Le Kremlin Bicetre, France; [Anh Tuan Dinh-Xuan] Paris Descartes Univ EA 2511, Serv Physiol, Hop Cochin, AP HP, Paris, France; [Reeves, Elin L.; Broadhead, Matthew G.; Bullen, Neil. J.] European Resp Soc, Publicat Off, Sheffield, S Yorkshire, England</t>
  </si>
  <si>
    <t>Universite Paris Saclay; Assistance Publique Hopitaux Paris (APHP); Hopital Universitaire Antoine-Beclere - APHP; Hopital Universitaire Bicetre - APHP; Institut National de la Sante et de la Recherche Medicale (Inserm); Assistance Publique Hopitaux Paris (APHP); Universite Paris Cite; Hopital Universitaire Cochin - APHP</t>
  </si>
  <si>
    <t>Humbert, M (corresponding author), Hop Univ Paris Sud, Serv Pneumol, AP HP, 78 Rue Gen Leclerc, F-94270 Le Kremlin Bicetre, France.</t>
  </si>
  <si>
    <t>Broadhead, Matthew/I-1796-2019; Reeves, Elin/AFQ-8227-2022; Dinh-Xuan, Anh Tuan/A-9691-2008; Humbert, Marc/AAC-8459-2019</t>
  </si>
  <si>
    <t>10.1183/09031936.00201614</t>
  </si>
  <si>
    <t>WOS:000348179800001</t>
  </si>
  <si>
    <t>Lau, E; Chemla, D; Godinas, L; Zhu, K; Sitbon, O; Savale, L; Jais, X; Montani, D; Simonneau, G; Humbert, M; Herve, P</t>
  </si>
  <si>
    <t>Lau, E.; Chemla, D.; Godinas, L.; Zhu, K.; Sitbon, O.; Savale, L.; Jais, X.; Montani, D.; Simonneau, G.; Humbert, M.; Herve, P.</t>
  </si>
  <si>
    <t>Reduced Distensibility Of The Pulmonary Circulation During Exercise In Early Pulmonary Vascular Disease</t>
  </si>
  <si>
    <t>[Lau, E.; Chemla, D.; Godinas, L.; Zhu, K.; Sitbon, O.; Savale, L.; Jais, X.; Montani, D.; Simonneau, G.; Humbert, M.; Herve, P.] Univ Paris Sud, Hop Bicetre, INSERM, U999, F-94275 Le Kremlin Bicetre, France</t>
  </si>
  <si>
    <t>Assistance Publique Hopitaux Paris (APHP); Hopital Universitaire Antoine-Beclere - APHP; Institut National de la Sante et de la Recherche Medicale (Inserm); Hopital Universitaire Bicetre - APHP; Universite Paris Saclay</t>
  </si>
  <si>
    <t>Savale, Laurent/AAJ-9781-2020; Humbert, Marc/AAC-8459-2019; Godinas, Laurette/AAS-1059-2021; Sitbon, Olivier/I-3623-2019; David, Montani/I-6885-2019; Simonneau, Gerald/ABE-6614-2020</t>
  </si>
  <si>
    <t>A4787</t>
  </si>
  <si>
    <t>WOS:000377582806221</t>
  </si>
  <si>
    <t>Montani, D; Descatha, A; Lau, E; Le Pavec, J; Savale, L; Jais, X; Girerd, B; Zendah, I; Perros, F; Dorfmuller, P; Soubrier, F; Sitbon, O; Simonneau, G; Humbert, M</t>
  </si>
  <si>
    <t>Montani, D.; Descatha, A.; Lau, E.; Le Pavec, J.; Savale, L.; Jais, X.; Girerd, B.; Zendah, I.; Perros, F.; Dorfmuller, P.; Soubrier, F.; Sitbon, O.; Simonneau, G.; Humbert, M.</t>
  </si>
  <si>
    <t>Occupational Exposure: A Risk Factor For Pulmonary Veno-Occlusive Disease</t>
  </si>
  <si>
    <t>[Montani, D.; Lau, E.; Savale, L.; Jais, X.; Girerd, B.; Perros, F.; Sitbon, O.; Simonneau, G.; Humbert, M.] Hop Bicetre, AP HP, INSERM, UMR S 999, Le Kremlin Bicetre, France; [Descatha, A.] Hop Raymond Poincare, Garches, France; [Le Pavec, J.] Ctr Chirurg Marie Lannelongue, Le Plessis Robinson, France; [Zendah, I.] CHU Abderahmane, Tunis, Tunisia; [Dorfmuller, P.] Ctr Chirurg Marie Lannelongue, INSERM, UMR S 999, Le Plessis Robinson, France; [Soubrier, F.] Univ Paris 06, Hop La Pitie Salpetriere, AP HP, INSERM,UMR S956, Paris, France</t>
  </si>
  <si>
    <t>Institut National de la Sante et de la Recherche Medicale (Inserm); Assistance Publique Hopitaux Paris (APHP); Hopital Universitaire Antoine-Beclere - APHP; Hopital Universitaire Bicetre - APHP; Universite Paris Saclay; Assistance Publique Hopitaux Paris (APHP); Hopital Universitaire Raymond-Poincare - APHP; Hopital Marie Lannelongue; Institut National de la Sante et de la Recherche Medicale (Inserm); Hopital Marie Lannelongue; Universite Paris Saclay; Sorbonne Universite; Institut National de la Sante et de la Recherche Medicale (Inserm); Assistance Publique Hopitaux Paris (APHP); Hopital Universitaire Pitie-Salpetriere - APHP</t>
  </si>
  <si>
    <t>David, Montani/I-6885-2019; Sitbon, Olivier/I-3623-2019; Savale, Laurent/AAJ-9781-2020; Humbert, Marc/AAC-8459-2019; Simonneau, Gerald/ABE-6614-2020; Perros, Frederic/N-6921-2017</t>
  </si>
  <si>
    <t>A5517</t>
  </si>
  <si>
    <t>WOS:000377582807378</t>
  </si>
  <si>
    <t>Perrin, S; Chaumais, MC; O'Connell, C; Amar, D; Savale, L; Jaïs, X; Montani, D; Humbert, M; Simonneau, G; Sitbon, O</t>
  </si>
  <si>
    <t>Perrin, Swanny; Chaumais, Marie-Camille; O'Connell, Caroline; Amar, David; Savale, Laurent; Jais, Xavier; Montani, David; Humbert, Marc; Simonneau, Gerald; Sitbon, Olivier</t>
  </si>
  <si>
    <t>New pharmacotherapy options for pulmonary arterial hypertension</t>
  </si>
  <si>
    <t>endothelin pathway; nitric oxide pathway; prostacyclin pathway; pulmonary arterial hypertension; updated treatment recommendations</t>
  </si>
  <si>
    <t>ENDOTHELIN-RECEPTOR ANTAGONIST; CALCIUM-CHANNEL BLOCKERS; CONTINUOUS INTRAVENOUS EPOPROSTENOL; RHO-KINASE INHIBITOR; LONG-TERM TREATMENT; DOUBLE-BLIND; PROSTACYCLIN ANALOG; SILDENAFIL CITRATE; INHALED ILOPROST; AMBRISENTAN THERAPY</t>
  </si>
  <si>
    <t>Introduction: Epoprostenol was the first targeted therapy available for the treatment of pulmonary arterial hypertension (PAH). Since then great advances in our knowledge of the disease have been made and the spectrum of therapeutic options for PAH has expanded. After an overview of current available treatments, this article describes the new pharmacotherapy options and their place in the management of PAH. Areas covered: This paper is based on a literature search and the review of studies published on PAH pharmacotherapy using the MEDLINE database. Expert opinion: The last decade has been particularly important in PAH management with the emergence of six new molecules, the development of novel routes of administration and improvement of pharmacokinetics. Moreover, pediatric formulations have been developed. However, further research is required to inform clinicians regarding optimal choices of combination therapies (progressive add-on therapy or upfront combination therapy, selection of associated molecules regarding the patient's profile ...), to continue to improve the quality of life of patients with new drugs and to reach the ultimate goal of curing the disease.</t>
  </si>
  <si>
    <t>[Perrin, Swanny; Chaumais, Marie-Camille] Univ Paris 11, Fac Pharm, F-92290 Chatenay Malabry, France; [Perrin, Swanny; Chaumais, Marie-Camille; O'Connell, Caroline; Amar, David; Savale, Laurent; Jais, Xavier; Montani, David; Humbert, Marc; Simonneau, Gerald; Sitbon, Olivier] INSERM UMR S999, LabEx LERMIT, Ctr Chirurg Marie Lannelongue, Le Plessis Robinson, France; [Chaumais, Marie-Camille] Hop Antoine Beclere, AP HP, Serv Pharm, Clamart, France; [O'Connell, Caroline; Amar, David; Savale, Laurent; Jais, Xavier; Montani, David; Humbert, Marc; Simonneau, Gerald; Sitbon, Olivier] Univ Paris 11, Ctr Reference Hypertens Pulmonaire Severe, Serv Pneumol &amp; Soins Intensifs,AP HP, DHU Thorax Innovat,INSERM UMR S999,Hop Bicetre, F-94275 Le Kremlin Bicetre, France; [O'Connell, Caroline; Amar, David; Savale, Laurent; Jais, Xavier; Montani, David; Humbert, Marc; Simonneau, Gerald; Sitbon, Olivier] Univ Paris 11, Fac Med, F-94275 Le Kremlin Bicetre, France</t>
  </si>
  <si>
    <t>Universite Paris Saclay; Institut National de la Sante et de la Recherche Medicale (Inserm); Hopital Marie Lannelongue; Assistance Publique Hopitaux Paris (APHP); Hopital Universitaire Antoine-Beclere - APHP; Institut National de la Sante et de la Recherche Medicale (Inserm); Assistance Publique Hopitaux Paris (APHP); Hopital Universitaire Antoine-Beclere - APHP; Universite Paris Saclay; Hopital Universitaire Bicetre - APHP; Universite Paris Saclay</t>
  </si>
  <si>
    <t>Sitbon, O (corresponding author), INSERM UMR S999, LabEx LERMIT, Ctr Chirurg Marie Lannelongue, Le Plessis Robinson, France.</t>
  </si>
  <si>
    <t>Simonneau, Gerald/ABE-6614-2020; Savale, Laurent/AAJ-9781-2020; David, Montani/I-6885-2019; Sitbon, Olivier/I-3623-2019; Humbert, Marc/AAC-8459-2019</t>
  </si>
  <si>
    <t>Chaumais, Marie-Camille/0000-0002-1217-8442; SITBON, Olivier/0000-0002-1942-1951; Humbert, Marc/0000-0003-0703-2892; Montani, David/0000-0002-9358-6922; JAIS, XAVIER/0000-0002-4104-7994</t>
  </si>
  <si>
    <t>Actelion; Bayer; GlaxoSmithKline; Pfizer; Novartis; GlaxoSmith Kline</t>
  </si>
  <si>
    <t>Actelion; Bayer(Bayer AG); GlaxoSmithKline(GlaxoSmithKline); Pfizer(Pfizer); Novartis(Novartis); GlaxoSmith Kline(GlaxoSmithKline)</t>
  </si>
  <si>
    <t>O Sitbon has relationships with Actelion, Bayer, Glaxo SmithKline, Pfizer and United Therapeutics. In addition to being an investigator involving these compounds, relationships include consulting services, fees for lectures and funds for research. L Savale is a member of scientific advisory boards and has received lecture fees from Actelion, Bayer, GlaxoSmithKline and Pfizer. X Jais is a member of scientific advisory boards for and has received lecture fees from Actelion, Bayer, GlaxoSmithKline and Pfizer. D Montani is a member of scientific advisory boards and has received lecture fees from Actelion, Bayer, GlaxoSmith Kline and Novartis. M Humbert has relationships with Actelion, Bayer, GlaxoSmithKline, Novartis, Pfizer and Gilead. In addition to being an investigator in trials involving these compounds, he has received grants for research, lecture and consultancy fees. G Simonneau has relationships with Actelion, Bayer, GlaxoSmithKline, Novartis and Pfizer. In addition to being an investigator in trials involving these compounds, he has received consultancy fees, fees for lectures and funds for research. The authors have no other relevant affiliations or financial involvement with any organization or entity with a financial interest in or financial conflict with the subject matter or materials discussed in the manuscript apart from those disclosed.</t>
  </si>
  <si>
    <t>10.1517/14656566.2015.1074177</t>
  </si>
  <si>
    <t>CR4RM</t>
  </si>
  <si>
    <t>WOS:000361325200003</t>
  </si>
  <si>
    <t>Ranchoux, B; Gunther, S; Quarck, R; Chaumais, MC; Dorfmuller, P; Antigny, F; Dumas, SJ; Raymond, N; Lau, E; Savale, L; Jais, X; Sitbon, O; Simonneau, G; Stenmark, KR; Cohen-Kaminsky, S; Humbert, MJC; Montani, D; Perros, F</t>
  </si>
  <si>
    <t>Ranchoux, B.; Gunther, S.; Quarck, R.; Chaumais, M. -C.; Dorfmuller, P.; Antigny, F.; Dumas, S. J.; Raymond, N.; Lau, E.; Savale, L.; Jais, X.; Sitbon, O.; Simonneau, G.; Stenmark, K. R.; Cohen-Kaminsky, S.; Humbert, M. J. C.; Montani, D.; Perros, F.</t>
  </si>
  <si>
    <t>Chemotherapy-Induced Pulmonary Hypertension: Role Of Alkylating Agents</t>
  </si>
  <si>
    <t>[Ranchoux, B.; Dorfmuller, P.; Antigny, F.; Dumas, S. J.; Raymond, N.; Cohen-Kaminsky, S.; Perros, F.] Univ Paris 11, LabEx LERMIT, INSERM, U999, Le Plessis Robinson, France; [Gunther, S.; Lau, E.; Savale, L.; Jais, X.; Sitbon, O.; Simonneau, G.; Humbert, M. J. C.; Montani, D.] Hop Bicetre, AP HP, Ctr Reference Hypertens Pulm Severe, Serv Pneumol &amp; Reanimat Resp, Le Kremlin Bicetre, France; [Quarck, R.] Katholieke Univ Leuven, Leuven, Belgium; [Chaumais, M. -C.] AP HP, Serv Pharm, Clamart, France; [Stenmark, K. R.] Univ Colorado, Denver, CO 80202 USA</t>
  </si>
  <si>
    <t>Universite Paris Saclay; Institut National de la Sante et de la Recherche Medicale (Inserm); Assistance Publique Hopitaux Paris (APHP); Hopital Universitaire Antoine-Beclere - APHP; Universite Paris Saclay; Hopital Universitaire Bicetre - APHP; KU Leuven; Assistance Publique Hopitaux Paris (APHP); Hopital Universitaire Antoine-Beclere - APHP; University of Colorado System; University of Colorado Denver</t>
  </si>
  <si>
    <t>frederic.perros@gmail.com</t>
  </si>
  <si>
    <t>stenmark, kurt/AFI-6776-2022; Simonneau, Gerald/ABE-6614-2020; Dumas, Sébastien/AAA-2056-2021; Günther, Sven/ACV-7191-2022; Savale, Laurent/AAJ-9781-2020; Ranchoux, Benoît/AAX-6037-2020; Humbert, Marc/AAC-8459-2019; David, Montani/I-6885-2019; Sitbon, Olivier/I-3623-2019; Quarck, Rozenn/J-8067-2018; Cohen-Kaminsky, Sylvia/E-4837-2014; GUNTHER, Sven/P-4177-2017; Perros, Frederic/N-6921-2017</t>
  </si>
  <si>
    <t>Quarck, Rozenn/0000-0002-8293-6261; Montani, David/0000-0002-9358-6922; Cohen-Kaminsky, Sylvia/0000-0002-6341-7482; GUNTHER, Sven/0000-0001-8388-6131; Perros, Frederic/0000-0001-7730-2427</t>
  </si>
  <si>
    <t>A5515</t>
  </si>
  <si>
    <t>WOS:000377582807376</t>
  </si>
  <si>
    <t>Humbert, M; Lau, EMT; Montani, D; Jaïs, X; Sitbon, O; Simonneau, G</t>
  </si>
  <si>
    <t>Humbert, Marc; Lau, Edmund M. T.; Montani, David; Jais, Xavier; Sitbon, Oliver; Simonneau, Gerald</t>
  </si>
  <si>
    <t>Advances in Therapeutic Interventions for Patients With Pulmonary Arterial Hypertension</t>
  </si>
  <si>
    <t>hypertension, pulmonary; prostaglandins; pulmonary arterial hypertension; pulmonary heart disease; receptors, endothelin; treatment; ventricular remodeling</t>
  </si>
  <si>
    <t>NITRIC-OXIDE SYNTHASE; ENDOTHELIN RECEPTOR ANTAGONIST; CALCIUM-CHANNEL BLOCKERS; RHO-KINASE INHIBITOR; SMOOTH-MUSCLE-CELLS; RIGHT HEART-FAILURE; DOUBLE-BLIND; INTRAVENOUS EPOPROSTENOL; SYSTEMIC-SCLEROSIS; ORAL TREPROSTINIL</t>
  </si>
  <si>
    <t>[Humbert, Marc; Montani, David; Jais, Xavier; Sitbon, Oliver; Simonneau, Gerald] Univ Paris 11, Le Kremlin Bicetre, France; [Humbert, Marc; Lau, Edmund M. T.; Montani, David; Jais, Xavier; Sitbon, Oliver; Simonneau, Gerald] Hop Bicetre, AP HP, DHU Thorax Innovat, Ctr Reference Hypertens Pulm Severe,Serv Pneumol, F-94275 Le Kremlin Bicetre, France; [Humbert, Marc; Lau, Edmund M. T.; Montani, David; Jais, Xavier; Sitbon, Oliver; Simonneau, Gerald] INSERM, LabEx LERMIT, Ctr Chirurg Marie Lannelongue, UMR S999, Le Plessis Robinson, France; [Lau, Edmund M. T.] Univ Sydney, Sydney Med Sch, Camperdown, NSW, Australia</t>
  </si>
  <si>
    <t>Universite Paris Saclay; Assistance Publique Hopitaux Paris (APHP); Hopital Universitaire Antoine-Beclere - APHP; Universite Paris Saclay; Hopital Universitaire Bicetre - APHP; Institut National de la Sante et de la Recherche Medicale (Inserm); Universite Paris Saclay; Hopital Marie Lannelongue; University of Sydney</t>
  </si>
  <si>
    <t>Montani, David/0000-0002-9358-6922; JAIS, XAVIER/0000-0002-4104-7994; SITBON, Olivier/0000-0002-1942-1951; Humbert, Marc/0000-0003-0703-2892</t>
  </si>
  <si>
    <t>Assistance Publique Hopitaux de Paris; Inserm; Universite Paris-Sud</t>
  </si>
  <si>
    <t>Assistance Publique Hopitaux de Paris; Inserm(Institut National de la Sante et de la Recherche Medicale (Inserm)); Universite Paris-Sud</t>
  </si>
  <si>
    <t>Drs Humbert, Lau, Montani, Jais, Sitbon, and Simonneau are members of the Departement Hospitalo-Universitaire Thorax Innovation (DHU TORINO) supported by Assistance Publique Hopitaux de Paris, Inserm and Universite Paris-Sud. Dr Humbert, Montani, Jais, Sitbon, and Simonneau have relationships with drug companies including Actelion, Aires, Bayer, BMS, GSK, Novartis, Pfizer, and United Therapeutics. In addition to being investigators in trials involving these companies, relationships include consultancy service and membership of scientific advisory boards.</t>
  </si>
  <si>
    <t>DEC 9</t>
  </si>
  <si>
    <t>10.1161/CIRCULATIONAHA.114.006974</t>
  </si>
  <si>
    <t>AW2TM</t>
  </si>
  <si>
    <t>WOS:000346141900017</t>
  </si>
  <si>
    <t>Roche, N; Humbert, M</t>
  </si>
  <si>
    <t>Roche, Nicolas; Humbert, Marc</t>
  </si>
  <si>
    <t>COPD: the current issues to improve care</t>
  </si>
  <si>
    <t>AIR-FLOW OBSTRUCTION; REAL-LIFE; DISEASE</t>
  </si>
  <si>
    <t>[Roche, Nicolas] Hop Cochin, AP HP, Serv Pneumol, F-75014 Paris, France; [Roche, Nicolas] Univ Paris Descartes EA2511, Sorbonne Paris Cite, F-75014 Paris, France; [Humbert, Marc] Univ Paris 11, F-94270 Le Kremlin Bicetre, France; [Humbert, Marc] Hop Bicetre, AP HP, Ctr Reference Hypertens Pulm Severe, Serv Pneumol,DHU Thorax Innovat, F-94270 Le Kremlin Bicetre, France; [Humbert, Marc] INSERM, UMR S 999, LabEx LERMIT, Ctr Chirurg Marie Lannelongue, F-92350 Le Plessis Robinson, France</t>
  </si>
  <si>
    <t>Assistance Publique Hopitaux Paris (APHP); Universite Paris Cite; Hopital Universitaire Cochin - APHP; Universite Paris Cite; Universite Paris Saclay; Assistance Publique Hopitaux Paris (APHP); Hopital Universitaire Bicetre - APHP; Universite Paris Saclay; Hopital Universitaire Antoine-Beclere - APHP; Universite Paris Saclay; Hopital Marie Lannelongue; Institut National de la Sante et de la Recherche Medicale (Inserm)</t>
  </si>
  <si>
    <t>Roche, N (corresponding author), Grp Hosp Cochin, AP HP, Site HIA Val de Grace 4eC,74 Blvd Port Royal, F-75005 Paris, France.</t>
  </si>
  <si>
    <t>nicolas.roche@cch.aphp.fr</t>
  </si>
  <si>
    <t>Roche, Nicolas/AAE-9206-2021; Humbert, Marc/AAC-8459-2019</t>
  </si>
  <si>
    <t>Humbert, Marc/0000-0003-0703-2892; roche, nicolas/0000-0002-3162-5033</t>
  </si>
  <si>
    <t>10.1016/j.lpm.2014.09.007</t>
  </si>
  <si>
    <t>AW8KI</t>
  </si>
  <si>
    <t>WOS:000346510400007</t>
  </si>
  <si>
    <t>Savale, L; Sattler, C; Guenther, S; Montani, D; Chaumais, MC; Perrin, S; Jaïs, X; Seferian, A; Jovan, R; Bulifon, S; Parent, F; Simonneau, G; Humbert, M; Sitbon, O</t>
  </si>
  <si>
    <t>CLINICAL CLASSIFICATION; I INTERFERON; ENDOTHELIN-1 RELEASE; ALPHA THERAPY; INVOLVEMENT; SCLEROSIS; DECLINE</t>
  </si>
  <si>
    <t>Isolated cases of pulmonary arterial hypertension (PAH) in patients treated with interferon (IFN) alpha or beta have been reported in the literature. The aim of this study was to describe all consecutive cases of PAR patients with a history of IFN exposure identified in the French reference centre for severe pulmonary hypertension between 1998 and 2012. A total of 53 patients with PAR and a history of IFN therapy were identified. 48 patients had been treated with IFN alpha for chronic hepatitis C. Most of them had portal hypertension (85%) and 56% had HIV co-infection. Five additional patients had been treated with IFN beta for multiple sclerosis. The diagnosis of PAR was made within 3 years after IFN therapy in 66% of patients. Repeated haemodynamic assessment was available in 13 out of 16 patients exposed to IFN after the diagnosis of PAH. Increased pulmonary vascular resistance &gt;20% was observed in 11 out of 13 cases (median 43% increase; IQR 32-67%). In five of these patients, IFN withdrawal resulted in spontaneous haemodynamic improvement. This retrospective analysis suggests that IFN therapy may trigger PAR. However, most of these patients had other risk factors for PAR. A prospective case control study is necessary to definitively establish a link between IFN exposure and PAH.</t>
  </si>
  <si>
    <t>[Savale, Laurent; Sattler, Caroline; Guenther, Sven; Montani, David; Jais, Xavier; Seferian, Andrei; Jovan, Roland; Bulifon, Sophie; Parent, Florence; Simonneau, Gerald; Humbert, Marc; Sitbon, Olivier] Univ Paris Sud, Fac Med, Le Kremlin Bicetre, France; [Savale, Laurent; Sattler, Caroline; Guenther, Sven; Montani, David; Jais, Xavier; Seferian, Andrei; Jovan, Roland; Bulifon, Sophie; Parent, Florence; Simonneau, Gerald; Humbert, Marc; Sitbon, Olivier] Hop Bicetre, AP HP, Ctr Reference Hypertens Pulmonaire Sev, DHU Thorax Innovat TORINO,Serv Pneumol, F-94275 Le Kremlin Bicetre, France; [Savale, Laurent; Sattler, Caroline; Guenther, Sven; Montani, David; Chaumais, Marie-Camille; Perrin, Swanny; Jais, Xavier; Seferian, Andrei; Jovan, Roland; Bulifon, Sophie; Parent, Florence; Simonneau, Gerald; Humbert, Marc; Sitbon, Olivier] INSERM, LERMIT, UMR S 999, Le Plessis Robinson, France; [Chaumais, Marie-Camille; Perrin, Swanny] Univ Paris Sud, Fac Pharm, Chatenay Malabry, France; [Chaumais, Marie-Camille] Hop Antoine Beclere, AP HP, Serv Pharm, Clamart, France</t>
  </si>
  <si>
    <t>Universite Paris Saclay; Assistance Publique Hopitaux Paris (APHP); Hopital Universitaire Bicetre - APHP; Universite Paris Saclay; Hopital Universitaire Antoine-Beclere - APHP; Universite Paris Saclay; Institut National de la Sante et de la Recherche Medicale (Inserm); Universite Paris Saclay; Assistance Publique Hopitaux Paris (APHP); Hopital Universitaire Antoine-Beclere - APHP</t>
  </si>
  <si>
    <t>Savale, L (corresponding author), Hop Univ Bicetre, Serv Pneumot, 78 Rue Gen Leclerc, F-94275 Le Kremlin Bicetre, France.</t>
  </si>
  <si>
    <t>Günther, Sven/ACV-7191-2022; David, Montani/I-6885-2019; Simonneau, Gerald/ABE-6614-2020; Sitbon, Olivier/I-3623-2019; Savale, Laurent/AAJ-9781-2020; Humbert, Marc/AAC-8459-2019; GUNTHER, Sven/P-4177-2017</t>
  </si>
  <si>
    <t>SITBON, Olivier/0000-0002-1942-1951; Chaumais, Marie-Camille/0000-0002-1217-8442; Humbert, Marc/0000-0003-0703-2892; Montani, David/0000-0002-9358-6922; GUNTHER, Sven/0000-0001-8388-6131; JAIS, XAVIER/0000-0002-4104-7994; Seferian, Andrei/0000-0003-1007-433X</t>
  </si>
  <si>
    <t>We acknowledge the French pulmonary hypertension pharmacovigilance network, VIGIAPATH, supported by the Agence Nationale de Securite du Medicament et des Produits de Sante (ANSM).</t>
  </si>
  <si>
    <t>10.1183/09031936.00057914</t>
  </si>
  <si>
    <t>AY0DH</t>
  </si>
  <si>
    <t>WOS:000347267500025</t>
  </si>
  <si>
    <t>Huertas, A; Tu, L; Thuillet, R; Le Hiress, M; Phan, C; Humbert, M; Guignabert, C</t>
  </si>
  <si>
    <t>Huertas, Alice; Tu, Ly; Thuillet, Raphael; Le Hiress, Morane; Phan, Carole; Humbert, Marc; Guignabert, Christophe</t>
  </si>
  <si>
    <t>Inhibition of the HIF/Ob/ObR Axis Prevents Experimental Pulmonary Hypertension</t>
  </si>
  <si>
    <t>Pulmonary hypertension; Leptin; Endothelium; Remodeling; Smooth muscle</t>
  </si>
  <si>
    <t>NOV 25</t>
  </si>
  <si>
    <t>V45EQ</t>
  </si>
  <si>
    <t>WOS:000209800306098</t>
  </si>
  <si>
    <t>Jacquin, S; Rincheval, V; Mignotte, B; Richard, S; Humbert, M; Mercier, O; Fadel, E; Eddahibi, S</t>
  </si>
  <si>
    <t>Jacquin, Sophie; Rincheval, Vincent; Mignotte, Bernard; Richard, Sylvain; Humbert, Marc; Mercier, Olaf; Fadel, Elie; Eddahibi, Saadia</t>
  </si>
  <si>
    <t>Inactivation of P53 is Sufficient to Induce Development of Pulmonary Hypertension</t>
  </si>
  <si>
    <t>Pulmonary hypertension; Pharmacology; Remodeling; Smooth muscle</t>
  </si>
  <si>
    <t>Humbert, Marc/AAC-8459-2019; Mignotte, Bernard/A-3499-2009</t>
  </si>
  <si>
    <t>Mignotte, Bernard/0000-0002-8512-8518</t>
  </si>
  <si>
    <t>WOS:000209800306105</t>
  </si>
  <si>
    <t>Konstantinides, SV; Torbicki, A; Agnelli, G; Danchin, N; Fitzmaurice, D; Galie, N; Gibbs, JSR; Huisman, MV; Humbert, M; Kucher, N; Lang, I; Lankeit, M; Lekakis, J; Maack, C; Mayer, E; Meneveau, N; Perrier, A; Pruszczyk, P; Rasmussen, LH; Schindler, TH; Svitil, P; Noordegraaf, AV; Zamorano, JL; Zompatori, M</t>
  </si>
  <si>
    <t>Konstantinides, Stavros V.; Torbicki, Adam; Agnelli, Giancarlo; Danchin, Nicolas; Fitzmaurice, David; Galie, Nazzareno; Gibbs, J. Simon R.; Huisman, Menno V.; Humbert, Marc; Kucher, Nils; Lang, Irene; Lankeit, Mareike; Lekakis, John; Maack, Christoph; Mayer, Eckhard; Meneveau, Nicolas; Perrier, Arnaud; Pruszczyk, Piotr; Rasmussen, Lars H.; Schindler, Thomas H.; Svitil, Pavel; Noordegraaf, Anton Vonk; Zamorano, Jose Luis; Zompatori, Maurizio</t>
  </si>
  <si>
    <t>2014 ESC Guidelines on the diagnosis and management of acute pulmonary embolism The Task Force for the Diagnosis and Management of Acute Pulmonary Embolism of the European Society of Cardiology (ESC)</t>
  </si>
  <si>
    <t>Guidelines; Pulmonary emobolism; Venous thrombosis; Shock; Hypotension; Chest pain; Dyspnoea; Heart failure; Diagnosis; Treatment-Anticoagulation; Thrombolysis</t>
  </si>
  <si>
    <t>RIGHT-VENTRICULAR DYSFUNCTION; MOLECULAR-WEIGHT HEPARIN; DEEP VENOUS THROMBOSIS; VENTILATION-PERFUSION SCINTIGRAPHY; ORAL ANTICOAGULANT-THERAPY; D-DIMER LEVELS; MULTIDETECTOR COMPUTED-TOMOGRAPHY; CLINICAL DECISION RULE; ACID-BINDING PROTEIN; VENA-CAVAL FILTERS</t>
  </si>
  <si>
    <t>Mora, Josep/A-9355-2013; Ceresa, Fabrizio/AAC-5459-2022; huisman, menno/AGL-2654-2022; Perrier, Arnaud/M-2263-2014; Pruszczyk, Piotr/AAA-3523-2019; Danchin, Nicolas/AAN-8291-2020; Juni, Peter/Q-8700-2016; Lekakis, John/AAQ-6232-2020; Konstantinides, Stavros/AAL-3174-2021; Mareev, Vyacheslav Yurievich/Q-1375-2017; Tamargo, Juan/J-7772-2016; BUENO, HECTOR/I-3910-2015; Popescu, Bogdan A./A-4528-2011; Ponikowski, Piotr/O-6454-2015; Linhart, Ales/O-2375-2017; Humbert, Marc/AAC-8459-2019; Ferreira, Daniel/C-9651-2013; Hendriks, Jeroen/G-9538-2015; Kurzyna, Marcin/AAA-1244-2020; Galie, Nazzareno/F-7004-2014</t>
  </si>
  <si>
    <t>Vonk Noordegraaf, Anton/0000-0002-4057-758X; Mareev, Vyacheslav Yurievich/0000-0002-7285-2048; Tamargo, Juan/0000-0002-7979-7758; Lang, Irene/0000-0003-0485-2692; Kirchhof, Paulus/0000-0002-1881-0197; Windecker, Stephan/0000-0003-2653-6762; Ferrari, Roberto/0000-0003-2046-9175; Dzemeshkevich, Sergei/0000-0003-0939-1063; Wijns, William/0000-0002-7267-4376; ASTEGGIANO, RICCARDO/0000-0002-2273-7228; BUENO, HECTOR/0000-0003-0277-7596; Lankeit, Mareike/0000-0001-5211-7997; Parkhomenko, Alexander/0000-0002-3563-9627; Simkova, Iveta/0000-0002-6051-2724; Pruszczyk, Piotr/0000-0002-9768-0000; Schindler, Thomas Hellmut/0000-0002-2141-7716; Popescu, Bogdan A./0000-0001-6122-8533; Konstantinides, Stavros/0000-0001-6359-7279; Tendera, Michal/0000-0002-0812-6113; Ponikowski, Piotr/0000-0002-3391-7064; KILICKAP, MUSTAFA/0000-0001-7628-700X; Erol, Cetin/0000-0001-7396-3818; Petris, Antoniu/0000-0002-4150-9271; Najafov, Ruslan/0000-0002-5445-3043; BECATTINI, Cecilia/0000-0002-8343-4888; Linhart, Ales/0000-0002-3372-7850; MATUTE CARRILLO, ROBERT/0009-0008-1638-800X; Humbert, Marc/0000-0003-0703-2892; Davos, Constantinos/0000-0002-0321-7569; Ferreira, Daniel/0000-0002-4683-0179; SANCHEZ, Olivier/0000-0003-1633-8391; Torbicki, Adam/0000-0003-3475-8832; Maack, Christoph/0000-0003-3694-4559; Knuuti, Juhani/0000-0003-3156-9593; Deaton, Christi/0000-0003-3209-0752; Hendriks, Jeroen/0000-0003-4326-9256; Kurzyna, Marcin/0000-0002-6746-469X; Galie, Nazzareno/0000-0003-4271-8670</t>
  </si>
  <si>
    <t>10.1093/eurheartj/ehu283</t>
  </si>
  <si>
    <t>AU1JL</t>
  </si>
  <si>
    <t>Bronze, Green Accepted</t>
  </si>
  <si>
    <t>WOS:000345376900014</t>
  </si>
  <si>
    <t>Dorfmüller, P; Günther, S; Ghigna, MR; de Montpréville, VT; Boulate, D; Paul, JF; Jaïs, X; Decante, B; Simonneau, G; Dartevelle, P; Humbert, M; Fadel, E; Mercier, O</t>
  </si>
  <si>
    <t>Dorfmueller, Peter; Guenther, Sven; Ghigna, Maria-Rosa; de Montpreville, Vincent Thomas; Boulate, David; Paul, Jean-Francois; Jais, Xavier; Decante, Benoit; Simonneau, Gerald; Dartevelle, Philippe; Humbert, Marc; Fadel, Elie; Mercier, Olaf</t>
  </si>
  <si>
    <t>Microvascular disease in chronic thromboernbolic pulmonary hypertension: a role for pulmonary veins and systemic vasculature</t>
  </si>
  <si>
    <t>EXERCISE; ENDARTERECTOMY; EXPERIENCE; ARTERIES; ANATOMY; LESIONS; SHUNT; RISK; LUNG</t>
  </si>
  <si>
    <t>Limited numbers of operated patients with chronic thromboembolic pulmonary hypertension (CTEPH) are refractory to pulmonary endarterectomy (PEA) and experience persistent pulmonary hypertension (PH). We retrospectively assessed lung histology available from nine patients with persistent PH (ineffective PEA (inPEA) group) and from eight patients transplanted for distal CTEPH inaccessible by PEA (noPEA group). Microscopically observed peculiarities were compared with the histology of a recently developed CTEPH model in piglets. Pre-interventional clinical/haemodynamic data and medical history of patients from the inPEA and noPEA groups were collected and analysed. Conspicuous remodelling of small pulmonary arteries/arterioles, septal veins and pre-septal venules, including focal capillary haemangiomatosis, as well as pronounced hypertrophy and enlargement of bronchial systemic vessels, were the predominant pattern in histology from both groups. Most findings were reproduced in our porcine CTEPH model. Ink injection experiments unmasked abundant venular involvement in so-called small vessel or microvascular disease, as well as post-capillary bronchopulmonary shunting in human and experimental CTEPH. Microvascular disease is partly due to post-capillary remodelling in human and experimental CTEPH and appears to be related to bronchial-to-pulmonary venous shunting. Further studies are needed to clinically assess the functional importance of this finding.</t>
  </si>
  <si>
    <t>[Dorfmueller, Peter; Guenther, Sven; Ghigna, Maria-Rosa; Jais, Xavier; Simonneau, Gerald; Dartevelle, Philippe; Humbert, Marc; Fadel, Elie; Mercier, Olaf] Paris South Univ, Fac Med, Le Kremlin Bicetre, France; [Dorfmueller, Peter; Ghigna, Maria-Rosa; de Montpreville, Vincent Thomas] Ctr Chirurg Marie Lannelongue, Dept Pathol, F-92350 Le Plessis Robinson, France; [Dorfmueller, Peter; Guenther, Sven; Ghigna, Maria-Rosa; Jais, Xavier; Simonneau, Gerald; Dartevelle, Philippe; Humbert, Marc; Fadel, Elie; Mercier, Olaf] Ctr Chirurg Marie Lannelongue, INSERM, U999, F-92350 Le Plessis Robinson, France; [Guenther, Sven; Jais, Xavier; Simonneau, Gerald; Humbert, Marc] Hop Bicetre, AP HP, Natl Reference Ctr Pulm Hypertens, Dept Pulmonol, Le Kremlin Bicetre, France; [Guenther, Sven; Jais, Xavier; Simonneau, Gerald; Humbert, Marc] Hop Bicetre, AP HP, Intens Care Unit Resp Dis, Le Kremlin Bicetre, France; [Boulate, David; Decante, Benoit; Fadel, Elie; Mercier, Olaf] Ctr Chirurg Marie Lannelongue, Surg Res Lab, F-92350 Le Plessis Robinson, France; [Paul, Jean-Francois] Ctr Chirurg Marie Lannelongue, Dept Radiol, F-92350 Le Plessis Robinson, France; [Dartevelle, Philippe; Fadel, Elie; Mercier, Olaf] Ctr Chirurg Marie Lannelongue, Dept Thorac &amp; Vasc Surg &amp; Heart Lung Transplantat, F-92350 Le Plessis Robinson, France</t>
  </si>
  <si>
    <t>Universite Paris Saclay; Hopital Marie Lannelongue; Hopital Marie Lannelongue; Institut National de la Sante et de la Recherche Medicale (Inserm); Universite Paris Saclay; Assistance Publique Hopitaux Paris (APHP); Hopital Universitaire Antoine-Beclere - APHP; Universite Paris Saclay; Hopital Universitaire Bicetre - APHP; Assistance Publique Hopitaux Paris (APHP); Hopital Universitaire Bicetre - APHP; Universite Paris Saclay; Hopital Universitaire Antoine-Beclere - APHP; Hopital Marie Lannelongue; Hopital Marie Lannelongue; Hopital Marie Lannelongue</t>
  </si>
  <si>
    <t>Dorfmüller, P (corresponding author), Ctr Chirurg Marie Lannelongue, Serv Anat &amp; Cytol Pathol, 133 Ave Resistance, F-92350 Le Plessis Robinson, France.</t>
  </si>
  <si>
    <t>Boulate, David/ABC-8057-2020; Simonneau, Gerald/ABE-6614-2020; Günther, Sven/ACV-7191-2022; Humbert, Marc/AAC-8459-2019; GUNTHER, Sven/P-4177-2017</t>
  </si>
  <si>
    <t>Mercier, Olaf/0000-0002-4760-6267; Thomas de Montpreville, Vincent/0000-0001-7490-4000; Humbert, Marc/0000-0003-0703-2892; Ghigna, Maria Rosa/0000-0001-5996-665X; DECANTE, Benoit/0000-0003-1642-7589; JAIS, XAVIER/0000-0002-4104-7994; Dorfmuller, Peter/0000-0003-2499-6829; GUNTHER, Sven/0000-0001-8388-6131</t>
  </si>
  <si>
    <t>10.1183/09031936.00169113</t>
  </si>
  <si>
    <t>AT4KU</t>
  </si>
  <si>
    <t>WOS:000344909100024</t>
  </si>
  <si>
    <t>Smadja, DM; Dorfmüller, P; Guerin, CL; Bieche, I; Badoual, C; Boscolo, E; Kambouchner, M; Cazes, A; Mercier, O; Humbert, M; Gaussem, P; Bischoff, J; Israël-Biet, D</t>
  </si>
  <si>
    <t>Smadja, David M.; Dorfmueller, Peter; Guerin, Coralie L.; Bieche, Ivan; Badoual, Cecile; Boscolo, Elisa; Kambouchner, Marianne; Cazes, Aurelie; Mercier, Olaf; Humbert, Marc; Gaussem, Pascale; Bischoff, Joyce; Israel-Biet, Dominique</t>
  </si>
  <si>
    <t>Cooperation between human fibrocytes and endothelial colony-forming cells increases angiogenesis via the CXCR4 pathway</t>
  </si>
  <si>
    <t>THROMBOSIS AND HAEMOSTASIS</t>
  </si>
  <si>
    <t>Fibrocytes; endothelial progenitor cells; ECFC; pulmonary fibrosis; CXCR4</t>
  </si>
  <si>
    <t>EPITHELIAL-MESENCHYMAL TRANSITION; IDIOPATHIC PULMONARY-FIBROSIS; CIRCULATING FIBROCYTES; PROGENITOR CELLS; IN-VIVO; PAR-1 ACTIVATION; UP-REGULATION; INTERLEUKIN-8; RECRUITMENT; HEMANGIOMA</t>
  </si>
  <si>
    <t>Fibrotic diseases of the lung are associated with a vascular remodelling process. Fibrocytes (Fy) are a distinct population of blood-borne cells that co-express haematopoietic cell antigens and fibroblast markers, and have been shown to contribute to organ fibrosis. The purpose of this study was to determine whether fibrocytes cooperate with endothelial colony-forming cells (ECFC) to induce angiogenesis. We isolated fibrocytes from blood of patient with idiopathic pulmonary fibrosis (IPF) and characterised them by flow cytometry, quantitative reverse transcriptase PCR (RTQ-PCR), and confocal microscopy. We then investigated the angiogenic interaction between fibrocytes and cord-blood-derived ECFC, both in vitro and in an in vivo Matrigel implant model. Compared to fibroblast culture medium, fibrocyte culture medium increased ECFC proliferation and differentiation via the SDF-1/CXCR4 pathway. IPF-Fy co-implanted with human ECFC in Matrigel plugs in immunodeficient mice formed functional microvascular beds, whereas fibroblasts did not. Evaluation of implants after two weeks revealed an extensive network of erythrocyte-containing blood vessels. CXCR4 blockade significantly inhibited this blood vessel formation. The clinical relevance of these data was confirmed by strong CXCR4 expression in vessels close to fibrotic areas in biopsy specimens from patients with IPF, by comparison with control lungs. In conclusion, circulating fibrocytes might contribute to the intense remodelling of the pulmonary vasculature in patients with idiopathic pulmonary fibrosis.</t>
  </si>
  <si>
    <t>[Smadja, David M.; Bischoff, Joyce] Harvard Univ, Sch Med, Childrens Hosp, Vasc Biol Program, Boston, MA USA; [Smadja, David M.; Bischoff, Joyce] Harvard Univ, Sch Med, Dept Surg, Childrens Hosp, Boston, MA 02115 USA; [Smadja, David M.; Guerin, Coralie L.; Bieche, Ivan; Badoual, Cecile; Cazes, Aurelie; Gaussem, Pascale; Israel-Biet, Dominique] Univ Paris 05, Sorbonne Paris Cite, Paris, France; [Smadja, David M.; Gaussem, Pascale] Hop Europeen Georges Pompidou, Serv Hematol Biol, AP HP, Paris, France; [Smadja, David M.; Guerin, Coralie L.; Gaussem, Pascale; Israel-Biet, Dominique] Inserm UMR S1140, Paris, France; [Dorfmueller, Peter; Mercier, Olaf; Humbert, Marc] Univ Paris 11, Fac Med, Le Kremlin Bicetre, France; [Dorfmueller, Peter; Mercier, Olaf; Humbert, Marc] Ctr Chirurg Marie Lannelongue, LabEx LERMIT, Inserm UMR S999, Le Plessis Robinson, France; [Guerin, Coralie L.; Badoual, Cecile] Inserm UMR S970, PARCC, Paris, France; [Bieche, Ivan] Inserm UMR S745, Paris, France; [Badoual, Cecile; Cazes, Aurelie] Hop Europeen Georges Pompidou, Serv Anatomopathol, AP HP, Paris, France; [Kambouchner, Marianne] Hop Avicenne, AP HP, Serv Anatomopathol, F-93009 Bobigny, France; [Mercier, Olaf] Ctr Chirurg Marie Lannelongue, Serv Chirurg Thorac, Le Plessis Robinson, France; [Humbert, Marc] Hop Bicetre, AP HP, Serv Pneumol, DHU Thorax Innovat TORINO, Le Kremlin Bicetre, France; [Israel-Biet, Dominique] Hop Europeen Georges Pompidou, AP HP, Serv Pneumol, Ctr Competences Malad Rares Pulm, Paris, France; [Boscolo, Elisa] Cincinnati Childrens Hosp Med Ctr, Canc &amp; Blood Dis Inst, Cincinnati, OH 45229 USA</t>
  </si>
  <si>
    <t>Harvard University; Harvard Medical School; Harvard University Medical Affiliates; Boston Children's Hospital; Harvard University; Harvard University Medical Affiliates; Boston Children's Hospital; Harvard Medical School; Universite Paris Cite; Assistance Publique Hopitaux Paris (APHP); Universite Paris Cite; Hopital Universitaire Europeen Georges-Pompidou - APHP; Universite Paris Cite; Institut National de la Sante et de la Recherche Medicale (Inserm); Universite Paris Saclay; Institut National de la Sante et de la Recherche Medicale (Inserm); Hopital Marie Lannelongue; Institut National de la Sante et de la Recherche Medicale (Inserm); Universite Paris Cite; Universite Paris Cite; Institut National de la Sante et de la Recherche Medicale (Inserm); Assistance Publique Hopitaux Paris (APHP); Universite Paris Cite; Hopital Universitaire Europeen Georges-Pompidou - APHP; Universite Paris 13; Assistance Publique Hopitaux Paris (APHP); Hopital Universitaire Avicenne - APHP; Hopital Marie Lannelongue; Assistance Publique Hopitaux Paris (APHP); Hopital Universitaire Bicetre - APHP; Hopital Universitaire Antoine-Beclere - APHP; Universite Paris Saclay; Assistance Publique Hopitaux Paris (APHP); Universite Paris Cite; Hopital Universitaire Europeen Georges-Pompidou - APHP; Cincinnati Children's Hospital Medical Center</t>
  </si>
  <si>
    <t>Smadja, DM (corresponding author), Paris Descartes Univ, INSERM UMR S 1140, Dept Hematol, European Georges Pompidou Hosp, 20 Rue Leblanc, F-75015 Paris, France.</t>
  </si>
  <si>
    <t>david.smadja@egp.aphp.fr</t>
  </si>
  <si>
    <t>Gaussem, P./ABA-1222-2020; Guerin, Coralie/HKV-6282-2023; BISCHOFF, JOYCE/K-3354-2019; Smadja, David/M-3872-2017; Bieche, Ivan/O-7399-2017; Humbert, Marc/AAC-8459-2019; Boscolo, Elisa/F-9483-2019</t>
  </si>
  <si>
    <t>Smadja, David/0000-0001-7731-9202; Bieche, Ivan/0000-0002-2430-5429; Bischoff, Joyce/0000-0002-6367-1974; Badoual, Cecile/0000-0002-1143-3085; Humbert, Marc/0000-0003-0703-2892; Boscolo, Elisa/0000-0002-6996-0419; ISRAEL-BIET, Dominique/0000-0003-4308-4411; GAUSSEM, Pascale/0000-0002-9139-2147; Guerin, Coralie/0000-0002-1840-4017; Dorfmuller, Peter/0000-0003-2499-6829; Mercier, Olaf/0000-0002-4760-6267</t>
  </si>
  <si>
    <t>Chancellerie des Universites (Leg Poix); Conny-Maeva Charitable Foundation</t>
  </si>
  <si>
    <t>The authors received research grants from Chancellerie des Universites (Leg Poix) and Conny-Maeva Charitable Foundation.</t>
  </si>
  <si>
    <t>0340-6245</t>
  </si>
  <si>
    <t>2567-689X</t>
  </si>
  <si>
    <t>THROMB HAEMOSTASIS</t>
  </si>
  <si>
    <t>Thromb. Haemost.</t>
  </si>
  <si>
    <t>10.1160/TH13-08-0711</t>
  </si>
  <si>
    <t>AT0NX</t>
  </si>
  <si>
    <t>WOS:000344633700023</t>
  </si>
  <si>
    <t>Chesné, J; Danger, R; Botturi, K; Reynaud-Gaubert, M; Mussot, S; Stern, M; Danner-Boucher, I; Mornex, JF; Pison, C; Dromer, C; Kessler, R; Dahan, M; Brugière, O; Le Pavec, J; Perros, F; Humbert, M; Gomez, C; Brouard, S; Magnan, A</t>
  </si>
  <si>
    <t>Chesne, Julie; Danger, Richard; Botturi, Karine; Reynaud-Gaubert, Martine; Mussot, Sacha; Stern, Marc; Danner-Boucher, Isabelle; Mornex, Jean-Francois; Pison, Christophe; Dromer, Claire; Kessler, Romain; Dahan, Marcel; Brugiere, Olivier; Le Pavec, Jerome; Perros, Frederic; Humbert, Marc; Gomez, Carine; Brouard, Sophie; Magnan, Antoine</t>
  </si>
  <si>
    <t>COLT Consortium</t>
  </si>
  <si>
    <t>Systematic Analysis of Blood Cell Transcriptome in End-Stage Chronic Respiratory Diseases</t>
  </si>
  <si>
    <t>PULMONARY ARTERIAL-HYPERTENSION; GENE-EXPRESSION; CYSTIC-FIBROSIS; SURVIVAL; PROTEIN; BETA; INFLAMMATION; IMMUNITY; THERAPY; DISPLAY</t>
  </si>
  <si>
    <t>Background: End-stage chronic respiratory diseases (CRD) have systemic consequences, such as weight loss and susceptibility to infection. However the mechanisms of such dysfunctions are as yet poorly explained. We hypothesized that the genes putatively involved in these mechanisms would emerge from a systematic analysis of blood mRNA profiles from pre-transplant patients with cystic fibrosis (CF), pulmonary hypertension (PAH), and chronic obstructive pulmonary disease (COPD). Methods: Whole blood was first collected from 13 patients with PAH, 23 patients with CF, and 28 Healthy Controls (HC). Microarray results were validated by quantitative PCR on a second and independent group (7PAH, 9CF, and 11HC). Twelve pre-transplant COPD patients were added to validate the common signature shared by patients with CRD for all causes. To further clarify a role for hypoxia in the candidate gene dysregulation, peripheral blood mononuclear cells from HC were analysed for their mRNA profile under hypoxia. Results: Unsupervised hierarchical clustering allowed the identification of 3 gene signatures related to CRD. One was common to CF and PAH, another specific to CF, and the final one was specific to PAH. With the common signature, we validated T-Cell Factor 7 (TCF-7) and Interleukin 7 Receptor (IL-7R), two genes related to T lymphocyte activation, as being under-expressed. We showed a strong impact of the hypoxia on modulation of TCF-7 and IL-7R expression in PBMCs from HC under hypoxia or PBMCs from CRD. In addition, we identified and validated genes upregulated in PAH or CF, including Lectin Galactoside-binding Soluble 3 and Toll Like Receptor 4, respectively. Conclusions: Systematic analysis of blood cell transcriptome in CRD patients identified common and specific signatures relevant to the systemic pathologies. TCF-7 and IL-7R were downregulated whatever the cause of CRD and this could play a role in the higher susceptibility to infection of these patients.</t>
  </si>
  <si>
    <t>[Chesne, Julie; Botturi, Karine; Danner-Boucher, Isabelle; Magnan, Antoine] Univ Nantes, CHU Nantes, Ctr Natl Reference Mucoviscidose Nantes Roscoff, Inst Thorax,UMR S 1087 CNRS UMR 6291, Nantes, France; [Chesne, Julie; Danger, Richard; Botturi, Karine; Brouard, Sophie; Magnan, Antoine] Univ Nantes, Nantes, France; [Danger, Richard; Brouard, Sophie] Ctr Hosp Univ Hotel Dieu, INSERM U1064, Nantes, France; [Danger, Richard; Brouard, Sophie] Ctr Hosp Univ Hotel Dieu, Inst Transplantat Urol Nephrol, Nantes, France; [Reynaud-Gaubert, Martine; Gomez, Carine] Aix Marseille Univ, CHU Marseille, Marseille, France; [Mussot, Sacha; Le Pavec, Jerome] Ctr Chirurg Marie Lannelongue, Serv Chirurg Thorac Vasc &amp; Transplantat Cardiopul, Le Plessis Robinson, France; [Stern, Marc] Hop Foch, Suresnes, France; [Mornex, Jean-Francois] Univ Lyon, Lyon, France; [Mornex, Jean-Francois] Univ Lyon 1, F-69365 Lyon, France; [Mornex, Jean-Francois] INRA, UMR S 754, Lyon, France; [Mornex, Jean-Francois] Hospices Civils Lyon, Lyon, France; [Pison, Christophe] CHU Grenoble, Clin Univ Pneumol, F-38043 Grenoble, France; [Pison, Christophe] Univ Joseph Fourier, Grenoble, France; [Pison, Christophe] Inserm U1055, Grenoble, France; [Pison, Christophe] European Inst Syst Biol &amp; Med, Lyon, France; [Dromer, Claire] CHU Bordeaux, Bordeaux, France; [Kessler, Romain] CHU Strasbourg, F-67000 Strasbourg, France; [Dahan, Marcel] CHU Toulouse, Toulouse, France; [Brugiere, Olivier] Hop Bichat Claude Bernard, Serv Pneumol B &amp; Transplantat Pulm, F-75877 Paris, France; [Perros, Frederic; Humbert, Marc] Univ Paris Sud, F-94275 Le Kremlin Bicetre, France; [Perros, Frederic; Humbert, Marc] Hop Bicetre, AP HP, DHU Thorax Innovat, Serv Pneumol, Le Kremlin Bicetre, France; [Perros, Frederic; Humbert, Marc] Ctr Chirurg Marie Lannelongue, LabEx LERMIT, INSERM U999, Le Plessis Robinson, France</t>
  </si>
  <si>
    <t>Nantes Universite; CHU de Nantes; Centre National de la Recherche Scientifique (CNRS); CNRS - National Institute for Biology (INSB); Institut National de la Sante et de la Recherche Medicale (Inserm); Nantes Universite; Institut National de la Sante et de la Recherche Medicale (Inserm); Nantes Universite; CHU de Nantes; Nantes Universite; CHU de Nantes; Aix-Marseille Universite; Assistance Publique-Hopitaux de Marseille; Hopital Marie Lannelongue; Hospital Foch; Universite Claude Bernard Lyon 1; INRAE; CHU Lyon; CHU Grenoble Alpes; Communaute Universite Grenoble Alpes; Universite Grenoble Alpes (UGA); Communaute Universite Grenoble Alpes; Universite Grenoble Alpes (UGA); Institut National de la Sante et de la Recherche Medicale (Inserm); CHU Bordeaux; Universite de Bordeaux; Universites de Strasbourg Etablissements Associes; Universite de Strasbourg; CHU Strasbourg; Universite de Toulouse; Universite Toulouse III - Paul Sabatier; CHU de Toulouse; Universite Paris Cite; Assistance Publique Hopitaux Paris (APHP); Hopital Universitaire Bichat-Claude Bernard - APHP; Universite Paris Saclay; Assistance Publique Hopitaux Paris (APHP); Hopital Universitaire Bicetre - APHP; Hopital Universitaire Antoine-Beclere - APHP; Universite Paris Saclay; Institut National de la Sante et de la Recherche Medicale (Inserm); Hopital Marie Lannelongue; Universite Paris Saclay</t>
  </si>
  <si>
    <t>Magnan, A (corresponding author), Univ Nantes, CHU Nantes, Ctr Natl Reference Mucoviscidose Nantes Roscoff, Inst Thorax,UMR S 1087 CNRS UMR 6291, Nantes, France.</t>
  </si>
  <si>
    <t>antoine.magnan@univ-nantes.fr</t>
  </si>
  <si>
    <t>brouard, sophie/Q-1285-2016; MAGNAN, ANTOINE/GVT-4308-2022; Botturi, Karine/D-5255-2015; Mussot, S/AAL-7512-2020; kessler, romain/B-9149-2018; Reynaud-Gaubert, Martine/P-6958-2016; Humbert, Marc/AAC-8459-2019; Leone, Marc/P-4835-2016; Rolain, Jean-Marc/Y-3788-2019; Royer, Pierre-Joseph/D-4768-2015; vasse, marc/B-9595-2018; Perros, Frederic/N-6921-2017; CHAVANON, Olivier/AAC-8171-2019</t>
  </si>
  <si>
    <t>Humbert, Marc/0000-0003-0703-2892; Leone, Marc/0000-0002-3097-758X; Rolain, Jean-Marc/0000-0002-2402-4467; Royer, Pierre-Joseph/0000-0001-5534-7982; maury, jean-michel/0000-0002-3494-3678; vasse, marc/0000-0002-8784-7209; Tuna, Turgay/0000-0003-1032-794X; Le Pavec, Jerome/0000-0003-4426-9645; Perros, Frederic/0000-0001-7730-2427; Mercier, Olaf/0000-0002-4760-6267; Brouard, Sophie/0000-0002-6398-1315; Chesne, Julie/0000-0001-8831-4386; CHAVANON, Olivier/0000-0001-8625-691X; Danger, Richard/0000-0002-5058-795X</t>
  </si>
  <si>
    <t>Vaincre La Mucoviscidose; Programme National Hospitalier de Recherche Clinique; CENTAURE foundation grant; Agence de la Biomedecine Francaise (ABM) grant; ESOT grant; French government [ANR-10-IBHU-005]; Nantes Metropole; Pays de la Loire Region</t>
  </si>
  <si>
    <t>Vaincre La Mucoviscidose; Programme National Hospitalier de Recherche Clinique; CENTAURE foundation grant; Agence de la Biomedecine Francaise (ABM) grant; ESOT grant; French government; Nantes Metropole(Region Pays de la Loire); Pays de la Loire Region(Region Pays de la Loire)</t>
  </si>
  <si>
    <t>This study was funded mainly by a grant from Vaincre La Mucoviscidose, the Programme National Hospitalier de Recherche Clinique, a CENTAURE foundation grant, an Agence de la Biomedecine Francaise (ABM) grant, and an ESOT grant. This work was realized in the context of the IHU-Cesti project thanks to French government financial support managed by the National Research Agency via the Investment Into The Future'' program ANR-10-IBHU-005. The IHU-Cesti project is also supported by Nantes Metropole and the Pays de la Loire Region. The funders had no role in study design, data collection and analysis, decision to publish, or preparation of the manuscript.</t>
  </si>
  <si>
    <t>OCT 20</t>
  </si>
  <si>
    <t>e109291</t>
  </si>
  <si>
    <t>10.1371/journal.pone.0109291</t>
  </si>
  <si>
    <t>AS0AY</t>
  </si>
  <si>
    <t>WOS:000343942100020</t>
  </si>
  <si>
    <t>Gashouta, MA; Humbert, M; Hassoun, PM</t>
  </si>
  <si>
    <t>Gashouta, Mohamed A.; Humbert, Marc; Hassoun, Paul M.</t>
  </si>
  <si>
    <t>Update in systemic sclerosis-associated pulmonary arterial hypertension</t>
  </si>
  <si>
    <t>BRAIN NATRIURETIC PEPTIDE; ANTIENDOTHELIAL CELL ANTIBODIES; CONNECTIVE-TISSUE DISEASE; ENDOTHELIAL GROWTH-FACTOR; CONTINUOUS INTRAVENOUS EPOPROSTENOL; 6-MINUTE WALK TEST; LEFT-HEART DISEASE; SCLERODERMA SPECTRUM; LUNG-DISEASE; DOPPLER-ECHOCARDIOGRAPHY</t>
  </si>
  <si>
    <t>Pulmonary arterial hypertension (PAH) is one of the leading causes of death in systemic sclerosis (SSc). Despite advances in treatment options for PAH, long-term prognosis remains poor for scleroderma-associated PAH (SSc-PAH). Although prompt diagnosis and treatment of PAH may have significant impact on survival rates, early detection of the syndrome continues to be challenging in SSc due to several factors ranging from limitations of the current screening tools and the complexities of the disease. In comparison with other PAH subgroups, SSc-PAH patients respond poorly to conventional forms of PAH therapy. Recent findings indicate that factors such as autoimmune and inflammatory responses, more severe vasculature remodeling, and intrinsic cardiac involvement may account for these differences.</t>
  </si>
  <si>
    <t>[Gashouta, Mohamed A.; Hassoun, Paul M.] Johns Hopkins Univ, Div Pulm &amp; Crit Care Med, Dept Med, Sch Med,St Lukes Hosp, Baltimore, MD 21224 USA; [Gashouta, Mohamed A.] St Lukes Hosp, Chesterfield, MO 63017 USA; [Humbert, Marc] Univ Paris Sud, Fac Med, F-94270 Le Kremlin Bicetre, France; [Humbert, Marc] Hop Bicetre, AP HP, Serv Pneumol, Ctr Reference Hypertens Pulm Severe, F-94275 Le Kremlin Bicetre, France; [Humbert, Marc] INSERM, Ctr Chirurg Marie Lannelongue, U999, F-92350 Le Plessis Robinson, France</t>
  </si>
  <si>
    <t>Johns Hopkins University; Saint Luke's Hospital - Missouri; 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t>
  </si>
  <si>
    <t>Gashouta, MA (corresponding author), St Lukes Hosp, 232 S Woods Mill Rd, Chesterfield, MO 63017 USA.</t>
  </si>
  <si>
    <t>mohamed.gashouta@stlukes-stl.com</t>
  </si>
  <si>
    <t>E293</t>
  </si>
  <si>
    <t>E304</t>
  </si>
  <si>
    <t>10.1016/j.lpm.2014.06.007</t>
  </si>
  <si>
    <t>AW8JR</t>
  </si>
  <si>
    <t>WOS:000346508700004</t>
  </si>
  <si>
    <t>Launay, D; Savale, L; Berezne, A; Le Pavec, J; Hachulla, E; Mouthon, L; Sitbon, O; Lambert, B; Gaudric, M; Jais, X; Stephan, F; Hatron, PY; Lamblin, N; Vignaux, O; Cottin, V; Farge, D; Wallaert, B; Guillevin, L; Simonneau, G; Mercier, O; Fadel, E; Dartevelle, P; Humbert, M; Mussot, S</t>
  </si>
  <si>
    <t>Launay, David; Savale, Laurent; Berezne, Alice; Le Pavec, Jerome; Hachulla, Eric; Mouthon, Luc; Sitbon, Olivier; Lambert, Benoit; Gaudric, Marianne; Jais, Xavier; Stephan, Francois; Hatron, Pierre-Yves; Lamblin, Nicolas; Vignaux, Olivier; Cottin, Vincent; Farge, Dominique; Wallaert, Benoit; Guillevin, Loic; Simonneau, Gerald; Mercier, Olaf; Fadel, Elie; Dartevelle, Philippe; Humbert, Marc; Mussot, Sacha</t>
  </si>
  <si>
    <t>French Network Pulm Hypertension</t>
  </si>
  <si>
    <t>Lung and heart-lung transplantation for systemic sclerosis patients. A monocentric experience of 13 patients, review of the literature and position paper of a multidisciplinary Working Group</t>
  </si>
  <si>
    <t>PULMONARY ARTERIAL-HYPERTENSION; SCLERODERMA RENAL CRISIS; OFFICIAL ADULT LUNG; BRONCHIOLITIS-OBLITERANS-SYNDROME; RESOLUTION COMPUTED-TOMOGRAPHY; BILE-ACID ASPIRATION; VENOOCCLUSIVE DISEASE; GASTROESOPHAGEAL-REFLUX; INTERNATIONAL-SOCIETY; DIGITAL ULCERS</t>
  </si>
  <si>
    <t>Systemic sclerosis per se should not be considered as an a priori contraindication for a pre-transplantation assessment in patients with advanced interstitial lung disease and/or pulmonary hypertension. For lung or heart-lung transplantation, a multidisciplinary approach, adapting the pre-transplant assessment to systemic sclerosis and optimizing systemic sclerosis patient management before, during and after surgery should improved the short- and long-term prognosis. Indications and contraindications for transplantation have to be adapted to the specificities of systemic sclerosis. A special focus on the digestive tract involvement and its thorough evaluation are mandatory before transplantation in systemic sclerosis. As the esophagus is almost always involved, isolated gastro-oesophageal reflux disease, pH metry and/or manometry abnormalities should not be a systematic per se contraindication for pre-transplantation assessment. Corticosteroids may be harmful in systemic sclerosis as they are associated with acute renal crisis. A low dose corticosteroids protocol for immunosuppression is therefore advisable in systemic sclerosis.</t>
  </si>
  <si>
    <t>[Launay, David; Hachulla, Eric; Lamblin, Nicolas; Wallaert, Benoit] Univ Lille Nord France, Fac Med, F-59000 Lille, France; [Launay, David; Hachulla, Eric] Hop Claude Huriez, CHRU Lille, Serv Med Interne, Ctr Natl Reference Sclerodermie Syst, F-59037 Lille, France; [Launay, David; Hachulla, Eric] EA2686, F-59045 Lille, France; [Savale, Laurent; Le Pavec, Jerome; Sitbon, Olivier; Jais, Xavier; Simonneau, Gerald; Mercier, Olaf; Fadel, Elie; Dartevelle, Philippe; Humbert, Marc; Mussot, Sacha] Univ Paris 11, Fac Med, F-94270 Le Kremlin Bicetre, France; [Savale, Laurent; Sitbon, Olivier; Jais, Xavier; Simonneau, Gerald; Humbert, Marc] Hop Bicetre, AP HP, Serv Pneumol, DHU Thorax Innovat, F-94275 Le Kremlin Bicetre, France; [Savale, Laurent; Le Pavec, Jerome; Sitbon, Olivier; Jais, Xavier; Simonneau, Gerald; Mercier, Olaf; Fadel, Elie; Dartevelle, Philippe; Humbert, Marc; Mussot, Sacha] INSERM, Ctr Chirurg Marie Lannelongue, LabEx LERMIT, U999, F-92350 Le Plessis Robinson, France; [Berezne, Alice; Mouthon, Luc; Guillevin, Loic] Univ Paris 05, Ctr Natl Reference Vasc Necrosantes &amp; Sclerodermi, Serv Med Interne, Hop Cochin,AP HP, F-75014 Paris, France; [Le Pavec, Jerome; Mercier, Olaf; Fadel, Elie; Dartevelle, Philippe; Mussot, Sacha] Ctr Chirurg Marie Lannelongue, Serv Chirurg Thorac Vasc &amp; Transplantat Cardiopul, F-92350 Le Plessis Robinson, France; [Lambert, Benoit] Hop Bicetre, AP HP, Serv Chirurg Gen &amp; Digest, F-94275 Le Kremlin Bicetre, France; [Gaudric, Marianne] Univ Paris 05, Hop Cochin, AP HP, Serv Gastroenterol, F-75014 Paris, France; [Stephan, Francois] Ctr Chirurg Marie Lannelongue, Serv Reanimat Adulte, F-92350 Le Plessis Robinson, France; [Hatron, Pierre-Yves; Lamblin, Nicolas] Hop Cardiol, CHRU Lille, Serv Cardiol, F-59034 Lille, France; [Vignaux, Olivier] Univ Paris 05, Hop Cochin, AP HP, Serv Radiol, F-75014 Paris, France; [Cottin, Vincent] Univ Lyon 1, Hop Louis Pradel, Serv Pneumol, Ctr Reference Natl Malad Pulm Rares, F-69000 Lyon, France; [Farge, Dominique] Hop St Louis, AP HP, Serv Med Interne &amp; Pathol Vasc, F-75010 Paris, France; [Wallaert, Benoit] Hop A Calmette, CHRU Lille, Serv Pneumol &amp; Immunoallergol, Clin Malad Resp,Ctr Competence Malad Pulm Rares, F-59000 Lille, France</t>
  </si>
  <si>
    <t>Universite de Lille; Universite de Lille; CHU Lille; Universite de Lille; Universite Paris Saclay; Universite Paris Saclay; Assistance Publique Hopitaux Paris (APHP); Hopital Universitaire Bicetre - APHP; Hopital Universitaire Antoine-Beclere - APHP; Institut National de la Sante et de la Recherche Medicale (Inserm); Universite Paris Saclay; Hopital Marie Lannelongue; Universite Paris Cite; Assistance Publique Hopitaux Paris (APHP); Hopital Universitaire Cochin - APHP; Hopital Marie Lannelongue; Assistance Publique Hopitaux Paris (APHP); Hopital Universitaire Antoine-Beclere - APHP; Hopital Universitaire Bicetre - APHP; Universite Paris Saclay; Assistance Publique Hopitaux Paris (APHP); Universite Paris Cite; Hopital Universitaire Cochin - APHP; Hopital Marie Lannelongue; Universite de Lille; CHU Lille; Universite Paris Cite; Assistance Publique Hopitaux Paris (APHP); Hopital Universitaire Cochin - APHP; CHU Lyon; Universite Claude Bernard Lyon 1; Assistance Publique Hopitaux Paris (APHP); Universite Paris Cite; Hopital Universitaire Saint-Louis - APHP; Universite de Lille; CHU Lille</t>
  </si>
  <si>
    <t>Launay, D (corresponding author), Hop Claude Huriez, CHRU Lille, Serv Med Interne, Rue Michel Polonovski, F-59037 Lille, France.</t>
  </si>
  <si>
    <t>david.launay@chru-lille.fr</t>
  </si>
  <si>
    <t>HACHULLA, ERIC/R-8488-2018; Savale, Laurent/AAJ-9781-2020; Sitbon, Olivier/I-3623-2019; Launay, David/A-5270-2018; Mussot, S/AAL-7512-2020; Simonneau, Gerald/ABE-6614-2020; meroni, pier/K-8473-2016; Humbert, Marc/AAC-8459-2019; Launay, David/H-1674-2016</t>
  </si>
  <si>
    <t>SITBON, Olivier/0000-0002-1942-1951; Mercier, Olaf/0000-0002-4760-6267; Le Pavec, Jerome/0000-0003-4426-9645; LAMBLIN, NICOLAS/0000-0003-3754-1241; Humbert, Marc/0000-0003-0703-2892; HACHULLA, ERIC/0000-0001-7432-847X; JAIS, XAVIER/0000-0002-4104-7994; Launay, David/0000-0003-1840-1817</t>
  </si>
  <si>
    <t>E345</t>
  </si>
  <si>
    <t>E363</t>
  </si>
  <si>
    <t>10.1016/j.lpm.2014.01.020</t>
  </si>
  <si>
    <t>WOS:000346508700008</t>
  </si>
  <si>
    <t>Layeneziana, P; Montani, D; Dorfmüller, P; Girerd, B; Sitbon, O; Jaïs, X; Savale, L; Eyries, M; Soubrier, F; Similowski, T; Simonneau, G; Humbert, M; Garcia, G</t>
  </si>
  <si>
    <t>Layeneziana, Pierantonio; Montani, David; Dorfmueller, Peter; Girerd, Barbara; Sitbon, Olivier; Jaies, Xavier; Savale, Laurent; Eyries, Melanie; Soubrier, Florent; Similowski, Thomas; Simonneau, Gerald; Humbert, Marc; Garcia, Gilles</t>
  </si>
  <si>
    <t>Mechanisms of exertional dyspnoea in pulmonary veno-occlusive disease with EIF2AK4 mutations</t>
  </si>
  <si>
    <t>[Layeneziana, Pierantonio; Similowski, Thomas] Univ Paris 06, Sorbonne Univ, Neurophysiol Resp Experimentale &amp; Clin, UMR S 1158, Paris, France; [Layeneziana, Pierantonio; Similowski, Thomas] INSERM, Neurophysiol Resp Experimentale &amp; Clin, UMR S 1158, Paris, France; [Layeneziana, Pierantonio] Grp Hosp Pitie Salpetriere Charles Foix, AP HP, Serv Explorat Fonct Resp Exercice &amp; Dyspnee, Paris, France; [Garcia, Gilles] Hop Univ Bicetre, AP HP, DHU TORINO Thorax Innovat, Ctr Reference Hypertens Pulm Severe,Serv Explorat, F-94270 Le Kremlin Bicetre, France; [Montani, David; Dorfmueller, Peter; Girerd, Barbara; Sitbon, Olivier; Jaies, Xavier; Savale, Laurent; Simonneau, Gerald; Humbert, Marc; Garcia, Gilles] Univ Paris 11, Fac Med, Le Kremlin Bicetre, France; [Montani, David; Dorfmueller, Peter; Girerd, Barbara; Sitbon, Olivier; Jaies, Xavier; Savale, Laurent; Simonneau, Gerald; Humbert, Marc; Garcia, Gilles] INSERM, Ctr Chirurg Marie Lannelongue, LabEx LERMIT, U999, Le Plessis Robinson, France; [Montani, David; Girerd, Barbara; Sitbon, Olivier; Jaies, Xavier; Savale, Laurent; Simonneau, Gerald; Humbert, Marc] Hop Univ Bicetre, AP HP, DHU TORINO Thorax Innovat, Ctr Reference Hypertens Pulm Severe,Sevr Pneumol, F-94270 Le Kremlin Bicetre, France; [Eyries, Melanie; Soubrier, Florent] UPMC, UMR S 956, Paris, France; [Eyries, Melanie; Soubrier, Florent] INSERM, Paris, France; [Eyries, Melanie; Soubrier, Florent] Hop La Pitie Salpetriere, AP HP, Dept Genet, Paris, France; [Eyries, Melanie; Soubrier, Florent] Inst Cardiometab &amp; Nutr ICAN, Paris, France; [Similowski, Thomas] Grp Hosp Pitie Salpetriere Charles Foix, AP HP, Serv Pneumol &amp; Reanimat Med, Paris, France</t>
  </si>
  <si>
    <t>Sorbonne Universite; Institut National de la Sante et de la Recherche Medicale (Inserm); Sorbonne Universite; Assistance Publique Hopitaux Paris (APHP); Hopital Universitaire Charles-Foix - APHP; Hopital Universitaire Pitie-Salpetriere - APHP; Assistance Publique Hopitaux Paris (APHP); Hopital Universitaire Bicetre - APHP; Universite Paris Saclay; Institut National de la Sante et de la Recherche Medicale (Inserm); Hopital Marie Lannelongue; Universite Paris Saclay; Assistance Publique Hopitaux Paris (APHP); Hopital Universitaire Bicetre - APHP; Sorbonne Universite; Institut National de la Sante et de la Recherche Medicale (Inserm); Sorbonne Universite; Assistance Publique Hopitaux Paris (APHP); Hopital Universitaire Pitie-Salpetriere - APHP; Institut National de la Sante et de la Recherche Medicale (Inserm); Sorbonne Universite; Sorbonne Universite; Assistance Publique Hopitaux Paris (APHP); Hopital Universitaire Pitie-Salpetriere - APHP; Hopital Universitaire Charles-Foix - APHP</t>
  </si>
  <si>
    <t>Garcia, G (corresponding author), Hop Univ Bicetre, AP HP, DHU TORINO Thorax Innovat, Ctr Reference Hypertens Pulm Severe,Serv Explorat, F-94270 Le Kremlin Bicetre, France.</t>
  </si>
  <si>
    <t>David, Montani/I-6885-2019; Savale, Laurent/AAJ-9781-2020; Sitbon, Olivier/I-3623-2019; Simonneau, Gerald/ABE-6614-2020; Similowski, Thomas/GQQ-9468-2022; EYRIES, melanie/ABF-1034-2020; Humbert, Marc/AAC-8459-2019</t>
  </si>
  <si>
    <t>SITBON, Olivier/0000-0002-1942-1951; JAIS, XAVIER/0000-0002-4104-7994; Dorfmuller, Peter/0000-0003-2499-6829; Humbert, Marc/0000-0003-0703-2892; Montani, David/0000-0002-9358-6922</t>
  </si>
  <si>
    <t>10.1183/09031936.00088914</t>
  </si>
  <si>
    <t>AQ1LU</t>
  </si>
  <si>
    <t>WOS:000342543700029</t>
  </si>
  <si>
    <t>Sanges, S; Launay, D; Rhee, RL; Sitbon, O; Hachulla, E; Mouthon, L; Guillevin, L; Rottat, L; Clerson, P; Cordier, JF; Kawut, SM; Simonneau, G; Humbert, M</t>
  </si>
  <si>
    <t>Sanges, Sebastien; Launay, David; Rhee, Rennie L.; Sitbon, Olivier; Hachulla, Eric; Mouthon, Luc; Guillevin, Loic; Rottat, Laurence; Clerson, Pierre; Cordier, Jean-Francois; Kawut, Steven M.; Simonneau, Gerald; Humbert, Marc</t>
  </si>
  <si>
    <t>Relevance of the 6-Minute Walking Test in Assessing the Severity and Outcome of Pulmonary Arterial Hypertension Associated with Systemic Sclerosis, without Extensive Interstitial Lung Disease</t>
  </si>
  <si>
    <t>78th Annual Meeting of the American-College-of-Rheumatology (ACR) / 49th Meeting of the Association-of-Rheumatology-Health-Professionals (ARHP)</t>
  </si>
  <si>
    <t>NOV 14-19, 2014</t>
  </si>
  <si>
    <t>[Sanges, Sebastien; Launay, David; Hachulla, Eric] Univ Lille Nord France, Fac Med Henri Warembourg, Lille, France; [Rhee, Rennie L.; Kawut, Steven M.] Univ Penn, Philadelphia, PA 19104 USA; [Sitbon, Olivier; Rottat, Laurence; Humbert, Marc] Univ Paris 11, Fac Med, Le Kremlin Bicetre, France; [Mouthon, Luc; Guillevin, Loic] Univ Paris 05, Hop Cochin, AP HP, Natl Referral Ctr Rare Syst Autoimmune Dis, Paris, France; [Clerson, Pierre] Orgametrie, Roubaix, France; [Cordier, Jean-Francois] Hosp Civils Lyon, Hop Louis Pradel, Div Pneumol, Lyon, France; [Simonneau, Gerald] Ctr Chirurg Marie Lannelongue, LabEx LERMIT, INSERM U999, Le Plessis Robinson, France</t>
  </si>
  <si>
    <t>Universite de Lille; University of Pennsylvania; Universite Paris Saclay; Universite Paris Cite; Assistance Publique Hopitaux Paris (APHP); Hopital Universitaire Cochin - APHP; CHU Lyon; Universite Paris Saclay; Hopital Marie Lannelongue; Institut National de la Sante et de la Recherche Medicale (Inserm)</t>
  </si>
  <si>
    <t>Simonneau, Gerald/ABE-6614-2020; Launay, David/A-5270-2018; Sanges, Sebastien/M-4605-2018; Sitbon, Olivier/I-3623-2019; HACHULLA, ERIC/R-8488-2018; Humbert, Marc/AAC-8459-2019; Launay, David/H-1674-2016</t>
  </si>
  <si>
    <t>Launay, David/0000-0003-1840-1817</t>
  </si>
  <si>
    <t>S1182</t>
  </si>
  <si>
    <t>AS6PK</t>
  </si>
  <si>
    <t>WOS:000344384905378</t>
  </si>
  <si>
    <t>Ortega, HG; Liu, MC; Pavord, ID; Brusselle, GG; FitzGerald, JM; Chetta, A; Humbert, M; Katz, LE; Keene, ON; Yancey, SW; Chanez, P</t>
  </si>
  <si>
    <t>Ortega, Hector G.; Liu, Mark C.; Pavord, Ian D.; Brusselle, Guy G.; FitzGerald, J. Mark; Chetta, Alfredo; Humbert, Marc; Katz, Lynn E.; Keene, Oliver N.; Yancey, Steven W.; Chanez, Pascal</t>
  </si>
  <si>
    <t>MENSA Investigators</t>
  </si>
  <si>
    <t>Mepolizumab Treatment in Patients with Severe Eosinophilic Asthma</t>
  </si>
  <si>
    <t>EXACERBATION RATES; ATOPIC ASTHMATICS; END-POINTS; PHENOTYPES; STATEMENT; TRISTAN; THERAPY; ADULTS</t>
  </si>
  <si>
    <t>BACKGROUND Some patients with severe asthma have frequent exacerbations associated with persistent eosinophilic inflammation despite continuous treatment with high-dose inhaled glucocorticoids with or without oral glucocorticoids. METHODS In this randomized, double-blind, double-dummy study, we assigned 576 patients with recurrent asthma exacerbations and evidence of eosinophilic inflammation despite high doses of inhaled glucocorticoids to one of three study groups. Patients were assigned to receive mepolizumab, a humanized monoclonal antibody against interleukin-5, which was administered as either a 75-mg intravenous dose or a 100-mg subcutaneous dose, or placebo every 4 weeks for 32 weeks. The primary outcome was the rate of exacerbations. Other outcomes included the forced expiratory volume in 1 second (FEV1) and scores on the St. George's Respiratory Questionnaire (SGRQ) and the 5-item Asthma Control Questionnaire (ACQ-5). Safety was also assessed. RESULTS The rate of exacerbations was reduced by 47% (95% confidence interval [CI], 29 to 61) among patients receiving intravenous mepolizumab and by 53% (95% CI, 37 to 65) among those receiving subcutaneous mepolizumab, as compared with those receiving placebo (P&lt;0.001 for both comparisons). Exacerbations necessitating an emergency department visit or hospitalization were reduced by 32% in the group receiving intravenous mepolizumab and by 61% in the group receiving subcutaneous mepolizumab. At week 32, the mean increase from baseline in FEV1 was 100 ml greater in patients receiving intravenous mepolizumab than in those receiving placebo (P = 0.02) and 98 ml greater in patients receiving subcutaneous mepolizumab than in those receiving placebo (P = 0.03). The improvement from baseline in the SGRQ score was 6.4 points and 7.0 points greater in the intravenous and subcutaneous mepolizumab groups, respectively, than in the placebo group (minimal clinically important change, 4 points), and the improvement in the ACQ-5 score was 0.42 points and 0.44 points greater in the two mepolizumab groups, respectively, than in the placebo group (minimal clinically important change, 0.5 points) (P &lt; 0.001 for all comparisons). The safety profile of mepolizumab was similar to that of placebo. CONCLUSIONS Mepolizumab administered either intravenously or subcutaneously significantly reduced asthma exacerbations and was associated with improvements in markers of asthma control.</t>
  </si>
  <si>
    <t>[Ortega, Hector G.; Katz, Lynn E.; Yancey, Steven W.] GlaxoSmithKline, Resp Therapeut Area Unit, Res Triangle Pk, NC USA; [Liu, Mark C.] Johns Hopkins Asthma &amp; Allergy Ctr, Baltimore, MD USA; [Pavord, Ian D.] Univ Oxford, Nuffield Dept Med, Resp Med Unit, Oxford OX1 2JD, England; [Keene, Oliver N.] GlaxoSmithKline, Clin Stat, Stockley Pk, Middx, England; [Brusselle, Guy G.] Ghent Univ Hosp, Dept Resp Med, Ghent, Belgium; [FitzGerald, J. Mark] Inst Heart &amp; Lung Hlth, Lung Ctr, Vancouver, BC, Canada; [Chetta, Alfredo] Univ Parma, Dept Clin &amp; Expt Med, I-43100 Parma, Italy; [Humbert, Marc] Univ Paris Sud, Hop Bicetre, Serv Pneumol, AP HP,Dept Hosp Univ Thorax Innovat, F-94275 Le Kremlin Bicetre, France; [Humbert, Marc] INSERM, Unite Mixte Rech 999, F-94275 Le Kremlin Bicetre, France; [Chanez, Pascal] Aix Marseille Univ, Unites Mixtes Rech, INSERM, Unite 1067,Ctr Natl Rech Sci 7733, Marseille, France; [Chanez, Pascal] Aix Marseille Univ, Dept Resp Dis, Marseille, France; [Chanez, Pascal] Aix Marseille Univ, Clin Invest Ctr, AP HP, Hop Nord,Hop Marseille, Marseille, France</t>
  </si>
  <si>
    <t>GlaxoSmithKline; Glaxosmithkline USA; Johns Hopkins University; Johns Hopkins Medicine; University of Oxford; GlaxoSmithKline; Glaxosmithkline United Kingdom; Ghent University; Ghent University Hospital; University of Parma; University Hospital of Parma; Assistance Publique Hopitaux Paris (APHP); Hopital Universitaire Bicetre - APHP; Universite Paris Saclay; Hopital Universitaire Antoine-Beclere - APHP; Institut National de la Sante et de la Recherche Medicale (Inserm); Institut National de la Sante et de la Recherche Medicale (Inserm); Aix-Marseille Universite; Aix-Marseille Universite; Institut National de la Sante et de la Recherche Medicale (Inserm); Assistance Publique Hopitaux Paris (APHP); Aix-Marseille Universite; Assistance Publique-Hopitaux de Marseille</t>
  </si>
  <si>
    <t>Ortega, HG (corresponding author), GlaxoSmithKline, 5 Moore Dr,POB 5-3317-3A, Res Triangle Pk, NC 27709 USA.</t>
  </si>
  <si>
    <t>hector.g.ortega@gsk.com</t>
  </si>
  <si>
    <t>Brusselle, Guy/AFU-8839-2022; Humbert, Marc/AAC-8459-2019; RAMOS-BARBON, DAVID/C-6624-2009</t>
  </si>
  <si>
    <t>chanez, pascal/0000-0003-4059-0917; Chetta, Alfredo/0000-0002-0416-5334; Humbert, Marc/0000-0003-0703-2892; Sajkov, Dimitar/0000-0001-8864-254X; RAMOS-BARBON, DAVID/0000-0002-9615-6557; Brusselle, Guy/0000-0001-7021-8505; Pavord, Ian/0000-0002-4288-5973; , Sandhya/0000-0002-3167-1152; Saralaya, Dinesh/0000-0002-7606-0056; Bourdin, Arnaud/0000-0002-4645-5209; Keene, Oliver/0000-0003-0016-9773</t>
  </si>
  <si>
    <t>GlaxoSmithKline; MRC [G0800649] Funding Source: UKRI</t>
  </si>
  <si>
    <t>GlaxoSmithKline(GlaxoSmithKline); MRC(UK Research &amp; Innovation (UKRI)Medical Research Council UK (MRC))</t>
  </si>
  <si>
    <t>Funded by GlaxoSmithKline; MENSA ClinicalTrials.gov number, NCT01691521.</t>
  </si>
  <si>
    <t>SEP 25</t>
  </si>
  <si>
    <t>10.1056/NEJMoa1403290</t>
  </si>
  <si>
    <t>AP4WH</t>
  </si>
  <si>
    <t>WOS:000342079700007</t>
  </si>
  <si>
    <t>Bousquet, J; Humbert, M; Rao, S; Pethe, A; Manga, V</t>
  </si>
  <si>
    <t>Bousquet, J.; Humbert, M.; Rao, S.; Pethe, A.; Manga, V</t>
  </si>
  <si>
    <t>Omalizumab reduces asthma exacerbations among responders at 28 weeks: the INNOVATE study</t>
  </si>
  <si>
    <t>European-Academy-of-Allergy-and-Clinical-Immunology Congress</t>
  </si>
  <si>
    <t>JUN 07-11, 2014</t>
  </si>
  <si>
    <t>Copenhagen, DENMARK</t>
  </si>
  <si>
    <t>[Bousquet, J.] Hop Arnaud de Villeneuve, Serv Pneumol, Montpellier, France; [Humbert, M.] Univ Paris 11, Hop Bicetre, Paris, France; [Rao, S.; Manga, V] Novartis Pharma AG, Basel, Switzerland; [Pethe, A.] Novartis Healthcare, Hyderabad, Andhra Pradesh, India</t>
  </si>
  <si>
    <t>Universite de Montpellier; CHU de Montpellier; Universite Paris Saclay; Assistance Publique Hopitaux Paris (APHP); Hopital Universitaire Bicetre - APHP; Novartis</t>
  </si>
  <si>
    <t>AO2HL</t>
  </si>
  <si>
    <t>WOS:000341139401539</t>
  </si>
  <si>
    <t>Dumas, SJ; Perros, F; Bru-Mercier, G; Ranchoux, B; Rücker-Martin, C; Gouadon, E; VoceIle, M; Dorfmüller, P; Fadel, E; Humbert, M; Cohen-Kaminsky, S</t>
  </si>
  <si>
    <t>Dumas, Sebastien J.; Perros, Frederic; Bru-Mercier, Gilles; Ranchoux, Benoit; Rucker-Martin, Catherine; Gouadon, Elodie; VoceIle, Matthieu; Dorfmuller, Peter; Fadel, Elie; Humbert, Marc; Cohen-Kaminsky, Sylvia</t>
  </si>
  <si>
    <t>Role of NMDA receptors in vascular remodelling associated to pulmonary hypertension</t>
  </si>
  <si>
    <t>Pulmonary hypertension; Circulation; Cell biology</t>
  </si>
  <si>
    <t>Ranchoux, Benoît/AAX-6037-2020; Dumas, Sébastien/AAA-2056-2021; Humbert, Marc/AAC-8459-2019; Cohen-Kaminsky, Sylvia/E-4837-2014; Perros, Frederic/N-6921-2017</t>
  </si>
  <si>
    <t>Dumas, Sebastien/0000-0001-9958-3485; Cohen-Kaminsky, Sylvia/0000-0002-6341-7482; Perros, Frederic/0000-0001-7730-2427</t>
  </si>
  <si>
    <t>V44XU</t>
  </si>
  <si>
    <t>WOS:000209782505241</t>
  </si>
  <si>
    <t>Godinas, L; Montani, D; Laveneziana, P; Amar, D; Belguendouz, A; Sarni, M; Jais, X; Girerd, B; Sitbon, O; Simonneau, G; Humbert, M; Garcia, G</t>
  </si>
  <si>
    <t>Godinas, Laurent; Montani, David; Laveneziana, Pierantonio; Amar, David; Belguendouz, Abdel; Sarni, Mourad; Jais, Xavier; Girerd, Barbara; Sitbon, Olivier; Simonneau, Gerald; Humbert, Marc; Garcia, Gilles</t>
  </si>
  <si>
    <t>Lung capillary blood volume and membrane diffusion in PH</t>
  </si>
  <si>
    <t>Pulmonary hypertension; Lung function testing; Gas exchange</t>
  </si>
  <si>
    <t>Godinas, Laurette/AAS-1059-2021; Simonneau, Gerald/ABE-6614-2020; Humbert, Marc/AAC-8459-2019; Laveneziana, Pierantonio/GWC-2028-2022; Sitbon, Olivier/I-3623-2019; David, Montani/I-6885-2019</t>
  </si>
  <si>
    <t>WOS:000209782505225</t>
  </si>
  <si>
    <t>Hautefort, A; Girerd, B; Montani, D; Humbert, M; Perros, F</t>
  </si>
  <si>
    <t>Hautefort, Aurelie; Girerd, Barbara; Montani, David; Humbert, Marc; Perros, Frederic</t>
  </si>
  <si>
    <t>Th17 inflammation and pulmonary hypertension</t>
  </si>
  <si>
    <t>Pulmonary hypertension; Inflammation; Dentritic cell</t>
  </si>
  <si>
    <t>P312</t>
  </si>
  <si>
    <t>WOS:000209782505239</t>
  </si>
  <si>
    <t>Thr7 inflammation and pulmonary hypertension</t>
  </si>
  <si>
    <t>David, Montani/I-6885-2019; Humbert, Marc/AAC-8459-2019; Perros, Frederic/N-6921-2017</t>
  </si>
  <si>
    <t>WOS:000209782505117</t>
  </si>
  <si>
    <t>Huertas, A; Tu, L; Le Hiress, M; Ricard, N; Thuillet, R; Phan, C; Humbert, M; Guignabert, C</t>
  </si>
  <si>
    <t>Huertas, Alice; Tu, Ly; Le Hiress, Morane; Ricard, Nicolas; Thuillet, Raphael; Phan, Carole; Humbert, Marc; Guignabert, Christophe</t>
  </si>
  <si>
    <t>LSC 2014 abstract - Inhibition of the HIF/leptin/ObR axis prevents experimental pulmonary hypertension and attenuates treg impairment</t>
  </si>
  <si>
    <t>Ricard, Nicolas/AAF-1083-2019; TU, Ly/G-4035-2013; Huertas, Alice/E-8244-2017; GUIGNABERT, Christophe/G-3873-2013; Humbert, Marc/AAC-8459-2019</t>
  </si>
  <si>
    <t>WOS:000209782505214</t>
  </si>
  <si>
    <t>Humbert, M; Busse, W; Hanania, NA; Lowe, PJ; Canvin, J; Erpenbeck, VJ; Holgate, S</t>
  </si>
  <si>
    <t>Humbert, Marc; Busse, William; Hanania, Nicola A.; Lowe, Philip J.; Canvin, Janice; Erpenbeck, Veit J.; Holgate, Stephen</t>
  </si>
  <si>
    <t>Omalizumab in Asthma: An Update on Recent Developments</t>
  </si>
  <si>
    <t>Allergic asthma; Anti-IgE; Exacerbations; Omalizumab</t>
  </si>
  <si>
    <t>ANTI-IGE ANTIBODY; ALLERGIC BRONCHOPULMONARY ASPERGILLOSIS; ANTIIMMUNOGLOBULIN-E THERAPY; UNCONTROLLED ASTHMA; NASAL POLYPOSIS; MAST-CELLS; PERSISTENT; EFFICACY; TOLERABILITY; CHILDREN</t>
  </si>
  <si>
    <t>IgE is central to the pathophysiology of allergic asthma. Omalizumab, a humanized anti-IgE mAb, specifically binds free IgE and interrupts the allergic cascade by preventing binding of IgE with its high-affinity Fc epsilon RI receptors on mast cells, antigen-presenting cells, and other inflammatory cells. The clinical efficacy of omalizumab has been well documented in a number of clinical trials that involve adults, adolescents, and children with moderate-to-severe and severe allergic asthma. In these studies, omalizumab reduced exacerbations, asthma symptoms, inhaled corticosteroid and rescue medication use, and improved quality of life relative to placebo or best standard of care. Similar benefits have been reported in observational studies in real-world populations of patients. Results from recent pooled data from randomized clinical trials and from a large prospective cohort study provide reassurance about the long-term safety of omalizumab. Omalizumab dosing is individualized according to body weight and serum-IgE level, and recent adjustments to the dosing algorithm in Europe have enabled more patients to be eligible for treatment. Ongoing and future research is investigating the optimal duration of therapy, accurate predictors of response to treatment, and efficacy in nonatopic asthma as well as other IgE-mediated conditions. (C) 2014 American Academy of Allergy, Asthma &amp; Immunology</t>
  </si>
  <si>
    <t>[Humbert, Marc] Univ Paris 11, Hop Bicetre, AP HP, Serv Pneumol,Inserm U999, Le Kremlin Bicetre, France; [Busse, William] Univ Wisconsin, Sch Med, Dept Med, Madison, WI USA; [Hanania, Nicola A.] Baylor Coll Med, Pulm &amp; Crit Care Med Sect, Houston, TX 77030 USA; [Lowe, Philip J.] Novartis Pharma AG, Adv Quantitat Sci, Basel, Switzerland; [Canvin, Janice] Novartis Pharmaceut UK Ltd, Clin Res, Horsham, W Sussex, England; [Erpenbeck, Veit J.] Novartis Pharma AG, Resp Profiling, Translat Med, Basel, Switzerland; [Holgate, Stephen] Univ Southampton, Fac Med, Southampton Gen Hosp, Southampton SO9 5NH, Hants, England</t>
  </si>
  <si>
    <t>Assistance Publique Hopitaux Paris (APHP); Hopital Universitaire Antoine-Beclere - APHP; Universite Paris Saclay; Institut National de la Sante et de la Recherche Medicale (Inserm); Hopital Universitaire Bicetre - APHP; University of Wisconsin System; University of Wisconsin Madison; Baylor College of Medicine; Novartis; Novartis; Novartis United Kingdom; Novartis; University of Southampton</t>
  </si>
  <si>
    <t>holgate, stephen/JOZ-4882-2023; Busse, William/AFR-0848-2022; Lowe, Phil/K-8483-2019; Hanania, Nicola/C-5875-2016; Humbert, Marc/AAC-8459-2019</t>
  </si>
  <si>
    <t>Canvin, Janice/0000-0001-9609-7182; Lowe, Philip/0000-0003-4074-8227; Humbert, Marc/0000-0003-0703-2892</t>
  </si>
  <si>
    <t>Novartis Pharma AG, Basel, Switzerland; Novartis Pharma AG</t>
  </si>
  <si>
    <t>Novartis Pharma AG, Basel, Switzerland, provided support for the preparation of this article. Editorial support was provided by professional medical writer Brian Jepson, PhD (CircleScience), funded by Novartis Pharma AG.</t>
  </si>
  <si>
    <t>SEP-OCT</t>
  </si>
  <si>
    <t>10.1016/j.jaip.2014.03.010</t>
  </si>
  <si>
    <t>CH7GZ</t>
  </si>
  <si>
    <t>WOS:000354205300005</t>
  </si>
  <si>
    <t>Pulmonary hypertension in internal medicine</t>
  </si>
  <si>
    <t>ARTERIAL-HYPERTENSION; MANAGEMENT; SURVIVAL; OUTCOMES; THERAPY</t>
  </si>
  <si>
    <t>[Humbert, Marc] Univ Paris 11, Fac Med, F-94270 Le Kremlin Bicetre, France; [Humbert, Marc] Hop Bicetre, AP HP, DHU Thorax Innovat, Ctr Reference Hypertens Pulm Severe,Serv Pneumol, F-94270 Le Kremlin Bicetre, France; [Humbert, Marc] INSERM, UMR S 999, Ctr Chirurg Marie Lannelongue, LabEx LERMIT, F-92350 Le Plessis Robinson, France</t>
  </si>
  <si>
    <t>Universite Paris Saclay; Universite Paris Saclay; Assistance Publique Hopitaux Paris (APHP); Hopital Universitaire Antoine-Beclere - APHP; Hopital Universitaire Bicetre - APHP; Universite Paris Saclay; Hopital Marie Lannelongue; Institut National de la Sante et de la Recherche Medicale (Inserm)</t>
  </si>
  <si>
    <t>10.1016/j.lpm.2014.07.008</t>
  </si>
  <si>
    <t>AW8IA</t>
  </si>
  <si>
    <t>WOS:000346503700010</t>
  </si>
  <si>
    <t>Jansa, P; Galie, N; Ghofrani, HA; Humbert, M; Keogh, AM; Langleben, D; Rubin, LJ; Vizza, D; Wang, C; Hoeper, M</t>
  </si>
  <si>
    <t>Jansa, P.; Galie, N.; Ghofrani, H. A.; Humbert, M.; Keogh, A. M.; Langleben, D.; Rubin, L. J.; Vizza, D.; Wang, C.; Hoeper, M.</t>
  </si>
  <si>
    <t>Effects of riociguat in treatment-naive versus pretreated patients with pulmonary arterial hypertension (PAH): 1-year results from the PATENT-2 long-term extension (LTE) study</t>
  </si>
  <si>
    <t>Annual Meeting of the European-Society-of-Cardiology (ESC)</t>
  </si>
  <si>
    <t>AUG 30-SEP 03, 2014</t>
  </si>
  <si>
    <t>[Jansa, P.] Fac Med 1, Prague, Czech Republic; [Jansa, P.] Gen Teaching Hosp, Clin Dept Cardiol &amp; Angiol, Prague, Czech Republic; [Galie, N.] Bologna Univ Hosp, Dept Expt Diagnost &amp; Specialty Med DIMES, Bologna, Italy; [Ghofrani, H. A.] Univ Giessen &amp; Marburg Lung Ctr UGMLC, Giessen, Germany; [Humbert, M.] Univ Paris Sud, Hop Bicetre, Serv Pneumol, F-94275 Le Kremlin Bicetre, France; [Humbert, M.] INSERM, U999, F-94275 Le Kremlin Bicetre, France; [Humbert, M.] AP HP, Le Kremlin Bicetre, France; [Keogh, A. M.] St Vincents Hosp, Sydney, NSW 2010, Australia; [Langleben, D.] McGill Univ, Jewish Gen Hosp, Ctr Pulm Vasc Dis, Lady Davis Inst Med Res, Montreal, PQ H3T 1E2, Canada; [Rubin, L. J.] Univ Calif San Diego, La Jolla, CA 92093 USA; [Vizza, D.] Univ Roma La Sapienza, Dept Cardiovasc &amp; Resp Dis, I-00185 Rome, Italy; [Wang, C.] Capital Med Univ, Dept Resp Med, Beijing Key Lab Resp &amp; Pulm Circulat Disorders, Beijing, Peoples R China; [Hoeper, M.] Hannover Med Sch, Clin Resp Med, Hannover, Germany</t>
  </si>
  <si>
    <t>Charles University Prague; General University Hospital Prague; IRCCS Azienda Ospedaliero-Universitaria di Bologna; Assistance Publique Hopitaux Paris (APHP); Hopital Universitaire Antoine-Beclere - APHP; Universite Paris Saclay; Hopital Universitaire Bicetre - APHP; Institut National de la Sante et de la Recherche Medicale (Inserm); Assistance Publique Hopitaux Paris (APHP); Hopital Universitaire Bicetre - APHP; NSW Health; St Vincents Hospital Sydney; Lady Davis Institute; McGill University; University of California System; University of California San Diego; Sapienza University Rome; Capital Medical University; Hannover Medical School</t>
  </si>
  <si>
    <t>Ghofrani, Hossein/LPQ-1427-2024; Langleben, David/AAJ-9152-2020; Hoeper, Marius/Z-1546-2019; Rubin, Lewis/AEW-1719-2022; Humbert, Marc/AAC-8459-2019; vizza, carmine dario/AAC-5540-2020</t>
  </si>
  <si>
    <t>vizza, carmine dario/0000-0002-3540-4983; Hoeper, Marius/0000-0001-9086-2293</t>
  </si>
  <si>
    <t>AQ7MG</t>
  </si>
  <si>
    <t>WOS:000343001300033</t>
  </si>
  <si>
    <t>Laveneziana, P; Garcia, G; Humbert, M; Straus, C; Similowski, T</t>
  </si>
  <si>
    <t>Laveneziana, Pierantonio; Garcia, Gilles; Humbert, Marc; Straus, Christian; Similowski, Thomas</t>
  </si>
  <si>
    <t>Exertional dyspnoea, dynamic hyperinflation and respiratory muscle function in idiopathic pulmonary arterial hypertension (PAHi)</t>
  </si>
  <si>
    <t>Respiratory muscle; Lung mechanics; Exercise</t>
  </si>
  <si>
    <t>Similowski, Thomas/GQQ-9468-2022; Laveneziana, Pierantonio/GWC-2028-2022; Humbert, Marc/AAC-8459-2019</t>
  </si>
  <si>
    <t>P4890</t>
  </si>
  <si>
    <t>WOS:000209782504147</t>
  </si>
  <si>
    <t>Mercier, O; Fadel, É; Mussot, S; Fabre, D; Ladurie, FL; Angel, C; Brenot, P; Riou, JY; Bourkaib, R; Lehouerou, D; Musat, A; Stephan, F; Rohnean, A; Jaïs, X; Humbert, M; Sitbon, O; Simonneau, G; Dartevelle, P</t>
  </si>
  <si>
    <t>Mercier, Olaf; Fadel, Elie; Mussot, Sacha; Fabre, Dominique; Ladurie, Francois-Leroy; Angel, Claude; Brenot, Philippe; Riou, Jean-Yves; Bourkaib, Riad; Lehouerou, Daniel; Musat, Andy; Stephan, Francois; Rohnean, Adela; Jais, Xavier; Humbert, Marc; Sitbon, Olivier; Simonneau, Gerald; Dartevelle, Philippe</t>
  </si>
  <si>
    <t>Surgical treatment of chronic thromboembolic pulmonary</t>
  </si>
  <si>
    <t>NATURAL-HISTORY; HYPERTENSION; THROMBOENDARTERECTOMY; ANGIOGRAPHY; EMBOLISM; ENDARTERECTOMY; EXPERIENCE</t>
  </si>
  <si>
    <t>[Mercier, Olaf; Fadel, Elie; Mussot, Sacha; Fabre, Dominique; Ladurie, Francois-Leroy; Lehouerou, Daniel; Musat, Andy; Stephan, Francois; Dartevelle, Philippe] Univ Paris 11, Hop Marie Lannelongue, Dept Chirurg Thorac Vasc &amp; Transplantat Cardiopul, F-92350 Le Plessis Robinson, France; [Angel, Claude; Brenot, Philippe; Riou, Jean-Yves; Bourkaib, Riad; Rohnean, Adela] Univ Paris 11, Hop Marie Lannelongue, Dept Imagerie &amp; Radiol Intervent, F-92350 Le Plessis Robinson, France; [Jais, Xavier; Humbert, Marc; Sitbon, Olivier; Simonneau, Gerald] Univ Paris 11, Hop Kremlin Bicetre, AP HP, Ctr Reference Natl Malad Vasc Pulm,Serv Pneumol &amp;, F-94275 Le Kremlin Bicetre, France</t>
  </si>
  <si>
    <t>Universite Paris Saclay; Hopital Marie Lannelongue; Universite Paris Saclay; Hopital Marie Lannelongue; Assistance Publique Hopitaux Paris (APHP); Hopital Universitaire Bicetre - APHP; Universite Paris Saclay</t>
  </si>
  <si>
    <t>Dartevelle, P (corresponding author), Univ Paris 11, Hop Marie Lannelongue, Dept Chirurg Thorac Vasc &amp; Transplantat Cardiopul, 133 Ave Resistance, F-92350 Le Plessis Robinson, France.</t>
  </si>
  <si>
    <t>p.dartevelle@ccml.fr</t>
  </si>
  <si>
    <t>Simonneau, Gerald/ABE-6614-2020; Brenot, Philippe/HJB-1040-2022; Sitbon, Olivier/I-3623-2019; Mussot, S/AAL-7512-2020; Humbert, Marc/AAC-8459-2019</t>
  </si>
  <si>
    <t>JAIS, XAVIER/0000-0002-4104-7994; Humbert, Marc/0000-0003-0703-2892; Mercier, Olaf/0000-0002-4760-6267; SITBON, Olivier/0000-0002-1942-1951</t>
  </si>
  <si>
    <t>10.1016/j.lpm.2014.07.007</t>
  </si>
  <si>
    <t>WOS:000346503700016</t>
  </si>
  <si>
    <t>Perros, F; Bentebbal, S; Ranchoux, B; Dorfmüller, P; Lecerf, F; Fadel., E; Simonneau, G; Humbert, M; Bogaard, HJ; Eddahibi, S</t>
  </si>
  <si>
    <t>Perros, Frederic; Bentebbal, Sana; Ranchoux, Benoit; Dorfmueller, Peter; Lecerf, Florence; Fadel., Elie; Simonneau, Gerald; Humbert, Marc; Bogaard, Harm Jan; Eddahibi, Saadia</t>
  </si>
  <si>
    <t>Nebivolol and pulmonary hypertension</t>
  </si>
  <si>
    <t>Circulation; Pulmonary hypertension; Pharmacology</t>
  </si>
  <si>
    <t>Humbert, Marc/AAC-8459-2019; Simonneau, Gerald/ABE-6614-2020; Ranchoux, Benoît/AAX-6037-2020; Perros, Frederic/N-6921-2017</t>
  </si>
  <si>
    <t>Perros, Frederic/0000-0001-7730-2427</t>
  </si>
  <si>
    <t>WOS:000209782505243</t>
  </si>
  <si>
    <t>Price, L; Shao, D; Meng, C; Perros, F; Montani, D; Dorfmuller, P; Humbert, M; Adcock, I; Wort, J</t>
  </si>
  <si>
    <t>Price, Laura; Shao, Dongmin; Meng, Chao; Perros, Frederic; Montani, David; Dorfmuller, Peter; Humbert, Marc; Adcock, Ian; Wort, John</t>
  </si>
  <si>
    <t>Nuclear factor-kappa B inhibition exerts anti-remodelling effects in pulmonary arterial smooth muscle cells</t>
  </si>
  <si>
    <t>Pulmonary hypertension; Inflammation; Anti-inflammatory</t>
  </si>
  <si>
    <t>Humbert, Marc/AAC-8459-2019; David, Montani/I-6885-2019; Adcock, Ian/L-3217-2019; Perros, Frederic/N-6921-2017</t>
  </si>
  <si>
    <t>Perros, Frederic/0000-0001-7730-2427; Adcock, Ian/0000-0003-2101-8843; Montani, David/0000-0002-9358-6922</t>
  </si>
  <si>
    <t>WOS:000209782505213</t>
  </si>
  <si>
    <t>Ranchoux, B; Henault, E; Dumas, SJ; Chantepie, S; Montani, D; Girerd, B; de la Sablière, AB; Fadel, E; Dartevelle, P; Papy-Garcia, D; Humbert, M; Perros, F; Albanese, P; Cohen-Kaminsky, S</t>
  </si>
  <si>
    <t>Ranchoux, Benoit; Henault, Emilie; Dumas, Sebastien J.; Chantepie, Sandrine; Montani, David; Girerd, Barbara; de la Sabliere, Alix Blanchet; Fadel, Elie; Dartevelle, Philippe; Papy-Garcia, Dulce; Humbert, Marc; Perros, Frederic; Albanese, Patricia; Cohen-Kaminsky, Sylvia</t>
  </si>
  <si>
    <t>Lung heparan and chondroitine sulfate imbalance, and functional changes in pulmonary hypertension</t>
  </si>
  <si>
    <t>Pulmonary hypertension; Cell biology; Biornarkers</t>
  </si>
  <si>
    <t>David, Montani/I-6885-2019; Humbert, Marc/AAC-8459-2019; Dumas, Sébastien/AAA-2056-2021; Ranchoux, Benoît/AAX-6037-2020; Cohen-Kaminsky, Sylvia/E-4837-2014; Perros, Frederic/N-6921-2017</t>
  </si>
  <si>
    <t>Dumas, Sebastien/0000-0001-9958-3485; Montani, David/0000-0002-9358-6922; Cohen-Kaminsky, Sylvia/0000-0002-6341-7482; Perros, Frederic/0000-0001-7730-2427</t>
  </si>
  <si>
    <t>P304</t>
  </si>
  <si>
    <t>WOS:000209782505231</t>
  </si>
  <si>
    <t>Rubin, LJ; Galie, N; Grimminger, F; Granig, E; Humbert, M; Jing, ZC; Keogh, A; Langleben, D; Fritsch, A; Menezes, F; Davie, N; Ghofrani, HA</t>
  </si>
  <si>
    <t>Rubin, Lewis J.; Galie, Nazzareno; Grimminger, Friedrich; Granig, Ekkehard; Humbert, Marc; Jing, Zhi-Cheng; Keogh, Anne; Langleben, David; Fritsch, Arno; Menezes, Flavia; Davie, Neil; Ghofrani, Hossein-Ardeschir</t>
  </si>
  <si>
    <t>Riociguat for the treatment of pulmonary arterial hypertension (PAH): 2-year results from the PATENT--2 long-term extension</t>
  </si>
  <si>
    <t>Langleben, David/AAJ-9152-2020; Rubin, Lewis/AEW-1719-2022; Menezes, Flavia/JDV-6626-2023; Humbert, Marc/AAC-8459-2019; Ghofrani, Ardeschir/AAD-5293-2020; Jing, Zhi-Cheng/AAT-9081-2021</t>
  </si>
  <si>
    <t>P1803</t>
  </si>
  <si>
    <t>WOS:000209782505124</t>
  </si>
  <si>
    <t>Shao, DM; Perros, F; Meng, C; Caramori, G; Humbert, M; Chou, PC; Adcock, I; Wort, S</t>
  </si>
  <si>
    <t>Shao, Dongmin; Perros, Frederic; Meng, Chao; Caramori, Gaetano; Humbert, Marc; Chou, Pai-Chien; Adcock, Ian; Wort, Stephen</t>
  </si>
  <si>
    <t>Nuclear IL-33 arguments ST2 receptor expression in pulmonary arterial endothelial cells: Implication in the pathogenesis and progression of pulmonary arterial hypertension</t>
  </si>
  <si>
    <t>Biomarkers; Pulmonary hypertension; Chronic disease</t>
  </si>
  <si>
    <t>Adcock, Ian/L-3217-2019; Caramori, Gaetano/AAS-8611-2020; Humbert, Marc/AAC-8459-2019; Perros, Frederic/N-6921-2017</t>
  </si>
  <si>
    <t>Adcock, Ian/0000-0003-2101-8843; Perros, Frederic/0000-0001-7730-2427</t>
  </si>
  <si>
    <t>P302</t>
  </si>
  <si>
    <t>WOS:000209782505229</t>
  </si>
  <si>
    <t>Sitbon, O; Savale, L; Jaïs, X; Montani, D; Humbert, M; Simonneau, G</t>
  </si>
  <si>
    <t>Sitbon, Olivier; Savale, Laurent; Jais, Xavier; Montani, David; Humbert, Marc; Simonneau, Gerald</t>
  </si>
  <si>
    <t>Treatment of pulmonary arterial hypertension</t>
  </si>
  <si>
    <t>CALCIUM-CHANNEL BLOCKERS; ENDOTHELIN-RECEPTOR ANTAGONIST; RANDOMIZED CONTROLLED-TRIAL; 5 INHIBITOR THERAPY; LONG-TERM RESPONSE; INTRAVENOUS EPOPROSTENOL; INHALED ILOPROST; DOUBLE-BLIND; LUNG TRANSPLANTATION; ORAL TREPROSTINIL</t>
  </si>
  <si>
    <t>[Sitbon, Olivier; Montani, David; Humbert, Marc; Simonneau, Gerald] Univ Paris 11, Fac Med, F-94270 Le Kremlin Bicetre, France; [Sitbon, Olivier; Savale, Laurent; Jais, Xavier; Montani, David; Humbert, Marc; Simonneau, Gerald] CHU Bicetre, AP HP, Serv Pneumol &amp; Soins Intens, Ctr Reference Hypertens Pulm Severe,DHU Thorax In, F-94275 Le Kremlin Bicetre, France; [Sitbon, Olivier; Savale, Laurent; Jais, Xavier; Montani, David; Humbert, Marc; Simonneau, Gerald] INSERM, U999, LabEx LERMIT, Ctr Chirurg Marie Lannelongue, F-92350 Le Plessis Robinson, France</t>
  </si>
  <si>
    <t>Universite Paris Saclay; Assistance Publique Hopitaux Paris (APHP); Hopital Universitaire Bicetre - APHP; Institut National de la Sante et de la Recherche Medicale (Inserm); Hopital Marie Lannelongue; Universite Paris Saclay</t>
  </si>
  <si>
    <t>Sitbon, O (corresponding author), CHU Bicetre, Ctr Reference Hypertens Pulm Severe, Serv Pneumol &amp; Soins Intens, 78 Rue Gen Leclerc, F-94275 Le Kremlin Bicetre, France.</t>
  </si>
  <si>
    <t>Simonneau, Gerald/ABE-6614-2020; Sitbon, Olivier/I-3623-2019; David, Montani/I-6885-2019; Savale, Laurent/AAJ-9781-2020; Humbert, Marc/AAC-8459-2019</t>
  </si>
  <si>
    <t>Humbert, Marc/0000-0003-0703-2892; JAIS, XAVIER/0000-0002-4104-7994; Montani, David/0000-0002-9358-6922; SITBON, Olivier/0000-0002-1942-1951</t>
  </si>
  <si>
    <t>10.1016/j.lpm.2014.07.011</t>
  </si>
  <si>
    <t>WOS:000346503700015</t>
  </si>
  <si>
    <t>Shao, DM; Perros, F; Caramori, G; Meng, C; Dormuller, P; Chou, PC; Church, C; Papi, A; Casolari, P; Welsh, D; Peacock, A; Humbert, M; Adcock, IM; Wort, SJ</t>
  </si>
  <si>
    <t>Shao, Dongmin; Perros, Frederic; Caramori, Gaetano; Meng, Chao; Dormuller, Peter; Chou, Pai-Chien; Church, Colin; Papi, Alberto; Casolari, Paolo; Welsh, David; Peacock, Andrew; Humbert, Marc; Adcock, Ian M.; Wort, Stephen J.</t>
  </si>
  <si>
    <t>Nuclear IL-33 regulates soluble ST2 receptor and IL-6 expression in primary human arterial endothelial cells and is decreased in idiopathic pulmonary arterial hypertension</t>
  </si>
  <si>
    <t>BIOCHEMICAL AND BIOPHYSICAL RESEARCH COMMUNICATIONS</t>
  </si>
  <si>
    <t>IL-33; Soluble ST2; Pulmonary hypertension; Human endothelial cells; Nuclear repressor</t>
  </si>
  <si>
    <t>NF-KAPPA-B; GENE-EXPRESSION; CYTOKINE IL-33; DUAL FUNCTION; ACTIVATION; PROLIFERATION; TRANSCRIPTION; INFLAMMATION; DISEASE; INTERLEUKIN-33</t>
  </si>
  <si>
    <t>Idiopathic pulmonary arterial hypertension (IPAH) is an incurable condition leading to right ventricular failure and death and inflammation is postulated to be associated with vascular remodelling. Interleukin (IL)-33, a member of the alarmin family can either act on the membrane ST2 receptor or as a nuclear repressor, to regulate inflammation. We show, using immunohistochemistry, that IL-33 expression is nuclear in the vessels of healthy subjects whereas nuclear IL-33 is markedly diminished in the vessels of IPAH patients. This correlates with reduced IL-33 mRNA expression in their lung. In contrast, serum levels of IL-33 are unchanged in IPAH. However, the expression of the soluble form of ST2, sST2, is enhanced in the serum of IPAH patients. Knock-down of IL-33 in human endothelial cells (ECs) using siRNA is associated with selective modulation of inflammatory genes involved in vascular remodelling including IL-6. Additionally, IL-33 knock-down significantly increased sST2 release from ECs. Chromatin immunoprecipitation demonstrated that IL-33 bound multiple putative homeodomain protein binding motifs in the proximal and distal promoters of ST2 genes. IL-33 formed a complex with the histone methyltransferase SUV39H1, a transcriptional repressor. In conclusion, IL-33 regulates the expression of IL-6 and sST2, an endogenous IL-33 inhibitor, in primary human ECs and may play an important role in the pathogenesis of PAH through recruitment of transcriptional repressor proteins. (C) 2014 Elsevier Inc. All rights reserved.</t>
  </si>
  <si>
    <t>[Shao, Dongmin; Meng, Chao; Wort, Stephen J.] Univ London Imperial Coll Sci Technol &amp; Med, Natl Heart &amp; Lung Inst, Vasc Biol Sect, London SW3 6LY, England; [Perros, Frederic; Dormuller, Peter; Humbert, Marc] Univ Paris 11, Fac Med, Clamart, France; [Caramori, Gaetano; Papi, Alberto; Casolari, Paolo] Univ Ferrara, Dipartimento Sci Med, Sez Med Interna &amp; Cardioresp, Ctr Interdipartimentale Studio Malattie Infiammat, I-44100 Ferrara, Italy; [Chou, Pai-Chien; Adcock, Ian M.] Natl Heart &amp; Lung Inst, London, England; [Meng, Chao] Shanghai Jiao Tong Univ, Sch Med, Renji Hosp, Dept Geriatr, Shanghai 200030, Peoples R China; [Church, Colin; Welsh, David; Peacock, Andrew] Univ Glasgow, Scottish Pulm Vasc Unit, Glasgow G12 8QQ, Lanark, Scotland</t>
  </si>
  <si>
    <t>Imperial College London; Universite Paris Saclay; University of Ferrara; Imperial College London; Shanghai Jiao Tong University; University of Glasgow</t>
  </si>
  <si>
    <t>Wort, SJ (corresponding author), Univ London Imperial Coll Sci Technol &amp; Med, Natl Heart &amp; Lung Inst, Vasc Biol Sect, Dovehouse St, London SW3 6LY, England.</t>
  </si>
  <si>
    <t>s.wort@imperial.ac.uk</t>
  </si>
  <si>
    <t>Papi, alberto/AAC-1888-2019; Caramori, Gaetano/AAS-8611-2020; Adcock, Ian/L-3217-2019; Bleda, Marta/A-9333-2014; Caramori, Gaetano/K-1323-2017; Humbert, Marc/AAC-8459-2019; Perros, Frederic/N-6921-2017</t>
  </si>
  <si>
    <t>Caramori, Gaetano/0000-0002-9807-327X; Adcock, Ian/0000-0003-2101-8843; PAPI, ALBERTO/0000-0002-6924-4500; Humbert, Marc/0000-0003-0703-2892; Church, Alistair/0000-0002-4446-0100; Perros, Frederic/0000-0001-7730-2427; Welsh, David/0000-0002-2843-4623</t>
  </si>
  <si>
    <t>British Heart Foundation; Wellcome Trust [093080/Z/10/Z]; MRC [G1001367/1]; University of Ferrara; Consorzio Ferrara Ricerche; NIHR Respiratory Disease BRU at the Royal Brompton NHS Foundation Trust and Imperial College London; MRC [G0801266] Funding Source: UKRI</t>
  </si>
  <si>
    <t>British Heart Foundation(British Heart Foundation); Wellcome Trust(Wellcome Trust); MRC(UK Research &amp; Innovation (UKRI)Medical Research Council UK (MRC)); University of Ferrara; Consorzio Ferrara Ricerche; NIHR Respiratory Disease BRU at the Royal Brompton NHS Foundation Trust and Imperial College London; MRC(UK Research &amp; Innovation (UKRI)Medical Research Council UK (MRC))</t>
  </si>
  <si>
    <t>This work was supported by the British Heart Foundation (DS&amp;SJW), the Wellcome Trust (IMA, 093080/Z/10/Z), MRC (IMA, G1001367/1), and University of Ferrara and the Consorzio Ferrara Ricerche (GC). This work was also supported by the NIHR Respiratory Disease BRU at the Royal Brompton NHS Foundation Trust and Imperial College London.</t>
  </si>
  <si>
    <t>ACADEMIC PRESS INC ELSEVIER SCIENCE</t>
  </si>
  <si>
    <t>SAN DIEGO</t>
  </si>
  <si>
    <t>525 B ST, STE 1900, SAN DIEGO, CA 92101-4495 USA</t>
  </si>
  <si>
    <t>0006-291X</t>
  </si>
  <si>
    <t>1090-2104</t>
  </si>
  <si>
    <t>BIOCHEM BIOPH RES CO</t>
  </si>
  <si>
    <t>Biochem. Biophys. Res. Commun.</t>
  </si>
  <si>
    <t>10.1016/j.bbrc.2014.06.111</t>
  </si>
  <si>
    <t>Biochemistry &amp; Molecular Biology; Biophysics</t>
  </si>
  <si>
    <t>AN8OT</t>
  </si>
  <si>
    <t>WOS:000340864200002</t>
  </si>
  <si>
    <t>Bousquet, J; Addis, A; Adcock, I; Agache, I; Agusti, A; Alonso, A; Annesi-Maesano, I; Anto, JM; Bachert, C; Baena-Cagnani, CE; Bai, C; Baigenzhin, A; Barbara, C; Barnes, PJ; Bateman, ED; Beck, L; Bedbrook, A; Bel, EH; Benezet, O; Bennoor, KS; Benson, M; Bernabeu-Wittel, M; Bewick, M; Bindslev-Jensen, C; Blain, H; Blasi, F; Bonini, M; Bonini, S; Boulet, LP; Bourdin, A; Bourret, R; Bousquet, PJ; Brightling, CE; Briggs, A; Brozek, J; Buhl, R; Bush, A; Caimmi, D; Calderon, M; Calverley, P; Camargos, PA; Camuzat, T; Canonica, GW; Carlsen, KH; Casale, TB; Cazzola, M; Sarabia, AMC; Cesario, A; Chen, YZ; Chkhartishvili, E; Chavannes, NH; Chiron, R; Chuchalin, A; Chung, KF; Cox, L; Crooks, G; Crooks, MG; Cruz, AA; Custovic, A; Dahl, R; Dahlen, SE; Blay, F; Dedeu, T; Deleanu, D; Demoly, P; Devillier, P; Didier, A; Dinh-Xuan, AT; Djukanovic, R; Dokic, D; Douagui, H; Dubakiene, R; Eglin, S; Elliot, F; Emuzyte, R; Fabbri, L; Wagner, AF; Fletcher, M; Fokkens, WJ; Fonseca, J; Franco, A; Frith, P; Furber, A; Gaga, M; Garcés, J; Garcia-Aymerich, J; Gamkrelidze, A; Gonzales-Diaz, S; Gouzi, F; Guzmán, MA; Haahtela, T; Harrison, D; Hayot, M; Heaney, LG; Heinrich, J; Hellings, PW; Hooper, J; Humbert, M; Hyland, M; Iaccarino, G; Jakovenko, D; Jardim, JR; Jeandel, C; Jenkins, C; Johnston, SL; Jonquet, O; Joos, G; Jung, KS; Kalayci, O; Karunanithi, S; Keil, T; Khaltaev, N; Kolek, V; Kowalski, ML; Kull, I; Kuna, P; Kvedariene, V; Le, LT; Carlsen, KCL; Louis, R; MacNee, W; Mair, A; Majer, I; Manning, P; Keenoy, ED; Masjedi, MR; Meten, E; Melo-Gomes, E; Menzies-Gow, A; Mercier, G; Mercier, J; Michel, JP; Miculinic, N; Mihaltan, F; Milenkovic, B; Molimard, M; Momas, I; Montilla-Santana, A; Morais-Almeida, M; Morgan, M; N'Diaye, M; Nafti, S; Nekam, K; Neou, A; Nicod, L; O'Hehir, R; Ohta, K; Paggiaro, P; Palkonen, S; Palmer, S; Papadopoulos, NG; Papi, A; Passalacqua, G; Pavord, I; Pigearias, B; Plavec, D; Postma, DS; Price, D; Rabe, KF; Pontal, FR; Redon, J; Rennard, S; Roberts, J; Robine, JM; Roca, J; Roche, N; Rodenas, F; Roggeri, A; Rolland, C; Rosado-Pinto, J; Ryan, D; Samolinski, B; Sanchez-Borges, M; Schünemann, HJ; Sheikh, A; Shields, M; Siafakas, N; Sibille, Y; Similowski, T; Small, I; Sola-Morales, O; Sooronbaev, T; Stelmach, R; Sterk, PJ; Stiris, T; Sud, P; Tellier, V; To, T; Todo-Bom, A; Triggiani, M; Valenta, R; Valero, AL; Valiulis, A; Valovirta, E; Van Ganse, E; Vandenplas, O; Vasankari, T; Vestbo, J; Vezzani, G; Viegi, G; Visier, L; Vogelmeier, C; Vontetsianos, T; Wagstaff, R; Wahn, U; Wallaert, B; Whalley, B; Wickman, M; Williams, DM; Wilson, N; Yawn, BP; Yiallouros, PK; Yorgancioglu, A; Yusuf, OM; Zar, HJ; Zhong, N; Zidarn, M; Zuberbier, T</t>
  </si>
  <si>
    <t>Bousquet, J.; Addis, A.; Adcock, I.; Agache, I.; Agusti, A.; Alonso, A.; Annesi-Maesano, I.; Anto, J. M.; Bachert, C.; Baena-Cagnani, C. E.; Bai, C.; Baigenzhin, A.; Barbara, C.; Barnes, P. J.; Bateman, E. D.; Beck, L.; Bedbrook, A.; Bel, E. H.; Benezet, O.; Bennoor, K. S.; Benson, M.; Bernabeu-Wittel, M.; Bewick, M.; Bindslev-Jensen, C.; Blain, H.; Blasi, F.; Bonini, M.; Bonini, S.; Boulet, L. P.; Bourdin, A.; Bourret, R.; Bousquet, P. J.; Brightling, C. E.; Briggs, A.; Brozek, J.; Buhl, R.; Bush, A.; Caimmi, D.; Calderon, M.; Calverley, P.; Camargos, P. A.; Camuzat, T.; Canonica, G. W.; Carlsen, K. H.; Casale, T. B.; Cazzola, M.; Sarabia, A. M. Cepeda; Cesario, A.; Chen, Y. Z.; Chkhartishvili, E.; Chavannes, N. H.; Chiron, R.; Chuchalin, A.; Chung, K. F.; Cox, L.; Crooks, G.; Crooks, M. G.; Cruz, A. A.; Custovic, A.; Dahl, R.; Dahlen, S. E.; De Blay, F.; Dedeu, T.; Deleanu, D.; Demoly, P.; Devillier, P.; Didier, A.; Dinh-Xuan, A. T.; Djukanovic, R.; Dokic, D.; Douagui, H.; Dubakiene, R.; Eglin, S.; Elliot, F.; Emuzyte, R.; Fabbri, L.; Wagner, A. Fink; Fletcher, M.; Fokkens, W. J.; Fonseca, J.; Franco, A.; Frith, P.; Furber, A.; Gaga, M.; Garces, J.; Garcia-Aymerich, J.; Gamkrelidze, A.; Gonzales-Diaz, S.; Gouzi, F.; Guzman, M. A.; Haahtela, T.; Harrison, D.; Hayot, M.; Heaney, L. G.; Heinrich, J.; Hellings, P. W.; Hooper, J.; Humbert, M.; Hyland, M.; Iaccarino, G.; Jakovenko, D.; Jardim, J. R.; Jeandel, C.; Jenkins, C.; Johnston, S. L.; Jonquet, O.; Joos, G.; Jung, K. S.; Kalayci, O.; Karunanithi, S.; Keil, T.; Khaltaev, N.; Kolek, V.; Kowalski, M. L.; Kull, I.; Kuna, P.; Kvedariene, V.; Le, L. T.; Carlsen, K. C. Lodrup; Louis, R.; MacNee, W.; Mair, A.; Majer, I.; Manning, P.; Keenoy, E. de Manuel; Masjedi, M. R.; Meten, E.; Melo-Gomes, E.; Menzies-Gow, A.; Mercier, G.; Mercier, J.; Michel, J. P.; Miculinic, N.; Mihaltan, F.; Milenkovic, B.; Molimard, M.; Momas, I.; Montilla-Santana, A.; Morais-Almeida, M.; Morgan, M.; N'Diaye, M.; Nafti, S.; Nekam, K.; Neou, A.; Nicod, L.; O'Hehir, R.; Ohta, K.; Paggiaro, P.; Palkonen, S.; Palmer, S.; Papadopoulos, N. G.; Papi, A.; Passalacqua, G.; Pavord, I.; Pigearias, B.; Plavec, D.; Postma, D. S.; Price, D.; Rabe, K. F.; Pontal, F. Radier; Redon, J.; Rennard, S.; Roberts, J.; Robine, J. M.; Roca, J.; Roche, N.; Rodenas, F.; Roggeri, A.; Rolland, C.; Rosado-Pinto, J.; Ryan, D.; Samolinski, B.; Sanchez-Borges, M.; Schunemann, H. J.; Sheikh, A.; Shields, M.; Siafakas, N.; Sibille, Y.; Similowski, T.; Small, I.; Sola-Morales, O.; Sooronbaev, T.; Stelmach, R.; Sterk, P. J.; Stiris, T.; Sud, P.; Tellier, V.; To, T.; Todo-Bom, A.; Triggiani, M.; Valenta, R.; Valero, A. L.; Valiulis, A.; Valovirta, E.; Van Ganse, E.; Vandenplas, O.; Vasankari, T.; Vestbo, J.; Vezzani, G.; Viegi, G.; Visier, L.; Vogelmeier, C.; Vontetsianos, T.; Wagstaff, R.; Wahn, U.; Wallaert, B.; Whalley, B.; Wickman, M.; Williams, D. M.; Wilson, N.; Yawn, B. P.; Yiallouros, P. K.; Yorgancioglu, A.; Yusuf, O. M.; Zar, H. J.; Zhong, N.; Zidarn, M.; Zuberbier, T.</t>
  </si>
  <si>
    <t>Integrated care pathways for airway diseases (AIRWAYS-ICPs)</t>
  </si>
  <si>
    <t>OBSTRUCTIVE PULMONARY-DISEASE; CHRONIC RESPIRATORY-DISEASES; ASTHMA; HEALTH; PROGRAM; PERFORMANCE; SIMULATION; MANAGEMENT; DIAGNOSIS; QUALITY</t>
  </si>
  <si>
    <t>The objective of Integrated Care Pathways for Airway Diseases (AIRWAYS-ICPs) is to launch a collaboration to develop multi-sectoral care pathways for chronic respiratory diseases in European countries and regions. AIRWAYS-ICPs has strategic relevance to the European Union Health Strategy and will add value to existing public health knowledge by: 1) proposing a common framework of care pathways for chronic respiratory diseases, which will facilitate comparability and trans-national initiatives; 2) informing cost-effective policy development, strengthening in particular those on smoking and environmental exposure; 3) aiding risk stratification in chronic disease patients, using a common strategy; 4) having a significant impact on the health of citizens in the short term (reduction of morbidity, improvement of education in children and of work in adults) and in the long-term (healthy ageing); 5) proposing a common simulation tool to assist physicians; and 6) ultimately reducing the healthcare burden (emergency visits, avoidable hospitalisations, disability and costs) while improving quality of life. In the longer term, the incidence of disease may be reduced by innovative prevention strategies. AIRWAYS-ICPs was initiated by Area 5 of the Action Plan B3 of the European Innovation Partnership on Active and Healthy Ageing. All stakeholders are involved (health and social care, patients, and policy makers).</t>
  </si>
  <si>
    <t>[Bousquet, J.; Blain, H.; Bourdin, A.; Bourret, R.; Caimmi, D.; Chiron, R.; Demoly, P.; Gouzi, F.; Hayot, M.; Jeandel, C.; Jonquet, O.; Mercier, G.; Mercier, J.; Visier, L.] Univ Hosp Montpellier, Montpellier, France; [Bousquet, J.; Bedbrook, A.; Benezet, O.; Blain, H.; Bourdin, A.; Bourret, R.; Caimmi, D.; Camuzat, T.; Chiron, R.; Demoly, P.; Hayot, M.; Jakovenko, D.; Jeandel, C.; Jonquet, O.; Mercier, G.; Mercier, J.; Pontal, F. Radier; Robine, J. M.; Visier, L.] MACVIA LR, Fighting Chron Dis Hlth Ageing, Region Languedoc Roussil, France; [Bousquet, J.; Agache, I.; Annesi-Maesano, I.; Bachert, C.; Baena-Cagnani, C. E.; Bateman, E. D.; Bedbrook, A.; Bennoor, K. S.; Bindslev-Jensen, C.; Bonini, M.; Bonini, S.; Boulet, L. P.; Bousquet, P. J.; Brozek, J.; Bush, A.; Camargos, P. A.; Canonica, G. W.; Carlsen, K. H.; Casale, T. B.; Sarabia, A. M. Cepeda; Chavannes, N. H.; Chuchalin, A.; Cox, L.; Cruz, A. A.; Custovic, A.; Dahl, R.; De Blay, F.; Deleanu, D.; Demoly, P.; Devillier, P.; Dokic, D.; Douagui, H.; Dubakiene, R.; Emuzyte, R.; Fokkens, W. J.; Fonseca, J.; Gamkrelidze, A.; Gonzales-Diaz, S.; Guzman, M. A.; Haahtela, T.; Hellings, P. W.; Johnston, S. L.; Kalayci, O.; Khaltaev, N.; Kuna, P.; Kvedariene, V.; Le, L. T.; Carlsen, K. C. Lodrup; Meten, E.; Mihaltan, F.; Nafti, S.; Nekam, K.; O'Hehir, R.; Ohta, K.; Palkonen, S.; Papadopoulos, N. G.; Passalacqua, G.; Price, D.; Rosado-Pinto, J.; Ryan, D.; Sooronbaev, T.; Valenta, R.; Valiulis, A.; Vandenplas, O.; Wickman, M.; Yawn, B. P.; Yiallouros, P. K.; Yorgancioglu, A.; Zidarn, M.] ARIA, Montpellier, France; [Bousquet, J.; Custovic, A.; Demoly, P.; Hellings, P. W.; Kalayci, O.; Kvedariene, V.; Papadopoulos, N. G.] European Acad Allergy &amp; Clin Immunol, Montpellier, France; [Bousquet, J.; Keenoy, E. de Manuel; Redon, J.] European Innovat Partnership Act &amp; Hlth Ageing, Montpellier, France; [Bousquet, J.; Addis, A.; Barbara, C.; Demoly, P.; Kuna, P.; Melo-Gomes, E.; Mercier, J.; Rosado-Pinto, J.; Samolinski, B.] European Innovat Partnership Act &amp; Hlth Ageing, Commitment Act B3, Montpellier, France; [Bousquet, J.; Blain, H.; Bourdin, A.; Demoly, P.; Hayot, M.; Jeandel, C.; Jonquet, O.; Mercier, G.; Mercier, J.; Visier, L.] Univ Montpellier I, Montpellier, France; [Addis, A.] European Innovat Partnership Act &amp; Hlth Ageing, Regione Emilia Romagna, Italy; [Adcock, I.; Barnes, P. J.; Chung, K. F.] Univ London Imperial Coll Sci Technol &amp; Med, Natl Heart &amp; Lung Inst, London, England; [Adcock, I.; Barnes, P. J.; Chung, K. F.] Royal Brompton &amp; Harefield NIHR Biomed Res Unit, London, England; [Agache, I.] Romanian Alliance Chron Resp Dis, Brasov, Romania; [Agache, I.] Transylvania Univ, Fac Med, Brasov, Romania; [Agusti, A.; Roca, J.; Valero, A. L.] Univ Barcelona, Hosp Clin Barcelona, IDIBAPS, Thorax Inst, Barcelona, Spain; [Agusti, A.; Roca, J.; Valero, A. L.] CIBER Enfermedades Resp, Barcelona, Spain; [Alonso, A.] Hosp Clin Barcelona, FCRB, Barcelona, Spain; [Anto, J. M.; Garcia-Aymerich, J.] Univ Pompeu Fabra, CIBER Epidemiol &amp; Salud Publ CIBERESP, IMIM Hosp del Mar Med Res Inst, Ctr Res Environm Epidemiol CREAL, Barcelona, Spain; [Bachert, C.; Joos, G.] Ghent Univ Hosp, Dept Resp Med, Ghent, Belgium; [Bachert, C.] Ghent Univ Hosp, ENT Dept, Ghent, Belgium; [Baena-Cagnani, C. E.] Catholic Univ, Fac Med, Res Ctr Resp Med CIMER, Cordoba, Argentina; [Bai, C.] Chinese Med Assoc, Shanghai Resp Res Inst, Shanghai, Peoples R China; [Baigenzhin, A.] EuroAsian Resp Soc, Astana City, Kazakhstan; [Barbara, C.; Fonseca, J.; Melo-Gomes, E.; Rosado-Pinto, J.] Portuguese Natl Programme Resp Dis, PNDR, Lisbon, Portugal; [Bateman, E. D.] Univ Cape Town, Fac Hlth Sci, Dept Med, Div Pulmonol, ZA-7700 Rondebosch, South Africa; [Beck, L.] Hlth Innovat Ctr Southern Denmark, Region Southern Denmark, Denmark; [Bel, E. H.; Fokkens, W. J.; Sterk, P. J.] Univ Amsterdam, Acad Med Ctr, NL-1105 AZ Amsterdam, Netherlands; [Bennoor, K. S.] Bangladesh Lung Fdn, Dhaka, Bangladesh; [Bennoor, K. S.] Natl Inst Dis Chest &amp; Hosp, Dhaka, Bangladesh; [Benson, M.] Linkoping Univ, Dept Clin &amp; Expt Sci, Ctr Individualised Med, Linkoping, Sweden; [Bernabeu-Wittel, M.; Montilla-Santana, A.] European Innovat Partnership Act &amp; Hlthy Ageing, Aura Andalucia, Spain; [Bernabeu-Wittel, M.] Andalusian Healthcare Serv, Andalucia, Spain; [Bewick, M.] NHS England, London, England; [Bindslev-Jensen, C.; Dahl, R.] Odense Univ Hosp, Odense Res Ctr Anaphylaxis, Dept Dermatol, DK-5000 Odense, Denmark; [Bindslev-Jensen, C.; Dahl, R.] Odense Univ Hosp, Odense Res Ctr Anaphylaxis, Allergy Ctr, DK-5000 Odense, Denmark; [Blasi, F.] Univ Milan, IRCCS Ca Granda, European Resp Soc, Milan, Italy; [Bonini, M.] Univ Roma La Sapienza, Dept Publ Hlth &amp; Infect Dis, I-00185 Rome, Italy; [Bonini, S.] Univ Naples 2, Naples, Italy; [Bonini, S.] Italian Natl Res Council, Inst Translat Med, Naples, Italy; [Boulet, L. P.] Univ Laval, Inst Univ Cardiol &amp; Pneumol Quebec, Quebec City, PQ, Canada; [Bourdin, A.; Gouzi, F.] INSERM, U1046, Montpellier, France; [Brightling, C. E.] Glenfield Hosp, Leicester Resp Biomed Res Unit, Natl Inst Hlth Res, Leicester, Leics, England; [Briggs, A.] Univ Glasgow, Inst Hlth &amp; Wellbeing, Hlth Econ &amp; Hlth Technol Assessment, Glasgow, Lanark, Scotland; [Brozek, J.; Schunemann, H. J.] McMaster Univ, Dept Clin Epidemiol, Hamilton, ON, Canada; [Brozek, J.; Schunemann, H. J.] McMaster Univ, Dept Biostat &amp; Med, Hamilton, ON, Canada; [Buhl, R.] Mainz Univ Hosp, Med Ctr, Dept Pulm, Mainz, Germany; [Bush, A.] Univ London Imperial Coll Sci Technol &amp; Med, Dept Paediat Resp Med, Royal Brompton Hosp, London, England; [Bush, A.] Univ London Imperial Coll Sci Technol &amp; Med, Natl Heart &amp; Lung Inst, London, England; [Calderon, M.] Univ Costa Rica, San Jose, Costa Rica; [Calderon, M.] Univ London Imperial Coll Sci Technol &amp; Med, Royal Brompton Hosp, Sect Allergy &amp; Clin Immunol, London, England; [Calverley, P.] Univ Liverpool, Inst Ageing &amp; Chron Dis, Liverpool L69 3BX, Merseyside, England; [Calverley, P.] Aintree Univ Hosp NHS Fdn Trust, Liverpool L9 7AL, Merseyside, England; [Camargos, P. A.] Univ Fed Minas Gerais, Sch Med, Dept Pediat, Belo Horizonte, MG, Brazil; [Canonica, G. W.; Passalacqua, G.] Univ Genoa, IRCCS San Martino IST, Dept Internal Med, Genoa, Italy; [Carlsen, K. H.; Carlsen, K. C. Lodrup] Univ Oslo, Oslo, Norway; [Carlsen, K. H.; Carlsen, K. C. Lodrup] Oslo Univ Hosp, Dept Paediat, Oslo, Norway; [Cazzola, M.] Univ Roma Tor Vergata, Dept Syst Med, Rome, Italy; [Sarabia, A. M. Cepeda] Univ Simon Bolivar, Metropolitan Univ, Allergy &amp; Immunol Lab, Barranquilla, Colombia; [Sarabia, A. M. Cepeda; Gonzales-Diaz, S.] Soc Latinoamer Allergia Asma &amp; Immunol, SLaai, Rome, Italy; [Cesario, A.] IRCCS San Raffaele Pisana, Rome, Italy; [Chen, Y. Z.] Peking &amp; Ctr Asthma Res &amp; Educ, Asthma Clin &amp; Educ Ctr, Capital Inst Pediat, Natl Cooperat Grp Paediat Res Asthma, Beijing, Peoples R China; [Chkhartishvili, E.] Grigol Robakidze Univ, David Tvildiani Med Univ, AIETI Med Sch, Chachava Clin, Tbilisi, Georgia; [Chavannes, N. H.; Price, D.; Ryan, D.] Int Primary Care Resp Grp, Leiden, Netherlands; [Chavannes, N. H.] Leiden Univ, Dept Publ Hlth &amp; Primary Care, Med Ctr, Leiden, Netherlands; [Chuchalin, A.; Cruz, A. A.; Fletcher, M.; Khaltaev, N.; Kuna, P.; Le, L. T.; Rosado-Pinto, J.; Sooronbaev, T.; To, T.; Yusuf, O. M.] WHO, Global Alliance Against Chron Resp Dis, GARD, Moscow, Russia; [Chuchalin, A.] Pulmonol Res Inst, Moscow, Russia; [Chuchalin, A.] Russian Resp Soc, Moscow, Russia; [Cox, L.] Nova SE Univ, Coll Osteopath Med, Davie, FL USA; [Crooks, G.] NHS Scotland, European Innovat Partnership Act &amp; Hlth Ageing, Glasgow, Lanark, Scotland; [Crooks, M. G.] Hull York Med Sch, Ctr Cardiovasc &amp; Metab Res, Kingston Upon Hull, N Humberside, England; [Cruz, A. A.] Univ Fed Bahia, Nucleo Excelencia Asma, ProAR, Salvador, BA, Brazil; [Cruz, A. A.] CNPq, Salvador, BA, Brazil; [Custovic, A.; Papadopoulos, N. G.] Univ Manchester, Manchester, Lancs, England; [Dahlen, S. E.] Karolinska Inst, Inst Environm Med, Ctr Allergy Res, CfA, S-10401 Stockholm, Sweden; [De Blay, F.; Wallaert, B.] Soc Francaise Allergol, Strasbourg, France; [De Blay, F.] Strasbourg Univ, Strasbourg, France; [Dedeu, T.] European Reg &amp; Hlth Author, EUREGHA, Brussels, Belgium; [Deleanu, D.] Univ Med &amp; Pharm Iuliu Hatieganu, Cluj Napoca, Romania; [Devillier, P.] Univ Versailles St Quentin, UPRES, EA 220, Suresnes, France; [Didier, A.; Humbert, M.] Soc Pneumol Langue Francaise, Toulouse, France; [Didier, A.] Univ Toulouse, Dept Resp Med, Toulouse, France; [Dinh-Xuan, A. T.] Paris Descartes Univ, Hop Cochin, AP HP, Serv Physiol,EA 2511, F-75674 Paris, France; [Djukanovic, R.] Univ Southampton, Fac Med, Southampton SO9 5NH, Hants, England; [Djukanovic, R.] NIHR, Southampton Resp Biomed Res Unit, Southampton, Hants, England; [Dokic, D.] Univ Ss Cyril &amp; Methodius, Univ Clin Pulmol &amp; Allergy, Skopje, Macedonia; [Douagui, H.] Ctr Hosp Univ Beni Messous, Serv Pneumoallergol, Algiers, Algeria; [Dubakiene, R.; Emuzyte, R.; Kvedariene, V.; Valiulis, A.] Lithuanian Soc Allergol &amp; Clin Immunol, Vilnius, Lithuania; [Dubakiene, R.; Emuzyte, R.; Valiulis, A.] Vilnius State Univ, Fac Med, Vilnius, Lithuania; [Eglin, S.] Univ Liverpool, Fac Hlth &amp; Life Sci, NHS R&amp;D North West, Liverpool L69 3BX, Merseyside, England; [Elliot, F.] NHS Scotland, European Innovat Partnership Act &amp; Hlth Ageing, Edinburgh, Midlothian, Scotland; [Fabbri, L.] Univ Modena &amp; Reggio Emilia, Policlin Modena, Dept Oncol Haematol &amp; Resp Dis, Modena, Italy; [Wagner, A. Fink] Global Allergy &amp; Asthma Patient Platform, Vienna, Austria; [Fletcher, M.] Educ Hlth, Warwick, England; [Fokkens, W. J.] European Rhinol Soc, Porto, Portugal; [Fonseca, J.] Porto Age Up Consortium, Porto, Portugal; [Fonseca, J.] Univ Porto, Sch Med, Hosp S Joao, Dept Hlth Informat &amp; Decis Sci, P-4100 Porto, Portugal; [Fonseca, J.] Univ Porto, Sch Med, Hosp S Joao, CINTESIS, P-4100 Porto, Portugal; [Fonseca, J.] Inst &amp; Hosp CUF Porto, Porto, Portugal; [Franco, A.] Univ Nice Sophia Antipolis, F-06189 Nice, France; [Frith, P.] Repatriat Gen Hosp, Adelaide, SA, Australia; [Furber, A.] Wakefield Council, Wakefield, W Yorkshire, England; [Gaga, M.] Athens Chest Hosp, Resp Med Dept 7, Athens, Greece; [Gaga, M.] Athens Chest Hosp, Asthma Ctr, Athens, Greece; [Garces, J.; Rodenas, F.] European Innovat Partnership Act &amp; Hlth Ageing, Valencia, Spain; [Garces, J.; Rodenas, F.] Univ Valencia, Polibienestar Res Inst, Valencia, Spain; [Gamkrelidze, A.] Natl Ctr Dis Control &amp; Publ Hlth Georgia, Tbilisi, Georgia; [Guzman, M. A.] Univ Chile, Dept Med, Immunol &amp; Allergol Div, Clin Hosp, Santiago, Chile; [Haahtela, T.] Helsinki Univ Hosp, Dept Allergy, Skin &amp; Allergy Hosp, Helsinki, Finland; [Harrison, D.] Publ Hlth Blackburn Darwen, Blackburn, Lancs, England; [Heaney, L. G.] Queens Univ Belfast, Sch Med Dent &amp; Biomed Sci, Ctr Infect &amp; Immun, Belfast, Antrim, North Ireland; [Hellings, P. W.] Univ Hosp Leuven, Dept Otolaryngol Head &amp; Neck Surg, Leuven, Belgium; [Hooper, J.] Publ Hlth Kirklees, Huddersfield, W Yorkshire, England; [Hyland, M.; Whalley, B.] Univ Plymouth, Sch Psychol, Plymouth PL4 8AA, Devon, England; [Iaccarino, G.; Triggiani, M.] Univ Salerno, Dept Med &amp; Surg, I-84100 Salerno, Italy; [Iaccarino, G.] IRCCS Multimed, Milan, Italy; [Jardim, J. R.] Univ Fed Sao Paulo, Escola Paulista Med, Sao Paulo, Brazil; [Jenkins, C.] George Inst Global Hlth, Sydney, NSW, Australia; [Jenkins, C.] Univ Sydney, Sydney, NSW 2006, Australia; [Johnston, S. L.] Univ London Imperial Coll Sci Technol &amp; Med, Natl Heart &amp; Lung Inst, Airway Dis Infect Sect, London, England; [Jung, K. S.] Hallym Univ, Sacred Heart Hosp, Coll Med, Gyeonggi Do, South Korea; [Kalayci, O.] Hacettepe Univ, Sch Med, Paediat Allergy &amp; Asthma Unit, Ankara, Turkey; [Keil, T.] Charite, Inst Social Med Epidemiol &amp; Hlth Econ, D-13353 Berlin, Germany; [Keil, T.] Univ Wurzburg, Inst Clin Epidemiol &amp; Biometry, D-97070 Wurzburg, Germany; [Kolek, V.] Czech Alliance Against Chron Resp Dis, CARO, Lodz, Poland; [Kowalski, M. L.] Med Univ Lodz, Fac Med, Dept Immunol Rheumatol &amp; Allergy, Lodz, Poland; [Kull, I.; Meten, E.; Wickman, M.] Karolinska Inst, Inst Environm Med, Dept Clin Sci &amp; Educ, S-10401 Stockholm, Sweden; [Kuna, P.; Samolinski, B.] Med Univ Lodz, Barlicki Univ Hosp, Dept Internal Med Asthma &amp; Allergy, Lodz, Poland; [Kvedariene, V.] Vilnius State Univ, Pulmonol &amp; Allergol Ctr, Vilnius, Lithuania; [Le, L. T.] Univ Med &amp; Pharm, Ho Chi Minh City, Vietnam; [Louis, R.] Univ Liege, CHU Liege, GIGA I3 Res Ctr, Liege, Belgium; [MacNee, W.] Univ Edinburgh, Queens Med Res Inst, Edinburgh, Midlothian, Scotland; [Mair, A.] Scottish Govt, Dept Hlth, Directorate Finance eHlth &amp; Pharmaceut, Edinburgh, Midlothian, Scotland; [Majer, I.] Univ Bratislava, Bratislava, Slovakia; [Manning, P.] Bon Secours Hosp, Royal Coll Surg Ireland, Sch Med, Dept Med, Dublin, Ireland; [Keenoy, E. de Manuel] Kronikgune, Basque Region, Spain; [Masjedi, M. R.] Shahid Beheshti Univ Med Sci, Natl Res Inst TB &amp; Lung Dis, Chron Resp Dis Res Ctr, Tehran, Iran; [Menzies-Gow, A.] Royal Brompton Hosp, London SW3 6LY, England; [Michel, J. P.] Geneva Sch Med, Geneva, Switzerland; [Michel, J. P.] Univ Hosp Geneva, Geneva, Switzerland; [Miculinic, N.] Univ Hosp Pulm Dis, Zagreb, Croatia; [Mihaltan, F.] Inst Pneumol Marius Nasta, Bucharest, Romania; [Milenkovic, B.] Univ Belgrade, Fac Med, Belgrade, Serbia; [Milenkovic, B.] COPD Serbia, Belgrade, Serbia; [Molimard, M.] Bordeaux Univ, Bordeaux, France; [Momas, I.] Paris Descartes Univ, Dept Publ Hlth &amp; Biostat, EA 4064, Paris, France; [Momas, I.] Paris Municipal, Dept Social Act Childhood &amp; Hlth, Paris, France; [Morais-Almeida, M.] Hosp CUF Descobertas, Immunoallergy Dept, Lisbon, Portugal; [Morgan, M.] NHS England, London, England; [N'Diaye, M.] Hop Polyclin Dakar IHS, Serv Med Interne &amp; Pathol Profess, Dakar, Senegal; [Nafti, S.] Mustapha Hosp, Algiers, Algeria; [Nekam, K.] Hosp Hosp Bros Buda, Budapest, Hungary; [Neou, A.; Wahn, U.; Zuberbier, T.] Charite, Allergy Ctr Charite, Berlin, Germany; [Nicod, L.] CHUV Lausanne, Serv Pneumol, CH-1011 Lausanne, Switzerland; [O'Hehir, R.] Alfred Hosp, Dept Allergy Immunol &amp; Resp Med, Melbourne, Vic, Australia; [O'Hehir, R.] Monash Univ, Melbourne, Vic 3004, Australia; [Ohta, K.] Tokyo Natl Hosp, Natl Hosp Org, Tokyo, Japan; [Ohta, K.] Teikyo Univ, Sch Med, Tokyo 173, Japan; [Paggiaro, P.] Univ Hosp Pisa, Cardiothorac &amp; Vasc Dept, Pisa, Italy; [Palmer, S.] Univ York, Ctr Reviews &amp; Disseminat, York YO10 5DD, N Yorkshire, England; [Papadopoulos, N. G.] Univ Athens, Paediat Clin 2, Dept Allergy, Athens, Greece; [Papi, A.] Univ Ferrara, I-44100 Ferrara, Italy; [Pavord, I.] Univ Oxford, Oxford, England; [Plavec, D.] Univ JJ Strossmayer, Sch Med, Childrens Hosp Srebrnjak, Osijek, Croatia; [Postma, D. S.] Univ Groningen, Univ Med Ctr Groningen, GRIAC Res Inst, Dept Pulmonol, Groningen, Netherlands; [Price, D.] Univ Aberdeen, Acad Primary Care, Aberdeen, Scotland; [Rabe, K. F.] Univ Kiel, LungenClin Grosshansdorf, Airway Res Ctr North, German Ctr Lung Res DZL, Kiel, Germany; [Redon, J.] Univ Valencia, Res Inst INCLIVA, CIBERObn, Hlth Inst Carlos III, Madrid, Spain; [Rennard, S.] Univ Nebraska Med Ctr, Div Pulm Crit Care Sleep &amp; Allergy, Nebraska Med Ctr, Omaha, NE USA; [Roberts, J.] Salford Royal NHS Fdn Trust, Salford, Lancs, England; [Robine, J. M.] INSERM, U710 &amp; 988, Montpellier, France; [Roche, N.] Univ Paris 05, Hop Cochin, AP HP, Paris, France; [Roche, N.] Soc Pneumol Langue Francaise, SPLF, Paris, France; [Roggeri, A.] Arcispedale S Maria Nuova Hosp, Reggio Emilia, Italy; [Rolland, C.] Assoc Asthme &amp; Allergies, Boulogne, France; [Ryan, D.] Woodbrook Med Ctr, Loughborough, Leics, England; [Ryan, D.; Sheikh, A.] Univ Edinburgh, Allergy &amp; Resp Res Grp, Ctr Populat Hlth Sci, Sch Med, Edinburgh, Midlothian, Scotland; [Samolinski, B.] Med Univ Warsaw, Dept Prevent Environm Hazards &amp; Allergol, Warsaw, Poland; [Sanchez-Borges, M.] Ctr Med Docente La Trinidad, Dept Allergy &amp; Clin Immunol, Caracas, Venezuela; [Sheikh, A.] Harvard Univ, Brigham &amp; Womens Hosp, Sch Med, Div Gen Internal Med &amp; Primary Care, Boston, MA 02115 USA; [Shields, M.] Queens Univ Belfast, Belfast, Antrim, North Ireland; [Shields, M.] Royal Belfast Hosp Sick Children, Belfast, Antrim, North Ireland; [Siafakas, N.] Univ Hosp Heraklion, Dept Thorac Med, Iraklion, Greece; [Sibille, Y.] Catholic Univ Louvain, Univ Hosp Mt Godinne, Yvoir, Belgium; [Similowski, T.] Univ Paris 06, Sorbonne Univ, Neurophysiol Resp Expt &amp; Clin UMR S 1158, Paris, France; [Similowski, T.; Vandenplas, O.] INSERM, Neurophysiol Resp Expt &amp; Clin UMR S 1158, Paris, France; [Similowski, T.] Grp Hosp Pitie Salpetriere Charles Foix, AP HP, Serv Pneumol &amp; Reanimat Med, Dept R3S, F-75634 Paris, France; [Similowski, T.] Fonds Dotat Rech Sante Resp Fdn Souffle, Paris, France; [Sola-Morales, O.] Hlth Inst Technol Transfer, HITT, Barcelona, Spain; [Sooronbaev, T.] EuroAsian Resp Soc, Bishkek, Kyrgyzstan; [Sooronbaev, T.] Natl Ctr Cardiol &amp; Internal Med, Bishkek, Kyrgyzstan; [Stelmach, R.] Univ Sao Paulo, Fac Med, Div Pulm, InCor Heart Inst,Hosp Clin, Sao Paulo, Brazil; [Stiris, T.] Univ Oslo, Fac Med, Oslo Univ Hosp, Dept Neonatal Intens Care, Oslo, Norway; [Todo-Bom, A.] Coimbra Univ Hosp, Immunoallergy Dept, Coimbra, Portugal; [Valenta, R.] Med Univ Vienna, Ctr Pathophysiol Infectiol &amp; Immunol, Dept Pathophysiol &amp; Allergy Res, Vienna, Austria; [Valovirta, E.] Univ Turku, Dept Lung Dis &amp; Clin Allergol, SF-20500 Turku, Finland; [Van Ganse, E.] CHU Lyon, Pharmacoepidemiol Unit, Lyon, France; [Van Ganse, E.] CHU Lyon, Lyon, France; [Van Ganse, E.] Univ Lyon 1, UMR CNRS 5558, F-69365 Lyon, France; [Vestbo, J.] Univ Manchester, Manchester Acad Hlth Sci Ctr, Resp &amp; Allergy Res Grp, Manchester, Lancs, England; [Vestbo, J.] Odense Univ Hosp, Dept Resp Med J, DK-5000 Odense, Denmark; [Vezzani, G.] Arcispedale S Maria Nuova IRCCS, EIP AHA Act Grp Delivering Integrated Care Models, Reg Agcy Hlth &amp; Social Care, Res Hosp, Reggio Emilia, Italy; [Viegi, G.] CNR, Inst Biomed, Palermo, Italy; [Viegi, G.] CNR, Inst Mol Immunol, Palermo, Italy; [Viegi, G.] Clin Physiol IFC, Pisa, Italy; [Vogelmeier, C.] Univ Marburg, Univ Med Ctr Giessen &amp; Marburg, Dept Med Pulm &amp; Crit Care Med, German Ctr Lung Res DZL, D-35032 Marburg, Germany; [Vontetsianos, T.] Sotiria Hosp, Athens, Greece; [Wagstaff, R.] Cumbria Cty Council, Carlisle, PA USA; [Wallaert, B.] CHRU, Hop Albert Calmette, Lille, France; [Williams, D. M.] Univ N Carolina, Eshelman Sch Pharm, Chapel Hill, NC USA; [Wilson, N.] North England EU Hlth Partnership, Brussels, Belgium; [Yawn, B. P.] Olmsted Med Ctr, Dept Res, Rochester, MN USA; [Yawn, B. P.] Univ Minnesota, Dept Family &amp; Community Hlth, Rochester, MN USA; [Yiallouros, P. K.] Cyprus Univ Technol, Harvard Sch Publ Hlth, Cyprus Int Inst Environm &amp; Publ Hlth, Limassol, Cyprus; [Yusuf, O. M.] Allergy &amp; Asthma Inst, Islamabad, Pakistan; [Zar, H. J.] Univ Cape Town, Red Cross War Mem Childrens Hosp, Dept Paediat &amp; Child Hlth, ZA-7925 Cape Town, South Africa; [Zhong, N.] Guangzhou Med Univ, Guangzhou Inst Resp Dis, Guangzhou, Guangdong, Peoples R China; [Zhong, N.] Guangzhou Med Univ, State Key Lab Resp Dis, Guangzhou, Guangdong, Peoples R China; [Zidarn, M.] Univ Clin Resp &amp; Allerg Dis, Golnik, Slovenia</t>
  </si>
  <si>
    <t>Universite de Montpellier; CHU de Montpellier; Universite de Montpellier; Imperial College London; Transylvania University of Brasov; University of Barcelona; Hospital Clinic de Barcelona; IDIBAPS; CIBER - Centro de Investigacion Biomedica en Red; CIBERES; University of Barcelona; Hospital Clinic de Barcelona; Pompeu Fabra University; Centre de Recerca en Epidemiologia Ambiental (CREAL); CIBER - Centro de Investigacion Biomedica en Red; CIBERESP; Hospital del Mar Research Institute; Hospital del Mar; Ghent University; Ghent University Hospital; Ghent University; Ghent University Hospital; Catholic University of Cordoba; University of Cape Town; University of Amsterdam; Academic Medical Center Amsterdam; Linkoping University; University of Southern Denmark; Odense University Hospital; University of Southern Denmark; Odense University Hospital; IRCCS Ca Granda Ospedale Maggiore Policlinico; University of Milan; Sapienza University Rome; Universita della Campania Vanvitelli; Consiglio Nazionale delle Ricerche (CNR); Laval University; Universite de Montpellier; Institut National de la Sante et de la Recherche Medicale (Inserm); University Hospitals of Leicester NHS Trust; University of Leicester; Glenfield Hospital; University of Glasgow; McMaster University; McMaster University; University Hospital Mainz; Imperial College London; Royal Brompton Hospital; Imperial College London; Universidad Costa Rica; Imperial College London; Royal Brompton Hospital; University of Liverpool; Aintree University Hospitals NHS Foundation Trust; Universidade Federal de Minas Gerais; University of Genoa; IRCCS AOU San Martino IST; University of Oslo; University of Oslo; University of Rome Tor Vergata; IRCCS San Raffaele Pisana; Capital Institute of Pediatrics (CIP); Leiden University; Leiden University Medical Center (LUMC); Leiden University - Excl LUMC; World Health Organization; Nova Southeastern University; NHS National Services Scotland; University of Hull; University of York - UK; Universidade Federal da Bahia; University of Manchester; Karolinska Institutet; Universites de Strasbourg Etablissements Associes; Universite de Strasbourg; Iuliu Hatieganu University of Medicine &amp; Pharmacy; Universite Paris Saclay; Universite de Toulouse; Universite Paris Cite; Assistance Publique Hopitaux Paris (APHP); Hopital Universitaire Cochin - APHP; University of Southampton; University of Southampton; Saints Cyril &amp; Methodius University of Skopje; Vilnius University; University of Liverpool; NHS National Services Scotland; Universita di Modena e Reggio Emilia; Universidade do Porto; Sao Joao Hospital; Sao Joao Hospital; Universidade do Porto; Universite Cote d'Azur; Flinders University South Australia; University of Valencia; National Center for Disease Control &amp; Public Health - Georgia; Universidad de Chile; University of Helsinki; Helsinki University Central Hospital; Queens University Belfast; KU Leuven; University Hospital Leuven; University of Plymouth; University of Salerno; IRCCS Multimedica; Universidade Federal de Sao Paulo (UNIFESP); George Institute for Global Health; University of Sydney; Imperial College London; Hallym University; Hacettepe University; Berlin Institute of Health; Free University of Berlin; Humboldt University of Berlin; Charite Universitatsmedizin Berlin; University of Wurzburg; Medical University Lodz; Karolinska Institutet; Medical University Lodz; Vilnius University; Hochiminh City University of Medicine &amp; Pharmacy; University of Liege; University of Edinburgh; Comenius University Bratislava; Royal College of Surgeons - Ireland; Shahid Beheshti University Medical Sciences; Royal Brompton Hospital; University of Geneva; University of Geneva; Marius Nasta Pneumophtisiology Institute; University of Belgrade; Universite Paris Cite; Berlin Institute of Health; Free University of Berlin; Humboldt University of Berlin; Charite Universitatsmedizin Berlin; University of Lausanne; Centre Hospitalier Universitaire Vaudois (CHUV); Florey Institute of Neuroscience &amp; Mental Health; Howard Florey Institute Affiliates; Monash University; Teikyo University; University of Pisa; Azienda Ospedaliero Universitaria Pisana; University of York - UK; National &amp; Kapodistrian University of Athens; University of Ferrara; University of Oxford; University of JJ Strossmayer Osijek; University of Groningen; University of Aberdeen; Grosshansdorf Hospital; University of Kiel; CIBER - Centro de Investigacion Biomedica en Red; CIBEROBN; University of Valencia; University of Nebraska System; University of Nebraska Medical Center; Salford Royal NHS Foundation Trust; Universite de Montpellier; Institut National de la Sante et de la Recherche Medicale (Inserm); Universite Paris Cite; Assistance Publique Hopitaux Paris (APHP); Hopital Universitaire Cochin - APHP; IRCCS Arcispedale S. Maria Nuova; University of Edinburgh; Medical University of Warsaw; Harvard University; Harvard University Medical Affiliates; Brigham &amp; Women's Hospital; Harvard Medical School; Queens University Belfast; University Hospital of Heraklion; Universite Catholique Louvain; Universite Catholique Louvain Hospital; Sorbonne Universite; Institut National de la Sante et de la Recherche Medicale (Inserm); Assistance Publique Hopitaux Paris (APHP); Hopital Universitaire Charles-Foix - APHP; Sorbonne Universite; Hopital Universitaire Pitie-Salpetriere - APHP; Ministry of Health - Kyrgyzstan; Universidade de Sao Paulo; University of Oslo; Universidade de Coimbra; Centro Hospitalar e Universitario de Coimbra (CHUC); Medical University of Vienna; University of Turku; CHU Lyon; CHU Lyon; VetAgro Sup; Centre National de la Recherche Scientifique (CNRS); CNRS - Institute of Ecology &amp; Environment (INEE); Universite Claude Bernard Lyon 1; University of Manchester; University of Southern Denmark; Odense University Hospital; IRCCS Arcispedale S. Maria Nuova; Consiglio Nazionale delle Ricerche (CNR); Consiglio Nazionale delle Ricerche (CNR); Consiglio Nazionale delle Ricerche (CNR); Istituto di Fisiologia Clinica (IFC-CNR); Philipps University Marburg; University Hospital of Giessen &amp; Marburg; Universite de Lille; CHU Lille; University of North Carolina; University of North Carolina Chapel Hill; Olmsted Medical Center; University of Minnesota System; University of Minnesota Rochester; Cyprus International Institute for Environmental &amp; Public Health; Cyprus University of Technology; University of Cape Town; Guangzhou Medical University; Guangzhou Medical University; State Key Laboratory of Respiratory Disease</t>
  </si>
  <si>
    <t>Bedbrook, A (corresponding author), Hop Arnaud Villeneuve, Serv Malad Resp, MACVIA ARIA, F-34295 Montpellier, France.</t>
  </si>
  <si>
    <t>anna.bedbrook@inserm.fr</t>
  </si>
  <si>
    <t>Annesi-Maesano, Isabella/D-9173-2016; Sheikh, Aziz/D-2818-2009; Similowski, Thomas/GQQ-9468-2022; Siafakas, Nikolas/AAI-3324-2020; Kvedariene, Violeta/D-7730-2011; Frith, Peter/G-5079-2013; Johnston, Sebastian/I-2423-2012; Papi, alberto/AAC-1888-2019; Fokkens, Wytske/ABF-2185-2020; Triggiani, Massimo/K-8271-2016; Price, David/H-2837-2019; Bateman, Eric/B-7042-2011; Redon, Josep/L-5997-2019; Whalley, Ben/C-4390-2008; Barbara, C./AAF-3397-2020; Ryan, Dermot/AAJ-2329-2021; Viegi, Giovanni/K-2746-2016; Cruz, Alvaro/I-1676-2012; J, Garcia-Aymerich/G-6867-2014; Barnes, Peter/AFL-3518-2022; Valenta, Richard/K-4072-2017; Cox, Linda/AAP-1697-2021; Djokic, Dejan/V-9813-2017; Blain, Hubert/AAZ-8017-2020; Yorgancioglu, Arzu/AAC-7548-2020; Zuberbier, Torsten/AFM-9173-2022; LOUIS, Renaud/HMO-7349-2023; Todo Bom, Ana/AHD-3630-2022; Bonniaud, Philippe/ITT-4660-2023; Agache, Ioana/AAP-7403-2020; Bousquet, Philippe Jean/AAW-8608-2021; Rabe, Klaus/AAW-6296-2021; Gaga, Mina/AAP-8348-2020; Adcock, Ian/L-3217-2019; Vicheva, Dilyana/AAI-7136-2020; Zar, Heather/GZL-5350-2022; Bourdin, Philippe/D-8149-2015; Iaccarino, Guido/A-7702-2010; Bachert, Claus/J-8825-2012; Shields, Mike/AGG-3437-2022; Bousquet, Jean/O-4221-2019; Yiallouros, Panayiotis/AAF-6026-2019; Plavec, Davor/HKM-7822-2023; Muñoz, Marta/AAB-4615-2019; Vestbo, Jorgen/Y-2912-2019; molimard, mathieu/T-2762-2019; stelmach, rafael/B-4076-2013; Briggs, Andrew/ABA-9009-2020; Anto, J/H-2676-2014; Brozek, Jan/ADG-1130-2022; Jardim, Jose/E-3205-2016; Roche, Nicolas/AAE-9206-2021; Jung, Ki-Suck/AAN-2473-2021; Nicod, Laurent/ABD-3360-2020; Sterk, P.J./AAK-8175-2020; Mercier, Gregoire/B-8897-2016; Garces Ferrer, Jorge/U-2323-2017; Caimmi, Davide/AAA-1277-2019; Deleanu, Diana/G-3963-2015; Addis, Antonio/J-7894-2016; CANONICA, GIORGIO WALTER/ABF-2037-2020; Dinh-Xuan, Anh Tuan/A-9691-2008; Humbert, Marc/AAC-8459-2019; Bernabeu-Wittel, Maximo/L-5303-2017; Agusti Garcia-Navarro, Alvar/F-4474-2015; Rodenas Rigla, Francisco/L-5293-2014; IACCARINO, Guido/Q-4799-2016; Fabbri, Leonardo/I-4055-2012; Chavannes, Niels Henrik/F-1148-2011; VAN GANSE, Eric/D-5876-2015; Custovic, Adnan/A-2435-2012; Heinrich, Joachim/N-1720-2013; CESARIO, Alfredo/O-4215-2015; Hellings, Peter/I-4068-2018; O'Hehir, Robyn/H-3627-2011; Cucalin, Aleksandr/P-5678-2018; Chung, Kian Fan/B-1872-2012; Robine, Jean-Marie/F-5439-2011; Fonseca, Joao/B-7562-2008; Schunemann, Holger/LRB-7016-2024; Yusuf, Osman/AAI-1142-2020; Papadopoulos, Nikolaos/L-8670-2013; Casale, Thomas/K-4334-2013; Blasi, Francesco/O-5885-2017; Demoly, Pascal/Y-9938-2019; Masjedi, Mohammad Reza/J-9776-2017; Roca, Josep/J-2583-2015; Bonini, Sergio/T-6594-2019; Bindslev-Jensen, Carsten/H-1877-2011</t>
  </si>
  <si>
    <t>Sheikh, Aziz/0000-0001-7022-3056; Kvedariene, Violeta/0000-0002-6119-211X; Garces Ferrer, Jorge/0000-0001-7830-6948; stelmach, rafael/0000-0002-5132-1934; Vestbo, Jorgen/0000-0001-6355-6362; brightling, chris/0000-0002-9345-4903; Menzies-Gow, Andrew/0000-0001-9707-4986; Todo-Bom, Ana/0000-0002-1850-6689; Redon, Josep/0000-0001-8777-6773; cox, linda/0000-0002-5258-6870; Caimmi, Davide/0000-0003-4481-6194; Bourdin, Arnaud/0000-0002-4645-5209; MacNee, William/0000-0002-3692-1448; Valenta, Rudolf/0000-0001-5944-3365; Deleanu, Diana/0000-0002-8431-8352; Addis, Antonio/0000-0003-0962-9959; Heaney, Liam/0000-0002-9176-5564; BONINI, Matteo/0000-0002-3042-0765; Zar, Heather/0000-0002-9046-759X; CANONICA, GIORGIO WALTER/0000-0001-8467-2557; Dinh-Xuan, Anh Tuan/0000-0001-8651-5176; yorgancioglu, arzu/0000-0002-4032-0944; Wickman, Magnus/0000-0003-2710-8620; Humbert, Marc/0000-0003-0703-2892; Vasankari, Tuula/0000-0002-1413-8970; Bernabeu-Wittel, Maximo/0000-0003-4574-4110; Barnes, Peter/0000-0002-5122-4018; Barbara, Cristina/0000-0003-0915-4105; Kuna, Piotr/0000-0003-2401-0070; Agusti Garcia-Navarro, Alvar/0000-0003-3271-3788; Zidarn, Mihaela/0000-0003-0515-5207; Rodenas Rigla, Francisco/0000-0003-3264-4735; IACCARINO, Guido/0000-0002-8997-835X; momas, isabelle/0000-0003-4344-3787; Yiallouros, Panayiotis/0000-0002-8339-9285; Shields, Michael/0000-0002-3793-3571; Gaga, Mina/0000-0002-9949-6012; Fabbri, Leonardo/0000-0001-8894-1689; Chavannes, Niels Henrik/0000-0002-8607-9199; Baigenzhin, Abay/0000-0002-7703-5004; Adcock, Ian/0000-0003-2101-8843; roche, nicolas/0000-0002-3162-5033; Zuberbier, Torsten/0000-0002-1466-8875; VAN GANSE, Eric/0000-0002-7463-9187; Frith, Peter Anthony/0000-0003-3265-0131; Custovic, Adnan/0000-0001-5218-7071; Heinrich, Joachim/0000-0002-9620-1629; TRIGGIANI, MASSIMO/0000-0001-7318-2093; CESARIO, Alfredo/0000-0003-4687-0709; Hellings, Peter/0000-0001-6898-688X; Rabe, Klaus F./0000-0002-7020-1401; O'Hehir, Robyn/0000-0002-3489-7595; Fletcher, Monica/0000-0002-9700-3552; Cucalin, Aleksandr/0000-0002-6808-5528; Chung, Kian Fan/0000-0001-7101-1426; Stelmach, Rafal/0000-0001-7792-5405; Robine, Jean-Marie/0000-0002-4111-6195; Pavord, Ian/0000-0002-4288-5973; Masjedi, Mohammadreza/0000-0003-4964-3851; Fonseca, Joao/0000-0002-0887-8796; Bai, Chunxue/0000-0001-5798-3130; Gouzi, Fares/0000-0001-8970-866X; Crooks, Michael/0000-0001-6876-0258; Schunemann, Holger/0000-0003-3211-8479; Ryan, Dermot/0000-0002-4115-7376; Hyland, Michael/0000-0003-3879-0469; Djukanovic, Ratko/0000-0001-6039-5612; Yusuf, Osman/0000-0002-8067-1204; Bousquet, Philippe Jean/0000-0002-0217-5483; Johnston, Sebastian/0000-0003-3009-9200; Nicod, Laurent P/0000-0002-0905-916X; Kull, Inger/0000-0001-6096-3771; Papadopoulos, Nikolaos/0000-0002-4448-3468; Casale, Thomas/0000-0002-3149-7377; Blasi, Francesco/0000-0002-2285-9970; PAPI, ALBERTO/0000-0002-6924-4500; Demoly, Pascal/0000-0001-7827-7964; Masjedi, Mohammad Reza/0000-0002-6871-382X; Roca, Josep/0000-0003-4768-8722; Briggs, Andrew/0000-0002-0777-1997; Bonini, Sergio/0000-0003-0079-3031; Bindslev-Jensen, Carsten/0000-0002-8940-038X; Molimard, Mathieu/0000-0002-4346-8346</t>
  </si>
  <si>
    <t>Region Languedoc-Roussillon</t>
  </si>
  <si>
    <t>Region Languedoc-Roussillon(Region Ile-de-FranceRegion Occitanie)</t>
  </si>
  <si>
    <t>The study was funded by Region Languedoc-Roussillon.</t>
  </si>
  <si>
    <t>10.1183/09031936.00014614</t>
  </si>
  <si>
    <t>AM7AO</t>
  </si>
  <si>
    <t>Green Submitted, Bronze, Green Accepted</t>
  </si>
  <si>
    <t>WOS:000340017300009</t>
  </si>
  <si>
    <t>Cohen-Kaminsky, S; Hautefort, A; Price, L; Humbert, M; Perros, F</t>
  </si>
  <si>
    <t>Cohen-Kaminsky, Sylvia; Hautefort, Aurelie; Price, Laura; Humbert, Marc; Perros, Frederic</t>
  </si>
  <si>
    <t>Inflammation in pulmonary hypertension: what we know and what we could logically and safely target first</t>
  </si>
  <si>
    <t>DRUG DISCOVERY TODAY</t>
  </si>
  <si>
    <t>ANTIENDOTHELIAL CELL ANTIBODIES; REGULATORY T-CELLS; NF-KAPPA-B; ARTERIAL-HYPERTENSION; MONOCLONAL-ANTIBODIES; IMMUNOSUPPRESSIVE THERAPY; ANTIFIBROBLAST ANTIBODIES; ENDOTHELIN ANTAGONISM; CD40 LIGAND; INTERLEUKIN-6</t>
  </si>
  <si>
    <t>Inflammation is important for the initiation and the maintenance of vascular remodeling in most of the animal models of pulmonary arterial hypertension (PAH), and therapeutic targeting of inflammation in these models blocks PAH development. In humans, pulmonary vascular lesions of PAH are the source of cytokine and chemokine production, related to inflammatory cell recruitment and lymphoid neogenesis. Circulating autoantibodies to endothelial cells and to fibroblasts have been reported in 10-40% of patients with idiopathic PAH, suggesting a possible role for autoimmunity in the pathogenesis of pulmonary vascular lesions. Current specific PAH treatments have immunomodulatory properties, and some studies have demonstrated a correlation between levels of circulating inflammatory mediators and patient survival. New immunopathological approaches to PAH should enable the development of innovative treatments for this severe condition.</t>
  </si>
  <si>
    <t>[Cohen-Kaminsky, Sylvia; Hautefort, Aurelie; Humbert, Marc; Perros, Frederic] Univ Paris 11, Fac Med, F-94276 Le Kremlin Bicetre, France; [Cohen-Kaminsky, Sylvia; Hautefort, Aurelie; Humbert, Marc; Perros, Frederic] INSERM, UMR S 999, LabEx LERMIT, F-92350 Le Plessis Robinson, France; [Cohen-Kaminsky, Sylvia; Hautefort, Aurelie; Humbert, Marc; Perros, Frederic] Ctr Chirurg Marie Lannelongue, Dept Rech Med, F-92350 Le Plessis Robinson, France; [Humbert, Marc] Hop Bicetre, AP HP, Ctr Natl Reference Hypertens Pulm Severe, Serv Pneumol &amp; Reanimat Resp,DHU TORINO, F-94270 Le Kremlin Bicetre, France; [Price, Laura] Royal Brompton Hosp, Pulm Hypertens Serv, London SW3 6NP, England</t>
  </si>
  <si>
    <t>Universite Paris Saclay; Universite Paris Saclay; Institut National de la Sante et de la Recherche Medicale (Inserm); Hopital Marie Lannelongue; Universite Paris Saclay; Assistance Publique Hopitaux Paris (APHP); Hopital Universitaire Antoine-Beclere - APHP; Hopital Universitaire Bicetre - APHP; Royal Brompton Hospital</t>
  </si>
  <si>
    <t>Perros, F (corresponding author), Univ Paris 11, Fac Med, F-94276 Le Kremlin Bicetre, France.</t>
  </si>
  <si>
    <t>Perros, Frederic/N-6921-2017; Cohen-Kaminsky, Sylvia/E-4837-2014; Humbert, Marc/AAC-8459-2019</t>
  </si>
  <si>
    <t>Perros, Frederic/0000-0001-7730-2427; Cohen-Kaminsky, Sylvia/0000-0002-6341-7482; Humbert, Marc/0000-0003-0703-2892</t>
  </si>
  <si>
    <t>Fondation pour la Recherche Medicale (FRM) [DEQ20100318257]; Region Ile de France (CORDDIM); National Funding Agency for Research (ANR) [ANR-13-JSV1-001]</t>
  </si>
  <si>
    <t>Fondation pour la Recherche Medicale (FRM)(Fondation pour la Recherche Medicale); Region Ile de France (CORDDIM)(Region Ile-de-France); National Funding Agency for Research (ANR)(Agence Nationale de la Recherche (ANR))</t>
  </si>
  <si>
    <t>Sylvia Cohen-Kaminisky received funding from the Fondation pour la Recherche Medicale (FRM) (grant number: DEQ20100318257). Aurelie Hautefort is supported by a PhD grant from Region Ile de France (CORDDIM). Frederic Perros receives funding from National Funding Agency for Research (ANR) (Grant: ANR-13-JSV1-001).</t>
  </si>
  <si>
    <t>1359-6446</t>
  </si>
  <si>
    <t>1878-5832</t>
  </si>
  <si>
    <t>DRUG DISCOV TODAY</t>
  </si>
  <si>
    <t>Drug Discov. Today</t>
  </si>
  <si>
    <t>10.1016/j.drudis.2014.04.007</t>
  </si>
  <si>
    <t>AO4VM</t>
  </si>
  <si>
    <t>WOS:000341339500034</t>
  </si>
  <si>
    <t>Girerd, B; Perros, F; Antigny, F; Humbert, M; Montani, D</t>
  </si>
  <si>
    <t>Girerd, Barbara; Perros, Frederic; Antigny, Fabrice; Humbert, Marc; Montani, David</t>
  </si>
  <si>
    <t>KCNK3: new gene target for pulmonary hypertension?</t>
  </si>
  <si>
    <t>ion channel; KCNK3 gene; pulmonary arterial hypertension; respiratory; TASK1</t>
  </si>
  <si>
    <t>ARTERIAL-HYPERTENSION; K+ CHANNEL; MUTATIONS; BMPR2; RECEPTOR; TASK-1</t>
  </si>
  <si>
    <t>Recently, KCNK3 has been identified as a new predisposing gene for pulmonary arterial hypertension (PAH) by whole-exome sequencing. Mutation in KCNK3 gene is responsible for the first channelopathy identified in PAH. PAH due to KCNK3 mutations is an autosomal dominant disease with an incomplete penetrance as previously described in PAH due to BMPR2 mutations. This discovery represents an important advance for genetic counselling, allowing identification of high risk relatives for PAH and possible screening for PAH in KCNK3 mutation carriers.</t>
  </si>
  <si>
    <t>[Girerd, Barbara; Perros, Frederic; Antigny, Fabrice; Humbert, Marc; Montani, David] Univ Paris 11, Le Kremlin Bicetre, France; [Girerd, Barbara; Perros, Frederic; Antigny, Fabrice; Humbert, Marc; Montani, David] Hop Bicetre, AP HP, Serv Pneumol, DHU Thorax Innovat DHU TORINO, Le Kremlin Bicetre, France; [Girerd, Barbara; Perros, Frederic; Antigny, Fabrice; Humbert, Marc; Montani, David] Ctr Chirurg Marie Lannelongue, INSERM, UMR S 999, LabEx LERMIT, Le Plessis Robinson, France</t>
  </si>
  <si>
    <t>Universite Paris Saclay; Assistance Publique Hopitaux Paris (APHP); Hopital Universitaire Antoine-Beclere - APHP; Hopital Universitaire Bicetre - APHP; Universite Paris Saclay; Hopital Marie Lannelongue; Institut National de la Sante et de la Recherche Medicale (Inserm); Universite Paris Saclay</t>
  </si>
  <si>
    <t>Montani, D (corresponding author), Univ Paris 11, Le Kremlin Bicetre, France.</t>
  </si>
  <si>
    <t>David, Montani/I-6885-2019; Perros, Frederic/N-6921-2017; Humbert, Marc/AAC-8459-2019; Antigny, Fabrice/Q-3999-2018</t>
  </si>
  <si>
    <t>Perros, Frederic/0000-0001-7730-2427; Montani, David/0000-0002-9358-6922; Humbert, Marc/0000-0003-0703-2892; Antigny, Fabrice/0000-0002-9515-6571</t>
  </si>
  <si>
    <t>EXPERT REVIEWS</t>
  </si>
  <si>
    <t>UNITEC HOUSE, 3RD FL, 2 ALBERT PLACE, FINCHLEY CENTRAL, LONDON N3 1QB, ENGLAND</t>
  </si>
  <si>
    <t>10.1586/17476348.2014.909731</t>
  </si>
  <si>
    <t>AM8OQ</t>
  </si>
  <si>
    <t>WOS:000340135800002</t>
  </si>
  <si>
    <t>Manders, E; Bogaard, HJ; Handoko, ML; van de Veerdonk, MC; Keogh, A; Westerhof, N; Stienen, GJM; dos Remedios, CG; Humbert, M; Dorfmüller, P; Fadel, E; Guignabert, C; van der Velden, J; Vonk-Noordegraaf, A; de Man, FS; Ottenheijm, CAC</t>
  </si>
  <si>
    <t>Manders, Emmy; Bogaard, Harm-Jan; Handoko, M. Louis; van de Veerdonk, Marielle C.; Keogh, Anne; Westerhof, Nico; Stienen, Ger J. M.; dos Remedios, Cristobal G.; Humbert, Marc; Dorfmueller, Peter; Fadel, Elie; Guignabert, Christophe; van der Velden, Jolanda; Vonk-Noordegraaf, Anton; de Man, Frances S.; Ottenheijm, Coen A. C.</t>
  </si>
  <si>
    <t>Contractile Dysfunction of Left Ventricular Cardiomyocytes in Patients With Pulmonary Arterial Hypertension</t>
  </si>
  <si>
    <t>contractile protein; phosphorylation; left ventricular dysfunction; myocyte physiology; pulmonary arterial hypertension</t>
  </si>
  <si>
    <t>BILATERAL LUNG TRANSPLANTATION; PRESSURE-OVERLOAD; BED REST; PROGNOSTIC VALUE; CARDIAC ATROPHY; HEART-FAILURE; MUSCLE; MASS; RAT; CA2+-SENSITIVITY</t>
  </si>
  <si>
    <t>BACKGROUND After lung transplantation, increased left ventricular (LV) filling can lead to LV failure, increasing the risk of post-operative complications and mortality. LV dysfunction in pulmonary arterial hypertension (PAH) is characterized by a reduced LV ejection fraction and impaired diastolic function. OBJECTIVES The pathophysiology of LV dysfunction in PAH is incompletely understood. This study sought to assess the contribution of atrophy and contractility of cardiomyocytes to LV dysfunction in PAH patients. METHODS LV function was assessed by cardiac magnetic resonance imaging. In addition, LV biopsies were obtained in 9 PAH patients and 10 donors. The cross-sectional area (CSA) and force-generating capacity of isolated single cardiomyocytes was investigated. RESULTS Magnetic resonance imaging analysis revealed a significant reduction in LV ejection fraction in PAH patients, indicating a reduction in LV contractility. The CSA of LV cardiomyocytes of PAH patients was significantly reduced (w30%), indicating LV cardiomyocyte atrophy. The maximal force-generating capacity, normalized to cardiomyocyte CSA, was significantly reduced (w25%). Also, a reduction in the number of available myosin-based cross-bridges was found to cause the contractile weakness of cardiomyocytes. This finding was supported by protein analyses, which showed an w30% reduction in the myosin/ actin ratio in cardiomyocytes from PAH patients. Finally, the phosphorylation level of sarcomeric proteins was reduced in PAH patients, which was accompanied by increased calcium sensitivity of force generation. CONCLUSIONS The contractile function and the CSA of LV cardiomyocytes is substantially reduced in PAH patients. We propose that these changes contribute to the reduced in vivo contractility of the LV in PAH patients. (C) 2014 by the American College of Cardiology Foundation.</t>
  </si>
  <si>
    <t>[Manders, Emmy; Bogaard, Harm-Jan; van de Veerdonk, Marielle C.; Westerhof, Nico; Vonk-Noordegraaf, Anton; de Man, Frances S.] Vrije Univ, Univ Med Ctr, Dept Pulmonol, Amsterdam, Netherlands; [Manders, Emmy; Handoko, M. Louis; Westerhof, Nico; Stienen, Ger J. M.; van der Velden, Jolanda; Ottenheijm, Coen A. C.] Vrije Univ Amsterdam Med Ctr, Dept Physiol, NL-1081 HV Amsterdam, Netherlands; [Handoko, M. Louis] Vrije Univ Amsterdam Med Ctr, Cardiol Inst Cardiovasc Res, NL-1081 HV Amsterdam, Netherlands; [Keogh, Anne] St Vincents Hosp, Heart Transplant Unit, Sydney, NSW 2010, Australia; [Stienen, Ger J. M.] Vrije Univ Amsterdam, Dept Phys &amp; Astron, Amsterdam, Netherlands; [dos Remedios, Cristobal G.] Univ Sydney, Bosch Inst, Muscle Res Unit, Sydney, NSW 2006, Australia; [Humbert, Marc; Dorfmueller, Peter; Fadel, Elie; Guignabert, Christophe] Univ Paris 11, Fac Med, Le Kremlin Bicetre, France; [Humbert, Marc] Hop Bicetre, AP HP, Serv Pneumol, Dept Hosp Univ,Thorax Innovat DHU TORINO, Le Kremlin Bicetre, France; [Humbert, Marc; Dorfmueller, Peter; Fadel, Elie; Guignabert, Christophe] Ctr Chirurg Marie Lannelongue, Lab Excellence Rech Medicament &amp; Innovat Therapeu, Inserm U999, Le Plessis Robinson, France; [Dorfmueller, Peter] Ctr Chirurg Marie Lannelongue, Serv Anat Pathol, Le Plessis Robinson, France; [Fadel, Elie] Ctr Chirurg Marie Lannelongue, Serv Chirurg Thorac, Le Plessis Robinson, France; [van der Velden, Jolanda] ICIN Netherlands Heart Inst, Utrecht, Netherlands</t>
  </si>
  <si>
    <t>Vrije Universiteit Amsterdam; Vrije Universiteit Amsterdam; VU UNIVERSITY MEDICAL CENTER; Vrije Universiteit Amsterdam; VU UNIVERSITY MEDICAL CENTER; NSW Health; St Vincents Hospital Sydney; Vrije Universiteit Amsterdam; University of Sydney; Universite Paris Saclay; Universite Paris Saclay; Assistance Publique Hopitaux Paris (APHP); Hopital Universitaire Bicetre - APHP; Hopital Universitaire Antoine-Beclere - APHP; Hopital Marie Lannelongue; Universite Paris Saclay; Institut National de la Sante et de la Recherche Medicale (Inserm); Hopital Marie Lannelongue; Hopital Marie Lannelongue</t>
  </si>
  <si>
    <t>de Man, FS (corresponding author), Vrije Univ Amsterdam Med Ctr, Dept Pulm Dis, Boelelaan 1017, NL-1081 HV Amsterdam, Netherlands.</t>
  </si>
  <si>
    <t>fs.deman@vumc.nl; c.ottenheijm@vumc.nl</t>
  </si>
  <si>
    <t>van der Velden, J/D-1925-2016; Humbert, Marc/AAC-8459-2019; GUIGNABERT, Christophe/G-3873-2013</t>
  </si>
  <si>
    <t>Bogaard, Harm Jan/0000-0001-5371-0346; van de Veerdonk, Marielle/0000-0001-8382-5347; Dorfmuller, Peter/0000-0003-2499-6829; Vonk Noordegraaf, Anton/0000-0002-4057-758X; Humbert, Marc/0000-0003-0703-2892; Stienen, Ger/0000-0001-5829-0328; Handoko-de Man, Frances/0000-0002-5776-7793; van der Velden, Jolanda/0000-0001-5224-5788; GUIGNABERT, Christophe/0000-0002-8545-4452</t>
  </si>
  <si>
    <t>JUL 8</t>
  </si>
  <si>
    <t>10.1016/j.jacc.2014.04.031</t>
  </si>
  <si>
    <t>AL7TF</t>
  </si>
  <si>
    <t>WOS:000339337700005</t>
  </si>
  <si>
    <t>Ortega, H; Chupp, G; Bardin, P; Bourdin, A; Garcia, G; Hartley, B; Yancey, S; Humbert, M</t>
  </si>
  <si>
    <t>Ortega, Hector; Chupp, Geoffrey; Bardin, Philip; Bourdin, Arnaud; Garcia, Gilles; Hartley, Benjamin; Yancey, Steve; Humbert, Marc</t>
  </si>
  <si>
    <t>The role of mepolizumab in atopic and nonatopic severe asthma with persistent eosinophilia</t>
  </si>
  <si>
    <t>IGE; OMALIZUMAB; IDENTIFICATION; EXACERBATIONS; INFECTION; TRIAL; RNA</t>
  </si>
  <si>
    <t>[Ortega, Hector; Yancey, Steve] GlaxoSmithKline, Resp Med Dev Ctr, Res Triangle Pk, NC USA; [Chupp, Geoffrey] Yale Univ, Sch Med, Winchester Chest Clin, Dept Pulm &amp; Crit Care, New Haven, CT USA; [Bardin, Philip] Monash Univ &amp; Med Ctr, Melbourne, Vic, Australia; [Bourdin, Arnaud] Hosp Arnaud de Villeneuve, Dept Allergy, Montpellier, France; [Garcia, Gilles; Humbert, Marc] Univ Paris 11, Fac Med, Le Kremlin Bicetre, France; [Garcia, Gilles; Humbert, Marc] Hop Bicetre, AP HP, Serv Pneumol, DHU Thorax Innovat, Le Kremlin Bicetre, France; [Hartley, Benjamin] GlaxoSmithKline, Res &amp; Dev, Stockley Pk, Middx, England; [Humbert, Marc] LabEx LERMIT, Inserm U999, Le Plessis Robinson, France</t>
  </si>
  <si>
    <t>GlaxoSmithKline; Glaxosmithkline USA; Yale University; Monash University; Universite de Montpellier; CHU de Montpellier; Universite Paris Saclay; Universite Paris Saclay; Assistance Publique Hopitaux Paris (APHP); Hopital Universitaire Bicetre - APHP; Hopital Universitaire Antoine-Beclere - APHP; GlaxoSmithKline; Glaxosmithkline United Kingdom; Institut National de la Sante et de la Recherche Medicale (Inserm); Universite Paris Saclay</t>
  </si>
  <si>
    <t>Ortega, H (corresponding author), GlaxoSmithKline, 5 Moore Dr, Res Triangle Pk, NC 27709 USA.</t>
  </si>
  <si>
    <t>Bonniaud, Philippe/ITT-4660-2023; Bourdin, Philippe/D-8149-2015; Humbert, Marc/AAC-8459-2019</t>
  </si>
  <si>
    <t>Bourdin, Arnaud/0000-0002-4645-5209; Humbert, Marc/0000-0003-0703-2892</t>
  </si>
  <si>
    <t>10.1183/09031936.00220413</t>
  </si>
  <si>
    <t>AL1SP</t>
  </si>
  <si>
    <t>WOS:000338906700025</t>
  </si>
  <si>
    <t>Gore, B; Izikki, M; Mercier, O; Dewachter, L; Fadel, E; Humbert, M; Dartevelle, P; Simonneau, G; Naeije, R; Lebrin, F; Eddahibi, S</t>
  </si>
  <si>
    <t>Gore, Benoit; Izikki, Mohamed; Mercier, Olaf; Dewachter, Laurence; Fadel, Elie; Humbert, Marc; Dartevelle, Philippe; Simonneau, Gerald; Naeije, Robert; Lebrin, Franck; Eddahibi, Saadia</t>
  </si>
  <si>
    <t>Key Role of the Endothelial TGF-β/ALK1/Endoglin Signaling Pathway in Humans and Rodents Pulmonary Hypertension</t>
  </si>
  <si>
    <t>GROWTH-FACTOR-BETA; BONE MORPHOGENETIC PROTEIN; SMOOTH-MUSCLE HYPERPLASIA; ARTERIAL-HYPERTENSION; INHIBITION; EXPRESSION; MUTATION; CELLS; LUNG; PROLIFERATION</t>
  </si>
  <si>
    <t>Mutations affecting transforming growth factor-beta (TGF-beta) superfamily receptors, activin receptor-like kinase (ALK)-1, and endoglin (ENG) occur in patients with pulmonary arterial hypertension (PAH). To determine whether the TGF-beta/ALK1/ENG pathway was involved in PAH, we investigated pulmonary TGF-beta, ALK1, ALK5, and ENG expressions in human lung tissue and cultured pulmonary-artery smooth-muscle-cells (PA-SMCs) and pulmonary endothelial cells (PECs) from 14 patients with idiopathic PAH (iPAH) and 15 controls. Seeing that ENG was highly expressed in PEC, we assessed the effects of TGF-beta on Smad1/5/8 and Smad2/3 activation and on growth factor production by the cells. Finally, we studied the consequence of ENG deficiency on the chronic hypoxic-PH development by measuring right ventricular (RV) systolic pressure (RVSP), RV hypertrophy, and pulmonary arteriolar remodeling in ENG-deficient (Eng(+/-)) and wild-type (Eng(+/+)) mice. We also evaluated the pulmonary blood vessel density, macrophage infiltration, and cytokine expression in the lungs of the animals. Compared to controls, iPAH patients had higher serum and pulmonary TGF-beta levels and increased ALK1 and ENG expressions in lung tissue, predominantly in PECs. Incubation of the cells with TGF-beta led to Smad1/5/8 phosphorylation and to a production of FGF2, PDGFb and endothelin-inducing PA-SMC growth. Endoglin deficiency protected mice from hypoxic PH. As compared to wild-type, Eng(+/-) mice had a lower pulmonary vessel density, and no change in macrophage infiltration after exposure to chronic hypoxia despite the higher pulmonary expressions of interleukin-6 and monocyte chemoattractant protein-1. The TGF-beta/ALK1/ENG signaling pathway plays a key role in iPAH and experimental hypoxic PH via a direct effect on PECs leading to production of growth factors and inflammatory cytokines involved in the pathogenesis of PAH.</t>
  </si>
  <si>
    <t>[Gore, Benoit; Izikki, Mohamed; Humbert, Marc; Simonneau, Gerald; Eddahibi, Saadia] INSERM, U999, Le Plessis Robinson, France; [Dewachter, Laurence; Naeije, Robert] Free Univ Brussels, Fac Med, Physiol Lab, Brussels, Belgium; [Mercier, Olaf; Fadel, Elie; Dartevelle, Philippe; Eddahibi, Saadia] Ctr Chirurg Marie Lannelongue, Le Plessis Robinson, France; [Lebrin, Franck] Coll France, INSERM, U833, F-75231 Paris, France</t>
  </si>
  <si>
    <t>Institut National de la Sante et de la Recherche Medicale (Inserm); Universite Paris Saclay; Universite Libre de Bruxelles; Hopital Marie Lannelongue; Universite PSL; College de France; Institut National de la Sante et de la Recherche Medicale (Inserm)</t>
  </si>
  <si>
    <t>Eddahibi, S (corresponding author), INSERM, U999, Le Plessis Robinson, France.</t>
  </si>
  <si>
    <t>Simonneau, Gerald/ABE-6614-2020; lebrin, franck/LIG-9725-2024; Humbert, Marc/AAC-8459-2019</t>
  </si>
  <si>
    <t>Mercier, Olaf/0000-0002-4760-6267; Humbert, Marc/0000-0003-0703-2892; lebrin, franck/0000-0002-1650-6757</t>
  </si>
  <si>
    <t>INSERM; Agence National de la Recherche [ANR-08-GENOPAT-004]</t>
  </si>
  <si>
    <t>INSERM(Institut National de la Sante et de la Recherche Medicale (Inserm)); Agence National de la Recherche(Agence Nationale de la Recherche (ANR))</t>
  </si>
  <si>
    <t>This study was supported by grants from the INSERM, and the Agence National de la Recherche (ANR-08-GENOPAT-004 to S. E., A. L-V and M. H.). This article reflects only the authors' views and under no circumstances is the European Community liable for any use that may be made of the information it contains. The funders had no role in study design, data collection and analysis, decision to publish, or preparation of the manuscript.</t>
  </si>
  <si>
    <t>JUN 23</t>
  </si>
  <si>
    <t>e100310</t>
  </si>
  <si>
    <t>10.1371/journal.pone.0100310</t>
  </si>
  <si>
    <t>AL1WV</t>
  </si>
  <si>
    <t>WOS:000338917900040</t>
  </si>
  <si>
    <t>Rabinovitch, M; Guignabert, C; Humbert, M; Nicolls, MR</t>
  </si>
  <si>
    <t>Rabinovitch, Marlene; Guignabert, Christophe; Humbert, Marc; Nicolls, Mark R.</t>
  </si>
  <si>
    <t>Inflammation and Immunity in the Pathogenesis of Pulmonary Arterial Hypertension</t>
  </si>
  <si>
    <t>hypertension; pulmonary; leukotriene B4</t>
  </si>
  <si>
    <t>SMOOTH-MUSCLE-CELLS; REGULATORY T-CELLS; FIBROBLAST GROWTH FACTOR-2; NECROSIS-FACTOR-ALPHA; TGF-BETA; ENDOTHELIAL INJURY; ALTERNATIVE ACTIVATION; MACROPHAGE RECRUITMENT; LEUKOTRIENE B-4; TYROSINE KINASE</t>
  </si>
  <si>
    <t>This review summarizes an expanding body of knowledge indicating that failure to resolve inflammation and altered immune processes underlie the development of pulmonary arterial hypertension. The chemokines and cytokines implicated in pulmonary arterial hypertension that could form a biomarker platform are discussed. Pre-clinical studies that provide the basis for dysregulated immunity in animal models of the disease are reviewed. In addition, we present therapies that target inflammatory/immune mechanisms that are currently enrolling patients, and discuss others in development. We show how genetic and metabolic abnormalities are inextricably linked to dysregulated immunity and adverse remodeling in the pulmonary arteries.</t>
  </si>
  <si>
    <t>[Rabinovitch, Marlene] Stanford Univ, Sch Med, Cardiovasc Inst, Stanford, CA 94305 USA; [Rabinovitch, Marlene] Stanford Univ, Sch Med, Dept Pediat, Stanford, CA 94305 USA; [Nicolls, Mark R.] Stanford Univ, Sch Med, Dept Med, Stanford, CA 94305 USA; [Guignabert, Christophe; Humbert, Marc] Ctr Chirurg Marie Lannelongue, INSERM, UMR S 999, LabEx LERMIT, Le Plessis Robinson, France; [Guignabert, Christophe; Humbert, Marc] Univ Paris 11, Sch Med, Le Kremlin Bicetre, France; [Humbert, Marc] Hop Bicetre, AP HP, Ctr Reference Hypertens Pulm Severe, Serv Pneumol,DHU Thorax Innovat, Le Kremlin Bicetre, France</t>
  </si>
  <si>
    <t>Stanford University; Stanford University; Stanford University; Institut National de la Sante et de la Recherche Medicale (Inserm); Universite Paris Saclay; Hopital Marie Lannelongue; Universite Paris Saclay; Universite Paris Saclay; Assistance Publique Hopitaux Paris (APHP); Hopital Universitaire Antoine-Beclere - APHP; Hopital Universitaire Bicetre - APHP</t>
  </si>
  <si>
    <t>Rabinovitch, M (corresponding author), Stanford Univ, Sch Med, 269 Campus Dr,CCSR Room 1215A, Stanford, CA 94305 USA.</t>
  </si>
  <si>
    <t>marlener@stanford.edu</t>
  </si>
  <si>
    <t>Nicolls, Mark/K-6085-2019; GUIGNABERT, Christophe/G-3873-2013; Humbert, Marc/AAC-8459-2019</t>
  </si>
  <si>
    <t>ANR (French National Research Agency) Starting Grant [ANR-12-JSV1-0004-01]; National Institutes of Health grants [HL082662, NHLBI-HV-10-05]; Agence Nationale de la Recherche (ANR) [ANR-12-JSV1-0004] Funding Source: Agence Nationale de la Recherche (ANR)</t>
  </si>
  <si>
    <t>ANR (French National Research Agency) Starting Grant(Agence Nationale de la Recherche (ANR)); National Institutes of Health grants(United States Department of Health &amp; Human ServicesNational Institutes of Health (NIH) - USA); Agence Nationale de la Recherche (ANR)(Agence Nationale de la Recherche (ANR))</t>
  </si>
  <si>
    <t>Funded in part by ANR (French National Research Agency) Starting Grant 2012: EPINE ANR-12-JSV1-0004-01 (C. Guignabert), National Institutes of Health grants HL082662 (M. Nicolls), and NHLBI-HV-10-05 (M. Nicolls and M. Rabinovitch).</t>
  </si>
  <si>
    <t>JUN 20</t>
  </si>
  <si>
    <t>10.1161/CIRCRESAHA.113.301141</t>
  </si>
  <si>
    <t>AJ5PY</t>
  </si>
  <si>
    <t>WOS:000337738900018</t>
  </si>
  <si>
    <t>Chaumais, MC; Ranchoux, B; Montani, D; Dorfmüller, P; Tu, L; Lecerf, F; Raymond, N; Guignabert, C; Price, L; Simonneau, G; Cohen-Kaminsky, S; Humbert, M; Perros, F</t>
  </si>
  <si>
    <t>Chaumais, Marie-Camille; Ranchoux, Benoit; Montani, David; Dorfmueller, Peter; Tu, Ly; Lecerf, Florence; Raymond, Nicolas; Guignabert, Christophe; Price, Laura; Simonneau, Gerald; Cohen-Kaminsky, Sylvia; Humbert, Marc; Perros, Frederic</t>
  </si>
  <si>
    <t>N-acetylcysteine improves established monocrotaline-induced pulmonary hypertension in rats</t>
  </si>
  <si>
    <t>Pulmonary hypertension; Immunomodulation; Inflammation; Right heart function; N-acetylcysteine</t>
  </si>
  <si>
    <t>OXIDATIVE STRESS; CIRCULATING FIBROCYTES; ARTERIAL-HYPERTENSION; REACTIVE OXYGEN; RIGHT VENTRICLE; INFLAMMATION; HYPERTROPHY; HEART; INTERLEUKIN-1; CONTRIBUTES</t>
  </si>
  <si>
    <t>Background: The outcome of patients suffering from pulmonary arterial hypertension (PAH) are predominantly determined by the response of the right ventricle to the increase afterload secondary to high vascular pulmonary resistance. However, little is known about the effects of the current available or experimental PAH treatments on the heart. Recently, inflammation has been implicated in the pathophysiology of PAH. N-acetylcysteine (NAC), a well-known safe anti-oxidant drug, has immuno-modulatory and cardioprotective properties. We therefore hypothesized that NAC could reduce the severity of pulmonary hypertension (PH) in rats exposed to monocrotaline (MCT), lowering inflammation and preserving pulmonary vascular system and right heart function. Methods: Saline-treated control, MCT-exposed, MCT-exposed and NAC treated rats (day 14-28) were evaluated at day 28 following MCT for hemodynamic parameters (right ventricular systolic pressure, mean pulmonary arterial pressure and cardiac output), right ventricular hypertrophy, pulmonary vascular morphometry, lung inflammatory cells immunohistochemistry (monocyte/macrophages and dendritic cells), IL-6 expression, cardiomyocyte hypertrophy and cardiac fibrosis. Results: The treatment with NAC significantly decreased pulmonary vascular remodeling, lung inflammation, and improved total pulmonary resistance (from 0.71 +/- 0.05 for MCT group to 0.50 +/- 0.06 for MCT + NAC group, p &lt; 0.05). Right ventricular function was also improved with NAC treatment associated with a significant decrease in cardiomyocyte hypertrophy (625 +/- 69 vs. 439 +/- 21 mu m(2) for MCT and MCT + NAC group respectively, p &lt; 0.001) and heart fibrosis (14.1 +/- 0.8 vs. 8.8 +/- 0.1% for MCT and MCT + NAC group respectively, p &lt; 0.001). Conclusions: Through its immuno-modulatory and cardioprotective properties, NAC has beneficial effect on pulmonary vascular and right heart function in experimental PH.</t>
  </si>
  <si>
    <t>[Chaumais, Marie-Camille] Univ Paris Sud, Fac Pharm, Chatenay Malabry, France; [Chaumais, Marie-Camille; Ranchoux, Benoit; Montani, David; Dorfmueller, Peter; Tu, Ly; Lecerf, Florence; Raymond, Nicolas; Guignabert, Christophe; Simonneau, Gerald; Cohen-Kaminsky, Sylvia; Humbert, Marc; Perros, Frederic] INSERM, UMRS 999, F-92350 Le Plessis Robinson, France; [Chaumais, Marie-Camille; Ranchoux, Benoit; Montani, David; Dorfmueller, Peter; Tu, Ly; Lecerf, Florence; Raymond, Nicolas; Guignabert, Christophe; Simonneau, Gerald; Cohen-Kaminsky, Sylvia; Humbert, Marc; Perros, Frederic] Univ Paris Sud, Ctr Chirurg Marie Lannelongue, Lab Excellence LabEx Rech Med &amp; Innovat Therapeut, F-92350 Le Plessis Robinson, France; [Chaumais, Marie-Camille] Hop Antoine Beclere, AP HP, Dept Hosp Univ DHU Thorax Innovat, Serv Pharm, Clamart, France; [Ranchoux, Benoit; Montani, David; Dorfmueller, Peter; Tu, Ly; Lecerf, Florence; Raymond, Nicolas; Guignabert, Christophe; Simonneau, Gerald; Cohen-Kaminsky, Sylvia; Humbert, Marc; Perros, Frederic] Univ Paris Sud, Fac Med, F-94275 Le Kremlin Bicetre, France; [Montani, David; Simonneau, Gerald; Humbert, Marc] Hop Bicetre, AP HP, Det Hosp Univ DHU Thorax Innovat, Ctr Natl Reference Hypertens Pumonaire Severe,Ser, Le Kremlin Bicetre, France; [Price, Laura] Royal Brompton Hosp, Dept Pulm Hypertens, London SW3 6LY, England</t>
  </si>
  <si>
    <t>Universite Paris Saclay; Institut National de la Sante et de la Recherche Medicale (Inserm); Hopital Marie Lannelongue; Universite Paris Saclay; Assistance Publique Hopitaux Paris (APHP); Hopital Universitaire Antoine-Beclere - APHP; Universite Paris Saclay; Assistance Publique Hopitaux Paris (APHP); Hopital Universitaire Bicetre - APHP; Royal Brompton Hospital</t>
  </si>
  <si>
    <t>Perros, F (corresponding author), INSERM, UMRS 999, 133 Ave Resistance, F-92350 Le Plessis Robinson, France.</t>
  </si>
  <si>
    <t>Simonneau, Gerald/ABE-6614-2020; Ranchoux, Benoît/AAX-6037-2020; David, Montani/I-6885-2019; TU, Ly/G-4035-2013; Humbert, Marc/AAC-8459-2019; Cohen-Kaminsky, Sylvia/E-4837-2014; GUIGNABERT, Christophe/G-3873-2013; Perros, Frederic/N-6921-2017</t>
  </si>
  <si>
    <t>TU, Ly/0000-0003-2336-5099; Humbert, Marc/0000-0003-0703-2892; Cohen-Kaminsky, Sylvia/0000-0002-6341-7482; Dorfmuller, Peter/0000-0003-2499-6829; GUIGNABERT, Christophe/0000-0002-8545-4452; Perros, Frederic/0000-0001-7730-2427; Chaumais, Marie-Camille/0000-0002-1217-8442; Montani, David/0000-0002-9358-6922</t>
  </si>
  <si>
    <t>Fondation pour la recherche medicale; Agence National de la Recherche [ANR-13-JSV1-0011]; Agence Nationale de la Recherche (ANR) [ANR-13-JSV1-0011] Funding Source: Agence Nationale de la Recherche (ANR)</t>
  </si>
  <si>
    <t>Fondation pour la recherche medicale(Fondation pour la Recherche Medicale); Agence National de la Recherche(Agence Nationale de la Recherche (ANR)); Agence Nationale de la Recherche (ANR)(Agence Nationale de la Recherche (ANR))</t>
  </si>
  <si>
    <t>This work was supported by Fondation pour la recherche medicale and by the Agence National de la Recherche (ANR-13-JSV1-0011).</t>
  </si>
  <si>
    <t>10.1186/1465-9921-15-65</t>
  </si>
  <si>
    <t>AK5HV</t>
  </si>
  <si>
    <t>WOS:000338456300001</t>
  </si>
  <si>
    <t>Rain, S; Bos, DDG; Handoko, ML; Westerhof, N; Stienen, G; Ottenheijm, C; Goebel, M; Dorfmüller, P; Guignabert, C; Humbert, M; Bogaard, HJ; dos Remedios, C; Saripalli, C; Hidalgo, CG; Granzier, HL; Vonk-Noordegraaf, A; van der Velden, J; de Man, FS</t>
  </si>
  <si>
    <t>Rain, Silvia; Bos, Denielli da Silva Goncalves; Handoko, M. Louis; Westerhof, Nico; Stienen, Ger; Ottenheijm, Coen; Goebel, Max; Dorfmueller, Peter; Guignabert, Christophe; Humbert, Marc; Bogaard, Harm-Jan; dos Remedios, Cris; Saripalli, Chandra; Hidalgo, Carlos G.; Granzier, Henk L.; Vonk-Noordegraaf, Anton; van der Velden, Jolanda; de Man, Frances S.</t>
  </si>
  <si>
    <t>Protein Changes Contributing to Right Ventricular Cardiomyocyte Diastolic Dysfunction in Pulmonary Arterial Hypertension</t>
  </si>
  <si>
    <t>diastole; pulmonary heart disease</t>
  </si>
  <si>
    <t>TROPONIN-I; MUSCLE-CONTRACTION; PASSIVE STIFFNESS; HEART-FAILURE; KINASE-II; TITIN; PHOSPHORYLATION; MYOCARDIUM; ISOFORM; DOMAIN</t>
  </si>
  <si>
    <t>Background-Right ventricular (RV) diastolic function is impaired in patients with pulmonary arterial hypertension (PAH). Our previous study showed that elevated cardiomyocyte stiffness and myofilament Ca2+ sensitivity underlie diastolic dysfunction in PAH. This study investigates protein modifications contributing to cellular diastolic dysfunction in PAH. Methods and Results-RV samples from PAH patients undergoing heart-lung transplantation were compared to non-failing donors (Don). Titin stiffness contribution to RV diastolic dysfunction was determined by Western-blot analyses using antibodies to protein-kinase-A (PKA), C alpha (PKC alpha) and Ca2+/calmoduling-dependent-kinase (CamKII delta) titin and phospholamban (PLN) phosphorylation sites: N2B (Ser469), PEVK (Ser170 and Ser26), and PLN (Thr17), respectively. PKA and PKC alpha sites were significantly less phosphorylated in PAH compared with donors (P&lt;0.0001). To test the functional relevance of PKA-, PKC alpha-, and CamK(II delta)-mediated titin phosphorylation, we measured the stiffness of single RV cardiomyocytes before and after kinase incubation. PKA significantly decreased PAH RV cardiomyocyte diastolic stiffness, PKC alpha further increased stiffness while CamK(II delta) had no major effect. CamKII delta activation was determined indirectly by measuring PLN Thr17phosphorylation level. No significant changes were found between the groups. Myofilament Ca2+ sensitivity is mediated by sarcomeric troponin I (cTnI) phosphorylation. We observed increased unphosphorylated cTnI in PAH compared with donors (P&lt;0.05) and reduced PKA-mediated cTnI phosphorylation (Ser22/23) (P&lt;0.001). Finally, alterations in Ca2+-handling proteins contribute to RV diastolic dysfunction due to insufficient diastolic Ca2+ clearance. PAH SERCA2a levels and PLN phosphorylation were significantly reduced compared with donors (P&lt;0.05). Conclusions-Increased titin stiffness, reduced cTnI phosphorylation, and altered levels of phosphorylation of Ca2+ handling proteins contribute to RV diastolic dysfunction in PAH.</t>
  </si>
  <si>
    <t>[Rain, Silvia; Bos, Denielli da Silva Goncalves; Westerhof, Nico; Bogaard, Harm-Jan; Vonk-Noordegraaf, Anton; de Man, Frances S.] Vrije Univ Amsterdam Med Ctr, Dept Pulmonol, Inst Cardiovasc Res, NL-1081 HV Amsterdam, Netherlands; [Rain, Silvia; Handoko, M. Louis; Westerhof, Nico; Stienen, Ger; Ottenheijm, Coen; Goebel, Max; van der Velden, Jolanda; de Man, Frances S.] Vrije Univ Amsterdam Med Ctr, Dept Physiol, Inst Cardiovasc Res, NL-1081 HV Amsterdam, Netherlands; [Handoko, M. Louis] Vrije Univ Amsterdam Med Ctr, Dept Cardiol, Inst Cardiovasc Res, NL-1081 HV Amsterdam, Netherlands; [Stienen, Ger] Vrije Univ Amsterdam Med Ctr, Dept Phys &amp; Astron, Inst Cardiovasc Res, NL-1081 HV Amsterdam, Netherlands; [Dorfmueller, Peter; Guignabert, Christophe; Humbert, Marc] Univ Paris 11, Fac Med, Le Kremlin Bicetre, France; [Dorfmueller, Peter; Guignabert, Christophe; Humbert, Marc] INSERM, U999, LabEx LERMIT, Le Plessis Robinson, France; [Humbert, Marc] Ctr Chirurg Marie Lannelongue, Serv Anat Pathol, Le Plessis Robinson, France; [Humbert, Marc] Hop Bicetre, AP HP, Serv Pneumol, Dept Hosp Univ, Le Kremlin Bicetre, France; [dos Remedios, Cris] Univ Sydney, Discipline Anat &amp; Histol, Muscle Res Unit, Bosch Inst, Sydney, NSW 2006, Australia; [Saripalli, Chandra; Hidalgo, Carlos G.; Granzier, Henk L.] Univ Arizona, Dept Physiol, Sarver Mol Cardiovasc Res Program, Tucson, AZ USA; [van der Velden, Jolanda] ICIN Netherlands Heart Inst, Amsterdam, Netherlands</t>
  </si>
  <si>
    <t>Vrije Universiteit Amsterdam; VU UNIVERSITY MEDICAL CENTER; Vrije Universiteit Amsterdam; VU UNIVERSITY MEDICAL CENTER; Vrije Universiteit Amsterdam; VU UNIVERSITY MEDICAL CENTER; Vrije Universiteit Amsterdam; VU UNIVERSITY MEDICAL CENTER; Universite Paris Saclay; Institut National de la Sante et de la Recherche Medicale (Inserm); Universite Paris Saclay; Hopital Marie Lannelongue; Assistance Publique Hopitaux Paris (APHP); Hopital Universitaire Bicetre - APHP; Hopital Universitaire Antoine-Beclere - APHP; Universite Paris Saclay; University of Sydney; University of Arizona</t>
  </si>
  <si>
    <t>de Man, FS (corresponding author), Vrije Univ Amsterdam Med Ctr, Dept Pulmonol, De Boelelaan 1117, NL-1081 HV Amsterdam, Netherlands.</t>
  </si>
  <si>
    <t>van der Velden, J/D-1925-2016; GUIGNABERT, Christophe/G-3873-2013; Humbert, Marc/AAC-8459-2019; Da Silva Goncalves Bos, Denielli/O-9737-2018</t>
  </si>
  <si>
    <t>Bogaard, Harm Jan/0000-0001-5371-0346; van der Velden, Jolanda/0000-0001-5224-5788; Dorfmuller, Peter/0000-0003-2499-6829; GUIGNABERT, Christophe/0000-0002-8545-4452; Humbert, Marc/0000-0003-0703-2892; Handoko-de Man, Frances/0000-0002-5776-7793; Stienen, Ger/0000-0001-5829-0328; Da Silva Goncalves Bos, Denielli/0000-0001-9213-5276</t>
  </si>
  <si>
    <t>VENI [916.14.099]; VIDI from the Dutch Foundation for Scientific Research [917.12.319, 917.11.344, 917.96. 306]; Netherlands organization for Health Research and Development (ZonMw) [95110079]; European Society of Cardiology; National Institute of Health (NIH) [HL062881]; CAPES - Science Without Borders grant; CNPq Brasil</t>
  </si>
  <si>
    <t>VENI(Netherlands Organization for Scientific Research (NWO)); VIDI from the Dutch Foundation for Scientific Research; Netherlands organization for Health Research and Development (ZonMw)(Netherlands Organization for Health Research and Development); European Society of Cardiology; National Institute of Health (NIH)(United States Department of Health &amp; Human ServicesNational Institutes of Health (NIH) - USA); CAPES - Science Without Borders grant; CNPq Brasil(Conselho Nacional de Desenvolvimento Cientifico e Tecnologico (CNPQ))</t>
  </si>
  <si>
    <t>Frances S. de Man, Coen Ottenheijm, Jolanda van der Velden, and Anton Vonk-Noordegraaf were supported by a VENI (916.14.099) and VIDI (917.12.319; 917.11.344; 917.96. 306) grant from the Dutch Foundation for Scientific Research. Silvia Rain and Anton Vonk-Noordegraaf were supported by The Netherlands organization for Health Research and Development (ZonMw 95110079). Silvia Rain was supported by the European Society of Cardiology First initiative travel grant. Harm-Jan Bogaard was supported by the National Institute of Health (NIH HL062881). Denielli Bos and M. Louis Handoko were supported by CAPES - Science Without Borders grant, CNPq Brasil.</t>
  </si>
  <si>
    <t>e000716</t>
  </si>
  <si>
    <t>10.1161/JAHA.113.000716</t>
  </si>
  <si>
    <t>AI4QB</t>
  </si>
  <si>
    <t>WOS:000336848800013</t>
  </si>
  <si>
    <t>Roustit, M; Fonrose, X; Montani, D; Girerd, B; Stanke-Labesque, F; Gonnet, N; Humbert, M; Cracowski, JL</t>
  </si>
  <si>
    <t>Roustit, M.; Fonrose, X.; Montani, D.; Girerd, B.; Stanke-Labesque, F.; Gonnet, N.; Humbert, M.; Cracowski, J-L</t>
  </si>
  <si>
    <t>CYP2C9, SLCO1B1, SLCO1B3, and ABCB11 Polymorphisms in Patients With Bosentan-Induced Liver Toxicity</t>
  </si>
  <si>
    <t>CLINICAL PHARMACOLOGY &amp; THERAPEUTICS</t>
  </si>
  <si>
    <t>MECHANISM; INHIBITION; EXPORT</t>
  </si>
  <si>
    <t>Bosentan is an endothelin receptor antagonist used as a first-line treatment in pulmonary arterial hypertension (PAH). Its main adverse effect is a dose-dependent liver toxicity. CYP2C9*2 has recently been shown to be associated with hepatotoxicity in PAH patients. We conducted a nested case-control study to further explore the relationship between functional polymorphisms of gene products involved in bosentan pharmacokinetics (OATP1B1, OATP1B3, and CYP2C9) or hepatobiliary transporters affected by bosentan (ABCB11) and bosentan-induced liver toxicity.</t>
  </si>
  <si>
    <t>[Roustit, M.; Cracowski, J-L] Univ Grenoble Alpes, INSERM UMR HP2 1042, Grenoble, France; [Roustit, M.; Stanke-Labesque, F.; Gonnet, N.; Cracowski, J-L] Grenoble Univ Hosp, Clin Pharmacol Unit, INSERM CIC1406, Grenoble, France; [Fonrose, X.; Stanke-Labesque, F.] Grenoble Univ Hosp, Lab Pharmacol, Grenoble, France; [Montani, D.; Girerd, B.; Humbert, M.] Univ Paris Sud, AP HP, Ctr Natl Reference Hypertens Pulm Severe,DHU, Thorax Innovat TORINO,Hop Bicetre,Serv Pneumol, F-94275 Le Kremlin Bicetre, France; [Montani, D.; Girerd, B.; Humbert, M.] Ctr Chirurg Marie Lannelongue, LabEx LERMIT, INSERM UMRS 999, Le Plessis Robinson, France</t>
  </si>
  <si>
    <t>Communaute Universite Grenoble Alpes; Universite Grenoble Alpes (UGA); Communaute Universite Grenoble Alpes; Universite Grenoble Alpes (UGA); Institut National de la Sante et de la Recherche Medicale (Inserm); CHU Grenoble Alpes; Communaute Universite Grenoble Alpes; Universite Grenoble Alpes (UGA); CHU Grenoble Alpes; Assistance Publique Hopitaux Paris (APHP); Hopital Universitaire Antoine-Beclere - APHP; Universite Paris Saclay; Hopital Universitaire Bicetre - APHP; Hopital Marie Lannelongue; Institut National de la Sante et de la Recherche Medicale (Inserm)</t>
  </si>
  <si>
    <t>Roustit, M (corresponding author), Univ Grenoble Alpes, INSERM UMR HP2 1042, Grenoble, France.</t>
  </si>
  <si>
    <t>mroustit@chu-grenoble.fr</t>
  </si>
  <si>
    <t>Stanke, Francoise/M-7142-2014; David, Montani/I-6885-2019; Roustit, Matthieu/M-6927-2014; Humbert, Marc/AAC-8459-2019; Cracowski, Jean-Luc/M-6946-2014</t>
  </si>
  <si>
    <t>Roustit, Matthieu/0000-0003-4475-1626; Humbert, Marc/0000-0003-0703-2892; Montani, David/0000-0002-9358-6922; Cracowski, Jean-Luc/0000-0003-0787-1469</t>
  </si>
  <si>
    <t>0009-9236</t>
  </si>
  <si>
    <t>1532-6535</t>
  </si>
  <si>
    <t>CLIN PHARMACOL THER</t>
  </si>
  <si>
    <t>Clin. Pharmacol. Ther.</t>
  </si>
  <si>
    <t>10.1038/clpt.2014.42</t>
  </si>
  <si>
    <t>AH8VC</t>
  </si>
  <si>
    <t>WOS:000336415300016</t>
  </si>
  <si>
    <t>Sanges, S; Launay, D; Sitbon, O; Hachulla, E; Mouthon, L; Guillevin, L; Rottat, L; Clerson, P; Cordier, JF; Simonneau, G; Humbert, M</t>
  </si>
  <si>
    <t>Sanges, S.; Launay, D.; Sitbon, O.; Hachulla, E.; Mouthon, L.; Guillevin, L.; Rottat, L.; Clerson, P.; Cordier, J. -F.; Simonneau, G.; Humbert, M.</t>
  </si>
  <si>
    <t>RELEVANCE OF THE 6-MINUTE WALKING TEST IN ASSESSING THE SEVERITY OF PULMONARY ARTERIAL HYPERTENSION ASSOCIATED WITH SYSTEMIC SCLEROSIS, WITHOUT INTERSTITIAL LUNG DISEASE</t>
  </si>
  <si>
    <t>15th Annual European Congress of Rheumatology (EULAR)</t>
  </si>
  <si>
    <t>JUN 11-14, 2014</t>
  </si>
  <si>
    <t>[Sanges, S.; Launay, D.; Hachulla, E.] EA 2686, Lille, France; [Sanges, S.; Launay, D.; Hachulla, E.] Hop Claude Huriez, CHRU Lille, Ctr Natl Reference Sclerodermie Syst, Serv Med Interne, Lille, France; [Sanges, S.; Launay, D.; Hachulla, E.] Univ Lille Nord France, Fac Med, Lille, France; [Sitbon, O.; Rottat, L.; Simonneau, G.; Humbert, M.] Ctr Chirurg Marie Lannelongue, LabEx LERMIT, INSERM, U999, Le Plessis Robinson, France; [Sitbon, O.; Rottat, L.; Simonneau, G.; Humbert, M.] Hop Bicetre, AP HP, DHU Thorax Innovat, Serv Pneumol, Le Kremlin Bicetre, France; [Sitbon, O.; Rottat, L.; Simonneau, G.; Humbert, M.] Univ Paris 11, Fac Med, Le Kremlin Bicetre, France; [Guillevin, L.; Rottat, L.] Univ Paris 05, Serv Med Interne, Ctr Reference Vasc Necrosantes &amp; Sclerodermie Sys, Paris, France; [Clerson, P.] Orgametrie, Roubaix, France; [Cordier, J. -F.] Hosp Civils Lyon, Ctr Reference Malad Pulm Rares, Serv Pneumol, Lyon, France</t>
  </si>
  <si>
    <t>Universite de Lille; Universite de Lille; CHU Lille; Universite de Lille; Hopital Marie Lannelongue; Institut National de la Sante et de la Recherche Medicale (Inserm); Universite Paris Saclay; Assistance Publique Hopitaux Paris (APHP); Hopital Universitaire Antoine-Beclere - APHP; Universite Paris Saclay; Hopital Universitaire Bicetre - APHP; Universite Paris Saclay; Universite Paris Cite; CHU Lyon</t>
  </si>
  <si>
    <t>Humbert, Marc/AAC-8459-2019; Launay, David/A-5270-2018; Sitbon, Olivier/I-3623-2019; Simonneau, Gerald/ABE-6614-2020; Sanges, Sebastien/M-4605-2018</t>
  </si>
  <si>
    <t>OP0096</t>
  </si>
  <si>
    <t>10.1136/annrheumdis-2014-eular.1378</t>
  </si>
  <si>
    <t>AX4RT</t>
  </si>
  <si>
    <t>WOS:000346919800316</t>
  </si>
  <si>
    <t>Sitbon, O; Jaïs, X; Savale, L; Cottin, V; Bergot, E; Macari, EA; Bouvaist, H; Dauphin, C; Picard, F; Bulifon, S; Montani, D; Humbert, M; Simonneau, G</t>
  </si>
  <si>
    <t>Sitbon, Olivier; Jais, Xavier; Savale, Laurent; Cottin, Vincent; Bergot, Emmanuel; Macari, Elise Artaud; Bouvaist, Helene; Dauphin, Claire; Picard, Francois; Bulifon, Sophie; Montani, David; Humbert, Marc; Simonneau, Gerald</t>
  </si>
  <si>
    <t>Upfront triple combination therapy in pulmonary arterial hypertension: a pilot study</t>
  </si>
  <si>
    <t>EPOPROSTENOL; BOSENTAN; TREPROSTINIL; SILDENAFIL; SURVIVAL; IMPACT</t>
  </si>
  <si>
    <t>Patients with severe pulmonary arterial hypertension (PAH) in New York Heart Association (NYHA) functional class (FC) III/IV have a poor prognosis, despite survival benefits being demonstrated with intravenous epoprostenol. In this pilot study, the efficacy and safety of a triple combination therapy regimen in patients with severe PAH was investigated. Data from newly diagnosed NYHA FC III/IV PAR patients (n=19) initiated on upfront triple combination therapy (intravenous epoprostenol, bosentan and sildenafil) were collected retrospectively from a prospective registry. Significant improvements in 6-min walk distance and haemodynamics were observed after 4 months' triple combination therapy in 18 patients (p&lt;0.01); 17 patients had improved to NYHA FC I or II. One patient was not included in the month 4 assessment (due to an emergency lung transplant in month 3). At the final evaluation (mean +/- SD 32 +/- 19 months), all 18 patients had sustained clinical and haemodynamic improvement. Overall survival estimates for the triple combination cohort were 100% at 1, 2 and 3 years. Expected survival calculated from the French equation was 75% (95% CI 68-82%), 60% (95% CI 50-70%) and 49% (95% CI 38-60%) at 1, 2 and 3 years, respectively. This pilot study provides preliminary evidence of the long-term benefits of upfront triple combination therapy in patients with severe PAR.</t>
  </si>
  <si>
    <t>[Sitbon, Olivier; Jais, Xavier; Savale, Laurent; Macari, Elise Artaud; Bulifon, Sophie; Montani, David; Humbert, Marc; Simonneau, Gerald] Univ Paris Sud, Fac Med, F-94275 Le Kremlin Bicetre, France; [Sitbon, Olivier; Jais, Xavier; Savale, Laurent; Macari, Elise Artaud; Bulifon, Sophie; Montani, David; Humbert, Marc; Simonneau, Gerald] Hop Bicetre, AP HP, Ctr Reference Hypertens Pulm Severe, Serv Pneumol &amp; Soins Intensifs,DHU Thorax Innovat, Le Kremlin Bicetre, France; [Sitbon, Olivier; Jais, Xavier; Savale, Laurent; Macari, Elise Artaud; Bulifon, Sophie; Montani, David; Humbert, Marc; Simonneau, Gerald] INSERM, Ctr Chirurg Marie Lannelongue, Lab Ex LERMIT, U999, Le Plessis Robinson, France; [Cottin, Vincent] Univ Lyon 1, Ctr Reference Malad Pulmonaires Rares, Ctr Competences Hypertens Pulm, Hosp Civils Lyon,Hosp Louis Pradel, F-69365 Lyon, France; [Bergot, Emmanuel] Hop Univ Caen, Serv Pneumol &amp; Oncol Thorac, Caen, France; [Bouvaist, Helene] CHU Grenoble, Serv Cardiol, F-38043 Grenoble, France; [Dauphin, Claire] CHU Gabriel Montpied, Serv Cardiol, Clermont Ferrand, France; [Picard, Francois] Hop Haut Leveque, Serv Cardiol, Pessac, France</t>
  </si>
  <si>
    <t>Universite Paris Saclay; Assistance Publique Hopitaux Paris (APHP); Hopital Universitaire Bicetre - APHP; Hopital Universitaire Antoine-Beclere - APHP; Universite Paris Saclay; Hopital Marie Lannelongue; Institut National de la Sante et de la Recherche Medicale (Inserm); Universite Paris Saclay; CHU Lyon; Universite Claude Bernard Lyon 1; Universite de Caen Normandie; CHU de Caen NORMANDIE; CHU Grenoble Alpes; Communaute Universite Grenoble Alpes; Universite Grenoble Alpes (UGA); CHU Clermont Ferrand; Universite de Bordeaux; CHU Bordeaux</t>
  </si>
  <si>
    <t>Simonneau, Gerald/ABE-6614-2020; David, Montani/I-6885-2019; Sitbon, Olivier/I-3623-2019; Bergot, Emmanuel/KHZ-1685-2024; Savale, Laurent/AAJ-9781-2020; Humbert, Marc/AAC-8459-2019</t>
  </si>
  <si>
    <t>Montani, David/0000-0002-9358-6922; SITBON, Olivier/0000-0002-1942-1951; JAIS, XAVIER/0000-0002-4104-7994; Humbert, Marc/0000-0003-0703-2892</t>
  </si>
  <si>
    <t>Editorial support was provided by L. Quine (Elements Communications, Westerham, UK) and funded by Actelion Pharmaceuticals Ltd (Allschwil, Switzerland).</t>
  </si>
  <si>
    <t>10.1183/09031936.00116313</t>
  </si>
  <si>
    <t>AI5FS</t>
  </si>
  <si>
    <t>WOS:000336891400020</t>
  </si>
  <si>
    <t>Steriade, A; Seferian, A; Jaïs, X; Savale, L; Jutant, EM; Parent, F; Sitbon, O; Humbert, M; Simonneau, G; Montani, D</t>
  </si>
  <si>
    <t>Steriade, Alexandru; Seferian, Andrei; Jais, Xavier; Savale, Laurent; Jutant, Etienne-Marie; Parent, Florence; Sitbon, Olivier; Humbert, Marc; Simonneau, Gerald; Montani, David</t>
  </si>
  <si>
    <t>The potential for macitentan, a new dual endothelin receptor antagonist, in the treatment of pulmonary arterial hypertension</t>
  </si>
  <si>
    <t>THERAPEUTIC ADVANCES IN RESPIRATORY DISEASE</t>
  </si>
  <si>
    <t>Endothelin; endothelin receptor antagonist; macitentan; pulmonary arterial hypertension; treatment</t>
  </si>
  <si>
    <t>NITRIC-OXIDE; PHARMACOKINETICS; EXPRESSION; CLEARANCE; BOSENTAN</t>
  </si>
  <si>
    <t>In recent years in the management of pulmonary arterial hypertension (PAH), endothelin receptor antagonists (ERAs) represent a well-established class of therapeutic agents with clear beneficial effects. Macitentan (Opsumit (R)), a dual ERA optimized for efficacy and safety, is the newest drug in the class. Macitentan presents a number of key beneficial characteristics, including increased in vivo preclinical efficacy versus existing ERAs, resulting from sustained receptor binding and physicochemical properties that allow enhanced tissue penetration. The clinical pharmacokinetics studies also indicated a low predilection of macitentan for drug-drug interactions. In the SERAPHIN trial, a phase III long-term study of PAH, macitentan significantly reduced morbidity and mortality by 45% versus placebo, providing sustained long-term improvements in exercise capacity. No association was found between changes in exercise capacity and long-term clinical outcomes, but improved cardiopulmonary hemodynamics were recorded in macitentan-treated patients irrespective of baseline background PAH therapy or World Health Organization functional class. Based on these favorable data, the US Food and Drug Administration approved the 10 mg/day dose in late 2013 and the same process has recently been concluded by the European Medicines Agency.</t>
  </si>
  <si>
    <t>[Montani, David] Hop Bicetre, Ctr Reference Hypertens Pulm Severe, Serv Pneumol, F-94270 Le Kremlin Bicetre, France; [Steriade, Alexandru; Seferian, Andrei; Jais, Xavier; Savale, Laurent; Jutant, Etienne-Marie; Parent, Florence; Sitbon, Olivier; Humbert, Marc; Simonneau, Gerald] Univ Paris 11, Fac Med, Le Kremlin Bicetre, France; [Steriade, Alexandru; Seferian, Andrei; Jais, Xavier; Savale, Laurent; Jutant, Etienne-Marie; Parent, Florence; Sitbon, Olivier; Humbert, Marc; Simonneau, Gerald] Hop Bicetre, Ctr Reference Hypertens Pulm Severe, DHU Thorax Innovat, AP HP,Serv Pneumol, F-94270 Le Kremlin Bicetre, France; [Steriade, Alexandru; Seferian, Andrei; Jais, Xavier; Savale, Laurent; Jutant, Etienne-Marie; Parent, Florence; Sitbon, Olivier; Humbert, Marc; Simonneau, Gerald] INSERM, UMR S999, LabEx LERMIT, Ctr Chirurg Marie Lannelongue, Le Plessis Robinson, France</t>
  </si>
  <si>
    <t>Universite Paris Saclay; Assistance Publique Hopitaux Paris (APHP); Hopital Universitaire Antoine-Beclere - APHP; Hopital Universitaire Bicetre - APHP; Universite Paris Saclay; Assistance Publique Hopitaux Paris (APHP); Hopital Universitaire Bicetre - APHP; Universite Paris Saclay; Hopital Universitaire Antoine-Beclere - APHP; Universite Paris Saclay; Hopital Marie Lannelongue; Institut National de la Sante et de la Recherche Medicale (Inserm)</t>
  </si>
  <si>
    <t>Montani, D (corresponding author), Hop Bicetre, Ctr Reference Hypertens Pulm Severe, Serv Pneumol, 78 Rue General, F-94270 Le Kremlin Bicetre, France.</t>
  </si>
  <si>
    <t>Simonneau, Gerald/ABE-6614-2020; Sitbon, Olivier/I-3623-2019; Steriade, Alexandru/ABE-6649-2020; Savale, Laurent/AAJ-9781-2020; David, Montani/I-6885-2019; Humbert, Marc/AAC-8459-2019</t>
  </si>
  <si>
    <t>Humbert, Marc/0000-0003-0703-2892; Steriade, Alexandru Tudor/0000-0003-0253-6725; Seferian, Andrei/0000-0003-1007-433X; JAIS, XAVIER/0000-0002-4104-7994; Montani, David/0000-0002-9358-6922; Jutant, Etienne-Marie/0000-0002-1374-1890; SITBON, Olivier/0000-0002-1942-1951</t>
  </si>
  <si>
    <t>SAGE PUBLICATIONS LTD</t>
  </si>
  <si>
    <t>1 OLIVERS YARD, 55 CITY ROAD, LONDON EC1Y 1SP, ENGLAND</t>
  </si>
  <si>
    <t>1753-4658</t>
  </si>
  <si>
    <t>1753-4666</t>
  </si>
  <si>
    <t>THER ADV RESPIR DIS</t>
  </si>
  <si>
    <t>Ther. Adv. Respir. Dis.</t>
  </si>
  <si>
    <t>10.1177/1753465814530182</t>
  </si>
  <si>
    <t>AL7VR</t>
  </si>
  <si>
    <t>WOS:000339345100003</t>
  </si>
  <si>
    <t>Karaki, S; Garcia, G; Tcherakian, C; Capel, F; Tran, T; Pallardy, M; Humbert, M; Emilie, D; Godot, V</t>
  </si>
  <si>
    <t>Karaki, S.; Garcia, G.; Tcherakian, C.; Capel, F.; Tran, T.; Pallardy, M.; Humbert, M.; Emilie, D.; Godot, V.</t>
  </si>
  <si>
    <t>Enhanced glucocorticoid-induced leucine zipper in dendritic cells induces allergen-specific regulatory CD4+T-cells in respiratory allergies</t>
  </si>
  <si>
    <t>glucocorticoid-induced leucine zipper; IL-10-secreting regulatory CD4+T-cells; respiratory allergies; dendritic cells</t>
  </si>
  <si>
    <t>NF-KAPPA-B; T-CELLS; INHALED CORTICOSTEROIDS; ASTHMA; INTERLEUKIN-10; EXPRESSION; INDUCTION; MACROPHAGES; CHILDREN; EFFICACY</t>
  </si>
  <si>
    <t>Background Respiratory allergies rely on a defect of IL-10-secreting regulatory CD4(+)T-cells (IL-10-T-regs) leading to excessive Th2-biased immune responses to allergens. According to clinical data, the restoration of allergen-specific IL-10-T-regs is required to control respiratory allergies and cure patients. The discovery of mechanisms involved in the generation of IL-10-T-regs will thus help to provide effective treatments. We previously demonstrated that dendritic cells (DCs) expressing high levels of the glucocorticoid-induced leucine zipper protein (GILZ) generate antigen-specific IL-10-T-regs. Objective We suspect a defective expression of GILZ in the DCs of respiratory allergic patients and speculate that increasing its expression might restore immune tolerance against allergens through the induction of IL-10-T-regs. Methods We assessed GILZ expression in blood DCs of patients and healthy nonallergic donors by qPCR. We compared the ability of patients' DCs to induce allergen-specific IL-10-T-regs before and after an in vivo up-regulation of GILZ expression by steroid administration, steroids being inducers of GILZ. Results We report lower levels of GILZ in DCs of respiratory allergic patients that return to normal levels after steroid administration. We show that patients' DCs with increased levels of GILZ generate allergen-specific IL-10-T-regs again. We further confirm unequivocally that GILZ is required in patients' DCs to activate these IL-10-T-regs. Conclusion This proof of concept study shows that the re-establishment of GILZ expression in patients' DCs to normal levels restores their capacity to activate allergen-specific IL-10-T-regs. We thus highlight the up-regulation of GILZ in DCs as a new interventional approach to restore the immune tolerance to allergens.</t>
  </si>
  <si>
    <t>[Karaki, S.; Capel, F.; Tran, T.; Pallardy, M.; Emilie, D.; Godot, V.] INSERM, Unite Mixte Rech UMR 996, Clamart, France; [Garcia, G.; Humbert, M.; Emilie, D.; Godot, V.] Univ Paris 11, Fac Med, Le Kremlin Bicetre, France; [Garcia, G.; Humbert, M.] Hop Bicetre, AP HP, Serv Pneumol, DHU Thorax Innovat DHU TORINO, Le Kremlin Bicetre, France; [Garcia, G.; Humbert, M.] INSERM, Unite Mixte Rech Sante UMR S 999, LabEx LERMIT, Ctr Chirurg Marie Lannelongue, Le Plessis Robinson, France; [Tcherakian, C.] Hop Foch, Serv Pneumol, Suresnes, France; [Tcherakian, C.] Univ Versailles St Quentin Yvelines, Fac Med Paris Ile France Ouest, Montigny Le Bretonneux, France</t>
  </si>
  <si>
    <t>Institut National de la Sante et de la Recherche Medicale (Inserm); Universite Paris Saclay; Universite Paris Saclay; Assistance Publique Hopitaux Paris (APHP); Hopital Universitaire Antoine-Beclere - APHP; Hopital Universitaire Bicetre - APHP; Institut National de la Sante et de la Recherche Medicale (Inserm); Hopital Marie Lannelongue; Hospital Foch; Universite Paris Saclay</t>
  </si>
  <si>
    <t>Godot, V (corresponding author), Univ Paris Est Creteil, Fac Med, VRI, INSERM,U955,Eq16, F-94010 Creteil, France.</t>
  </si>
  <si>
    <t>veronique.godot@gmail.com</t>
  </si>
  <si>
    <t>Godot, Veronique/A-7863-2015; Tcherakian, Colas/D-8813-2016; Humbert, Marc/AAC-8459-2019</t>
  </si>
  <si>
    <t>Fondation pour la Recherche Medicale [DAL20041203167]; Assistance Publique-Hopitaux de Paris (Contrats d'Initiation a la Recherche Clinique) [CIRC 2005 CRC 05058]; Agence Nationale de la Recherche [ANR-09-GENO-030-01]; Region Ile-de-France</t>
  </si>
  <si>
    <t>Fondation pour la Recherche Medicale(Fondation pour la Recherche Medicale); Assistance Publique-Hopitaux de Paris (Contrats d'Initiation a la Recherche Clinique); Agence Nationale de la Recherche(Agence Nationale de la Recherche (ANR)); Region Ile-de-France(Region Ile-de-France)</t>
  </si>
  <si>
    <t>This study was supported by grants from Fondation pour la Recherche Medicale (DAL20041203167) and the Assistance Publique-Hopitaux de Paris (Contrats d'Initiation a la Recherche Clinique, CIRC 2005 CRC 05058). Soumaya Karaki holds fellowships from Region Ile-de-France and Agence Nationale de la Recherche (ANR-09-GENO-030-01). We gratefully acknowledge helpful discussions with G. Schlecht-Louf (INSERM UMR-996, Clamart, France) and N. Seddiki (INSERM U955, Creteil) and for proofreading the manuscript. We thank medical staff (Service de Pneumologie Hopital Bicetre, Le Kremlin Bicetre, France; Service de Pneumologie Hopital Foch, Suresnes, France) and Beatrice D'Urso for sample collection and Dr Roman Krzysiek for the management of specific IgE tests. Special thanks to Polly Gobin for helpful comments on the manuscript and for her great interest in our research.</t>
  </si>
  <si>
    <t>10.1111/all.12379</t>
  </si>
  <si>
    <t>AE2QB</t>
  </si>
  <si>
    <t>WOS:000333816900009</t>
  </si>
  <si>
    <t>Laveneziana, P.; Garcia, G.; Humbert, M.; Straus, C.; Similowski, T.</t>
  </si>
  <si>
    <t>Inspiratory muscle function and dyspnoea during exercise in idiopathic pulmonary arterial hypertension</t>
  </si>
  <si>
    <t>dynamic lung hyperinflation; dyspnoea; exercise; pulmonary arterial hypertension; respiratory mechanics</t>
  </si>
  <si>
    <t>[Laveneziana, P.; Straus, C.; Similowski, T.] Univ Paris 06, ER UPMC 10, Neurophysiol Resp Expt &amp; Clin, Fac Med Pierre &amp; Marie Curie, Paris, France; [Laveneziana, P.; Straus, C.] Hop Un, Serv Explorat Fonct Resp Exercice &amp; Dyspnee, Paris, France; [Garcia, G.] Hop Univ, Serv Explorat Fonct Resp, Ctr Reference Hypertens Pulm Severe, DHU TORINO Thorax Innovat,INSERM,Hyperten Arterie, Le Kremlin Bicetre, France; [Humbert, M.] Univ Kremlin Bicetre, Hop Univ Bicetre, AP HP, Serv Pneumol,Ctr Innovat,INSERM,Hypertens Arterie, Le Kremlin Bicetre, France; [Similowski, T.] Grp Hosp Pitie Salpetriere, Serv Pneumol &amp; Reanimat Med, F-75634 Paris, France</t>
  </si>
  <si>
    <t>Sorbonne Universite; Institut National de la Sante et de la Recherche Medicale (Inserm); Assistance Publique Hopitaux Paris (APHP); Hopital Universitaire Bicetre - APHP; Institut National de la Sante et de la Recherche Medicale (Inserm); Assistance Publique Hopitaux Paris (APHP); Hopital Universitaire Bicetre - APHP; Sorbonne Universite; Assistance Publique Hopitaux Paris (APHP); Hopital Universitaire Pitie-Salpetriere - APHP</t>
  </si>
  <si>
    <t>Humbert, Marc/AAC-8459-2019; Similowski, Thomas/GQQ-9468-2022; Laveneziana, Pierantonio/GWC-2028-2022</t>
  </si>
  <si>
    <t>AI7DD</t>
  </si>
  <si>
    <t>WOS:000337041300328</t>
  </si>
  <si>
    <t>Ricard, N; Tu, L; Le Hiress, M; Huertas, A; Phan, C; Thuillet, R; Sattler, C; Fadel, E; Seferian, A; Montani, D; Dorfmüller, P; Humbert, M; Guignabert, C</t>
  </si>
  <si>
    <t>Ricard, Nicolas; Tu, Ly; Le Hiress, Morane; Huertas, Alice; Phan, Carole; Thuillet, Raphael; Sattler, Caroline; Fadel, Elie; Seferian, Andrei; Montani, David; Dorfmueller, Peter; Humbert, Marc; Guignabert, Christophe</t>
  </si>
  <si>
    <t>Increased Pericyte Coverage Mediated by-Endothelial-Derived Fibroblast Growth Factor-2 and Interleukin-6 Is a Source of Smooth Muscle-Like Cells in Pulmonary Hypertension</t>
  </si>
  <si>
    <t>cell communication; endothelilal cells; fibroblast growth factor 2; interleukin-6; pericytes; pulmonary arterial hypertension; transforming growth factor beta</t>
  </si>
  <si>
    <t>BONE MORPHOGENETIC PROTEIN; ARTERIAL-HYPERTENSION; MOLECULAR-MECHANISMS; IN-VITRO; INHIBITION; DIFFERENTIATION; CONTRIBUTES; PROGRESSION; ANGIOGENESIS; VASCULATURE</t>
  </si>
  <si>
    <t>Background Pericytes and their crosstalk with endothelial cells are critical for the development of a functional microvasculature and vascular remodeling. It is also known that pulmonary endothelial dysfunction is intertwined with the initiation and progression of pulmonary arterial hypertension (PAH). We hypothesized that pulmonary endothelial dysfunction, characterized by abnormal fibroblast growth factor-2 and interleukin-6 signaling, leads to abnormal microvascular pericyte coverage causing pulmonary arterial medial thickening. Methods and Results In human lung tissues, numbers of pericytes are substantially increased (up to 2-fold) in distal PAH pulmonary arteries compared with controls. Interestingly, human pulmonary pericytes exhibit, in vitro, an accentuated proliferative and migratory response to conditioned media from human idiopathic PAH endothelial cells compared with conditioned media from control cells. Importantly, by using an anti-fibroblast growth factor-2 neutralizing antibody, we attenuated these proliferative and migratory responses, whereas by using an anti-interleukin-6 neutralizing antibody, we decreased the migratory response without affecting the proliferative response. Furthermore, in our murine retinal angiogenesis model, both fibroblast growth factor-2 and interleukin-6 administration increased pericyte coverage. Finally, using idiopathic PAH human and NG2DsRedBAC mouse lung tissues, we demonstrated that this increased pericyte coverage contributes to pulmonary vascular remodeling as a source of smooth muscle-like cells. Furthermore, we found that transforming growth factor-, in contrast to fibroblast growth factor-2 and interleukin-6, promotes human pulmonary pericyte differentiation into contractile smooth muscle-like cells. Conclusions To the best of our knowledge, this is the first report of excessive pericyte coverage in distal pulmonary arteries in human PAH. We also show that this phenomenon is directly linked with pulmonary endothelial dysfunction.</t>
  </si>
  <si>
    <t>[Ricard, Nicolas; Tu, Ly; Le Hiress, Morane; Huertas, Alice; Phan, Carole; Thuillet, Raphael; Sattler, Caroline; Fadel, Elie; Seferian, Andrei; Montani, David; Dorfmueller, Peter; Humbert, Marc; Guignabert, Christophe] Ctr Chirurg Marie Lannelongue, Natl Inst Hlth &amp; Med Res, Unit 999, LabEx Lab Excellence Res Medicat &amp; Innovat Therap, F-92350 Le Plessis Robinson, France; [Ricard, Nicolas; Tu, Ly; Le Hiress, Morane; Huertas, Alice; Phan, Carole; Thuillet, Raphael; Sattler, Caroline; Fadel, Elie; Seferian, Andrei; Montani, David; Dorfmueller, Peter; Humbert, Marc; Guignabert, Christophe] Univ Paris 11, Sch Med, Le Kremlin Bicetre, France; [Huertas, Alice; Sattler, Caroline; Seferian, Andrei; Montani, David; Humbert, Marc] Hop Bicetre, Univ Hosp Dept Thorax Innovat, Reference Ctr Severe Pulm Hypertens, Publ Hosp Paris,Pneumol Serv, Le Kremlin Bicetre, France</t>
  </si>
  <si>
    <t>Hopital Marie Lannelongue; Institut National de la Sante et de la Recherche Medicale (Inserm); Universite Paris Saclay; Assistance Publique Hopitaux Paris (APHP); Hopital Universitaire Antoine-Beclere - APHP; Hopital Universitaire Bicetre - APHP; Universite Paris Saclay</t>
  </si>
  <si>
    <t>Guignabert, C (corresponding author), Ctr Chirurg Marie Lannelongue, INSERM, UMR S999, 133 Ave Resistance, F-92350 Le Plessis Robinson, France.</t>
  </si>
  <si>
    <t>Ricard, Nicolas/AAF-1083-2019; David, Montani/I-6885-2019; Huertas, Alice/E-8244-2017; Humbert, Marc/AAC-8459-2019; TU, Ly/G-4035-2013; GUIGNABERT, Christophe/G-3873-2013</t>
  </si>
  <si>
    <t>Huertas, Alice/0000-0001-8545-747X; Humbert, Marc/0000-0003-0703-2892; Dorfmuller, Peter/0000-0003-2499-6829; Montani, David/0000-0002-9358-6922; Phan, Carole/0000-0002-7834-508X; Seferian, Andrei/0000-0003-1007-433X; Thuillet, Raphael/0000-0002-1379-3797; Ricard, Nicolas/0000-0002-7572-173X; TU, Ly/0000-0003-2336-5099; GUIGNABERT, Christophe/0000-0002-8545-4452</t>
  </si>
  <si>
    <t>French National Institute for Health and Medical Research; French National Agency for Research [ANR_12_JSV1_0004_01]</t>
  </si>
  <si>
    <t>French National Institute for Health and Medical Research(Institut National de la Sante et de la Recherche Medicale (Inserm)); French National Agency for Research(Agence Nationale de la Recherche (ANR))</t>
  </si>
  <si>
    <t>This research was supported by grants from the French National Institute for Health and Medical Research and French National Agency for Research grant ANR_12_JSV1_0004_01.</t>
  </si>
  <si>
    <t>10.1161/CIRCULATIONAHA.113.007469</t>
  </si>
  <si>
    <t>AE9II</t>
  </si>
  <si>
    <t>WOS:000334321100012</t>
  </si>
  <si>
    <t>Bergot, E; Sitbon, O; Cottin, V; Prévot, G; Canuet, M; Bourdin, A; de Groote, P; Rottat, L; Gressin, V; Jaïs, X; Humbert, M; Simonneau, G</t>
  </si>
  <si>
    <t>Bergot, Emmanuel; Sitbon, Olivier; Cottin, Vincent; Prevot, Gregoire; Canuet, Matthieu; Bourdin, Arnaud; de Groote, Pascal; Rottat, Laurence; Gressin, Virginie; Jais, Xavier; Humbert, Marc; Simonneau, Gerald</t>
  </si>
  <si>
    <t>Current epoprostenol use in patients with severe idiopathic, heritable or anorexigen-associated pulmonary arterial hypertension: Data from the French pulmonary hypertension registry</t>
  </si>
  <si>
    <t>Pulmonary arterial hypertension; Epoprostenol; Combination therapy; Survival</t>
  </si>
  <si>
    <t>COMBINATION THERAPY; 1ST-LINE BOSENTAN; SURVIVAL; MANAGEMENT; PROSTACYCLIN</t>
  </si>
  <si>
    <t>Objectives: The current use of intravenous epoprostenol in patients with severe idiopathic, heritable or anorexigen-use associated pulmonary arterial hypertension (IHA-PAH) was investigated. Methods: This observational study evaluated newly diagnosed (&lt;= 1 year) patients with IHA-PAH, enrolled in the French pulmonary hypertension (PH) registry between 2006 and 2010 and treated with epoprostenol. Among 209 consecutive patients receiving epoprostenol for the treatment of severe PH, 78 had IHA-PAH, including 43 patients naive of previous PAH-specific treatment. Results: After 4 months of epoprostenol therapy, improvement was observed for treatment naive patients (n = 43) and for patients who had received previous PAH-specific therapy (n = 35): NYHA functional class improved in 79% and 44% of these patients, respectively, 6-minute walk distance increased by 146 (p &lt; 0.0001) and 41 m (p = 0.03), cardiac index increased by 1.2 (p &lt; 0.0001) and 0.5 L.min(-1).m(-2) (p = 0.006), and pulmonary vascular resistance decreased by 700 (p &lt; 0.0001) and 299 dyn.s.cm(-5) (p = 0.009). In the treatment-naive patient group, upfront combination of epoprostenol and oral PAH therapy tended to be more beneficial compared with epoprostenol monotherapy and was associated with improvement in cardiac index (p = 0.03). The observed 1- and 3-year survival estimates from epoprostenol initiation were 84% and 69%, respectively. The highest survival rates were observed for treatment-naive patients receiving upfront combination of epoprostenol and oral PAH therapy (92% and 88% at 1 and 3 years, respectively). Conclusions: First-line therapy with epoprostenol, especially when combined with oral PAH treatment, was associated with a substantial improvement in clinical and hemodynamic status and favorable survival estimates in patients with severe IHA-PAH. (C) 2014 Elsevier Ireland Ltd. All rights reserved.</t>
  </si>
  <si>
    <t>[Bergot, Emmanuel] Univ Caen, Ctr Competences Basse Normandie Hypertens Pulm, Hop Cote de Nacre, F-14032 Caen, France; [Sitbon, Olivier; Jais, Xavier; Humbert, Marc; Simonneau, Gerald] Univ Paris 11, Le Kremlin Bicetre, France; [Sitbon, Olivier; Rottat, Laurence; Jais, Xavier; Humbert, Marc; Simonneau, Gerald] APHP, Ctr Reference Hypertens Pulm Severe, Le Kremlin Bicetre, France; [Sitbon, Olivier; Jais, Xavier; Humbert, Marc; Simonneau, Gerald] INSERM, U999, Le Plessis Robinson, France; [Cottin, Vincent] Univ Lyon 1, Ctr Competences Rhone Alpes Hypertens Pulm, Hop Louis Pradel, F-69365 Lyon, France; [Prevot, Gregoire] Hop Larrey, Ctr Competences Hypertens Pulm, Toulouse, France; [Canuet, Matthieu] Hop Civil, Ctr Competences Hypertens Pulm, Strasbourg, France; [Bourdin, Arnaud] Hop Arnaud de Villeneuve, Ctr Competences Hypertens Pulm, Montpellier, France; [de Groote, Pascal] Hop Cardiol, Ctr Competences Hypertens Pulm, F-59037 Lille, France; [Gressin, Virginie] Actel Pharmaceut France, Paris, France</t>
  </si>
  <si>
    <t>Universite de Caen Normandie; CHU de Caen NORMANDIE; Universite Paris Saclay; Assistance Publique Hopitaux Paris (APHP); Hopital Universitaire Bicetre - APHP; Hopital Universitaire Ambroise-Pare - APHP; Institut National de la Sante et de la Recherche Medicale (Inserm); Universite Paris Saclay; Universite Claude Bernard Lyon 1; CHU Lyon; CHU de Toulouse; CHU Strasbourg; Universite de Montpellier; CHU de Montpellier; Universite de Lille; CHU Lille</t>
  </si>
  <si>
    <t>Bergot, E (corresponding author), Hop Cote de Nacre, Serv Pneumol, Ave Cote de Nacre, F-14033 Caen 5, France.</t>
  </si>
  <si>
    <t>bergot-e@chu-caen.fr</t>
  </si>
  <si>
    <t>DE GROOTE, Pascal/LLL-9444-2024; Bourdin, Philippe/D-8149-2015; Sitbon, Olivier/I-3623-2019; Bergot, Emmanuel/KHZ-1685-2024; Simonneau, Gerald/ABE-6614-2020; Humbert, Marc/AAC-8459-2019</t>
  </si>
  <si>
    <t>de Groote, Pascal/0000-0002-6211-0147; SITBON, Olivier/0000-0002-1942-1951; Bourdin, Arnaud/0000-0002-4645-5209; JAIS, XAVIER/0000-0002-4104-7994; Humbert, Marc/0000-0003-0703-2892</t>
  </si>
  <si>
    <t>10.1016/j.ijcard.2013.12.313</t>
  </si>
  <si>
    <t>AD2XU</t>
  </si>
  <si>
    <t>WOS:000333101000062</t>
  </si>
  <si>
    <t>Trip, P; Girerd, B; Bogaard, HJ; de Man, FS; Boonstra, A; Garcia, G; Humbert, M; Montani, D; Vonk-Noordegraaf, A</t>
  </si>
  <si>
    <t>Trip, Pia; Girerd, Barbara; Bogaard, Harm-Jan; de Man, Frances S.; Boonstra, Anco; Garcia, Gilles; Humbert, Marc; Montani, David; Vonk-Noordegraaf, Anton</t>
  </si>
  <si>
    <t>Diffusion capacity and BMPR2 mutations in pulmonary arterial hypertension</t>
  </si>
  <si>
    <t>[Trip, Pia; Bogaard, Harm-Jan; de Man, Frances S.; Boonstra, Anco; Vonk-Noordegraaf, Anton] Vrije Univ Amsterdam Med Ctr, Dept Pulm Med, Inst Cardiovasc Res, NL-1081 HV Amsterdam, Netherlands; [Girerd, Barbara; Garcia, Gilles; Humbert, Marc; Montani, David] Univ Paris 11, Le Kremlin Bicetre, France; [Girerd, Barbara; Garcia, Gilles; Humbert, Marc; Montani, David] Hop Bicetre, AP HP, Serv Pneumol, DHU Thorax Innovat DHU TORINO, Le Kremlin Bicetre, France; [Girerd, Barbara; Garcia, Gilles; Humbert, Marc; Montani, David] Ctr Chirurg Marie Lannelongue, LabEx LERMIT, INSERM, UMR S 999, Le Plessis Robinson, France</t>
  </si>
  <si>
    <t>Vrije Universiteit Amsterdam; VU UNIVERSITY MEDICAL CENTER; Universite Paris Saclay; Assistance Publique Hopitaux Paris (APHP); Hopital Universitaire Antoine-Beclere - APHP; Universite Paris Saclay; Hopital Universitaire Bicetre - APHP; Universite Paris Saclay; Institut National de la Sante et de la Recherche Medicale (Inserm); Hopital Marie Lannelongue</t>
  </si>
  <si>
    <t>Vonk-Noordegraaf, A (corresponding author), Vrije Univ Amsterdam Med Ctr, Dept Pulm Med, De Boelelaan 1117, NL-1081 HV Amsterdam, Netherlands.</t>
  </si>
  <si>
    <t>a.vonk@vumc.nl</t>
  </si>
  <si>
    <t>boonstra, anco/J-5446-2014; David, Montani/I-6885-2019; Humbert, Marc/AAC-8459-2019</t>
  </si>
  <si>
    <t>Montani, David/0000-0002-9358-6922; Handoko-de Man, Frances/0000-0002-5776-7793; Bogaard, Harm Jan/0000-0001-5371-0346; Vonk Noordegraaf, Anton/0000-0002-4057-758X; Humbert, Marc/0000-0003-0703-2892</t>
  </si>
  <si>
    <t>10.1183/09031936.00136413</t>
  </si>
  <si>
    <t>AE8OT</t>
  </si>
  <si>
    <t>WOS:000334261900039</t>
  </si>
  <si>
    <t>Huertas, A; Perros, F; Tu, L; Cohen-Kaminsky, S; Montani, D; Dorfmüller, P; Guignabert, C; Humbert, M</t>
  </si>
  <si>
    <t>Huertas, Alice; Perros, Frederic; Tu, Ly; Cohen-Kaminsky, Sylvia; Montani, David; Dorfmueller, Peter; Guignabert, Christophe; Humbert, Marc</t>
  </si>
  <si>
    <t>Immune Dysregulation and Endothelial Dysfunction in Pulmonary Arterial Hypertension A Complex Interplay</t>
  </si>
  <si>
    <t>autoimmunity; endothelium; hypertension; pulmonary; immune system</t>
  </si>
  <si>
    <t>REGULATORY T-CELLS; GERMINAL CENTER FORMATION; LYMPHOID NEOGENESIS; SYSTEMIC-SCLEROSIS; DENDRITIC CELLS; IMMUNOSUPPRESSIVE THERAPY; AUTOIMMUNE-DISEASE; SELF-TOLERANCE; MAST-CELLS; B-CELLS</t>
  </si>
  <si>
    <t>[Huertas, Alice; Perros, Frederic; Tu, Ly; Cohen-Kaminsky, Sylvia; Montani, David; Dorfmueller, Peter; Guignabert, Christophe; Humbert, Marc] Univ Paris Sud, Fac Med, F-94270 Le Kremlin Bicetre, France; [Huertas, Alice; Perros, Frederic; Tu, Ly; Cohen-Kaminsky, Sylvia; Montani, David; Dorfmueller, Peter; Guignabert, Christophe; Humbert, Marc] Hop Bicetre, AP HP, Dept Hosp Univ DHU Thorax Innovat TORINO, Ctr Reference Hypertens Pulm Severe,Serv Pneumol, F-94270 Le Kremlin Bicetre, France; [Huertas, Alice; Perros, Frederic; Tu, Ly; Cohen-Kaminsky, Sylvia; Montani, David; Dorfmueller, Peter; Guignabert, Christophe; Humbert, Marc] Univ Paris Sud, UMR S 999, F-92350 Le Plessis Robinson, France; [Huertas, Alice; Perros, Frederic; Tu, Ly; Cohen-Kaminsky, Sylvia; Montani, David; Dorfmueller, Peter; Guignabert, Christophe; Humbert, Marc] INSERM, F-92350 Le Plessis Robinson, France; [Huertas, Alice; Perros, Frederic; Tu, Ly; Cohen-Kaminsky, Sylvia; Montani, David; Dorfmueller, Peter; Guignabert, Christophe; Humbert, Marc] Ctr Chirurg Marie Lannelongue, Lab Excellence LabEx Rech Medicament &amp; Innovat Th, F-92350 Le Plessis Robinson, France</t>
  </si>
  <si>
    <t>Universite Paris Saclay; Assistance Publique Hopitaux Paris (APHP); Hopital Universitaire Bicetre - APHP; Hopital Universitaire Antoine-Beclere - APHP; Universite Paris Saclay; Universite Paris Saclay; Institut National de la Sante et de la Recherche Medicale (Inserm); Hopital Marie Lannelongue</t>
  </si>
  <si>
    <t>David, Montani/I-6885-2019; GUIGNABERT, Christophe/G-3873-2013; Perros, Frederic/N-6921-2017; Humbert, Marc/AAC-8459-2019; Huertas, Alice/E-8244-2017; TU, Ly/G-4035-2013; Cohen-Kaminsky, Sylvia/E-4837-2014</t>
  </si>
  <si>
    <t>GUIGNABERT, Christophe/0000-0002-8545-4452; Montani, David/0000-0002-9358-6922; Perros, Frederic/0000-0001-7730-2427; Humbert, Marc/0000-0003-0703-2892; Huertas, Alice/0000-0001-8545-747X; Dorfmuller, Peter/0000-0003-2499-6829; TU, Ly/0000-0003-2336-5099; Cohen-Kaminsky, Sylvia/0000-0002-6341-7482</t>
  </si>
  <si>
    <t>French Medical Research Foundation; French National Agency for Research [ANR_12_JSV1_0004_01, ANR_13_JSV1_0011_01]</t>
  </si>
  <si>
    <t>French Medical Research Foundation(Fondation pour la Recherche Medicale); French National Agency for Research(Agence Nationale de la Recherche (ANR))</t>
  </si>
  <si>
    <t>Dr Huertas is supported by the Josso Award 2010 from the French Medical Research Foundation and by the French National Agency for Research (grant ANR_12_JSV1_0004_01). Dr Perros is supported by the French National Agency for Research (grant ANR_13_JSV1_0011_01).</t>
  </si>
  <si>
    <t>10.1161/CIRCULATIONAHA.113.004555</t>
  </si>
  <si>
    <t>AG4DP</t>
  </si>
  <si>
    <t>WOS:000335369800013</t>
  </si>
  <si>
    <t>Cracowski, JL; Chabot, F; Labarère, J; Faure, P; Degano, B; Schwebel, C; Chaouat, A; Reynaud-Gaubert, M; Cracowski, C; Sitbon, O; Yaici, A; Simonneau, G; Humbert, M</t>
  </si>
  <si>
    <t>Cracowski, Jean-Luc; Chabot, Francois; Labarere, Jose; Faure, Patrice; Degano, Bruno; Schwebel, Carole; Chaouat, Ari; Reynaud-Gaubert, Martine; Cracowski, Claire; Sitbon, Olivier; Yaici, Azzedine; Simonneau, Gerald; Humbert, Marc</t>
  </si>
  <si>
    <t>Proinflammatory cytokine levels are linked to death in pulmonary arterial hypertension</t>
  </si>
  <si>
    <t>SURVIVAL; BIOMARKERS</t>
  </si>
  <si>
    <t>[Cracowski, Jean-Luc; Cracowski, Claire] Univ Hosp, Dept Clin Pharmacol, INSERM CIC3, Grenoble, France; [Cracowski, Jean-Luc; Faure, Patrice] Univ Grenoble Alpes, INSERM U1042, Grenoble, France; [Chabot, Francois; Chaouat, Ari] Univ Hosp, Dept Pulmonol, Nancy, France; [Labarere, Jose] Univ Grenoble Alpes, TIMC UMR CNRS 5525, Grenoble, France; [Labarere, Jose] Univ Hosp, Qual Care Unit, Grenoble, France; [Faure, Patrice] Univ Hosp, Dept Integrated Biol, Grenoble, France; [Degano, Bruno] Univ Hosp, Dept Physiol, Besancon, France; [Schwebel, Carole] Univ Hosp, Intens Care Unit, Grenoble, France; [Reynaud-Gaubert, Martine] Univ Hosp, Pulmonol Dept, Marseille, France; [Sitbon, Olivier; Yaici, Azzedine; Simonneau, Gerald; Humbert, Marc] Univ Paris 11, Fac Med, Le Kremlin Bicetre, France; [Sitbon, Olivier; Yaici, Azzedine; Simonneau, Gerald; Humbert, Marc] Hop Bicetre, AP HP, Thorax Innovat Hosp Univ Dept DHU TORINO, Dept Pulmonol, Le Kremlin Bicetre, France; [Sitbon, Olivier; Yaici, Azzedine; Simonneau, Gerald; Humbert, Marc] Marie Lannelongue Surg Ctr, INSERM U999, LabEx LERMIT, Le Plessis Robinson, France</t>
  </si>
  <si>
    <t>CHU Grenoble Alpes; Institut National de la Sante et de la Recherche Medicale (Inserm); Institut National de la Sante et de la Recherche Medicale (Inserm); Communaute Universite Grenoble Alpes; Universite Grenoble Alpes (UGA); CHU de Nancy; Communaute Universite Grenoble Alpes; Institut National Polytechnique de Grenoble; Universite Grenoble Alpes (UGA); Centre National de la Recherche Scientifique (CNRS); CHU Grenoble Alpes; CHU Grenoble Alpes; Universite de Franche-Comte; CHU Besancon; CHU Grenoble Alpes; Aix-Marseille Universite; Assistance Publique-Hopitaux de Marseille; Universite Paris Saclay; Universite Paris Saclay; Assistance Publique Hopitaux Paris (APHP); Hopital Universitaire Antoine-Beclere - APHP; Hopital Universitaire Bicetre - APHP; Institut National de la Sante et de la Recherche Medicale (Inserm); Universite Paris Saclay</t>
  </si>
  <si>
    <t>Cracowski, JL (corresponding author), Grenoble Univ Hosp, Unite Pharmacol Clin, INSERM CIC3, CS10217, F-38043 Grenoble 09, France.</t>
  </si>
  <si>
    <t>Jean-Luc.Cracowski@ujf-grenoble.fr</t>
  </si>
  <si>
    <t>Simonneau, Gerald/ABE-6614-2020; Reynaud-Gaubert, Martine/P-6958-2016; Chaouat, Ari/AAP-6784-2021; Degano, Bruno/IAQ-7289-2023; Labarère, José/N-1688-2014; Sitbon, Olivier/I-3623-2019; schwebel, carole/M-6189-2014; Cracowski, Jean-Luc/M-6946-2014; Humbert, Marc/AAC-8459-2019</t>
  </si>
  <si>
    <t>Cracowski, Jean-Luc/0000-0003-0787-1469; Labarere, Jose/0000-0001-7621-6586; SITBON, Olivier/0000-0002-1942-1951; Humbert, Marc/0000-0003-0703-2892; Degano, Bruno/0000-0003-1644-7264; Cracowski, Claire/0000-0001-9911-4478</t>
  </si>
  <si>
    <t>10.1183/09031936.00151313</t>
  </si>
  <si>
    <t>AC8WU</t>
  </si>
  <si>
    <t>WOS:000332816600039</t>
  </si>
  <si>
    <t>Khanna, D; Gladue, H; Fitzgerald, J; Channick, R; Chung, L; Distler, O; Furst, D; Hachulla, E; Humbert, M; Langelben, D; Mathai, S; Saggars, R; Visovatti, S; McLaughlin, V</t>
  </si>
  <si>
    <t>Khanna, D.; Gladue, H.; Fitzgerald, J.; Channick, R.; Chung, L.; Distler, O.; Furst, D.; Hachulla, E.; Humbert, M.; Langelben, D.; Mathai, S.; Saggars, R.; Visovatti, S.; McLaughlin, V.</t>
  </si>
  <si>
    <t>RECOMMENDATIONS FOR SCREENING AND DETECTION OF CONNECTIVE-TISSUE DISEASE ASSOCIATED PULMONARY ARTERIAL HYPERTENSION</t>
  </si>
  <si>
    <t>CLINICAL AND EXPERIMENTAL RHEUMATOLOGY</t>
  </si>
  <si>
    <t>[Khanna, D.; Gladue, H.; Visovatti, S.; McLaughlin, V.] Univ Michigan, Ann Arbor, MI 48109 USA; [Fitzgerald, J.; Furst, D.] Univ Calif Los Angeles, Los Angeles, CA USA; [Channick, R.] Massachusetts Gen Hosp, Boston, MA 02114 USA; [Chung, L.] Stanford Univ, Palo Alto, CA 94304 USA; [Distler, O.] Univ Zurich, Zurich, Switzerland; [Hachulla, E.] Univ Hosp Lille, Lille, France; [Humbert, M.] Univ S Paris, Paris, France; [Langelben, D.] McGill Univ, Montreal, PQ, Canada; [Mathai, S.] Johns Hopkins Univ, Baltimore, MD USA; [Saggars, R.] St Joseph Hosp, Phoenix, AZ USA</t>
  </si>
  <si>
    <t>University of Michigan System; University of Michigan; University of California System; University of California Los Angeles; Harvard University; Harvard University Medical Affiliates; Massachusetts General Hospital; Stanford University; University of Zurich; Universite de Lille; CHU Lille; McGill University; Johns Hopkins University; St. Joseph's Hospital and Medical Center</t>
  </si>
  <si>
    <t>Distler, Oliver/AAE-6225-2019; furst, daniel/B-7316-2014; HACHULLA, ERIC/R-8488-2018; Humbert, Marc/AAC-8459-2019; FitzGerald, John/T-5539-2018</t>
  </si>
  <si>
    <t>FitzGerald, John/0000-0002-8419-7538</t>
  </si>
  <si>
    <t>CLINICAL &amp; EXPER RHEUMATOLOGY</t>
  </si>
  <si>
    <t>PISA</t>
  </si>
  <si>
    <t>VIA SANTA MARIA 31, 56126 PISA, ITALY</t>
  </si>
  <si>
    <t>0392-856X</t>
  </si>
  <si>
    <t>CLIN EXP RHEUMATOL</t>
  </si>
  <si>
    <t>Clin. Exp. Rheumatol.</t>
  </si>
  <si>
    <t>MAR-APR</t>
  </si>
  <si>
    <t>S20</t>
  </si>
  <si>
    <t>AH2FH</t>
  </si>
  <si>
    <t>WOS:000335936400039</t>
  </si>
  <si>
    <t>Meyer, G; Galiè, N; Grimminger, F; Grünig, E; Humbert, M; Jing, ZC; Keogh, AM; Langleben, D; Rubin, LJ; Fritsch, A; Davie, N; Ghofrani, HA</t>
  </si>
  <si>
    <t>Meyer, Gisela; Galie, Nazzareno; Grimminger, Friedrich; Gruenig, Ekkehard; Humbert, Marc; Jing, Zhi-Cheng; Keogh, Anne M.; Langleben, David; Rubin, Lewis J.; Fritsch, Arno; Davie, Neil; Ghofrani, Hossein-Ardeschir</t>
  </si>
  <si>
    <t>Long-term Riociguat Treatment in PAH Patients in WHO Functional Class (FC) I/II Versus FC III/IV at Baseline: Results From the 12-Week Phase III PATENT-1 Study and PATENT-2 Open-Label Extension</t>
  </si>
  <si>
    <t>[Meyer, Gisela; Galie, Nazzareno; Grimminger, Friedrich; Gruenig, Ekkehard; Humbert, Marc; Jing, Zhi-Cheng; Keogh, Anne M.; Langleben, David; Rubin, Lewis J.; Fritsch, Arno; Davie, Neil; Ghofrani, Hossein-Ardeschir] Complexo Hosp Santa Casa Porto Alegre, Ctr Hipertensao Pulm, Porto Alegre, RS, Brazil</t>
  </si>
  <si>
    <t>Ghofrani, Ardeschir/AAD-5293-2020; Langleben, David/AAJ-9152-2020; Rubin, Lewis/AEW-1719-2022; Humbert, Marc/AAC-8459-2019; Jing, Zhi-Cheng/AAT-9081-2021</t>
  </si>
  <si>
    <t>513A</t>
  </si>
  <si>
    <t>10.1378/chest.1824389</t>
  </si>
  <si>
    <t>CV8GF</t>
  </si>
  <si>
    <t>WOS:000364518700432</t>
  </si>
  <si>
    <t>Sanges, S.; Launay, D.; Sitbon, O.; Hachulla, E.; Mouthon, L.; Guillevin, L.; Rottat, L.; Clerson, P.; Cordier, J. F.; Simonneau, G.; Humbert, M.</t>
  </si>
  <si>
    <t>[Sanges, S.; Launay, D.; Hachulla, E.] CHRU Lille, Serv Med Interne, Ctr Reference Sclerodermie Syst, Hop Claude Huriez, F-59037 Lille, France; [Sitbon, O.; Rottat, L.; Simonneau, G.; Humbert, M.] Hop Bicetre, AP HP, DHU Thorax Innovat, Serv Pneumol, Le Kremlin Bicetre, France; [Mouthon, L.; Guillevin, L.] Hop Cochin, Ctr Reference Vascularites &amp; Sclerodermie Syst, Serv Med Interne, F-75674 Paris, France; [Clerson, P.] Orgametrie, Roubaix, France; [Cordier, J. F.] Hosp Civils Lyon, Ctr Reference Malad Pulm Rares, Serv Pneumol, Lyon, France</t>
  </si>
  <si>
    <t>Universite de Lille; CHU Lille; Assistance Publique Hopitaux Paris (APHP); Hopital Universitaire Antoine-Beclere - APHP; Hopital Universitaire Bicetre - APHP; Universite Paris Saclay; Assistance Publique Hopitaux Paris (APHP); Universite Paris Cite; Hopital Universitaire Cochin - APHP; CHU Lyon</t>
  </si>
  <si>
    <t>Humbert, Marc/AAC-8459-2019; HACHULLA, ERIC/R-8488-2018; Sitbon, Olivier/I-3623-2019; Sanges, Sebastien/M-4605-2018; Launay, David/JDM-2536-2023; Simonneau, Gerald/ABE-6614-2020; Launay, David/H-1674-2016</t>
  </si>
  <si>
    <t>S31</t>
  </si>
  <si>
    <t>WOS:000335936400065</t>
  </si>
  <si>
    <t>George, PM; Oliver, E; Dorfmuller, P; Dubois, OD; Reed, DM; Kirkby, NS; Mohamed, NA; Perros, F; Antigny, F; Fadel, E; Schreiber, BE; Holmes, AM; Southwood, M; Hagan, G; Wort, SJ; Bartlett, N; Morrell, NW; Coghlan, JG; Humbert, M; Zhao, L; Mitchell, JA</t>
  </si>
  <si>
    <t>George, Peter M.; Oliver, Eduardo; Dorfmuller, Peter; Dubois, Olivier D.; Reed, Daniel M.; Kirkby, Nicholas S.; Mohamed, Nura A.; Perros, Frederic; Antigny, Fabrice; Fadel, Elie; Schreiber, Benjamin E.; Holmes, Alan M.; Southwood, Mark; Hagan, Guy; Wort, Stephen J.; Bartlett, Nathan; Morrell, Nicholas W.; Coghlan, John G.; Humbert, Marc; Zhao, Lan; Mitchell, Jane A.</t>
  </si>
  <si>
    <t>Evidence for the Involvement of Type I Interferon in Pulmonary Arterial Hypertension</t>
  </si>
  <si>
    <t>chemokine CXCL10; endothelin-1; IFNAR1 subunit; interferon alpha-beta receptor; inflammation; interferon type I; pulmonary arterial hypertension; scleroderma; systemic</t>
  </si>
  <si>
    <t>SMOOTH-MUSCLE-CELLS; CHRONIC HEPATITIS-C; SYSTEMIC-SCLEROSIS; ENDOTHELIAL-CELLS; ALPHA; RECEPTOR; SURVIVAL; DISEASE; VIRUS; LUNG</t>
  </si>
  <si>
    <t>Rationale: Evidence is increasing of a link between interferon (IFN) and pulmonary arterial hypertension (PAH). Conditions with chronically elevated endogenous IFNs such as systemic sclerosis are strongly associated with PAH. Furthermore, therapeutic use of type I IFN is associated with PAH. This was recognized at the 2013 World Symposium on Pulmonary Hypertension where the urgent need for research into this was highlighted. Objective: To explore the role of type I IFN in PAH. Methods and Results: Cells were cultured using standard approaches. Cytokines were measured by ELISA. Gene and protein expression were measured using reverse transcriptase polymerase chain reaction, Western blotting, and immunohistochemistry. The role of type I IFN in PAH in vivo was determined using type I IFN receptor knockout (IFNAR1(-/-)) mice. Human lung cells responded to types I and II but not III IFN correlating with relevant receptor expression. Type I, II, and III IFN levels were elevated in serum of patients with systemic sclerosis associated PAH. Serum interferon inducible protein 10 (IP10; CXCL10) and endothelin 1 were raised and strongly correlated together. IP10 correlated positively with pulmonary hemodynamics and serum brain natriuretic peptide and negatively with 6-minute walk test and cardiac index. Endothelial cells grown out of the blood of PAH patients were more sensitive to the effects of type I IFN than cells from healthy donors. PAH lung demonstrated increased IFNAR1 protein levels. IFNAR1(-/-) mice were protected from the effects of hypoxia on the right heart, vascular remodeling, and raised serum endothelin 1 levels. Conclusions: These data indicate that type I IFN, via an action of IFNAR1, mediates PAH.</t>
  </si>
  <si>
    <t>[George, Peter M.; Reed, Daniel M.; Kirkby, Nicholas S.; Mohamed, Nura A.; Wort, Stephen J.; Mitchell, Jane A.] Univ London Imperial Coll Sci Technol &amp; Med, Natl Heart &amp; Lung Inst, Dept Cardiothorac Pharmacol, London SW3 6LY, England; [Oliver, Eduardo; Dubois, Olivier D.; Zhao, Lan] Univ London Imperial Coll Sci Technol &amp; Med, Hammersmith Hosp, Ctr Pharmacol &amp; Therapeut, London SW3 6LY, England; [Dorfmuller, Peter] Ctr Chirurg Marie Lannelongue, Serv Anat Pathol, Le Plessis Robinson, France; [Dorfmuller, Peter; Perros, Frederic; Antigny, Fabrice; Humbert, Marc] Univ Paris 11, Fac Med, Le Kremlin Bicetre, France; [Dorfmuller, Peter; Perros, Frederic; Antigny, Fabrice; Fadel, Elie; Humbert, Marc] Ctr Chirurg Marie Lannelongue, INSERM UMR S 999, Labex LERMIT Hypertens Arterielle Pulm Physiopath, Le Plessis Robinson, France; [Perros, Frederic; Antigny, Fabrice; Humbert, Marc] Hop Bicetre, AP HP, Serv Pneumol &amp; Reanimat Resp, Ctr Reference Hypertens Pulm Severe,DHU TORINO, Le Kremlin Bicetre, France; [Schreiber, Benjamin E.; Coghlan, John G.] Royal Free Hosp, Pulm Hypertens Serv, London NW3 2QG, England; [Holmes, Alan M.] UCL, Ctr Rheumatol &amp; Connect Tissue Dis, Dept Inflammat, London, England; [Southwood, Mark; Hagan, Guy; Morrell, Nicholas W.] Papworth Hosp NHS Trust, Pulm Vasc Dis Unit, Cambridge, England; [Bartlett, Nathan] Univ London Imperial Coll Sci Technol &amp; Med, Natl Heart &amp; Lung Inst, MRC, London SW3 6LY, England; [Bartlett, Nathan] Univ London Imperial Coll Sci Technol &amp; Med, Asthma UK Ctr Allerg Mech Asthma, Ctr Resp Infect, London SW3 6LY, England</t>
  </si>
  <si>
    <t>Imperial College London; Imperial College London; Hopital Marie Lannelongue; Universite Paris Saclay; Universite Paris Saclay; Hopital Marie Lannelongue; Institut National de la Sante et de la Recherche Medicale (Inserm); Assistance Publique Hopitaux Paris (APHP); Hopital Universitaire Bicetre - APHP; Universite Paris Saclay; Hopital Universitaire Antoine-Beclere - APHP; University of London; University College London; Royal Free London NHS Foundation Trust; UCL Medical School; University of London; University College London; Papworth Hospital; Imperial College London; University of London; King's College London; Imperial College London</t>
  </si>
  <si>
    <t>Mitchell, JA (corresponding author), Univ London Imperial Coll Sci Technol &amp; Med, Natl Heart &amp; Lung Inst, Dept Cardiothorac Pharmacol, London SW3 6LY, England.</t>
  </si>
  <si>
    <t>j.a.mitchell@imperial.ac.uk</t>
  </si>
  <si>
    <t>Mohamed, Nura/AAR-5025-2020; Antigny, Fabrice/Q-3999-2018; Humbert, Marc/AAC-8459-2019; Oliver, Eduardo/D-4971-2012; Perros, Frederic/N-6921-2017</t>
  </si>
  <si>
    <t>Dorfmuller, Peter/0000-0003-2499-6829; Antigny, Fabrice/0000-0002-9515-6571; southwood, mark/0000-0002-3493-9599; Reed, Daniel/0000-0002-8326-5957; Humbert, Marc/0000-0003-0703-2892; Oliver, Eduardo/0000-0001-9340-882X; Perros, Frederic/0000-0001-7730-2427; Bartlett, Nathan/0000-0002-2715-5163; Morrell, Nicholas/0000-0001-5700-9792; Kirkby, Nicholas/0000-0003-3509-8549</t>
  </si>
  <si>
    <t>Medical Research Council clinical research training fellowship; National Institute for Health Research Healthcare Scientist Fellowship; Agence Nationale de Securite du Medicament et des Produits de Sante (ANSM) Respiratory Disease Biomedical Research Unit at the Royal Brompton; Harefield NHS Foundation Trust and Imperial College; MRC [G1100400] Funding Source: UKRI; National Institutes of Health Research (NIHR) [HCS/P10/011] Funding Source: National Institutes of Health Research (NIHR)</t>
  </si>
  <si>
    <t>Medical Research Council clinical research training fellowship(UK Research &amp; Innovation (UKRI)Medical Research Council UK (MRC)); National Institute for Health Research Healthcare Scientist Fellowship; Agence Nationale de Securite du Medicament et des Produits de Sante (ANSM) Respiratory Disease Biomedical Research Unit at the Royal Brompton; Harefield NHS Foundation Trust and Imperial College; MRC(UK Research &amp; Innovation (UKRI)Medical Research Council UK (MRC)); National Institutes of Health Research (NIHR)(National Institutes of Health Research (NIHR))</t>
  </si>
  <si>
    <t>P.M. George is supported by a Medical Research Council clinical research training fellowship. M. Southwood is funded by a National Institute for Health Research Healthcare Scientist Fellowship. The French pulmonary hypertension pharmacovigilance network VIGIAPATH is chaired by M. Humbert and supported by the Agence Nationale de Securite du Medicament et des Produits de Sante (ANSM). The study was supported by the National Institute for Health Research (NIHR) Respiratory Disease Biomedical Research Unit at the Royal Brompton and Harefield NHS Foundation Trust and Imperial College.</t>
  </si>
  <si>
    <t>FEB 14</t>
  </si>
  <si>
    <t>10.1161/CIRCRESAHA.114.302221</t>
  </si>
  <si>
    <t>AG7GT</t>
  </si>
  <si>
    <t>WOS:000335587000018</t>
  </si>
  <si>
    <t>Dweik, RA; Rounds, S; Erzurum, SC; Archer, S; Fagan, K; Hassoun, PM; Hill, NS; Humbert, M; Kawut, SM; Krowka, M; Michelakis, E; Morrell, NW; Stenmark, K; Tuder, RM; Newman, J</t>
  </si>
  <si>
    <t>Dweik, Raed A.; Rounds, Sharon; Erzurum, Serpil C.; Archer, Stephen; Fagan, Karen; Hassoun, Paul M.; Hill, Nicholas S.; Humbert, Marc; Kawut, Steven M.; Krowka, Michael; Michelakis, Evangelos; Morrell, Nicholas W.; Stenmark, Kurt; Tuder, Rubin M.; Newman, John</t>
  </si>
  <si>
    <t>ATS Comm Pulm Hypertension Phenoty</t>
  </si>
  <si>
    <t>An Official American Thoracic Society Statement: Pulmonary Hypertension Phenotypes</t>
  </si>
  <si>
    <t>biomarkers; consortium; metabolism; pathobiology; pulmonary circulation</t>
  </si>
  <si>
    <t>BRAIN NATRIURETIC PEPTIDE; CALCIUM-CHANNEL BLOCKERS; RIGHT HEART FUNCTION; LONG-TERM RESPONSE; ARTERIAL-HYPERTENSION; SYSTEMIC-SCLEROSIS; PORTOPULMONARY HYPERTENSION; PROGNOSTIC-FACTORS; SCLERODERMA PATIENTS; PREDICTS MORTALITY</t>
  </si>
  <si>
    <t>Background: Current classification of pulmonary hypertension (PH) is based on a relatively simple combination of patient characteristics and hemodynamics. This limits customization of treatment, and lacks the clarity of a more granular identification based on individual patient phenotypes. Rapid advances in mechanistic understanding of the disease, improved imaging methods, and innovative biomarkers now provide an opportunity to define PH phenotypes on the basis of biomarkers, advanced imaging, and pathobiology. This document organizes our current understanding of PH phenotypes and identifies gaps in our knowledge. Methods: A multidisciplinary committee with expertise in clinical care (pulmonary, cardiology, pediatrics, and pathology), clinical research, and/or basic science in the areas of PH identified important questions and reviewed and synthesized the literature. Results: This document describes selected PH phenotypes and serves as an initial platform to define additional relevant phenotypes as new knowledge is generated. The biggest gaps in our knowledge stem from the fact that our present understanding of PH phenotypes has not come from any particularly organized effort to identify such phenotypes, but rather from reinterpreting studies and reports that were designed and performed for other purposes. Conclusions: Accurate phenotyping of PH can be used in research studies to increase the homogeneity of study cohorts. Once the ability of the phenotypes to predict outcomes has been validated, phenotyping may also be useful for determining prognosis and guiding treatment. This important next step in PH patient care can optimally be addressed through a consortium of study sites with well-defined goals, tasks, and structure. Planning and support for this could include the National Institutes of Health and the U. S. Food and Drug Administration, with industry and foundation partnerships.</t>
  </si>
  <si>
    <t>stenmark, kurt/AFI-6776-2022; Rounds, Sharon/AAF-7380-2020; Humbert, Marc/AAC-8459-2019</t>
  </si>
  <si>
    <t>Humbert, Marc/0000-0003-0703-2892; Morrell, Nicholas/0000-0001-5700-9792</t>
  </si>
  <si>
    <t>Gilead; Actelion; Bayer Schering Pharma; United Therapeutics; GlaxoSmithKline; Novartis</t>
  </si>
  <si>
    <t>Gilead(Gilead Sciences); Actelion; Bayer Schering Pharma(Bayer AG); United Therapeutics; GlaxoSmithKline(GlaxoSmithKline); Novartis(Novartis)</t>
  </si>
  <si>
    <t>S.C.E. was principal investigator for an Asthmatx clinical trial on bronchial thermoplasty (payments made to institution, amounts not reported). K.F. was a consultant to Gilead (PAH Research Scholars Program grant reviewer), Up-to-Date, Inc. (no payments reported), and Novartis (data safety managing board for imatinib in PAH; $5,000-24,999); she received research support from Actelion ($25,000-49,999), Bayer Schering Pharma ($25,000-49,999), Gilead ($25,000-49,999), and United Therapeutics ($5,000-24,999); she was a speaker in nonpromotional activities of Actelion (no payments reported), Bayer Schering Pharma ($5,000-24,999), and Gilead ($5,000-24,999). N.S.H. was on advisory committees of Gilead ($1-4,999) and Aerogen ($1-4,999). M.H. was a consultant and/or speaker for Actelion ($5,000-24,999), Bayer Schering Pharma ($1-4,999), GlaxoSmithKline ($1-4,999), Eli Lilly ($1-4,999), Novartis ($1-4,999), Pfizer ($1-4,999), and United Therapeutics ($1-4,999); he received research support from Actelion ($5,000-24,999) and GlaxoSmithKline ($5,000-24,999). S.M.K. was on advisory committees of Gilead, Ikaria, and Insamed ($1-4,999); he was a speaker in nonpromotional activities of Actelion ($25,000-49,999), Gilead ($5,000-24,999), Ikaria ($5,000-24,999), Lung Rx ($5,000-24,999), Merck ($5,000-24,999), Pfizer ($5,000-24,999), and United Therapeutics ($5,000-24,999); he received research support from Actelion ($25,000-49,999) and Gilead ($25,000-49,999). M.K. was on an advisory committee of Gilead ($1-4,999). E.M. was a consultant to Bayer, Merck, and United Therapeutics (amounts not reported). N.W.M. was on an advisory committee of Novartis ($1-4,999) and received research support from Novartis (more than $100,000). R.A.D., S.R., S.A., P.M.H., K.S., R.M.T., and J.N. reported no relevant commercial interests.</t>
  </si>
  <si>
    <t>10.1164/rccm.201311-1954ST</t>
  </si>
  <si>
    <t>AB4XN</t>
  </si>
  <si>
    <t>WOS:000331793400017</t>
  </si>
  <si>
    <t>Guihaire, J; Haddad, F; Boulate, D; Capderou, A; Decante, B; Flécher, E; Eddahibi, S; Dorfmüller, P; Hervé, P; Humbert, M; Verhoye, JP; Dartevelle, P; Mercier, O; Fadel, E</t>
  </si>
  <si>
    <t>Guihaire, Julien; Haddad, Francois; Boulate, David; Capderou, Andre; Decante, Benoit; Flecher, Erwan; Eddahibi, Saadia; Dorfmueller, Peter; Herve, Philippe; Humbert, Marc; Verhoye, Jean-Philippe; Dartevelle, Philippe; Mercier, Olaf; Fadel, Elie</t>
  </si>
  <si>
    <t>Right ventricular plasticity in a porcine model of chronic pressure overload</t>
  </si>
  <si>
    <t>right ventricle; pulmonary hypertension; animal model; ventricular-arterial coupling</t>
  </si>
  <si>
    <t>PULMONARY ARTERIAL-HYPERTENSION; SYSTOLIC FUNCTION; PERFORMANCE; HEART; REST</t>
  </si>
  <si>
    <t>BACKGROUND: Ventricular arterial coupling is a measure of the relationship between ventricular contractility and afterload. We sought to determine the relationship between ventricular arterial coupling and right ventricular (RV) remodeling in a novel porcine model of progressive pulmonary hypertension (PH). METHODS: Chronic PH was induced in pigs by ligation of the left pulmonary artery (PA) followed by 5 weekly injections of cyanoacrylate to progressively obstruct the right lower lobe arteries (PH group, n = 10). At 6 weeks, 5 PH animals underwent reperfusion of the left lung through conduit anastomosis to decrease RV afterload, whereas 5 other animals received no treatment. Five sham-operated piglets were used as controls. RV function was assessed using echocardiography and conductance catheterization. RV gene expression of beta-myosin heavy chain (beta-MHC) and B-type natriuretic peptide (BNP) were quantified by polymerase chain reaction. RESULTS: At 6 weeks, compared with controls, the PH group had higher mean PA pressure (32 +/- 6 vs 14 2 mm Hg, p &lt; 0.01). The increase in RV elastance was insufficient to compensate for the increase in pulmonary arterial elastance in the PH group and altered ventricular arterial coupling occurred (0.65 +/- 0.16 vs 1.28 +/- 0.14, p &lt; 0.01). The degree of ventricular arterial uncoupling was related to RV enlargement and systolic dysfunction. Ventricular arterial uncoupling and increased RV mass index were associated with up-regulation of beta-MHC and BNP expression. CONCLUSIONS: Ventricular arterial coupling is closely associated with ventricular remodeling and systolic function as well as contractile and BNP gene expression. Dynamic changes in myosin expression may determine RV work efficiency in PH. (C) 2014 International Society for Heart and Lung Transplantation. All rights reserved.</t>
  </si>
  <si>
    <t>[Guihaire, Julien; Boulate, David; Capderou, Andre; Decante, Benoit; Herve, Philippe; Dartevelle, Philippe; Mercier, Olaf; Fadel, Elie] Univ Paris 11, Marie Lannelongue Hosp, Surg Res Lab, F-92350 Le Plessis Robinson, France; [Guihaire, Julien; Boulate, David; Capderou, Andre; Decante, Benoit; Eddahibi, Saadia; Dorfmueller, Peter; Herve, Philippe; Humbert, Marc; Dartevelle, Philippe; Mercier, Olaf; Fadel, Elie] Univ Paris 11, Marie Lannelongue Hosp, INSERM U999, F-92350 Le Plessis Robinson, France; [Haddad, Francois] Stanford Univ, Div Cardiovasc Med, Palo Alto, CA 94304 USA; [Flecher, Erwan; Verhoye, Jean-Philippe] Univ Hosp Rennes, Dept Thorac &amp; Cardiovascular Surg, Rennes, France; [Eddahibi, Saadia; Dorfmueller, Peter; Humbert, Marc] Hop Bicetre, AP HP, Fac Med, Serv Pneumol &amp; Reanimat Resp, Le Kremlin Bicetre, France</t>
  </si>
  <si>
    <t>Hopital Marie Lannelongue; Universite Paris Saclay; Hopital Marie Lannelongue; Institut National de la Sante et de la Recherche Medicale (Inserm); Universite Paris Saclay; Stanford University; Universite de Rennes; CHU Rennes; Universite Paris Saclay; Assistance Publique Hopitaux Paris (APHP); Hopital Universitaire Bicetre - APHP; Hopital Universitaire Antoine-Beclere - APHP</t>
  </si>
  <si>
    <t>Guihaire, J (corresponding author), Univ Paris 11, Marie Lannelongue Hosp, Surg Res Lab, 133 Ave Resistance, F-92350 Le Plessis Robinson, France.</t>
  </si>
  <si>
    <t>julien.guihaire@u-psud.fr</t>
  </si>
  <si>
    <t>Verhoye, Jean-Philippe/ABD-8930-2020; Boulate, David/ABC-8057-2020; Humbert, Marc/AAC-8459-2019</t>
  </si>
  <si>
    <t>Dorfmuller, Peter/0000-0003-2499-6829; Guihaire, Julien/0000-0001-7414-3176; Humbert, Marc/0000-0003-0703-2892; DECANTE, Benoit/0000-0003-1642-7589; Mercier, Olaf/0000-0002-4760-6267</t>
  </si>
  <si>
    <t>Association chirurgicale pour le developpement et l'amelioration des techniques de depistage et de traitement des maladies cardio-vasculaires (ADETEC, Suresnes, France); Cardio-vasculaire-Obesite Domaine D'Interet Majeur [CODDIM cod100158]</t>
  </si>
  <si>
    <t>Association chirurgicale pour le developpement et l'amelioration des techniques de depistage et de traitement des maladies cardio-vasculaires (ADETEC, Suresnes, France); Cardio-vasculaire-Obesite Domaine D'Interet Majeur</t>
  </si>
  <si>
    <t>We thank the team at the Laboratory of Surgical Research, Marie Lannelongue Hospital, for technical assistance and animal care. This study was supported by the Association chirurgicale pour le developpement et l'amelioration des techniques de depistage et de traitement des maladies cardio-vasculaires (ADETEC, Suresnes, France). The Vivid E9 cardiac ultrasound system (General Electric Medical System) was financed by a grant from the Cardio-vasculaire-Obesite Domaine D'Interet Majeur (CODDIM cod100158, Region Ile-de-France, France).</t>
  </si>
  <si>
    <t>10.1016/j.healun.2013.10.026</t>
  </si>
  <si>
    <t>AA5SD</t>
  </si>
  <si>
    <t>WOS:000331159000013</t>
  </si>
  <si>
    <t>Montani, D; Girerd, B; Günther, S; Riant, F; Tournier-Lasserve, E; Magy, L; Maazi, N; Guignabert, C; Savale, L; Sitbon, O; Simonneau, G; Soubrier, F; Humbert, M</t>
  </si>
  <si>
    <t>Montani, David; Girerd, Barbara; Guenther, Sven; Riant, Florence; Tournier-Lasserve, Elisabeth; Magy, Laurent; Maazi, Nizar; Guignabert, Christophe; Savale, Laurent; Sitbon, Olivier; Simonneau, Gerald; Soubrier, Florent; Humbert, Marc</t>
  </si>
  <si>
    <t>Pulmonary arterial hypertension in familial hemiplegic migraine with ATP1A2 channelopathy</t>
  </si>
  <si>
    <t>MECHANISMS; DIAGNOSIS; MUTATION</t>
  </si>
  <si>
    <t>[Montani, David; Girerd, Barbara; Guenther, Sven; Guignabert, Christophe; Savale, Laurent; Sitbon, Olivier; Simonneau, Gerald; Humbert, Marc] Univ Paris 11, Le Kremlin Bicetre, France; [Montani, David; Girerd, Barbara; Guenther, Sven; Guignabert, Christophe; Savale, Laurent; Sitbon, Olivier; Simonneau, Gerald; Humbert, Marc] Hop Bicetre, AP HP, Serv Pneumol, DHU Thorax Innovat DHU TORINO, F-94275 Le Kremlin Bicetre, France; [Montani, David; Girerd, Barbara; Guenther, Sven; Guignabert, Christophe; Savale, Laurent; Sitbon, Olivier; Simonneau, Gerald; Humbert, Marc] Ctr Chirurg Marie Lannelongue, LabEx LERMIT, Unite Mixte Rech Sante UMR S 999, INSERM, Le Plessis Robinson, France; [Riant, Florence; Tournier-Lasserve, Elisabeth] Grp Hosp Lariboisiere Fernand Widal, Ctr Reference Malad Vasc Rares Cerveau &amp; Laeil, AP HP, Serv Genet Neurovasc, Paris, France; [Riant, Florence; Tournier-Lasserve, Elisabeth] Univ Paris Diderot, Sorbonne Paris Cite, UMR S 740, INSERM, Paris, France; [Savale, Laurent] Hop Dupuytren, CHU Limoges, Serv Neurol, Limoges, France; [Maazi, Nizar] Hop Dupuytren, CHU Limoges, Serv Cardiol, Limoges, France; [Soubrier, Florent] Univ Paris 06, INSERM, UMR S 956, Paris, France; [Soubrier, Florent] Hop La Pitie Salpetriere, AP HP, Dept Genet, Paris, France; [Soubrier, Florent] Inst Cardiometab &amp; Nutr ICAN, Paris, France</t>
  </si>
  <si>
    <t>Universite Paris Saclay; Universite Paris Saclay; Assistance Publique Hopitaux Paris (APHP); Hopital Universitaire Bicetre - APHP; Hopital Universitaire Antoine-Beclere - APHP; Institut National de la Sante et de la Recherche Medicale (Inserm); Hopital Marie Lannelongue; Assistance Publique Hopitaux Paris (APHP); Universite Paris Cite; Hopital Universitaire Lariboisiere-Fernand-Widal - APHP; Universite Paris Cite; Institut National de la Sante et de la Recherche Medicale (Inserm); CHU Limoges; CHU Limoges; Sorbonne Universite; Institut National de la Sante et de la Recherche Medicale (Inserm); Sorbonne Universite; Assistance Publique Hopitaux Paris (APHP); Hopital Universitaire Pitie-Salpetriere - APHP; Sorbonne Universite; Institut National de la Sante et de la Recherche Medicale (Inserm)</t>
  </si>
  <si>
    <t>Montani, D (corresponding author), Hop Bicetre, AP HP, Ctr Reference Hypertens Pulm Severe, Serv Pneumol, 78 Rue Gen Leclerc, F-94275 Le Kremlin Bicetre, France.</t>
  </si>
  <si>
    <t>Savale, Laurent/AAJ-9781-2020; Simonneau, Gerald/ABE-6614-2020; David, Montani/I-6885-2019; Sitbon, Olivier/I-3623-2019; Günther, Sven/ACV-7191-2022; Tournier-Lasserve, Elisabeth/N-7134-2017; Humbert, Marc/AAC-8459-2019; GUIGNABERT, Christophe/G-3873-2013; GUNTHER, Sven/P-4177-2017</t>
  </si>
  <si>
    <t>Montani, David/0000-0002-9358-6922; Tournier-Lasserve, Elisabeth/0000-0002-3039-1677; Humbert, Marc/0000-0003-0703-2892; Riant, Florence/0000-0002-8648-2295; SITBON, Olivier/0000-0002-1942-1951; GUIGNABERT, Christophe/0000-0002-8545-4452; GUNTHER, Sven/0000-0001-8388-6131; Magy, Laurent/0000-0003-1784-2901</t>
  </si>
  <si>
    <t>10.1183/09031936.00147013</t>
  </si>
  <si>
    <t>AA0YY</t>
  </si>
  <si>
    <t>WOS:000330824500039</t>
  </si>
  <si>
    <t>Montani, D; Chaumais, MC; Guignabert, C; Günther, S; Girerd, B; Jaïs, X; Algalarrondo, V; Price, LC; Savale, L; Sitbon, O; Simonneau, G; Humbert, M</t>
  </si>
  <si>
    <t>Montani, David; Chaumais, Marie-Camille; Guignabert, Christophe; Guenther, Sven; Girerd, Barbara; Jais, Xavier; Algalarrondo, Vincent; Price, Laura C.; Savale, Laurent; Sitbon, Olivier; Simonneau, Gerald; Humbert, Marc</t>
  </si>
  <si>
    <t>Targeted therapies in pulmonary arterial hypertension</t>
  </si>
  <si>
    <t>PHARMACOLOGY &amp; THERAPEUTICS</t>
  </si>
  <si>
    <t>Endothelial dysfunction; Pulmonary arterial hypertension; Prostacyclin; Endothelin receptor antagonist; Type 5 phosphodiesterase inhibitors; Kinase inhibitors</t>
  </si>
  <si>
    <t>SOLUBLE GUANYLATE-CYCLASE; VASOACTIVE-INTESTINAL-PEPTIDE; RHO-KINASE INHIBITOR; ENDOTHELIN-RECEPTOR ANTAGONIST; MUSCLE-CELL PROLIFERATION; CALCIUM-CHANNEL BLOCKERS; LONG-TERM TREATMENT; CONTINUOUS INTRAVENOUS EPOPROSTENOL; MORPHOGENETIC PROTEIN-RECEPTOR; CONGESTIVE-HEART-FAILURE</t>
  </si>
  <si>
    <t>Pulmonary arterial hypertension (PAH) is a rare disorder characterized by progressive obliteration of small pulmonary arteries that leads to elevated pulmonary arterial pressure and right heart failure. During the last decades, an improved understanding of the pathophysiology of the disease has resulted in the development of effective therapies targeting endothelial dysfunction (epoprostenol and derivatives, endothelin receptor antagonists and phosphodiesterase type 5 inhibitors). These drugs allow clinical, functional and hemodynamic improvement. Even though, no cure exists for PAH and prognosis remains poor. Recently, several additional pathways have been suggested to be involved in the pathogenesis of PAH, and may represent innovative therapies. In this summary, we review conventional therapy, pharmacological agents currently available for the treatment of PAH and the benefit/risk ratio of potential future therapies. (C) 2013 Elsevier Inc. All rights reserved.</t>
  </si>
  <si>
    <t>[Montani, David; Guignabert, Christophe; Guenther, Sven; Girerd, Barbara; Jais, Xavier; Algalarrondo, Vincent; Savale, Laurent; Sitbon, Olivier; Simonneau, Gerald; Humbert, Marc] Univ Paris 11, Le Kremlin Bicetre, France; [Montani, David; Guignabert, Christophe; Guenther, Sven; Girerd, Barbara; Jais, Xavier; Savale, Laurent; Sitbon, Olivier; Simonneau, Gerald; Humbert, Marc] Hop Bicetre, Serv Pneumol, AP HP, DHU Thorax Innovat, F-94270 Le Kremlin Bicetre, France; [Montani, David; Chaumais, Marie-Camille; Guignabert, Christophe; Guenther, Sven; Girerd, Barbara; Jais, Xavier; Savale, Laurent; Sitbon, Olivier; Simonneau, Gerald; Humbert, Marc] Ctr Chirurg Marie Lannelongue, LabEx LERMIT, INSERM, U999, Le Plessis Robinson, France; [Chaumais, Marie-Camille] Univ Paris 11, Chatenay Malabry, France; [Chaumais, Marie-Camille] Hop Antoine Beclere, DHU Thorax Innovat, AP HP, Clamart, France; [Algalarrondo, Vincent] Hop Antoine Beclere, DHU Thorax Innovat, AP HP, Serv Cardiol, Clamart, France; [Price, Laura C.] Univ London Imperial Coll Sci Technol &amp; Med, Royal Brompton Hosp, Natl Heart &amp; Lung Inst, London SW3 6LY, England</t>
  </si>
  <si>
    <t>Universite Paris Saclay; Assistance Publique Hopitaux Paris (APHP); Hopital Universitaire Antoine-Beclere - APHP; Hopital Universitaire Bicetre - APHP; Universite Paris Saclay; Hopital Marie Lannelongue; Universite Paris Saclay; Institut National de la Sante et de la Recherche Medicale (Inserm); Universite Paris Saclay; Assistance Publique Hopitaux Paris (APHP); Hopital Universitaire Antoine-Beclere - APHP; Assistance Publique Hopitaux Paris (APHP); Hopital Universitaire Antoine-Beclere - APHP; Royal Brompton Hospital; Imperial College London</t>
  </si>
  <si>
    <t>Günther, Sven/ACV-7191-2022; Sitbon, Olivier/I-3623-2019; David, Montani/I-6885-2019; Simonneau, Gerald/ABE-6614-2020; Algalarrondo, Vincent/HJY-6339-2023; Savale, Laurent/AAJ-9781-2020; GUIGNABERT, Christophe/G-3873-2013; Humbert, Marc/AAC-8459-2019; GUNTHER, Sven/P-4177-2017</t>
  </si>
  <si>
    <t>Montani, David/0000-0002-9358-6922; GUIGNABERT, Christophe/0000-0002-8545-4452; SITBON, Olivier/0000-0002-1942-1951; Chaumais, Marie-Camille/0000-0002-1217-8442; JAIS, XAVIER/0000-0002-4104-7994; Humbert, Marc/0000-0003-0703-2892; GUNTHER, Sven/0000-0001-8388-6131; ALGALARRONDO, Vincent/0000-0001-5971-1235</t>
  </si>
  <si>
    <t>PERGAMON-ELSEVIER SCIENCE LTD</t>
  </si>
  <si>
    <t>THE BOULEVARD, LANGFORD LANE, KIDLINGTON, OXFORD OX5 1GB, ENGLAND</t>
  </si>
  <si>
    <t>0163-7258</t>
  </si>
  <si>
    <t>PHARMACOL THERAPEUT</t>
  </si>
  <si>
    <t>Pharmacol. Ther.</t>
  </si>
  <si>
    <t>10.1016/j.pharmthera.2013.10.002</t>
  </si>
  <si>
    <t>293DF</t>
  </si>
  <si>
    <t>WOS:000329950900006</t>
  </si>
  <si>
    <t>Voelkel, NF; Humbert, M</t>
  </si>
  <si>
    <t>Voelkel, Norbert F.; Humbert, Marc</t>
  </si>
  <si>
    <t>Translational research in pulmonary hypertension: challenge and opportunity</t>
  </si>
  <si>
    <t>FOCAL ADHESION KINASE; INTRAVENOUS EPOPROSTENOL PROSTACYCLIN; ARTERIAL-HYPERTENSION; FAK; PERSPECTIVE; ACTIVATION; CANCER; MODELS</t>
  </si>
  <si>
    <t>[Voelkel, Norbert F.] Virginia Commonwealth Univ, Div Pulm &amp; Crit Care Med, Victoria Johnson Lab Lung Res, Richmond, VA USA; [Humbert, Marc] Univ Paris 11, Fac Med, Le Kremlin Bicetre, France; [Humbert, Marc] Hop Bicetre, AP HP, Serv Pneumol, DHU TORINO, F-94270 Le Kremlin Bicetre, France; [Humbert, Marc] INSERM, U999, LabEx LERMIT, F-94275 Le Kremlin Bicetre, France</t>
  </si>
  <si>
    <t>Virginia Commonwealth University; Universite Paris Saclay; Assistance Publique Hopitaux Paris (APHP); Hopital Universitaire Antoine-Beclere - APHP; Hopital Universitaire Bicetre - APHP; Universite Paris Saclay; Institut National de la Sante et de la Recherche Medicale (Inserm)</t>
  </si>
  <si>
    <t>Humbert, M (corresponding author), Hop Bicetre, AP HP, Serv Pneumol, 78 Rue Gen Leclerc, F-94270 Le Kremlin Bicetre, France.</t>
  </si>
  <si>
    <t>10.1183/09031936.00125313</t>
  </si>
  <si>
    <t>WOS:000330824500004</t>
  </si>
  <si>
    <t>Chaumais, MC; Perrin, S; Savale, L; Jaïs, X; Guignabert, C; Sitbon, O; Simonneau, G; Humbert, M; Montani, D</t>
  </si>
  <si>
    <t>Chaumais, M. -C.; Perrin, S.; Savale, L.; Jais, X.; Guignabert, C.; Sitbon, O.; Simonneau, G.; Humbert, M.; Montani, D.</t>
  </si>
  <si>
    <t>Vasoconstrictor Nasal Decongestants Exposures In Patients With Pulmonary Arterial Hypertension</t>
  </si>
  <si>
    <t>[Chaumais, M. -C.; Perrin, S.; Savale, L.; Jais, X.; Guignabert, C.; Sitbon, O.; Simonneau, G.; Humbert, M.; Montani, D.] INSERM, UMR S 999, Le Plessis Robinson, France; [Chaumais, M. -C.; Perrin, S.; Savale, L.; Jais, X.; Guignabert, C.; Sitbon, O.; Simonneau, G.; Humbert, M.; Montani, D.] Univ Paris Sud, Labs Excellence LabEx, LERMIT, Le Plessis Robinson, France</t>
  </si>
  <si>
    <t>Universite Paris Saclay; Institut National de la Sante et de la Recherche Medicale (Inserm); Universite Paris Saclay</t>
  </si>
  <si>
    <t>GUIGNABERT, Christophe/G-3873-2013; Simonneau, Gerald/ABE-6614-2020; Savale, Laurent/AAJ-9781-2020; Humbert, Marc/AAC-8459-2019; Sitbon, Olivier/I-3623-2019; David, Montani/I-6885-2019</t>
  </si>
  <si>
    <t>A4727</t>
  </si>
  <si>
    <t>V45TF</t>
  </si>
  <si>
    <t>WOS:000209838204219</t>
  </si>
  <si>
    <t>Chemla, D; Creuze, N; Hoette, S; Papelier, Y; Savale, L; Jais, X; Sitbon, O; Humbert, M; Herve, P</t>
  </si>
  <si>
    <t>Chemla, D.; Creuze, N.; Hoette, S.; Papelier, Y.; Savale, L.; Jais, X.; Sitbon, O.; Humbert, M.; Herve, P.</t>
  </si>
  <si>
    <t>Relationship Between The Pulsatile And Steady Component Of Right Ventricular Aftertload In Patients With Precapillary Pulmonary Hypertension</t>
  </si>
  <si>
    <t>[Chemla, D.; Creuze, N.; Papelier, Y.] Fac Med Paris 11, APHP, Physiol, EA4533, Le Kremlin Bicetre, France; [Hoette, S.] Univ Sao Paulo, Pulm Div, Sao Paulo, Brazil; [Savale, L.; Jais, X.; Sitbon, O.; Humbert, M.] Univ Paris 11, INSERM, UMR S999, Pneumol,APHP, Le Kremlin Bicetre, France; [Herve, P.] Ctr Chirurg Marie Lannelongue, Le Plessis Robinson, France</t>
  </si>
  <si>
    <t>Universite Paris Saclay; Assistance Publique Hopitaux Paris (APHP); Hopital Universitaire Ambroise-Pare - APHP; Hopital Universitaire Bicetre - APHP; Universidade de Sao Paulo; Universite Paris Saclay; Institut National de la Sante et de la Recherche Medicale (Inserm); Assistance Publique Hopitaux Paris (APHP); Hopital Universitaire Ambroise-Pare - APHP; Hopital Universitaire Bicetre - APHP; Hopital Marie Lannelongue</t>
  </si>
  <si>
    <t>Savale, Laurent/AAJ-9781-2020; Humbert, Marc/AAC-8459-2019; Sitbon, Olivier/I-3623-2019</t>
  </si>
  <si>
    <t>A1899</t>
  </si>
  <si>
    <t>WOS:000209838201059</t>
  </si>
  <si>
    <t>Creuze, N; Hoette, S; Montani, D; Gunther, S; Gired, B; Simonneau, G; Souza, R; Humbert, MJC; Chemla, D</t>
  </si>
  <si>
    <t>Creuze, N.; Hoette, S.; Montani, D.; Gunther, S.; Gired, B.; Simonneau, G.; Souza, R.; Humbert, M. J. C.; Chemla, D.</t>
  </si>
  <si>
    <t>Right Ventricular Function Is Related To Resistive Rather Than To Elastic Pulmonary Arterial Properties In Precapillary Pulmonary Hypertension: A Cmr Study</t>
  </si>
  <si>
    <t>[Creuze, N.; Chemla, D.] Fac Med Paris 11, AP HP, EA4533, Physiol, Le Kremlin Bicetre, France; [Hoette, S.; Souza, R.] Univ Sao Paulo, Pulm Div, Sao Paulo, Brazil; [Montani, D.; Gunther, S.; Gired, B.; Simonneau, G.; Humbert, M. J. C.] Univ Paris 11, AP HP, INSERM, Pneumol,UMR S999, Le Kremlin Bicetre, France</t>
  </si>
  <si>
    <t>Universite Paris Saclay; Assistance Publique Hopitaux Paris (APHP); Hopital Universitaire Bicetre - APHP; Universidade de Sao Paulo; Institut National de la Sante et de la Recherche Medicale (Inserm); Assistance Publique Hopitaux Paris (APHP); Hopital Universitaire Bicetre - APHP; Universite Paris Saclay</t>
  </si>
  <si>
    <t>David, Montani/I-6885-2019; Günther, Sven/ACV-7191-2022; Humbert, Marc/AAC-8459-2019; Simonneau, Gerald/ABE-6614-2020; Souza, Rogerio/I-3584-2013; GUNTHER, Sven/P-4177-2017</t>
  </si>
  <si>
    <t>Montani, David/0000-0002-9358-6922; Souza, Rogerio/0000-0003-2789-9143; GUNTHER, Sven/0000-0001-8388-6131</t>
  </si>
  <si>
    <t>A3859</t>
  </si>
  <si>
    <t>WOS:000209838203231</t>
  </si>
  <si>
    <t>Dumas, SJ; Perros, F; Bru-Mercier, G; Rucker-Martin, C; Gouadon, E; Vocelle, M; Tu, L; Guignabert, C; Dorfmuller, P; Humbert, MJC; Cohen-Kaminsky, S</t>
  </si>
  <si>
    <t>Dumas, S. J.; Perros, F.; Bru-Mercier, G.; Rucker-Martin, C.; Gouadon, E.; Vocelle, M.; Tu, L.; Guignabert, C.; Dorfmuller, P.; Humbert, M. J. C.; Cohen-Kaminsky, S.</t>
  </si>
  <si>
    <t>Nmda-Type Glutamate Receptor Contributes To The Development Of Pulmonary Hypertension: Evidence For A Deregulated Glutamatergic Communication Between Pulmonary Vascular Cells</t>
  </si>
  <si>
    <t>[Dumas, S. J.; Perros, F.; Bru-Mercier, G.; Rucker-Martin, C.; Gouadon, E.; Vocelle, M.; Tu, L.; Guignabert, C.; Dorfmuller, P.; Humbert, M. J. C.; Cohen-Kaminsky, S.] Univ Paris Sud, Labex LERMIT, INSERM, UMR S 999, Le Plessis Robinson, France; [Dumas, S. J.; Perros, F.; Bru-Mercier, G.; Rucker-Martin, C.; Gouadon, E.; Vocelle, M.; Tu, L.; Guignabert, C.; Dorfmuller, P.; Cohen-Kaminsky, S.] DHU TORINO, Le Plessis Robinson, France; [Dumas, S. J.; Perros, F.; Bru-Mercier, G.; Rucker-Martin, C.; Gouadon, E.; Vocelle, M.; Tu, L.; Guignabert, C.; Dorfmuller, P.; Humbert, M. J. C.; Cohen-Kaminsky, S.] Ctr Chirurg Marie Lannelongue, Le Plessis Robinson, France; [Humbert, M. J. C.] DHU TORINO, AP HP, Ctr Natl Reference Hypertens Pulm Severe, Le Plessis Robinson, France; [Humbert, M. J. C.] Hop Bicetre, Le Plessis Robinson, France</t>
  </si>
  <si>
    <t>Institut National de la Sante et de la Recherche Medicale (Inserm); Universite Paris Saclay; Hopital Marie Lannelongue; Assistance Publique Hopitaux Paris (APHP); Assistance Publique Hopitaux Paris (APHP); Hopital Universitaire Bicetre - APHP</t>
  </si>
  <si>
    <t>sebastien.dumas@inserm.fr</t>
  </si>
  <si>
    <t>TU, Ly/G-4035-2013; Dumas, Sébastien/AAA-2056-2021; GUIGNABERT, Christophe/G-3873-2013; Humbert, Marc/AAC-8459-2019; Perros, Frederic/N-6921-2017</t>
  </si>
  <si>
    <t>A4143</t>
  </si>
  <si>
    <t>WOS:000209838203497</t>
  </si>
  <si>
    <t>Eyries, M; Montani, D; Girerd, B; Perret, C; Leroy, A; Lonjou, C; Chelghoum, N; Coulet, F; Bonnet, D; Dorfmüller, P; Fadël, E; Sitbon, O; Simonneau, G; Tregouet, DA; Humbert, M; Soubrier, F</t>
  </si>
  <si>
    <t>Eyries, Melanie; Montani, David; Girerd, Barbara; Perret, Claire; Leroy, Anne; Lonjou, Christine; Chelghoum, Nadjim; Coulet, Florence; Bonnet, Damien; Dorfmueller, Peter; Fadel, Elie; Sitbon, Olivier; Simonneau, Gerald; Tregouet, David-Alexandre; Humbert, Marc; Soubrier, Florent</t>
  </si>
  <si>
    <t>EIF2AK4 mutations cause pulmonary veno-occlusive disease, a recessive form of pulmonary hypertension</t>
  </si>
  <si>
    <t>NATURE GENETICS</t>
  </si>
  <si>
    <t>VENO-OCCLUSIVE DISEASE; ARTERIAL-HYPERTENSION; CAPILLARY HEMANGIOMATOSIS; CLINICAL-OUTCOMES; IDENTIFICATION; MECHANISM; STRESS; GCN2</t>
  </si>
  <si>
    <t>Pulmonary veno-occlusive disease (PVOD) is a rare and devastating cause of pulmonary hypertension that is characterized histologically by widespread fibrous intimal proliferation of septal veins and preseptal venules and is frequently associated with pulmonary capillary dilatation and proliferation(1,2). PVOD is categorized into a separate pulmonary arterial hypertension-related group in the current classification of pulmonary hypertension(3). PVOD presents either sporadically or as familial cases with a seemingly recessive mode of transmission(4). Using whole-exome sequencing, we detected recessive mutations in EIF2AK4 (also called GCN2) that cosegregated with PVOD in all 13 families studied. We also found biallelic EIF2AK4 mutations in 5 of 20 histologically confirmed sporadic cases of PVOD. All mutations, either in a homozygous or compound-heterozygous state, disrupted the function of the gene. These findings point to EIF2AK4 as the major gene that is linked to PVOD development and contribute toward an understanding of the complex genetic architecture of pulmonary hypertension.</t>
  </si>
  <si>
    <t>[Eyries, Melanie; Soubrier, Florent] Univ Paris 06, UMR S 956, Paris, France; [Eyries, Melanie; Soubrier, Florent] INSERM, Paris, France; [Eyries, Melanie; Leroy, Anne; Coulet, Florence; Soubrier, Florent] Hop La Pitie Salpetriere, AP HP, Dept Genet, Paris, France; [Eyries, Melanie; Perret, Claire; Coulet, Florence; Tregouet, David-Alexandre; Soubrier, Florent] Inst Cardiometab &amp; Nutr ICAN, Paris, France; [Montani, David; Girerd, Barbara; Sitbon, Olivier; Simonneau, Gerald; Humbert, Marc] Univ Paris Sud, Fac Med, F-94275 Le Kremlin Bicetre, France; [Montani, David; Girerd, Barbara; Sitbon, Olivier; Simonneau, Gerald; Humbert, Marc] Hop Bicetre, AP HP, DHU, Thorax Innovat TORINO,Serv Pneumol, Le Kremlin Bicetre, France; [Montani, David; Girerd, Barbara; Dorfmueller, Peter; Sitbon, Olivier; Simonneau, Gerald; Humbert, Marc] INSERM, LERMIT, Ctr Chirurg Marie Lannelongue, UMR S 999, Le Plessis Robinson, France; [Perret, Claire; Tregouet, David-Alexandre] UPMC, INSERM, UMR S 937, Paris, France; [Lonjou, Christine; Chelghoum, Nadjim] UPMC, INSERM, Post Genom Platform P3S, Paris, France; [Bonnet, Damien] Hop Necker Enfants Malad, AP HP, Dept Cardiac Surg, Paris, France; [Bonnet, Damien] INSERM, UMR S 765, Paris, France; [Bonnet, Damien] Univ Paris 05, Paris, France; [Dorfmueller, Peter] Ctr Chirurg Marie Lannelongue, Dept Pathol, Le Plessis Robinson, France; [Fadel, Elie] Ctr Chirurg Marie Lannelongue, Dept Thorac Surg, Le Plessis Robinson, France</t>
  </si>
  <si>
    <t>Sorbonne Universite; Institut National de la Sante et de la Recherche Medicale (Inserm); Assistance Publique Hopitaux Paris (APHP); Hopital Universitaire Pitie-Salpetriere - APHP; Sorbonne Universite; Institut National de la Sante et de la Recherche Medicale (Inserm); Sorbonne Universite; Universite Paris Saclay; Assistance Publique Hopitaux Paris (APHP); Hopital Universitaire Bicetre - APHP; Universite Paris Saclay; Hopital Universitaire Antoine-Beclere - APHP; Institut National de la Sante et de la Recherche Medicale (Inserm); Universite Paris Saclay; Hopital Marie Lannelongue; Institut National de la Sante et de la Recherche Medicale (Inserm); Sorbonne Universite; Institut National de la Sante et de la Recherche Medicale (Inserm); Sorbonne Universite; Assistance Publique Hopitaux Paris (APHP); Universite Paris Cite; Hopital Universitaire Necker-Enfants Malades - APHP; Institut National de la Sante et de la Recherche Medicale (Inserm); Universite Paris Cite; Universite Paris Cite; Hopital Marie Lannelongue; Hopital Marie Lannelongue</t>
  </si>
  <si>
    <t>Soubrier, F (corresponding author), Univ Paris 06, UMR S 956, Paris, France.</t>
  </si>
  <si>
    <t>Tregouet, David-Alexandre/E-3961-2016; Sitbon, Olivier/I-3623-2019; David, Montani/I-6885-2019; EYRIES, melanie/ABF-1034-2020; Simonneau, Gerald/ABE-6614-2020; Humbert, Marc/AAC-8459-2019</t>
  </si>
  <si>
    <t>Lonjou, Christine/0000-0003-1226-6992; Dorfmuller, Peter/0000-0003-2499-6829; Humbert, Marc/0000-0003-0703-2892; Montani, David/0000-0002-9358-6922; Bonnet, Damien/0000-0002-8722-5805; Tregouet, David-Alexandre/0000-0001-9084-7800; SITBON, Olivier/0000-0002-1942-1951</t>
  </si>
  <si>
    <t>Association Hypertension Arterielle Pulmonaire (HTAP) France; Programme Hospitalier de Recherche Clinique (PHRC) [AOM07-041]; INSERM; UPMC; Legs Poix, Chancellerie des Universites de Paris; Region Ile de France</t>
  </si>
  <si>
    <t>Association Hypertension Arterielle Pulmonaire (HTAP) France; Programme Hospitalier de Recherche Clinique (PHRC); INSERM(Institut National de la Sante et de la Recherche Medicale (Inserm)); UPMC; Legs Poix, Chancellerie des Universites de Paris; Region Ile de France(Region Ile-de-France)</t>
  </si>
  <si>
    <t>We thank F. Pires, A. Dion-Miniere, S. Bakas, G. Legrand and N. Raymond for technical assistance. We thank W. Carpentier for supervising SNP array experiments. We thank R. Peat for kindly editing the manuscript. D. M. and P. D. are supported by a grant from the Association Hypertension Arterielle Pulmonaire (HTAP) France. This work was supported by Programme Hospitalier de Recherche Clinique (PHRC) AOM07-041, INSERM and UPMC. The tissue bank was supported in part by the Legs Poix, Chancellerie des Universites de Paris. Bioinformatics analyses benefit from the C2BIG computing centre funded by the Region Ile de France and UPMC.</t>
  </si>
  <si>
    <t>1061-4036</t>
  </si>
  <si>
    <t>1546-1718</t>
  </si>
  <si>
    <t>NAT GENET</t>
  </si>
  <si>
    <t>Nature Genet.</t>
  </si>
  <si>
    <t>10.1038/ng.2844</t>
  </si>
  <si>
    <t>281PM</t>
  </si>
  <si>
    <t>WOS:000329113500015</t>
  </si>
  <si>
    <t>Ghigna, MR; Guignabert, C; Mercier, O; Girerd, B; Montani, D; Humbert, MJC; Dorfmuller, P</t>
  </si>
  <si>
    <t>Ghigna, M. -R.; Guignabert, C.; Mercier, O.; Girerd, B.; Montani, D.; Humbert, M. J. C.; Dorfmuller, P.</t>
  </si>
  <si>
    <t>A Comparative Histological Study Of Pulmonary Vascular Lesions In Lungs Of Patients With Idiopathic Or Heritable Pah</t>
  </si>
  <si>
    <t>[Ghigna, M. -R.] Ctr Chirurg Marie Lannelongue, Le Plessis Robinson, France; [Guignabert, C.] INSERM, U999, Le Plessis Robinson, France; [Mercier, O.] Marie Lannelongue Hosp, Le Plessis Robinson, France; [Girerd, B.] Univ Paris Sud, Hop Antoine Beclere, LERMIT, INSERM,U999,LabEx, Le Plessis Robinson, France; [Montani, D.] INSERM, U999, Le Plessis Robinson, France; [Humbert, M. J. C.] Univ Paris Sud, Le Kremlin Bicetre, France; [Humbert, M. J. C.] INSERM, U999, Le Kremlin Bicetre, France; [Humbert, M. J. C.] Hop Bicetre, AP HP, Serv Pneumol, Le Kremlin Bicetre, France; [Dorfmuller, P.] Univ Paris Sud, INSERM, UMR S 999, Labex,LERMIT, Le Plessis Robinson, France; [Dorfmuller, P.] AP HP, Ctr Natl Reference Hypertens Pulm Severe, DHU TORINO, Le Plessis Robinson, France; [Dorfmuller, P.] Hop Bicetre, Le Plessis Robinson, France; [Dorfmuller, P.] Ctr Chirurg Marie Lannelongue, Le Plessis Robinson, France</t>
  </si>
  <si>
    <t>Hopital Marie Lannelongue; Universite Paris Saclay; Institut National de la Sante et de la Recherche Medicale (Inserm); Hopital Marie Lannelongue; Institut National de la Sante et de la Recherche Medicale (Inserm); Universite Paris Saclay; Assistance Publique Hopitaux Paris (APHP); Hopital Universitaire Antoine-Beclere - APHP; Institut National de la Sante et de la Recherche Medicale (Inserm); Universite Paris Saclay; Universite Paris Saclay; Institut National de la Sante et de la Recherche Medicale (Inserm); Universite Paris Saclay; Assistance Publique Hopitaux Paris (APHP); Hopital Universitaire Bicetre - APHP; Hopital Universitaire Antoine-Beclere - APHP; Universite Paris Saclay; Institut National de la Sante et de la Recherche Medicale (Inserm); Assistance Publique Hopitaux Paris (APHP); Assistance Publique Hopitaux Paris (APHP); Hopital Universitaire Bicetre - APHP; Hopital Marie Lannelongue</t>
  </si>
  <si>
    <t>mr.ghigna@ccml.fr</t>
  </si>
  <si>
    <t>David, Montani/I-6885-2019; GUIGNABERT, Christophe/G-3873-2013; Humbert, Marc/AAC-8459-2019</t>
  </si>
  <si>
    <t>A4754</t>
  </si>
  <si>
    <t>WOS:000209838204246</t>
  </si>
  <si>
    <t>Gunther, S; Sztrymf, B; Savale, L; Parent, F; Herve, P; Simonneau, G; Humbert, MJC; Chemla, D</t>
  </si>
  <si>
    <t>Gunther, S.; Sztrymf, B.; Savale, L.; Parent, F.; Herve, P.; Simonneau, G.; Humbert, M. J. C.; Chemla, D.</t>
  </si>
  <si>
    <t>Relationship Between The Left Ventricular Ejection Time And Right Heart Function In Resting Patients With Precapillary Pulmonary Hypertension: An Arterial Tonometry Study</t>
  </si>
  <si>
    <t>[Gunther, S.; Savale, L.; Parent, F.; Simonneau, G.; Humbert, M. J. C.] INSERM, Pneumol, APHP, UMR S999, Le Kremlin Bicetre, France; [Sztrymf, B.] Reanimat Med, Clamart, France; [Herve, P.] Ctr Chirurg Marie Lannelongue, Le Plessis Robinson, France; [Chemla, D.] Fac Med Paris 11, APHP, EA4533, Physiol, Le Kremlin Bicetre, France</t>
  </si>
  <si>
    <t>Institut National de la Sante et de la Recherche Medicale (Inserm); Assistance Publique Hopitaux Paris (APHP); Hopital Universitaire Bicetre - APHP; Hopital Universitaire Ambroise-Pare - APHP; Universite Paris Saclay; Hopital Marie Lannelongue; Assistance Publique Hopitaux Paris (APHP); Hopital Universitaire Bicetre - APHP; Hopital Universitaire Ambroise-Pare - APHP; Universite Paris Saclay</t>
  </si>
  <si>
    <t>Savale, Laurent/AAJ-9781-2020; Günther, Sven/ACV-7191-2022; Simonneau, Gerald/ABE-6614-2020; Humbert, Marc/AAC-8459-2019; GUNTHER, Sven/P-4177-2017</t>
  </si>
  <si>
    <t>GUNTHER, Sven/0000-0001-8388-6131</t>
  </si>
  <si>
    <t>A1900</t>
  </si>
  <si>
    <t>WOS:000209838201060</t>
  </si>
  <si>
    <t>Hoette, S; Creuze, N; Montani, D; Gunther, S; Ternacle, J; Simonneau, G; Souza, R; Humbert, M; Chemla, D</t>
  </si>
  <si>
    <t>Hoette, S.; Creuze, N.; Montani, D.; Gunther, S.; Ternacle, J.; Simonneau, G.; Souza, R.; Humbert, M.; Chemla, D.</t>
  </si>
  <si>
    <t>Cardiovascular Magnetic Resonance Imaging In Newly Diagnosed, Treatment Naive Precapillary Pulmonary Hypertension</t>
  </si>
  <si>
    <t>[Hoette, S.; Souza, R.] Univ Sao Paulo, Pulm Div, Sao Paulo, Brazil; [Creuze, N.; Ternacle, J.; Chemla, D.] Fac Med Paris 11, AP HP, Physiol, EA4533, Le Kremlin Bicetre, France; [Montani, D.; Gunther, S.; Simonneau, G.; Humbert, M.] Paris11 Univ, INSERM, AP HP, Pneumol,UMR S999, Le Kremlin Bicetre, France</t>
  </si>
  <si>
    <t>Universidade de Sao Paulo; Assistance Publique Hopitaux Paris (APHP); Hopital Universitaire Bicetre - APHP; Universite Paris Saclay; Assistance Publique Hopitaux Paris (APHP); Hopital Universitaire Bicetre - APHP; Universite Paris Saclay; Institut National de la Sante et de la Recherche Medicale (Inserm)</t>
  </si>
  <si>
    <t>Simonneau, Gerald/ABE-6614-2020; David, Montani/I-6885-2019; Humbert, Marc/AAC-8459-2019; Günther, Sven/ACV-7191-2022; GUNTHER, Sven/P-4177-2017; Souza, Rogerio/I-3584-2013</t>
  </si>
  <si>
    <t>Montani, David/0000-0002-9358-6922; GUNTHER, Sven/0000-0001-8388-6131; Souza, Rogerio/0000-0003-2789-9143</t>
  </si>
  <si>
    <t>A3867</t>
  </si>
  <si>
    <t>WOS:000209838203239</t>
  </si>
  <si>
    <t>The ambition of the European Respiratory Journal: chapter 2</t>
  </si>
  <si>
    <t>TIOTROPIUM RESPIMAT INCREASES; CLINICAL HIGHLIGHTS; ERS CONGRESS; PEDIATRICS; STATEMENT; AMSTERDAM; SOCIETY; VIENNA; RISK</t>
  </si>
  <si>
    <t>[Humbert, Marc] Univ Paris Sud, INSERM, Hop Bicetre,U999, Serv Pneumol,AP HP,LabEX LERMIT,DHU Thorax Innova, F-94275 Le Kremlin Bicetre, France</t>
  </si>
  <si>
    <t>Institut National de la Sante et de la Recherche Medicale (Inserm); Assistance Publique Hopitaux Paris (APHP); Hopital Universitaire Bicetre - APHP; Universite Paris Saclay; Hopital Universitaire Antoine-Beclere - APHP</t>
  </si>
  <si>
    <t>10.1183/09031936.00185013</t>
  </si>
  <si>
    <t>287ON</t>
  </si>
  <si>
    <t>WOS:000329552200001</t>
  </si>
  <si>
    <t>WOS:A1978FV56400005</t>
  </si>
  <si>
    <t>FV564</t>
  </si>
  <si>
    <t>Social Sciences - Other Topics; Philosophy</t>
  </si>
  <si>
    <t>Social Science Citation Index (SSCI); Arts &amp; Humanities Citation Index (A&amp;HCI)</t>
  </si>
  <si>
    <t>Ethics; Philosophy</t>
  </si>
  <si>
    <t>10.1177/004839317800800305</t>
  </si>
  <si>
    <t>Philos. Soc. Sci.</t>
  </si>
  <si>
    <t>PHILOS SOC SCI</t>
  </si>
  <si>
    <t>1552-7441</t>
  </si>
  <si>
    <t>0048-3931</t>
  </si>
  <si>
    <t>Hyland, Michael/0000-0003-3879-0469</t>
  </si>
  <si>
    <t>GRIFFITH UNIV, NATHAN, Qld, AUSTRALIA.</t>
  </si>
  <si>
    <t>PLYMOUTH POLYTECH, PLYMOUTH PL4 8AA, DEVONSHIRE, ENGLAND</t>
  </si>
  <si>
    <t>PHILOSOPHY OF THE SOCIAL SCIENCES</t>
  </si>
  <si>
    <t>NATURE OF INDIVIDUALIST EXPLANATION - FURTHER ANALYSIS OF REDUCTION</t>
  </si>
  <si>
    <t>BRIDGSTOCK, M; HYLAND, M</t>
  </si>
  <si>
    <t>WOS:A1982ND36900002</t>
  </si>
  <si>
    <t>ND369</t>
  </si>
  <si>
    <t>Gastroenterol. Clin. Biol.</t>
  </si>
  <si>
    <t>GASTROEN CLIN BIOL</t>
  </si>
  <si>
    <t>0399-8320</t>
  </si>
  <si>
    <t>SERV MALAD FOIE &amp; APPAREIL DIGEST, F-94270 KREMLIN BICETRE, FRANCE.</t>
  </si>
  <si>
    <t>Assistance Publique Hopitaux Paris (APHP); Hopital Universitaire Antoine-Beclere - APHP; Novartis; Sandoz; Assistance Publique Hopitaux Paris (APHP); Hopital Universitaire Antoine-Beclere - APHP</t>
  </si>
  <si>
    <t>HOP ANTOINE BECLERE, BIOCHIM LAB, F-92141 CLAMART, FRANCE; LAB SANDOZ, CTR RECH, F-92560 RUEIL MALMAISON, FRANCE; HOP ANTOINE BECLERE, SERV HEPATOL &amp; GASTROENTEROL, F-92141 CLAMART, FRANCE</t>
  </si>
  <si>
    <t>Because of the high hepatic metabolism and important biliary excretion of dihydroergotamine (DHE), the modifications in kinetics of this product were studied in 7 patients with chronic alcoholic liver disease (6 patients with cirrhosis and 1 patient with extensive fibrosis). In comparison with a control group of 6 normal subjects, the patients with liver disease had a significant increase in the following: the plasma concentrations of DHE and its metabolites 20 and 40 min, 2, 6, 8 and 12 h after ingestion of 6 mg DHE; the areas under the plasma concentration time curves; and the ratios of unchanged DHE to DHE + metabolites excreted in the 72 h-urine production. The highest plasma concentrations were observed in the 2 patients with the longest prothrombin times. The role of the liver in the disposition of DHE was confirmed. The dosage of DHE should be reduced in patients with liver disease and patients treated with DHE should not receive any medication which might interfere with liver metabolism.</t>
  </si>
  <si>
    <t>GASTROENTEROLOGIE CLINIQUE ET BIOLOGIQUE</t>
  </si>
  <si>
    <t>PHARMACOKINETICS OF DIHYDROERGOTAMINE IN PATIENTS WITH CHRONIC LIVER-DISEASE</t>
  </si>
  <si>
    <t>LABAYLE, D; CHALAS, J; LAVENE, D; HUMBERT, M; AZRIA, M; LINDENBAUM, A; CHAPUT, JC</t>
  </si>
  <si>
    <t>WOS:A1990DJ55400004</t>
  </si>
  <si>
    <t>DJ554</t>
  </si>
  <si>
    <t>Ann. Med. Interne</t>
  </si>
  <si>
    <t>ANN MED INTERNE</t>
  </si>
  <si>
    <t>0003-410X</t>
  </si>
  <si>
    <t>INSERM, U131, 32 RUE CARNETS, F-92140 CLAMART, FRANCE.</t>
  </si>
  <si>
    <t>ANNALES DE MEDECINE INTERNE</t>
  </si>
  <si>
    <t>LYMPHOCYTE-B HYPERREACTIVITY AND DIFFERENTIATION FACTORS PRODUCED BY T-CELLS DURING SYSTEMIC LUPUS-ERYTHEMATOSUS</t>
  </si>
  <si>
    <t>HUMBERT, M; GALANAUD, P</t>
  </si>
  <si>
    <t>WOS:A1991BW27U00059</t>
  </si>
  <si>
    <t>BW27U</t>
  </si>
  <si>
    <t>Immunology; Surgery; Virology</t>
  </si>
  <si>
    <t>Conference Proceedings Citation Index - Science (CPCI-S)</t>
  </si>
  <si>
    <t>SYM FOND M</t>
  </si>
  <si>
    <t>0-444-89323-7</t>
  </si>
  <si>
    <t>ELSEVIER SCIENCE PUBL B V</t>
  </si>
  <si>
    <t>Humbert, Marc/AAC-8459-2019; Simonneau, Gerald/ABE-6614-2020</t>
  </si>
  <si>
    <t>LYON, FRANCE</t>
  </si>
  <si>
    <t>JUN 03-05, 1991</t>
  </si>
  <si>
    <t>23RD INTERNATIONAL COURSE ON TRANSPLANTATION AND CLINICAL IMMUNOLOGY : VIRUS AND TRANSPLANTATION</t>
  </si>
  <si>
    <t>SYMPOSIA FONDATION MERIEUX</t>
  </si>
  <si>
    <t>TRANSPLANTATION AND CLINICAL IMMUNOLOGY, VOL XXIII: VIRUS AND TRANSPLANTATION</t>
  </si>
  <si>
    <t>ACTIVATION OF MACROPHAGES AND CYTOTOXIC-CELLS DURING CYTOMEGALOVIRUS COMPLICATING LUNG TRANSPLANTATIONS</t>
  </si>
  <si>
    <t>HUMBERT, M; CERRINA, J; SIMONNEAU, G; RAIN, B; DARTEVELLE, P; DUROUX, P; GALANAUD, P; EMILIE, D</t>
  </si>
  <si>
    <t>TOURAINE, JL; TRAEGER, J; BETUEL, H; DUBERNARD, JM; REVILLARD, JP; DUPUY, C</t>
  </si>
  <si>
    <t>WOS:A1991GD80900028</t>
  </si>
  <si>
    <t>GD809</t>
  </si>
  <si>
    <t>10.1016/0140-6736(91)90638-6</t>
  </si>
  <si>
    <t>42 BEDFORD SQUARE, LONDON, ENGLAND WC1B 3SL</t>
  </si>
  <si>
    <t>LANCET LTD</t>
  </si>
  <si>
    <t>Roques, Pierre/0000-0003-1825-1054; Humbert, Marc/0000-0003-0703-2892</t>
  </si>
  <si>
    <t>Roques, Pierre/M-2212-2013; Humbert, Marc/AAC-8459-2019</t>
  </si>
  <si>
    <t>ROQUES, P (corresponding author), CEA,CRSSA,DPTE DSV,EXPTL NEUROPATHOL &amp; NEUROVIROL LAB,F-92265 FONTENAY ROSES,FRANCE.</t>
  </si>
  <si>
    <t>NEONATAL DIAGNOSIS OF HIV-INFECTION</t>
  </si>
  <si>
    <t>ROQUES, P; HUMBERT, M; DORMONT, D</t>
  </si>
  <si>
    <t>WOS:A1991GV96900032</t>
  </si>
  <si>
    <t>GV969</t>
  </si>
  <si>
    <t>Immunology; Surgery; Transplantation</t>
  </si>
  <si>
    <t>Transplantation</t>
  </si>
  <si>
    <t>TRANSPLANTATION</t>
  </si>
  <si>
    <t>1534-6080</t>
  </si>
  <si>
    <t>0041-1337</t>
  </si>
  <si>
    <t>Institut National de la Sante et de la Recherche Medicale (Inserm)</t>
  </si>
  <si>
    <t>INSERM, U131, F-92140 CLAMART, FRANCE</t>
  </si>
  <si>
    <t>PERMEABILITY</t>
  </si>
  <si>
    <t>Note</t>
  </si>
  <si>
    <t>SOLUBLE INTERLEUKIN-2 RECEPTOR AND NEOPTERIN SERUM LEVELS AFTER LUNG HEART-LUNG TRANSPLANTATION ABSENCE OF PREDICTIVE VALUE FOR LATE ALLOGRAFT-REJECTION</t>
  </si>
  <si>
    <t>HUMBERT, M; EMILIE, D; CERRINA, J; SIMONNEAU, G; RAIN, B; FATTAL, S; LADURIE, FL; DARTEVELLE, P; DUROUX, P; GALANAUD, P</t>
  </si>
  <si>
    <t>WOS:A1992BX50M00047</t>
  </si>
  <si>
    <t>BX50M</t>
  </si>
  <si>
    <t>0-444-89773-9</t>
  </si>
  <si>
    <t>MAGNAN, ANTOINE/GVT-4308-2022; Simonneau, Gerald/ABE-6614-2020; Humbert, Marc/AAC-8459-2019</t>
  </si>
  <si>
    <t>FDN MERIEUX</t>
  </si>
  <si>
    <t>JUN 01-03, 1992</t>
  </si>
  <si>
    <t>24TH INTERNATIONAL CONF ON TRANSPLANTATION AND CLINICAL IMMUNOLOGY</t>
  </si>
  <si>
    <t>Proceedings Paper</t>
  </si>
  <si>
    <t>TRANSPLANTATION AND CLINICAL IMMUNOLOGY, VOL 24: EVALUATION AND MONITORING IN TRANSPLANTATION</t>
  </si>
  <si>
    <t>INSITU PRODUCTION OF INTERLEUKIN-6 WITHIN HUMAN LUNG ALLOGRAFTS DISPLAYING REJECTION AND CYTOMEGALOVIRUS PNEUMONIA</t>
  </si>
  <si>
    <t>HUMBERT, M; MAGNAN, A; DELATTRE, RM; CERRINA, J; SIMONNEAU, G; EMILIE, D</t>
  </si>
  <si>
    <t>Touraine, JL; Traeger, J; Betuel, H; Dubernard, JM; Revillard, JP; Dupuy, C</t>
  </si>
  <si>
    <t>C</t>
  </si>
  <si>
    <t>WOS:A1992HE60400043</t>
  </si>
  <si>
    <t>HE604</t>
  </si>
  <si>
    <t>Nature</t>
  </si>
  <si>
    <t>NATURE</t>
  </si>
  <si>
    <t>0028-0836</t>
  </si>
  <si>
    <t>PORTERS SOUTH, 4 CRINAN ST, LONDON, ENGLAND N1 9XW</t>
  </si>
  <si>
    <t>MACMILLAN MAGAZINES LTD</t>
  </si>
  <si>
    <t>Vaslin, Bruno/0000-0003-1758-9037; Roques, Pierre/0000-0003-1825-1054; Humbert, Marc/0000-0003-0703-2892</t>
  </si>
  <si>
    <t>; Roques, Pierre/M-2212-2013; Humbert, Marc/AAC-8459-2019</t>
  </si>
  <si>
    <t>LEGRAND, R (corresponding author), CEA,SERV SANTE ARMEES,CTR RECH,NEUROPATHOL EXPTL &amp; NEUROVIROL LAB,BP6,F-92265 FONTENAY ROSES,FRANCE.</t>
  </si>
  <si>
    <t>Pasteur Network; Universite Paris Cite; Institut Pasteur Paris; Universites de Strasbourg Etablissements Associes; Universite de Strasbourg</t>
  </si>
  <si>
    <t>INST PASTEUR,F-75724 PARIS 15,FRANCE; UNIV STRASBOURG 1,VIROL LAB,F-67070 STRASBOURG,FRANCE</t>
  </si>
  <si>
    <t>AIDS VACCINE DEVELOPMENTS</t>
  </si>
  <si>
    <t>LEGRAND, R; VASLIN, B; VOGT, G; ROQUES, P; HUMBERT, M; DORMONT, D; AUBERTIN, AM</t>
  </si>
  <si>
    <t>WOS:A1992HU61400034</t>
  </si>
  <si>
    <t>HU614</t>
  </si>
  <si>
    <t>10.1164/ajrccm/145.5.1178</t>
  </si>
  <si>
    <t>Am. Rev. Respir. Dis.</t>
  </si>
  <si>
    <t>AM REV RESPIR DIS</t>
  </si>
  <si>
    <t>0003-0805</t>
  </si>
  <si>
    <t>Humbert, Marc/0000-0003-0703-2892; Devergne, Odile/0000-0002-2838-7564</t>
  </si>
  <si>
    <t>Devergne, Odile/M-6633-2017; Simonneau, Gerald/ABE-6614-2020; Humbert, Marc/AAC-8459-2019</t>
  </si>
  <si>
    <t>Institut National de la Sante et de la Recherche Medicale (Inserm); Assistance Publique Hopitaux Paris (APHP); Hopital Universitaire Antoine-Beclere - APHP; Assistance Publique Hopitaux Paris (APHP); Hopital Universitaire Antoine-Beclere - APHP; Hopital Marie Lannelongue</t>
  </si>
  <si>
    <t>INSERM, U131, IMMUNOPATHOL &amp; IMMUNOL VIRALE LAB, 32 RUE CARNETS, F-92140 CLAMART, FRANCE; HOP ANTOINE BECLERE, SERV PNEUMOL, LE PLESSIS ROBINSON, FRANCE; HOP ANTOINE BECLERE, SERV ANAT PATHOL, LE PLESSIS ROBINSON, FRANCE; CTR CHIRURG MARIE LANNELONGUE, SERV CHIRURG THORAC &amp; TRANSPLANTAT PULM, F-92350 Le Plessis Robinson, FRANCE</t>
  </si>
  <si>
    <t>The functional status of immune cells within human transplanted lungs was analyzed during cytomegalovirus (CMV) pneumonia complicating lung and heart-lung transplantations. The expression of interleukin-1-beta (IL-1-beta) and interleukin-6 (IL-6) genes is a marker for the activation of macrophages as is that of serine esterase B (SE-B) gene for cytotoxic cells. The levels of expression of these genes by bronchoalveolar lavage (BAL) cells were determined by in situ hybridization. Eight cases of CMV pneumonia were included in this study. BAL cells from either rejection episodes (eight cases) or control transplanted patients experiencing neither infection nor allograft rejection (eight cases) were analyzed in parallel. In the control patients, virtually no cells expressed the IL-1-beta, the IL-6, or the SE-B genes. In contrast, these three genes were all expressed in samples from patients with CMV pneumonia. IL-1-beta-gene-expressing cells were abundant in all infected patients (mean +/- SEM: 898 +/- 449 positive cells per 10(4) cells, p &lt; 0.001, compared with those in control patients). IL-6 gene-expressing cells were less numerous (92 +/- 74 positive cells per 10(4) cells) and present in five of the eight cases of CMV pneumonia. Activated cytotoxic cells were detected in seven of the eight cases of CMV pneumonia (36.5 +/- 19 SE-B gene-expressing cells per 10(4) cells, p &lt; 0.001). During allograft rejections (eight cases) IL-1-beta-gene-expressing cells were present in all but one patient. However, they were significantly fewer (14.7 +/- 6 cells per 10(4) cells) than during viral pneumonia (p &lt; 0.01). IL-6 gene-expressing cells and SE-B gene-expressing cells were detected in only one of the eight rejection episodes. Therefore, BAL cells express the genes coding for monokines and SE-B during CMV pneumonia in lung-transplanted patients, indicating in situ activation of both macrophages and cytotoxic cells. This activation may play a role in the acute lung dysfunction observed during CMV pneumonia in lung-transplanted patients.</t>
  </si>
  <si>
    <t>RESPIRATORY-DISTRESS SYNDROME; NATURAL-KILLER; LYMPHOCYTES-T; SEPTIC SHOCK; INTERLEUKIN-1; VIRUS; RECIPIENTS; EXPRESSION; RECEPTOR; INVIVO</t>
  </si>
  <si>
    <t>AMERICAN REVIEW OF RESPIRATORY DISEASE</t>
  </si>
  <si>
    <t>ACTIVATION OF MACROPHAGES AND CYTOTOXIC-CELLS DURING CYTOMEGALOVIRUS PNEUMONIA COMPLICATING LUNG TRANSPLANTATIONS</t>
  </si>
  <si>
    <t>HUMBERT, M; DEVERGNE, O; CERRINA, J; RAIN, B; SIMONNEAU, G; DARTEVELLE, P; DUROUX, P; GALANAUD, P; EMILIE, D</t>
  </si>
  <si>
    <t>WOS:A1992JT66001674</t>
  </si>
  <si>
    <t>JT660</t>
  </si>
  <si>
    <t>7272 GREENVILLE AVENUE, DALLAS, TX 75231-4596</t>
  </si>
  <si>
    <t>DALLAS</t>
  </si>
  <si>
    <t>AMER HEART ASSOC</t>
  </si>
  <si>
    <t>Centre National de la Recherche Scientifique (CNRS); Takeda Pharmaceutical Company Ltd; Millennium Pharmaceuticals</t>
  </si>
  <si>
    <t>HOP CARDIOL,CNRS,URA 1464,PESSAC,FRANCE; COR THERAPEUT,SAN FRANCISCO,CA</t>
  </si>
  <si>
    <t>THROMBIN RECEPTOR ACTIVATING PEPTIDE INDUCES THE TRANSLOCATION OF SURFACE GP IB-IX COMPLEXES TOWARDS THE SURFACE-CONNECTED CANALICULAR SYSTEM OF PLATELETS</t>
  </si>
  <si>
    <t>HOURDILLE, P; HEILMANN, E; HUMBERT, M; BIHOUR, C; COMBRIE, R; WINCKLER, J; SCARBOROUGH, R; NURDEN, AT</t>
  </si>
  <si>
    <t>WOS:A1993KL71200028</t>
  </si>
  <si>
    <t>KL712</t>
  </si>
  <si>
    <t>10.1378/chest.103.2.449</t>
  </si>
  <si>
    <t>HOP ANTOINE BECLERE, SERV PNEUMOL, F-92161 CLAMART, FRANCE.</t>
  </si>
  <si>
    <t>Institut National de la Sante et de la Recherche Medicale (Inserm); Assistance Publique Hopitaux Paris (APHP); Hopital Universitaire Antoine-Beclere - APHP; Hopital Marie Lannelongue</t>
  </si>
  <si>
    <t>HOP ANTOINE BECLERE, IMMUNOPATHOL &amp; IMMUNOL VIRALE LAB, INSERM, U131, CLAMART, FRANCE; CTR CHIRURG MARIE LANNELONGUE, SERV CHIRURG THORAC &amp; TRANSPLANTAT PULM, LE PLESSIS ROBINSON, FRANCE</t>
  </si>
  <si>
    <t>Objective: Neopterin (N), a marker for activated cell-mediated immunity, was assayed in the sera of 44 lung recipients early and late after transplantation. The study was a prospective, blind clinical trial designed to evaluate the following: (i) the daily dynamics of the serum neopterin/creatinine (N/C) ratio during the first 3 weeks after transplantation; (2) the correlation between changes in the serum N/C ratio and episodes of rejection or infection; (3) the correlation between the serum N/C ratio and the concentration of serum soluble interleukin 2 receptor (sIL-2R), a marker of T-cell activation; and (4) the potential value of monitoring the serum N/C ratio during noninvasive long-term follow-up of lung recipients. Methods: Sera from lung recipients were collected every day or every 2 days for the first 3 weeks after transplantation (22 patients) and before fiberoptic bronchoscopy and routine consultation (44 patients). The N concentrations were determined by radioimmunoassay and sIL-2R levels were measured using a sandwich enzyme immunoassay. Results: Serum N/C is an early and sensitive marker of immune activation in the 21 days following transplantation. The N/C ratios during early rejections (815 +/- 182 mumol/mol) and infections (677 +/- 75 mumol/mol) were higher than those in patients with no complications (160 +/- 32 mumol/mol). In contrast, the N/C ratio did not increase during rejection later after transplantation. More than 3 weeks after transplantation, an increase in the N/C ratio was specifically correlated with infections, mainly those due to cytomegalovirus (CMV) (control subjects, 132 +/- 12 mumol/mol; rejections, 163 +/- 25 mumol/mol; CMV pneumonia, 786 +/- 103 mumol/mol, p&lt;0.001). The N/C ratio correlated with sIL-2R serum levels (r=0.625, p&lt;0.001). Conclusions: Our results indicate that more than 3 weeks after transplantation, the serum N/C ratio increases only in cases of infection, mostly CMV pneumonia. In contrast, both rejection and infectious complications are associated with an increased N production in the early postoperative period.</t>
  </si>
  <si>
    <t>SOLUBLE INTERLEUKIN-2 RECEPTOR; MONOCLONAL-ANTIBODY; REJECTION; DIAGNOSIS; INTERFERON; INFECTION; INJECTION; ALLOGRAFT; INVIVO; GAMMA</t>
  </si>
  <si>
    <t>SERUM NEOPTERIN AFTER LUNG TRANSPLANTATION</t>
  </si>
  <si>
    <t>HUMBERT, M; DELATTRE, RM; CERRINA, J; DARTEVELLE, P; SIMONNEAU, G; EMILIE, D</t>
  </si>
  <si>
    <t>WOS:A1993LB14901316</t>
  </si>
  <si>
    <t>LB149</t>
  </si>
  <si>
    <t>A350</t>
  </si>
  <si>
    <t>1740 BROADWAY, NEW YORK, NY 10019</t>
  </si>
  <si>
    <t>AMER LUNG ASSOC</t>
  </si>
  <si>
    <t>Universite Paris-Est-Creteil-Val-de-Marne (UPEC); Institut National de la Sante et de la Recherche Medicale (Inserm); Assistance Publique Hopitaux Paris (APHP); Hopital Universitaire Henri-Mondor - APHP</t>
  </si>
  <si>
    <t>HENRI MONDOR HOSP,INSERM,U296,MED INTENS CARE UNIT,F-94010 CRETEIL,FRANCE; HOP INT,F-75014 PARIS,FRANCE</t>
  </si>
  <si>
    <t>IMPROVEMENT IN RIGHT-VENTRICULAR FUNCTION WITH INHALED NITRIC-OXIDE IN PATIENTS WITH THE ADULT RESPIRATORY-DISTRESS SYNDROME (ARDS) AND PERMISSIVE HYPERCAPNIA</t>
  </si>
  <si>
    <t>WYSOCKI, M; VIGNON, P; ROUPIE, E; HUMBERT, M; ADNOT, S; LEMAIRE, F; BROCHARD, L</t>
  </si>
  <si>
    <t>WOS:A1993LB14900030</t>
  </si>
  <si>
    <t>A18</t>
  </si>
  <si>
    <t>Institut National de la Sante et de la Recherche Medicale (Inserm); Hopital Marie Lannelongue; Assistance Publique Hopitaux Paris (APHP); Hopital Universitaire Antoine-Beclere - APHP</t>
  </si>
  <si>
    <t>INSERM,U131,F-92140 CLAMART,FRANCE; CTR CHIRURG MARIE LANNELONGUE,LE PLESSIS ROBINS,FRANCE; HOP BECLERE,SERV PNEUMOL,CLAMART,FRANCE</t>
  </si>
  <si>
    <t>TRANSFORMING GROWTH-FACTOR-BETA IN NORMAL HUMAN LUNG - PREFERENTIAL PRODUCTION IN BRONCHIAL EPITHELIUM</t>
  </si>
  <si>
    <t>MAGNAN, A; FRACHON, I; HUMBERT, M; SIMONNEAU, G; EMILIE, D</t>
  </si>
  <si>
    <t>WOS:A1993LB14902282</t>
  </si>
  <si>
    <t>A599</t>
  </si>
  <si>
    <t>Simonneau, Gerald/ABE-6614-2020; MAGNAN, ANTOINE/GVT-4308-2022; Humbert, Marc/AAC-8459-2019</t>
  </si>
  <si>
    <t>Assistance Publique Hopitaux Paris (APHP); Hopital Universitaire Antoine-Beclere - APHP; Institut National de la Sante et de la Recherche Medicale (Inserm); Assistance Publique Hopitaux Paris (APHP); Hopital Universitaire Antoine-Beclere - APHP</t>
  </si>
  <si>
    <t>HOP ANTOINE BECLERE,SERV PNEUMOL,F-92140 CLAMART,FRANCE; HOP ANTOINE BECLERE,INSERM,U131,F-92140 CLAMART,FRANCE</t>
  </si>
  <si>
    <t>INCREASED PERFORIN AND GRANZYME-B GENE-EXPRESSION DURING CYTOMEGALOVIRUS PNEUMONIA COMPLICATING LUNG TRANSPLANTATION</t>
  </si>
  <si>
    <t>HUMBERT, M; EMILIE, D; CERRINA, J; MAGNAN, A; RAIN, B; DARTEVELLE, P; DUROUX, P; SIMONNEAU, G</t>
  </si>
  <si>
    <t>WOS:A1993LT57701327</t>
  </si>
  <si>
    <t>LT577</t>
  </si>
  <si>
    <t>P O BOX 10 45 45, LENZHALDE 3, D-70040 STUTTGART, GERMANY</t>
  </si>
  <si>
    <t>F K SCHATTAUER VERLAG GMBH</t>
  </si>
  <si>
    <t>Sanofi-Aventis; Sanofi France; Centre National de la Recherche Scientifique (CNRS)</t>
  </si>
  <si>
    <t>SANOFI RECH,TOULOUSE,FRANCE; HOP CARDIOL,CNRS,URA 1464,PESSAC,FRANCE</t>
  </si>
  <si>
    <t>ULTRASTRUCTURAL STUDIES ON AGGREGATES OBTAINED WITH PLATELETS FROM HUMAN DONORS RECEIVING CLOPIDOGREL AND A PATIENT WITH AN INHERITED DEFECT OF AN ADP-DEPENDENT ACTIVATION PATHWAY</t>
  </si>
  <si>
    <t>HEILMANN, E; HOURDILLE, P; HUMBERT, M; PAPANNEAU, A; SAVI, P; HERBERT, JM; KIEFFER, G; MAFFRAND, JP; NURDEN, A</t>
  </si>
  <si>
    <t>WOS:A1993MB95500005</t>
  </si>
  <si>
    <t>MB955</t>
  </si>
  <si>
    <t>Biochemistry &amp; Molecular Biology; Biophysics; Physiology</t>
  </si>
  <si>
    <t>Conference Proceedings Citation Index - Science (CPCI-S); Science Citation Index Expanded (SCI-EXPANDED)</t>
  </si>
  <si>
    <t>10.3109/13813459309008893</t>
  </si>
  <si>
    <t>A43</t>
  </si>
  <si>
    <t>Arch. Int. Physiol. Biochim. Biophys.</t>
  </si>
  <si>
    <t>ARCH INT PHYSIOL BIO</t>
  </si>
  <si>
    <t>0003-9799</t>
  </si>
  <si>
    <t>P O BOX 825, 2160 SZ LISSE, NETHERLANDS</t>
  </si>
  <si>
    <t>LISSE</t>
  </si>
  <si>
    <t>SWETS ZEITLINGER PUBLISHERS</t>
  </si>
  <si>
    <t>HUMBERT, M (corresponding author), UNIV PARIS SUD,HOP ANTOINE BECLERE,SERV PNEUMOL,157 RUE PORTE TRIVAUX,F-92141 CLAMART,FRANCE.</t>
  </si>
  <si>
    <t>Assistance Publique Hopitaux Paris (APHP); Hopital Universitaire Antoine-Beclere - APHP; Universite Paris Saclay; Institut National de la Sante et de la Recherche Medicale (Inserm); Universite Paris Saclay; Assistance Publique Hopitaux Paris (APHP); Hopital Universitaire Antoine-Beclere - APHP</t>
  </si>
  <si>
    <t>UNIV PARIS SUD,HOP ANTOINE BECLERE,INSERM,U131,F-92141 CLAMART,FRANCE; UNIV PARIS SUD,HOP ANTOINE BECLERE,TRANSPLANTAT PULM GRP,F-92141 CLAMART,FRANCE</t>
  </si>
  <si>
    <t>ASSOC PHYSIOLOGISTES</t>
  </si>
  <si>
    <t>BORDEAUX, FRANCE</t>
  </si>
  <si>
    <t>SEP 14-17, 1993</t>
  </si>
  <si>
    <t>61ST ANNUAL MEETING OF THE ASSOC-DES-PHYSIOLOGISTS</t>
  </si>
  <si>
    <t>ARCHIVES INTERNATIONALES DE PHYSIOLOGIE DE BIOCHIMIE ET DE BIOPHYSIQUE</t>
  </si>
  <si>
    <t>IMMUNOPATHOLOGY OF CYTOMEGALOVIRUS PNEUMONOPATHY AND REJECTION OF THE TRANSPLANTED LUNG</t>
  </si>
  <si>
    <t>HUMBERT, M; EMILIE, D</t>
  </si>
  <si>
    <t>WOS:A1993LZ87000025</t>
  </si>
  <si>
    <t>LZ870</t>
  </si>
  <si>
    <t>10.1097/00007890-199309000-00024</t>
  </si>
  <si>
    <t>Institut National de la Sante et de la Recherche Medicale (Inserm); Hopital Marie Lannelongue; Assistance Publique Hopitaux Paris (APHP); Hopital Universitaire Antoine-Beclere - APHP; Assistance Publique Hopitaux Paris (APHP); Hopital Universitaire Antoine-Beclere - APHP</t>
  </si>
  <si>
    <t>INSERM, U131, IMMUNOPATHOL &amp; IMMUNOL VIRALE LAB, F-92140 CLAMART, FRANCE; CTR CHIRURG MARIE LANNELONGUE, SERV CHIRURG THORAC &amp; TRANSPLANTAT PULM, F-92350 LE PLESSIS ROBINSON, FRANCE; HOP ANTOINE BECLERE, SERV ANAT PATHOL, F-92140 CLAMART, FRANCE; HOP ANTOINE BECLERE, SERV PNEUMOL, F-92140 CLAMART, FRANCE</t>
  </si>
  <si>
    <t>Interleukin-6 (IL-6) is a pleiotropic cytokine that is a regulator of inflammation and immunity. As production of IL-6 may be an important mechanism by which local and systemic inflammatory processes are regulated during lung transplantation, we measured this cytokine concentration in the serum and bronchoalveolar lavage fluid (BALF) collected in 27 lung recipients. IL-6 bioactivity was analyzed using a B cell hybridoma proliferation assay (B9 cell line). Three groups of clinical situations were analyzed: control lung recipients, rejections, and CMV pneumonia. Serum IL-6 concentrations (mean +/- SEM) were 24.2 +/- 3.3 U/ml in the 26 control samples. In 20 allograft rejection episodes, the serum IL-6 concentration was higher than in control samples but the difference was not significant (59.3 +/- 20.5 U/ml, P&gt;0.05). IL-6 serum levels were significantly increased during the 14 CMV pneumonias (61.2 +/- 11.5 U/ml, P&lt;0.01). In BALF, IL-6 levels were increased during CMV pneumonia (52.4 +/- 21.9 U/ml BALF), and to a lesser extent during rejection events (14.1 +/- 3.7 U/ml BALF), as compared with controls (5.6 +/- 1.6 U/ml BALF, P&lt;0.005, and P&lt;0.05, respectively). Similar results were observed when IL-6/albumin and IL-6/urea ratios were determined so as to compensate for possible dilution effects in BALF. IL-6 in BALF was produced in situ during CMV pneumonia as shown by in situ hybridization experiments that revealed a significant number of IL-6 gene-expressing alveolar cells in this condition. IL-6 concentrations in the serum and in the BALF were compared. There was no correlation between serum and BALF IL-6 concentrations, showing that serum IL-6 levels do not accurately reflect intrapulmonary IL-6 production. Thus IL-6 is produced within lung transplants during CMV pneumonia, and to a lesser extent during allograft rejection.</t>
  </si>
  <si>
    <t>RESPIRATORY-DISTRESS SYNDROME; TRANSPLANT PATIENTS; IL-6; CYTOKINES; RECIPIENTS; DIAGNOSIS; BIOLOGY; URINE; SERUM; TNF</t>
  </si>
  <si>
    <t>IN-SITU PRODUCTION OF INTERLEUKIN-6 WITHIN HUMAN LUNG ALLOGRAFTS DISPLAYING REJECTION OR CYTOMEGALOVIRUS PNEUMONIA</t>
  </si>
  <si>
    <t>HUMBERT, M; DELATTRE, RM; FATTAL, S; RAIN, B; CERRINA, J; DARTEVELLE, P; SIMONNEAU, G; DUROUX, P; GALANAUD, P; EMILIE, D</t>
  </si>
  <si>
    <t>WOS:000209040200003</t>
  </si>
  <si>
    <t>V33TD</t>
  </si>
  <si>
    <t>Business &amp; Economics; International Relations; Government &amp; Law</t>
  </si>
  <si>
    <t>Economics; International Relations; Political Science</t>
  </si>
  <si>
    <t>10.1080/09692299408434294</t>
  </si>
  <si>
    <t>Rev. Int. Polit. Econ.</t>
  </si>
  <si>
    <t>REV INT POLIT ECON</t>
  </si>
  <si>
    <t>1466-4526</t>
  </si>
  <si>
    <t>0969-2290</t>
  </si>
  <si>
    <t>2-4 PARK SQUARE, MILTON PARK, ABINGDON OX14 4RN, OXON, ENGLAND</t>
  </si>
  <si>
    <t>ROUTLEDGE JOURNALS, TAYLOR &amp; FRANCIS LTD</t>
  </si>
  <si>
    <t>Humbert, M (corresponding author), Univ Rennes 1, CNRS, CERETIM, F-35014 Rennes, France.</t>
  </si>
  <si>
    <t>Centre National de la Recherche Scientifique (CNRS); Universite de Rennes</t>
  </si>
  <si>
    <t>Univ Rennes 1, CNRS, CERETIM, F-35014 Rennes, France</t>
  </si>
  <si>
    <t>What is the most appropriate framework, the most appropriate economic model, for designing an effective industrial policy? This article examines the evolution of both general policy opinion and economic literature related to this issue. After a brief summary of the tools needed in economics for an appropriate framework of analysis, the first section articulates the latest positions in policy opinion along the spectrum from state interventionism to anti-regulationism. The section then presents the arguments behind the new trade theory and those of complementary theorizations to help us recognize the importance of the new trade theory as a suitable framework in favour of state intervention. The article states, however, that this is not sufficient, and the second section outlines the merits of an emerging systemic approach. It provides insights beyond the scope of the new trade theory which could serve as a foundation for the design of strategic industrial policies in a global industrial system.</t>
  </si>
  <si>
    <t>UNITED-STATES; TRADE; HISTORY</t>
  </si>
  <si>
    <t>REVIEW OF INTERNATIONAL POLITICAL ECONOMY</t>
  </si>
  <si>
    <t>Strategic industrial policies in a global industrial system</t>
  </si>
  <si>
    <t>WOS:A1994PZ34200003</t>
  </si>
  <si>
    <t>PZ342</t>
  </si>
  <si>
    <t>120 BLVD SAINT-GERMAIN, 75280 PARIS 06, FRANCE</t>
  </si>
  <si>
    <t>PARIS 06</t>
  </si>
  <si>
    <t>HUMBERT, M (corresponding author), HOP ANTOINE BECLERE,SERV PNEUMOL,1 RUE PORTE DE TRIVAUX,F-92140 CLAMART,FRANCE.</t>
  </si>
  <si>
    <t>In order to better understand the immunopathology of acute complications of lung transplantation we have analysed the different parameters of cytotoxic cell and macrophage activation during the course of pulmonary allograft rejection and cytomegalovirus pneumonia. In transplanted patients presenting with an acute pulmonary allograft rejection, a cytomegalovirus pneumonia or no complication (control group), we have studied, first serum markers of immune activation: interleukin-2 soluble receptor (IL-2sR), neopterin, IL-6, TNF soluble receptors (TNF-sR55 and TNF-sR75). Secondly the intrapulmonary compartmentalisation of allogenic and antiviral responses were evaluated by studying bronchoalevolar lavage fluid (BAL). The level of IL-6 was measured in BAL supernatants and the gene expression of two cytokines (IL-1beta and IL-6) and two markers of actived cytotoxic cells (granzyme B and perforin) were studied by in situ hybridisation on the alveolar cells. Acute pulmonary allograft rejection was characterised by the paucity of systemic stigmata of immune activation and by the intrapulmonary compartmentalisation of the inflammatory response principally expressed by an increase in alveolar concentration of IL-6, TNF-sR55 and TNF-sR75, and an increased expression of the IL-1beta gene. Cytomegalovirus pneumonia is accompanied by an intense local and systemic inflammatory activity as evidenced by the serum level of IL-2sR, neopterin, TNF-sR55 and TNF-sR75, the alveolar concentration of IL-6, TNF-sR55 and TNF-sR75, and the expression of monokine (IL-1beta, IL-6) and of cytotoxic mediator (granzyme b, perforin) genes by BAL cells. These mediators could participate in the elaboration of an acute or chronic inflammatory response which would be potentially deleterious for the graft.</t>
  </si>
  <si>
    <t>CYTOKINES; CYTOMEGALOVIRUS; CYTOTOXICITY; CYTOMEGALOVIRUS PNEUMONIA; GRAFT REJECTION; PULMONARY TRANSPLANTS</t>
  </si>
  <si>
    <t>THE IMMUNOPATHOLOGY OF CYTOMEGALOVIRUS PNEUMONIA AND ALLOGRAFT-REJECTION IN LUNG-TRANSPLANT PATIENTS</t>
  </si>
  <si>
    <t>WOS:A1994NJ20800031</t>
  </si>
  <si>
    <t>NJ208</t>
  </si>
  <si>
    <t>10.1097/00007890-199404270-00031</t>
  </si>
  <si>
    <t>APR 27</t>
  </si>
  <si>
    <t>351 WEST CAMDEN ST, BALTIMORE, MD 21201-2436</t>
  </si>
  <si>
    <t>BALTIMORE</t>
  </si>
  <si>
    <t>WILLIAMS &amp; WILKINS</t>
  </si>
  <si>
    <t>HUMBERT, M (corresponding author), HOP ANTOINE BECLERE,SERV PNEUMOL,INSERM,U131,IMMUNOPATHOL &amp; IMMUNOL VIRALE LAB,32 RUE CARNETS,F-92140 CLAMART,FRANCE.</t>
  </si>
  <si>
    <t>Hopital Marie Lannelongue</t>
  </si>
  <si>
    <t>CTR CHIRURG MARIE LANNELONGUE,SERV CHIRURG THORAC &amp; TRANSPLANTAT PULM,LE PLESSIS ROBINS,FRANCE</t>
  </si>
  <si>
    <t>CYTOTOXIC-CELLS; VIRUS; TRANSPLANTATION; REJECTION; ANTIGENS; DISEASE</t>
  </si>
  <si>
    <t>PERFORIN AND GRANZYME-B GENE-EXPRESSING CELLS IN BRONCHOALVEOLAR LAVAGE FLUIDS FROM LUNG ALLOGRAFT RECIPIENTS DISPLAYING CYTOMEGALOVIRUS PNEUMONITIS</t>
  </si>
  <si>
    <t>HUMBERT, M; MAGNAN, A; LADURIE, FL; DARTEVELLE, P; SIMONNEAU, G; DUROUX, P; GALANAUD, P; EMILIE, D</t>
  </si>
  <si>
    <t>WOS:A1994NQ97100047</t>
  </si>
  <si>
    <t>NQ971</t>
  </si>
  <si>
    <t>10.1164/ajrccm.149.6.8004330</t>
  </si>
  <si>
    <t>MAGNAN, ANTOINE/GVT-4308-2022; Humbert, Marc/AAC-8459-2019</t>
  </si>
  <si>
    <t>HUMBERT, M (corresponding author), INSERM,U131,IMMUNOPATHOL &amp; IMMUNOL VIRALE LAB,32 RUE CARNETS,F-92140 CLAMART,FRANCE.</t>
  </si>
  <si>
    <t>Assistance Publique Hopitaux Paris (APHP); Hopital Universitaire Antoine-Beclere - APHP; Hopital Marie Lannelongue; University of Geneva</t>
  </si>
  <si>
    <t>HOP ANTOINE BECLERE,SERV PNEUMOL,CLAMART,FRANCE; CTR CHIRURG MARIE LANNELONGUE,SERV CHIRURG THORAC &amp; TRANSPLANTAT PULM,F-92350 LE PLESSIS ROBINS,FRANCE; UNIV GENEVA,HOP CANTONAL,DIV IMMUNOL &amp; ALLERGY,CH-1211 GENEVA,SWITZERLAND</t>
  </si>
  <si>
    <t>Two distinct types of tu mor necrosis factor receptors (TNF-R) have been identified (TNF-R(55) and TNF-R(75)). Both TNF-R also exist in soluble forms (TNF-sR), resulting from the release of the extracellular domains (TNF-sR(55) and TNFsR(75)), TNF-sR may play an important role in vivo as they can bind to TNF alpha and prevent ligand binding to the cellular TNF-R, thus acting as naturally occurring inhibitors of TNF alpha. Sera from lung allograft recipients with cytomegalovirus (CMV) pneumonitis (12 patients) were assayed for TNF-sR(55) and TNFsR(75). The concentrations were compared with those from either control lung recipients displaying neither rejection nor infection (12 patients), or lung recipients with allograft rejection (12 patients). Serum TNF-sR(55) and TNF-sR(75) concentrations were measured by enzyme-linked immunologic binding assay. Serum TNF-sR(55) and TNF-sR(75) concentrations were significantly higher during CMV pneumonitis (mean +/- SEM: 13.7 +/- 4.7 ng/ml, and 11.7 +/- 2.7 ng/ml, respectively) than during allograft rejection (3.7 +/- 0.3 ng/ml, p &lt; 0.001, and 2.6 +/- 0.6 ng/ml, p &lt; 0.001, respectively). They were also higher than in control subjects (3.6 +/- 0.3 ng/ml, p &lt; 0.001, and 1.9 +/- 0.5 ng/ml, p &lt; 0.001, respectively). Serum TNF alpha concentration was low in case of rejection or in control subjects (&lt; 20 pg/ml). Conversely increased levels of TNF alpha were detected in the serum of six out of the 12 patients with CMV pneumonitis (p &lt; 0.03 versus rejection and control subjects). Ganciclovir treatment of CMV pneumonitis led to a dramatic decrease of TNF alpha, TNFsR(55), and TNF-sR(75) serum levels. This report demonstrates that there are high levels of TNF-sR in the serum of lung recipients displaying CMV pneumonitis, suggesting a possible mechanism for modulation of excessive macrophage activation arising in response to symptomatic CMV infection.</t>
  </si>
  <si>
    <t>TUMOR-NECROSIS-FACTOR; RESPIRATORY-DISTRESS SYNDROME; FACTOR-ALPHA; I TNF; TRANSPLANTATION; SERUM; SHOCK; INTERLEUKIN-1; REJECTION; CACHECTIN</t>
  </si>
  <si>
    <t>SOLUBLE TNF RECEPTORS (TNF-SR(55) AND TNF-SR(75)) IN LUNG ALLOGRAFT RECIPIENTS DISPLAYING CYTOMEGALOVIRUS PNEUMONITIS</t>
  </si>
  <si>
    <t>HUMBERT, M; ROUXLOMBARD, P; CERRINA, J; MAGNAN, A; SIMONNEAU, C; DARTEVELLE, P; GALANAUD, P; DAYER, JM; EMILIE, D</t>
  </si>
  <si>
    <t>WOS:A1994NW67700014</t>
  </si>
  <si>
    <t>NW677</t>
  </si>
  <si>
    <t>Macchiarini, Paolo/E-6878-2013; Simonneau, Gerald/ABE-6614-2020; Humbert, Marc/AAC-8459-2019; Berrih‐Aknin, Sonia/F-8025-2013</t>
  </si>
  <si>
    <t>MACCHIARINI, P (corresponding author), UNIV PARIS SUD, HOP MARIE LANNELONGUE, DEPT THORAC &amp; VASC SURG &amp; HEART LUNG TRANSPLANTAT, F-92350 LE PLESSIS ROBINSON, FRANCE.</t>
  </si>
  <si>
    <t>Assistance Publique Hopitaux Paris (APHP); Hopital Universitaire Antoine-Beclere - APHP</t>
  </si>
  <si>
    <t>PARIS SUD UNIV, HOP ANTOINE BECLERE, DEPT PNEUMOL, PARIS, FRANCE</t>
  </si>
  <si>
    <t>En bloc double lung transplantation with bilateral bronchial anastomoses was successfully performed in three patients with complete situs inversus and end-stage Kartagener's syndrome. Dextrocardia was not a technical problem for institution of cardiopulmonary bypass, but a large azygos vein draining the systemic venous return was systematically preserved. The major technical difficulty was restoration of airway continuity, because patients with situs inversus have an inverse direction and length of the main stem bronchi. The right and left main bronchi of the recipients were approached in the aortocaval sinus and transected approximately at 1.5 cm from the carina. The donor right main stem bronchus was divided at its origin and the donor left main stem bronchus was divided proximal to the upper lobe takeoff. The different bronchial angulation was not an obstacle, and airway continuity was reestablished twice with an end-to-end anastomosis and once with a telescopic technique. Because of the midline position of the left atrium and pulmonary artery, the anastomoses with the respective recipient's structures were made as in patients with situs solitus. One patient required a right lower lobectomy because the position of the right side of the heart interfered with lobar expansion. One patient died of obliterative bronchiolitis 36 months after the operation. The remaining two are alive and doing well after 48 and 6 months, respectively.</t>
  </si>
  <si>
    <t>DOUBLE-LUNG TRANSPLANTATION IN SITUS-INVERSUS WITH KARTAGENERS-SYNDROME</t>
  </si>
  <si>
    <t>MACCHIARINI, P; CHAPELIER, A; VOUHE, P; CERRINA, J; LADURIE, FL; PARQUIN, F; BRENOT, F; SIMONNEAU, G; DARTEVELLE, P; HERVE, P; PARENT, F; LAFONT, D; LEHOUEROU, D; BARTHELME, B; REMUZON, G; SIMONEAU, F; RAIN, B; DULMET, E; KLEIN, C; THEODORE, F; LIEBERT, JM; PETITPRETZ, P; BERRIH-AKNIN, S; FATTAL, M; HUMBERT, M; GALANAUD, P</t>
  </si>
  <si>
    <t>WOS:A1995QX80400053</t>
  </si>
  <si>
    <t>QX804</t>
  </si>
  <si>
    <t>10.1164/ajrccm.151.5.7735624</t>
  </si>
  <si>
    <t>Simonneau, Gerald/ABE-6614-2020; Sitbon, Olivier/I-3623-2019; Humbert, Marc/AAC-8459-2019</t>
  </si>
  <si>
    <t>Institut National de la Sante et de la Recherche Medicale (Inserm); Assistance Publique Hopitaux Paris (APHP); Hopital Universitaire Antoine-Beclere - APHP; Universite Paris Saclay</t>
  </si>
  <si>
    <t>INSERM,U131,IMMUNOPATHOL &amp; IMMUNOL VIRALE LAB,F-92140 CLAMART,FRANCE; HOP ANTOINE BECLERE,BACTERIOIMMUNOL LAB,SERV PNEUMOL,CLAMART,FRANCE; INST PARIS SUD CYTOKINES,CLAMART,FRANCE</t>
  </si>
  <si>
    <t>Primary pulmonary hypertension (PPH) is characterized by the proliferation of smooth-muscle cells, fibroblasts, and endothelial cells in the walls of small pulmonary arteries. In order to evaluate a role for proinflammatory cytokines in this process, we studied the concentration of interleukin-1 beta (IL-1 beta), IL-6, and tumor necrosis factor-alpha (TNF alpha) in the serum of 29 patients with severe PPH referred to our center for lung transplantation. Results were compared with those obtained in 15 normal controls and nine patients with pulmonary hypertension secondary to chronic obstructive pulmonary disease (COPD-PH). TNF alpha serum levels were within the normal range in each group. This contrasted with increased IL-1 beta serum levels in severe PPH (118 +/- 36 pg/ml, mean +/- SEM) as compared with controls (3 +/- 1 pg/ml, p &lt; 0.001) or COPD-PH patients (3 +/- 1 pg/ml, p &lt; 0.001). IL-6 serum concentrations were also higher in severe PPH (66 +/- 20 pg/ml) than in controls (14 +/- 6 pg/ml, p &lt; 0.01). This study demonstrates increased serum levels of IL-1 beta and IL-6 in severe PPH, and suggests a role for proinflammatory cytokines in PPH.</t>
  </si>
  <si>
    <t>SMOOTH-MUSCLE CELLS; TUMOR-NECROSIS-FACTOR; PROCOAGULANT ACTIVITY; GROWTH; THROMBOSIS; EXPRESSION; REGULATOR; MITOGEN; IL-1</t>
  </si>
  <si>
    <t>INCREASED INTERLEUKIN-1 AND INTERLEUKIN-6 SERUM CONCENTRATIONS IN SEVERE PRIMARY PULMONARY-HYPERTENSION</t>
  </si>
  <si>
    <t>HUMBERT, M; MONTI, G; BRENOT, F; SITBON, O; PORTIER, A; GRANGEOTKEROS, L; DUROUX, P; GALANAUD, P; SIMONNEAU, G; EMILIE, D</t>
  </si>
  <si>
    <t>WOS:A1995RA60500023</t>
  </si>
  <si>
    <t>RA605</t>
  </si>
  <si>
    <t>Immunology; Research &amp; Experimental Medicine</t>
  </si>
  <si>
    <t>Immunology; Medicine, Research &amp; Experimental</t>
  </si>
  <si>
    <t>10.1084/jem.181.6.2153</t>
  </si>
  <si>
    <t>J. Exp. Med.</t>
  </si>
  <si>
    <t>J EXP MED</t>
  </si>
  <si>
    <t>0022-1007</t>
  </si>
  <si>
    <t>222 E 70TH STREET, NEW YORK, NY 10021</t>
  </si>
  <si>
    <t>ROCKEFELLER UNIV PRESS</t>
  </si>
  <si>
    <t>Humbert, Marc/0000-0003-0703-2892; Taborda Barata, Luis/0000-0001-6649-8890</t>
  </si>
  <si>
    <t>Imperial College London</t>
  </si>
  <si>
    <t>NATL HEART &amp; LUNG INST,DEPT ALLERGY &amp; CLIN IMMUNOL,LONDON SW3 6LY,ENGLAND</t>
  </si>
  <si>
    <t>The C-C chemokines RANTES and monocyte chemotactic protein-3 (MCP-3) are potent chemoattractants in vitro for eosinophils and other cell types associated with allergic reactions. We tested the hypothesis that the allergen-induced infiltration of eosinophils, T cells, and macrophages in the skin of atopic subjects is accompanied by the appearance of mRNA(+) cells for RANTES and MCP-3. Cryostat sections were obtained from skin biopsies from six subjects 6, 24, and 48 h after allergen challenge. Tissue was processed for immunocytochemistry (ICC) and for in situ hybridization using S-35-labeled riboprobes for RANTES and MCP-3. In contrast to diluent controls, allergen provoked a significant increase in mRNA(+) cells for MCP-3, which peaked at 6 h and progressively declined at 24 and 48 h. This paralleled the kinetics of total (major basic protein positive [MBP](+)) and activated (cleaved form of eosinophil cationic protein [EG2](+)) eosinophil infiltration. The allergen-induced expression of cells mRNA(+) for RANTES was also clearly demonstrable at 6 h. However, the numbers were maximal at 24 h and declined slightly at the 48-h time point. The number of mRNA(+) cells for RANTES paralleled the kinetics of infiltration of CD3(+), CD4(+), and CD8(+) T cells whereas the number of CD68(+) macrophages was still increasing at 48 h. These data support the view that MCP-3 is involved in the regulation of the early eosinophil response to specific allergen, whereas RANTES may have more relevance to the later accumulation of T cells and macrophages.</t>
  </si>
  <si>
    <t>CYTOKINE RANTES; LYMPHOCYTES; EXPRESSION; CD4+; INTERLEUKIN-8; MIP-1-ALPHA; ACTIVATION; MIP-1-BETA; CHEMOKINES; MIGRATION</t>
  </si>
  <si>
    <t>JOURNAL OF EXPERIMENTAL MEDICINE</t>
  </si>
  <si>
    <t>THE KINETICS OF ALLERGEN-INDUCED TRANSCRIPTION OF MESSENGER-RNA FOR MONOCYTE CHEMOTACTIC PROTEIN-3 AND RANTES IN THE SKIN OF HUMAN ATOPIC SUBJECTS - RELATIONSHIP TO EOSINOPHIL, T-CELL, AND MACROPHAGE RECRUITMENT</t>
  </si>
  <si>
    <t>YING, S; TABORDABARATA, L; MENG, Q; HUMBERT, M; KAY, AB</t>
  </si>
  <si>
    <t>WOS:A1995RP38501126</t>
  </si>
  <si>
    <t>RP385</t>
  </si>
  <si>
    <t>Centre National de la Recherche Scientifique (CNRS); Scripps Research Institute</t>
  </si>
  <si>
    <t>HOP CARDIOL, CNRS, URA 1464, PESSAC, FRANCE; SCRIPPS RES INST, LA JOLLA, CA USA</t>
  </si>
  <si>
    <t>A MAB (AP-6) RECOGNIZING THE SEQUENCE 209-222 OF GP IIIA SHOWS AN ACTIVATION-DEPENDENT BINDING TO THE SURFACE-MEMBRANE OF PLATELETS YET BINDS TO ALPHA-GRANULE MEMBRANES OF UNSTIMULATED PLATELETS</t>
  </si>
  <si>
    <t>NURDEN, P; HUMBERT, M; BIHOUR, C; PIOTROWICZ, R; KUNICKI, TJ; NURDEN, AT</t>
  </si>
  <si>
    <t>WOS:A1995RP38501586</t>
  </si>
  <si>
    <t>Humbert, Marc/AAC-8459-2019; PASQUET, JEAN-MAX/T-4906-2019</t>
  </si>
  <si>
    <t>Centre National de la Recherche Scientifique (CNRS); Sanofi-Aventis; Sanofi France; Scripps Research Institute</t>
  </si>
  <si>
    <t>HOP CARDIOL,CNRS,URA 1464,PESSAC,FRANCE; SANOFI RECH,TOULOUSE,FRANCE; SCRIPPS CLIN &amp; RES FDN,LA JOLLA,CA 92037</t>
  </si>
  <si>
    <t>PLATELET AGGREGATES INDUCED BY ADP OR 2-MES-ADP FROM HUMAN-SUBJECTS RECEIVING CLOPIDOGREL WERE UNSTABLE AND FORMED WITH MINIMAL BOUND FIBRINOGEN AND GP IIB-IIIA ACTIVATION</t>
  </si>
  <si>
    <t>HUMBERT, M; BIHOUR, C; PASQUET, JM; WINCKLER, J; SAVI, P; HERBERT, JM; KUNICKI, TJ; NURDEN, AT; NURDEN, P</t>
  </si>
  <si>
    <t>WOS:A1995RH70300023</t>
  </si>
  <si>
    <t>RH703</t>
  </si>
  <si>
    <t>10.1111/j.1365-2141.1995.tb05596.x</t>
  </si>
  <si>
    <t>Br. J. Haematol.</t>
  </si>
  <si>
    <t>BRIT J HAEMATOL</t>
  </si>
  <si>
    <t>0007-1048</t>
  </si>
  <si>
    <t>OSNEY MEAD, OXFORD, OXON, ENGLAND OX2 0EL</t>
  </si>
  <si>
    <t>BLACKWELL SCIENCE LTD</t>
  </si>
  <si>
    <t>NURDEN, A (corresponding author), HOP CARDIOL,CNRS,URA 1464,F-33604 PESSAC,FRANCE.</t>
  </si>
  <si>
    <t>In 1990 we reported that GP Ib-IX complexes accumulated within the surface-connected canalicular system (SCCS) of thrombin-stimulated platelets, This conclusion was reached following investigations using monoclonal antibodies (MAbs) in flow cytometry and a polyclonal antibody to GP Ib alpha in electron microscopy with immunogold staining performed on ultrathin sections of resin-embedded platelets. Recent controversy concerning these results has prompted us to perform further studies using 14 anti-GP Ib-IX MAbs obtained from the 1993 Boston Workshop on Leukocyte Antigens, Features were the use of the MAbs in mixtures and the fact that immunogold staining was performed on frozen thin sections. Platelets were stimulated with either alpha-thrombin or TRAP-14-mer peptide. In all cases a decreased density of GP Ib-IX complexes on exposed areas of the activated platelet surface was accompanied by an increased expression within the SCCS. At the same time we noted that when platelets were stimulated with TRAP-14-mer they progressively exhibited a different internal morphology in comparison to that seen with thrombin. In particular, the dense central mass disappeared and large vacuoles were present throughout the cytoplasm. Overall, these studies confirm that changes in the distribution of GP Ib-IX complexes which follow thrombin-induced platelet activation (i) are indeed observed when antibody mixtures are used to detect them, and (ii) are mediated through the receptor recognized by the TRAP-14-mer peptide.</t>
  </si>
  <si>
    <t>MEMBRANE GLYCOPROTEIN-IB; VONWILLEBRAND-FACTOR; IIB-IIIA; REDISTRIBUTION; RECEPTORS</t>
  </si>
  <si>
    <t>PLATELET ACTIVATION; THROMBIN; GP IB-IX COMPLEXES; FLOW CYTOMETRY; ELECTRON MICROSCOPY</t>
  </si>
  <si>
    <t>BRITISH JOURNAL OF HAEMATOLOGY</t>
  </si>
  <si>
    <t>CONFIRMATION THAT GP IB-IX COMPLEXES HAVE A REDUCED SURFACE DISTRIBUTION ON PLATELETS ACTIVATED BY THROMBIN AND TRAP-14-MER PEPTIDE</t>
  </si>
  <si>
    <t>NURDEN, A; CAZES, E; BIHOUR, C; HUMBERT, M; COMBRIE, R; PAPONNEAU, A; WINCKLER, J; NURDEN, P</t>
  </si>
  <si>
    <t>WOS:A1995TB37100001</t>
  </si>
  <si>
    <t>TB371</t>
  </si>
  <si>
    <t>10.1002/eji.1830251002</t>
  </si>
  <si>
    <t>Eur. J. Immunol.</t>
  </si>
  <si>
    <t>EUR J IMMUNOL</t>
  </si>
  <si>
    <t>1521-4141</t>
  </si>
  <si>
    <t>0014-2980</t>
  </si>
  <si>
    <t>Till, Stephen/0000-0003-4518-3093; Humbert, Marc/0000-0003-0703-2892; Corrigan, Chris/0000-0002-0706-6534; Huston, David/0000-0002-2332-0010; JEANNIN, Pascale/0000-0002-3666-3856</t>
  </si>
  <si>
    <t>JEANNIN, Pascale/K-8656-2015; Humbert, Marc/AAC-8459-2019</t>
  </si>
  <si>
    <t>Imperial College London; Baylor College of Medicine; GlaxoSmithKline; GlaxoSmithKline Switzerland</t>
  </si>
  <si>
    <t>NATL HEART &amp; LUNG INST, DEPT ALLERGY &amp; CLIN IMMUNOL, LONDON SW3 6LY, ENGLAND; BAYLOR COLL MED, DEPT MED, IMMUNOL SECT, HOUSTON, TX USA; GLAXO INST MOLEC BIOL SA, DEPT IMMUNOL, GENEVA, SWITZERLAND</t>
  </si>
  <si>
    <t>Specific eosinophil accumulation and activation within the asthmatic bronchial mucosa are thought to occur at least partly through the actions of cytokines, including interleukin (TL)-5, IL-3 and granulocyte/macrophage colony-stimulating factor (GM-CSF). Although mRNA encoding some of these cytokines has been demonstrated in bronchoalveolar lavage (BAL) fluid cells and bronchial biopsies from asthmatics, it has yet to be established whether these cells produce the translated products and whether expression is associated with CD4(+) T helper or CD8(+) cytotoxic T cells. We addressed this problem by raising polyclonal CD4(+) and CD8(+) T cell lines from the BAL fluid of six atopic asthmatics, five atopic non-asthmatics and seven non-atopic non-asthmatic controls. BAL fluid cells obtained at fiberoptic bronchoscopy were depleted of adherent cells, and then T lymphocytes expanded by stimulation with monoclonal anti-CD3 antibody and recombinant human IL-2. When lymphocytes had expanded to sufficient numbers, CD4(+) and CD8(+) cells were separated by positive selection with magnetic beads coated with anti-CD4 or anti-CD8 monoclonal antibodies and further expanded. Cytokine secretion by standardized cell numbers was measured by enzyme-linked immunosorbent assays. BAL CD4(+) T cell lines from the asthmatics secreted significantly elevated quantities of both IL-5 and GM-CSF as compared with lines from the atopic and non-atopic controls (p = 0.023-0.003). In contrast, IL-3 secretion did not significantly differ between the groups. In some subjects, CD8(+) T cell lines also secreted significant quantities of these cytokines and there was a trend for IL-5 secretion by these cells to be higher in asthmatics than non-atopic controls (p = 0.035). These data are consistent with the hypothesis that activated T lymphocytes from asthmatics, particularly of the CD4(+) subset, are predisposed to release elevated quantities of cytokines relevant to the accumulation and activation of eosinophils.</t>
  </si>
  <si>
    <t>LYMPHOCYTES-T; ACTIVATION; HYPODENSE; SURVIVAL; SUBSETS; MUCOSA</t>
  </si>
  <si>
    <t>ASTHMA; CYTOKINE; T LYMPHOCYTE; BRONCHOALVEOLAR LAVAGE</t>
  </si>
  <si>
    <t>EUROPEAN JOURNAL OF IMMUNOLOGY</t>
  </si>
  <si>
    <t>SECRETION OF THE EOSINOPHIL-ACTIVE CYTOKINES INTERLEUKIN-5, GRANULOCYTE/MACROPHAGE COLONY-STIMULATING FACTOR AND INTERLEUKIN-3 BY BRONCHOALVEOLAR LAVAGE CD4(+) AND CD8(+) T-CELL LINES IN ATOPICS ASTHMATICS, AND ATOPIC AND NONATOPIC CONTROLS</t>
  </si>
  <si>
    <t>TILL, S; LI, BQ; DURHAM, S; HUMBERT, M; ASSOUFI, B; HUSTON, D; DICKASON, R; JEANNIN, P; KAY, AB; CORRIGAN, C</t>
  </si>
  <si>
    <t>WOS:A1996UX66800009</t>
  </si>
  <si>
    <t>UX668</t>
  </si>
  <si>
    <t>10.1055/s-2007-999020</t>
  </si>
  <si>
    <t>Semin. Thromb. Hemost.</t>
  </si>
  <si>
    <t>SEMIN THROMB HEMOST</t>
  </si>
  <si>
    <t>0094-6176</t>
  </si>
  <si>
    <t>381 PARK AVE SOUTH, NEW YORK, NY 10016</t>
  </si>
  <si>
    <t>CHU Bordeaux; Scripps Research Institute</t>
  </si>
  <si>
    <t>HOP CARDIOL, INST FEDERAT COEUR VAISSEAUX THROMBOSE, URA 1464 CNRS, F-33604 PESSAC, FRANCE; SCRIPPS RES INST, LA JOLLA, CA USA</t>
  </si>
  <si>
    <t>An immunoglobulin M monoclonal antibody (IgM MAb; AP-6) recognizing the sequence 211-221 of glycoprotein (GP) IIIa enabled a study of the distribution of this epitope on unstimulated or thrombin-activated platelets. Flow cytometry was used to evaluate the expression of this epitope on platelets and immunogold staining on ultrathin sections to analyze its distribution within the cell. There was little or no binding of AP-6 to unstimulated platelets, but immunogold staining showed labeling associated with the membranes of alpha-granules. The binding of AP-6 to thrombin-stimulated platelets was compared with that of anti-RIBS MAbs and antifibrinogen polyclonal antibodies. An increased expression of the AP6 epitope was observed on membranes of the surface-connected canalicular system and at the periphery of the cell as early as 10 to 15 seconds after platelet activation by thrombin. At the same time, binding of anti-RIBS MAbs confirmed that at least part of the endogenous fibrinogen had left the ex-granules and was bound to platelet membranes. Staining with polyclonal antifibrinogen antibody also revealed fibrinogen in vesicles resulting from granule fusion. Rapidly, the pool of internal membranes with bound fibrinogen became exposed to the outside of the platelet, a process involving the unfolding of membranes and pseudopod formation. Our results provide evidence that activation of GP IIb-IIIa and binding of fibrinogen to platelet membranes can occur before their expression at the platelet surface. They also suggest the presence of an or-granule pool of GP IIb-IIIa linked to fibrinogen in unstimulated platelets.</t>
  </si>
  <si>
    <t>ALPHA-GRANULES; GLANZMANNS-THROMBASTHENIA; MEMBRANE-GLYCOPROTEINS; FIBRINOGEN BINDING; LIGAND-BINDING; STRASBOURG-I; GPIIB-IIIA; SURFACE; EXPRESSION; SITE</t>
  </si>
  <si>
    <t>platelets; thrombin; GP IIb-IIIa complexes; activation-dependent epitopes; immunogold staining</t>
  </si>
  <si>
    <t>SEMINARS IN THROMBOSIS AND HEMOSTASIS</t>
  </si>
  <si>
    <t>Visualization of activation-dependent epitopes on glycoprotein IIb-IIIa complexes of platelets stimulated by thrombin: Immunogold staining of ultrathin sections</t>
  </si>
  <si>
    <t>Humbert, M; Kunicki, TJ; Bihour, C; Winckler, J; Nurden, AT; Nurden, P</t>
  </si>
  <si>
    <t>WOS:A1996TW46700001</t>
  </si>
  <si>
    <t>TW467</t>
  </si>
  <si>
    <t>10.1111/j.1365-2222.1996.tb00069.x</t>
  </si>
  <si>
    <t>Humbert, M (corresponding author), HOP ANTOINE BECLERE,SERV PNEUMOL &amp; REANIMAT RESP,157 RUE PORTE TRIVAUX,F-92141 CLAMART,FRANCE.</t>
  </si>
  <si>
    <t>RECOMBINANT HUMAN INTERLEUKIN-5; COLONY-STIMULATING FACTOR; ATOPIC ASTHMA; MESSENGER-RNA; INFLAMMATION; INVITRO; NEUTROPHILS; EPITHELIUM; EXPRESSION; ADHESION</t>
  </si>
  <si>
    <t>Pro-eosinophilic cytokines in asthma</t>
  </si>
  <si>
    <t>WOS:A1996UR22300030</t>
  </si>
  <si>
    <t>UR223</t>
  </si>
  <si>
    <t>10.1164/ajrccm.153.6.8665058</t>
  </si>
  <si>
    <t>Wellcome Trust Funding Source: Medline</t>
  </si>
  <si>
    <t>NATL HEART &amp; LUNG INST, DEPT ALLERGY &amp; CLIN IMMUNOL, LONDON SW3 6LY, ENGLAND; HOCHGEBIRGSKLIN DAVOS WOLFGANG, ASTHMA &amp; ALLERGY CLIN, DAVOS, SWITZERLAND</t>
  </si>
  <si>
    <t>Asthma is characterized by bronchial mucosal inflammation. Although allergen-induced activation of cells binding allergen-specific immunoglobulin E (IgE) through high-affinity receptors (Fc epsilon RI) is believed to play some role in asthma, inappropriate synthesis of total or allergen-specific IgE cannot be demonstrated in some (''intrinsic'') patients despite the fact that the nature of the bronchial inflammation is similar to that in atopic (''extrinsic'') asthmatics. We have studied the numbers and phenotype of Fc epsilon RI-bearing cells in bronchial biopsies from 12 atopic and 10 nonatopic asthmatic patients and compared our findings with 10 atopic and 12 nonatopic control subjects using single and double immunohistochemistry. Significantly increased numbers of Fc epsilon RI-bearing cells were identified in bronchial biopsies from atopic and nonatopic asthmatics and atopic control subjects when compared with normal controls (p = 0.001, 0.006, and 0.0006, respectively). In asthmatics and atopics the majority of Fc epsilon RI-bearing cells were identified as mast cells and macrophages; a much smaller percentage were eosinophils. We conclude that elevated numbers of high-affinity IgE receptor-bearing cells are a feature of bronchial biopsies of asthmatic subjects, irrespective of their atopic status.</t>
  </si>
  <si>
    <t>FC-EPSILON-RI; SERUM IGE; ALVEOLAR MACROPHAGES; IMMUNOGLOBULIN-E; HUMAN BASOPHILS; MAST-CELLS; RESPONSIVENESS; HISTAMINE; EOSINOPHILS; RELEASE</t>
  </si>
  <si>
    <t>High-affinity IgE receptor (Fc epsilon RI)-bearing cells in bronchial biopsies from atopic and nonatopic asthma</t>
  </si>
  <si>
    <t>Humbert, M; Grant, JA; TabordaBarata, L; Durham, SR; Pfister, R; Menz, G; Barkans, J; Ying, S; Kay, AB</t>
  </si>
  <si>
    <t>WOS:A1996UU56400016</t>
  </si>
  <si>
    <t>UU564</t>
  </si>
  <si>
    <t>10.1097/00007890-199606270-00016</t>
  </si>
  <si>
    <t>JUN 27</t>
  </si>
  <si>
    <t>Simonneau, Gerald/ABE-6614-2020; MAGNAN, ANTOINE/GVT-4308-2022; MEGE, JEAN-LOUIS/O-6063-2016; Humbert, Marc/AAC-8459-2019</t>
  </si>
  <si>
    <t>Institut National de la Sante et de la Recherche Medicale (Inserm); Universite Paris Saclay; Aix-Marseille Universite; Assistance Publique-Hopitaux de Marseille; Assistance Publique Hopitaux Paris (APHP); Hopital Universitaire Antoine-Beclere - APHP; Assistance Publique Hopitaux Paris (APHP); Hopital Universitaire Antoine-Beclere - APHP; Hopital Marie Lannelongue</t>
  </si>
  <si>
    <t>INST PARIS SUD CYTOKINES,INSERM U131,F-92140 CLAMART,FRANCE; HOP ST MARGUERITE,SERV PNEUMOALLERGOL,F-13000 MARSEILLE,FRANCE; GRP TRANSPLANTAT PULM MARSEILLE,MARSEILLE,FRANCE; HOP ANTOINE BECLERE,SERV PNEUMOL,F-92140 CLAMART,FRANCE; HOP ANTOINE BECLERE,SERV ANAT PATHOL,F-92140 CLAMART,FRANCE; HOP MARIE LANNELONGUE,F-92350 LE PLESSIS ROBINS,FRANCE</t>
  </si>
  <si>
    <t>RANTES (regulated upon activation, normally T expressed and secreted) is a chemoattractant for macrophages, memory T lymphocytes, and eosinophils, We investigated whether intrapulmonary production of the chemokine RANTES contributes to the recruitment of immune cells during lung transplantation complications, RANTES concentration was measured in bronchoalveolar lavage (BAL) fluids using an ELISA assay, It was significantly higher during CMV pneumonitis (36.2+/-16 pg/ml, n=12, P=0.031) and allograft rejection (31.1+/-8.5 pg/ml, n=27, P=0.013) than in patients without complications (9.1+/-2.3 pg/ml, n=22), At least some of the RANTES was produced by lung macrophages: BAL macrophages cultured for 24 hr spontaneously released larger amount of RANTES during CMV pneumonitis (140+/-53 pg/ml, n=8, P=0.002) and allograft rejection (84+/-44 pg/ml, n=11, P=0.037) than in control patients (15.2+/-6.5 pg/ml, n=21), Moreover, macrophages in transbronchial biopsies were labeled by an anti-RANTES mAb, RANTES production by BAL macrophages was followed in 2 patients with CMV pneumonitis, It remained high as long as CMV-induced cytopathic effects or clinical symptoms were present, but it returned to baseline as the infection was controlled, These results suggest that the intrapulmonary production of the chemokine RANTES by activated macrophages contributes to the intrapulmonary accumulation of immune cells during complications of lung transplantation.</t>
  </si>
  <si>
    <t>CYTOKINE FAMILY; CYTOMEGALOVIRUS; DEXAMETHASONE; EXPRESSION; MONOCYTES; GAMMA</t>
  </si>
  <si>
    <t>Intrapulmonary production of RANTES during rejection and CMV pneumonitis after lung transplantation</t>
  </si>
  <si>
    <t>Monti, G; Magnan, A; Fattal, M; Rain, B; Humbert, M; Mege, JL; Noirclerc, M; Dartevelle, P; Cerrina, J; Simonneau, G; Galanaud, P; Emilie, D</t>
  </si>
  <si>
    <t>WOS:A1996UY36300003</t>
  </si>
  <si>
    <t>UY363</t>
  </si>
  <si>
    <t>10.1136/thx.51.7.664</t>
  </si>
  <si>
    <t>BRITISH MED ASSOC HOUSE, TAVISTOCK SQUARE, LONDON, ENGLAND WC1H 9JR</t>
  </si>
  <si>
    <t>BRITISH MED JOURNAL PUBL GROUP</t>
  </si>
  <si>
    <t>Background - Concerns remain about the safety of bronchoscopy in asthma and there are few data on the effect of this procedure on asthma control in the days or weeks following bronchoscopy. Methods - In an initial study of bronchoalveolar lavage and bronchial biopsies in asthmatic and control subjects, data on peak expiratory flow rates (PEFR) collected prospectively before and after the procedure were available from 21 of the 29 asthmatic subjects studied. These showed a median 23% fall in PEFR from baseline after bronchoscopy (range 3-58%). To determine whether this fall in PEFR following bronchoscopy reflected bronchospasm or the effect of sedation, PEFR and spirometric tests were performed during the two hours following bronchoscopy in a further study of 15 symptomatic asthmatic subjects and 20 non-asthmatic controls. To examine the effect on asthma control, asthmatic patients recorded PEFR, symptom scores, and medication use for two weeks before and after bronchoscopy. Results - After bronchoscopy with bronchial biopsies there was no difference between the median maximal fall in either PEFR or arterial oxygen saturation between the 15 asthmatic patients (10.4% and 4%, respectively) and 20 controls (12% and 3%). Moreover, there were no significant changes in PEFR, symptom score, or medication use by the asthmatic subjects in the two weeks after bronchoscopy when compared with the two weeks before bronchoscopy. Conclusions - Fibreoptic bronchoscopy is well tolerated in asthmatic subjects. Falls in PEFR in both asthmatic and non-asthmatic subjects after bronchial biopsy may reflect the effects of sedation rather than bronchospasm. Additional bronchoalveolar lavage may cause bronchoconstriction. Careful monitoring is therefore essential. Peak flow monitoring up to two weeks after bronchoscopy with bronchial biopsy revealed no delayed effects on asthma control.</t>
  </si>
  <si>
    <t>BRONCHOALVEOLAR LAVAGE; BRONCHIAL RESPONSIVENESS; FIBEROPTIC BRONCHOSCOPY; ATOPIC ASTHMA; LUNG-FUNCTION; INFLAMMATION; BIOPSY</t>
  </si>
  <si>
    <t>asthma; bronchoscopy; safety</t>
  </si>
  <si>
    <t>Safety of fibreoptic bronchoscopy in asthmatic and control subjects and effect on asthma control over two weeks</t>
  </si>
  <si>
    <t>Humbert, M; Robinson, DS; Assoufi, B; Kay, AB; Durham, SR</t>
  </si>
  <si>
    <t>WOS:A1996UY84300001</t>
  </si>
  <si>
    <t>UY843</t>
  </si>
  <si>
    <t>Humbert, M (corresponding author), HOP ANTOINE BECLERE,INST PARIS SUD CYTOKINES,INSERM,U131,SERV PNEUMOL &amp; REANIMAT RESP,F-92140 CLAMART,FRANCE.</t>
  </si>
  <si>
    <t>RECOMBINANT HUMAN INTERLEUKIN-5; OBSTRUCTIVE PULMONARY-DISEASE; BRONCHODILATOR THERAPY; MESSENGER-RNA; LUNG HEALTH; EOSINOPHILS; CYTOMEGALOVIRUS; MACROPHAGES; BUDESONIDE; CELLS</t>
  </si>
  <si>
    <t>Airways inflammation in asthma and chronic bronchitis</t>
  </si>
  <si>
    <t>WOS:A1996VB32300017</t>
  </si>
  <si>
    <t>VB323</t>
  </si>
  <si>
    <t>10.1182/blood.V88.3.887.bloodjournal883887</t>
  </si>
  <si>
    <t>INDEPENDENCE SQUARE WEST CURTIS CENTER, STE 300, PHILADELPHIA, PA 19106-3399</t>
  </si>
  <si>
    <t>W B SAUNDERS CO</t>
  </si>
  <si>
    <t>NHLBI NIH HHS [HL-46979] Funding Source: Medline</t>
  </si>
  <si>
    <t>Poujol, Christel/0000-0002-5222-9064</t>
  </si>
  <si>
    <t>Scripps Research Institute; Scripps Research Institute; CHU Bordeaux</t>
  </si>
  <si>
    <t>SCRIPPS RES INST, ROON RES CTR ARTERIOSCLEROSIS &amp; THROMBOSIS, DEPT MOLEC &amp; EXPTL MED, LA JOLLA, CA 92037 USA; Scripps Res Inst, RES INST, DEPT VAS BIOL, LA JOLLA, CA 92037 USA; HOP CARDIOL, URA 1464 CNRS, PESSAC, FRANCE</t>
  </si>
  <si>
    <t>The sequence beta(3)203-228 is involved, in a yet undetermined manner, in alpha(IIb)beta(3) function. We now show that murine monoclonal antibody (MoAb) AP6, specific for beta(3)211-221, binds to alpha(IIb)beta(3) on adenosine diphosphate (ADP)-activated platelets only when the receptor is occupied by intact fibrinogen. The ligand-induced binding-site reported by AP6 is unique in that it is not expressed following occupancy by either RGD peptides or the gamma-chain carboxy-terminal dodecapeptide. Binding of AP6 to platelets coincides temporally with the binding of the MoAb 9F9, specific for a receptor-induced binding site on fibrinogen. Thus, AP6 reports the binding of fibrinogen to the recognition pocket of alpha(IIb)beta(3). Its binding to thrombin-stimulated washed platelets correlates with secretion as determined using an MoAb to P-selectin. When ultrathin sections of nonactivated platelets were examined by immunogold staining and electron microscopy, AP6 identified a pool of alpha(IIb)beta(3) colocalizing with P-selectin and suggesting the presence of alpha(IIb)beta(3)-ligand complexes in the alpha-granule membrane. There was little binding of AP6 to surface alpha(IIb)beta(3) of unstimulated platelets. After ADP-induced activation, Ape was abundantly distributed over the entire platelet surface, including pseudopods, but only when fibrinogen was present in the medium. ADP had little effect on AP6 reactivity within platelets. This contrasted with washed platelets and thrombin, where extensive AP6 binding was observed within internal membrane pools as early as 10 to 15 seconds after stimulation. Surface labeling with Ape followed slower kinetics. Flow cytometry on Triton X-100 permeabilized fixed platelets confirmed Ape binding to alpha(IIb)beta(3) within the platelet. Thus, our results provide evidence of (1) a pool of alpha-granule alpha(IIb)beta(3) occupied by ligand in nonactivated platelets, (2) thrombin-induced activation of alpha(IIb)beta(3) within the platelet, and (3) thrombin-induced mobilization of ligand-bound alpha(IIb)beta(3) to the surface. (C) 1996 by The American Society of Hematology.</t>
  </si>
  <si>
    <t>IIB-IIIA COMPLEX; HUMAN INTEGRIN BETA(3); GLYCOPROTEIN-IIB; GPIIB-IIIA; GLANZMANNS-THROMBASTHENIA; FLOW-CYTOMETRY; ALPHA-GRANULES; FIBRINOGEN; MEMBRANE; SURFACE</t>
  </si>
  <si>
    <t>Distribution of ligand-occupied alpha(IIb)beta(3) in resting and activated human platelets determined by expression of a novel class of ligand-induced binding site recognized by monoclonal antibody AP6</t>
  </si>
  <si>
    <t>Nurden, P; Humbert, M; Piotrowicz, RS; Bihour, C; Poujol, C; Nurden, AT; Kunicki, TJ</t>
  </si>
  <si>
    <t>WOS:A1996VP67300013</t>
  </si>
  <si>
    <t>VP673</t>
  </si>
  <si>
    <t>10.1093/intimm/8.10.1587</t>
  </si>
  <si>
    <t>Int. Immunol.</t>
  </si>
  <si>
    <t>INT IMMUNOL</t>
  </si>
  <si>
    <t>0953-8178</t>
  </si>
  <si>
    <t>WALTON ST JOURNALS DEPT, OXFORD, ENGLAND OX2 6DP</t>
  </si>
  <si>
    <t>OXFORD UNIV PRESS UNITED KINGDOM</t>
  </si>
  <si>
    <t>INST PARIS SUD CYTOKINES,INSERM U131,F-92140 CLAMART,FRANCE</t>
  </si>
  <si>
    <t>RANTES is a chemokine produced in delayed-type hypersensitivity (DTH) and allergic reactions, in which it may contribute to the recruitment of immune cells, Macrophages participate in the cellular infiltration in both conditions and they represent a potent source of RANTES, To understand the regulation of RANTES production by human monocytes, we analyzed the effect of cytokines and of corticosteroids on this production, We showed that IFN-gamma and tumor necrosis factor (TNF)-alpha cooperated to induce RANTES production by monocytes, N-acetylcysteine inhibited this effect, indicating that reactive oxygen intermediates are required for RANTES production, Both IL-10 and corticosteroids antagonized the stimulating effect of IFN-gamma and TNF-alpha on RANTES production, In contrast, IL-4 had no effect on IFN-gamma-induced RANTES production and it potentiated the positive effect of TNF-alpha on this production, Thus, the deactivating properties of IL-10 and corticosteroids on macrophage functions include RANTES production, and this may contribute to the immunosuppressive effect of both compounds in DTH and allergic reactions, In contrast, IL-4 has an opposite effect on RANTES production and this property may contribute to cell recruitment in allergic reactions, Therefore, although IL-10 and IL-4 belong to the T(h)2 family of cytokines, they can display distinct functions in immune reactions.</t>
  </si>
  <si>
    <t>TUMOR-NECROSIS-FACTOR; NF-KAPPA-B; DELAYED-TYPE HYPERSENSITIVITY; PERIPHERAL-BLOOD EOSINOPHILS; INHIBITS CYTOKINE PRODUCTION; MESSENGER-RNA EXPRESSION; CELL-MEDIATED-IMMUNITY; STIMULATORY FACTOR-I; TNF-ALPHA; GENE-EXPRESSION</t>
  </si>
  <si>
    <t>allergy; chemokine; delayed-type hypersensitivity reaction; inflammation; T(h)2-type cytokines; reactive oxygen intermediates</t>
  </si>
  <si>
    <t>INTERNATIONAL IMMUNOLOGY</t>
  </si>
  <si>
    <t>Contrasting effects of IL-4, IL-10 and corticosteroids on RANTES production by human monocytes</t>
  </si>
  <si>
    <t>MarfaingKoka, A; Maravic, M; Humbert, M; Galanaud, P; Emilie, D</t>
  </si>
  <si>
    <t>WOS:A1996VW31000010</t>
  </si>
  <si>
    <t>VW310</t>
  </si>
  <si>
    <t>S91</t>
  </si>
  <si>
    <t>S85</t>
  </si>
  <si>
    <t>HOP ANTOINE BECLERE, SERV PNEUMOL, 157 RUE PORTE TRIVAUX, F-92140 CLAMART, FRANCE.</t>
  </si>
  <si>
    <t>Allograft rejection and human cytomegalovirus (HCMV) infections are two major complications of allotransplantation. HCMV infection could promote allograft rejection through different mechanisms including the production of several proinflammatory cytokines, increased expression of major histocompatibility complex and adhesion molecules, and molecular mimicry. Similarly immune activation occuring during allograft rejection, its treatment and its prevention budget increases rates of HCMV disease. A better understanding of the links between allograft rejection and HCMV infection is necessary to develop new preventing or curative therapeutic approaches which could improve allotransplantation results in humans.</t>
  </si>
  <si>
    <t>IMMEDIATE EARLY GENES; LYMPHOCYTE-T RESPONSE; TUMOR-NECROSIS-FACTOR; MHC CLASS-I; BRONCHIOLITIS OBLITERANS; LUNG TRANSPLANTATION; VIRUS INFECTION; RECIPIENTS; EXPRESSION; CELLS</t>
  </si>
  <si>
    <t>allograft rejection; cytomegalovirus; transplantation</t>
  </si>
  <si>
    <t>Allograft rejection and human cytomegalovirus.</t>
  </si>
  <si>
    <t>Humbert, M; Emilie, D</t>
  </si>
  <si>
    <t>WOS:A1996VT36900043</t>
  </si>
  <si>
    <t>VT369</t>
  </si>
  <si>
    <t>10.1164/ajrccm.154.5.8912771</t>
  </si>
  <si>
    <t>NATL HEART &amp; LUNG INST,DEPT ALLERGY &amp; CLIN IMMUNOL,LONDON SW3 6LY,ENGLAND; HOCHGEBIRGSKLIN DAVOS,ALLERGY CLIN,WOLFGANG,SWITZERLAND</t>
  </si>
  <si>
    <t>Intrinsic (nonatopic) asthma is considered to be a distinct pathogenetic variant of asthma since, unlike extrinsic (atopic) asthma, patients with the disease are skin test-negative to common aeroallergens, and have total serum IgE concentrations within the normal range. Nevertheless, the recent demonstration of increased numbers of cells expressing the high-affinity IgE receptor in bronchial biopsies from atopic and nonatopic asthmatic subjects, together with epidemiologic evidence indicating that serum IgE concentrations relate closely to asthma prevalence regardless of atopic status, suggests that IgE-mediated mechanisms may participate in the pathogenesis of both atopic and nonatopic asthma. Furthermore both variants of the disease are associated with bronchial mucosal eosinophilic inflammation. Interleukin-4 (IL-4) is an essential cofactor for IgE synthesis, and there is strong evidence that IL-5 plays a major role in eosinophil accumulation in asthmatic inflammation. For these reasons we compared the expression of IL-4 and IL-5 mRNA and protein product using a semiquantitative reverse transcriptase-polymerase chain reaction (RT-PCR) amplification, in situ hybridization, and immunohistochemistry in bronchial biopsies from symptomatic atopic and nonatopic asthmatic subjects and atopic and nonatopic controls. The results showed that as compared with controls, biopsies from both groups of asthmatic subjects had increased numbers of IL-4 and IL-5 mRNA copies relative to beta-actin mRNA as detected by RT-PCR. Similarly, in situ hybridization and immunohistochemistry demonstrated increased numbers of cells expressing IL-4 and IL-5 mRNA and protein in asthmatic subjects, irrespective of their atopic status. We conclude that individuals with either atopic or nonatopic asthma show infiltration of the bronchial mucosa with cells expressing Th2-type cytokines, providing further evidence for similarities in the immunopathogenesis of these clinically distinct forms of asthma.</t>
  </si>
  <si>
    <t>CYTOKINE GENE-EXPRESSION; BRONCHOALVEOLAR LAVAGE; PERIPHERAL-BLOOD; MESSENGER-RNA; T-CELLS; IN-VIVO; INTERLEUKIN-5; RESPONSIVENESS; EOSINOPHILS; IGE</t>
  </si>
  <si>
    <t>IL-4 and IL-5 mRNA and protein in bronchial biopsies from patients with atopic and nonatopic asthma: Evidence against ''intrinsic'' asthma being a distinct immunopathologic entity</t>
  </si>
  <si>
    <t>Humbert, M; Durham, SR; Ying, S; Kimmitt, P; Barkans, J; Assoufi, B; Pfister, R; Menz, G; Robinson, DS; Kay, AB; Corrigan, CJ</t>
  </si>
  <si>
    <t>WOS:A1996VX56700006</t>
  </si>
  <si>
    <t>VX567</t>
  </si>
  <si>
    <t>10.1183/09031936.96.09122454</t>
  </si>
  <si>
    <t>35 NORRE SOGADE, PO BOX 2148, DK-1016 COPENHAGEN, DENMARK</t>
  </si>
  <si>
    <t>COPENHAGEN</t>
  </si>
  <si>
    <t>MUNKSGAARD INT PUBL LTD</t>
  </si>
  <si>
    <t>Powell, Nick/0000-0003-3231-6950; Humbert, Marc/0000-0003-0703-2892</t>
  </si>
  <si>
    <t>Powell, Nicholas/F-3498-2014; Humbert, Marc/AAC-8459-2019</t>
  </si>
  <si>
    <t>Imperial College London; Imperial College London</t>
  </si>
  <si>
    <t>CHARING CROSS HOSP,DEPT MED,LONDON W6 8RF,ENGLAND; UNIV LONDON IMPERIAL COLL SCI TECHNOL &amp; MED,NATL HEART &amp; LUNG INST,LONDON,ENGLAND</t>
  </si>
  <si>
    <t>The selective recruitment of eosinophils into the mucosal lining of the airways is a prominent feature of atopic asthma, and is believed to be an important component in the disease pathogenesis, The precise stimuli responsible for the influx of eosinophils remain unclear, Using a semiquantitative reverse transcriptase polymerase chain reaction (RT-PCR) technique, the numbers of copies (relative to the ''housekeeping'' gene beta-actin) of messenger ribonucleic acid (mRNA) encoding the eosinophil-active chemotactic cytokines, the factor regulated upon activation in normal T-cells expressed and secreted (RANTES) and monocyte chemotactic protein-3 (MCP-3), was measured in bronchial biopsies from atopic asthmatic patients (n=9), and compared with atopic nonasthmatic (n=8) and nonatopic nonasthmatic (n=8) control subjects, In addition, further biopsies from each subject were prepared for immunohistochemistry and the numbers of activated (EG2+) eosinophils measured. The expression of RANTES mRNA was significantly elevated in the atopic asthmatic group as compared to the atopic nonasthmatic controls (p=0.013) and the nonatopic nonasthmatic controls (p=0.007). Similarly, the expression of mRNA encoding MCP-3 was significantly elevated in the atopic asthmatic group, relative to the atopic nonasthmatic controls (p=0.014) and the nonatopic nonasthmatic control group (p=0.011), Elevated RANTES and MCP-3 mRNA expression was associated with significantly increased numbers of bronchial mucosal eosinophils in the atopic asthmatic patients as compared to the atopic nonasthmatic (p=0.03) and nonatopic nonasthmatic (p=0.006) control subjects. In conclusion, we have identified elevated expression of messenger ribonucleic acid encoding RANTES and monocyte chemotactic protein-3 in the bronchial mucosa of atopic asthmatic patients relative to controls, These findings are compatible with the hypothesis that eosinophil-active beta-chemokines play a role in the mechanism of eosinophil recruitment to the asthmatic bronchial mucosa.</t>
  </si>
  <si>
    <t>MONOCYTE CHEMOTACTIC PROTEIN-3; HUMAN EOSINOPHILS; CYTOKINE RANTES; MESSENGER-RNA; T-LYMPHOCYTES; CHEMOKINE; CELLS; HYPODENSE; PHENOTYPE; SURVIVAL</t>
  </si>
  <si>
    <t>asthma; atopy; chemokines; eosinophils</t>
  </si>
  <si>
    <t>Increased expression of mRNA encoding RANTES and MCP-3 in the bronchial mucosa in atopic asthma</t>
  </si>
  <si>
    <t>Powell, N; Humbert, M; Durham, SR; Assoufi, B; Kay, AB; Corrigan, CJ</t>
  </si>
  <si>
    <t>WOS:A1996WA76900017</t>
  </si>
  <si>
    <t>WA769</t>
  </si>
  <si>
    <t>10.1161/01.ATV.16.12.1532</t>
  </si>
  <si>
    <t>PASQUET, JEAN-MAX/0000-0002-1345-3776</t>
  </si>
  <si>
    <t>CHU Bordeaux; Centre National de la Recherche Scientifique (CNRS); Sanofi-Aventis; Sanofi France; Scripps Research Institute</t>
  </si>
  <si>
    <t>HOP CARDIOL, UMR 5533 CNRS, F-33604 PESSAC, FRANCE; SANOFI RECH, F-31036 TOULOUSE, FRANCE; Scripps Res Inst, DEPT VASC BIOL, LA JOLLA, CA USA</t>
  </si>
  <si>
    <t>Our study investigated the effect of the antithrombotic drug clopidogrel (75 mg/d for 7 days) on the ultrastructure of platelet aggregates induced by ADP or 2-methylthio-ADP (2-MeS-ADP) in citrated platelet-rich plasma and examined the activation state of the GP IIb/IIIa complexes. Results were compared with those obtained for patient M.L., who has a congenital disorder characterized by a reduced and reversible platelet response to ADP. When untreated normal platelets were stimulated with high-dose ADP, electron microscopy revealed large and stable aggregates often surrounded by a layer of what appeared to be degranulated platelets. The reversible aggregates of platelets from subjects receiving clopidogrel or from patient M.L. did not show this layer. Electron microscopy showed that in both situations, the aggregates were composed of loosely bound platelets with few contact points. Immunogold labeling of ultrathin sections of Lowicryl-embedded aggregates formed by ADP or 2-MeS-ADP showed a much decreased platelet surface staining by (1) a polyclonal anti-fibrinogen antibody and (2) AP-6, a murine anti-ligand-induced binding site monoclonal antibody specific for GP IIb/IIIa complexes occupied with fibrinogen. Similar findings were seen after disaggregation, when many single platelets were present that showed no signs of secretion. Flow cytometry confirmed that the number of ligand-occupied GP IIb/IIIa complexes was much lower on platelets stimulated with ADP or 2-MeS-ADP after clopidogrel treatment. As expected from previous studies. ADP-induced platelet shape change and Ca2+ influx were unaffected by clopidogrel. These results agree with the hypothesis that platelet activation by ADP is biphasic and highlight a receptor-induced activation pathway affected by clopidogrel (or congenitally impaired in patient M.L.) that is necessary for the full activation of GP IIb/IIIa and the formation of stable macroaggregates.</t>
  </si>
  <si>
    <t>NONANTICOAGULATED HUMAN BLOOD; IIB-IIIA COMPLEXES; ADENOSINE-DIPHOSPHATE; FIBRINOGEN BINDING; ADENYLATE-CYCLASE; RABBIT PLATELETS; GLYCOPROTEIN-IB; RAT PLATELETS; KEY ROLE; TICLOPIDINE</t>
  </si>
  <si>
    <t>platelet aggregation; ADP; fibrinogen; GP IIb/IIIa complexes; clopidogrel</t>
  </si>
  <si>
    <t>Ultrastructural studies of platelet aggregates from human subjects receiving clopidogrel and from a patient with an inherited defect of an ADP-dependent pathway of platelet activation</t>
  </si>
  <si>
    <t>Humbert, M; Nurden, P; Bihour, C; Pasquet, JM; Winckler, J; Heilmann, E; Savi, P; Herbert, JM; Kunicki, TJ; Nurden, AT</t>
  </si>
  <si>
    <t>WOS:A1997WC03800001</t>
  </si>
  <si>
    <t>WC038</t>
  </si>
  <si>
    <t>Corrigan, Chris/0000-0002-0706-6534; Humbert, Marc/0000-0003-0703-2892; Opdenakker, Ghislain/0000-0003-1714-2294</t>
  </si>
  <si>
    <t>Opdenakker, Ghislain/V-8562-2019; Humbert, Marc/AAC-8459-2019; Opdenakker, Ghislain/Q-3130-2017</t>
  </si>
  <si>
    <t>Imperial College London; Royal Brompton Hospital; KU Leuven</t>
  </si>
  <si>
    <t>ROYAL BROMPTON HOSP, NATL HEART &amp; LUNG INST, DEPT ALLERGY &amp; CLIN IMMUNOL, LONDON SW3 6LY, ENGLAND; HOCHGEBIRGSKLIN DAVOS WOLFGANG, ASTHMA &amp; ALLERGY CLIN, DAVOS, SWITZERLAND; CATHOLIC UNIV LEUVEN, REGA INST MED RES, B-3000 LOUVAIN, BELGIUM</t>
  </si>
  <si>
    <t>Intrinsic (nonatopic) asthma is considered to be a distinct pathogenetic variant of asthma since, unlike extrinsic (atopic) asthma, patients are skin-prick test negative to common aeroallergens and have total serum immunoglobulin E concentrations within the normal range. However both atopic and nonatopic asthma are characterized by chronic inflammation of the bronchial mucosa in which eosinophils are prominent and are believed to be associated with local tissue damage. Therefore, specific eosinophil chemoattractants acting in concert with factors which prolong eosinophil survival may at least partly account for selective eosinophil recruitment to the asthmatic bronchial mucosa. The CC chemokines RANTES and monocyte chemotactic protein 3 (MCP-3) are potent eosinophil chemotactic factors, while the cytokines interleukin (IL)-5, granulocyte macrophage-colony-stimulating factor (GM-CSF), and IL-3 prolong eosinophil survival. We have tested the hypothesis that elevated numbers of cells expressing mRNA for RANTES and MCP-3, as well as IL-5, GM-CSF, and IL-3 are present in bronchial biopsies from atopic and nonatopic asthmatics compared with atopic and nonatopic nonasthmatic controls. The technique of in situ hybridization using S-35-labeled riboprobes was employed to detect mRNA(+) bronchial mucosal cells. Compared with controls we observed significant increases in the numbers of cells expressing RANTES and MCP-3, as well as IL-5, GM-CSF, and IL-3 (all P values &lt; 0.001) in atopic and nonatopic asthmatics. These observations support the view that atopic and nonatopic asthma are associated with combined bronchial mucosal expression of CC chemokines (RANTES and MCP-3), together with eosinophil-active cytokines (IL-5, GM-CSF, and IL-3). These cytokines might contribute to the bronchial mucosal accumulation of activated eosinophils in both atopic and nonatopic variants of asthma.</t>
  </si>
  <si>
    <t>MONOCYTE CHEMOTACTIC PROTEIN-3; T-CELL; HUMAN BASOPHILS; BRONCHOALVEOLAR LAVAGE; ENDOTHELIAL-CELLS; ACTIVATING FACTOR; LYMPHOCYTES-T; MESSENGER-RNA; CC-CHEMOKINES; INFLAMMATION</t>
  </si>
  <si>
    <t>Bronchial mucosal expression of the genes encoding chemokines RANTES and MCP3 in symptomatic atopic and nonatopic asthmatics: Relationship to the eosinophil-active cytokines interleukin (IL)-5, granulocyte macrophage-colony-stimulating factor, and IL-3</t>
  </si>
  <si>
    <t>Humbert, M; Ying, S; Corrigan, C; Menz, G; Barkans, J; Pfister, R; Meng, Q; VanDamme, J; Opdenakker, G; Durham, SR; Kay, AB</t>
  </si>
  <si>
    <t>WOS:A1997WV64700114</t>
  </si>
  <si>
    <t>WV647</t>
  </si>
  <si>
    <t>10.1159/000237608</t>
  </si>
  <si>
    <t>1-3</t>
  </si>
  <si>
    <t>Int. Arch. Allergy Immunol.</t>
  </si>
  <si>
    <t>INT ARCH ALLERGY IMM</t>
  </si>
  <si>
    <t>1423-0097</t>
  </si>
  <si>
    <t>1018-2438</t>
  </si>
  <si>
    <t>Kon, Onn Min/0000-0003-2647-4688; Taborda Barata, Luis/0000-0001-6649-8890; Humbert, Marc/0000-0003-0703-2892</t>
  </si>
  <si>
    <t>UNIV TEXAS, MED BRANCH, 301 UNIV BLVD, GALVESTON, TX 77555 USA.</t>
  </si>
  <si>
    <t>UNIV LONDON IMPERIAL COLL SCI TECHNOL &amp; MED, NATL HEART &amp; LUNG INST, LONDON, ENGLAND</t>
  </si>
  <si>
    <t>IgE; IgE receptors; asthma; rhinitis; late-phase response</t>
  </si>
  <si>
    <t>SALZBURG, AUSTRIA</t>
  </si>
  <si>
    <t>SEP 06-11, 1996</t>
  </si>
  <si>
    <t>Allergy-A Disease of Modern Society Meeting</t>
  </si>
  <si>
    <t>INTERNATIONAL ARCHIVES OF ALLERGY AND IMMUNOLOGY</t>
  </si>
  <si>
    <t>High-affinity IgE receptor fc epsilon RI expression in allergic reactions</t>
  </si>
  <si>
    <t>Grant, JA; Humbert, M; TabordaBarata, L; Sihra, BS; Kon, OM; Rajakulasingam, K; Durham, SR; Kay, AB</t>
  </si>
  <si>
    <t>WOS:A1997WZ36900026</t>
  </si>
  <si>
    <t>WZ369</t>
  </si>
  <si>
    <t>10.1002/eji.1830270527</t>
  </si>
  <si>
    <t>Imperial College London; University of Texas System; University of Texas Medical Branch Galveston</t>
  </si>
  <si>
    <t>UNIV LONDON IMPERIAL COLL SCI TECHNOL &amp; MED, SCH MED, NATL HEART &amp; LUNG INST, LONDON SW3 6LY, ENGLAND; UNIV TEXAS, GALVESTON, TX USA</t>
  </si>
  <si>
    <t>We have attempted to identify Fc epsilon RI+ eosinophils in cutaneous late-phase reaction in atopic subjects biopsied at 6, 24 and 48 h after the injection of either allergen or a diluent control. Compared to the diluent sites, allergen-injected sites had significantly increased numbers of eosinophils, peaking between 6 and 24 h, of which approximately 20-30 % expressed mRNA for the alpha, beta, and gamma chains of Fc epsilon RI as shown by in situ hybridization. Using either a monoclonal or a polyclonal anti-ct chain antibody, the Fc epsilon RI alpha protein also co-localized to approximately 50-80% of eosinophils at all time points studied. We also observed a significant correlation (r = 0.89; p = 0.02) between the numbers of Fc epsilon RI+ (997(+))/EG2(+) eosinophils and the magnitude of the late-phase reaction. Thus, a significant proportion of eosinophils infiltrating the site of allergen-induced allergic tissue reactions in atopic subjects express Fc epsilon RI. The findings show that high-affinity IgE receptors may play a role in eosinophil secretory processes in vivo.</t>
  </si>
  <si>
    <t>AFFINITY IGE RECEPTOR; GAMMA-SUBUNIT; MONOCLONAL-ANTIBODIES; ALPHA-SUBUNIT; EXPRESSION; DEGRANULATION; CELL; DERMATITIS; PROTEIN; GENE</t>
  </si>
  <si>
    <t>skin; eosinophils; Fc receptors; allergy</t>
  </si>
  <si>
    <t>Allergen-induced recruitment of Fc epsilon RI+ eosinophils in human atopic skin</t>
  </si>
  <si>
    <t>Barata, LT; Ying, S; Grant, JA; Humbert, M; Barkans, J; Meng, Q; Durham, SR; Kay, AB</t>
  </si>
  <si>
    <t>WOS:A1997WQ64300063</t>
  </si>
  <si>
    <t>WQ643</t>
  </si>
  <si>
    <t>J. Immunol.</t>
  </si>
  <si>
    <t>J IMMUNOL</t>
  </si>
  <si>
    <t>1550-6606</t>
  </si>
  <si>
    <t>0022-1767</t>
  </si>
  <si>
    <t>AMER ASSOC IMMUNOLOGISTS</t>
  </si>
  <si>
    <t>Larche, Mark/0000-0002-1439-7593; Humbert, Marc/0000-0003-0703-2892</t>
  </si>
  <si>
    <t>Larche, Mark/B-4326-2010; Humbert, Marc/AAC-8459-2019</t>
  </si>
  <si>
    <t>NATL HEART &amp; LUNG INST, IMPERIAL COLL SCH MED, LONDON SW3 6LY, ENGLAND; HOCHGEBIRGSKLIN DAVOS WOLFGANG, DAVOS, WOLFGANG, SWITZERLAND</t>
  </si>
  <si>
    <t>We recently demonstrated bronchial mucosal expression of IL-4 and IL-5 at the mRNA and protein level in both atopic and nonatopic (intrinsic) asthma. In this report, using double immunohistochemistry (IHC) and in situ hybridization (ISH), we show that 70% of IL-4 and IL-5 mRNA(+) signals co-localized to CD3(+) T cells, the majority (&gt;70%) of which were CD4(+), although CD8(+) cells also expressed IL-4 and IL-5 mRNA. The remaining IL-4 and IL-5 mRNA signals co-localized to mast cells and eosinophils. The cellular distribution of these mRNA species did not differ between atopic and nonatopic asthmatics. In contrast, double IHC showed that IL-4 and IL-5 immunoreactivity was predominantly associated with eosinophils and mast cells, with few IL-5 or IL-4 immunoreactive CD3(+) T cells detectable. However, total IL-4- or IL-5-positive cells detected by IHC were &lt;40% of the total mRNA(+) cells, raising the possibility that insufficient cytokine protein accumulated within T cells to enable detection by IHC. We conclude that: 1) in atopic and nonatopic asthma CD8(+) T cells, in addition to CD4(+) T cells, mast cells and eosinophils express mRNA for IL-4 and IL-5; 2) whereas IL-4 and IL-5 mRNA expression was associated mainly with T cells, immunoreactivity for the corresponding protein products was detectable predominantly in eosinophils and mast cells; and 3) this discrepancy may be partly attributable to the relative insensitivity of double IHC technique that does not allow detection of cytokine protein in T cells where, unlike eosinophils and mast cells, there is no facility for storage and concentration in granules.</t>
  </si>
  <si>
    <t>ALLERGEN-INDUCED RHINITIS; MESSENGER-RNA; MONOCLONAL-ANTIBODIES; HUMAN INTERLEUKIN-5; CYTOKINES; IDENTIFICATION; LYMPHOCYTES; NEUTROPHILS; ASSOCIATION; IMMUNOASSAY</t>
  </si>
  <si>
    <t>JOURNAL OF IMMUNOLOGY</t>
  </si>
  <si>
    <t>Expression of IL-4 and IL-5 mRNA and protein product by CD4(+) and CD8(+) T cells, eosinophils, and mast cells in bronchial biopsies obtained from atopic and nonatopic (intrinsic) asthmatics</t>
  </si>
  <si>
    <t>Ying, S; Humbert, M; Barkans, J; Corrigan, CJ; Pfister, R; Menz, G; Larche, M; Robinson, DS; Durham, SR; Kay, AB</t>
  </si>
  <si>
    <t>WOS:A1997WR65700036</t>
  </si>
  <si>
    <t>WR657</t>
  </si>
  <si>
    <t>10.1164/ajrccm.155.4.9105087</t>
  </si>
  <si>
    <t>Tavernier, Jan/AAG-3636-2019; Humbert, Marc/AAC-8459-2019</t>
  </si>
  <si>
    <t>McGill University; Imperial College London; Royal Brompton Hospital</t>
  </si>
  <si>
    <t>MCGILL UNIV,MEAKINS CHRISTIE LABS,MONTREAL,PQ H2X 2P2,CANADA; ROYAL BROMPTON HOSP,NATL HEART &amp; LUNG INST,LONDON,ENGLAND; HOCHGEBIRGSKLIN DAVOS WOLFGANG,ASTHMA &amp; ALLERGY CLIN,DAVOS,SWITZERLAND; ROCHE BIOMED LABS,BRUSSELS,BELGIUM</t>
  </si>
  <si>
    <t>Eosinophilic inflammation and interleukin-5 (IL-5) expression are characteristic features of the bronchial mucosa in asthma. We have investigated the differential expression of membrane and soluble isoforms of alpha IL-5 receptor (alpha IL-5Rm and alpha IL-5Rs) mRNA in asthmatics and in normal control subjects and examined the correlation between alpha IL-5Rm and alpha IL-5Rs expression and the FEV(1) and airway hyperresponsiveness. Nineteen subjects with stable asthma (atopic = 9; intrinsic = 10) and 22 control subjects (atopic = 12; nonatopic = 10) were recruited. Endobronchial biopsies were obtained and processed for in situ hybridization and double-staining techniques. There was a significant increase in the number of cells per millimeter basement membrane expressing mRNA for total, membrane-bound, and soluble alpha IL-5R in asthmatics when compared with that in nonasthmatic control subjects (p &lt; 0.001); 93% of the cells positive for alpha IL-5R mRNA were EG2+ve eosinophils. There was no significant difference in the expression of alpha IL-5Rm and alpha IL-5Rs between the atopic and nonatopic asthmatics. The expression of alpha IL-5Rm and alpha IL-5Rs was also nonsignificantly different between the atopic and nonatopic control subjects. However, in the asthmatic subjects, the number of positive cells expressing mRNA for alpha IL-5Rm inversely correlated with FEV(1) (r(2) = 0.89, p &lt; 0.001), whereas the expression of alpha IL-5Rs mRNA directly correlated with FEV(1) (r(2) = 0.52, p &lt; 0.001). There were no significant correlations between alpha IL-5R isoforms and the methacholine PC20. These results suggest that alpha IL-5R upregulation and differential regulation of alternatively spliced alpha IL-5R mRNA transcripts may influence the eosinophil response and the accompanying changes in airflow limitation in both atopic and nonatopic variants of chronic asthma.</t>
  </si>
  <si>
    <t>HUMAN INTERLEUKIN-5 RECEPTOR; EOSINOPHIL CATIONIC PROTEIN; MAJOR BASIC-PROTEIN; BRONCHOALVEOLAR LAVAGE; MONOCLONAL-ANTIBODIES; GENE-EXPRESSION; MESSENGER-RNA; GM-CSF; IL-5; BIOPSIES</t>
  </si>
  <si>
    <t>Membrane-bound and soluble alpha IL-5 receptor mRNA in the bronchial mucosa of atopic and nonatopic asthmatics</t>
  </si>
  <si>
    <t>Yasruel, Z; Humbert, M; Kotsimbos, TC; Ploysongsang, Y; Minshall, E; Durham, SR; Pfister, R; Menz, G; Tavernier, J; Kay, AB; Hamid, Q</t>
  </si>
  <si>
    <t>WOS:A1997WU27400021</t>
  </si>
  <si>
    <t>WU274</t>
  </si>
  <si>
    <t>10.1016/S0091-6749(97)70085-X</t>
  </si>
  <si>
    <t>Huston, David/0000-0002-2332-0010; Till, Stephen/0000-0003-4518-3093; Humbert, Marc/0000-0003-0703-2892; Larche, Mark/0000-0002-1439-7593; Corrigan, Chris/0000-0002-0706-6534</t>
  </si>
  <si>
    <t>Imperial College London; Imperial College London; Baylor College of Medicine; Assistance Publique Hopitaux Paris (APHP); Hopital Universitaire Antoine-Beclere - APHP</t>
  </si>
  <si>
    <t>CHARING CROSS &amp; WESTMINSTER MED SCH, DEPT MED, LONDON, ENGLAND; UNIV LONDON IMPERIAL COLL SCI TECHNOL &amp; MED, NATL HEART &amp; LUNG INST, ALLERGY &amp; CLIN IMMUNOL SECT, LONDON, ENGLAND; BAYLOR COLL MED, DEPT MED, IMMUNOL SECT, HOUSTON, TX 77030 USA; HOP ANTOINE BECLERE, SERV PNEUMOL, CLAMART, FRANCE</t>
  </si>
  <si>
    <t>Background: IL-5-producing allergen-specific T cells are thought to play a prominent role in the pathogenesis of allergic inflammation, We hypothesized that T cell allergen-driven IL-5 synthesis is elevated in patients with atopic disease as compared with that in atopic patients free of disease and nonatopic control subjects. Objectives: The purpose of this study was to compare IL-5 and interferon-gamma (IFN-gamma) secretion and proliferation by peripheral blood T cells from sensitized atopic patients with asthma, rhinitis, and no symptoms and from nonatopic control subjects in response to the allergen Dermatophagoides pteronyssinus (Der p) and the control recall antigen Mycobacterium tuberculosis purified protein derivative (PPD). Methods: To measure allergen-induced IL-5 production and proliferation, me developed a short-term culture technique that required a single antigenic stimulation of freshly isolated peripheral blood mononuclear cells (PBMC), With this technique, we measured Der p- and PPD-induced IL-S production and proliferation in PBMC from atopic patients with asthma who were allergic to Der p, atopic patients with rhinitis, atopic patients with no symptoms, and a group of nonatopic normal control subjects. In four experiments, CD4(+) or CD8(+) T cells were depleted from PBMC to confirm that IL-5 synthesis was T cell dependent, Results: T cell IL-5 production, but not IFN-gamma production, in response to Der p was elevated in atopic patients with asthma and atopic patients with rhinitis compared with findings in atopic patients with no symptoms or nonatopic control subjects. IL-5 production was abrogated by depletion of CD4(+), but not CD8(+), T cells, In subjects with asthma, allergen-driven IL-5 production correlated with bronchial hyperreactivity. Allergen-induced proliferation was also higher in patients with asthma than in atopic subjects with no symptoms or nonatopic controls. T cell IL-5 and IFN-gamma production and proliferation in response to PPD were similar regardless of atopic status or disease. Conclusions: Elevated IL-5 production is a characteristic of allergen-specific peripheral blood CD4(+) T cells from sensitized patients with atopic disease but not atopy per se.</t>
  </si>
  <si>
    <t>CYTOKINE PRODUCTION; BRONCHIAL-ASTHMA; HUMAN EOSINOPHILS; ATOPIC ASTHMA; INTERLEUKIN-5; LYMPHOCYTES; ANTIBODIES; RESPONSES; PROFILE; TYPE-1</t>
  </si>
  <si>
    <t>allergen; T cell; IL-5; asthma; rhinitis; atopy</t>
  </si>
  <si>
    <t>IL-5 secretion by allergen-stimulated CD4+ T cells in primary culture: Relationship to expression of allergic disease</t>
  </si>
  <si>
    <t>Till, S; Dickason, R; Huston, D; Humbert, M; Robinson, D; Larche, M; Durham, S; Kay, AB; Corrigan, C</t>
  </si>
  <si>
    <t>WOS:A1997WY60000015</t>
  </si>
  <si>
    <t>WY600</t>
  </si>
  <si>
    <t>10.1016/S0091-6749(97)70029-0</t>
  </si>
  <si>
    <t>11830 WESTLINE INDUSTRIAL DR, ST LOUIS, MO 63146-3318</t>
  </si>
  <si>
    <t>ST LOUIS</t>
  </si>
  <si>
    <t>MOSBY-YEAR BOOK INC</t>
  </si>
  <si>
    <t>MCGILL UNIV,MEAKINS CHRISTIE LABS,MONTREAL,PQ H2X 2P2,CANADA; ROYAL BROMPTON HOSP,NATL HEART &amp; LUNG INST,LONDON SW3 6LY,ENGLAND; ROCHE LABS,BRUSSELS,BELGIUM; HOCHGEBIRGSKLIN DAVOS WOLFGANG,ASTHMA &amp; ALLERGY CLIN,DAVOS,SWITZERLAND</t>
  </si>
  <si>
    <t>Background: Intrinsic asthma is characterized by an increased number of activated eosinophils and macrophages and an increased expression of the hematopoietic growth factor granulocyte-macrophage colony-stimulating factor (GMCSF) in the bronchial mucosa. Objective: This study was carried out to investigate the expression of alpha GM-CSF receptor (alpha GM-CSBr) messenger RNA and protein in the bronchial mucosa of patients with intrinsic or atopic asthma and of control subjects and to correlate the expression of alpha GM-CSFr to the number of EG2(+) cells (eosinophils) and CD68(+) cells (macrophages) and pulmonary function. Methods: Nineteen patients with stable asthma (9 with atopic and 10 with intrinsic asthma) and 22 normal control subjects (12 atopic and 10 nonatopic subjects) were recruited, and FEV1 (percent predicted) and PC20 were measured before bronchoscopy. Endobronchial biopsy specimens were obtained and examined for membrane-bound alpha GM-CSFr by using in situ hybridization and immunocytochemistry. Results: alpha GM-CSFr mRNA- and protein-positive cells were identified in biopsy specimens from ail four groups studied. There was no significant difference in the number of cells expressing alpha GM-CSFr mRNA and protein in patients with atopic asthma compared with atopic and nonatopic control subjects. However, the numbers of alpha GM-CSFr mRNA- and protein-positive cells were significantly higher in nonatopic patients with asthma compared with atopic patients with asthma and atopic and nonatopic control subjects (p &lt; 0.001). In the patients with intrinsic asthma, the number of alpha GM-CSFr mRNA-positive cells per millimeter of basement membrane correlated with numbers of CD68(+) cells (r(2) = 0.87, p &lt; 0.001) but not with EG2(+) cells, and colocalization studies demonstrated that 80% of the cells expressing alpha GM-CSFr mRNA were CD68(+). The expression of GM-CSF was also significantly increased in patients with intrinsic asthma compared with those with atopic asthma and control subjects (p &lt; 0.05), In addition, in intrinsic asthma, there was a correlation between alpha GM-CSFr mRNA and FEV1 (r(2) = 0.61, p &lt; 0.05. Conclusion: These results demonstrate that elevated numbers of cells expressing alpha GM-CSFr can be detected in nonatopic asthma but not in atopic asthma and suggest that this increased expression is predominantly macrophage-associated and may play an important pathophysiologic role in intrinsic asthma.</t>
  </si>
  <si>
    <t>COLONY-STIMULATING FACTOR; ACTIVATED T-CELLS; MESSENGER-RNA; BRONCHOALVEOLAR LAVAGE; BRONCHIAL BIOPSIES; MAST-CELLS; ALVEOLAR MACROPHAGES; HUMAN EOSINOPHILS; LYMPHOCYTES-T; MILD ASTHMA</t>
  </si>
  <si>
    <t>intrinsic asthma; macrophages; GM-CSF receptor</t>
  </si>
  <si>
    <t>Upregulation of alpha GM-CSF-receptor in nonatopic asthma but not in atopic asthma</t>
  </si>
  <si>
    <t>Kotsimbos, ATC; Humbert, M; Minshall, E; Durham, S; Pfister, R; Menz, G; Tavernier, J; Kay, AB; Hamid, Q</t>
  </si>
  <si>
    <t>WOS:A1997WY60000014</t>
  </si>
  <si>
    <t>10.1016/S0091-6749(97)70028-9</t>
  </si>
  <si>
    <t>CHARING CROSS HOSP,DEPT MED,LONDON W6 8RF,ENGLAND; NATL HEART &amp; LUNG INST,DEPT ALLERGY &amp; CLIN IMMUNOL,LONDON SW3 6LY,ENGLAND; HOCHGEBIRGSKLIN DAVOS WOLFGANG,ASTHMA &amp; ALLERGY CLIN,DAVOS,SWITZERLAND</t>
  </si>
  <si>
    <t>Local secretion of cytokines by T cells within the bronchial mucosa, with consequent selective eosinophil influx, has been implicated in the pathogenesis of bronchial asthma, The cytokine IL-13 exhibits activities (selective eosinophil vascular adhesion by very late antigen-4/vascular cell adhesion molecule-1 interaction and promotion of IgE synthesis and ''T-H2-type'' T cell responses) that may be relevant to this process, We hypothesized that, compared with conditions in control subjects, elevated expression of messenger ribonucleic acid (mRNA) encoding IL-13 is a feature of the bronchial mucosa of both atopic (positive skin prick test result to at least one of a range of common aeroallergens) and nonatopic (negative skin prick test results and serum total IgE concentrations within the normal range) subjects with asthma, With use of a semiquantitative reverse transcriptase-polymerase chain reaction technique, we measured the quantities (relative to beta-actin) of IL-13 mRNA in bronchial mucosal biopsy specimens from atopic and nonatopic subjects with asthma and atopic and nonatopic control subjects. Biopsy specimens from the subjects with asthma, whether the subjects were atopic or nonatopic, had statistically equivalent quantities of IL-13 mRNA relative to beta-actin, and these quantities were significantly elevated compared with those in specimens from both the atopic and nonatopic control subjects (p less than or equal to 0.02 in each case), in which the quantities of IL-13 mRNA relative to beta-actin were also statistically equivalent, The quantities of IL-13 mRNA reflected the numbers of EG2+ eosinophils per unit area of submucosa in the biopsy specimens as determined by immunohistochemistry, which were statistically equivalent in the atopic and nonatopic subjects with asthma and significantly elevated as compared with those in both the atopic and nonatopic control subjects without asthma (p less than or equal to 0.007 in each ease), Taking the subjects with asthma as a group, no correlations were observed between the quantities of IL-13 mRNA (relative to p-actin) and several measures of disease severity. These data are consistent with the hypothesis that IL-13 plays a role in the pathogenesis of both atopic and nonatopic asthma, at least partly through promoting recruitment of eosinophils to the bronchial mucosa, although ether factors mag be more important in regulating the severity of the disease.</t>
  </si>
  <si>
    <t>INTERLEUKIN-4 RECEPTOR; IGE SYNTHESIS; CELLS; EOSINOPHILS; ASSOCIATION; SUBUNIT; RNA</t>
  </si>
  <si>
    <t>asthma; atopy; pathogenesis; eosinophil; IL-13</t>
  </si>
  <si>
    <t>Elevated expression of messenger ribonucleic acid encoding IL-13 in the bronchial mucose of atopic and nonatopic subjects with asthma</t>
  </si>
  <si>
    <t>Humbert, M; Durham, SR; Kimmitt, P; Powell, N; Assoufi, B; Pfister, R; Menz, G; Kay, AB; Corrigan, CJ</t>
  </si>
  <si>
    <t>WOS:A1997XP42800013</t>
  </si>
  <si>
    <t>XP428</t>
  </si>
  <si>
    <t>10.1016/S0091-6749(97)70198-2</t>
  </si>
  <si>
    <t>Taborda Barata, Luis/0000-0001-6649-8890; Humbert, Marc/0000-0003-0703-2892</t>
  </si>
  <si>
    <t>UNIV LONDON IMPERIAL COLL SCI TECHNOL &amp; MED, NATL HEART &amp; LUNG INST, DOVEHOUSE ST, LONDON SW3 6LY, ENGLAND.</t>
  </si>
  <si>
    <t>Assistance Publique Hopitaux Paris (APHP); Hopital Universitaire Antoine-Beclere - APHP; University of Texas System; University of Texas Medical Branch Galveston</t>
  </si>
  <si>
    <t>HOP ANTOINE BECLERE, SERV PNEUMOL, CLAMART, FRANCE; UNIV TEXAS, MED BRANCH, DEPT ALLERGY &amp; IMMUNOL, GALVESTON, TX 77550 USA</t>
  </si>
  <si>
    <t>Background: IgE-dependent activation of mast cells and basophils through the high-affinity IgE receptor (Fc epsilon RI) is involved in the pathogenesis of allergen-induced immediate and late responses. Objective: We investigated the expression and cellular distribution of Fc epsilon RI in the nasal mucosa after allergen challenge in patients with summer hay fever. Methods: Fourteen grass pollen-sensitive patients and seven normal control subjects underwent nasal challenge with grass pollen and allergen diluent in random order separated by 2 weeks. Nasal airway caliber was monitored by acoustic rhinometry, and nasal biopsy was performed at 6 hours. Messenger RNA for Fc epsilon RI was determined by using reverse-transcription polymerase chain reaction, and Fc epsilon RI protein-expression was determined by immunohistology with a mouse monoclonal antibody (22E7) and a rabbit polyclonal antibody (997) directed against the or subunit. Co-localization of Fc epsilon RI receptors was performed by using double-immunostaining methods. Results: In atopic subjects, there was a significant early decrease in nasal airway caliber, which extended up to 6 hours after allergen challenge. Fc epsilon RI mRNA levels were elevated at 6 hours (p = 0.03). Cells expressing Fc epsilon RI protein were increased in patients with atopic rhinitis compared with normal control subjects (p = 0.03). Further increases in Fc epsilon RI+ cells were observed after allergen challenge only in the atopic group (p = 0.02). Double immunohistochemistry revealed that the majority of Fc epsilon RI+ cells were mast cells (64%), followed by macrophages (20%), eosinophils (4%), and dendritic cells (2%), with 10% Fc epsilon RI+ cells being unidentified. Conclusions: Our results demonstrate increased Fc epsilon RI expression during allergen induced rhinitis and highlight a potential target for treatment.</t>
  </si>
  <si>
    <t>EPIDERMAL LANGERHANS CELLS; MESSENGER-RNA EXPRESSION; ACTIVATED LYMPHOCYTES-T; ATOPIC-DERMATITIS; NASAL-MUCOSA; LATE-PHASE; CYTOKINE; ANTIBODIES; RESPONSES; PARASITES</t>
  </si>
  <si>
    <t>allergic rhinitis; Fc epsilon RI receptors; IgE</t>
  </si>
  <si>
    <t>Enhanced expression of high-affinity IgE receptor (Fc epsilon RI) a chain in human allergen-induced rhinitis with co-localization to mast cells, macrophages, eosinophils, and dendritic cells</t>
  </si>
  <si>
    <t>Rajakulasingam, K; Durham, SR; OBrien, F; Humbert, M; Barata, LT; Reece, L; Kay, AB; Grant, JA</t>
  </si>
  <si>
    <t>WOS:A1997XX17700004</t>
  </si>
  <si>
    <t>XX177</t>
  </si>
  <si>
    <t>10.1164/ajrccm.156.3.9610033</t>
  </si>
  <si>
    <t>Humbert, Marc/0000-0003-0703-2892; Till, Stephen/0000-0003-4518-3093; Corrigan, Chris/0000-0002-0706-6534</t>
  </si>
  <si>
    <t>NATL HEART &amp; LUNG INST,UNIV LONDON IMPERIAL COLL SCI TECHNOL &amp; MED,SCH MED,LONDON SW3 6LY,ENGLAND</t>
  </si>
  <si>
    <t>Atopic asthma is characterized by chronic inflammation of the bronchial mucosa in which eosinophil- and immunoglobulin E (IgE)-dependent mechanisms are believed to be prominent. Therefore, specific proeosinophilic mediators such as interleukin (IL)-5 and essential cofactors for IgE switching in B-lymphocytes such as IL-4 could play a pivotal role in asthma. However, the exact role that individual inflammatory mediators play in the development of the disease in humans is still unknown. Using semiquantitative reverse transcriptase-polymerase chain reaction amplification in bronchial biopsies from 10 atopic asthmatics, we have tested the hypothesis that IL-4 and IL-5 mRNA expression relative to beta-actin mRNA correlates with validated indicators of disease severity. IL-4 and IL-5 mRNA copies relative to beta-actin mRNA were detected in bronchial biopsies from atopic asthmatics. The numbers of IL-5 mRNA copies relative to beta-actin mRNA correlated with disease severity assessed by the Aas asthma score (r = 0.70, p = 0.01), baseline FEV1 (r = -0.94, p = 0.001), baseline peak expiratory flow rate (r = -0.77, p = 0.01), peak expiratory flow rate variability over 2 wk (r = 0.69, p = 0.028), and the histamine PC20 (r = -0.72/p = 0.018). Conversely, the numbers of IL-4 mRNA copies relative to beta-actin mRNA did not correlate with asthma severity, but they positively correlated with total serum IgE concentrations (r = -0.90, p = 0.001). Our present results support the concept that IL-5 may determine asthma clinical expression and severity, and by inference they support the development of IL-5 targeted therapies.</t>
  </si>
  <si>
    <t>T-CELL CLONES; BRONCHIAL BIOPSIES; MESSENGER-RNA; INTERLEUKIN-5; CYTOKINES; EOSINOPHILS; MODEL; HYPERREACTIVITY; RESPONSIVENESS; INFLAMMATION</t>
  </si>
  <si>
    <t>Relationship between IL-4 and IL-5 mRNA expression and disease severity in atopic asthma</t>
  </si>
  <si>
    <t>Humbert, M; Corrigan, CJ; Kimmitt, P; Till, SJ; Kay, AB; Durham, SR</t>
  </si>
  <si>
    <t>WOS:A1997YC88002379</t>
  </si>
  <si>
    <t>YC880</t>
  </si>
  <si>
    <t>OCT 21</t>
  </si>
  <si>
    <t>Humbert, Marc/AAC-8459-2019; DINH-XUAN, Anh Tuan/A-9691-2008</t>
  </si>
  <si>
    <t>Assistance Publique Hopitaux Paris (APHP); Universite Paris Cite; Hopital Universitaire Cochin - APHP; Assistance Publique Hopitaux Paris (APHP); Hopital Universitaire Antoine-Beclere - APHP; US Department of Veterans Affairs; Veterans Health Administration (VHA); Minneapolis VA Health Care System</t>
  </si>
  <si>
    <t>HOP COCHIN,F-75674 PARIS,FRANCE; HOP ANTOINE BECLERE,CLAMART,FRANCE; VET ADM MED CTR,MINNEAPOLIS,MN</t>
  </si>
  <si>
    <t>Nitric oxide production is preserved in patients with primary pulmonary hypertension</t>
  </si>
  <si>
    <t>Djaballah, K; DinhXuan, A; Humbert, M; Simmoneau, G; Weir, EK; Archer, SL</t>
  </si>
  <si>
    <t>WOS:000076411700004</t>
  </si>
  <si>
    <t>128MZ</t>
  </si>
  <si>
    <t>10.1111/j.1398-9995.1998.tb04934.x</t>
  </si>
  <si>
    <t>Kay, AB (corresponding author), Univ London Imperial Coll Sci Technol &amp; Med, Sch Med, Natl Heart &amp; Lung Inst, Dept Allergy &amp; Clin Immunol, Dovehouse St, London SW3 6LY, England.</t>
  </si>
  <si>
    <t>Imperial College London; McGill University; Assistance Publique Hopitaux Paris (APHP); Hopital Universitaire Antoine-Beclere - APHP</t>
  </si>
  <si>
    <t>Univ London Imperial Coll Sci Technol &amp; Med, Sch Med, Natl Heart &amp; Lung Inst, Dept Allergy &amp; Clin Immunol, London SW3 6LY, England; Hochgebirgsklin Davos Wolfgang, Davos, Switzerland; McGill Univ, Meakins Christie Labs, Montreal, PQ, Canada; Hop Antoine Beclere, Clamart, France</t>
  </si>
  <si>
    <t>COLONY-STIMULATING FACTOR; MESSENGER-RNA EXPRESSION; RECOMBINANT HUMAN INTERLEUKIN-5; BRONCHIAL BIOPSIES; EOSINOPHIL CHEMOATTRACTANT; INTRINSIC ASTHMA; T-CELLS; ALLERGIC INFLAMMATION; LYMPHOCYTES-T; MAST-CELLS</t>
  </si>
  <si>
    <t>asthma; atopy; cytokines</t>
  </si>
  <si>
    <t>STOCKHOLM, SWEDEN</t>
  </si>
  <si>
    <t>SEP 01-02, 1998</t>
  </si>
  <si>
    <t>International Jubilee Symposium - 30 Years with IgE</t>
  </si>
  <si>
    <t>Molecular concepts of IgE-initiated inflammation in atopic and nonatopic asthma</t>
  </si>
  <si>
    <t>Menz, G; Ying, S; Durham, SR; Corrigan, CJ; Rohinson, DS; Hamid, Q; Pfister, R; Humbert, M; Kay, AB</t>
  </si>
  <si>
    <t>WOS:000072504300006</t>
  </si>
  <si>
    <t>ZB753</t>
  </si>
  <si>
    <t>10.1016/S0335-7457(98)80018-X</t>
  </si>
  <si>
    <t>Rev. Fr. Allergol. Immunol. Clin.</t>
  </si>
  <si>
    <t>REV FR ALLERGOL</t>
  </si>
  <si>
    <t>0335-7457</t>
  </si>
  <si>
    <t>31 BLVD LATOUR MAUBOURG, 75007 PARIS, FRANCE</t>
  </si>
  <si>
    <t>EXPANSION SCI FRANCAISE</t>
  </si>
  <si>
    <t>Humbert, M (corresponding author), Hop Antoine Beclere, Serv Pneumol &amp; Reanimat Resp, 157 Rue Porte Trivaux, F-92140 Clamart, France.</t>
  </si>
  <si>
    <t>Hop Antoine Beclere, Serv Pneumol &amp; Reanimat Resp, F-92140 Clamart, France</t>
  </si>
  <si>
    <t>Asthma is a chronic inflammatory disease of the bronchi in which activated eosinophil polymorphonuclear cells play an essential role. The production of pro-eosinophil cytokines by various cells (predominantly T lymphocytes) is essential to the activation and submucosal recruitment of eosinophil polymorphonuclear cells. In parallel to the growing recognition of the role of potent pro-eosinophil cytokines, dominated by IL-5, the discovery of the chemokine family and an eosinophil-specific agent within this family, eotaxin, is extremely encouraging. Such specific cytokines of eosinophil polymorphonuclear cells open the way to the future development of new treatments, particularly by antagonism of their receptors.</t>
  </si>
  <si>
    <t>COLONY-STIMULATING FACTOR; RECOMBINANT HUMAN INTERLEUKIN-5; MONOCYTE CHEMOTACTIC PROTEIN-3; RNA ENCODING RANTES; MESSENGER-RNA; T-CELL; ALLERGIC INFLAMMATION; AIRWAY INFLAMMATION; ATOPIC ASTHMA; FUNCTIONAL-PROPERTIES</t>
  </si>
  <si>
    <t>asthma; bronchial inflammation; cytokines; eosinophils</t>
  </si>
  <si>
    <t>REVUE FRANCAISE D ALLERGOLOGIE ET D IMMUNOLOGIE CLINIQUE</t>
  </si>
  <si>
    <t>Pro-eosinophil cytokines and asthma</t>
  </si>
  <si>
    <t>WOS:000073246300002</t>
  </si>
  <si>
    <t>ZJ725</t>
  </si>
  <si>
    <t>10.1016/S0335-7457(98)80036-1</t>
  </si>
  <si>
    <t>Hop Antoine Beclere, Serv Pneumol &amp; Reanimat Resp, Inst Paris Sud Cytokines, 157 Rue Porte Trivaux, F-92140 Clamart, France.</t>
  </si>
  <si>
    <t>Universite Paris Saclay; Assistance Publique Hopitaux Paris (APHP); Hopital Universitaire Antoine-Beclere - APHP</t>
  </si>
  <si>
    <t>Hop Antoine Beclere, Serv Pneumol &amp; Reanimat Resp, Inst Paris Sud Cytokines, F-92140 Clamart, France</t>
  </si>
  <si>
    <t>Immunoglobulin E (IgE) production is regulated by several T cell subsets characterized by specific cytokine production patterns. The cytokine composition of the microenvironment determines which T helper (Th) subtype will develop from Th0 cells, and therefore which type of response the B cells will exhibit. A microenvironment dominated by interleukin-4 (IL-4) and IL-13 promotes the development of Th2 cells (which produce IL-4, IL-3, IL-5, IL-9, and IL-13) and B cell class commutation toward IgEs. IgE production in response to infections, in the absence of hypersensitivity, is seen primarily in parasitic infections. Its beneficial and/or harmful effects remain controversial. It has been suggested that an IgE response to viral infections may play a role in the genesis of allergic-type manifestations, in particular after respiratory syncytial virus bronchiolitis in children.</t>
  </si>
  <si>
    <t>RESPIRATORY SYNCYTIAL VIRUS; T-CELL CLONES; HUMAN-IMMUNODEFICIENCY-VIRUS; HUMAN B-CELLS; IFN-GAMMA; EOSINOPHILS; PARASITES; ELEVATION; RECEPTOR; CHILDREN</t>
  </si>
  <si>
    <t>immunoglobulin E; parasites; virus</t>
  </si>
  <si>
    <t>Soc Francaise Allergol &amp; Immunol</t>
  </si>
  <si>
    <t>TOULOUSE, FRANCE</t>
  </si>
  <si>
    <t>APR 23-25, 1998</t>
  </si>
  <si>
    <t>National Meeting of the Societe-Francaise-Allergologie-et-Immunologie-Clinique</t>
  </si>
  <si>
    <t>Infection and the IgE response.</t>
  </si>
  <si>
    <t>Garcia, G; Humbert, M</t>
  </si>
  <si>
    <t>WOS:000073326700008</t>
  </si>
  <si>
    <t>ZK489</t>
  </si>
  <si>
    <t>Humbert, M (corresponding author), Assistance Publ Hop Paris Clamart, Hop Antoine Beclere, Serv Pneumol, 157 Rue Porte Trivaux, F-92140 Clamart, France.</t>
  </si>
  <si>
    <t>Assistance Publique Hopitaux Paris (APHP); Hopital Universitaire Antoine-Beclere - APHP; Assistance Publique Hopitaux Paris (APHP); Hopital Universitaire Antoine-Beclere - APHP; Universite Paris Saclay; Institut National de la Sante et de la Recherche Medicale (Inserm); Assistance Publique Hopitaux Paris (APHP); Hopital Universitaire Antoine-Beclere - APHP</t>
  </si>
  <si>
    <t>Assistance Publ Hop Paris Clamart, Hop Antoine Beclere, Serv Pneumol, F-92140 Clamart, France; Assistance Publ Hop Paris Clamart, Hop Antoine Beclere, Inst Paris Sud Cytokines, INSERM,U131, F-92140 Clamart, France; Assistance Publ Hop Paris Clamart, Hop Antoine Beclere, Serv Anat Pathol, F-92140 Clamart, France</t>
  </si>
  <si>
    <t>Primary pulmonary hypertension (PPH) is characterized by intimal fibrosis and cell proliferation (including fibroblasts, smooth muscle and endothelial cells) in the distal pulmonary arterial tree, Considerable interest has been generated by recent reports of PPH in human immunodeficiency virus (HIV)-1-infected individuals, Although the lack of evidence for a pulmonary artery infection has suggested that in such cases HIV may act through mediator release rather than by direct endothelial infection, the mechanisms underlying HIV-associated PPH remain poorly defined. Platelet-derived growth factor (PDGF) has the ability to induce smooth muscle cell and fibroblast proliferation and migration. Given these considerations, we have attempted to document a possible role for PDGF in PPH occurring in HIV seropositive and seronegative patients. Using semiquantitative polymerase chain reaction (PCR), PDGF A-chain messenger ribonucleic acid (mRNA) expression was analysed in surgical lung biopsies from 13 HIV seronegative patients and one HIV seropositive patient, all displaying severe PPH. In parallel, lung samples from two patients with HIV-1-associated PPH were studied by immunohistochemistry and in situ hybridization, Results were compared to those obtained in three HIV-1-infected individuals with no pulmonary complication (as demonstrated by clinical, radiological, bacteriological, and necropsy findings) and five control lung biopsies. As compared to controls, PDGF A-chain mRNA expression is elevated in lung biopsies from patients displaying PPH (p = 0.029). In HIV-1-associated PPH, interstitial perivascular cells expressing PDGF A-chain mRNA and protein could be detected by in situ hybridization and immunohistochemistry, respectively. Platelet-derived growth factor expression is elevated in lung biopsies of patients displaying primary pulmonary hypertension. Growth factors such as platelet-derived growth factor may play a part in the initiation and/or progression of primary pulmonary hypertension.</t>
  </si>
  <si>
    <t>IMMUNODEFICIENCY-VIRUS INFECTION; KAPOSIS-SARCOMA; DNA-SEQUENCES; ARTERIOPATHY; HERPESVIRUS; LUNG; PATHOGENESIS; ENDOTHELIN-1; MECHANISMS; CELLS</t>
  </si>
  <si>
    <t>cytokine; human immunodeficiency virus; platelet-derived growth factor; primary pulmonary hypertension</t>
  </si>
  <si>
    <t>Platelet-derived growth factor expression in primary pulmonary hypertension: comparison of HIV seropositive and HIV seronegative patients</t>
  </si>
  <si>
    <t>Humbert, M; Monti, G; Fartoukh, M; Magnan, A; Brenot, F; Rain, B; Capron, F; Galanaud, P; Duroux, P; Simonneau, G; Emilie, D</t>
  </si>
  <si>
    <t>WOS:000073570700046</t>
  </si>
  <si>
    <t>ZM736</t>
  </si>
  <si>
    <t>10.1164/ajrccm.157.5.9708065</t>
  </si>
  <si>
    <t>1740 BROADWAY, NEW YORK, NY 10019 USA</t>
  </si>
  <si>
    <t>Assistance Publique Hopitaux Paris (APHP); Hopital Universitaire Antoine-Beclere - APHP; Assistance Publique Hopitaux Paris (APHP); Hopital Universitaire Antoine-Beclere - APHP; Assistance Publique Hopitaux Paris (APHP); Hopital Universitaire Antoine-Beclere - APHP</t>
  </si>
  <si>
    <t>Hop Antoine Beclere, Serv Pneumol &amp; Reanimat Resp, F-92140 Clamart, France; Hop Antoine Beclere, Serv Anat Pathol, F-92140 Clamart, France; Hop Antoine Beclere, Serv Radiol, F-92140 Clamart, France</t>
  </si>
  <si>
    <t>Continuous intravenous epoprostenol (prostacyclin) produces hemodynamic and symptomatic responses and improves survival in patients with severe primary pulmonary hypertension refractory to conventional medical therapy. However, it has been recently shown that short-term infusion of epoprostenol can produce pulmonary edema in pulmonary veno-occlusive disease, presumably because of increased pulmonary perfusion in the presence of downstream vascular obstruction. We describe two additional cases of pulmonary edema complicating continuous intravenous epoprostenol in patients displaying severe pulmonary hypertension and pulmonary capillary hemangiomatosis, a rare condition characterized by the proliferation of thin-wailed microvessels in the alveolar watts. This report indicates that epoprostenol therapy should not be used in patients with severe pulmonary hypertension secondary to pulmonary capillary hemangiomatosis.</t>
  </si>
  <si>
    <t>HEART-LUNG TRANSPLANTATION; INHALED NITRIC-OXIDE; VENOOCCLUSIVE DISEASE; HYPERTENSION; THERAPY; EPOPROSTENOL</t>
  </si>
  <si>
    <t>Pulmonary edema complicating continuous intravenous prostacyclin in pulmonary capillary hemangiomatosis</t>
  </si>
  <si>
    <t>Humbert, M; Maître, S; Capron, F; Rain, B; Musset, D; Simonneau, G</t>
  </si>
  <si>
    <t>WOS:000074234200028</t>
  </si>
  <si>
    <t>ZU780</t>
  </si>
  <si>
    <t>10.1183/09031936.98.11051153</t>
  </si>
  <si>
    <t>Sitbon, Olivier/I-3623-2019; Simonneau, Gerald/ABE-6614-2020; Humbert, Marc/AAC-8459-2019</t>
  </si>
  <si>
    <t>Herve, P (corresponding author), Ctr Chirurg Marie Lannelongue, 133 Ave Resistance, F-92350 Le Plessis Robinson, France.</t>
  </si>
  <si>
    <t>Assistance Publique Hopitaux Paris (APHP); Hopital Universitaire Antoine-Beclere - APHP; Assistance Publique Hopitaux Paris (APHP); Universite Paris Cite; Hopital Universitaire Beaujon - APHP; Institut National de la Sante et de la Recherche Medicale (Inserm)</t>
  </si>
  <si>
    <t>Hop Antoine Beclere, Serv Pneumol &amp; Reanimat, Clamart, France; Hop Beaujon, Lab Hemodynam Splanchn &amp; Biol Vasc, INSERM, Clichy, France</t>
  </si>
  <si>
    <t>The wide spectrum of pulmonary vascular disorders in liver disease and portal hypertension ranges from the hepatopulmonary syndrome characterized by intrapulmonary vascular dilatations, to pulmonary hypertension (portopulmonary hypertension), in which pulmonary vascular resistance is elevated, Since hepatopulmonary syndrome and portopulmonary hypertension have been reported in patients with nonhepatic portal hypertension,the common factor that determines their development must be portal hypertension. The clinical presentations are very different, with gas exchange impairment in the hepatopulmonary syndrome and haemodynamic failure in portopulmonary hypertension. The severity of hepatopulmonary syndrome stems to parallel the severity of liver failure, whereas no simple relationship has been identified between hepatic impairment and the severity of portopulmonary hypertension. Resolution of hepatopulmonary syndrome is common after liver transplantation, which has an uncertain effect in portopulmonary hypertension. The pathophysiology of both syndromes may involve vasoactive mediators and angiogenic factors.</t>
  </si>
  <si>
    <t>NITRIC-OXIDE SYNTHASE; CHRONIC LIVER-DISEASE; HEPATOPULMONARY SYNDROME; HYPERDYNAMIC CIRCULATION; CIRRHOTIC RATS; GAS-EXCHANGE; EXHALED AIR; HYPOXEMIA; PATIENT; BLOOD</t>
  </si>
  <si>
    <t>cirrhosis; hepatopulmonary syndrome; hypoxaemia; portal hypertension; pulmonary hypertension</t>
  </si>
  <si>
    <t>Pulmonary vascular disorders in portal hypertension</t>
  </si>
  <si>
    <t>Herve, P; Lebrec, D; Brenot, F; Simonneau, G; Humbert, M; Sitbon, O; Duroux, P</t>
  </si>
  <si>
    <t>WOS:000074730700038</t>
  </si>
  <si>
    <t>ZZ451</t>
  </si>
  <si>
    <t>10.1164/ajrccm.158.1.9708106</t>
  </si>
  <si>
    <t>Homerton Hosp, Dept Resp Med, Homerton Row, London E9 6SR, England.</t>
  </si>
  <si>
    <t>Natl Heart &amp; Lung Inst, Imperial Coll, Sch Med, London, England; Univ Texas, Med Branch, Dept Med, Allergy &amp; Immunol Div, Galveston, TX 77550 USA</t>
  </si>
  <si>
    <t>Fc epsilon RI receptors play an important role in allergen-induced mediator release and antigen presentation by mast cells, basophils, and monocyte/macrophages in atopic disorders. The expression of Fc epsilon RI by tissue eosinophils in atopic asthma after allergen challenge has not been established. Far this reason we attempted to identify mRNA and protein product + Fc epsilon RI alpha eosinophils in cytospins made from bronchoalveolar lavage (BAL) from atopic asthmatics (n = 9) and nonatopic normal subjects (n = 4) 24 h after segmental challenge with allergen or diluent. Messenger RNA for Fc epsilon RI alpha was determined using in situ hybridization and Fc epsilon RI alpha protein expression by immunocytochemistry using a mouse monoclonal antibody 22E7. Colocalization of FceRIa receptors to eosinophils was performed using chromotrope 2R. When compared with a control challenge, segmental challenge with Dermotophagoides pteronyssinus induced significant BAL eosinophilia (p = 0.007). The total number of BAL Fc epsilon RI alpha mRNA and protein-positive cells also increased in asthmatics, median values 2 (0.7-7.2) and 11.5 (0.6-65.0) x 10(6) cells (p = 0.02) and 0 (0-0.3 x 10(6)) and 3.1 x 10(6) (0.45 - 162.5 x 10(6)) cells (p = 0.007), respectively, for mRNA and protein. Net increases in Fc epsilon RI alpha+ cells correlated with the net increases in BAL eosinophils (r = 0.98, p = 0.0001 for mRNA and r = 0.72 p = 0.02 for protein). Colocalization studies with chromotrope 2R revealed that only 4% of Fc epsilon RI alpha+ cells were eosinophils after control challenge and, in contrast, 85 to 95% of Fc epsilon RI alpha+ cells were eosinophils after allergen. There were no differences in the numbers of Fc epsilon RI alpha+ cells or eosinophils in normal control subjects. Our results demonstrated that local endobronchial allergen provocation in atopic asthmatics results in increased synthesis and expression of Fc epsilon RI alpha predominantly on BAL eosinophils.</t>
  </si>
  <si>
    <t>SEGMENTAL ANTIGEN CHALLENGE; EPIDERMAL LANGERHANS CELLS; HISTAMINE-RELEASE; DENDRITIC CELLS; SERUM IGE; DERMATITIS; IMMEDIATE; ANTIBODIES; RESPONSES; PARASITES</t>
  </si>
  <si>
    <t>Increased expression of high affinity IgE (FcεRI) receptor-α chain mRNA and protein-bearing eosinophils in human allergen-induced atopic asthma</t>
  </si>
  <si>
    <t>Rajakulasingam, K; Till, S; Ying, S; Humbert, M; Barkans, J; Sullivan, M; Meng, Q; Corrigan, CJ; Bungre, J; Grant, JA; Kay, AB; Durham, SR</t>
  </si>
  <si>
    <t>WOS:000074906100049</t>
  </si>
  <si>
    <t>102CR</t>
  </si>
  <si>
    <t>10.1378/chest.114.1_Supplement.80S</t>
  </si>
  <si>
    <t>82S</t>
  </si>
  <si>
    <t>80S</t>
  </si>
  <si>
    <t>3300 DUNDEE ROAD, NORTHBROOK, IL 60062-2348 USA</t>
  </si>
  <si>
    <t>NORTHBROOK</t>
  </si>
  <si>
    <t>SITBON, Olivier/0000-0002-1942-1951; Humbert, Marc/0000-0003-0703-2892; SANCHEZ, Olivier/0000-0003-1633-8391</t>
  </si>
  <si>
    <t>Humbert, M (corresponding author), Hop Antoine Beclere, Serv Pneumol, 157 Rue Porte Trivaux, F-92140 Clamart, France.</t>
  </si>
  <si>
    <t>Assistance Publique Hopitaux Paris (APHP); Hopital Universitaire Antoine-Beclere - APHP; Assistance Publique Hopitaux Paris (APHP); Hopital Universitaire Antoine-Beclere - APHP</t>
  </si>
  <si>
    <t>Hop Antoine Beclere, Serv Pneumol, F-92140 Clamart, France; Hop Antoine Beclere, Serv Pneumol &amp; Reanimat Resp, F-92140 Clamart, France</t>
  </si>
  <si>
    <t>PROGRESSIVE SYSTEMIC-SCLEROSIS; CREST SYNDROME VARIANT</t>
  </si>
  <si>
    <t>ASPEN, COLORADO</t>
  </si>
  <si>
    <t>JUN 04-07, 1997</t>
  </si>
  <si>
    <t>Thomas L Petty 40th Annual Aspen Lung Conference on Biology and Pathobiology of the Lung Circulation</t>
  </si>
  <si>
    <t>Treatment of severe pulmonary hypertension secondary to connective tissue diseases with continuous IV epoprostenol (prostacyclin)</t>
  </si>
  <si>
    <t>Humbert, M; Sanchez, O; Fartoukh, M; Jagot, JL; Sitbon, O; Simonneau, G</t>
  </si>
  <si>
    <t>WOS:000074906100029</t>
  </si>
  <si>
    <t>10.1378/chest.114.1_Supplement.50S</t>
  </si>
  <si>
    <t>51S</t>
  </si>
  <si>
    <t>50S</t>
  </si>
  <si>
    <t>Fartoukh, M (corresponding author), Hop Antoine Beclere, Inst Paris Sud Cytokines, Serv Pneumol &amp; Reanimat Resp, Clamart, France.</t>
  </si>
  <si>
    <t>Assistance Publique Hopitaux Paris (APHP); Hopital Universitaire Antoine-Beclere - APHP; Universite Paris Saclay</t>
  </si>
  <si>
    <t>Hop Antoine Beclere, Inst Paris Sud Cytokines, Serv Pneumol &amp; Reanimat Resp, Clamart, France</t>
  </si>
  <si>
    <t>Chemokine macrophage inflammatory protein-1α mRNA expression in lung biopsy specimens of primary pulmonary hypertension</t>
  </si>
  <si>
    <t>Fartoukh, M; Emilie, D; Le Gall, C; Monti, G; Simonneau, G; Humbert, M</t>
  </si>
  <si>
    <t>WOS:000075387700009</t>
  </si>
  <si>
    <t>110NR</t>
  </si>
  <si>
    <t>10.1164/ajrccm.158.2.9705007</t>
  </si>
  <si>
    <t>Huston, David/0000-0002-2332-0010; Till, Stephen/0000-0003-4518-3093; Corrigan, Chris/0000-0002-0706-6534; Humbert, Marc/0000-0003-0703-2892</t>
  </si>
  <si>
    <t>c.corrigan@exwms.ac.uk</t>
  </si>
  <si>
    <t>Charing Cross Hosp, Sch Med, Imperial Coll, Dept Med, Fulham Palace Rd, London W6 8RF, England.</t>
  </si>
  <si>
    <t>Natl Heart &amp; Lung Inst, Sch Med, Imperial Coll, London, England</t>
  </si>
  <si>
    <t>In order to detect and characterize allergen-specific T cells in the airways of atopic asthmatics, we measured proliferation and cytokine production by bronchoalveolar lavage (BAL)I cells isolated from Dermatophagoides pteronyssinus (Der p)-sensitive asthmatics and nonatopic control subjects, and compared the results with those generated using peripheral blood (PB) T cells. BAL and PB mononuclear cells were collected 24 h after segmental allergen challenge by fibreoptic bronchoscopy and venepuncture, respectively. T cells purified from BAL and PB were stimulated with autologous, irradiated antigen-presenting cells and D. pteronyssinus extract or a control, nonallergen antigen (M. tuberculosis purified protein derivative [PPD]). IL-5 and IFN-gamma concentrations were measured in culture supernatants by ELISA, and T-cell proliferation by H-3-thymidine uptake. D. pteronyssinus-induced proliferation of T cells derived from both BAL and PB was elevated in asthmatics when compared with control subjects (p &lt; 0.05), whereas PPD-induced proliferation was equivalent in both compartments. In the asthmatics, D. pteronyssinus-induced proliferative responses of equivalent numbers of BAL and ph T cells obtained after allergen challenge were statistically equivalent. Nevertheless, BAL T cells stimulated with D. pteronyssinus produced significantly greater amounts of IL-5 than did PB T cells (p ( 0.05). Allergen-induced proliferation and IL-5 production by BAL T cells in the asthmatics after segmental allergen challenge correlated with the percentages of eosinophils in the BAL fluid (p &lt; 0.01). Further, BAL T cells from asthmatic patients produced significantly higher amounts of IL-5 than did the same number of cells from nonatopic control subjects (p &lt; 0.05). We conclude that, in D. pteronyssinus-sensitive asthmatics, allergen-specific T cells can be detected in the bronchial lumen after allergen challenge and that allergen-induced proliferation and IL-5 production by these cells correlates with local eosinophil influx. Although bronchial luminal T cells show an equivalent proliferative response to allergen stimulation as compared with ph T cells, they do produce more IL-5, consistent with the hypothesis that local differentiation or priming of these cells within the bronchial mucosal environment results in upregulation of allergen-induced IL-5 secretion.</t>
  </si>
  <si>
    <t>COLONY-STIMULATING FACTOR; MESSENGER-RNA EXPRESSION; BRONCHIAL BIOPSIES; HUMAN EOSINOPHILS; IN-VITRO; INHALATION CHALLENGE; CYTOKINE PRODUCTION; ASTHMATIC AIRWAYS; LYMPHOCYTES; IL-5</t>
  </si>
  <si>
    <t>Allergen-induced proliferation and interleukin-5 production by bronchoalveolar lavage and blood T cells after segmental allergen challenge</t>
  </si>
  <si>
    <t>Till, SJ; Durham, SR; Rajakulasingam, K; Humbert, M; Huston, D; Dickason, R; Kay, AB; Corrigan, CJ</t>
  </si>
  <si>
    <t>WOS:000075510900003</t>
  </si>
  <si>
    <t>112TU</t>
  </si>
  <si>
    <t>10.1183/09031936.98.12020265</t>
  </si>
  <si>
    <t>Sitbon, O (corresponding author), Serv Pneumol &amp; Reanimat 157, Ave Porte Trivaux, F-92141 Clamart, France.</t>
  </si>
  <si>
    <t>Univ Paris 11, Hop Antoine Beclere, UPRES Malad Vasc Pulm, Serv Pneumol &amp; Reanimat Resp, Clamart, France</t>
  </si>
  <si>
    <t>In a subset of patients with primary pulmonary hypertension (PPH), high doses of oral calcium-channel blockers (CCB) produce a sustained clinical and haemodynamic improvement. However, significant side-effects have been reported during acute testing with CCB, Therefore, to identify accurately patients who may benefit from long-term CCB therapy, there is a need for a safe, potent and short-acting vasodilator. The aim of this study was to compare the acute response to inhaled nitric oxide (NO) and oral high doses of CCB in 33 consecutive patients with PPH, A significant acute vasodilator response was defined by a fall in both mean pulmonary artery pressure and total pulmonary resistance by &gt;20%, Ten patients responded acutely to NO, nine of whom responded acutely to CCB, without any complications. The 23 other patients failed to respond to NO and CCB, In these nonresponders, nine serious adverse events were observed with CCB (38%). There was no clinical or baseline haemodynamic feature predicting acute vasodilator response. Long-term oral treatment with CCB was restricted to the nine acute responders and a sustained clinical and haemodynamic improvement was observed in only six patients. In primary pulmonary hypertension, the acute response rate to high doses of calcium-channel blockers is low (27%), Serious adverse reactions to high doses of calcium-channel blockers during acute testing are frequently observed in nonresponders, It is concluded that nitric oxide may be used as a screening agent for safely identifying patients with primary pulmonary hypertension who respond acutely to calcium-channel blockers and may benefit from long-term treatment with these agents.</t>
  </si>
  <si>
    <t>PROSTACYCLIN; NIFEDIPINE; INFUSION</t>
  </si>
  <si>
    <t>calcium-channel blockers; nitric oxide; primary pulmonary hypertension; vasodilator challenge</t>
  </si>
  <si>
    <t>Inhaled nitric oxide as a screening agent for safely identifying responders to oral calcium-channel blockers in primary pulmonary hypertension</t>
  </si>
  <si>
    <t>Sitbon, O; Humbert, M; Jagot, JL; Taravella, O; Fartoukh, M; Parent, F; Herve, P; Simonneau, G</t>
  </si>
  <si>
    <t>WOS:000075377500013</t>
  </si>
  <si>
    <t>110JK</t>
  </si>
  <si>
    <t>10.1136/thx.53.8.685</t>
  </si>
  <si>
    <t>Bentley, Andrew/0000-0002-6883-9246; Humbert, Marc/0000-0003-0703-2892; Gaga, Mina/0000-0002-9949-6012</t>
  </si>
  <si>
    <t>Durham, SR (corresponding author), Natl Heart &amp; Lung Inst, Imperial Coll, Sch Med, Dovehouse St, London SW3 6LY, England.</t>
  </si>
  <si>
    <t>Imperial College London; University of Oxford</t>
  </si>
  <si>
    <t>Natl Heart &amp; Lung Inst, Imperial Coll, Sch Med, London SW3 6LY, England; Churchill Hosp, Osler Chest Unit, Oxford OX3 7LJ, England; Wycombe Gen Hosp, Chest Dept, High Wycombe, Bucks, England</t>
  </si>
  <si>
    <t>Background-Bronchiectasis is a chronic suppurative lung disease characterised by irreversible dilation of the bronchi and persistent purulent sputum. The immunopathology of the disease was studied using a quantitative immunostaining technique with particular reference to T lymphocytes, macrophages, and granulocytes. Methods-Bronchial mucosal biopsy specimens were obtained by fibreoptic bronchoscopy from 12 patients with bronchiectasis (six receiving inhaled steroids) and 11 normal healthy controls. Immunostaining (APAAP method) was performed on frozen cryostat sections with a panel of monoclonal antibodies to total leucocytes (CD45), T lymphocyte phenotypic markers (CD3, CD4, CD8), macrophages (CD68), eosinophils (EG2), and neutrophils (elastase). Results-There was a mononuclear cell infiltrate in both patients with bronchiectasis and normal controls, but an overall increase in total leucocyte cell numbers (CD45+ cells) was identified in those with bronchiectasis (median values 422 cells/mm(2) versus 113 cells/mm(2) in control tissue, p&lt;0.001). Intense infiltration of CD3+ T lymphocytes was observed compared with healthy controls (292 cells/mm(2) and 40 cells/mm(2), respectively, p&lt;0.001). This comprised predominantly CD4+ T cells (118 cells/mm(2)) rather than CD8+ T cells (47 cells/mm(2)). CD3+ cell counts were reduced in those subjects on inhaled steroids compared with those not receiving inhaled steroids (197 cells/mm(2) versus 369 cells/mm(2), p&lt;0.05), as were CD4+ cell counts (82 cells/mm(2) versus 190 cells/m(2), p&lt;0.05). Neutrophil and macrophage cell numbers were also increased in patients with bronchiectasis (114 cells/mm(2) and 213 cells/mm(2), respectively) compared with controls (41 neutrophils/mm(2) and 40 macrophages/mm(2)). EG2+ (activated) eosinophil numbers were much lower than T cells, macrophages, and neutrophils in patients with bronchiectasis but were increased compared with controls (36 cells/mm(2) versus 0 cells/mm(2), p&lt;0.001). In view of the markedly increased neutrophil counts in patients with bronchiectasis, biopsy specimens were immunostained for interleukin 8 (IL-8) which was highly significantly increased compared with controls (47 cells/mm(2) versus 15 cells/mm(2), p&lt;0.01). IL-8+ cells were less prominent in steroid treated patients than in patients not receiving treatment (30 cells/mm(2) versus 60 cells/mm(2), p&lt;0.05). A further characteristic of bronchiectasis was mucous gland hypertrophy. Gland area comprised up to 40% of the tissue in some bronchiectasis sections while no hypertrophy was noted in control biopsy specimens (p&lt;0.05). Conclusion-Airway inflammation in bronchiectasis is characterised by tissue neutrophilia, a mononuclear cell infiltrate composed mainly of CD4+ T cells and CD68+ macrophages, and increased IL-8 expression. Inhaled corticosteroid treatment in patients with bronchiectasis is associated with a less marked infiltration by T cells and IL-8+ cells within the bronchial mucosa, although this finding requires confirmation in a prospective placebo controlled trial.</t>
  </si>
  <si>
    <t>CHRONIC-BRONCHITIS; DIFFUSE PANBRONCHIOLITIS; ACTIVATED EOSINOPHILS; RESPIRATORY-TRACT; ASTHMA; MUCOSA; IDENTIFICATION; EXACERBATIONS; INFLAMMATION; EXPRESSION</t>
  </si>
  <si>
    <t>bronchiectasis; CD3+ cells; IL-8; cellular infiltration</t>
  </si>
  <si>
    <t>Increases in CD4+ T lymphocytes, macrophages, neutrophils and interleukin 8 positive cells in the airways of patients with bronchiectasis</t>
  </si>
  <si>
    <t>Gaga, M; Bentley, AM; Humbert, M; Barkans, J; O'Brien, F; Wathen, CG; Kay, AB; Durham, SR</t>
  </si>
  <si>
    <t>WOS:000075942200003</t>
  </si>
  <si>
    <t>120EP</t>
  </si>
  <si>
    <t>10.1378/chest.114.3_Supplement.195S</t>
  </si>
  <si>
    <t>199S</t>
  </si>
  <si>
    <t>195S</t>
  </si>
  <si>
    <t>Simonneau, G (corresponding author), Univ Paris 11, Hop Antoine Beclere, Serv Pneumol, Ctr Pulm Vasc Dis, 157 Rue Porte Trivaux, F-92140 Clamart, France.</t>
  </si>
  <si>
    <t>Universite Paris Saclay; Assistance Publique Hopitaux Paris (APHP); Hopital Universitaire Antoine-Beclere - APHP; Hopital Marie Lannelongue</t>
  </si>
  <si>
    <t>Univ Paris 11, Hop Antoine Beclere, Serv Pneumol, Ctr Pulm Vasc Dis, F-92140 Clamart, France; Hop Marie Lannelongue, Clamart, France</t>
  </si>
  <si>
    <t>Fenfluramine derivatives (Fds) are a well-established risk factor for primary pulmonary hypertension (PPH). We compared 62 Fd-PPH patients (61 women) evaluated in our center between 1986 and 1997 with 125 sex-matched PPH patients nonexposed to Fd referred during the same period (control PPH). In the Fd-PPH group, 33 patients (53%) used dexfenfluramine alone, 7 patients (11%) used fenfluramine alone, and 5 patients (8%) used both drugs. In 17 cases (27%), Fd use was associated with that of amphetamines. Most of the exposed patients used Fd for at least 3 months (81%). The interval between the onset of dyspnea and that of drug intake was 49+/-68 months (27 days to 23 years). At the time of diagnosis, Fd-PPH and control PPH were similar in terms of New York Heart Association functional class and symptoms. The two groups significantly differed only in terms of age (50+/-12 vs 40+/-14 years) and body mass index (28+/-6 vs 23+/-4). The two groups displayed similar severe baseline hemodynamics (total pulmonary vascular resistance: 32+/-12 vs 31+/-12 IU/m(2)), but the percentage of responders to acute vasodilator testing was higher in control PPH (27% vs 10%, p&lt;0.01). As a result, more patients were treated with oral vasodilators in the control PPH group (36% vs 16%, p&lt;0.01) and long-term epoprostenol infusion was more frequently used in the Fd-PPH group (52% vs 31%, p&lt;0.01), Overall survival was similar in the two groups with a 3-year survival rate of 50%.</t>
  </si>
  <si>
    <t>HEART-DISEASE; SEROTONIN; DEXFENFLURAMINE; INFECTION; CHANNELS; DRUGS</t>
  </si>
  <si>
    <t>INST ETUD SCI</t>
  </si>
  <si>
    <t>INST ETUD SCI, FRANCE</t>
  </si>
  <si>
    <t>JUL 29-31, 1997</t>
  </si>
  <si>
    <t>Brenot Memorial Symposium on the Pathogenesis of Primary Pulmonary Hypertension</t>
  </si>
  <si>
    <t>Primary pulmonary hypertension associated with the use of fenfluramine derivatives</t>
  </si>
  <si>
    <t>Simonneau, G; Fartoukh, M; Sitbon, O; Humbert, M; Jagot, JL; Hervé, P</t>
  </si>
  <si>
    <t>WOS:000076453300009</t>
  </si>
  <si>
    <t>129FN</t>
  </si>
  <si>
    <t>10.1164/ajrccm.158.4.9802113</t>
  </si>
  <si>
    <t>Humbert, Marc/0000-0003-0703-2892; Dinh-Xuan, Anh Tuan/0000-0001-8651-5176</t>
  </si>
  <si>
    <t>Simonneau, Gerald/ABE-6614-2020; Archer, Stephen/C-3621-2013; Humbert, Marc/AAC-8459-2019; Dinh-Xuan, Anh Tuan/A-9691-2008</t>
  </si>
  <si>
    <t>Univ Alberta, Dept Med, Div Cardiol, WMC 2C2-36,8440 112th St, Edmonton, AB T6G 2B7, Canada.</t>
  </si>
  <si>
    <t>University of Alberta; University of Minnesota System; University of Minnesota Twin Cities; US Department of Veterans Affairs; Veterans Health Administration (VHA); Minneapolis VA Health Care System; Assistance Publique Hopitaux Paris (APHP); Universite Paris Cite; Hopital Universitaire Cochin - APHP; Assistance Publique Hopitaux Paris (APHP); Universite Paris Cite; Hopital Universitaire Robert-Debre - APHP; Assistance Publique Hopitaux Paris (APHP); Hopital Universitaire Antoine-Beclere - APHP</t>
  </si>
  <si>
    <t>Univ Alberta, Dept Med, Div Cardiol, Edmonton, AB T6G 2B7, Canada; Univ Minnesota, Minneapolis, MN USA; Vet Affairs Med Ctr, Dept Med Cardiol, Minneapolis, MN USA; Hop Cochin, Dept Resp Physiol, F-75674 Paris, France; Hop Robert Debre, Serv Reanimat Pediat, F-75019 Paris, France; Hop Antoine Beclere, Serv Malad Vasc Pulm, Clamart, France</t>
  </si>
  <si>
    <t>Dexfenfluramine and fenfluramine greatly increase the risk of developing pulmonary hypertension (PHT). The mechanism of anorexigen-associated PHT (AA-PHT) and the reason PHT occurs in a minority of people exposed are unknown. Anorexigens are weak pulmonary vasoconstrictors, but they become potent when synthesis of the endogenous vasodilator nitric oxide (NO) is suppressed. We hypothesized NO deficiency predisposes affected individuals to develop AA-PHT. A prospective, case-control, study was performed on consecutive patients with AA-PHT (n = 9). Two sex-matched control groups were selected: patients with primary PHT (P-PHT, n = 8) and normal volunteers (n = 12). Lung NO production (VNO) and systemic plasma oxidation products of NO (NOx) were measured at rest and during exercise. AA-PHT developed 17 +/- 6 mo after a short course of anorexigen (6 +/- 2 mo) and was irreversible. VNO was lower in AA-PHT than in P-PHT and correlated inversely with PVR (p &lt; 0.05). The apparent VNO deficiency may have resulted from increased oxidative inactivation of NO in patients with AA-PHT, as their NOx levels were elevated (p &lt; 0.05) in inverse proportion to VNO (r(2) = 0.55; p &lt; 0.02). In susceptible persons, anorexigens can cause an irreversible syndrome of PHT, hypoxemia, and systemic vascular complications after brief exposures. These patients have a relative NO deficiency years after discontinuing the anorexigen, perhaps explaining their original susceptibility.</t>
  </si>
  <si>
    <t>ENDOTHELIUM; VASOCONSTRICTION; PHENTERMINE; SYNTHASE; EXERCISE; DISEASE; RISK; RATS</t>
  </si>
  <si>
    <t>Nitric oxide deficiency in fenfluramine- and dexfenfluramine-induced pulmonary hypertension</t>
  </si>
  <si>
    <t>Archer, SL; Djaballah, K; Humbert, M; Weir, EK; Fartoukh, M; DalL'Ava-Santucci, J; Mercier, JC; Simonneau, G; Dinh-Xuan, AT</t>
  </si>
  <si>
    <t>WOS:000077033400023</t>
  </si>
  <si>
    <t>139MR</t>
  </si>
  <si>
    <t>10.1016/S0091-6749(98)70029-6</t>
  </si>
  <si>
    <t>11830 WESTLINE INDUSTRIAL DR, ST LOUIS, MO 63146-3318 USA</t>
  </si>
  <si>
    <t>Hamid, QA (corresponding author), McGill Univ, Meakins Christie Labs, 3626 St Urbain St, Montreal, PQ H2X 2P2, Canada.</t>
  </si>
  <si>
    <t>McGill University; Imperial College London</t>
  </si>
  <si>
    <t>McGill Univ, Meakins Christie Labs, Montreal, PQ H2X 2P2, Canada; Natl Heart &amp; Lung Inst, Dept Allergy &amp; Clin Immunol, London, England; Hochgebirgsklin Davos, Asthma &amp; Allergy Clin, Davos, Switzerland</t>
  </si>
  <si>
    <t>Background: Recent studies have provided evidence for increased IL-4 expression in the airways of atopic and nonatopic asthmatic subjects. IL-4 is believed to perform important regulatory roles in asthma: however, the expression of the IL-4 receptor has not been investigated. In this study we examined the mRNA and protein expression of the specific alpha-subunit of the IL-4 receptor (alpha IL-1R) in bronchial biopsy specimens obtained from atopic and nonatopic asthmatic subjects. Methods: Asthmatic subjects and nonasthmatic control subjects were recruited, and lung function measurements were performed before bronchoscopy, Endobronchial biopsy specimens were examined for the presence of alpha IL-1R mRNA and immunoreactivity by using in situ hybridization and immunocytochemistry, respectively. Results: alpha IL-4R mRNA-positive and immunoreactive cells were detected in the epithelium and subepithelium in biopsy specimens from all subjects. Expression of alpha IL-4R mRNA and protein was significantly increased in the epithelium and subepithelium of biopsy; specimens from atopic asthmatic subjects compared with atopic control subjects (P &lt; .05 and r &lt; .001, respectively). Epithelial alpha IL-4R mRNA expression and immunoreactivity did not differ significantly between nonatopic asthmatic subjects and nonatopic control subjects. Although the numbers of alpha IL-4R mRNA-positive cells were augmented in the submucosa of intrinsic asthmatic subjects compared with nonatopic control subjects (P &lt; .05), alpha IL-4R immunoreactivity did not differ significantly between these groups. Increased alpha IL-4R immunoreactive signals were also detected in the endothelial cell layer in both atopic and intrinsic asthmatic subjects compared with atopic and nonatopic control subjects, respectively (P &lt; .05). Combined in situ hybridization immunocytochemistry performed on biopsy sections from asthmatic and control subjects demonstrated alpha IL-4R mRNA expression in CD3-positive T cells and tryptase-positive e mast cells, with T cells comprising the larger proportion of alpha IL-4R mRNA-positive cells. Numbers of alpha IL-4R mRNA-positive or immunoreactive cells did not correlate with CD3-positive cell numbers, numbers of IL-4 mRNA-positive cells, or indices of pulmonary function. Conclusion: These results demonstrate constitutive alpha IL-4R expression in normal airways and enhanced expression in airway tissue from asthmatic individuals.</t>
  </si>
  <si>
    <t>CYTOKINE MESSENGER-RNA; T-CELLS; BRONCHOALVEOLAR LAVAGE; INTERFERON-GAMMA; EPITHELIAL-CELLS; GENE-EXPRESSION; ENDOTHELIAL-CELLS; HUMAN EOSINOPHILS; INTRINSIC ASTHMA; LYMPHOCYTES-T</t>
  </si>
  <si>
    <t>atopic asthma; intrinsic asthma; IL-4 receptor; IL-4; IgE</t>
  </si>
  <si>
    <t>Expression of the IL-4 receptor α-subunit is increased in bronchial biopsy specimens from atopic and nonatopic asthmatic subjects</t>
  </si>
  <si>
    <t>Kotsimbos, TC; Ghaffar, O; Minshall, EM; Humbert, M; Durham, SR; Pfister, R; Menz, G; Kay, AB; Hamid, QA</t>
  </si>
  <si>
    <t>WOS:000076580400031</t>
  </si>
  <si>
    <t>131MT</t>
  </si>
  <si>
    <t>10.2214/ajr.171.5.9798872</t>
  </si>
  <si>
    <t>Am. J. Roentgenol.</t>
  </si>
  <si>
    <t>AM J ROENTGENOL</t>
  </si>
  <si>
    <t>0361-803X</t>
  </si>
  <si>
    <t>1891 PRESTON WHITE DR, SUBSCRIPTION FULFILLMENT, RESTON, VA 22091 USA</t>
  </si>
  <si>
    <t>AMER ROENTGEN RAY SOC</t>
  </si>
  <si>
    <t>Dufour, B (corresponding author), Hop Antoine Beclere, Serv Radiol, 157 Rue Porte Trivaux, F-92140 Clamart, France.</t>
  </si>
  <si>
    <t>Hop Antoine Beclere, Serv Radiol, F-92140 Clamart, France; Hop Antoine Beclere, Serv Pneumol &amp; Reanimat Resp, F-92140 Clamart, France; Hop Antoine Beclere, Serv Anat Pathol, F-92140 Clamart, France</t>
  </si>
  <si>
    <t>OBJECTIVE. Clinical differentiation of isolated pulmonary hypertensive arteriopathy from pulmonary capillary hemangiomatosis or pulmonary venoocclusive disease can be difficult on a clinical basis alone. Differentiation is important because misdiagnosis of pulmonary capillary hemangiomatosis or pulmonary venoocclusive disease may lead to severe vasodilator-induced pulmonary edema. The objective of our study was to determine whether high-resolution CT of the chest could distinguish pulmonary capillary hemangiomatosis or pulmonary venoocclusive disease from isolated pulmonary hypertensive arteriopathy. CONCLUSION. Pulmonary hypertension in patients who also have pulmonary capillary hemangiomatosis or pulmonary venoocclusive disease shows characteristics on high-resolution CT that are not seen in patients with isolated pulmonary hypertensive arteriopathy.</t>
  </si>
  <si>
    <t>AMERICAN JOURNAL OF ROENTGENOLOGY</t>
  </si>
  <si>
    <t>High-resolution CT of the chest in four patients with pulmonary capillary hemangiomatosis or pulmonary venoocclusive disease</t>
  </si>
  <si>
    <t>Dufour, B; Maître, S; Humbert, M; Capron, F; Simonneau, G; Musset, D</t>
  </si>
  <si>
    <t>WOS:000077712800014</t>
  </si>
  <si>
    <t>151GR</t>
  </si>
  <si>
    <t>10.1136/thx.53.12.1059</t>
  </si>
  <si>
    <t>Bogdan, Miron/AAK-4872-2021; Simonneau, Gerald/ABE-6614-2020; Humbert, Marc/AAC-8459-2019</t>
  </si>
  <si>
    <t>Humbert, M (corresponding author), Hop Antoine Beclere, Serv Pneumol &amp; Reanimat Resp, 157 Rue Porte de Trivaux, F-92140 Clamart, France.</t>
  </si>
  <si>
    <t>Hop Antoine Beclere, Serv Pneumol, F-92140 Clamart, France; Hop Antoine Beclere, Serv Reanimat Resp, F-92140 Clamart, France; Hop Antoine Beclere, Serv Biochim, UPRES Malad Vasc Pulm, F-92140 Clamart, France</t>
  </si>
  <si>
    <t>Background-Prognostic evaluation of patients with primary pulmonary hypertension (PPH) requires right heart catheterisation. The development of accurate non-invasive methods for monitoring these patients remains an important task. Cyclic guanosine monophosphate (cGMP) is an indicator of the action of natriuretic peptides and nitric oxide on target cells. Plasma and urinary cGMP concentrations are raised in patients with congestive heart failure in whom they correlate closely with haemodynamic parameters and disease severity. The aim of the present study was to determine whether the urinary concentration of cGMP could be used as a non-invasive marker of haemodynamic impairment in patients with severe PPH. Methods-Urinary cGMP concentrations were measured in 19 consecutive patients with PPH, seven with acute asthma, and 30 normal healthy controls. Result-Patients with PPH had higher urinary cGMP concentrations than asthmatic patients or normal healthy controls (p = 0.001). Urinary cGMP concentrations were higher in patients with severe haemodynamic impairment-that is, those with a cardiac index (CI) of less than or equal to 2 1/ min/m(2) (p = 0.002)-and urinary cGMP concentrations were inversely correlated with CI (r = -0.69, p = 0.002) and venous oxygen saturation (r = -0.65, p = 0.003). Conclusion-Urinary cGMP concentrations may represent a non-invasive indicator of the haemodynamic status of patients with severe PPH.</t>
  </si>
  <si>
    <t>ATRIAL-NATRIURETIC-PEPTIDE; CYCLIC GUANOSINE-MONOPHOSPHATE; HEART-FAILURE; DISEASE; POLYPEPTIDE; SURVIVAL; THERAPY; RELEASE; GMP</t>
  </si>
  <si>
    <t>3 '-5 '-cyclic guanosine monophosphate; haemodynamics; pulmonary hypertension</t>
  </si>
  <si>
    <t>Urinary cGMP concentrations in severe primary pulmonary hypertension</t>
  </si>
  <si>
    <t>Bogdan, M; Humbert, M; Francoual, J; Claise, C; Duroux, P; Simonneau, G; Lindenbaum, A</t>
  </si>
  <si>
    <t>WOS:000082237103872</t>
  </si>
  <si>
    <t>230DT</t>
  </si>
  <si>
    <t>A695</t>
  </si>
  <si>
    <t>Humbert, Marc/AAC-8459-2019; Sitbon, Olivier/I-3623-2019; Simonneau, Gerald/ABE-6614-2020</t>
  </si>
  <si>
    <t>Universite Paris Saclay; Assistance Publique Hopitaux Paris (APHP); Hopital Universitaire Antoine-Beclere - APHP; Institut National de la Sante et de la Recherche Medicale (Inserm)</t>
  </si>
  <si>
    <t>Univ Paris Sud, Hop Antoine Beclere, INSERM U131, Serv Pneumol,UPRES Malad VAsc Pulm, Paris, France</t>
  </si>
  <si>
    <t>Chemokines in pulmonary vascular diseases: Expression of MCP-1 and RANTES mRNAs in lung biopsies of primary pulmonary hypertension.</t>
  </si>
  <si>
    <t>Zarka, V; Fartoukh, M; Monti, G; Dubey, L; Sitbon, O; Duroux, P; Simonneau, G; Emilie, D; Humbert, M</t>
  </si>
  <si>
    <t>WOS:000082237100841</t>
  </si>
  <si>
    <t>A158</t>
  </si>
  <si>
    <t>Simonneau, Gerald/ABE-6614-2020; LeGall, Camille/LIC-8149-2024; Humbert, Marc/AAC-8459-2019; Sitbon, Olivier/I-3623-2019; Sanchez-Ramon, Silvia/AAZ-7670-2020</t>
  </si>
  <si>
    <t>Univ Paris Sud, Serv Pneumol, UPRES Malad Vasc Pulm, Hop Antoine Beclere, Clamart, France</t>
  </si>
  <si>
    <t>Survival in pulmonary hypertension associated with connective tissue diseases (PH-CTD) treated with long-term epoprostenol (PPI2):: Comparison with primary pulmonary hypertension (PPH).</t>
  </si>
  <si>
    <t>Sitbon, O; Humbert, M; Sanchez, O; Le Gall, C; Parent, F; Hervé, P; Duroux, P; Simonneau, G</t>
  </si>
  <si>
    <t>WOS:000082237103880</t>
  </si>
  <si>
    <t>A697</t>
  </si>
  <si>
    <t>chouaid, christos/0000-0002-4290-5524</t>
  </si>
  <si>
    <t>Sitbon, Olivier/I-3623-2019; Humbert, Marc/AAC-8459-2019; Simonneau, Gerald/ABE-6614-2020; chouaid, christos/R-4477-2018</t>
  </si>
  <si>
    <t>Assistance Publique Hopitaux Paris (APHP); Universite Paris-Est-Creteil-Val-de-Marne (UPEC); Hopital Universitaire Henri-Mondor - APHP; Institut National de la Sante et de la Recherche Medicale (Inserm); Universite Paris-Est-Creteil-Val-de-Marne (UPEC); Assistance Publique Hopitaux Paris (APHP); Hopital Universitaire Henri-Mondor - APHP; Assistance Publique Hopitaux Paris (APHP); Hopital Universitaire Antoine-Beclere - APHP</t>
  </si>
  <si>
    <t>Hop Henri Mondor, Dept Physiol, F-94010 Creteil, France; Hop Henri Mondor, INSERM U492, F-94010 Creteil, France; Hop Antoine Beclere, Serv Pneumol, Clamart, France</t>
  </si>
  <si>
    <t>Serum and platelet VEGF concentrations in patients with cold or primary pulmonary hypertension.</t>
  </si>
  <si>
    <t>Sediame, S; Humbert, M; Chouaid, C; Eddahibi, S; Partovian, C; Housset, B; Rideau, D; Simonneau, G; Sitbon, O; Adnot, S</t>
  </si>
  <si>
    <t>WOS:000079065100019</t>
  </si>
  <si>
    <t>174YX</t>
  </si>
  <si>
    <t>10.1136/thx.54.3.273</t>
  </si>
  <si>
    <t>Humbert, M (corresponding author), Assistance Publ Hop Paris, Hop Antoine Beclere, UPRES Malad Vasc Pulm, Serv Pneumol &amp; Reanimat Resp, F-92140 Clamart, France.</t>
  </si>
  <si>
    <t>Assistance Publique Hopitaux Paris (APHP); Universite Paris Cite; Hopital Universitaire Saint-Louis - APHP; Hopital Universitaire Antoine-Beclere - APHP</t>
  </si>
  <si>
    <t>Assistance Publ Hop Paris, Hop Antoine Beclere, UPRES Malad Vasc Pulm, Serv Pneumol &amp; Reanimat Resp, F-92140 Clamart, France</t>
  </si>
  <si>
    <t>SYSTEMIC LUPUS-ERYTHEMATOSUS; HEART-LUNG TRANSPLANTATION; CREST SYNDROME VARIANT; INHALED NITRIC-OXIDE; IMMUNOSUPPRESSIVE THERAPY; ARTERIAL-HYPERTENSION; VASCULAR-DISEASE; SCLEROSIS; PATIENT; PROSTACYCLIN</t>
  </si>
  <si>
    <t>Treatment of pulmonary hypertension secondary to connective tissue diseases</t>
  </si>
  <si>
    <t>Sanchez, O; Humbert, M; Sitbon, O; Simonneau, G</t>
  </si>
  <si>
    <t>WOS:000082237103874</t>
  </si>
  <si>
    <t>A696</t>
  </si>
  <si>
    <t>LAPLANCHE, Jean-Louis/S-8707-2016; Sitbon, Olivier/I-3623-2019; Simonneau, Gerald/ABE-6614-2020; Humbert, Marc/AAC-8459-2019</t>
  </si>
  <si>
    <t>Assistance Publique Hopitaux Paris (APHP); Hopital Universitaire Antoine-Beclere - APHP; Universite Paris Saclay; Assistance Publique Hopitaux Paris (APHP); Universite Paris Cite; Hopital Universitaire Lariboisiere-Fernand-Widal - APHP</t>
  </si>
  <si>
    <t>Univ Paris Sud, Hop Antoine Beclere, UPRES Malad Vasc Pulm, Serv Pneumol, Clamart, France; Hop Lariboisiere, Serv Immunohematol &amp; Biochim, F-75475 Paris, France</t>
  </si>
  <si>
    <t>Serotonin transporter gene and primary pulmonary hypertension:: An association study.</t>
  </si>
  <si>
    <t>Humbert, M; Hervé, P; Sitbon, O; Simonneau, G; Drouet, L; Launay, JM; Laplanche, JL</t>
  </si>
  <si>
    <t>WOS:000082237100883</t>
  </si>
  <si>
    <t>A165</t>
  </si>
  <si>
    <t>Assistance Publique Hopitaux Paris (APHP); Hopital Universitaire Antoine-Beclere - APHP; Eberhard Karls University of Tubingen; Eberhard Karls University Hospital</t>
  </si>
  <si>
    <t>Hop Antoine Beclere, Clamart, France; Dr Margarete Fischer Bosch Inst Clin Pharmacol, D-7000 Stuttgart, Germany</t>
  </si>
  <si>
    <t>Subjects deficient for CYP2D6 expression (poor metabolisers) are over-represented among patients with anorectic associated pulmonary hypertension</t>
  </si>
  <si>
    <t>Higenbottam, TW; Humbert, M; Simonneau, G; Griese, EU; Eichelbaum, M; Emery, CJ; Linklater, H</t>
  </si>
  <si>
    <t>WOS:000081775800020</t>
  </si>
  <si>
    <t>222GL</t>
  </si>
  <si>
    <t>10.1183/09031936.99.13613579</t>
  </si>
  <si>
    <t>Humbert, M (corresponding author), Hop Antoine Beclere, Serv Pneumol &amp; Reanimation Resp, UPRES EA 2705, 157 Rue de la Porte de Trivaux, F-92140 Clamart, France.</t>
  </si>
  <si>
    <t>Hop Antoine Beclere, Serv Pneumol &amp; Reanimation Resp, UPRES EA 2705, F-92140 Clamart, France</t>
  </si>
  <si>
    <t>Continuous intravenous epoprostenol improves exercise capacity, haemodynamics, and survival in severe primary pulmonary hypertension. Pulmonary hypertension can also be life-threatening in patients with connective tissue diseases, In a prospective open monocentre uncontrolled study, the effects of epoprostenol were evaluated in patients with severe pulmonary hypertension secondary to connective tissue diseases who were unresponsive to oral vasodilators (including calcium channel blockers) and continued to be in the New York Heart Association (NYHA) functional class III or IV despite conventional medical therapy. Seventeen patients received epoprostenol administered by a portable infusion pump associated with conventional therapy (oral anticoagulants, diuretics, supplemental oxygen), During the first six weeks of therapy, two (12%) patients died, of pulmonary oedema (n=1) and severe sepsis (n=1). In the fifteen remaining subjects, clinical and haemodynamic parameters improved significantly at six weeks, These patients were subsequently monitored for 80+/-48 (range 14-154) weeks after initiation of epoprostenol. Five (33%) patients died, of right heart failure (n=2), severe sepsis (n=2) or syncope (n=1) and two patients were successfully transplanted 24 and 52 weeks after initiation of epoprostenol, Seven of the remaining eight patients had a persistent clinical improvement. Short-term epoprostenol therapy is effective in some patients with connective tissue diseases as demonstrated by better clinical status and haemodynamics at six weeks. However, this study reports several cases of early and late major complications including severe sepsis and pulmonary oedema, Additional information is needed to evaluate the benefit: risk ratio of long-term epoprostenol therapy in pulmonary hypertension secondary to connective tissue diseases.</t>
  </si>
  <si>
    <t>CONTINUOUS INTRAVENOUS PROSTACYCLIN; PROGRESSIVE SYSTEMIC-SCLEROSIS; CREST SYNDROME VARIANT; INHALED NITRIC-OXIDE; ILOPROST; SURVIVAL; PATIENT; AGENT</t>
  </si>
  <si>
    <t>connective tissue diseases; epoprostenol; pulmonary hypertension</t>
  </si>
  <si>
    <t>Short-term and long-term epoprostenol (prostacyclin) therapy in pulmonary hypertension secondary to connective tissue diseases: results of a pilot study</t>
  </si>
  <si>
    <t>Humbert, M; Sanchez, O; Fartoukh, M; Jagot, JL; Le Gall, C; Sitbon, O; Parent, F; Simonneau, G</t>
  </si>
  <si>
    <t>WOS:000082614100477</t>
  </si>
  <si>
    <t>236TF</t>
  </si>
  <si>
    <t>PS107</t>
  </si>
  <si>
    <t>Eur. J. Nucl. Med.</t>
  </si>
  <si>
    <t>EUR J NUCL MED</t>
  </si>
  <si>
    <t>0340-6997</t>
  </si>
  <si>
    <t>175 FIFTH AVE, NEW YORK, NY 10010 USA</t>
  </si>
  <si>
    <t>SPRINGER VERLAG</t>
  </si>
  <si>
    <t>Sitbon, Olivier/I-3623-2019; Humbert, Marc/AAC-8459-2019; Simonneau, Gerald/ABE-6614-2020</t>
  </si>
  <si>
    <t>Antoine Beclere Univ Hosp, Dept Nucl Med, Clamart, France; Antoine Beclere Univ Hosp, Dept Cardiol, Clamart, France; Antoine Beclere Univ Hosp, Dept Pneumol, Clamart, France</t>
  </si>
  <si>
    <t>EUROPEAN JOURNAL OF NUCLEAR MEDICINE</t>
  </si>
  <si>
    <t>Pulmonary thromboendarterectomy (PTE) and temporal improvement in right and left ventricular function.</t>
  </si>
  <si>
    <t>Daou, D; Fourme, T; Sitbon, O; Parent, F; Benada, A; Humbert, M; Helal, BO; Prigent, A; Dartevelle, P; Slama, M; Simonneau, G</t>
  </si>
  <si>
    <t>WOS:000082614100468</t>
  </si>
  <si>
    <t>PS98</t>
  </si>
  <si>
    <t>Left ventricular dysfunction in chronic post embolic pulmonary hypertension (CPE-PH).</t>
  </si>
  <si>
    <t>Daou, D; Fourme, T; Sitbon, O; Benada, A; Parent, F; Humbert, M; Helal, B; Prigent, A; Slama, M; Dartevelle, P; Simonneau, G</t>
  </si>
  <si>
    <t>WOS:000082197900013</t>
  </si>
  <si>
    <t>229MG</t>
  </si>
  <si>
    <t>10.1097/00001573-199909000-00013</t>
  </si>
  <si>
    <t>Curr. Opin. Cardiol.</t>
  </si>
  <si>
    <t>CURR OPIN CARDIOL</t>
  </si>
  <si>
    <t>0268-4705</t>
  </si>
  <si>
    <t>530 WALNUT ST, PHILADELPHIA, PA 19106-3621 USA</t>
  </si>
  <si>
    <t>Abenhaim, L (corresponding author), 5 Rue Assas, F-75006 Paris, France.</t>
  </si>
  <si>
    <t>McGill University</t>
  </si>
  <si>
    <t>McGill Univ, Montreal, PQ, Canada</t>
  </si>
  <si>
    <t>EOSINOPHILIA-MYALGIA-SYNDROME; VENO-OCCLUSIVE DISEASE; TERM FOLLOW-UP; OIL SYNDROME; PREMATURE LABOR; PRETERM LABOR; FENFLURAMINE; INDOMETHACIN; CHEMOTHERAPY; INHIBITION</t>
  </si>
  <si>
    <t>CURRENT OPINION IN CARDIOLOGY</t>
  </si>
  <si>
    <t>Pulmonary hypertension related to drugs and toxins</t>
  </si>
  <si>
    <t>Abenhaim, L; Humbert, M</t>
  </si>
  <si>
    <t>WOS:000083404500012</t>
  </si>
  <si>
    <t>250TP</t>
  </si>
  <si>
    <t>10.1016/S0167-5699(99)01535-2</t>
  </si>
  <si>
    <t>Immunol. Today</t>
  </si>
  <si>
    <t>IMMUNOL TODAY</t>
  </si>
  <si>
    <t>0167-5699</t>
  </si>
  <si>
    <t>Humbert, M (corresponding author), Hop Antoine Beclere, Serv Pneumol, UPRES EA2705, Inst Paris Sud Cytokines, F-92140 Clamart, France.</t>
  </si>
  <si>
    <t>Univ London Imperial Coll Sci Technol &amp; Med, Dept Allergy &amp; Clin Immunol, Natl Heart &amp; Lung Inst, London SW3 6LY, England</t>
  </si>
  <si>
    <t>Intrinsic asthma shows no clinical or serological evidence of IgE-mediated allergy to common environmental agents. Similar to extrinsic asthma, bronchial biopsies from such patients show enhanced expression of Th2-type cytokines, CC chemokines and I epsilon/C epsilon compared with controls. These findings suggest that there might be local IgE production directed against unknown antigens, possibly of viral origin or even autoantigens, in this important clinically distinct variant of the disease.</t>
  </si>
  <si>
    <t>IL-5 MESSENGER-RNA; AFFINITY IGE RECEPTOR; T-CELL; BRONCHIAL BIOPSIES; NONATOPIC ASTHMA; SERUM IGE; EXPRESSION; RESPONSIVENESS; EOSINOPHILS; HISTAMINE</t>
  </si>
  <si>
    <t>IMMUNOLOGY TODAY</t>
  </si>
  <si>
    <t>The immunopathology of extrinsic (atopic) and intrinsic (non-atopic) asthma: more similarities than differences</t>
  </si>
  <si>
    <t>Humbert, M; Menz, G; Ying, S; Corrigan, CJ; Robinson, DS; Durham, SR; Kay, AB</t>
  </si>
  <si>
    <t>WOS:000083564200013</t>
  </si>
  <si>
    <t>253PD</t>
  </si>
  <si>
    <t>AR5</t>
  </si>
  <si>
    <t>Abenhaim, L (corresponding author), McGill Univ, Montreal, PQ, Canada.</t>
  </si>
  <si>
    <t>Pulmonary hypertension related to drugs and toxins (vol 14, pg 437, 1999)</t>
  </si>
  <si>
    <t>WOS:000083843500072</t>
  </si>
  <si>
    <t>258MT</t>
  </si>
  <si>
    <t>a.b.kay@ic.ac.uk</t>
  </si>
  <si>
    <t>Natl Heart &amp; Lung Inst, Imperial Coll, Sch Med, Dept Allergy &amp; Clin Immunol, Dovehouse St, London SW3 6LY, England.</t>
  </si>
  <si>
    <t>Imperial College London; Universite Paris Saclay; Assistance Publique Hopitaux Paris (APHP); Hopital Universitaire Antoine-Beclere - APHP</t>
  </si>
  <si>
    <t>Natl Heart &amp; Lung Inst, Imperial Coll, Sch Med, Dept Allergy &amp; Clin Immunol, London SW3 6LY, England; Hop Antoine Beclere, Inst Paris Sud Cytokines, Serv Pneumol, Clamart, France</t>
  </si>
  <si>
    <t>Atopic (AA) and nonatopic (NAA) asthma are characterized by chronic inflammation and local tissue eosinophilia, Many C-C chemokines are potent eosinophil chemoattractants and act predominantly via the CCR3, We examined the expression of eotaxin, eotaxin-2, RANTES, monocyte chemoattractant protein-3 (MCP-3), MCP-4, and CCR3 in the bronchial mucosa from atopic (AA) and nonatopic (intrinsic; NAA) asthmatics and compared our findings with atopic (AC) and nonatopic nonasthmatic controls (NC), Cryostat sections were processed for immunohistochemistry (IHC), in situ hybridization (ISH), and double IHC/ISH, Compared with AC and NC, the numbers of EG2(+) cells and the cells expressing mRNA for eotaxin, eotaxin-2, RANTES, MCP-3, MCP-4, and CCR3 were significantly increased in AA and NAA (p &lt; 0.01). Nonsignificant differences in these variants were observed between AA and NAA and between AC and NC. Significant correlations between the cells expressing eotaxin or CCR3 and EG2(+) eosinophils in the bronchial tissue were also observed for both AA (p &lt; 0.01) and NAA (p = 0.01), Moreover, in the total asthmatic group (AA + NAA) there was a significant inverse correlation between the expression of eotaxin and that of the histamine PC20 (p &lt; 0.05), Sequential IHC/ISH showed that cytokeratin(+) epithelial cells, CD31(+) endothelial cells, and CD68(+) macrophages were the major sources of eotaxin, eotaxin-2, RANTES, MCP-3, and MCP-4. There was no significantly different distribution of cells expressing mRNA for these chemokines between atopic and nonatopic asthma, These findings suggest that multiple C-C chemokines, acting at least in part via CCR3, contribute to bronchial eosinophilia in both atopic and nonatopic asthma.</t>
  </si>
  <si>
    <t>IL-5 MESSENGER-RNA; TISSUE EOSINOPHILIA; MOLECULAR-CLONING; ENDOTHELIAL-CELLS; UP-REGULATION; T-CELLS; INFLAMMATION; CCR3; MECHANISM; ASSOCIATION</t>
  </si>
  <si>
    <t>Eosinophil chemotactic chemokines (eotaxin, eotaxin-2, RANTES, monocyte chemoattractant protein-3 (MCP-3), and MCP-4), and C-C chemokine receptor 3 expression in bronchial biopsies from atopic and nonatopic (intrinsic) asthmatics</t>
  </si>
  <si>
    <t>Ying, S; Meng, Q; Zeibecoglou, K; Robinson, DS; Macfarlane, A; Humbert, M; Kay, AB</t>
  </si>
  <si>
    <t>WOS:000084992100014</t>
  </si>
  <si>
    <t>278LW</t>
  </si>
  <si>
    <t>10.1016/S0091-6749(00)90184-2</t>
  </si>
  <si>
    <t>Univ London Imperial Coll Sci Technol &amp; Med, Natl Heart &amp; Lung Inst, Dovehouse St, London SW3 6LY, England.</t>
  </si>
  <si>
    <t>Imperial College London; University of Southampton; Assistance Publique Hopitaux Paris (APHP); Hopital Universitaire Antoine-Beclere - APHP; University of London; Queen Mary University London</t>
  </si>
  <si>
    <t>Univ London Imperial Coll Sci Technol &amp; Med, Natl Heart &amp; Lung Inst, London SW3 6LY, England; Southampton Gen Hosp, Immunopharmacol Grp, Southampton SO9 4XY, Hants, England; Hop Antoine Beclere, Serv Pneumol &amp; Reanimat Resp, Clamart, France; London Chest Hosp, London E2 9JX, England</t>
  </si>
  <si>
    <t>Background: Previous studies used indirect methods to identify basophils in the bronchi in asthma, and the numbers were not compared with eosinophils and mast cells. Furthermore, differences in basophil numbers between atopic and nonatopic asthma at baseline and between late-phase skin and asthmatic reactions have not been previously documented. Objective: The basophil granule-specific mAb BB1 was used to identify basophils in (1) bronchial biopsy specimens from atopic asthmatic subjects and nonatopic asthmatic subjects and control subjects, (2) biopsy specimens from atopic asthmatic subjects before and after inhalational allergen challenge, and (3) late-phase skin reactions. Basophil numbers were compared with EG2(+) eosinophils and tryptase(+) mast cells. Methods: Cells were enumerated in bronchial and skin biopsy specimens by means of immunohistochemistry with the alkaline phosphatase-antialkaline phosphatase method. Results: There were elevated numbers of basophils in baseline biopsy specimens in atopic asthmatic subjects compared with atopic control subjects or normal control subjects, although eosinophils and mast cells were 10-fold higher. There was an intermediate number of basophils in nonatopic asthmatic subjects. Basophils increased after allergen inhalation, but again basophils were less than 10% of eosinophils. In contrast, basophils in cutaneous late-phase reactions were approximately 40% of infiltrating eosinophils. The peak of basophil accumulation was at 24 hours, whereas maximal eosinophil infiltration occurred at 6 hours. One third of cutaneous basophils had morphologic appearances suggestive of degranulation. Conclusion: Numerous basophils infiltrated cutaneous late-phase reactions in atopic subjects. However, this cell was not prominent in bronchial biopsy specimens of asthmatic subjects, either at baseline or after allergen challenge.</t>
  </si>
  <si>
    <t>MAJOR BASIC-PROTEIN; PERIPHERAL-BLOOD BASOPHILS; IL-4 MESSENGER-RNA; ANTIGEN CHALLENGE; BRONCHIAL BIOPSIES; MEDIATOR RELEASE; EXPRESSION; IDENTIFICATION; INTERLEUKIN-4; IMMEDIATE</t>
  </si>
  <si>
    <t>basophil; eosinophil; mast cell; skin; bronchial provocation</t>
  </si>
  <si>
    <t>Basophils, eosinophils, and mast cells in atopic and nonatopic asthma and in late-phase allergic reactions in the lung and skin</t>
  </si>
  <si>
    <t>Macfarlane, AJ; Kon, OM; Smith, SJ; Zeibecoglou, K; Khan, LN; Barata, LT; McEuen, AR; Buckley, MG; Walls, AF; Meng, Q; Humbert, M; Barnes, NC; Robinson, DS; Ying, S; Kay, AB</t>
  </si>
  <si>
    <t>WOS:000084820200036</t>
  </si>
  <si>
    <t>275KW</t>
  </si>
  <si>
    <t>10.1164/ajrccm.161.1.9807024</t>
  </si>
  <si>
    <t>Hop Antoine Beclere, Serv Pneumol &amp; Reanimat Resp, UPRES EA 2705 Maladies Vasc Pulm, 157 Rue Porte Trivaux, F-92140 Clamart, France.</t>
  </si>
  <si>
    <t>Hop Antoine Beclere, Serv Pneumol &amp; Reanimat Resp, UPRES EA 2705 Maladies Vasc Pulm, F-92140 Clamart, France; Hop Antoine Beclere, Serv Anat Patol, UPRES EA 2705 Maladies Vasc Pulm, Assistance Publ Hopitaux Paris, F-92140 Clamart, France; Hop Antoine Beclere, Serv Radiol, UPRES EA 2705 Maladies Vasc Pulm, Assistance Publ Hopitaux Paris, F-92140 Clamart, France</t>
  </si>
  <si>
    <t>Diminished exercise capacity in advanced pulmonary histiocytosis X does not appear to be related to ventilatory limitation but may be related to pulmonary vascular dysfunction. Pulmonary hemodynamics and respiratory function were studied in 21 consecutive patients with advanced pulmonary histiocytosis X, and compared with parameters of patients with other severe chronic lung diseases (29 patients with chronic obstructive pulmonary disease and 14 patients with idiopathic pulmonary fibrosis). All patients with pulmonary histiocytosis X displayed severe pulmonary hypertension: mean pulmonary arterial pressure, 59 +/- 4 mm Hg; cardiac index, 2.6 +/- 0.8 L/min/m(2); and total vascular pulmonary resistance, 25 +/- 3 IU/m(2) (p &lt; 0.05, as compared with patients with other chronic lung diseases). Pa-O2 was similar in the three groups, whereas FEV1 was lower in patients with other chronic lung diseases (p &lt; 0.05). In contrast to other chronic lung diseases, the degree of pulmonary hypertension was not related to variables of pulmonary function in pulmonary histiocytosis X. Histopathology was available for 12 patients with pulmonary histiocytosis X and revealed proliferative vasculopathy involving muscular arteries and veins, with prominent venular involvement. Two consecutive lung samples (taken before and after the occurrence of pulmonary hypertension) were available for six patients with pulmonary histiocytosis X, and showed that pulmonary vasculopathy worsened, whereas parenchymal and bronchiolar lesions remained relatively unchanged. These results indicate that pulmonary hypertension in pulmonary histiocytosis X might be related to an intrinsic pulmonary vascular disease, in which the pulmonary circulation is involved independent of small airway and lung parenchyma injury.</t>
  </si>
  <si>
    <t>INTERSTITIAL LUNG-DISEASE; INHALED NITRIC-OXIDE; HIGH-RESOLUTION CT; EOSINOPHILIC GRANULOMA; COR-PULMONALE; PROSTACYCLIN; PATHOPHYSIOLOGY; INTERLEUKIN-1; FIBROSIS; LESIONS</t>
  </si>
  <si>
    <t>Severe pulmonary hypertension in histiocytosis X</t>
  </si>
  <si>
    <t>Fartoukh, M; Humbert, M; Capron, F; Maître, S; Parent, F; Le Gall, C; Sitbon, O; Hervé, P; Duroux, P; Simonneau, G</t>
  </si>
  <si>
    <t>WOS:000086111900012</t>
  </si>
  <si>
    <t>297YX</t>
  </si>
  <si>
    <t>1BIS</t>
  </si>
  <si>
    <t>Hop Antoine Beclere, Inst Paris Sud Cytokines, Serv Pneumol &amp; Reanimat Resp Antenne Immunopathol, Clamart, France.</t>
  </si>
  <si>
    <t>Hop Antoine Beclere, Inst Paris Sud Cytokines, Serv Pneumol &amp; Reanimat Resp Antenne Immunopathol, Clamart, France</t>
  </si>
  <si>
    <t>Many asthmatics are not atopic. As compared to atopic (&lt;&lt; extrinsic &gt;&gt;) asthma, nonatopic (&lt;&lt; intrinsic &gt;&gt;) asthma occurs later in life, mostly in females, and nasal polyposis, aspirin sensitivity and corticodependence are common. In this patient population, there is no history of allergy, skin prick testing is negative for all aeroallergens rested and total as well as specific immunoglobulin E serum levels are within the normal range. Ten to forty percent of asthmatics are &lt;&lt; intrinsic &gt;&gt;. It is important to define whether an asthmatic patient is atopic or not in order to recommend allergen avoidance in atopics. In the absence of allergy, it will be important to avoid bronchial irritants such tobacco, and in some patients aspirin and non steroidal anti-inflammatory agents. We will review recent findings obtained in a well defined population of atopic and nonatopic asthmatics. Analysis of bronchial mucosal expression of &lt;&gt; and a pro-atopic markers [IL-3, -4, -5, -13, GM-CSF, RANTES, MCP-3, IgE and high affinity IgE receptor (Fc epsilon RI)] demonstrates that there were more similarities than differences in immunopathology between atopic and nonatopic asthma.</t>
  </si>
  <si>
    <t>IL-5 MESSENGER-RNA; AFFINITY IGE RECEPTOR; ATOPIC ASTHMA; BRONCHIAL-MUCOSA; NONATOPIC ASTHMA; T-CELL; AIRWAY HYPERRESPONSIVENESS; HUMAN INTERLEUKIN-5; GENE TRANSCRIPTS; ALPHA-SUBUNIT</t>
  </si>
  <si>
    <t>allergy; asthma; chemokines; cytokines; immunoglobulin E</t>
  </si>
  <si>
    <t>Is there such a thing as intrinsic asthma?</t>
  </si>
  <si>
    <t>WOS:000086111900006</t>
  </si>
  <si>
    <t>CHU, INSERM, E9937, Serv Malad Resp, Bordeaux, France.</t>
  </si>
  <si>
    <t>Institut National de la Sante et de la Recherche Medicale (Inserm); CHU Bordeaux; Universite de Bordeaux</t>
  </si>
  <si>
    <t>CHU, INSERM, E9937, Serv Malad Resp, Bordeaux, France</t>
  </si>
  <si>
    <t>Over the last three decades, a good deal of work has focused on the IgE response due to the implication of these antibodies in allergic diseases. IgE antibodies, mediators of immediate hypersensitivity reactions, bind to specific high or low affinity receptors which are distributed on cell surfaces throughout the organism. Activation of receptors contributes to the different aspects of allergic inflammation. Regulation of the IgE response is complex and involves different factors modulating isotope synthesis, low-affinity receptor FcERII:CD23 and its soluble portion, and the Th1/Th2 balance. Allergic diseases are characterized by a dysregulated IgE response, probably related to an imbalance favoring: Th2 leading to exaggerated reaction. The advent of anti-IgE treatments can be seen as a notable progress in the management of atopic diseases. Their contribution will depend on the exact role of the IgE response in inflammatory allergic reactions.</t>
  </si>
  <si>
    <t>FC-EPSILON-RI; HIGH-AFFINITY RECEPTOR; EPIDERMAL LANGERHANS CELLS; HUMAN IMMUNOGLOBULIN-E; T-CELLS; DEFICIENT MICE; IFN-GAMMA; B-CELLS; TYROSINE PHOSPHORYLATION; ALLERGEN PRESENTATION</t>
  </si>
  <si>
    <t>IgE; atopy; allergy; Th2; immunol; asthma</t>
  </si>
  <si>
    <t>IgE response</t>
  </si>
  <si>
    <t>de Lara, JMT; Magnan, A; Humbert, M</t>
  </si>
  <si>
    <t>WOS:000087221900029</t>
  </si>
  <si>
    <t>317JH</t>
  </si>
  <si>
    <t>10.1034/j.1399-3003.2000.15e29.x</t>
  </si>
  <si>
    <t>Humbert, Marc/0000-0003-0703-2892; Nunes, Hilario/0000-0003-2896-7347</t>
  </si>
  <si>
    <t>Simonneau, Gerald/ABE-6614-2020; Nunes, Hilario/AAM-8127-2020; Humbert, Marc/AAC-8459-2019</t>
  </si>
  <si>
    <t>Assistance Publique Hopitaux Paris (APHP); Hopital Universitaire Antoine-Beclere - APHP; Assistance Publique Hopitaux Paris (APHP); Universite Paris Cite; Hopital Universitaire Saint-Louis - APHP</t>
  </si>
  <si>
    <t>Hop Antoine Beclere, Serv Pneumol &amp; Reanimat Resp, F-92140 Clamart, France; Ctr Hosp Dreux, Serv Pneumol, Dreux, France; Hop St Louis, Serv Immunohematol, Paris, France</t>
  </si>
  <si>
    <t>Churg-Strauss syndrome is an eosinophil-associated, small vessel granulomatous vasculitis, characterized by late onset asthma, upper airways disease, eosinophilia, and clinical manifestations of systemic vasculitis, Several cases of Churg-Strauss syndrome have been recognized in patients heated with cysteinyl leukotriene-receptor antagonists and weaned off systemic corticosteroids. These cases have led to a general warning on the possible development of Churg-Strauss syndrome after taking cysteinyl leukotriene-receptor antagonists. The authors report five cases of Churg-Strauss syndrome in severe steroid dependent asthmatics in whom inhaled corticosteroids allowed systemic corticosteroid withdrawal. It is concluded that physicians should monitor patients carefully when severe asthma is controlled with any substance allowing withdrawal from (or even avoidance) of systemic corticosteroids. Case-control studies should identify more precisely the risk factors of Churg-Strauss syndrome.</t>
  </si>
  <si>
    <t>ZAFIRLUKAST; ASTHMA; EOSINOPHILIA; ANTAGONISTS; STEROIDS</t>
  </si>
  <si>
    <t>asthma; Churg-Strauss syndrome; corticosteroids; inhaled corticosteroids</t>
  </si>
  <si>
    <t>Inhaled corticosteroids and Churg-Strauss syndrome: a report of five cases</t>
  </si>
  <si>
    <t>Le Gall, C; Pham, S; Vignes, S; Garcia, G; Nunes, H; Fichet, D; Simonneau, G; Duroux, P; Humbert, M</t>
  </si>
  <si>
    <t>WOS:000089892400676</t>
  </si>
  <si>
    <t>364KW</t>
  </si>
  <si>
    <t>171P</t>
  </si>
  <si>
    <t>Hop Antoine Beclere, UPRES 2705, Clamart, France; Univ Paris Sud, Clamart, France</t>
  </si>
  <si>
    <t>Comparative impact of primary pulmonary hypertension (PPH) and chronic post-embolic embolic pulmonary hypertension (CPE-PH) on right ventricular (RV) function.</t>
  </si>
  <si>
    <t>UPRES 2705</t>
  </si>
  <si>
    <t>Daou, D; Fourme, T; Sitbon, O; Benada, A; Parent, F; Humbert, M; Helal, BO; Slama, M; Simonneau, G</t>
  </si>
  <si>
    <t>WOS:000089892400662</t>
  </si>
  <si>
    <t>167P</t>
  </si>
  <si>
    <t>Sitbon, Olivier/I-3623-2019; Simonneau, Gerald/ABE-6614-2020; Humbert, Marc/AAC-8459-2019; Faraggi, marc/GMX-0585-2022</t>
  </si>
  <si>
    <t>Chronic post-embolic pulmonary hypertension (CPE-PH) and left ventricular ejection fraction (LVEF): A model for predicting its normal limits.</t>
  </si>
  <si>
    <t>Daou, D; Fourme, T; Sitbon, O; Benada, A; Pointurier, I; Parent, F; Humbert, M; Helal, BO; Prigent, A; Slama, M; Simonneau, G</t>
  </si>
  <si>
    <t>WOS:000089892400017</t>
  </si>
  <si>
    <t>5P</t>
  </si>
  <si>
    <t>Humbert, Marc/AAC-8459-2019; Simonneau, Gerald/ABE-6614-2020; Sitbon, Olivier/I-3623-2019</t>
  </si>
  <si>
    <t>ECG-gated SPECT radionuclide angiography (RNA) in the evaluation of the severity and the follow-up of chronic post-embolic pulmonary hypertension (CPE-PH).</t>
  </si>
  <si>
    <t>Daou, D; Fourme, T; Sitbon, O; Pointurier, I; Carel, I; Parent, F; Humbert, M; Helal, BO; Prigent, A; Slama, M; Simonneau, G</t>
  </si>
  <si>
    <t>WOS:000087479400010</t>
  </si>
  <si>
    <t>321XF</t>
  </si>
  <si>
    <t>Scand. J. Immunol.</t>
  </si>
  <si>
    <t>SCAND J IMMUNOL</t>
  </si>
  <si>
    <t>1365-3083</t>
  </si>
  <si>
    <t>0300-9475</t>
  </si>
  <si>
    <t>CUNY Mt Sinai Sch Med, Dept Microbiol, 1 Gustave L Levy Pl, New York, NY 10029 USA.</t>
  </si>
  <si>
    <t>City University of New York (CUNY) System; Icahn School of Medicine at Mount Sinai; Columbia University; Cornell University; Assistance Publique Hopitaux Paris (APHP); Hopital Universitaire Antoine-Beclere - APHP; Columbia University</t>
  </si>
  <si>
    <t>CUNY Mt Sinai Sch Med, Dept Microbiol, New York, NY 10029 USA; Columbia Univ, Coll Phys &amp; Surg, Dept Med, Div Rheumatol, New York, NY 10027 USA; Cornell Univ, Coll Med, Ithaca, NY 14853 USA; Hop Antoine Beclere, Serv Pneumol, Clamart, France; Columbia Univ, Coll Phys &amp; Surg, Dept Pediat &amp; Med, New York, NY 10027 USA</t>
  </si>
  <si>
    <t>Autoantibodies to fibrillin-1 (Fbn-1) have been found in systemic sclerosis (SSc), calcinosis, Raynaud's esophagael dysmotility, sclerodectyly, and telaengectasia (CREST) and mixed connective tissue disease (MCTD) diseases. The purpose of this study was to determine whether patients with primary pulmonary hypertension (PPH) and appetite-suppressant-associated PPH have anti-Fbn-1 autoantibodies. In addition we assessed the human leucocyte antigen (HLA) class II alleles (DRB1, 3, 4, 5 and DQB1) in these patients in order to determine whether the response is genetically restricted. The frequency of anti-Fbn-1 autoantibodies in patient groups was compared with that of a control group of 88 healthy patients, and HLA was correlated similarly with a group of 51 healthy subjects. Anti-Fbn-1 autoantibodies were found at high frequency in PPH: in 70 of 75 adults with PPH (93%), in 28 of 33 children with PPH (84.8) and in 12 of 18 (67%) patients with appetite-suppressant-associated PPH. Utilization of two Fbn-1 fusion proteins allowed us to determine the dominant determinant region, recognized by anti-Fbn-1 autoantibodies, which may be located on the N-terminal fragment of the Fbn-1 protein. No significant immunogenetic correlations were found when the PPH patient groups were compared with normal controls. This novel category of autoantibodies is found in diseases characterized by endothelial and extracellular matrix protein alterations and fibrosis.</t>
  </si>
  <si>
    <t>PLASMINOGEN-ACTIVATOR; ANTIBODIES; MOUSE</t>
  </si>
  <si>
    <t>SCANDINAVIAN JOURNAL OF IMMUNOLOGY</t>
  </si>
  <si>
    <t>Fine specificity of anti-fibrillin-1 autoantibodies in primary pulmonary hypertension syndrome</t>
  </si>
  <si>
    <t>Morse, JH; Antohi, S; Kasturi, K; Saito, S; Fotino, M; Humbert, M; Simonneau, G; Basst, RJ; Bona, CA</t>
  </si>
  <si>
    <t>WOS:000089877300002</t>
  </si>
  <si>
    <t>364DT</t>
  </si>
  <si>
    <t>10.1136/jmg.37.10.741</t>
  </si>
  <si>
    <t>J. Med. Genet.</t>
  </si>
  <si>
    <t>J MED GENET</t>
  </si>
  <si>
    <t>0022-2593</t>
  </si>
  <si>
    <t>NHLBI NIH HHS [HL48164, HL61997] Funding Source: Medline</t>
  </si>
  <si>
    <t>Loyd, James/0000-0002-5042-7390; Machado, Rajiv David/0000-0001-9247-0744; Humbert, Marc/0000-0003-0703-2892; Trembath, Richard/0000-0003-0550-3400; Morgan, Neil/0000-0001-6433-5692</t>
  </si>
  <si>
    <t>Machado, Rajiv David/AAD-7813-2019; Humbert, Marc/AAC-8459-2019; Morgan, Neil/A-5475-2009</t>
  </si>
  <si>
    <t>Trembath, RC (corresponding author), Univ Leicester, Dept Med, Div Med Genet, Leicester LE1 7RH, Leics, England.</t>
  </si>
  <si>
    <t>University of Leicester; University of Leicester; Cincinnati Children's Hospital Medical Center; Assistance Publique Hopitaux Paris (APHP); Hopital Universitaire Antoine-Beclere - APHP; Utah System of Higher Education; University of Utah; Utah System of Higher Education; University of Utah; Royal Brompton Hospital; Imperial College London; Royal Brompton &amp; Harefield NHS Foundation Trust; Harefield Hospital; Vanderbilt University; University of Sheffield; Imperial College London; Wythenshawe Hospital NHS Foundation Trust; Wythenshawe Hospital; University of Edinburgh; Newcastle Freeman Hospital</t>
  </si>
  <si>
    <t>Univ Leicester, Dept Med, Div Med Genet, Leicester LE1 7RH, Leics, England; Univ Leicester, Dept Genet, Leicester LE1 7RH, Leics, England; Childrens Hosp, Med Ctr, Div Human Genet, Cincinnati, OH 45229 USA; Hop Antoine Beclere, Serv Pneumol &amp; Reanimat Resp, Clamart, France; Latter Day St Hosp, Salt Lake City, UT 84143 USA; Univ Utah, Eccles Inst Human Genet, Salt Lake City, UT 84143 USA; Univ Utah, Dept Human Genet, Salt Lake City, UT 84143 USA; Royal Brompton Hosp, Natl Heart &amp; Lung Inst, Harefield, Middx, England; Royal Harefield Hosp, Harefield, Middx, England; Vanderbilt Univ, Med Ctr, Nashville, TN 37232 USA; Royal Hallamshire Hosp, Dept Resp Med, Sheffield S10 2JF, S Yorkshire, England; Charing Cross Hosp, Dept Cardiol, Imperial Coll Sci Technol &amp; Med, Natl Heart &amp; Lung Inst, London, England; Wythenshawe Hosp, Dept Resp Med, Manchester M23 9LT, Lancs, England; Western Gen Hosp, Scottish Pulm Vasc Unit, Glasgow, Lanark, Scotland; Royal Freeman Hosp, William Leech Ctr Lung Res, Newcastle Upon Tyne, Tyne &amp; Wear, England</t>
  </si>
  <si>
    <t>Background-Primary pulmonary hypertension (PPH), resulting from occlusion of small pulmonary arteries, is a devastating condition. Mutations of the bone morphogenetic protein receptor type II gene (BMPR2), a component of the transforming growth factor beta (TGF-beta) family which plays a key role in cell growth, have recently been identified as causing familial PPH. We have searched for BMPR2 gene mutations in sporadic PPH patients to determine whether the same genetic defect underlies the more common form of the disorder. Methods-We investigated 50 unrelated patients, with a clinical diagnosis of PPH and no identifiable family history of pulmonary hypertension, by direct sequencing of the entire coding region and intron/exon boundaries of the BMPR2 gene. DNA from available parent pairs (n=5) was used to assess the occurrence of spontaneous (de novo) mutations contributing to sporadic PPH. Results-We found a total of 11 different heterozygous germline mutations of the BMPR2 gene in 13 of the 50 PPH patients studied, including missense (n=3), nonsense (n=3), and frameshift (n=5) mutations each predicted to alter the cell signalling response to specific ligands. Parental analysis showed three occurrences of paternal transmission and two of de novo mutation of the BMPR2 gene in sporadic PPH. Conclusion-The sporadic form of PPH is associated with germline mutations of the gene encoding the receptor protein BMPR-II in at least 26% of cases. A molecular classification of PPH, based upon the presence or absence of BMPR2 mutations, has important implications for patient management and screening of relatives.</t>
  </si>
  <si>
    <t>primary pulmonary hypertension; BMFR2; BMPR-II; TGF-beta</t>
  </si>
  <si>
    <t>JOURNAL OF MEDICAL GENETICS</t>
  </si>
  <si>
    <t>Sporadic primary pulmonary hypertension is associated with germline mutations of the gene encoding BMPR-II, a receptor member of the TGF-β family</t>
  </si>
  <si>
    <t>Thomson, JR; Machado, RD; Pauciulo, MW; Morgan, NV; Humbert, M; Elliott, GC; Ward, K; Yacoub, M; Mikhail, G; Rogers, P; Newman, J; Wheeler, L; Higenbottam, T; Gibbs, JSR; Egan, J; Crozier, A; Peacock, A; Allcock, R; Corris, P; Loyd, JE; Trembath, RC; Nichols, WC</t>
  </si>
  <si>
    <t>WOS:000090110400010</t>
  </si>
  <si>
    <t>368GY</t>
  </si>
  <si>
    <t>10.1161/01.ATV.20.10.2233</t>
  </si>
  <si>
    <t>callebert, jacques/L-4569-2017; Simonneau, Gerald/ABE-6614-2020; Humbert, Marc/AAC-8459-2019</t>
  </si>
  <si>
    <t>drouet@ccr.jussieu.fr</t>
  </si>
  <si>
    <t>AP HP, Hop Lariboisiere, CR C Bernard Pathol Expt &amp; Commun Cellulaires, IVS &amp; IFR 6,Serv Angiohematol, 2 Rue Ambroise Pare, F-75010 Paris, France.</t>
  </si>
  <si>
    <t>Assistance Publique Hopitaux Paris (APHP); Universite Paris Cite; Hopital Universitaire Lariboisiere-Fernand-Widal - APHP; Universite Paris Saclay; Assistance Publique Hopitaux Paris (APHP); Hopital Universitaire Antoine-Beclere - APHP; Hopital Marie Lannelongue; Universite Paris Saclay</t>
  </si>
  <si>
    <t>AP HP, Hop Lariboisiere, CR C Bernard Pathol Expt &amp; Commun Cellulaires, IVS &amp; IFR 6,Serv Angiohematol, F-75010 Paris, France; Univ Paris 11, AP HP, Hop Antoine Beclere, UPRES Malad Vasc Pulm, Clamart, France; Univ Paris 11, Ctr Chirurg Marie Lannelongue, Le Plessis Robinson, France</t>
  </si>
  <si>
    <t>Elevated plasma serotonin is associated with primary pulmonary hypertension (PPH). To test whether this elevation could be related to platelet activation, the 2 pools of blood serotonin (platelets and plasma) and plasma 5-hydroxyindoleacetic acid (5-HIAA) as well as markers of platelet activation (alpha (IIb)beta (3), CD36, P-selectin, and CD63 membrane epitopes) were measured in 16 patients with severe PPH (group 1) before and at days 10 and 40 of treatment with a continuous infusion of epoprostenol (prostacyclin). The same biological parameters were also measured in 19 healthy subjects (group 2) and in 10 patients after cardiovascular surgery with extracorporeal circulation (group 3), a condition known to profoundly activate the platelets. Twelve PPH patients showed hemodynamic and clinical improvement, 3 remained stable, and 1 had the treatment stopped because of clinical aggravation. At day 0, mean plasma serotonin (5-hydroxytryptamine [5-HT]) concentration was much higher in PPH patients than in normal subjects (34.4+/-21.2 versus 9.1+/-6.0 nmol/L, respectively; P&lt;0.001) and positively correlated with total pulmonary resistance. The mean platelet 5-HT content was not significantly different in PPH compared with normal individuals. Mean plasma 5-HIAA concentrations were much higher in PPH than in normal patients (162+/-57 versus 61+/-7 nmol/L, respectively; P&lt;0.001). These parameters did not significantly change during epoprostenol treatment. There was no correlation between the changes in plasma 5-HT during treatment and clinical or hemodynamic improvement. In PPH patients, the mean platelet volume significantly decreased (ANOVA, P&lt;0.01) during treatment. Positive correlations were evidenced between the size of platelets and the number of (IIb)beta (3) and CD36 epitopes. When compared with control platelets, the number of alpha (IIb)beta (3) epitopes detected on PPH platelets at day 0 tended to be higher, but this difference did not reach a statistical significance (41 300+/-7140 for PPH patients versus 36 010+/-3930 for control subjects, P=0.069). The number of CD36 epitopes, in the range of controls at day 0 (11 590+/-5080 for PPH patients versus 11 900+/-1790 for control subjects), decreased during treatment (ANOVA, P=0.038) and became significantly low at day 40 (8660+/-3520, P&lt;0.001). The number of CD63 epitopes was not elevated, and P-selectin was never detected at any time point on PPH platelets. This glycoprotein profile indicates that the platelets of PPH patients were not highly activated but had an accelerated turnover and returned to normal under epoprostenol treatment without change of the elevated plasma serotonin, characteristic of PPH. In conclusion, neither platelet activation nor a significant alteration of the 5-HT endothelial metabolism explains the high level of plasma 5-HT in PPH patients. The 5-HT plasma concentration is not a predictive marker of the severity of PPH, and its evolution is independent of the clinical and hemodynamic status. Treatment by a potent antiaggregating agent, epoprostenol, does not affect the increase of plasma 5-HT, despite a therapeutic benefit.</t>
  </si>
  <si>
    <t>PLATELET ACTIVATION; 5-HYDROXYTRYPTAMINE; ENDOTHELIN-1; FENFLURAMINE; TRANSPORTER; EXPRESSION; ARTERIES; SURFACE; PROTEIN; LUNGS</t>
  </si>
  <si>
    <t>primary pulmonary hypertension; serotonin; platelet activation; prostacyclin; epoprostenol</t>
  </si>
  <si>
    <t>High plasma serotonin levels in primary pulmonary hypertension -: effect of long-term epoprostenol (prostacyclin) therapy</t>
  </si>
  <si>
    <t>Kéreveur, A; Callebert, J; Humbert, M; Hervé, P; Simonneau, G; Launay, JM; Drouet, L</t>
  </si>
  <si>
    <t>WOS:000089905900051</t>
  </si>
  <si>
    <t>364RD</t>
  </si>
  <si>
    <t>10.1164/ajrccm.162.4.2003124</t>
  </si>
  <si>
    <t>1740 BROADWAY, NEW YORK, NY 10019-4374 USA</t>
  </si>
  <si>
    <t>Humbert, Marc/0000-0003-0703-2892; TEIGER, emmanuel/0000-0001-7515-4344; SITBON, Olivier/0000-0002-1942-1951; chouaid, christos/0000-0002-4290-5524; Maitre, Bernard/0000-0002-8061-1252</t>
  </si>
  <si>
    <t>Sitbon, Olivier/I-3623-2019; Humbert, Marc/AAC-8459-2019; chouaid, christos/R-4477-2018</t>
  </si>
  <si>
    <t>Adnot, S (corresponding author), Hop Henri Mondor, Serv Physiol, Dept Physiol, AP HP, F-94010 Creteil, France.</t>
  </si>
  <si>
    <t>Assistance Publique Hopitaux Paris (APHP); Universite Paris-Est-Creteil-Val-de-Marne (UPEC); Hopital Universitaire Henri-Mondor - APHP; Universite Paris-Est-Creteil-Val-de-Marne (UPEC); Institut National de la Sante et de la Recherche Medicale (Inserm); Assistance Publique Hopitaux Paris (APHP); Hopital Universitaire Henri-Mondor - APHP; Assistance Publique Hopitaux Paris (APHP); Hopital Universitaire Antoine-Beclere - APHP; Universite Paris-Est-Creteil-Val-de-Marne (UPEC); CHI Creteil</t>
  </si>
  <si>
    <t>Hop Henri Mondor, Serv Physiol, Dept Physiol, AP HP, F-94010 Creteil, France; Hop Henri Mondor, INSERM, U492, AP HP, F-94010 Creteil, France; Hop Antoine Beclere, Serv Pneumol, AP HP, Clamart, France; Hop Intercommunal, Serv Pneumol, Creteil, France</t>
  </si>
  <si>
    <t>Focal vascular injury and impaired endothelial function are features of pulmonary hypertension (PH) that lead to enhanced platelet endothelial cell interactions. Vascular endothelial growth factor (VEGF) is contained in platelets and released at sites of vascular injury to promote endothelial repair and wound healing in combination with platelet-derived nonspecific mitogens such as platelet-derived growth factor (PDGF). The overall balance between platelet VEGF and PDGF was investigated in 21 patients with primary PH, 8 with secondary PH, and 27 with chronic hypoxemic lung disease (CHLD), as well as in 29 control subjects. Platelet VEGF content was increased in patients with primary and secondary PH as compared with control subjects (518 +/- 89, 675 +/- 156, and 166 +/- 29 fg/10(5) platelets, respectively; p &lt; 0.01), whereas platelet PDGF content was similar in the three groups (31 +/- 2, 36 +/- 4, and 33 +/- 3 pg/10(5) platelets, respectively; NS). Patients treated with a continuous prostacyclin infusion had a higher platelet VEGF but a similar platelet PDGF content as compared with untreated patients. Moderate increases in platelet VEGF and PDGF contents were observed in the CHLD patients. We conclude that patients with primary or secondary PH have an increase in platelet VEGF content, but not in platelet PDGF content, and that their platelet VEGF content increases further in response to prostacyclin infusion. We suggest that imbalance between platelet VEGF and PDGF is beneficial to patients with PH.</t>
  </si>
  <si>
    <t>BLOOD-PLATELETS; LUNG-DISEASE; EXPRESSION; RELEASE; VEGF; CELLS; GENE; CAMP</t>
  </si>
  <si>
    <t>Imbalance between platelet vascular endothelial growth factor and platelet-derived growth factor in pulmonary hypertension -: Effect of prostacyclin therapy</t>
  </si>
  <si>
    <t>Eddahibi, S; Humbert, M; Sediame, S; Chouaid, C; Partovian, C; Maître, B; Teiger, E; Rideau, D; Simonneau, C; Sitbon, O; Adnot, S</t>
  </si>
  <si>
    <t>WOS:000165296100011</t>
  </si>
  <si>
    <t>373NT</t>
  </si>
  <si>
    <t>10.1161/01.CIR.102.20.2460</t>
  </si>
  <si>
    <t>Meyer, D (corresponding author), Hop Antoine Beclere, Serv Hematol Biol, 157 Rue Porte de Trivaux, F-92141 Clamart, France.</t>
  </si>
  <si>
    <t>Assistance Publique Hopitaux Paris (APHP); Hopital Universitaire Antoine-Beclere - APHP; Assistance Publique Hopitaux Paris (APHP); Hopital Universitaire Antoine-Beclere - APHP; Institut National de la Sante et de la Recherche Medicale (Inserm)</t>
  </si>
  <si>
    <t>Hop Antoine Beclere, Serv Hematol Biol, F-92141 Clamart, France; Hop Antoine Beclere, Serv Pneumol, UPRES EA 2705, F-92141 Clamart, France; INSERM, U143, F-94275 Le Kremlin Bicetre, France</t>
  </si>
  <si>
    <t>Background-The presence of dysfunctional von Willebrand factor (vWF) in pulmonary arterial hypertension (PAH) was suggested to be related to increased proteolysis. Methods and Results-In 10 patients with severe PAH, we studied the proteolysis of plasma vWF (VWF levels, multimeric distribution, proteolytic pattern, and cleaving protease activity) and hemodynamic variables (mean pulmonary artery pressure, cardiac index, and total pulmonary vascular resistance) at baseline and 30 days after initiation of continuous prostacyclin infusion. At baseline, VWF levels were significantly increased, VWF proteolysis was excessive, and vWF-cleaving protease activity remained normal. These biological abnormalities were reversible and paralleled the improvement of hemodynamics under vasodilator treatment with prostacyclin. Conclusions-The excessive proteolysis of vWF in PAH is likely to be related to an increased susceptibility of VWF to proteases induced by high shear rates rather than to an enhanced release of enzymes.</t>
  </si>
  <si>
    <t>FACTOR-CLEAVING PROTEASE; THROMBOTIC THROMBOCYTOPENIC PURPURA; PLASMA; ANTIBODIES</t>
  </si>
  <si>
    <t>hypertension, pulmonary; von Willebrand factor; proteins; prostaglandins</t>
  </si>
  <si>
    <t>Improvement of von Willebrand factor proteolysis after prostacyclin infusion in severe pulmonary arterial hypertension</t>
  </si>
  <si>
    <t>Veyradier, A; Nishikubo, T; Humbert, M; Wolf, M; Sitbon, O; Simonneau, G; Girma, JP; Meyer, D</t>
  </si>
  <si>
    <t>WOS:000166399900008</t>
  </si>
  <si>
    <t>392FG</t>
  </si>
  <si>
    <t>10.1086/316947</t>
  </si>
  <si>
    <t>Am. J. Hum. Genet.</t>
  </si>
  <si>
    <t>AM J HUM GENET</t>
  </si>
  <si>
    <t>0002-9297</t>
  </si>
  <si>
    <t>1427 E 60TH ST, CHICAGO, IL 60637-2954 USA</t>
  </si>
  <si>
    <t>UNIV CHICAGO PRESS</t>
  </si>
  <si>
    <t>NHLBI NIH HHS [HL48164, HL61997, R01 HL061997] Funding Source: Medline</t>
  </si>
  <si>
    <t>Morgan, Neil/0000-0001-6433-5692; Humbert, Marc/0000-0003-0703-2892; Galie, Nazzareno/0000-0003-4271-8670; Machado, Rajiv David/0000-0001-9247-0744; Trembath, Richard/0000-0003-0550-3400</t>
  </si>
  <si>
    <t>Machado, Rajiv David/AAD-7813-2019; Phillips, John/KXQ-6061-2024; Morgan, Neil/A-5475-2009; Humbert, Marc/AAC-8459-2019; Galie, Nazzareno/F-7004-2014</t>
  </si>
  <si>
    <t>Trembath, RC (corresponding author), Univ Leicester, Div Med Genet, Dept Med, Adrian Bldg, Leicester LE1 7RH, Leics, England.</t>
  </si>
  <si>
    <t>University of Leicester; University of Leicester; Cincinnati Children's Hospital Medical Center; Vanderbilt University; University of Bologna; Papworth Hospital; Imperial College London; Royal Brompton Hospital; Imperial College London; Royal Brompton &amp; Harefield NHS Foundation Trust; Harefield Hospital; Newcastle Freeman Hospital; Assistance Publique Hopitaux Paris (APHP); Hopital Universitaire Antoine-Beclere - APHP; University of Manchester; Sahlgrenska University Hospital; UiT The Arctic University of Tromso; University Hospital of North Norway; UNIVERSITY TROMSO HOSPITAL</t>
  </si>
  <si>
    <t>Univ Leicester, Div Med Genet, Dept Med, Leicester LE1 7RH, Leics, England; Univ Leicester, Dept Genet, Leicester LE1 7RH, Leics, England; Childrens Hosp, Med Ctr, Div Human Genet, Cincinnati, OH 45229 USA; Vanderbilt Univ, Ctr Med, Nashville, TN 37232 USA; Univ Bologna, Ist Cardiol, Bologna, Italy; Papworth Hosp, Pulm Vasc Dis Unit, Cambridge CB3 8RE, England; Royal Brompton Hosp, Natl Heart &amp; Lung Inst, Harefield, Middx, England; Harefield Hosp, Natl Heart &amp; Lung Inst, Harefield UB9 6JH, Middx, England; Royal Freeman Hosp, William Leech Ctr Lung Res, Newcastle Upon Tyne, Tyne &amp; Wear, England; Hop Antoine Beclere, Serv Pneumol &amp; Reanimat Resp, Clamart, France; St Marys Hosp, Reg Genet Serv, Manchester M13 0JH, Lancs, England; Sahlgrens Univ Hosp, Div Heart &amp; Lung Transplant, S-41345 Gothenburg, Sweden; Univ Tromso Hosp, Dept Med Genet, N-9012 Tromso, Norway</t>
  </si>
  <si>
    <t>Primary pulmonary hypertension (PPH) is a potentially lethal disorder, because the elevation of the pulmonary arterial pressure may result in right-heart failure. Histologically, the disorder is characterized by proliferation of pulmonary-artery smooth muscle and endothelial cells, by intimal hyperplasia, and by in situ thrombus formation. Heterozygous mutations within the bone morphogenetic protein type II receptor (BMPR-II) gene (BMPR2), of the transforming growth factor beta (TGF-beta) cell-signaling superfamily, have been identified in familial and sporadic cases of PPH. We report the molecular spectrum of BMPR2 mutations in 47 additional families with PPH and in three patients with sporadic PPH. Among the cohort of patients, we have identified 22 novel mutations, including 4 partial deletions, distributed throughout the BMPR2 gene. The majority (58%) of mutations are predicted to lead to a premature termination codon. We have also investigated the functional impact and genotype-phenotype relationships, to elucidate the mechanisms contributing to pathogenesis of this important vascular disease. In vitro expression analysis demonstrated loss of BMPR-II function for a number of the identified mutations. These data support the suggestion that haploinsufficiency represents the common molecular mechanism in PPH. Marked variability of the age at onset of disease was observed both within and between families. Taken together, these studies illustrate the considerable heterogeneity of BMPR2 mutations that cause PPH, and they strongly suggest that additional factors, genetic and/or environmental, may be required for the development of the clinical phenotype.</t>
  </si>
  <si>
    <t>GENE; RECEPTOR; ACTIVIN; PROTEIN; CELLS; BETA</t>
  </si>
  <si>
    <t>AMERICAN JOURNAL OF HUMAN GENETICS</t>
  </si>
  <si>
    <t>BMPR2 haploinsufficiency as the inherited molecular mechanism for primary pulmonary hypertension</t>
  </si>
  <si>
    <t>Machado, RD; Pauciulo, MW; Thomson, JR; Lane, KB; Morgan, NV; Wheeler, L; Phillips, JA; Newman, J; Williams, D; Galiè, N; Manes, A; McNeil, K; Yacoub, M; Mikhail, G; Rogers, P; Corris, P; Humbert, M; Donnai, D; Martensson, G; Tranebjaerg, L; Loyd, JE; Trembath, RC; Nichols, WC</t>
  </si>
  <si>
    <t>WOS:000166668700010</t>
  </si>
  <si>
    <t>396ZR</t>
  </si>
  <si>
    <t>10.1016/S0335-7457(01)80021-6</t>
  </si>
  <si>
    <t>23 RUE LINOIS, 75724 PARIS CEDEX 15, FRANCE</t>
  </si>
  <si>
    <t>PARIS CEDEX 15</t>
  </si>
  <si>
    <t>EDITIONS SCIENTIFIQUES MEDICALES ELSEVIER</t>
  </si>
  <si>
    <t>Nunes, Hilario/AAM-8127-2020; Humbert, Marc/AAC-8459-2019</t>
  </si>
  <si>
    <t>IL-5 MESSENGER-RNA; BRONCHIAL BIOPSIES; NONATOPIC ASTHMA; GENE-EXPRESSION; ATOPIC ASTHMA; ALPHA-SUBUNIT; MAST-CELLS; ASSOCIATION; EOSINOPHILS; VARIANT</t>
  </si>
  <si>
    <t>PARIS, FRANCE</t>
  </si>
  <si>
    <t>JAN 10-12, 2001</t>
  </si>
  <si>
    <t>IXth Parisian Meeting of Allergy</t>
  </si>
  <si>
    <t>Interleukine 4 and its receptors in asthma: up-to-date informations</t>
  </si>
  <si>
    <t>Humbert, M; Garcia, G; Pham, S; Le Gall, C; Nunes, H; Rimaniol, AC</t>
  </si>
  <si>
    <t>WOS:000168190100022</t>
  </si>
  <si>
    <t>423RG</t>
  </si>
  <si>
    <t>10.1067/mai.2001.114339</t>
  </si>
  <si>
    <t>MOSBY, INC</t>
  </si>
  <si>
    <t>Humbert, Marc/0000-0003-0703-2892; Gould, Hannah/0000-0003-0411-688X</t>
  </si>
  <si>
    <t>Durham, SR (corresponding author), Univ London Imperial Coll Sci Technol &amp; Med, Sch Med, Natl Heart &amp; Lung Inst, Dovehouse St, London SW3 6LY, England.</t>
  </si>
  <si>
    <t>Imperial College London; University of London; King's College London; University of London; King's College London</t>
  </si>
  <si>
    <t>Univ London Imperial Coll Sci Technol &amp; Med, Sch Med, Natl Heart &amp; Lung Inst, London SW3 6LY, England; Kings Coll London, Randall Inst, London WC2R 2LS, England; Hochgebirgsklin, Davos Wolgang, Switzerland; Kings Coll London, Randall Inst, London WC2R 2LS, England</t>
  </si>
  <si>
    <t>Background: The demonstration of epsilon germline gene (C epsilon) transcripts and mature mRNA for the epsilon heavy chain gene (I epsilon) in the nasal mucosa suggested that IgE synthesis may occur in allergic rhinitis. Objective: In view of our previous demonstration of increases in IL-4 mRNA(+) cells in asthmatic subjects, we assessed whether local IgE synthesis may also be a feature of bronchial asthma. Methods: Fiberoptic bronchoscopic mucosa biopsy specimens were obtained from 9 atopic asthmatic subjects and 10 nonatopic normal (intrinsic) control subjects. To control for atopy, we also studied 9 nonatopic asthmatic subjects and 10 atopic nonasthmatic control subjects. Tissue was processed for immunohistochemistry for B cells (CD20) and in situ hybridization for I epsilon and C epsilon RNA(+) cells and IL-4 mRNA(+) cells. Results: B-cell numbers in the bronchial mucosa were similar for asthmatic subjects compared with control subjects, whereas significantly higher numbers of I epsilon RNA(+) (P =.02 and P =.04, respectively), C epsilon RNA(+) (P =.01 and P =.03, respectively), and IL-4 mRNA(+) (P =.001 and P =.001, respectively) cells were observed in atopic asthmatic subjects and nonatopic asthmatic subjects, respectively, but not in atopic control subjects compared with nonatopic control subjects. In asthmatic subjects there H ere significant correlations between I epsilon RNA(+) tells (r = 0.53, P =.02) and CE RNA+ cells (r = 0.48, P = .05) when compared with the number of IL-4 mRNA(+) cells. Conclusion: Increases in I epsilon and C epsilon RNA(+) cells, but not B-cell numbers, in the bronchial mucosa provide evidence for local IgE synthesis in both atopic and nonatopic asthma. These changes appear to relate to asthma rather than atopy per se and, at least in part, may be under the regulation of IL-4.</t>
  </si>
  <si>
    <t>ALLERGEN-INDUCED RHINITIS; INFLAMMATORY CELL NUMBER; MESSENGER-RNA; MAST-CELLS; NASAL-MUCOSA; IN-VIVO; AIRWAY INFLAMMATION; INTRINSIC ASTHMA; LYMPHOCYTES-T; ATOPIC ASTHMA</t>
  </si>
  <si>
    <t>atopic asthma; nonatopic asthma; local IgE; IL-4</t>
  </si>
  <si>
    <t>Local expression of ε germline gene transcripts and RNA for the ε heavy chain of IgE in the bronchial mucose in atonic and nonatopic asthma</t>
  </si>
  <si>
    <t>Ying, S; Humbert, M; Meng, Q; Pfister, R; Menz, G; Gould, HJ; Kay, AB; Durham, SR</t>
  </si>
  <si>
    <t>WOS:000168821900514</t>
  </si>
  <si>
    <t>434NG</t>
  </si>
  <si>
    <t>137P</t>
  </si>
  <si>
    <t>Simonneau, Gerald/ABE-6614-2020; Faraggi, marc/GMX-0585-2022; Humbert, Marc/AAC-8459-2019; Sitbon, Olivier/I-3623-2019</t>
  </si>
  <si>
    <t>Hop Antoine Beclere, Clamart, France</t>
  </si>
  <si>
    <t>A simple method for right ventricular (RV) function measurement with egg-gated blood pool tomography: 4-cavity echocardiography-like method.</t>
  </si>
  <si>
    <t>Daou, D; Helal, BO; Fourme, T; Sitbon, O; Parent, F; Humbert, M; Slama, M; Simonneau, G</t>
  </si>
  <si>
    <t>WOS:000168821900515</t>
  </si>
  <si>
    <t>Pulmonary thrombo-endarterectomy and hospital mortality in chronic post-embolic pulmonary hypertension: Value of pre-operative right ventricular function evaluated with egg-gated blood-pool SPECT.</t>
  </si>
  <si>
    <t>Daou, D; Sitbon, O; Fourme, T; Helal, BO; Parent, F; Humbert, M; Slama, M; Simonneau, G</t>
  </si>
  <si>
    <t>WOS:000170528300657</t>
  </si>
  <si>
    <t>464HZ</t>
  </si>
  <si>
    <t>PS219</t>
  </si>
  <si>
    <t>SPRINGER-VERLAG</t>
  </si>
  <si>
    <t>Humbert, Marc/AAC-8459-2019; Sitbon, Olivier/I-3623-2019</t>
  </si>
  <si>
    <t>Hop Antoine Beclere, Dept Nucl Med, AP HP, Clamart, France; Hop Antoine Beclere, Dept Pneumol, AP HP, Clamart, France</t>
  </si>
  <si>
    <t>The scintigraphic pulmonary perfusion abnormalities do not reflect the hemodynamic severity of chronic post embolic pulmonary hypertension</t>
  </si>
  <si>
    <t>Daou, D; Coaguila, C; Sitbon, O; Parent, F; Helal, BO; Humbert, M; Simonneau, G</t>
  </si>
  <si>
    <t>WOS:000170528300296</t>
  </si>
  <si>
    <t>OS296</t>
  </si>
  <si>
    <t>Assistance Publique Hopitaux Paris (APHP); Hopital Universitaire Antoine-Beclere - APHP; Assistance Publique Hopitaux Paris (APHP); Hopital Universitaire Antoine-Beclere - APHP; Assistance Publique Hopitaux Paris (APHP); Hopital Universitaire Antoine-Beclere - APHP; Universite Paris Cite; Assistance Publique Hopitaux Paris (APHP); Hopital Universitaire Bichat-Claude Bernard - APHP; Hopital Universitaire Antoine-Beclere - APHP</t>
  </si>
  <si>
    <t>Hop Antoine Beclere, Dept Nucl Med, AP HP, Clamart, France; Hop Antoine Beclere, Dept Pulm, AP HP, Clamart, France; Hop Antoine Beclere, Dept Cardiol, AP HP, Clamart, France; Hop Xavier Bichat, Dept Nucl Med, AP HP, Clamart, France</t>
  </si>
  <si>
    <t>Pulmonary thrombo-endarterectomy and hospital mortality in chronic post-embolic pulmonary hypertension: Value of pre-operative right ventricular function evaluated with ECG-gated blood-pool SPECT</t>
  </si>
  <si>
    <t>Daou, D; Coaguila, C; Sitbon, O; Fourme, T; Helal, BO; Parent, F; Humbert, M; Slama, M; Le Guludec, D; Simonneau, G</t>
  </si>
  <si>
    <t>WOS:000170193600003</t>
  </si>
  <si>
    <t>458KM</t>
  </si>
  <si>
    <t>10.1056/NEJM200108023450503</t>
  </si>
  <si>
    <t>AUG 2</t>
  </si>
  <si>
    <t>McGaughran, Julie/0000-0002-0926-7858; Trembath, Richard/0000-0003-0550-3400; Winship, Ingrid/0000-0001-8535-6003; Morrell, Nicholas/0000-0001-5700-9792; Galie, Nazzareno/0000-0003-4271-8670; Loyd, James/0000-0002-5042-7390; Humbert, Marc/0000-0003-0703-2892; Machado, Rajiv David/0000-0001-9247-0744; Morgan, Neil/0000-0001-6433-5692</t>
  </si>
  <si>
    <t>McGaughran, Julie/A-2563-2012; Simonneau, Gerald/ABE-6614-2020; Berg, Jonathan/AHD-2795-2022; Machado, Rajiv David/AAD-7813-2019; Winship, Ingrid/D-7204-2016; Galie, Nazzareno/F-7004-2014; Humbert, Marc/AAC-8459-2019; Morgan, Neil/A-5475-2009</t>
  </si>
  <si>
    <t>Trembath, RC (corresponding author), Univ Leicester, Dept Med, Div Med Genet, Adrian Bldg, Leicester LE1 7RH, Leics, England.</t>
  </si>
  <si>
    <t>University of Leicester; University of Leicester; University of Cambridge; Cambridge University Hospitals NHS Foundation Trust; Addenbrooke's Hospital; University of Cambridge; Papworth Hospital; University of Auckland; Universite Paris Saclay; Assistance Publique Hopitaux Paris (APHP); Universite Paris Cite; Hopital Universitaire Saint-Louis - APHP; Hopital Universitaire Antoine-Beclere - APHP; University of Bologna; Vanderbilt University; Cincinnati Children's Hospital Medical Center</t>
  </si>
  <si>
    <t>Univ Leicester, Dept Med, Div Med Genet, Leicester LE1 7RH, Leics, England; Univ Leicester, Dept Genet, Div Med Genet, Leicester LE1 7RH, Leics, England; Univ Cambridge, Addenbrookes Hosp, Sch Clin Med, Dept Med, Cambridge CB2 2QQ, England; Univ Cambridge, Papworth Hosp, Sch Clin Med, Dept Med, Cambridge CB2 2QQ, England; Univ Auckland, Sch Med, Dept Mol Med, Auckland, New Zealand; Univ Paris Sud, Assistance Publ Hop Paris, Hop Antoine Beclere, Serv Pneumol, Clamart, France; Univ Bologna, Inst Cardiol, Bologna, Italy; Vanderbilt Univ, Med Ctr, Nashville, TN USA; Childrens Hosp, Med Ctr, Div Human Genet, Cincinnati, OH 45229 USA</t>
  </si>
  <si>
    <t>Background: Most patients with familial primary pulmonary hypertension have defects in the gene for bone morphogenetic protein receptor II (BMPR2), a member of the transforming growth factor beta (TGF-beta) superfamily of receptors. Because patients with hereditary hemorrhagic telangiectasia may have lung disease that is indistinguishable from primary pulmonary hypertension, we investigated the genetic basis of lung disease in these patients. Methods: We evaluated members of five kindreds plus one individual patient with hereditary hemorrhagic telangiectasia and identified 10 cases of pulmonary hypertension. In the two largest families, we used microsatellite markers to test for linkage to genes encoding TGF-beta -receptor proteins, including endoglin and activin-receptor-like kinase 1 (ALK1), and BMPR2. In subjects with hereditary hemorrhagic telangiectasia and pulmonary hypertension, we also scanned ALK1 and BMPR2 for mutations. Results: We identified suggestive linkage of pulmonary hypertension with hereditary hemorrhagic telangiectasia on chromosome 12q13, a region that includes ALK1. We identified amino acid changes in activin-receptor-like kinase 1 that were inherited in subjects who had a disorder with clinical and histologic features indistinguishable from those of primary pulmonary hypertension. Immunohistochemical analysis in four subjects and one control showed pulmonary vascular endothelial expression of activin-receptor-like kinase 1 in normal and diseased pulmonary arteries. Conclusions: Pulmonary hypertension in association with hereditary hemorrhagic telangiectasia can involve mutations in ALK1. These mutations are associated with diverse effects, including the vascular dilatation characteristic of hereditary hemorrhagic telangiectasia and the occlusion of small pulmonary arteries that is typical of primary pulmonary hypertension.</t>
  </si>
  <si>
    <t>ARTERIOVENOUS-MALFORMATIONS; GERMLINE MUTATIONS; PENDRED SYNDROME; KINASE-1 GENE; RECEPTOR; BETA; ENDOGLIN; TYPE-2; GROWTH; PPH1</t>
  </si>
  <si>
    <t>Clinical and molecular genetic features of pulmonary hypertension in patients with hereditary hemorrhagic telangiectasia</t>
  </si>
  <si>
    <t>Trembath, RC; Thomson, JR; Machado, RD; Morgan, NV; Atkinson, C; Winship, I; Simonneau, G; Galie, N; Loyd, JE; Humbert, M; Nichols, WC; Morrell, NW; Berg, J; Manes, A; McGaughran, J; Pauciulo, M; Wheeler, L</t>
  </si>
  <si>
    <t>WOS:000171324900008</t>
  </si>
  <si>
    <t>478CG</t>
  </si>
  <si>
    <t>10.1016/S0272-5231(05)70284-7</t>
  </si>
  <si>
    <t>Humbert, Marc/0000-0003-0703-2892; SITBON, Olivier/0000-0002-1942-1951; Nunes, Hilario/0000-0003-2896-7347</t>
  </si>
  <si>
    <t>Sitbon, Olivier/I-3623-2019; Simonneau, Gerald/ABE-6614-2020; Nunes, Hilario/AAM-8127-2020; Humbert, Marc/AAC-8459-2019</t>
  </si>
  <si>
    <t>humbert@ipsc.u-psud.fr</t>
  </si>
  <si>
    <t>Univ Paris Sud, Ctr Maladies Vasc Pulm, Serv Pneumol &amp; Reanimat Resp, Hop Antoine Beclere, 157 Rue Porte Trivaux, F-92140 Clamart, France.</t>
  </si>
  <si>
    <t>Univ Paris Sud, Ctr Maladies Vasc Pulm, Serv Pneumol &amp; Reanimat Resp, Hop Antoine Beclere, F-92140 Clamart, France</t>
  </si>
  <si>
    <t>Several risk factors for pulmonary arterial hypertension have been recognized including drugs and toxins, demographic and medical conditions, and diseases. Conclusions regarding the causal relationship between risk factors and the development of pulmonary hypertension relate to the magnitude of the association, the temporality of the association, and consistency of the observations. The exact mechanism(s) by which the risk factors produce pulmonary hypertension has not been established yet. Given the fact that the absolute risk is generally low, factors of individual susceptibility are likely to play an important role.</t>
  </si>
  <si>
    <t>IMMUNODEFICIENCY-VIRUS-INFECTION; TERM-FOLLOW-UP; VENO-OCCLUSIVE DISEASE; CREST SYNDROME VARIANT; ATRIAL SEPTAL-DEFECT; TOXIC-OIL SYNDROME; EPOPROSTENOL PROSTACYCLIN; VENOOCCLUSIVE DISEASE; GERMLINE MUTATIONS; SYSTEMIC-SCLEROSIS</t>
  </si>
  <si>
    <t>Risk factors for pulmonary arterial hypertension</t>
  </si>
  <si>
    <t>Humbert, M; Nunes, H; Sitbon, O; Parent, F; Hervé, P; Simonneau, G</t>
  </si>
  <si>
    <t>WOS:000171324900007</t>
  </si>
  <si>
    <t>10.1016/S0272-5231(05)70283-5</t>
  </si>
  <si>
    <t>SITBON, Olivier/0000-0002-1942-1951; Nunes, Hilario/0000-0003-2896-7347; Humbert, Marc/0000-0003-0703-2892</t>
  </si>
  <si>
    <t>Nunes, Hilario/AAM-8127-2020; Sitbon, Olivier/I-3623-2019; Simonneau, Gerald/ABE-6614-2020; Humbert, Marc/AAC-8459-2019</t>
  </si>
  <si>
    <t>pherve@ccml.com</t>
  </si>
  <si>
    <t>Ctr Chirurg Marie Lannelongue, Serv Explorat Fonctionnelles, 133 Ave Resistance, F-92350 Le Plessis Robinson, France.</t>
  </si>
  <si>
    <t>Universite Paris Saclay; Hopital Marie Lannelongue; Assistance Publique Hopitaux Paris (APHP); Hopital Universitaire Antoine-Beclere - APHP</t>
  </si>
  <si>
    <t>Univ Paris Sud, Hop Marie Lannelongue, Clamart, France; Hop Antoine Beclere, Ctr Malad Vasc Pulm, Serv Pneumol &amp; Reanimat Resp, Clamart, France</t>
  </si>
  <si>
    <t>Thrombotic lesions are among the most frequent histopathological lesions seen in pulmonary arterial hypertension. However, with the rare exceptions of pulmonary arterial hypertension associated with antiphospholipid antibodies, or genetic platelet dysfunction, or inherited deficiencies of antithrombotic pathways, these thrombotic lesions are secondary in most cases of primary or secondary pulmonary arterial hypertension. Pulmonary arterial hypertension is associated not only with thrombotic lesions but also with persistent vasoconstriction and structural remodeling of pulmonary arteries. By interacting with the pulmonary arterial wall, activated platelets may contribute to the functional and structural alterations of pulmonary vessels through the release of various vasoactive mediators and growth factors.</t>
  </si>
  <si>
    <t>MICROANGIOPATHIC HEMOLYTIC-ANEMIA; APPETITE-SUPPRESSANT DRUGS; CONTINUOUS-INFUSION; PLASMA SEROTONIN; THERAPY; RISK; THROMBOCYTOPENIA; COAGULATION; PREVALENCE; ANTIBODIES</t>
  </si>
  <si>
    <t>Pathobiology of pulmonary hypertension - The role of platelets and thrombosis</t>
  </si>
  <si>
    <t>Herve, P; Humbert, M; Sitbon, O; Parent, F; Nunes, H; Legal, C; Garcia, G; Simonneau, G</t>
  </si>
  <si>
    <t>WOS:000172235400003</t>
  </si>
  <si>
    <t>493QR</t>
  </si>
  <si>
    <t>Humbert, M (corresponding author), Hop Antoine Beclere, UPRES EA 2705, Serv Pneumol &amp; Reanimat Resp, Ctr Malad Vasc Pulm, 157,Rue Porte Trivaux, F-92140 Clamart, France.</t>
  </si>
  <si>
    <t>Hop Antoine Beclere, UPRES EA 2705, Serv Pneumol &amp; Reanimat Resp, Ctr Malad Vasc Pulm, F-92140 Clamart, France</t>
  </si>
  <si>
    <t>HEREDITARY HEMORRHAGIC TELANGIECTASIA; GROWTH-FACTOR-BETA; TRANSFORMING GROWTH-FACTOR-BETA-1; GERMLINE MUTATIONS; ENDOGLIN; RECEPTOR; ANGIOGENESIS; PROTEIN; MICE</t>
  </si>
  <si>
    <t>A gene for primary pulmonary hypertension</t>
  </si>
  <si>
    <t>Humbert, M; Soubrier, F; Simonneau, G</t>
  </si>
  <si>
    <t>WOS:000171614500008</t>
  </si>
  <si>
    <t>483BU</t>
  </si>
  <si>
    <t>10.1172/JCI200112805</t>
  </si>
  <si>
    <t>Humbert, Marc/0000-0003-0703-2892; Darmon, Michele/0000-0001-9730-6273</t>
  </si>
  <si>
    <t>Simonneau, Gerald/ABE-6614-2020; Humbert, Marc/AAC-8459-2019; Darmon, Michele/F-8708-2011</t>
  </si>
  <si>
    <t>serge.adnot@hmn.ap-hop-paris.fr</t>
  </si>
  <si>
    <t>Fac Med Creteil, Dept Physiol, INSERM U492, F-94010 Creteil, France.</t>
  </si>
  <si>
    <t>Institut National de la Sante et de la Recherche Medicale (Inserm); Universite Paris-Est-Creteil-Val-de-Marne (UPEC); Universite Paris-Est-Creteil-Val-de-Marne (UPEC); Assistance Publique Hopitaux Paris (APHP); Hopital Universitaire Henri-Mondor - APHP; Assistance Publique Hopitaux Paris (APHP); Hopital Universitaire Antoine-Beclere - APHP; Hopital Marie Lannelongue; Universite Paris Cite; Assistance Publique Hopitaux Paris (APHP); Hopital Universitaire Ambroise-Pare - APHP; Sorbonne Universite; Institut National de la Sante et de la Recherche Medicale (Inserm)</t>
  </si>
  <si>
    <t>Fac Med Creteil, Dept Physiol, INSERM U492, F-94010 Creteil, France; Hop Henri Mondor, AP HP, Dept Physiol, F-94010 Creteil, France; Hop Antoine Beclere, AP HP, Serv Pneumol, UPRES EA2705, Clamart, France; Hop Marie Lannelongue, UPRES EA2705, Serv Chirurg Thorac Vasc &amp; Transplantat Cardiopul, F-92350 Le Plessis Robinson, France; Univ Paris 05, Dept Physiol, Hop Ambroise Pare, Boulogne, France; Univ Paris 06, INSERM U288, Paris, France</t>
  </si>
  <si>
    <t>Hyperplasia of pulmonary artery smooth muscle cells (PA-SMCs) is a hallmark pathological feature of primary pulmonary hypertension (PPH). Here we found that PA-SMCs from patients with PPH grow faster than PA-SMCs from controls when stimulated by serotonin or serum and that these effects are due to increased expression of the serotonin transporter (5-HTT), which mediates internalization of indoleamine. In the presence of 5-HTT inhibitors, the growth stimulatory effects of serum and serotonin were markedly reduced and the difference between growth of PA-SMCs from patients and controls was no longer observed. As compared with controls, the expression of 5-HTT was increased in cultured PA-SMCs as well as in platelets and lungs from patients with PPH where it predominated in the media of thickened pulmonary arteries and in onion-bulb lesions. The L-allelic variant of the 5HTT gene promoter, which is associated with 5-HTT overexpression and increased PA-SMC growth, was present in homozygous form in 65% of patients but in only 27% of controls. We conclude that 5-HTT activity plays a key role in the pathogenesis of PA-SMC proliferation in PPH and that a 5HTT polymorphism confers susceptibility to PPH.</t>
  </si>
  <si>
    <t>GENE POLYMORPHISMS; ASSOCIATION; RECEPTOR; CELLS; EXPRESSION; ALCOHOLISM; MUTATIONS; AMINOREX; GROWTH; RNA</t>
  </si>
  <si>
    <t>Serotonin transporter overexpression is responsible for pulmonary artery smooth muscle hyperplasia in primary pulmonary hypertension</t>
  </si>
  <si>
    <t>Eddahibi, S; Humbert, M; Fadel, E; Raffestin, B; Darmon, M; Capron, F; Simonneau, G; Dartevelle, P; Hamon, M; Adnot, S</t>
  </si>
  <si>
    <t>WOS:000173539700006</t>
  </si>
  <si>
    <t>516ET</t>
  </si>
  <si>
    <t>10.1016/S0248-8663(01)00514-8</t>
  </si>
  <si>
    <t>SITBON, Olivier/0000-0002-1942-1951; Nunes, Hilario/0000-0003-2896-7347; SANCHEZ, Olivier/0000-0003-1633-8391; Humbert, Marc/0000-0003-0703-2892</t>
  </si>
  <si>
    <t>Nunes, Hilario/AAM-8127-2020; Sitbon, Olivier/I-3623-2019; Humbert, Marc/AAC-8459-2019</t>
  </si>
  <si>
    <t>Humbert, M (corresponding author), Hop Antoine Beclere, Serv Pneumol &amp; Reanimat Resp, UPRES EA 2705, 157 Rue Porte Trivaux, F-92141 Clamart, France.</t>
  </si>
  <si>
    <t>Hop Antoine Beclere, Serv Pneumol &amp; Reanimat Resp, UPRES EA 2705, F-92141 Clamart, France</t>
  </si>
  <si>
    <t>Purpose. - Pulmonary hypertension is a rare but well-known life-threatening complication of connective tissue diseases. The aim of this article is to analyse the available literature and to report the experience of a pulmonary vascular diseases centre about this complication. Current knowledge and key points. - Scleroderma and its limited variant, the CREST syndrome (calcification, Raynaud phenomenon, esophageal dysmotility, sclerodactily, telangiectasia), is the most common connective tissue disease affected by pulmonary hypertension. Dyspnea is the main symptom and is frequently severe. Echocardiography is an excellent exam to detect pulmonary hypertension. However, right heart catheterization is necessary to confirm the diagnosis of pulmonary hypertension and to test vasoreactivity with a potent vasodilator such as nitric oxide. Pulmonary hypertension is less severe in patients with connective tissue diseases perhaps because of an earlier diagnosis. A significantly lower proportion of patients presents an acute vasodilator response, suggesting an early constitution of irreversible pulmonary vascular lesions. Continuous intravenous epoprostenol therapy seems to be less effective as compared with patients with primitive pulmonary hypertension and does not improve survival. So, we observed dramatic improvement in rare cases after immunosuppressive therapy. Future prospects and projects. - New treatments with oral, subcutaneous or inhaled stable prostacyclin analogs or with an endothelin receptor antagonist are currently being evaluated. The role of immunosuppressive therapy has to be defined. (C) 2002 Editions scientifiques et medicales Elsevier SAS.</t>
  </si>
  <si>
    <t>SYSTEMIC LUPUS-ERYTHEMATOSUS; INHALED NITRIC-OXIDE; EPOPROSTENOL PROSTACYCLIN THERAPY; HEART-LUNG TRANSPLANTATION; ILOPROST INFUSION THERAPY; CALCIUM-CHANNEL BLOCKERS; CREST SYNDROME VARIANT; VASCULAR-DISEASE; PLEXIFORM LESIONS; VENOOCCLUSIVE DISEASE</t>
  </si>
  <si>
    <t>pulmonary hypertension; connective tissue diseases; prostacyclin; immunosuppressive therapy</t>
  </si>
  <si>
    <t>Pulmonary hypertension in connective tissue diseases.</t>
  </si>
  <si>
    <t>Sanchez, O; Humbert, M; Sitbon, O; Nunes, H; Garcia, G; Simonneau, G</t>
  </si>
  <si>
    <t>WOS:000173618100007</t>
  </si>
  <si>
    <t>517PA</t>
  </si>
  <si>
    <t>10.1164/ajrccm.165.3.2106033</t>
  </si>
  <si>
    <t>SITBON, Olivier/0000-0002-1942-1951; Castelain, Vincent/0000-0002-9354-6525; Humbert, Marc/0000-0003-0703-2892; CHEMLA, Denis/0000-0001-7479-9896</t>
  </si>
  <si>
    <t>Sitbon, Olivier/I-3623-2019; Simonneau, Gerald/ABE-6614-2020; Castelain, Vincent/ABG-9778-2020; Humbert, Marc/AAC-8459-2019</t>
  </si>
  <si>
    <t>Hervé, P (corresponding author), Ctr Chirurg Marie Lannelongue, 133 Ave Resistance, F-92350 Le Plessis Robinson, France.</t>
  </si>
  <si>
    <t>Assistance Publique Hopitaux Paris (APHP); Hopital Universitaire Antoine-Beclere - APHP; Assistance Publique Hopitaux Paris (APHP); Hopital Universitaire Bicetre - APHP; Hopital Marie Lannelongue</t>
  </si>
  <si>
    <t>Antoine Beclere Teaching Hosp, UPRES 2705, Dept Pulm Med, Clamart, France; Bicetre Teaching Hosp, Cardioresp Funct Testing Unit, Le Kremlin Bicetre, France; Marie Lannelongue Teaching Hosp, Dept Thorac &amp; Vasc Surg, Le Plessis Robinson, France</t>
  </si>
  <si>
    <t>Exercise tolerance improves within a few weeks after prostacyclin initiation in patients with primary pulmonary hypertension even in the absence of significant changes in resting pulmonary vascular resistance and/or in patients who fail to respond to an acute vasodilator challenge. We tested the hypothesis that this early effect of prostacyclin may be ascribable to an improved pressure-flow response of the pulmonary circulation to exercise. Pulmonary hemodynamic variables at rest and during exercise and the 6-min walking distance were determined before and after 6 wk of continuous Intravenous prostacyclin treatment (11 +/- 1.5 ng/kg/min) in seven patients unresponsive to an acute nitric oxide vasodilator test. Mean pulmonary arterial pressure/cardiac index coordinates obtained during exercise were pooled, and the slopes of these plots were compared using covariance analysis. All hemodynamic variables at rest were unchanged after prostacyclin. By contrast, the 6-min walking distance Improved in all patients (mean increase, 81 m) and the slope of the mean pulmonary artery pressures/cardiac indexes plot decreased with prostacyclin, from 18.2 to 13.1 mm Hg/L/min/m(2) (p &lt; 0.01). These results suggest that the improvement in exercise tolerance seen after 6 wk of prostacyclin therapy may be ascribable to a decrease in incremental pulmonary vascular resistance during exercise.</t>
  </si>
  <si>
    <t>INTRAVENOUS EPOPROSTENOL PROSTACYCLIN; VASCULAR-RESISTANCE; SHORT-TERM; THERAPY</t>
  </si>
  <si>
    <t>primary pulmonary hypertension; prostacyclin; epoprostenol; exercise testing</t>
  </si>
  <si>
    <t>Pulmonary artery pressure-flow relations after prostacyclin in primary pulmonary hypertension</t>
  </si>
  <si>
    <t>Castelain, V; Chemla, D; Humbert, M; Sitbon, O; Simonneau, G; Lecarpentier, Y; Hervé, P</t>
  </si>
  <si>
    <t>WOS:000174011800019</t>
  </si>
  <si>
    <t>524KF</t>
  </si>
  <si>
    <t>10.1164/rccm.2012112</t>
  </si>
  <si>
    <t>Balabanian, Karl/0000-0002-0534-3198; Humbert, Marc/0000-0003-0703-2892; Dorfmuller, Peter/0000-0003-2499-6829</t>
  </si>
  <si>
    <t>Balabanian, Karl/S-6250-2019; Simonneau, Gerald/ABE-6614-2020; Balabanian, Karl/I-2990-2016; Humbert, Marc/AAC-8459-2019</t>
  </si>
  <si>
    <t>S Paris Univ, Assistance Publ Hop Paris, Hop Antoine Beclere,Ctr Pulm Vasc Dis, UPRES EA 2705,Serv Pneumol &amp; Reanimat Resp, 157 Rue Porte Trivaux, F-92140 Clamart, France.</t>
  </si>
  <si>
    <t>Assistance Publique Hopitaux Paris (APHP); Hopital Universitaire Antoine-Beclere - APHP; Universite Paris Cite; Hopital Universitaire Saint-Louis - APHP; Institut National de la Sante et de la Recherche Medicale (Inserm); Assistance Publique Hopitaux Paris (APHP); Hopital Universitaire Antoine-Beclere - APHP; Universite Paris Cite; Hopital Universitaire Saint-Louis - APHP; Assistance Publique Hopitaux Paris (APHP); Universite Paris Cite; Hopital Universitaire Saint-Louis - APHP; Hopital Universitaire Antoine-Beclere - APHP; Assistance Publique Hopitaux Paris (APHP); Hopital Universitaire Antoine-Beclere - APHP; Universite Paris Cite; Hopital Universitaire Saint-Louis - APHP</t>
  </si>
  <si>
    <t>S Paris Univ, Assistance Publ Hop Paris, Hop Antoine Beclere,Ctr Pulm Vasc Dis, UPRES EA 2705,Serv Pneumol &amp; Reanimat Resp, F-92140 Clamart, France; S Paris Univ, Assistance Publ Hop Paris, Hop Antoine Beclere, Dept Resp &amp; Intens Care Med,INSERM,U131, F-92140 Clamart, France; S Paris Univ, Assistance Publ Hop Paris, Hop Antoine Beclere, Dept Pathol, F-92140 Clamart, France; S Paris Univ, Assistance Publ Hop Paris, Hop Antoine Beclere, S Paris Cytokine Inst,Dept Hematol, F-92140 Clamart, France</t>
  </si>
  <si>
    <t>The recent discovery that sporadic and familial primary pulmonary hypertension can be associated with germline mutations of genes encoding receptor members of the transforming growth factor-beta family has focused much attention on cytokines and growth factors in pulmonary vascular disorders. Production of several cytokines has been demonstrated in severe pulmonary arterial hypertension, emphasizing the possible influence of inflammatory mechanisms in this condition. Moreover, perivascular inflammatory cell infiltrates composed of macrophages and lymphocytes have been detected in plexiform lesions of primary pulmonary hypertension. Chemokine RANTES is an important chemoattractant for monocytes and T cells. We therefore hypothesize that chemokine RANTES promotes cell recruitment in the lungs of patients displaying severe pulmonary arterial hypertension. Reverse transcriptase polymerase chain reaction demonstrated elevated RANTES mRNA expression in 10 lung samples from patients with severe pulmonary arterial hypertension, as compared with seven control subjects. In situ hybridization and immunohistochemistry confirmed that endothelial cells were the major source of RANTES within the pulmonary artery wall of the patients. Serial sections analysis showed that RANTES expression was associated with CD45+ inflammatory cell infiltrates. These results support the concept that inflammatory mechanisms play a role in the natural history of pulmonary arterial hypertension.</t>
  </si>
  <si>
    <t>ENDOTHELIN-RECEPTOR ANTAGONIST; EPOPROSTENOL PROSTACYCLIN; GERMLINE MUTATIONS; PLEXIFORM LESIONS; PLASMA SEROTONIN; GENE-EXPRESSION; MESSENGER-RNA; CELL GROWTH; LUNGS; SECONDARY</t>
  </si>
  <si>
    <t>chemokines; endothelial cells; primary pulmonary hypertension; pulmonary hypertension; RANTES</t>
  </si>
  <si>
    <t>Chemokine RANTES in severe pulmonary arterial hypertension</t>
  </si>
  <si>
    <t>Dorfmüller, P; Zarka, V; Durand-Gasselin, I; Monti, G; Balabanian, K; Garcia, G; Capron, F; Coulomb-Lherminé, A; Marfaing-Koka, A; Simonneau, G; Emilie, D; Humbert, M</t>
  </si>
  <si>
    <t>WOS:000174029900029</t>
  </si>
  <si>
    <t>524TX</t>
  </si>
  <si>
    <t>10.1148/radiol.2223010668</t>
  </si>
  <si>
    <t>820 JORIE BLVD, OAK BROOK, IL 60523 USA</t>
  </si>
  <si>
    <t>RADIOLOGICAL SOC NORTH AMERICA</t>
  </si>
  <si>
    <t>Resten, A (corresponding author), Hop Antoine Beclere, Dept Radiol, 157 Rue Porte de Trivaux, F-92140 Clamart, France.</t>
  </si>
  <si>
    <t>Hop Antoine Beclere, Dept Radiol, F-92140 Clamart, France; Hop Antoine Beclere, Dept Pneumol &amp; Resp Intens Care, F-92140 Clamart, France; Hop Antoine Beclere, Dept Anat Pathol, F-92140 Clamart, France</t>
  </si>
  <si>
    <t>PURPOSE: To correlate pretherapeutic thin-section computed tomographic (CT) findings in patients with pulmonary hypertension with the risk of fatality with treatment with epoprostenol. MATERIALS AND METHODS: Seventy-three consecutive patients with severe pulmonary hypertension treated with epoprostenol were retrospectively separated into two groups. The first group included 12 patients who had a fatal outcome with epoprostenol therapy. The second group (n = 61) was a reference group of patients with epoprostenol-induced clinical improvement. Pretherapeutic thin-section CT scans of each patient were reviewed. RESULTS: Poorly defined nodular opacities (P = .003), septal lines (P = .04), pleural effusion (P = .01), and adenopathy (P = .009) strongly correlated with a risk of clinical worsening with treatment. In six patients in group 1, postmortem examination of the lung revealed either pulmonary veno-occlusive disease or pulmonary capillary hemangiomatosis. CONCLUSION: On pretherapeutic thin-section CT scans, poorly defined nodular opacities, septal lines, pleural effusion, and adenopathy should raise suspicion for pulmonary veno-occlusive disease or pulmonary capillary hemangiomatosis and provoke possible further evaluation before epoprostenol therapy. (C) RSNA, 2002.</t>
  </si>
  <si>
    <t>HIGH-RESOLUTION CT; CAPILLARY HEMANGIOMATOSIS; VENOOCCLUSIVE DISEASE; LUNG ATTENUATION; MOSAIC PATTERN; PROSTACYCLIN; CHEST</t>
  </si>
  <si>
    <t>hypertension, pulmonary; lung, CT; lung, vascular disease</t>
  </si>
  <si>
    <t>Pulmonary arterial hypertension:: Thin-section CT predictors of epoprostenol therapy failure</t>
  </si>
  <si>
    <t>Resten, A; Maître, S; Humbert, M; Sitbon, O; Capron, F; Simoneau, G; Musset, D</t>
  </si>
  <si>
    <t>WOS:000174481400074</t>
  </si>
  <si>
    <t>532NH</t>
  </si>
  <si>
    <t>10.1378/chest.121.3_suppl.97S-a</t>
  </si>
  <si>
    <t>98S</t>
  </si>
  <si>
    <t>97S</t>
  </si>
  <si>
    <t>Darmon, Michele/0000-0001-9730-6273; Humbert, Marc/0000-0003-0703-2892</t>
  </si>
  <si>
    <t>Simonneau, Gerald/ABE-6614-2020; Darmon, Michele/F-8708-2011; Humbert, Marc/AAC-8459-2019</t>
  </si>
  <si>
    <t>Adnot, S (corresponding author), INSERM, U492, Fac Med, 8 Rue Gen Sarrail, F-94010 Creteil, France.</t>
  </si>
  <si>
    <t>Institut National de la Sante et de la Recherche Medicale (Inserm); Universite Paris-Est-Creteil-Val-de-Marne (UPEC); Universite Paris-Est-Creteil-Val-de-Marne (UPEC); Institut National de la Sante et de la Recherche Medicale (Inserm); Institut National de la Sante et de la Recherche Medicale (Inserm)</t>
  </si>
  <si>
    <t>INSERM, U492, Fac Med, F-94010 Creteil, France; INSERM, U492, Dept Physiol, F-94010 Creteil, France; Serv Pneumol, Clamart, France; INSERM, U288, Paris, France; Serv Chirurg Thorac, Le Plessis Robinson, France</t>
  </si>
  <si>
    <t>JUN 06-09, 2001</t>
  </si>
  <si>
    <t>44th Annual Thomas L Petty Aspen Lung Conference</t>
  </si>
  <si>
    <t>Hyperplasia of pulmonary artery smooth muscle cells is causally related to overexpression of the serotonin transporter in primary pulmonary hypertension</t>
  </si>
  <si>
    <t>WOS:000175622000004</t>
  </si>
  <si>
    <t>552LN</t>
  </si>
  <si>
    <t>10.1016/S0335-7457(02)00144-2</t>
  </si>
  <si>
    <t>Humbert, M (corresponding author), Univ Paris Sud, Hop Antoine Beclere, Serv Pneumol &amp; Reanimat Resp, 157 Rue Porte Trivaux, F-92140 Clamart, France.</t>
  </si>
  <si>
    <t>Univ Paris Sud, Hop Antoine Beclere, Serv Pneumol &amp; Reanimat Resp, F-92140 Clamart, France</t>
  </si>
  <si>
    <t>Bronchial asthma is a common disease, of which most of patients are adequately treated by standard therapy. However, a small group of patients with asthma has severe disease that cannot be controlled by conventional strategies (inhaled corticosteroids and bronchodilatator), The central role of Th2 lymphocytes and cytokines (Interleukin-4, interleukin-5), as well as eosinophils has been highlighted in asthmatics individuals. Eosinophils are generally regarded as a particularly harmful element in the asthmatic airways, and chemokines and proeosinophilic cytokines may play a central role in this condition. Several novel strategies have now been tested in animal models of asthma including inhibitors of proeosinophilic cytokines. The challenge, now, is to establish their therapeutic interest in human asthma. (C) 2002 Editions scientifiques et medicales Elsevier SAS.</t>
  </si>
  <si>
    <t>INTERCELLULAR-ADHESION MOLECULE-1; CYTOKINE GENE-EXPRESSION; LATE ASTHMATIC RESPONSE; AIRWAY HYPERRESPONSIVENESS; MONOCLONAL-ANTIBODY; INTERFERON-GAMMA; BRONCHOALVEOLAR LAVAGE; BONE-MARROW; T-CELLS; PREDNISOLONE TREATMENT</t>
  </si>
  <si>
    <t>asthma; treatment; eosinophils; interleukin-4; interleukin-5; cytokine; chemokine</t>
  </si>
  <si>
    <t>Soc Francaise Allergol &amp; Immunol Clin</t>
  </si>
  <si>
    <t>LILLE, FRANCE</t>
  </si>
  <si>
    <t>APR 25-27, 2002</t>
  </si>
  <si>
    <t>National Meeting of the Societe-Francaise-d'Allergologie-et-d'Immunologie-Clinique</t>
  </si>
  <si>
    <t>The eosinophil: a target for future therapies</t>
  </si>
  <si>
    <t>WOS:000175445800004</t>
  </si>
  <si>
    <t>549LQ</t>
  </si>
  <si>
    <t>10.1051/medsci/2002184395</t>
  </si>
  <si>
    <t>serge.adnot@hmn-ap-hop-paris.fr</t>
  </si>
  <si>
    <t>Eddahibi, S (corresponding author), Hop Henri Mondor, AP HP, Inserm U492, 51 Ave Marechal Lattre Tassigny, F-94010 Creteil, France.</t>
  </si>
  <si>
    <t>Universite Paris-Est-Creteil-Val-de-Marne (UPEC); Assistance Publique Hopitaux Paris (APHP); Hopital Universitaire Henri-Mondor - APHP; Institut National de la Sante et de la Recherche Medicale (Inserm)</t>
  </si>
  <si>
    <t>Hop Henri Mondor, AP HP, Inserm U492, F-94010 Creteil, France</t>
  </si>
  <si>
    <t>PULMONARY-HYPERTENSION; 5-HYDROXYTRYPTAMINE; HYPOXIA; RATS</t>
  </si>
  <si>
    <t>News Item</t>
  </si>
  <si>
    <t>Polymorphism of the gene coding the serotonin transporter 5-HTT</t>
  </si>
  <si>
    <t>Eddahibi, S; Humbert, M; Adnot, S</t>
  </si>
  <si>
    <t>WOS:000175227200014</t>
  </si>
  <si>
    <t>545PW</t>
  </si>
  <si>
    <t>10.1016/S0735-1097(02)01786-2</t>
  </si>
  <si>
    <t>PII S0735-1097(02)01786-2</t>
  </si>
  <si>
    <t>Hoeper, Marius/0000-0001-9086-2293; Torbicki, Adam/0000-0003-3475-8832; SITBON, Olivier/0000-0002-1942-1951; Humbert, Marc/0000-0003-0703-2892; Galie, Nazzareno/0000-0003-4271-8670; delcroix, marion/0000-0001-8394-9809; vizza, carmine dario/0000-0002-3540-4983</t>
  </si>
  <si>
    <t>Vachiery, Jean-Luc/ABC-6631-2021; delcroix, marion/AAE-2712-2022; Chaouat, Ari/AAP-6784-2021; Besse, Benjamin/V-1523-2019; Simonneau, Gerald/ABE-6614-2020; Hoeper, Marius/Z-1546-2019; Sitbon, Olivier/I-3623-2019; Humbert, Marc/AAC-8459-2019; Galie, Nazzareno/F-7004-2014; vizza, carmine dario/AAC-5540-2020</t>
  </si>
  <si>
    <t>Galiè, N (corresponding author), Univ Bologna, Ist Cardiol, Via Massarenti 9, I-40138 Bologna, Italy.</t>
  </si>
  <si>
    <t>University of Bologna; Universite Paris Saclay; Assistance Publique Hopitaux Paris (APHP); Hopital Universitaire Antoine-Beclere - APHP; Universite Libre de Bruxelles; Sapienza University Rome; University of Vienna; Institute of Tuberculosis &amp; Lung Diseases; Hannover Medical School; CHU Strasbourg; Sanofi-Aventis; Sanofi France</t>
  </si>
  <si>
    <t>Univ Bologna, Ist Cardiol, I-40138 Bologna, Italy; Univ Paris Sud, Clamart, France; Antoine Beclere Hosp, Div Pulmonary &amp; Crit Care Med, Clamart, France; Free Univ Brussels, Hop Erasme, Dept Cardiol &amp; Lab Physiol, Brussels, Belgium; Univ Roma La Sapienza, Dept Cardiol, Rome, Italy; Univ Vienna, Allgemeines Krankenhaus Stadt Wien, Vienna, Austria; Natl Inst Tuberculosis &amp; Lung Dis, Dept Chest Med, Warsaw, Poland; Gasthuisberg Univ Hosp, Dept Pneumol, Louvain, Belgium; Med Hochsch Hannover, Abt Pneumol, Hannover, Germany; Ctr Hosp Hautepierre, Serv Pneumol, Strasbourg, France; Lab Aventis, Paris, France</t>
  </si>
  <si>
    <t>OBJECTIVES The purpose of this study was to assess the efficacy and safety of beraprost sodium, an orally analogue, in New York Heart Association (NYHA) functional class II and active prostacyclin III patients with pulmonary arterial hypertension (PAH). BACKGROUND Pulmonary arterial hypertension is a life-threatening disease for which continuous intravenous infusion of prostacyclin has been proven effective. However, this treatment is associated with serious complications arising from the complex delivery system, METHODS In this double-blind, placebo-controlled study, 130 patients with PAH were randomized to the maximal tolerated dose of beraprost (median dose 80 mug four times a day) or to placebo for 12 weeks. The primary end point was the change in exercise capacity assessed by the 6-min walk test. Secondary end points included changes in Borg dyspnea index, cardiopulmonary hemodynamics and IN YHA functional class. RESULTS Patients treated with beraprost improved exercise capacity and symptoms. The difference between treatment groups in the mean change of 6-min walking distance at week 12 was 25.1 m (95% confidence interval [CI]: 1.8 to 48.3, p = 0.036) The difference in the mean change of Borg dyspnea index was -0.94 (95% CI: -1.63 to -0.24, p = 0.009). In the sub-group of patients with primary pulmonary hypertension, the difference in the mean change of 6-min walking distance was 46.1 m (95% CI: 3.0 to 89.3, p = 0.035). Cardiopulmonary, hemodynamics and NYHA functional class had no statistically significant changes. Drug-related adverse events were common in the titration phase and decreased in the maintenance period. CONCLUSIONS Beraprost improves exercise capacity, and symptoms in NYHA functional class II and III patients with PAH and, in particular, in those with primary pulmonary hypertension. (C) 2002 by the American College of Cardiology, Foundation.</t>
  </si>
  <si>
    <t>CONTINUOUS INTRAVENOUS EPOPROSTENOL; 6-MINUTE WALK; SURVIVAL; THROMBOXANE; REGISTRY; THERAPY; DISEASE; ADULTS</t>
  </si>
  <si>
    <t>Effects of beraprost sodium, an oral prostacyclin analogue, in patients with pulmonary arterial hypertension:: With pulmonary arterial hypertension:: A randomized, double-blind, placebo-controlled trial</t>
  </si>
  <si>
    <t>Arterial Pulm Hypertension &amp; Berap</t>
  </si>
  <si>
    <t>Galiè, N; Humbert, M; Vachiéry, JL; Vizza, CD; Kneussl, M; Manes, A; Sitbon, O; Torbicki, A; Delcroix, M; Naeije, R; Hoeper, M; Chaouat, A; Morand, S; Besse, B; Simonneau, G</t>
  </si>
  <si>
    <t>WOS:000175661600015</t>
  </si>
  <si>
    <t>553DZ</t>
  </si>
  <si>
    <t>10.1164/rccm.2106007</t>
  </si>
  <si>
    <t>Balabanian, Karl/0000-0002-0534-3198; Dorfmuller, Peter/0000-0003-2499-6829; Humbert, Marc/0000-0003-0703-2892</t>
  </si>
  <si>
    <t>Hop Antoine Beclere, Serv Pneumol, 157 Rue Porte de Trivaux, F-92140 Clamart, France.</t>
  </si>
  <si>
    <t>Institut National de la Sante et de la Recherche Medicale (Inserm); Assistance Publique Hopitaux Paris (APHP); Universite Paris Cite; Hopital Universitaire Saint-Louis - APHP; Hopital Universitaire Antoine-Beclere - APHP; Universite Paris Saclay; Assistance Publique Hopitaux Paris (APHP); Universite Paris Cite; Hopital Universitaire Saint-Louis - APHP; Hopital Universitaire Antoine-Beclere - APHP; Universite Paris Saclay</t>
  </si>
  <si>
    <t>Univ Paris Sud, Assistance Publ Hop Paris, Serv Pneumol &amp; Reanimat Resp, Ctr Malad Vasc Pulm,INSERM,U131,UPRES EA 2705, Clamart, France; Univ Paris Sud, Assistance Publ Hop Paris, Hop Antoine Beclere, Inst Paris Sud Cytokines,Hematol Serv, Clamart, France</t>
  </si>
  <si>
    <t>Perivascular infiltrates composed of macrophages and lymphocytes have been described in lung biopsies of patients displaying pulmonary arterial hypertension (PAH), suggesting that circulating inflammatory cells can be recruited in affected vessels. CX3C chemokine fractalkine is produced by endothelial cells and promotes leukocyte recruitment, but unlike other chemokines, it can capture leukocytes rapidly and firmly in an integrin-independent manner under high blood flow. We therefore hypothesized that fractalkine may contribute to pulmonary inflammatory cell recruitment in PAH. Expression and function of the fractalkine receptor (CX(3)CR1) were studied by use of triple-color flow cytometry on circulating T-lymphocyte subpopulations in freshly isolated peripheral blood mononuclear cells from control subjects and patients with PAH. Plasma-soluble fractalkine concentrations were measured by enzyme-linked immunosorbent assay. Finally, fractalkine mRNA and protein expression were analyzed in lung samples by reverse transcriptase-polymerase chain reaction or in situ hybridization and immunohistochemistry, respectively. In patients with PAH, CX(3)CR1 expression and function are upregulated in circulating T-lymphocytes, mostly of the CD4+ subset, and plasma soluble fractalkine concentrations are elevated, as compared with control subjects. Fractalkine mRNA and protein product are expressed in pulmonary artery endothelial cells. We conclude that inflammatory mechanisms involving chemokine fractalkine and its receptor CX(3)CR1 may have a role in the natural history of PAH.</t>
  </si>
  <si>
    <t>RECEPTOR CX(3)CR1; ENDOTHELIAL DYSFUNCTION; EXPRESSION; CELLS; ADHESION; IDENTIFICATION; INTERLEUKIN-1; INFLAMMATION; POLYMORPHISM; ASSOCIATION</t>
  </si>
  <si>
    <t>chemokines; endothelium-derived factors; fractalkine; pulmonary hypertension; receptors</t>
  </si>
  <si>
    <t>CX3C chemokine fractalkine in pulmonary arterial hypertension</t>
  </si>
  <si>
    <t>Balabanian, K; Foussat, A; Dorfmüller, P; Durand-Gasselin, I; Capel, F; Bouchet-Delbos, L; Portier, A; Marfaing-Koka, A; Krzysiek, R; Rimaniol, AC; Simonneau, G; Emilie, D; Humbert, M</t>
  </si>
  <si>
    <t>WOS:000177628600005</t>
  </si>
  <si>
    <t>587EY</t>
  </si>
  <si>
    <t>Humbert, Marc/0000-0003-0703-2892; SITBON, Olivier/0000-0002-1942-1951; SANCHEZ, Olivier/0000-0003-1633-8391; Nunes, Hilario/0000-0003-2896-7347</t>
  </si>
  <si>
    <t>Hop Antoine Beclere, Serv Pneumol &amp; Reanimat Resp, UPRES EA Malad Vasc Pulm 2705, 157 Rue Porte de Trivaux, F-92140 Clamart, France.</t>
  </si>
  <si>
    <t>Hop Antoine Beclere, Serv Pneumol &amp; Reanimat Resp, UPRES EA Malad Vasc Pulm 2705, F-92140 Clamart, France</t>
  </si>
  <si>
    <t>Pulmonary hypertension is a rare but well known life-threatening complication of scleroderma and particularly in its limited variant, the CREST syndrome (Calcification, Raynaud phenomenon, Esophageal dysmotility, Sclerodactily, Telangiectasia). The aim of this article is to analyze the available literature and to report the experience of a center for pulmonary vascular diseases. Dyspnea is the main symptom and is frequently severe. Echocardiography is an excellent tool to detect pulmonary hypertension. However, right-heart catheterization is necessary to confirm the diagnosis of pulmonary hypertension and to test vasoreactivity with a potent vasodilator such as nitric oxide. Hemodynamic parameters are less severe in patients with connective tissue diseases perhaps because or an earlier diagnosis. A significant lower proportion of patients presents an acute vasodilator response suggesting an early constitution of irreversible pulmonary vascular lesions. Continuous intravenous epoprostenol therapy seems to be less effective as compared with patients with primitive pulmonary hypertension and does not improve survival. In our experience, immunosupprosive therapy does not improve hemodynamic or clinical data. Novel therapies including oral, sub-cutaneous or inhaled stable prostacyclin analogues and endothelin receptor antagonists are currently evaluated in large placebo-controlled trials.</t>
  </si>
  <si>
    <t>INHALED NITRIC-OXIDE; EPOPROSTENOL PROSTACYCLIN THERAPY; HEART-LUNG TRANSPLANTATION; CALCIUM-CHANNEL BLOCKERS; CREST SYNDROME VARIANT; LUPUS-ERYTHEMATOSUS; PLEXIFORM LESIONS; SHORT-TERM; SECONDARY; SCLERODERMA</t>
  </si>
  <si>
    <t>pulmonary hypertension; scleroderma; CREST syndrome; prostacyclin</t>
  </si>
  <si>
    <t>Pulmonary hypertension associated with systemic sclerosis</t>
  </si>
  <si>
    <t>Sanchez, O; Nunes, IE; Sitbon, O; Garcia, G; Simonneau, G; Humbert, M</t>
  </si>
  <si>
    <t>WOS:000177680200006</t>
  </si>
  <si>
    <t>588BH</t>
  </si>
  <si>
    <t>10.1097/00001721-200207000-00006</t>
  </si>
  <si>
    <t>Blood Coagul. Fibrinolysis</t>
  </si>
  <si>
    <t>BLOOD COAGUL FIBRIN</t>
  </si>
  <si>
    <t>1473-5733</t>
  </si>
  <si>
    <t>0957-5235</t>
  </si>
  <si>
    <t>ANGLES-CANO, Eduardo/0000-0001-7891-3975; Humbert, Marc/0000-0003-0703-2892</t>
  </si>
  <si>
    <t>Simonneau, Gerald/ABE-6614-2020; ANGLES-CANO, Eduardo/ABA-1739-2020; Humbert, Marc/AAC-8459-2019</t>
  </si>
  <si>
    <t>angles@infobiogen.fr</t>
  </si>
  <si>
    <t>Institut National de la Sante et de la Recherche Medicale (Inserm); Universite Paris Cite; Assistance Publique Hopitaux Paris (APHP); Hopital Universitaire Antoine-Beclere - APHP; Assistance Publique Hopitaux Paris (APHP); Hopital Universitaire Antoine-Beclere - APHP</t>
  </si>
  <si>
    <t>Univ Paris 07, INSERM U460, F-75870 Paris 18, France; Ctr Malad Vasc Pulm, UPRES EA 2705, Clamart, France; Hop Antoine Beclere, Hematol Serv, Clamart, France; Hop Antoine Beclere, Serv Anat Pathol, Clamart, France</t>
  </si>
  <si>
    <t>The pathophysiology of primary pulmonary hypertension (PPH) remains poorly understood. Vascular wall remodeling and endothelial dysfunction reflected by modifications in plasma fibrinolytic proteins and von Willebrand factor have been well documented in PPH. We hypothesize that endothelial mediators, produced in excess in PPH patients, may stimulate migrating mononuclear cells and thereby modulate alveolar macrophage function; in particular, the plasminogen activation system. Components of the fibrinolytic system were therefore studied in plasma, blood monocytes and alveolar macrophages obtained from bronchoalveolar lavage in 10 patients with PPH and in four controls. Compared with controls, PPH patients had elevated plasma levels of tissue-type plasminogen activator (15.6 +/- 9.9 versus 5.5 +/- 3 ng/ml) and plasminogen activator inhibitor-1 (27.8 +/- 23 versus 16.4 +/- 12 ng/ml). In contrast, binding and activation of plasminogen by single-chain urokinase-type plasminogen activator (scu-PA) at the surface of blood monocytes and alveolar macrophages were not different from those of control values. Dissociation constants (K-d) for binding of scu-PA and plasminogen to alveolar macrophages were similar in both PPH (4.7 +/- 1.5 and 0.88 +/- 0.3 mumol/l, respectively) and control (6.7 +/- 0.1 and 1.02 +/- 0.12 mumol/l, respectively) groups. These results indicate that in PPH patients the fibrinolytic activity of alveolar macrophages is normal, whereas endothelial fibrinolytic proteins are abnormally elevated in plasma. (C) 2002 Lippincott Williams Wilkins.</t>
  </si>
  <si>
    <t>UROKINASE ACTIVITY; PLASMA-LEVELS; T-PA; BINDING; PROTEIN; PAI-1</t>
  </si>
  <si>
    <t>primary pulmonary hypertension; alveolar macrophages; plasminogen activation; single-chain urokinase-type plasminogen activator</t>
  </si>
  <si>
    <t>BLOOD COAGULATION &amp; FIBRINOLYSIS</t>
  </si>
  <si>
    <t>Plasminogen activation by blood monocytes and alveolar macrophages in primary pulmonary hypertension</t>
  </si>
  <si>
    <t>Martin, I; Humbert, M; Marfaing-Koka, A; Capron, F; Wolf, M; Meyer, D; Simonneau, G; Anglés-Cano, E</t>
  </si>
  <si>
    <t>WOS:000177188600010</t>
  </si>
  <si>
    <t>579QD</t>
  </si>
  <si>
    <t>10.1183/09031936.02.00258702</t>
  </si>
  <si>
    <t>Machado, Rajiv David/0000-0001-9247-0744; Trembath, Richard/0000-0003-0550-3400; SITBON, Olivier/0000-0002-1942-1951; Humbert, Marc/0000-0003-0703-2892</t>
  </si>
  <si>
    <t>Simonneau, Gerald/ABE-6614-2020; callebert, jacques/L-4569-2017; Machado, Rajiv David/AAD-7813-2019; Sitbon, Olivier/I-3623-2019; Humbert, Marc/AAC-8459-2019</t>
  </si>
  <si>
    <t>Univ Paris Sud, Hop Antoine Beclere, Ctr Malad Vasc, Serv Pneumol,UPRES 2705, 157 Rue Porte Trivaux, F-92140 Clamart, France.</t>
  </si>
  <si>
    <t>Universite Paris Saclay; Assistance Publique Hopitaux Paris (APHP); Hopital Universitaire Antoine-Beclere - APHP; Assistance Publique Hopitaux Paris (APHP); Hopital Universitaire Antoine-Beclere - APHP; Universite Paris Saclay; Assistance Publique Hopitaux Paris (APHP); Hopital Universitaire Paul-Brousse - APHP; Assistance Publique Hopitaux Paris (APHP); Universite Paris Cite; Hopital Universitaire Lariboisiere-Fernand-Widal - APHP; Assistance Publique Hopitaux Paris (APHP); Universite Paris Cite; Hopital Universitaire Lariboisiere-Fernand-Widal - APHP; University of Leicester; University of Leicester</t>
  </si>
  <si>
    <t>Univ Paris Sud, Hop Antoine Beclere, Ctr Malad Vasc, Serv Pneumol,UPRES 2705, F-92140 Clamart, France; Univ Paris Sud, Hop Antoine Beclere, Serv Pediat, UPRES 2704, F-92140 Clamart, France; Hop Paul Brousse, Ctr Hepato Biliaire, Villejuif, France; Hop Lariboisiere, Assistance Publ, Hop Paris, Serv Immunohematol, F-75475 Paris, France; Hop Lariboisiere, Assistance Publ, Hop Paris, Serv Biochim, F-75475 Paris, France; Univ Leicester, Dept Med, Div Med Genet, Leicester, Leics, England; Univ Leicester, Dept Genet, Leicester, Leics, England</t>
  </si>
  <si>
    <t>A case of pulmonary arterial hypertension in a patient with type-la glycogen-storage disease, a rare autosomal recessive disorder caused by a deficiency of glucose-6-phosphatase is reported in this study. It has been suggested that the occurrence of pulmonary arterial hypertension in type-la glycogen-storage disease could be due to an abnormal production of vasoconstrictive amines such as serotonin. To test this hypothesis, plasma serotonin concentrations were prospectively measured in 13 patients with type-la glycogen-storage disease, one patient with severe pulmonary hypertension and type-Ia glycogen-storage disease, 16 patients displaying severe pulmonary arterial hypertension, and 26 normal healthy controls. Elevated plasma serotonin concentrations were found in patients with either severe pulmonary arterial hypertension (38.8+/-7.3 nmol(.)L(-1)) or type-la glyco en-storage disease (36.8+/-11.5 nmol(.)L(-1)), as compared with controls (8.8+/-0.6 nmol(.)L(-1), p&lt;0.001). Plasma serotonin seas dramatically elevated in the patient with type-Ia glycogen-storage disease and pulmonary arterial hypertension (113.4 nmol(.)L(-1)). It is concluded that type-la glycogen-storage disease may be another condition in which abnormal handling of serotonin is one event in a multistep process leading to severe pulmonary arterial hypertension.</t>
  </si>
  <si>
    <t>FOCAL NODULAR HYPERPLASIA; PLASMA SEROTONIN; PATIENT; SHUNT; RISK</t>
  </si>
  <si>
    <t>pulmonary hypertension; serotonin; type-I glycogen-storage disease</t>
  </si>
  <si>
    <t>Pulmonary arterial hypertension and type-I glycogen-storage disease:: the serotonin hypothesis</t>
  </si>
  <si>
    <t>Humbert, M; Labrune, P; Sitbon, O; Le Gall, C; Callebert, J; Hervé, P; Samuel, D; Machado, R; Trembath, R; Drouet, L; Launay, JM; Simonneau, G</t>
  </si>
  <si>
    <t>WOS:000177446700018</t>
  </si>
  <si>
    <t>584BE</t>
  </si>
  <si>
    <t>10.1164/rccm.200201-027OC</t>
  </si>
  <si>
    <t>Nunes, Hilario/0000-0003-2896-7347; Moreau, Richard/0000-0003-0862-403X; Humbert, Marc/0000-0003-0703-2892</t>
  </si>
  <si>
    <t>Moreau, Richard/S-1300-2019; Nunes, Hilario/AAM-8127-2020; Moreau, Richard/N-2197-2017; Humbert, Marc/AAC-8459-2019</t>
  </si>
  <si>
    <t>Hopital Marie Lannelongue; Universite Paris Saclay; Institut National de la Sante et de la Recherche Medicale (Inserm); Assistance Publique Hopitaux Paris (APHP); Universite Paris Cite; Hopital Universitaire Beaujon - APHP</t>
  </si>
  <si>
    <t>Univ Paris Sud, Ctr Chirurg Marie Lannelongue, Lab Chirurg Expt, UPRES, F-92350 Le Plessis Robinson, France; Hop Beaujon, Lab Hemodynam Splanch &amp; Biol Vasc, INSERM, U481, Clichy, France</t>
  </si>
  <si>
    <t>Hepatopulmonary syndrome (HPS) is characterized by intrapulmonary vascular dilatations and an increased alveoloarterial oxygen difference (AaPo(2)). These abnormalities are related to augmented pulmonary nitric oxide (NO) production, dependent primarily on increases in the expression and activity of inducible NO-synthase (iNOS) within pulmonary intravascular macrophages and, to a lesser extent, of endothelial NOS (eNOS). Production of NOS by pulmonary intravascular macrophages might be related to translocated gut bacteria present in the pulmonary circulation. To test this hypothesis, we determined whether macrophage sequestration, lung NOS expression and activity, and HPS severity were decreased after norfloxacin was given for 5 weeks to prevent Gram-negative bacterial translocation in rats with common bile duct ligation-induced cirrhosis. Norfloxacin decreased the incidence of Gram-negative translocation from 70 to 0% and the percentage of pulmonary microvessels containing more than 10 macrophages from 52 +/- 7 to 21 +/- 8% (p &lt; 0.01). AaPo(2) and cerebral uptake of intravenous Tc-99m-labeled albumin macroaggregates (reflecting intrapulmonary vascular dilatations) were intermediate to those of untreated cirrhotic and sham-operated rats. The activity and expression of lung iNOS, but not eNOS, were reduced to normal. Norfloxacin may reduce HPS severity by inhibiting Gram-negative bacterial translocation, thereby decreasing NO production by pulmonary intravascular macrophages. Bacterial translocation may be the key to the pathogenesis of HPS.</t>
  </si>
  <si>
    <t>SPONTANEOUS BACTERIAL PERITONITIS; OXIDE SYNTHASE ACTIVITY; NITRIC-OXIDE; DECONTAMINATION; NORFLOXACIN; CIRRHOSIS; MODEL; RATS; ENOS</t>
  </si>
  <si>
    <t>experimental cirrhosis; hepatopulmonary syndrome; macrophage; bacterial translocation; nitric oxide synthase</t>
  </si>
  <si>
    <t>Prevention of gram-negative translocation reduces the severity of hepatopulmonary syndrome</t>
  </si>
  <si>
    <t>Rabiller, A; Nunes, H; Lebrec, D; Tazi, KA; Wartski, M; Dulmet, E; Libert, JM; Mougeot, C; Moreau, R; Mazmanian, M; Humbert, M; Hervé, P</t>
  </si>
  <si>
    <t>WOS:000177474000025</t>
  </si>
  <si>
    <t>584NP</t>
  </si>
  <si>
    <t>10.1016/S0735-1097(02)02012-0</t>
  </si>
  <si>
    <t>PII S0735-1097(02)02012-0</t>
  </si>
  <si>
    <t>AUG 21</t>
  </si>
  <si>
    <t>Humbert, Marc/0000-0003-0703-2892; Rainisio, Maurizio/0000-0002-4450-5751; SITBON, Olivier/0000-0002-1942-1951; Nunes, Hilario/0000-0003-2896-7347</t>
  </si>
  <si>
    <t>Sitbon, Olivier/I-3623-2019; Nunes, Hilario/AAM-8127-2020; Simonneau, Gerald/ABE-6614-2020; Humbert, Marc/AAC-8459-2019</t>
  </si>
  <si>
    <t>Sitbon, O (corresponding author), Univ Paris Sud, Serv Pneumol &amp; Reanimat, UPRES EA 2705 Pulm Vasc Dis, Hop Antoine Beclere, Clamart, France.</t>
  </si>
  <si>
    <t>Univ Paris Sud, Serv Pneumol &amp; Reanimat, UPRES EA 2705 Pulm Vasc Dis, Hop Antoine Beclere, Clamart, France</t>
  </si>
  <si>
    <t>OBJECTIVES We sought to determine the factors associated with long-term survival in patients with primary pulmonary hypertension (PPH) treated with continuous epoprostenol infusion. BACKGROUND Epoprostenol. improves survival in patients with PPH in New York Heart Association (NYHA) functional class III or IV. However, some patients do not benefit from epoprostenol and must be considered for lung transplantation. The best timing for listing these patients on a lung transplantation program is currently unknown. METHODS Between December 1992 and January 2001, 178 patients with PPH in NYHA functional class III or IV were treated with epoprostenol. The 6-min walk test (WT) and right-sided heart catheterization were performed at baseline, after three months on epoprostenol and thereafter once a year. RESULTS Overall survival rates at one, two, three, and five years were 85%, 70%, 63%, and 55%, respectively. On univariate analysis, the baseline variables associated with a poor outcome were a history of right-sided heart failure, NYHA functional class IV, 6-min WT less than or equal to250 m (median value), right atrial pressure greater than or equal to12 mm Hg, and mean pulmonary artery pressure &lt;65 mm Hg. On multivariate analysis, including both baseline variables and those measured after three months on epoprostenol, a history of right-sided heart failure, persistence of NYHA functional class III or IV at three months, and the absence of a fall in total pulmonary resistance of &gt;30%, relative to baseline, were associated with poor survival. CONCLUSIONS Survival of patients with PPH treated with epoprostenol depends on the severity at baseline, as well as the three-month response to therapy. These findings suggest that lung transplantation should be considered in a subset of patients who remain in NYHA functional class III or IV or in those who cannot achieve a significant hemodynamic improvement after three months of epoprostenol therapy, or both. (C) 2002 by the American College of Cardiology Foundation.</t>
  </si>
  <si>
    <t>INHALED NITRIC-OXIDE; 6-MINUTE WALK; PROSTACYCLIN; THERAPY; AGENT</t>
  </si>
  <si>
    <t>Long-term intravenous epoprostenol infusion in primary pulmonary hypertension -: Prognostic factors and survival</t>
  </si>
  <si>
    <t>Sitbon, O; Humbert, M; Nunes, H; Parent, F; Garcia, G; Hervé, P; Rainisio, M; Simonneau, G</t>
  </si>
  <si>
    <t>WOS:000179172100002</t>
  </si>
  <si>
    <t>614DB</t>
  </si>
  <si>
    <t>10.1053/pcad.2002.128449</t>
  </si>
  <si>
    <t>Prog. Cardiovasc. Dis.</t>
  </si>
  <si>
    <t>PROG CARDIOVASC DIS</t>
  </si>
  <si>
    <t>1873-1740</t>
  </si>
  <si>
    <t>0033-0620</t>
  </si>
  <si>
    <t>Univ Paris Sud, Serv Pneumol &amp; Reanimat Resp, Hop Antoine Beclere, Pulm Vasc Ctr,Assistance Publ Hop Paris, 157 Rue Porte Trivaux, F-92140 Clamart, France.</t>
  </si>
  <si>
    <t>Assistance Publique Hopitaux Paris (APHP); Universite Paris Cite; Hopital Universitaire Saint-Louis - APHP; Universite Paris Saclay; Hopital Universitaire Antoine-Beclere - APHP</t>
  </si>
  <si>
    <t>Univ Paris Sud, Serv Pneumol &amp; Reanimat Resp, Hop Antoine Beclere, Pulm Vasc Ctr,Assistance Publ Hop Paris, F-92140 Clamart, France</t>
  </si>
  <si>
    <t>INHALED NITRIC-OXIDE; CONTINUOUS INTRAVENOUS EPOPROSTENOL; HEART-LUNG TRANSPLANTATION; CALCIUM-CHANNEL BLOCKERS; PROSTACYCLIN THERAPY; VASODILATOR THERAPY; ATRIAL SEPTOSTOMY; GAS-EXCHANGE; SHORT-TERM; VASCULAR-DISEASE</t>
  </si>
  <si>
    <t>PROGRESS IN CARDIOVASCULAR DISEASES</t>
  </si>
  <si>
    <t>Primary pulmonary hypertension: Current therapy</t>
  </si>
  <si>
    <t>Sitbon, O; Humbert, M; Simonneau, G</t>
  </si>
  <si>
    <t>WOS:000178187100036</t>
  </si>
  <si>
    <t>596VL</t>
  </si>
  <si>
    <t>10.1183/09031936.02.02702002</t>
  </si>
  <si>
    <t>Trembath, Richard/0000-0003-0550-3400; Humbert, Marc/0000-0003-0703-2892</t>
  </si>
  <si>
    <t>Univ Paris 11, Hop Antoine Beclere, Ctr Malad Vasc Pulm, UPRES 2705,Serv Pneumol &amp; Reanimat Resp, 157 Rue Porte Trivaux, F-92140 Clamart, France.</t>
  </si>
  <si>
    <t>Assistance Publique Hopitaux Paris (APHP); Hopital Universitaire Antoine-Beclere - APHP; Universite Paris Saclay; Universite Paris Saclay; University of Leicester; University of Leicester</t>
  </si>
  <si>
    <t>Univ Paris 11, Hop Antoine Beclere, Ctr Malad Vasc Pulm, UPRES 2705,Serv Pneumol &amp; Reanimat Resp, F-92140 Clamart, France; Univ Paris 11, Clamart, France; Univ Leicester, Div Med Genet, Dept Med, Leicester, Leics, England; Univ Leicester, Div Med Genet, Dept Genet, Leicester, Leics, England</t>
  </si>
  <si>
    <t>Primary pulmonary hypertension has been described as either sporadic or clustered in families. Familial primary pulmonary hypertension segregates as an autosomal dominant trait with markedly reduced disease gene penetrance. Defects within bone morphogenetic protein receptor type II gene, coding for a receptor member of the transforming growth factor-beta family, underlie familial primary pulmonary hypertension. Several lines of evidence point to the potential requirement of additional factors, either environmental or genetic, in the pathogenesis of the disease. In addition, a proportion of so-called sporadic primary pulmonary hypertension turns out to have an inherited basis, as demonstrated by germline bone morphogenetic protein receptor type II gene mutations. Analysis of cases in association with hereditary haemorrhagic telangiectasia led to the demonstration that pulmonary arterial hypertension can involve activin-receptor-like kinase 1 mutations, a type I transforming growth factor-beta receptor. These findings emphasise the critical role of the transforming growth factor-beta signalling pathway in pulmonary arterial hypertension. While this achievement has generated extreme interest, the pathobiology of severe pulmonary arterial hypertension remains unclear and genomic approaches to pulmonary hypertension research may identify additional molecular determinants for this disorder. Finally, there is an urgent need to develop relevant guidelines for genetic counselling to assist patients, their relatives and pulmonary vascular specialists to utilise these recent observations.</t>
  </si>
  <si>
    <t>HEREDITARY HEMORRHAGIC TELANGIECTASIA; GERMLINE MUTATIONS; ARTERY SMOOTH; SEROTONIN; RECEPTOR; DISEASE; BMPR2; RISK</t>
  </si>
  <si>
    <t>activin-receptor-like kinase 1; bone morphogenetic protein receptor type II gene; fenfluramine derivatives; hereditary haemorrhagic telangiectasia; primary pulmonary hypertension; pulmonary arterial hypertension</t>
  </si>
  <si>
    <t>Genetics of pulmonary hypertension: from bench to bedside</t>
  </si>
  <si>
    <t>Humbert, M; Trembath, RC</t>
  </si>
  <si>
    <t>WOS:000178187100004</t>
  </si>
  <si>
    <t>10.1183/09031936.02.01762002</t>
  </si>
  <si>
    <t>146 WEST ST, STE 2.4, HUTTONS BLDG, SHEFFIELD S1 4ES, ENGLAND</t>
  </si>
  <si>
    <t>NHLBI NIH HHS(United States Department of Health &amp; Human ServicesNational Institutes of Health (NIH) - USANIH National Heart Lung &amp; Blood Institute (NHLBI)); NIDDK NIH HHS(United States Department of Health &amp; Human ServicesNational Institutes of Health (NIH) - USANIH National Institute of Diabetes &amp; Digestive &amp; Kidney Diseases (NIDDK))</t>
  </si>
  <si>
    <t>NHLBI NIH HHS [HBLI-60056] Funding Source: Medline; NIDDK NIH HHS [DK-31813] Funding Source: Medline</t>
  </si>
  <si>
    <t>SITBON, Olivier/0000-0002-1942-1951; Humbert, Marc/0000-0003-0703-2892</t>
  </si>
  <si>
    <t>Morse, JH (corresponding author), Columbia Presbyterian Med Ctr, Dept Med, PH 8 E,Suite 101,630 W 168th St, New York, NY 10032 USA.</t>
  </si>
  <si>
    <t>Assistance Publique Hopitaux Paris (APHP); Hopital Universitaire Antoine-Beclere - APHP; Assistance Publique Hopitaux Paris (APHP); Hopital Universitaire Antoine-Beclere - APHP; Columbia University; Columbia University; Columbia University; Columbia University; New York State Psychiatry Institute; Columbia University</t>
  </si>
  <si>
    <t>Hop Antoine Beclere, Serv Pneumol, Clamart, France; Hop Antoine Beclere, Hematol Serv, Clamart, France; Columbia Univ Coll Phys &amp; Surg, Dept Med, New York, NY 10032 USA; Columbia Univ Coll Phys &amp; Surg, Dept Pediat, New York, NY 10032 USA; Columbia Univ Coll Phys &amp; Surg, Dept Psychiat, New York, NY 10032 USA; Columbia Univ, Sch Publ Hlth, New York State Psychiat Inst, New York, NY USA; Columbia Univ, Sch Publ Hlth, Div Biostat, New York, NY USA</t>
  </si>
  <si>
    <t>This study investigated whether patients developing pulmonary arterial hypertension (PAH) after exposure to the appetite suppressants fenfluramine and dexfenfluramine have mutations in the bone morphogenetic protein receptor 2 (BMPR2) gene, as reported in primary pulmonary hypertension. BMPR2 was examined for mutations in 33 unrelated patients with sporadic PAH, and in two sisters with PAH, all of whom bad taken fenfluramine derivatives, as well as in 130 normal controls. The PAH patients also underwent cardiac catheterisation and body mass determinations. Three BMPR2 mutations predicting changes in the primary structure of the BMPR-II protein were found in three of the 33 unrelated patients (9%), and a fourth mutation was found in the two sisters. No BMPR2 mutations were identified in the 130 normal controls. This difference in frequency was statistically significant. Moreover, the mutation-positive patients had a somewhat shorter duration of fenfluramine exposure before illness than the mutation-negative patients a difference that was statistically significant when the two sisters were included in the analysis. In conclusion, the present authors have detected bone morphogenetic protein receptor 2 mutations that appear to be rare in the general population but may combine with exposure to fenfluramine derivatives to greatly increase the risk of developing severe pulmonary arterial hypertension.</t>
  </si>
  <si>
    <t>PERFORMANCE LIQUID-CHROMATOGRAPHY; HEART-DISEASE; SEROTONIN; DEXFENFLURAMINE; PHENTERMINE; RECEPTOR; MUSCLE; SMOOTH; GENE</t>
  </si>
  <si>
    <t>anorexigens; bone morphogenetic receptor 2; fenfluramine; pulmonary hypertension</t>
  </si>
  <si>
    <t>BMPR2 germline mutations in pulmonary hypertension associated with fenfluramine derivatives</t>
  </si>
  <si>
    <t>Humbert, M; Deng, Z; Simonneau, G; Barst, RJ; Sitbon, O; Wolf, M; Cuervo, N; Moore, KJ; Hodge, SE; Knowles, JA; Morse, JH</t>
  </si>
  <si>
    <t>WOS:000178187100001</t>
  </si>
  <si>
    <t>10.1183/09031936.02.03292002</t>
  </si>
  <si>
    <t>Dinh-Xuan, Anh Tuan/0000-0001-8651-5176; Humbert, Marc/0000-0003-0703-2892</t>
  </si>
  <si>
    <t>Dinh-Xuan, Anh Tuan/A-9691-2008; Humbert, Marc/AAC-8459-2019</t>
  </si>
  <si>
    <t>Dinh-Xuan, AT (corresponding author), Hop Cochin, Serv Physiol Explorat Fonct, 27 Rue Faubourg St Jacques, F-75679 Paris 14, France.</t>
  </si>
  <si>
    <t>Universite Paris Cite; Assistance Publique Hopitaux Paris (APHP); Hopital Universitaire Saint-Louis - APHP; Hopital Universitaire Cochin - APHP; Assistance Publique Hopitaux Paris (APHP); Hopital Universitaire Antoine-Beclere - APHP; Universite Libre de Bruxelles</t>
  </si>
  <si>
    <t>Univ Paris 05, Assistance Publ Hop Paris, CHU Cochin, Serv Physiol Explorat Fonct, Paris, France; Hop Antoine Beclere, Serv Pneumol, Clamart, France; Hop Univ Erasme, Dept Soins Intensifs, Brussels, Belgium</t>
  </si>
  <si>
    <t>MEDICAL-TREATMENT; LUNG-DISEASE; RECEPTOR; ARTERY</t>
  </si>
  <si>
    <t>Severe pulmonary hypertension: walking through new paths to revisit an old field</t>
  </si>
  <si>
    <t>Dinh-Xuan, AT; Humbert, M; Naeije, R</t>
  </si>
  <si>
    <t>WOS:000178311000040</t>
  </si>
  <si>
    <t>599AN</t>
  </si>
  <si>
    <t>Biochemistry &amp; Molecular Biology; Cell Biology; Research &amp; Experimental Medicine</t>
  </si>
  <si>
    <t>Biochemistry &amp; Molecular Biology; Cell Biology; Medicine, Research &amp; Experimental</t>
  </si>
  <si>
    <t>10.1038/nm764</t>
  </si>
  <si>
    <t>Nat. Med.</t>
  </si>
  <si>
    <t>NAT MED</t>
  </si>
  <si>
    <t>1546-170X</t>
  </si>
  <si>
    <t>1078-8956</t>
  </si>
  <si>
    <t>Peoc'h, Katell/0000-0002-8203-1243; Humbert, Marc/0000-0003-0703-2892; Maroteaux, Luc/0000-0002-9499-8603</t>
  </si>
  <si>
    <t>Nebigil, Canan/AAK-7162-2021; Maroteaux, Luc/H-4585-2019; callebert, jacques/L-4569-2017; Simonneau, Gerald/ABE-6614-2020; Peoc'h, Katell/V-1604-2017; Humbert, Marc/AAC-8459-2019</t>
  </si>
  <si>
    <t>lucm@igbmc.u-strasbg.fr</t>
  </si>
  <si>
    <t>Univ Strasbourg 1, INSERM, CNRS, Inst Genet &amp; Biol Mol &amp; Cellulaire, Illkirch Graffenstaden, France.</t>
  </si>
  <si>
    <t>Universites de Strasbourg Etablissements Associes; Universite de Strasbourg; Centre National de la Recherche Scientifique (CNRS); Institut National de la Sante et de la Recherche Medicale (Inserm); Assistance Publique Hopitaux Paris (APHP); Universite Paris Cite; Hopital Universitaire Lariboisiere-Fernand-Widal - APHP; Assistance Publique Hopitaux Paris (APHP); Universite Paris Cite; Hopital Universitaire Lariboisiere-Fernand-Widal - APHP; Hopital Marie Lannelongue; Assistance Publique Hopitaux Paris (APHP); Hopital Universitaire Antoine-Beclere - APHP</t>
  </si>
  <si>
    <t>Univ Strasbourg 1, INSERM, CNRS, Inst Genet &amp; Biol Mol &amp; Cellulaire, Illkirch Graffenstaden, France; Hop Lariboisiere AP HP, Serv Biochim, CRC Bernard Pathol Expt &amp; Commun Cellulaires, Paris, France; Hop Lariboisiere AP HP, Serv Angiohematol, CRC Bernard Pathol Expt &amp; Commun Cellulaires, Paris, France; Ctr Chirurg Marie Lannelongue, Le Plessis Robinson, France; Hop Antoine Beclere AP HP, UPRES Malad Vasc &amp; Pulm, Clamart, France</t>
  </si>
  <si>
    <t>Primary pulmonary hypertension is a progressive and often fatal disorder in humans that results from an increase in pulmonary blood pressure associated with abnormal vascular proliferation. Dexfenfluramine increases the risk of pulmonary hypertension in humans, and its active metabolite is a selective serotonin 5-hydroxytryptamine 2B (5-HT2B) receptor agonist. Thus, we investigated the contribution of the 5-HT2B receptor to the pathogenesis of pulmonary hypertension. Using the chronic-hypoxic-mouse model of pulmonary hypertension, we found that the hypoxia-dependent increase in pulmonary blood pressure and lung remodeling are associated with an increase in vascular proliferation, elastase activity and transforming growth factor-beta levels, and that these parameters are potentiated by dexfenfluramine treatment. In contrast, hypoxic mice with genetically or pharmacologically inactive 5-HT2B receptors manifested no change in any of these parameters. In both humans and mice, pulmonary hypertension is associated with a substantial increase in 5-HT2B receptor expression in pulmonary arteries. These data show that activation of 5-HT2B receptors is a limiting step in the development of pulmonary hypertension.</t>
  </si>
  <si>
    <t>VASCULAR SMOOTH-MUSCLE; 5-HT2B RECEPTORS; DEXFENFLURAMINE TREATMENT; PLASMA SEROTONIN; CHRONIC HYPOXIA; ARTERY SMOOTH; FENFLURAMINE; MICE; CELLS; RATS</t>
  </si>
  <si>
    <t>NATURE MEDICINE</t>
  </si>
  <si>
    <t>Function of the serotonin 5-hydroxytryptamine 2B receptor in pulmonary hypertension</t>
  </si>
  <si>
    <t>Launay, JM; Hervé, P; Peoc'h, K; Tournois, C; Callebert, J; Nebigil, CG; Etienne, N; Drouet, L; Humbert, M; Simonneau, G; Maroteaux, L</t>
  </si>
  <si>
    <t>WOS:000178904800017</t>
  </si>
  <si>
    <t>609LJ</t>
  </si>
  <si>
    <t>10.1007/BF02680003</t>
  </si>
  <si>
    <t>S96</t>
  </si>
  <si>
    <t>S93</t>
  </si>
  <si>
    <t>Humbert, M (corresponding author), Hop Antoine Beclere, Ctr Malad Vasc Pulm, Serv Pneumol, 157 Rue Porte Trivaux, F-92140 Clamart, France.</t>
  </si>
  <si>
    <t>Assistance Publique Hopitaux Paris (APHP); Hopital Universitaire Antoine-Beclere - APHP; Assistance Publique Hopitaux Paris (APHP); Universite Paris Cite; Hopital Universitaire Saint-Louis - APHP; Hopital Universitaire Antoine-Beclere - APHP; Universite Paris Saclay</t>
  </si>
  <si>
    <t>Hop Antoine Beclere, Ctr Malad Vasc Pulm, Serv Pneumol, F-92140 Clamart, France; Univ Paris Sud, Assistance Publ Hop Paris, Hop Antoine Beclere, Serv Pediat, Paris, France</t>
  </si>
  <si>
    <t>Pulmonary arterial hypertension is characterised by the presence of pulmonary hypertension (mean pulmonary artery pressure &gt; 25 mmHg at rest or &gt; 30 mmHg during exercise) and normal pulmonary wedge pressure (&lt; 12 mmHg). Several risk factors for pulmonary arterial hypertension have been described. In the absence of any factor or condition suspected to play a causal or facilitating role in the process, pulmonary hypertension is unexplained (primary pulmonary hypertension, PPH). PPH is a rare condition, with an estimated incidence of 2 per million people. Recent genetic studies have identified mutations in the bone morphogenetic protein receptor-II (BMPR-II) gene, a receptor member of the transforming growth factor-beta family, in a majority of familial cases of PPH. Interestingly, 25% of patients displaying sporadic PPH may also have mutations in the BMPR-II gene, emphasising the relevance of genetic susceptibility for this severe condition. Other molecular and biochemical processes behind the complex vascular changes associated with pulmonary arterial hypertension are currently investigated. Type la glycogen storage disease caused by a deficiency of glucose-6-phosphatase has an estimated incidence of 1 per 100,000 with a few reported cases of unexplained severe pulmonary hypertension. The occurrence of pulmonary arterial hypertension in type la glycogen storage disease could be due to vasoconstrictive amines such as serotonin, a pulmonary vasoconstrictor and growth factor for vascular smooth muscle cells stored in platelets.</t>
  </si>
  <si>
    <t>GERMLINE MUTATIONS; RECEPTOR; GENE</t>
  </si>
  <si>
    <t>primary pulmonary hypertension; pulmonary hypertension; serotonin; type 1 glycogen storage disease</t>
  </si>
  <si>
    <t>Severe pulmonary in type 1 glycogen arterial hypertension storage disease</t>
  </si>
  <si>
    <t>Humbert, M; Labrune, P; Simonneau, G</t>
  </si>
  <si>
    <t>WOS:000184454300001</t>
  </si>
  <si>
    <t>706LC</t>
  </si>
  <si>
    <t>Biochemistry &amp; Molecular Biology; Hematology</t>
  </si>
  <si>
    <t>10.1081/HEM-120023377</t>
  </si>
  <si>
    <t>Hemoglobin</t>
  </si>
  <si>
    <t>HEMOGLOBIN</t>
  </si>
  <si>
    <t>1532-432X</t>
  </si>
  <si>
    <t>0363-0269</t>
  </si>
  <si>
    <t>JAIS, XAVIER/0000-0002-4104-7994; Ioos, Vincent/0000-0001-6959-5602; Till, Stephen/0000-0003-4518-3093; Humbert, Marc/0000-0003-0703-2892</t>
  </si>
  <si>
    <t>delaunay@kb.inserm.fr</t>
  </si>
  <si>
    <t>Univ Paris Sud, Hop Bicetre, Serv Hematol Immunol &amp; Cytogenet, AP HP, 84 Rue Gen Leclerc, F-94276 Le Kremlin Bicetre, France.</t>
  </si>
  <si>
    <t>Assistance Publique Hopitaux Paris (APHP); Hopital Universitaire Antoine-Beclere - APHP; Universite Paris Saclay; Hopital Universitaire Bicetre - APHP; Assistance Publique Hopitaux Paris (APHP); Hopital Universitaire Antoine-Beclere - APHP; Universite Paris Saclay; Institut National de la Sante et de la Recherche Medicale (Inserm); Hopital Marie Lannelongue; Universite Paris Saclay</t>
  </si>
  <si>
    <t>Univ Paris Sud, Hop Bicetre, Serv Hematol Immunol &amp; Cytogenet, AP HP, F-94276 Le Kremlin Bicetre, France; Univ Paris Sud, UPRES EA 2705, Serv Pneumol, Hop Antoine Beclere,AP HP, Clamart, France; INSERM, U473, F-94275 Le Kremlin Bicetre, France; Univ Paris Sud, Serv Chirurg Thorac, Ctr Chirurg Marie Lannelongue, Le Plessis Robinson, France</t>
  </si>
  <si>
    <t>Dehydrated hereditary stomatocytosis (DHS) belongs to the heterogeneous class of hemolytic anemias with leaky red cell membranes. Splenectomy is a highly deleterious treatment, because it favors, with virtually no exception, the occurrence of thromboembolic disease. We describe here the extreme case of a patient with DHS and an associated sickle cell trait. Splenectomy was carried out due to a splenic infarction that occurred during an airplane journey. About 12 years later, the patient noticed an exertional dyspnea, which gradually worsened to such a degree that she became severely incapacitated within 5 years. Eventually, the patient developed a cor pulmonale associated with chronic thrombo-embolic pulmonary hypertension (CTEPH) and successfully underwent a heart-lung transplant operation. This case ranks as one of the most severe examples ever recorded of the effect that splenectomy may have in DHS patients. Nonetheless, it represents the first case to receive a heart-lung transplant.</t>
  </si>
  <si>
    <t>PORTAL-VEIN THROMBOSIS; SICKLE-CELL TRAIT; THALASSEMIA-INTERMEDIA; PERINATAL EDEMA; SPHEROCYTOSIS; PSEUDOHYPERKALEMIA; THROMBOCYTOSIS; XEROCYTOSIS; PATIENT; ASCITES</t>
  </si>
  <si>
    <t>dehydrated hereditary stomatocytosis (DHS); splenectomy; thrombo-embolic pulmonary hypertension; heart-lung transplant</t>
  </si>
  <si>
    <t>An extreme consequence of splenectomy in dehydrated hereditary stomatocytosis:: Gradual thrombo-embolic pulmonary hypertension and lung-heart transplantation</t>
  </si>
  <si>
    <t>Jaïs, X; Till, SJ; Cynober, T; Ioos, V; Garcia, G; Tchernia, G; Dartevelle, P; Simonneau, G; Delaunay, J; Humbert, M</t>
  </si>
  <si>
    <t>WOS:000180626500036</t>
  </si>
  <si>
    <t>639KB</t>
  </si>
  <si>
    <t>10.1093/rheumatology/keg050</t>
  </si>
  <si>
    <t>Humbert, M (corresponding author), Hop Antoine Beclere, Serv Pneumol &amp; Reanimat Resp, Ctr Malad Vasc Pulm, 157 Rue Porte Trivaux, F-92141 Clamart, France.</t>
  </si>
  <si>
    <t>Assistance Publique Hopitaux Paris (APHP); Hopital Universitaire Antoine-Beclere - APHP; Assistance Publique Hopitaux Paris (APHP); Sorbonne Universite; Hopital Universitaire Saint-Antoine - APHP</t>
  </si>
  <si>
    <t>Hop Antoine Beclere, Serv Pneumol &amp; Reanimat Resp, Ctr Malad Vasc Pulm, F-92141 Clamart, France; Hop St Antoine, Serv Med Interne, F-75571 Paris 12, France</t>
  </si>
  <si>
    <t>DISEASE; CELLS</t>
  </si>
  <si>
    <t>Successful treatment of systemic sclerosis digital ulcers and pulmonary arterial hypertension with endothelin receptor antagonist bosentan</t>
  </si>
  <si>
    <t>Humbert, M; Cabane, J</t>
  </si>
  <si>
    <t>WOS:000181355500003</t>
  </si>
  <si>
    <t>652AA</t>
  </si>
  <si>
    <t>10.1034/j.1398-9995.2003.02171.x</t>
  </si>
  <si>
    <t>Hop Antoine Beclere, Assistance Publ Hopitaux Paris, Serv Pneumol &amp; Reanimat Resp, 157 Rue Porte Trivaux, F-92140 Clamart, France.</t>
  </si>
  <si>
    <t>Hop Antoine Beclere, Assistance Publ Hopitaux Paris, Serv Pneumol &amp; Reanimat Resp, F-92140 Clamart, France</t>
  </si>
  <si>
    <t>STEROID-RESISTANT ASTHMA; VOCAL-CORD DYSFUNCTION; ALLERGIC BRONCHOPULMONARY ASPERGILLOSIS; GASTROESOPHAGEAL REFLUX DISEASE; OBSTRUCTIVE PULMONARY-DISEASE; CHURG-STRAUSS-SYNDROME; NON-BRITTLE ASTHMA; NEAR-FATAL ASTHMA; DOUBLE-BLIND; BRONCHIAL HYPERRESPONSIVENESS</t>
  </si>
  <si>
    <t>Difficult asthma</t>
  </si>
  <si>
    <t>Garcia, G; Adler, M; Humbert, M</t>
  </si>
  <si>
    <t>WOS:000182641300002</t>
  </si>
  <si>
    <t>674MV</t>
  </si>
  <si>
    <t>Sarcoidosis Vasc. Diffus. Lung Dis.</t>
  </si>
  <si>
    <t>SARCOIDOSIS VASC DIF</t>
  </si>
  <si>
    <t>1124-0490</t>
  </si>
  <si>
    <t>VIA DELLA LODESANA 649-SX, FIDENZA, 43046 PR, ITALY</t>
  </si>
  <si>
    <t>FIDENZA</t>
  </si>
  <si>
    <t>MATTIOLI 1885</t>
  </si>
  <si>
    <t>Dorfmuller, Peter/0000-0003-2499-6829; Humbert, Marc/0000-0003-0703-2892</t>
  </si>
  <si>
    <t>dorfmuller_p@hotmail.com</t>
  </si>
  <si>
    <t>Ruhr University Bochum; Universite Paris Saclay; Assistance Publique Hopitaux Paris (APHP); Hopital Universitaire Antoine-Beclere - APHP</t>
  </si>
  <si>
    <t>Univ Klin, Berufsgenossensch Klin Bergmannsheil, Inst Pathol, D-44789 Bochum, Germany; Univ Paris Sud, Hop Antoine Beclere, Serv Anat Pathol, Serv Pneumol &amp; Reanimat Resp, Clamart, France</t>
  </si>
  <si>
    <t>Pulmonary Arterial Hypertension (PAH) is a term which has been recently defined at the WHO-meeting in Evian and includes Primary Pulmonary Hypertension (PPH), as well as PAH related to specific pathological conditions. The poor prognosis of the disease seems to be related to a peculiar pathological anatomy, consisting of characteristic lesions of small, muscular pulmonary arteries. In addition-to common hypertrophy of the tunica media, other proliferative lesions such as intimal thickening or plexiform lesions are summarized under the term of plexogenic arteriopathy. Moreover, in situ thrombosis and rarely isolated pulmonary arteritis can be observed in lungs of patients displaying PAR Different pathomechanisms explaining these morphological changes of pulmonary vasculature have been discussed in the past, including endothelial and thrombocytic dysfunction, deregulated vasoconstriction, coagulation abnormalities, or cancer-like growth. Furthermore, latest studies on the importance of inflammatory mediators, so-called chemokines, in the lungs of PAH patients have brought a possible inflammatory component of the disease into consideration. Finally, recent identification of responsible gene mutations in subgroups of patients, as well as latest developments in genetic screening have shed some light into the modus of inheritance. Nevertheless, the role and impact of these different pathomechanisms have yet to be better defined.</t>
  </si>
  <si>
    <t>IMMUNODEFICIENCY-VIRUS-INFECTION; CX3C CHEMOKINE FRACTALKINE; CAPILLARY HEMANGIOMATOSIS; VENOOCCLUSIVE DISEASE; ENDOTHELIAL DYSFUNCTION; PLEXIFORM LESIONS; RECEPTOR CX3CR1; MESSENGER-RNA; EXPRESSION; PROSTACYCLIN</t>
  </si>
  <si>
    <t>pulmonary arterial hypertension; primary pulmonary hypertension; plexiform lesion; inflammation.; endothelial cell; chemokines</t>
  </si>
  <si>
    <t>SARCOIDOSIS VASCULITIS AND DIFFUSE LUNG DISEASES</t>
  </si>
  <si>
    <t>Pathology and aspects of pathogenesis in pulmonary arterial hypertension</t>
  </si>
  <si>
    <t>Dorfmüller, P; Humbert, M; Capron, F; Müller, KM</t>
  </si>
  <si>
    <t>WOS:000181789900011</t>
  </si>
  <si>
    <t>659QX</t>
  </si>
  <si>
    <t>10.1046/j.1365-2249.2003.02118.x</t>
  </si>
  <si>
    <t>Clin. Exp. Immunol.</t>
  </si>
  <si>
    <t>CLIN EXP IMMUNOL</t>
  </si>
  <si>
    <t>1365-2249</t>
  </si>
  <si>
    <t>0009-9104</t>
  </si>
  <si>
    <t>Humbert, Marc/0000-0003-0703-2892; Balabanian, Karl/0000-0002-0534-3198; Till, Stephen/0000-0003-4518-3093</t>
  </si>
  <si>
    <t>Balabanian, Karl/S-6250-2019; Humbert, Marc/AAC-8459-2019; Balabanian, Karl/I-2990-2016</t>
  </si>
  <si>
    <t>Hop Antoine Beclere, Serv Pneumol &amp; Reanimat Resp, 157 Rue Porte Trivaux, F-92140 Clamart, France.</t>
  </si>
  <si>
    <t>Assistance Publique Hopitaux Paris (APHP); Hopital Universitaire Antoine-Beclere - APHP; Universite Paris Cite; Hopital Universitaire Saint-Louis - APHP; Universite Paris Saclay; Institut National de la Sante et de la Recherche Medicale (Inserm); Universite Paris Saclay; CEA</t>
  </si>
  <si>
    <t>Univ Paris Sud, Assistance Publ Hop Paris, Hop Antoine Beclere,Inst Paris Sud Cytokines, INSERM,U131,UPRES EA 2705,Serv Pneumol, Clamart, France; CEA, Serv Neurovirol, Fontenay Aux Roses, France</t>
  </si>
  <si>
    <t>Our objective was to characterize T-cell responses to Phleum pratense in grass pollen allergic individuals and healthy controls using the fluorescent dye PKH26. Peripheral blood mononuclear cells were stimulated with P. pratense , or with recall antigens, and CD3+/CD4+ and CD3+/CD8+ T-cells that had proliferated were analysed by flow cytometry. In the presence of P. pratense CD4+/CD3+ T-cells proliferated more in grass pollen sensitive atopic patients than in nonallergic controls or in nongrass pollen sensitive atopic subjects. PPD and TT recall antigens elicited uniformly high proliferation in all T-cell subsets. Only half of pollen sensitive patients also had an increased proliferation of CD3+/CD8+ T-cells in response to P. pratense. We determined precursor frequency of CD4+ T cells in the original population that responded to P. pratense and found values ranging from 1 x 10(-3) to 0.6 x 10(-1), in the same range as those measured for PPD and TT. In conclusion, grass pollen sensitive atopic patients show enhanced CD4+ T-cell reactivity to P. pratense, and this could be related to the presence of elevated numbers of circulating allergen-specific CD4+ T cells. This flow cytometric method should allow the identification of other phenotypic markers such as intracellular cytokines in allergen specific responding CD4+ T cells.</t>
  </si>
  <si>
    <t>PRIMARY CULTURE; EXPRESSION; DISEASE; TYPE-1; BLOOD; IGE</t>
  </si>
  <si>
    <t>allergen; fluorescent dye; T-lymphocyte; precursor frequency</t>
  </si>
  <si>
    <t>CLINICAL AND EXPERIMENTAL IMMUNOLOGY</t>
  </si>
  <si>
    <t>Evaluation of CD4+ T cells proliferating to grass pollen in seasonal allergic subjects by flow cytometry</t>
  </si>
  <si>
    <t>Rimaniol, AC; Garcia, G; Till, SJ; Capel, F; Gras, G; Balabanian, K; Emilie, D; Humbert, M</t>
  </si>
  <si>
    <t>WOS:000182862100025</t>
  </si>
  <si>
    <t>678HV</t>
  </si>
  <si>
    <t>10.1164/rccm.200204-330OC</t>
  </si>
  <si>
    <t>Humbert, M (corresponding author), Univ Paris Sud, Hop Antoine Beclere, Assistance Publ Hop Paris,UPRES 2705, Serv Pneumol &amp; Renaimat Resp,Ctr Malad Vasc Pulm, 157 Rue Porte Trivaux, F-92140 Clamart, France.</t>
  </si>
  <si>
    <t>Assistance Publique Hopitaux Paris (APHP); Hopital Universitaire Antoine-Beclere - APHP; Universite Paris Saclay; Universite Paris Cite; Hopital Universitaire Saint-Louis - APHP; New York State Psychiatry Institute; Columbia University; Columbia University; New York State Psychiatry Institute; New York State Psychiatry Institute; Columbia University</t>
  </si>
  <si>
    <t>Univ Paris Sud, Hop Antoine Beclere, Assistance Publ Hop Paris,UPRES 2705, Serv Pneumol &amp; Renaimat Resp,Ctr Malad Vasc Pulm, F-92140 Clamart, France; Columbia Univ Coll Phys &amp; Surg, New York State Psychiat Inst, Dept Med, New York, NY 10032 USA; Columbia Univ Coll Phys &amp; Surg, New York State Psychiat Inst, Dept Pediat, New York, NY 10032 USA; Columbia Univ Coll Phys &amp; Surg, New York State Psychiat Inst, Dept Psychiat, New York, NY 10032 USA</t>
  </si>
  <si>
    <t>We report a large monocentric case series of 82 patients with human immunodeficiency virus-associated pulmonary arterial hypertension (PAH). No germline mutations of the PPH1 gene (bone morphogenetic protein receptor-II) were found in any of the 19 patients tested. PAH was the direct cause of death in 72% of cases. Survival rates of the overall population at 1, 2, and 3 years were 73, 60, and 47%, respectively. Survival was significantly poorer in patients in New York Heart Association functional class III-IV at the time of diagnosis, as compared with those in functional class I-II with respective rates of 60, 45, and 28% versus 100, 90, 84% at 1, 2, and 3 years (p &lt; 0.0001). Subsequently, we analyzed prognostic factors in patients in functional class III-IV. Univariate analysis indicated that CD4 lymphocyte count of more than 212 cells mm(-3), the use of combination antiretroviral therapy (CART), and epoprostenol infusion were related with a better survival. On multivariate analysis only CD4 lymphocyte count was an independent predictor of survival, presumably because CART and epoprostenol infusion were strongly linked in our patient population. These results suggest that patients with severe human immunodeficiency virus-associated PAH should be considered for long-term epoprostenol infusion in association with CART.</t>
  </si>
  <si>
    <t>EPOPROSTENOL PROSTACYCLIN THERAPY; PERFORMANCE LIQUID-CHROMATOGRAPHY; CALCIUM-CHANNEL BLOCKERS; GERMLINE MUTATIONS; ANTIRETROVIRAL THERAPY; HIV-INFECTION; MORTALITY; RECEPTOR; BMPR2</t>
  </si>
  <si>
    <t>epoprostenol; combination antiretroviral therapy; human immunodeficiency virus; pulmonary hypertension</t>
  </si>
  <si>
    <t>Prognostic factors for survival in human immunodeficiency virus-associated pulmonary arterial hypertension</t>
  </si>
  <si>
    <t>Nunes, H; Humbert, M; Sitbon, O; Morse, JH; Deng, ZM; Knowles, JA; Le Gall, C; Parent, F; Garcia, G; Hervé, P; Barst, RJ; Simonneau, G</t>
  </si>
  <si>
    <t>WOS:000183162400007</t>
  </si>
  <si>
    <t>683RC</t>
  </si>
  <si>
    <t>MAY 17</t>
  </si>
  <si>
    <t>SANCHEZ, Olivier/0000-0003-1633-8391; Humbert, Marc/0000-0003-0703-2892; Nunes, Hilario/0000-0003-2896-7347; Ioos, Vincent/0000-0001-6959-5602</t>
  </si>
  <si>
    <t>Humbert, M (corresponding author), Hop Antoine Beclere, Serv Pneumol &amp; Reanimat Resp, Ctr Malad Vasc Pulm, UPRES EA 2705, 157 Rue Porte Trivaux, F-92140 Clamart, France.</t>
  </si>
  <si>
    <t>Hop Antoine Beclere, Serv Pneumol &amp; Reanimat Resp, Ctr Malad Vasc Pulm, UPRES EA 2705, F-92140 Clamart, France</t>
  </si>
  <si>
    <t>A complication of certain systemic diseases Pulmonary hypertension (PH) can complicate the progression of certain systemic diseases such as sarcoidosis, histiocytosis X and some vasculites. The mechanisms at the origin of PH are varied and always require rigorous analysis in order to optimise treatment. Depending on the disease PH associated with sarcoidosis is essentially related to specific lung parenchymal fibrosis and is poorly responder to corticosteroids. Other mechanisms may be more rarely incriminated (compressive andenopathies, mediastinal fibrosis, florid sarcoidosis concomitant to a pulmonary occlusive vascular disease...). During histiocytosis X, the ventilatory limitation of these patients does not always correlate with the severity of the respiratory failure, suggesting the existence of a pulmonary vascular disease progressing independently of the pulmonary parenchymal lesions. The pulmonary artery damage during Takayasu's arteritis and other auto-immune pulmonary arteritis may lead to potentially life-threatening complications, notably through stenosis and/or obstruction of the pulmonary arteries. Pulmonary hypertension is exceptional during Wegener's disease or periateritis nodosa. Conclusion PH can complicate the progression of certain systemic diseases. The physiopathological mechanisms responsible are unclear (specific parenchymal fibrosis, isolated vascular involvement...). Globally, available treatments are disappointing. (C) 2003, Masson, Paris.</t>
  </si>
  <si>
    <t>CAPILLARY HEMANGIOMATOSIS; HISTIOCYTOSIS-X; PROSTACYCLIN; INVOLVEMENT; MANAGEMENT; PATIENT</t>
  </si>
  <si>
    <t>Pulmonary artery hypertension complicating systemic diseases other than diseases of the connective tissue</t>
  </si>
  <si>
    <t>Sanchez, O; Garcia, G; Hamid, A; Nunes, H; Ioos, V; Andriamihoatra, THR; Parent, F; Simonneau, G; Humbert, M</t>
  </si>
  <si>
    <t>WOS:000183162400006</t>
  </si>
  <si>
    <t>SANCHEZ, Olivier/0000-0003-1633-8391; SITBON, Olivier/0000-0002-1942-1951; Humbert, Marc/0000-0003-0703-2892; JAIS, XAVIER/0000-0002-4104-7994</t>
  </si>
  <si>
    <t>Most important Pulmonary hypertension (PH) is a severe, potentially life-threatening complication of connective tissue diseases, among which scleroderma is first line. The aim of this paper was to review the literature and report our experience with this particular complication of connective tissue diseases. In our centre of pulmonary vascular diseases, connective tissue diseases represent the third cause of PH. Results Scleroderma and particularly its limited cutaneous variant, the CREST syndrome, is the most common connective tissue disease affected by pulmonary hypertension. It can be related to a specific lung parenchymal involvement (hypoxic PH), to an isolated pulmonary vascular involvement or to a cardiac dysfunction secondary to specific myocardial lesions. Diagnosis Echocardiography is an excellent examination to detect pulmonary hypertension. However, right heart catheterisation is necessary to confirm the diagnosis of pulmonary hypertension and to test vasoreactivity with a potent vasodilator such as nitric oxide (NO). Regarding treatments Oral calcium channel blockers are indicated in patients who are responders to acute NO tests. Treatment with continuous intravenous prostacylin is obviously an improvement, at least functionally, although it appears less effective than in primary PH. With the new subcutaneous, oral and inhaled vasodilatators (prostaglandin and endothelin receptor antagonists), a few cases of improvement of PH with intensive immunosuppressive therapy were observed, essentially during systemic lupus erythematosus and Sharp syndrom. In practice PH is a severe complication of connective tissue diseases. Early detection of this complication should allow an earlier and more aggressive, therapeutic approach in these patients, before irreversible vascular lesions occur. (C) 2003, Masson, Paris.</t>
  </si>
  <si>
    <t>SYSTEMIC-LUPUS-ERYTHEMATOSUS; INHALED NITRIC-OXIDE; CONTINUOUS INTRAVENOUS EPOPROSTENOL; HEART-LUNG TRANSPLANTATION; CALCIUM-CHANNEL BLOCKERS; PLACEBO-CONTROLLED TRIAL; CREST SYNDROME VARIANT; ARTERIAL-HYPERTENSION; PROSTACYCLIN ANALOG; VASCULAR-DISEASE</t>
  </si>
  <si>
    <t>Pulmonary hypertension associated with connective tissue diseases</t>
  </si>
  <si>
    <t>Sanchez, O; Sitbon, O; Garcia, G; Jaïs, X; Simonneau, G; Humbert, M</t>
  </si>
  <si>
    <t>WOS:000183162400005</t>
  </si>
  <si>
    <t>Olga, Sanchez/C-4771-2011; Humbert, Marc/AAC-8459-2019</t>
  </si>
  <si>
    <t>Classification is difficult</t>
  </si>
  <si>
    <t>Sanchez, O; Simonneau, G; Humbert, M</t>
  </si>
  <si>
    <t>WOS:000183592200007</t>
  </si>
  <si>
    <t>691EQ</t>
  </si>
  <si>
    <t>10.1016/S0335-7457(03)00110-2</t>
  </si>
  <si>
    <t>Humbert, M (corresponding author), Univ Paris 11, Hop Antoine Beclere, Inst Paris Sud Cytokines, UPRES EA 2705,Serv Pneumol &amp; Reanimat Resp, 157 Rue de la Porte de Trivaux, F-91240 Clamart, France.</t>
  </si>
  <si>
    <t>Univ Paris 11, Hop Antoine Beclere, Inst Paris Sud Cytokines, UPRES EA 2705,Serv Pneumol &amp; Reanimat Resp, F-91240 Clamart, France</t>
  </si>
  <si>
    <t>Asthma is widely regarded as a clinical manifestation of atopy. Especially pertinent in infants, this notion is less evident in adults, where there is a classic distinction between atopic (extrinsic) asthma and non-atopic (intrinsic) asthma. The latter occurs later in life, mostly in females, and nasal polyposis, aspirin sensitivity and cortico-dependence are common in patients with non-atopic asthma. In this patient population, there is no history of allergy, skin prick tests are negative for all aeroallergens tested, and serum levels of total as well as specific immunoglobulin E are within the normal range. The majority of publications on this subject point nevertheless to the existence of clinical and biological markers of allergic inflammation, taken here in the broadest sense, in asthmatics in general, including those with apparently intrinsic asthma. In particular, recent work has demonstrated the possibility of increased production of IL-4, IL-13, Iepsilon, Cepsilon, and FcepsilonRI in both allergic and non-allergic asthmatics. (C) 2003 Editions scientifiques et medicales Elsevier SAS. All rights reserved.</t>
  </si>
  <si>
    <t>AFFINITY IGE RECEPTOR; EPSILON-HEAVY-CHAIN; NONATOPIC ASTHMA; GENE TRANSCRIPTS; MESSENGER-RNA; EXPRESSION; HISTAMINE; BIOPSIES; RELEASE; CELLS</t>
  </si>
  <si>
    <t>atopy; allergy; asthma; immunoglobulin E; cytokines</t>
  </si>
  <si>
    <t>L Academie Europeene D Allergologie D Immunologie Clinique</t>
  </si>
  <si>
    <t>JUN, 2003</t>
  </si>
  <si>
    <t>22nd Congress of L Academie-Europeene-D Allergologie-et-D Immunologie-Clinique (EAACI)</t>
  </si>
  <si>
    <t>Bronchial immunoglobulin E production in intrinsic asthma</t>
  </si>
  <si>
    <t>WOS:000224551400313</t>
  </si>
  <si>
    <t>863HG</t>
  </si>
  <si>
    <t>B M J PUBLISHING GROUP</t>
  </si>
  <si>
    <t>Tamby, Mathieu/B-1277-2011; Simonneau, Gerald/ABE-6614-2020; Humbert, Marc/AAC-8459-2019</t>
  </si>
  <si>
    <t>Universite Paris 13; Universite Paris 13; Universite Paris Saclay; Assistance Publique Hopitaux Paris (APHP); Hopital Universitaire Antoine-Beclere - APHP; Universite Paris 13; Assistance Publique Hopitaux Paris (APHP); Hopital Universitaire Avicenne - APHP; Universite Paris 13</t>
  </si>
  <si>
    <t>Univ Paris 13, UPRES EA 3408, Bobigny, France; Univ Paris 13, Format Associee Claude Bernard, UFR Leonard Vinci, Bobigny, France; Univ Paris Sud, Hop Antoine Beclere, Ctr Pulm Vasc Dis, UPRES EA 2705, Clamart, France; Univ Paris 13, Bobigny, France; Hop Avicenne, Serv Med Interne, F-93009 Bobigny, France</t>
  </si>
  <si>
    <t>LISBON, PORTUGAL</t>
  </si>
  <si>
    <t>JUN 18, 2003</t>
  </si>
  <si>
    <t>Annual European Congress of Rheumatology</t>
  </si>
  <si>
    <t>Specific recognition of human microvascular lung (L) and dermal (D) endothelial cells (HMVEC) in limited systemic sclerosis (SSC) with or without pulmonary arterial hypertension (PAH)</t>
  </si>
  <si>
    <t>Tamby, MC; Humbert, M; Chanseaud, Y; Guillevin, L; Simonneau, G; Boissier, M; Mouthon, L</t>
  </si>
  <si>
    <t>WOS:000185638801772</t>
  </si>
  <si>
    <t>727CM</t>
  </si>
  <si>
    <t>10.1016/S0195-668X(03)95423-6</t>
  </si>
  <si>
    <t>AUG-SEP</t>
  </si>
  <si>
    <t>Besse, Benjamin/V-1523-2019; Humbert, Marc/AAC-8459-2019; Vachiery, Jean-Luc/ABC-6631-2021; Simonneau, Gerald/ABE-6614-2020</t>
  </si>
  <si>
    <t>University of Bologna; Universite Paris Saclay; Universite Libre de Bruxelles; Sanofi-Aventis; Sanofi France</t>
  </si>
  <si>
    <t>Univ Bologna, Inst Cardiol, Bologna, Italy; Univ Paris Sud, Div Cardiol &amp; Crit Care, Paris, France; Free Univ Brussels, Dept Cardiol &amp; Laborato, Brussels, Belgium; Lab Aventis, Paris, France</t>
  </si>
  <si>
    <t>VIENNA, AUSTRIA</t>
  </si>
  <si>
    <t>AUG 30-SEP 03, 2003</t>
  </si>
  <si>
    <t>Congress of the European-Society-of-Cardiology</t>
  </si>
  <si>
    <t>The impact of initial beraprost sodium treatment on survival of patients with primary pulmonary hypertension</t>
  </si>
  <si>
    <t>ALPHABET study grp</t>
  </si>
  <si>
    <t>Manes, A; Humbert, M; Vachiéry, JL; Morand, S; Besse, B; Naeije, R; Galie, N; Simonneau, G</t>
  </si>
  <si>
    <t>WOS:000184865400002</t>
  </si>
  <si>
    <t>713NU</t>
  </si>
  <si>
    <t>10.1183/09031936.03.00054103</t>
  </si>
  <si>
    <t>Hop Antoine Beclere, Serv Pneumol, 157 Rue Porte Trivaux, F-92140 Clamart, France.</t>
  </si>
  <si>
    <t>S Paris Univ, Assitance Publ Hop Paris, Hop Antoine Beclere,Ctr Pulm Vasc Dis, Dept Resp &amp; Intens Care Med, Clamart, France</t>
  </si>
  <si>
    <t>INHALED ILOPROST; PROSTACYCLIN ANALOG; DOUBLE-BLIND; SILDENAFIL; INFUSION</t>
  </si>
  <si>
    <t>Novel therapeutic perspectives in pulmonary arterial hypertension</t>
  </si>
  <si>
    <t>Humbert, M; Sitbon, O; Simonneau, G</t>
  </si>
  <si>
    <t>WOS:000184865400031</t>
  </si>
  <si>
    <t>10.1183/09031936.03.00038903</t>
  </si>
  <si>
    <t>Balabanian, Karl/0000-0002-0534-3198; Dorfmuller, Peter/0000-0003-2499-6829; Perros, Frederic/0000-0001-7730-2427; Humbert, Marc/0000-0003-0703-2892</t>
  </si>
  <si>
    <t>Balabanian, Karl/S-6250-2019; Balabanian, Karl/I-2990-2016; Perros, Frederic/N-6921-2017; Humbert, Marc/AAC-8459-2019</t>
  </si>
  <si>
    <t>Hop Antoine Beclere, Dept Resp &amp; Intens Care Med, 157 Rue Porte Trivaux, F-92140 Clamart, France.</t>
  </si>
  <si>
    <t>Assistance Publique Hopitaux Paris (APHP); Hopital Universitaire Antoine-Beclere - APHP; Universite Paris Cite; Hopital Universitaire Saint-Louis - APHP</t>
  </si>
  <si>
    <t>S Paris Univ, Assistance Publ Hop Paris,UPRES EA 2705, Antoine Beclere Hosp,S Paris Cytokine Inst, Dept Resp &amp; Intens Care Med,Ctr Pulm Vasc Dis, Clamart, France</t>
  </si>
  <si>
    <t>Inflammatory mechanisms appear to play a significant role in some types of pulmonary hypertension (PH), including monocrotaline-induced PH in rats and pulmonary arterial hypertension of various origins in humans, such as connective tissue diseases (scleroderma, systemic lupus erythematosus, mixed connective disease), human immunodeficiency virus infection, or plasma cell dyscrasia with polyneuropathy, organomegaly, endocrinopathy, monoclonal (M) protein and skin changes (POEMS) syndrome. Interestingly, some patients with severe pulmonary arterial hypertension associated with systemic lupus erythematosus have experienced significant improvements with immunosuppressive therapy, emphasising the relevance of inflammation in a subset of patients presenting with PH. Patients with primary PH (PPH) also have some immunological disturbances, suggesting a possible role for inflammation in the pathophysiology of this disease. A subset of PPH patients have been shown to have circulating autoantibodies, including antinuclear antibodies, as well as elevated circulating levels of the pro-infammatory cytokines, interleukins -1 and -6. Lung histology has also revealed inflammatory infiltrates in the range of plexiform lesions in patients displaying severe PPH, as well as an increased expression of the chemokines regulated upon activation, normal T-cell expressed and secreted (RANTES) and fractalkine. Further analysis of the role of inflammatory mechanisms is necessary to understand whether this component of the disease is relevant to its pathophysiology.</t>
  </si>
  <si>
    <t>FRACTALKINE RECEPTOR CX(3)CR1; CX3C CHEMOKINE; IMMUNOSUPPRESSIVE THERAPY; ENDOTHELIAL DYSFUNCTION; NEOINTIMAL FORMATION; PLEXIFORM LESIONS; POEMS SYNDROME; EXPRESSION; RANTES; CELLS</t>
  </si>
  <si>
    <t>chemokines; connective tissue disease; endothelial cells; inflammatory infiltrate; pulmonary arterial hypertension; monocrotaline</t>
  </si>
  <si>
    <t>Inflammation in pulmonary arterial hypertension</t>
  </si>
  <si>
    <t>Dorfmüller, P; Perros, F; Balabanian, K; Humbert, M</t>
  </si>
  <si>
    <t>WOS:000185432800900</t>
  </si>
  <si>
    <t>723LA</t>
  </si>
  <si>
    <t>S355</t>
  </si>
  <si>
    <t>Arthritis Rheum.</t>
  </si>
  <si>
    <t>ARTHRITIS RHEUM</t>
  </si>
  <si>
    <t>0004-3591</t>
  </si>
  <si>
    <t>DIV JOHN WILEY &amp; SONS INC, 605 THIRD AVE, NEW YORK, NY 10158-0012 USA</t>
  </si>
  <si>
    <t>WILEY-LISS</t>
  </si>
  <si>
    <t>Tamby, Mathieu/B-1277-2011; Humbert, Marc/AAC-8459-2019; Simonneau, Gerald/ABE-6614-2020</t>
  </si>
  <si>
    <t>Assistance Publique Hopitaux Paris (APHP); Hopital Universitaire Avicenne - APHP; Universite Paris 13; Universite Paris Saclay; Assistance Publique Hopitaux Paris (APHP); Hopital Universitaire Antoine-Beclere - APHP</t>
  </si>
  <si>
    <t>Hop Avicenne, Dept Internal Med, F-93009 Bobigny, France; Univ Paris Sud, Hop Antoine Beclere, Ctr Pulm Vasc Dis, UPRES EA 2705, Clamart, France; SMBH Leonard de Vinci, UFR, UPRES EA3408, Bobigny, France</t>
  </si>
  <si>
    <t>ORLANDO, FLORIDA</t>
  </si>
  <si>
    <t>OCT 23-28, 2003</t>
  </si>
  <si>
    <t>67th Annual Scientific Meeting of the American-College-of-Rheumatology/38th Annual Scientific Meeting of the Association-of-Rheumatology-Health-Professionals</t>
  </si>
  <si>
    <t>ARTHRITIS AND RHEUMATISM</t>
  </si>
  <si>
    <t>Microvascular lung(l) and dermal(d) endothelial cells (HMVEC) in limited systemic sclerosis (SSc) with or without pulmonary arterial hypertension (PAH).</t>
  </si>
  <si>
    <t>Tamby, MC; Humbert, M; Chanseaud, Y; Garcia-de-la-Pena-Lefebvre, P; Simonneau, G; Guillevin, L; Boissier, MC; Mouthon, L</t>
  </si>
  <si>
    <t>WOS:000221214300006</t>
  </si>
  <si>
    <t>817ZB</t>
  </si>
  <si>
    <t>S33</t>
  </si>
  <si>
    <t>olivier.sitbon@abc.ap-hop-paris.fr</t>
  </si>
  <si>
    <t>Univ Paris Sud, Serv Pneumol &amp; Reanimat,Hop Antointe Beclere, UPRES EA2705,Assistance Publ Hop Paris, Ctr Malad Vasc Pulmonaires, 157 Rue Porte de Trivaux, F-92141 Clamart, France.</t>
  </si>
  <si>
    <t>Universite Paris Saclay; Assistance Publique Hopitaux Paris (APHP); Hopital Universitaire Antoine-Beclere - APHP; Universite Paris Cite; Hopital Universitaire Saint-Louis - APHP</t>
  </si>
  <si>
    <t>Univ Paris Sud, Serv Pneumol &amp; Reanimat,Hop Antointe Beclere, UPRES EA2705,Assistance Publ Hop Paris, Ctr Malad Vasc Pulmonaires, F-92141 Clamart, France</t>
  </si>
  <si>
    <t>RECEPTOR ANTAGONIST BOSENTAN; CALCIUM-CHANNEL BLOCKERS; PROSTACYCLIN ANALOG; INHALED ILOPROST; DOUBLE-BLIND; SURVIVAL; INFUSION</t>
  </si>
  <si>
    <t>Pulmonary artery hypertension: therapeutic progress</t>
  </si>
  <si>
    <t>WOS:000187154200017</t>
  </si>
  <si>
    <t>752HC</t>
  </si>
  <si>
    <t>10.1016/j.jaci.2003.09.041</t>
  </si>
  <si>
    <t>Humbert, Marc/0000-0003-0703-2892; Godot, Veronique/0000-0003-3557-308X; Till, Stephen/0000-0003-4518-3093; Balabanian, Karl/0000-0002-0534-3198</t>
  </si>
  <si>
    <t>Balabanian, Karl/S-6250-2019; Simonneau, Gerald/ABE-6614-2020; Humbert, Marc/AAC-8459-2019; Godot, Veronique/A-7863-2015; Balabanian, Karl/I-2990-2016</t>
  </si>
  <si>
    <t>Univ Paris Sud, Serv Pneumol &amp; Reanimat Resp, Hop Antoine Beclere, Inst Paris Sud Cytokines,UPRES EA2705, 157 Rue Porte de Trivaux, F-92140 Clamart, France.</t>
  </si>
  <si>
    <t>Universite Paris Saclay; Assistance Publique Hopitaux Paris (APHP); Hopital Universitaire Antoine-Beclere - APHP; CEA; Universite Paris Saclay; Institut National de la Sante et de la Recherche Medicale (Inserm); Imperial College London</t>
  </si>
  <si>
    <t>Univ Paris Sud, Serv Pneumol &amp; Reanimat Resp, Hop Antoine Beclere, Inst Paris Sud Cytokines,UPRES EA2705, F-92140 Clamart, France; CEA, SNV, SPI BIO, Fontenay Aux Roses, France; Univ Paris Sud, Inst Paris Sud Cytokines, INSERM, U131, Clamart, France; Univ London Imperial Coll Sci Technol &amp; Med, Sch Med, Natl Heart &amp; Lung Inst, London, England</t>
  </si>
  <si>
    <t>Background: Unlike other chemokines, fractalkine is expressed as a membrane-bound form, mainly on endothelial and epithelial cells, and can be shed as a soluble chemotactic form. Fractalkine can capture leukocytes expressing its receptor (CX3CR1), including T lymphocytes, rapidly and firmly in an integrin-independent manner. Because of its dual activity, fractalkine plays a major role in the transendothelial and transepithelial migration of leukocytes during inflammation. Objective: We sought to study the fractalkine-CX3CR1 axis in patients with allergic airways diseases. Methods: Plasma fractalkine levels were measured by means of ELISA in 19 control subjects and 55 patients with symptomatic allergic rhinitis, asthma, or both, and CX3CR1 function was studied by using triple-color flow cytometry in circulating T-lymphocyte subpopulations. Segmental allergen challenge was performed in 16 allergic asthmatic patients to analyze fractalkine expression and inflammatory cell recruitment in bronchoalveolar lavage fluid and bronchial biopsy specimens. Results: Compared with control subjects, patients with symptomatic allergic rhinitis and asthmatic patients had increased circulating fractalkine levels, and CX3CR1 function was upregulated in circulating CD4(+) T lymphocytes. Twenty-four hours after segmental allergen challenge, bronchoalveolar lavage fluid soluble fractalkine concentrations increased and correlated with the total number of recruited cells. Bronchial epithelial and endothelial cells expressed high levels of the membrane-bound form of fractalkine before and after challenge. Conclusion: Allergic asthma and rhinitis are associated with systemic and bronchial upregulation of the chemotactic axis fractalkine-CX3CR1. This might contribute to the rapid recruitment of circulating CD4(+) T lymphocytes in the airways after allergen stimulation.</t>
  </si>
  <si>
    <t>ACTIVATION-REGULATED CHEMOKINE; INTERFERON-GAMMA; RECEPTOR CX(3)CR1; T-CELLS; BRONCHOALVEOLAR LAVAGE; BRONCHIAL BIOPSIES; MESSENGER-RNA; EXPRESSION; INTERLEUKIN-5; RECRUITMENT</t>
  </si>
  <si>
    <t>airway inflammation; allergy; asthma; chemokines; fractalkine; rhinitis; T lymphocytes</t>
  </si>
  <si>
    <t>The CX3C chemokine fractalkine in allergic asthma and rhinitis</t>
  </si>
  <si>
    <t>Rimaniol, AC; Till, SJ; Garcia, G; Capel, F; Godot, W; Balabanian, K; Durand-Gasselin, I; Varga, EM; Simonneau, G; Emilie, D; Durham, SR; Humbert, M</t>
  </si>
  <si>
    <t>WOS:000188317600009</t>
  </si>
  <si>
    <t>765YA</t>
  </si>
  <si>
    <t>10.1016/j.allerg.2003.10.015</t>
  </si>
  <si>
    <t>23 RUE LINOIS, 75724 PARIS, FRANCE</t>
  </si>
  <si>
    <t>Humbert, M (corresponding author), Univ Paris Sud, Serv Pneumol &amp; Reanimat Resp, Hyop Antoine Beclere, Hop Paris, 157 Rue Porte Trivaux, F-92140 Clamart, France.</t>
  </si>
  <si>
    <t>Univ Paris Sud, Serv Pneumol &amp; Reanimat Resp, Hyop Antoine Beclere, Hop Paris, F-92140 Clamart, France</t>
  </si>
  <si>
    <t>Eotaxin plays a prominent role in allergy. This CC chemokine was initially identified in a model of allergic pulmonary inflammation in guinea pigs. Subsequently, eotaxin was identified in mice and in humans. The sequence of this chemokine is similar to that of the MCPs. It is now known that, eosinophils express the eotaxin receptor CCR3 that can also bind other CC chemokines, including RANTES and MCP3. Nevertheless, eotaxin binds with greater affinity and seems to be more specific for CCR3 than it is for receptors of other chemokines. Increased eotaxin expression in the bronchi of asthmatics has now been clearly demonstrated. Double staining techniques have shown that, the main sources of eotaxin in vivo are endothelial and epithelial cells. Selective CCR3 antagonists now represents interesting targets for future therapies. (C) 2003 Elsevier SAS. Tous droits reserves.</t>
  </si>
  <si>
    <t>EOSINOPHIL; INFLAMMATION; EXPRESSION; CYTOKINES; DISEASE; RANTES</t>
  </si>
  <si>
    <t>eotaxin; allergy; asthma; chemokines; CCR3</t>
  </si>
  <si>
    <t>Eotaxin, a prominent chemokine in allergy</t>
  </si>
  <si>
    <t>WOS:000187570500005</t>
  </si>
  <si>
    <t>757PK</t>
  </si>
  <si>
    <t>10.1164/rccm.2310007</t>
  </si>
  <si>
    <t>Univ Paris 11, Assistance Publ Hop Paris, Hop Antoine Beclere, Ctr Malad Vasc Pulm,Serv Pneumol &amp; Reanimat Resp, Paris, France.</t>
  </si>
  <si>
    <t>Assistance Publique Hopitaux Paris (APHP); Hopital Universitaire Antoine-Beclere - APHP; Universite Paris Cite; Hopital Universitaire Saint-Louis - APHP; Universite Paris Saclay</t>
  </si>
  <si>
    <t>Univ Paris 11, Assistance Publ Hop Paris, Hop Antoine Beclere, Ctr Malad Vasc Pulm,Serv Pneumol &amp; Reanimat Resp, Paris, France</t>
  </si>
  <si>
    <t>RATS</t>
  </si>
  <si>
    <t>Sildenafil for pulmonary arterial hypertension - Still waiting for evidence</t>
  </si>
  <si>
    <t>Humbert, M; Simonneau, G</t>
  </si>
  <si>
    <t>WOS:000188317600015</t>
  </si>
  <si>
    <t>10.1016/j.allerg.2003.10.018</t>
  </si>
  <si>
    <t>gilles.garcia@abc.ap-hop-paris.fr</t>
  </si>
  <si>
    <t>Garcia, G (corresponding author), Univ Paris Sud, Hop Antoine Beclere, Serv Pneumol &amp; Reanimat Resp, Hop Paris, 157 Rue Porte Trivaux, F-92140 Clamart, France.</t>
  </si>
  <si>
    <t>Univ Paris Sud, Hop Antoine Beclere, Serv Pneumol &amp; Reanimat Resp, Hop Paris, F-92140 Clamart, France</t>
  </si>
  <si>
    <t>Allergic broncho-pulmonary aspergillosis (ABPA) complicates asthma and mucovicidosis. The factors that support saprophyte growth of Aspergillus fumigatus in the airways are not still perfectly understood. ABPA is frequently accompanied by severe clinical symptoms that are difficult to control with inhaled steroids. While oral steroids remain the treatment of reference, their use nevertheless raises the problem of tolerance during the course of long-term therapy. Antifungal agents represent an attractive therapeutic alternative, but the indications for starting treatment and the criteria for effectiveness, as well as the optimal duration of this treatment, remain to be defined. (C) 2003 Publie par Elsevier SAS.</t>
  </si>
  <si>
    <t>BRONCHOPULMONARY ASPERGILLOSIS; INVASIVE ASPERGILLOSIS; ITRACONAZOLE; THERAPY</t>
  </si>
  <si>
    <t>Aspergillus fumigatus; corticosteroids; antifungal therapy; itraconazole</t>
  </si>
  <si>
    <t>The treatment of allergic pulmonary aspergillosis</t>
  </si>
  <si>
    <t>WOS:000188808200003</t>
  </si>
  <si>
    <t>771WC</t>
  </si>
  <si>
    <t>10.1046/j.1398-9995.2003.00359.x</t>
  </si>
  <si>
    <t>Yssel, Hans/C-6406-2009; Bousquet, Jean/O-4221-2019; Humbert, Marc/AAC-8459-2019</t>
  </si>
  <si>
    <t>CHU Montpellier, Hop Arnaud de Villeneuve, Clin Malad Resp, F-34295 Montpellier 5, France.</t>
  </si>
  <si>
    <t>Universite de Montpellier; CHU de Montpellier; Institut National de la Sante et de la Recherche Medicale (Inserm); Universite de Montpellier; Consiglio Nazionale delle Ricerche (CNR); Assistance Publique Hopitaux Paris (APHP); Hopital Universitaire Antoine-Beclere - APHP</t>
  </si>
  <si>
    <t>Univ Hosp, Dept Resp Dis, Montpellier, France; INSERM, U454, Montpellier, France; CNR, Ist Fisiopatol Resp, Palermo, Italy; Univ Hosp, Dept Resp Dis, Clamart, France</t>
  </si>
  <si>
    <t>Asthma has been associated with an exaggerated T-helper type 2 (Th2) over Th1 responses to allergic and nonallergic stimuli, which leads to chronic airway inflammation and airway remodeling. In the present article, we propose that many of the genes involved in IgE synthesis and airways (re)modeling in asthma are persistent or reminiscent fetal genes which may not be silenced during early infancy (or late pregnancy). Genes of the embryologic differentiation of ectodermic and endodermic tissues may explain some of the patterns of airway remodeling in asthma. In utero programming leads to gene expression, the persistence of which may be associated with epigenetic inheritance phenomena induced by nonspecific environmental factors. Clear delineation of these issues may yield new information on the mechanisms of asthma and new targets for therapeutic intervention and primary prevention.</t>
  </si>
  <si>
    <t>HISTONE ACETYLATION; DNA METHYLATION; CHROMATIN-STRUCTURE; IMMUNE-RESPONSES; HOUSE-DUST; SUBSEQUENT DEVELOPMENT; TRANSCRIPTION FACTORS; HYGIENE HYPOTHESIS; BASEMENT-MEMBRANE; FARMERS CHILDREN</t>
  </si>
  <si>
    <t>asthma; epigenetic; fetus; remodeling</t>
  </si>
  <si>
    <t>Epigenetic inheritance of fetal genes in allergic asthma</t>
  </si>
  <si>
    <t>Bousquet, J; Jacot, W; Yssel, H; Vignola, AM; Humbert, M</t>
  </si>
  <si>
    <t>WOS:000220770300027</t>
  </si>
  <si>
    <t>811KH</t>
  </si>
  <si>
    <t>10.1183/09031936.04.00079704</t>
  </si>
  <si>
    <t>Mussot, S/AAL-7512-2020; Simonneau, Gerald/ABE-6614-2020; Sitbon, Olivier/I-3623-2019; Humbert, Marc/AAC-8459-2019</t>
  </si>
  <si>
    <t>pdartevelle@ccml.com</t>
  </si>
  <si>
    <t>Dartevelle, P (corresponding author), Univ Paris Sud, Dept Thorac &amp; Vasc Surg &amp; Heart Lung Transplantat, Hop Marie Lannelongue, 133 Ave Resistance, F-92350 Le Plessis Robinson, France.</t>
  </si>
  <si>
    <t>Universite Paris Saclay; Hopital Marie Lannelongue; Universite Paris Saclay; Assistance Publique Hopitaux Paris (APHP); Hopital Universitaire Antoine-Beclere - APHP</t>
  </si>
  <si>
    <t>Univ Paris Sud, Dept Thorac &amp; Vasc Surg &amp; Heart Lung Transplantat, Hop Marie Lannelongue, F-92350 Le Plessis Robinson, France; Univ Paris Sud, Hop Antoine Beclere, Serv Pneumol &amp; Reanimat Resp, Clamart, France</t>
  </si>
  <si>
    <t>Pulmonary arterial hypertension is a severe disease that has been ignored for a long time. However, over the past 20 yrs chest physicians, cardiologists and thoracic surgeons have shown increasing interest in this disease because of the development of new therapies, that have improved both the outcome and quality of life of patients, including pulmonary transplantation and prostacyclin therapy. Chronic thromboembolic pulmonary arterial hypertension (CTEPH) can be cured surgically through a complex surgical procedure: the pulmonary thromboendarterectomy. Pulmonary thromboendarterectomy is performed under hypothermia and total circulatory arrest. Due to clinically evident acute-pulmonary embolism episodes being absent in &gt;50% of patients, the diagnosis of CTEPH can be difficult. Lung scintiscan showing segmental mismatched perfusion defects is the best diagnostic tool to detect CTEPH. Pulmonary angiography confirms the diagnosis and determines the feasability of endarterectomy according to the location of the disease, proximal versus distal. The technique of angiography must be perfect with the whole arterial tree captured on the same picture for each lung. The lesions must start at the level of the pulmonary artery trunk, or at the level of the lobar arteries, in order to find a plan for the endarterectomy. When the haemodynamic gravity corresponds to the degree of obliteration, pulmonary thromboendarterectomy can be performed with minimal perioperative mortality, providing definitive, excellent functional results in almost all cases.</t>
  </si>
  <si>
    <t>SURGICAL-MANAGEMENT; ARTERY OBSTRUCTION; NATURAL-HISTORY; LUNG PERFUSION; EMBOLISM; THROMBOENDARTERECTOMY; ANGIOGRAPHY; THROMBOSIS; LESIONS</t>
  </si>
  <si>
    <t>pulmonary arterial hypertension; pulmonary embolism; pulmonary thromboendarterectomy</t>
  </si>
  <si>
    <t>Dartevelle, P; Fadel, E; Mussot, S; Chapelier, A; Hervé, P; de Perrot, M; Cerrina, J; Ladurie, FL; Lehouerou, D; Humbert, M; Sitbon, O; Simonneau, G</t>
  </si>
  <si>
    <t>WOS:000221466500020</t>
  </si>
  <si>
    <t>821MZ</t>
  </si>
  <si>
    <t>10.1183/09031936.04.00080404</t>
  </si>
  <si>
    <t>Nunes, Hilario/AAM-8127-2020; Savale, Laurent/AAJ-9781-2020; Humbert, Marc/AAC-8459-2019</t>
  </si>
  <si>
    <t>Univ Paris Sud, Chirurg Expt Lab, Unite Propre Rech Enseignement Super, Equipe Accueil 2705,Ctr Chirurg Marie Lannelonge, 133 Ave Resistance, F-92350 Le Plessis Robinson, France.</t>
  </si>
  <si>
    <t>Hopital Marie Lannelongue; Universite Paris Saclay; Institut National de la Sante et de la Recherche Medicale (Inserm); Universite Paris Cite; Assistance Publique Hopitaux Paris (APHP); Hopital Universitaire Beaujon - APHP; Centre National de la Recherche Scientifique (CNRS)</t>
  </si>
  <si>
    <t>Univ Paris Sud, Chirurg Expt Lab, Unite Propre Rech Enseignement Super, Equipe Accueil 2705,Ctr Chirurg Marie Lannelonge, F-92350 Le Plessis Robinson, France; Hop Beaujon, Unite 481, Inst Natl Sante &amp; Rech Med, Lab Hemodynam Splanch &amp; Biol Vasc, Clichy, France; CNRS, Inst Transgenose, Serv Imagerie Rongeurs, Orleans, France</t>
  </si>
  <si>
    <t>Inhibition of tumour necrosis factor-alpha (TNF-alpha), levels of which are increased in the blood of cirrhotic rats, prevents hyperdynamic circulatory state, mainly by decreasing the vascular overproduction of nitric oxide. Hepatopulmonary syndrome, which is characterised by intrapulmonary vascular dilatation and increased alveolar to arterial oxygen tension difference (PA-a,O-2), is mainly related to pulmonary overproduction of NO by macrophages accumulated in lung vessels. Since TNF-alpha is a potent activator of macrophagic inducible nitric oxide synthase (NOS), the aim of this study was to investigate whether TNF-alpha inhibition prevented hepatopulmonary syndrome and hyperdynamic circulatory state in rats with cirrhosis. TNF-alpha was inhibited by 5 weeks of pentoxifylline (10 mg(.)kg body weight(-1.)day(-1)) in rats with cirrhosis induced by common bile duct ligation. Cardiac output, pulmonary and systemic vascular resistance, PA-a,O-2 and cerebral uptake of intravenous technetium-99m-labelled albumin macroaggregates (which reflects intrapulmonary vascular dilatation) were similar in sham- and pentoxifylline-treated cirrhotic rats. Blood TNF-alpha concentrations and pulmonary intravascular macrophage sequestration, as assessed by morphometric analysis and radioactive colloid uptake, were decreased with pentoxifylline. Pentoxifylline also prevented increases in aorta and lung NOS activities and inducible NOS expression. Thus pentoxifylline prevents development of hyperdynamic circulatory state and hepatopulmonary syndrome, probably by inhibiting the effects of tumour necrosis factor-alpha on vascular nitric oxide synthase and intravascular macrophages. These results support an important role for tumour necrosis factor-alpha in the genesis of hepatopulmonary syndrome.</t>
  </si>
  <si>
    <t>TUMOR-NECROSIS-FACTOR; NITRIC-OXIDE SYNTHASE; BLOOD MONONUCLEAR-CELLS; SMOOTH-MUSCLE-CELLS; FACTOR-ALPHA; HEPATIC-FIBROSIS; IN-VIVO; PORTAL-HYPERTENSION; ENDOTHELIAL-CELLS; NO PRODUCTION</t>
  </si>
  <si>
    <t>experimental cirrhosis; hepatopulmonary; syndrome; macrophage; nitric oxide synthase; rat; tumour necrosis factor-alpha</t>
  </si>
  <si>
    <t>Prevention of hepatopulmonary syndrome and hyperdynamic state by pentoxifylline in cirrhotic rats</t>
  </si>
  <si>
    <t>Sztrymf, B; Rabiller, A; Nunes, H; Savale, L; Lebrec, D; Le Pape, A; de Montpreville, V; Mazmanian, M; Humbert, M; Hervé, P</t>
  </si>
  <si>
    <t>WOS:000221425700002</t>
  </si>
  <si>
    <t>820YK</t>
  </si>
  <si>
    <t>10.1016/j.revmed.2004.01.019</t>
  </si>
  <si>
    <t>de Groote, Pascal/0000-0002-6211-0147; Humbert, Marc/0000-0003-0703-2892; HACHULLA, ERIC/0000-0001-7432-847X</t>
  </si>
  <si>
    <t>DE GROOTE, Pascal/LLL-9444-2024; HACHULLA, ERIC/R-8488-2018; Humbert, Marc/AAC-8459-2019</t>
  </si>
  <si>
    <t>ehachulla@chru-lille.fr</t>
  </si>
  <si>
    <t>CHRU Claude Huriez, Serv Med Interne, Pl Verdun, F-59037 Lille, France.</t>
  </si>
  <si>
    <t>Universite de Lille; CHU Lille; Assistance Publique Hopitaux Paris (APHP); Universite Paris Cite; Hopital Universitaire Cochin - APHP; Universite de Lille; CHU Lille; Assistance Publique Hopitaux Paris (APHP); Sorbonne Universite; Hopital Universitaire Saint-Antoine - APHP; CHU Grenoble Alpes; Sorbonne Universite; Assistance Publique Hopitaux Paris (APHP); Hopital Universitaire Pitie-Salpetriere - APHP; Assistance Publique Hopitaux Paris (APHP); Universite Paris Cite; Hopital Universitaire Cochin - APHP; Assistance Publique Hopitaux Paris (APHP); Hopital Universitaire Antoine-Beclere - APHP</t>
  </si>
  <si>
    <t>CHRU Claude Huriez, Serv Med Interne, F-59037 Lille, France; Actel Pharmaceut France, F-75008 Paris, France; Hop Cochin, Serv Med Interne, F-75014 Paris, France; Hop Cardiol, Serv Cardiol C, F-59037 Lille, France; Hop St Antoine, Serv Med Interne, F-75571 Paris 12, France; Hop Nord, Serv Med Interne, F-38043 Grenoble, France; Hop La Pitie Salpetriere, Serv Med Interne, F-75651 Paris 13, France; Hop Cochin, Serv Rhumatol A, F-75014 Paris, France; Hop Antoine Beclere, Serv Maladies Vasc Pulmonaires, F-92140 Clamart, France</t>
  </si>
  <si>
    <t>Purpose. - Pulmonary arterial hypertension (PAH) is a severe complication of scleroderma. Its prevalence varies from 5% to 35% in the literature. A systematic yearly screening is recommended for early detection and management of PAIL but no precise algorithm is yet available. Methods. - From literature analysis as well as evaluation of medical needs and practices, a multidisciplinary board of experts proposed an algorithm for the screening of PAH in scleroderma. Results. - This algorithm is based on a precise Doppler echocardiography methodology for the purpose of screening scleroderma patients for PAR Patients are considered as being at high or low risk of PAH depending on the maximal tricuspid regurgitation velocity. High-risk patients undergo right heart catheterization for confirmation of the diagnosis of PAR A French multicenter transversal observational study (ItinerAIR Sclerodermie) will be conducted in 21 hospital centers in France and involved 100 investigators organized as multidisciplinary networks. Future prospects. - Final results will provide confirmation that the screening algorithm is applicable in a real world setting, as well as a better knowledge of the prevalence of PAH in the various sub-groups of scleroderma patients, of the risk profile for PAH and of the value of DLCO as a predictive factor for PAH, and will support elaboration of precise screening guidelines. (C) 2004 Elsevier SAS. Tous droits reserves.</t>
  </si>
  <si>
    <t>PREVALENCE</t>
  </si>
  <si>
    <t>scleroderma; pulmonary arterial hypertension; screening algorithrn; cardiac echo-Doppler; right heart catheterization; DLCO</t>
  </si>
  <si>
    <t>Pulmonary arterial hypertension in systemic sclerosis:: definition of a screening algorithm for early detection (the ItinerAIR-Sclerodermie Study)</t>
  </si>
  <si>
    <t>Hachulla, E; Gressin, V; Guillevin, L; de Groote, P; Cabane, J; Carpentier, P; Francès, C; Kahan, A; Humbert, M</t>
  </si>
  <si>
    <t>WOS:000221072800018</t>
  </si>
  <si>
    <t>815WQ</t>
  </si>
  <si>
    <t>10.1136/thx.2003.11890</t>
  </si>
  <si>
    <t>Chaouat, Ari/AAP-6784-2021; Simonneau, Gerald/ABE-6614-2020; Humbert, Marc/AAC-8459-2019</t>
  </si>
  <si>
    <t>ari.chaouat@chru-strasbourg.fr</t>
  </si>
  <si>
    <t>Chaouat, A (corresponding author), CHU Hautepierre, Serv Pneumol, Ave Moliere, F-67098 Strasbourg, France.</t>
  </si>
  <si>
    <t>CHU Strasbourg; Assistance Publique Hopitaux Paris (APHP); Hopital Universitaire Antoine-Beclere - APHP; Universite Paris Saclay; Universite Paris Cite; Hopital Universitaire Saint-Louis - APHP</t>
  </si>
  <si>
    <t>CHU Hautepierre, Serv Pneumol, F-67098 Strasbourg, France; Univ Paris Sud, Assistance Publ Hop Paris, Serv Pneumol &amp; Reanimat Resp, UPRES EA2705,Hop Antoine Beclere, Clamart, France</t>
  </si>
  <si>
    <t>Dexfenfluramine associated pulmonary arterial hypertension occurring in a patient with hereditary haemorrhagic telangiectasia related to a mutation within the endoglin gene is described. This report highlights the critical role of the TGF-beta signalling pathway in this condition.</t>
  </si>
  <si>
    <t>RECEPTOR; PROTEIN; GENE; TYPE-1; SMOOTH; CELLS; BMPR2</t>
  </si>
  <si>
    <t>Endoglin germline mutation in a patient with hereditary haemorrhagic telangiectasia and dexfenfluramine associated pulmonary arterial hypertension</t>
  </si>
  <si>
    <t>Chaouat, A; Coulet, F; Favre, C; Simonneau, G; Weitzenblum, E; Soubrier, F; Humbert, M</t>
  </si>
  <si>
    <t>WOS:000221443900017</t>
  </si>
  <si>
    <t>821ET</t>
  </si>
  <si>
    <t>10.1161/01.RES.0000126847.27660.69</t>
  </si>
  <si>
    <t>MAY 14</t>
  </si>
  <si>
    <t>SANCHEZ, Olivier/0000-0003-1633-8391; Humbert, Marc/0000-0003-0703-2892</t>
  </si>
  <si>
    <t>eddahibi@im3.inserm.fr</t>
  </si>
  <si>
    <t>Hop Henri Mondor, Fac Med, INSERM, U492, 8 Ave Gen Sarrail, F-94010 Creteil, France.</t>
  </si>
  <si>
    <t>Assistance Publique Hopitaux Paris (APHP); Universite Paris-Est-Creteil-Val-de-Marne (UPEC); Hopital Universitaire Henri-Mondor - APHP; Institut National de la Sante et de la Recherche Medicale (Inserm); Assistance Publique Hopitaux Paris (APHP); Universite Paris-Est-Creteil-Val-de-Marne (UPEC); Hopital Universitaire Henri-Mondor - APHP; Assistance Publique Hopitaux Paris (APHP); Hopital Universitaire Antoine-Beclere - APHP; Hopital Marie Lannelongue; Sorbonne Universite; Institut National de la Sante et de la Recherche Medicale (Inserm)</t>
  </si>
  <si>
    <t>Hop Henri Mondor, Fac Med, INSERM, U492, F-94010 Creteil, France; Hop Henri Mondor, Serv Physiol Explorat Fonct, F-94010 Creteil, France; Hop Antoine Beclere, Serv Pneumol, UPRES EA2705, Paris, France; Hop Marie Lannelongue, Serv Chirurg Thorac Vasc &amp; Transplantat Cardiopul, UPRES EA2705, Paris, France; Univ Paris 06, INSERM, U288, Paris, France</t>
  </si>
  <si>
    <t>Hyperplasia of pulmonary artery smooth muscle cells (PA-SMCs) is a hallmark pathological feature of pulmonary hypertension (PH). Serotonin (5-HT) is involved in the hyperplasia through its interactions with specific receptors and internalization by a specific plasma membrane transporter. We investigated the expression and role of the 5-HT transporter (5-HTT) and 5-HT1B, 5-HT2A, and 5-HT2B receptors in lungs and isolated PA-SMCs from patients with primary PH (n = 14), pulmonary veno-occlusive disease (n = 4), or secondary PH (SPH, n = 8) and nonpulmonary hypertensive control subjects. Whereas strong immunostaining for the three receptor types and 5-HTT was seen in remodeled pulmonary vessels from patients in all PH categories, only 5-HTT expression was increased in lungs and cultured PA-SMCs from patients versus controls. The increased growth response of PA-SMCs from patients with primary PH, pulmonary veno-occlusive disease, or SPH to 5-HT or serum was entirely attributable to 5-HTT overexpression, because 5-HTT inhibitors but not 5-HT receptor antagonists abolished 5-HT mitogenic activity and reduced the serum-induced growth response to similar levels in patients as in controls. The L-allelic variant of the 5-HTT gene promoter, which is associated with 5-HTT overexpression, was present homozygously in 14 of 25 (56%) lung transplantation patients with SPH but in only 27% of controls. Polymorphism of the 5-HTT gene promoter was only partly responsible for the increased 5-HTT expression in PH, because PA-SMCs from patients exhibited higher 5-HTT levels than same-genotype cells from controls and no additional promoter sequence alterations were found. We conclude that 5-HTT overexpression is a common pathogenic mechanism in various forms of PH.</t>
  </si>
  <si>
    <t>MORPHOGENETIC PROTEIN-RECEPTOR; TRANSPORTER GENE; GERMLINE MUTATIONS; VASOCONSTRICTION; POLYMORPHISM; INHIBITORS; ANTAGONIST; ARTERIES; HYPOXIA; BMPR2</t>
  </si>
  <si>
    <t>human pulmonary hypertension; serotonin transporter; serotonin receptors; pulmonary artery smooth muscle cells</t>
  </si>
  <si>
    <t>Serotonin-induced smooth muscle hyperplasia in various forms of human pulmonary hypertension</t>
  </si>
  <si>
    <t>Marcos, E; Fadel, E; Sanchez, O; Humbert, M; Dartevelle, P; Simonneau, G; Hamon, M; Adnot, S; Eddahibi, S</t>
  </si>
  <si>
    <t>WOS:000222879300007</t>
  </si>
  <si>
    <t>840SG</t>
  </si>
  <si>
    <t>10.1016/S0761-8425(04)71350-9</t>
  </si>
  <si>
    <t>Hop Antoine Beclere, Ctr Malad Vasc Pulm, UPRES EA 2705,Assistance Publ Hop Paris, Serv Pneumol &amp; Reanimat Resp, 157 Rue Porte Tivaux, F-92140 Clamart, France.</t>
  </si>
  <si>
    <t>Hop Antoine Beclere, Ctr Malad Vasc Pulm, UPRES EA 2705,Assistance Publ Hop Paris, Serv Pneumol &amp; Reanimat Resp, F-92140 Clamart, France</t>
  </si>
  <si>
    <t>LONG-TERM; THERAPY</t>
  </si>
  <si>
    <t>New anticoagulants soon to come!</t>
  </si>
  <si>
    <t>Sztrymf, B; Humbert, M</t>
  </si>
  <si>
    <t>WOS:000221677400025</t>
  </si>
  <si>
    <t>824HN</t>
  </si>
  <si>
    <t>Univ Paris Sud, Hop Antoine Beclere, Clamart, France.</t>
  </si>
  <si>
    <t>Univ Paris Sud, Hop Antoine Beclere, Clamart, France</t>
  </si>
  <si>
    <t>CALCIUM-CHANNEL BLOCKERS</t>
  </si>
  <si>
    <t>Sildenafil in pulmonary arterial hypertension - Reply</t>
  </si>
  <si>
    <t>WOS:000222209300005</t>
  </si>
  <si>
    <t>831QI</t>
  </si>
  <si>
    <t>10.1016/j.jacc.2004.02.033</t>
  </si>
  <si>
    <t>32S</t>
  </si>
  <si>
    <t>25S</t>
  </si>
  <si>
    <t>JUN 16</t>
  </si>
  <si>
    <t>gkpietra@freesurf.ch</t>
  </si>
  <si>
    <t>Pietra, GG (corresponding author), Via San Giorgio 23, CH-6976 Castagnola, Switzerland.</t>
  </si>
  <si>
    <t>University of Pennsylvania; Assistance Publique Hopitaux Paris (APHP); Hopital Universitaire Pitie-Salpetriere - APHP; Sorbonne Universite; Papworth Hospital; IRCCS Azienda Ospedaliero-Universitaria di Bologna; Universite Paris Saclay; Assistance Publique Hopitaux Paris (APHP); Hopital Universitaire Antoine-Beclere - APHP; Vanderbilt University; Harvard University; Harvard Medical School; Johns Hopkins University</t>
  </si>
  <si>
    <t>Univ Penn, Sch Med, Dept Pathol, Philadelphia, PA 19104 USA; Hop Pitie, Serv Anat Pathol, F-75651 Paris 13, France; Papworth Hosp, Cambridge CB3 8RE, England; Azienda Osped S Orsola Malpighi Bologna, Dept Pathol, Bologna, Italy; Univ Paris Sud, Hop Paris, Hop Antoine Beclere, Serv Pneumol &amp; Reanimat Resp, Clamart, France; Vanderbilt Univ, Med Ctr, Adult Pulm Hypertens Ctr, Nashville, TN USA; Harvard Univ, Sch Med, Dept Pathol, Boston, MA 02115 USA; Johns Hopkins Univ, Sch Med, Div Cardiopulm Pathol, Baltimore, MD USA</t>
  </si>
  <si>
    <t>Pulmonary arterial hypertension (PAH) includes various forms of pulmonary hypertension of different etiology but similar clinical presentation and functional derangement. Histopathological vascular changes in all forms of PAH are qualitatively similar but with quantitative differences in the distribution and prevalence of pathological changes in various portions of the pulmonary vascular bed. The documentation of these topographic variations in the response of the pulmonary vasculature to injury may be important to understand the pathogenesis of the various subsets of PAR To standardize the precise histopathological documentation of the pulmonary vasculopathy in PAH we propose a histopathological classification that includes both the predominant segment of the pulmonary vasculature affected and the possible coexistence of pathological changes in other vascular segments. (C) 2004 by the American College of Cardiology Foundation.</t>
  </si>
  <si>
    <t>ENDOTHELIAL-CELL GROWTH; VENO-OCCLUSIVE DISEASE; CAPILLARY HEMANGIOMATOSIS; VENOOCCLUSIVE-DISEASE; PLEXIFORM LESIONS</t>
  </si>
  <si>
    <t>Venice, ITALY</t>
  </si>
  <si>
    <t>JUN 23-25, 2003</t>
  </si>
  <si>
    <t>Third World Symposium on Pulmonary Arterial Hypertension</t>
  </si>
  <si>
    <t>Pathologic assessment of vasculopathies in pulmonary hypertension</t>
  </si>
  <si>
    <t>Pietra, GG; Capron, F; Stewart, S; Leone, O; Humbert, M; Robbins, IM; Reid, LM; Tuder, RM</t>
  </si>
  <si>
    <t>WOS:000222209300004</t>
  </si>
  <si>
    <t>10.1016/j.jacc.2004.02.029</t>
  </si>
  <si>
    <t>24S</t>
  </si>
  <si>
    <t>13S</t>
  </si>
  <si>
    <t>Lang, Irene/0000-0003-0485-2692; Morrell, Nicholas/0000-0001-5700-9792; MacLean, Margaret/0000-0001-8214-7759; Humbert, Marc/0000-0003-0703-2892</t>
  </si>
  <si>
    <t>stenmark, kurt/AFI-6776-2022; Eickelberg, Oliver/A-5461-2013; Archer, Stephen/C-3621-2013; Humbert, Marc/AAC-8459-2019</t>
  </si>
  <si>
    <t>Univ Paris Sud, Hop Antoine Beclere, UPRES EA2705,Serv Pneumol &amp; Reanimat Resp, Ctr Maladies Vasc Pulmonaires, 157 Rue Porte Trivaux, F-92140 Clamart, France.</t>
  </si>
  <si>
    <t>Assistance Publique Hopitaux Paris (APHP); Hopital Universitaire Antoine-Beclere - APHP; Universite Paris Saclay; University of Cambridge; Cambridge University Hospitals NHS Foundation Trust; Addenbrooke's Hospital; University of Alberta; University of Alberta; University of Colorado System; University of Colorado Anschutz Medical Campus; University of Colorado Denver; University of Glasgow; University of Vienna; Vanderbilt University; US Department of Veterans Affairs; Veterans Health Administration (VHA); Minneapolis VA Health Care System; Justus Liebig University Giessen; University of Colorado System; University of Colorado Anschutz Medical Campus; University of Colorado Denver; Stanford University</t>
  </si>
  <si>
    <t>Univ Paris Sud, Hop Antoine Beclere, UPRES EA2705,Serv Pneumol &amp; Reanimat Resp, Ctr Maladies Vasc Pulmonaires, F-92140 Clamart, France; Univ Cambridge, Addenbrookes Hosp, Sch Clin Med, Dept Med,Resp Med Unit, Cambridge CB2 2QQ, England; Univ Alberta, Dept Med Cardiol, Vasc Biol Grp, Edmonton, AB, Canada; Univ Alberta, Dept Med Cardiol, Pulm Hypertens Program, Edmonton, AB, Canada; Univ Colorado, Hlth Sci Ctr, Denver, CO USA; Univ Glasgow, Inst Biomed &amp; Life Sci, Div Biomed &amp; Life Sci, Glasgow, Lanark, Scotland; Univ Vienna, Dept Cardiol, Vienna, Austria; Vanderbilt Univ, Sch Med, Dept Pharmacol, Ctr Lung Res, Nashville, TN 37212 USA; Vet Affairs Med Ctr, Dept Med, Minneapolis, MN 55417 USA; Univ Giessen, Dept Internal Med, D-6300 Giessen, Germany; Univ Colorado, Hlth Sci Ctr, Pulm Hypertens Ctr, Denver, CO USA; Stanford Univ, Sch Med, Dept Pediat, Stanford, CA 94305 USA</t>
  </si>
  <si>
    <t>Pulmonary arterial hypertension (PAH) has a multifactorial pathobiology. Vasoconstriction, remodeling of the pulmonary vessel wall, and thrombosis contribute to increased pulmonary vascular resistance in PAH. The process of pulmonary vascular remodeling involves all layers of the vessel wall and is complicated by cellular heterogeneity within each compartment of the pulmonary arterial wall. Indeed, each cell type (endothelial, smooth muscle, and fibroblast), as well as inflammatory cells and platelets, may play a significant role in PAH. Pulmonary vasoconstriction is believed to be an early component of the pulmonary hypertensive process. Excessive vasoconstriction has been related to abnormal function or expression of potassium channels and to endothelial dysfunction. Endothelial dysfunction leads to chronically impaired production of vasodilators such as nitric oxide and prostacyclin along with overexpression of vasoconstrictors such as endothelin (ET)-1. Many of these abnormalities not only elevate vascular tone and promote vascular remodeling but also represent logical pharmacological targets. Recent genetic and pathophysiologic studies have emphasized the relevance of several mediators in this condition, including prostacyclin, nitric oxide, ET-1, angiopoietin-1, serotonin, cytokines, chemokines, and members of the transforming-growth-factor-beta superfamily. Disordered proteolysis of the extracellular matrix is also evident in PAH. Future studies are required to find which if any of these abnormalities initiates PAH and which ones are best targeted to cure the disease. (C) 2004 by the American College of Cardiology Foundation.</t>
  </si>
  <si>
    <t>ENDOTHELIAL GROWTH-FACTOR; VASCULAR SMOOTH-MUSCLE; GERMLINE MUTATIONS; PLEXIFORM LESIONS; II RECEPTOR; FACTOR-BETA; EXPRESSION; GENE; SEROTONIN; LUNGS</t>
  </si>
  <si>
    <t>Cellular and molecular pathobiology of pulmonary arterial hypertension</t>
  </si>
  <si>
    <t>Humbert, M; Morrell, NW; Archer, SL; Stenmark, KR; MacLean, MR; Lang, IM; Christman, BW; Weir, EK; Eickelberg, O; Voelkel, NF; Rabinovitch, M</t>
  </si>
  <si>
    <t>WOS:000221852800005</t>
  </si>
  <si>
    <t>826TU</t>
  </si>
  <si>
    <t>10.1111/j.1398-9995.2004.00550.x</t>
  </si>
  <si>
    <t>BLACKWELL MUNKSGAARD</t>
  </si>
  <si>
    <t>Bonniaud, Philippe/ITT-4660-2023; Bousquet, Jean/O-4221-2019; Humbert, Marc/AAC-8459-2019</t>
  </si>
  <si>
    <t>Vignola, AM (corresponding author), Univ Palermo, Inst Internal Med Pneumol, Palermo, Italy.</t>
  </si>
  <si>
    <t>University of Palermo; Assistance Publique Hopitaux Paris (APHP); Hopital Universitaire Antoine-Beclere - APHP; Universite de Montpellier; CHU de Montpellier; Laval University; Laval University Hospital; Novartis; Novartis United Kingdom</t>
  </si>
  <si>
    <t>Univ Palermo, Inst Internal Med Pneumol, Palermo, Italy; Hop Antoine Beclere, Serv Pneumol &amp; Reanimat Resp, Clamart, France; Hop Arnaud de Villeneuve, Serv Pneumol, Montpellier, France; Univ Laval, Hop Laval, Inst Cardiol &amp; Pneumol, St Foy, PQ G1K 7P4, Canada; Novartis Horsham Res Ctr, Horsham, W Sussex, England</t>
  </si>
  <si>
    <t>Background: Anti-IgE therapy could be particularly beneficial for patients with concomitant disease as it targets a common factor in both diseases. The aim of this study was to evaluate the efficacy and safety of omalizumab in patients with concomitant moderate-to-severe asthma and persistent allergic rhinitis. Methods: This multicentre, randomized, double-blind, parallel-group, placebo-controlled trial evaluated the safety and efficacy of omalizumab. A total of 405 patients (12-74 years) with a stable treatment (greater than or equal to 400 mug budesonide Turbuhaler(R)) and greater than or equal to 2 unscheduled medical visits for asthma during the past year or greater than or equal to 3 during the past 2 years were enrolled. Patients received omalizumab (greater than or equal to 0.016 mg/kg/IgE [IU/ml] per 4 weeks) or placebo for 28 weeks. Results: Fewer patients treated with omalizumab experienced asthma exacerbations (20.6%) than placebo-treated patients (30.1%), P = 0.02. A clinically significant (greater than or equal to 1.0 point) improvement in both Asthma Quality of Life Questionnaire and Rhinitis Quality of Life Questionnaire occurred in 57.7% of omalizumab patients compared with 40.6% of placebo patients (P &lt; 0.001). Omalizumab reduced Wasserfallen symptom scores for asthma (P = 0.023), rhinitis (P &lt; 0.001) and the composite asthma/rhinitis scores (P &lt; 0.001) compared with placebo. Serious adverse events were observed in 1.4% of omalizumab-treated patients and 1.5% of placebo-treated patients. Conclusion: Omalizumab is well tolerated and effective in preventing asthma exacerbations and improving quality of life in patients with concomitant asthma and persistent allergic rhinitis.</t>
  </si>
  <si>
    <t>QUALITY-OF-LIFE; ANTI-IGE ANTIBODY; CLINICAL-TRIALS; QUESTIONNAIRE; EMERGENCY; VISITS; ADULTS; RISK; RHINOCONJUNCTIVITIS; HOSPITALIZATIONS</t>
  </si>
  <si>
    <t>anti-IgE; asthma; exacerbation; omalizumab; quality of life; rhinitis</t>
  </si>
  <si>
    <t>Efficacy and tolerability of anti-immunoglobulin E therapy with omalizumab in patients with concomitant allergic asthma and persistent allergic rhinitis: SOLAR</t>
  </si>
  <si>
    <t>Vignola, AM; Humbert, M; Bousquet, J; Boulet, LP; Hedgecock, S; Blogg, M; Fox, H; Surrey, K</t>
  </si>
  <si>
    <t>WOS:000224551501161</t>
  </si>
  <si>
    <t>863HH</t>
  </si>
  <si>
    <t>Humbert, Marc/AAC-8459-2019; Tamby, Mathieu/B-1277-2011; Simonneau, Gerald/ABE-6614-2020</t>
  </si>
  <si>
    <t>Universite Paris Cite; Assistance Publique Hopitaux Paris (APHP); Hopital Universitaire Cochin - APHP; Assistance Publique Hopitaux Paris (APHP); Universite Paris Cite; Hopital Universitaire Saint-Louis - APHP; Hopital Universitaire Antoine-Beclere - APHP; Universite Paris Saclay; Universite Paris Cite; Assistance Publique Hopitaux Paris (APHP); Universite Paris Cite; Hopital Universitaire Cochin - APHP; Hopital Universitaire Saint-Louis - APHP</t>
  </si>
  <si>
    <t>Univ Paris 05, CHU Cochin Port Royal, UFR, Immunol Lab, Paris, France; Hop Antoine Beclere, UPRES EA 2705, Serv Pneumol, Assistance Publ Hop Paris, Clamart, France; Univ Paris Sud, Clamart, France; Univ Paris 05, F-75270 Paris 06, France; Hop Cochin, Assistance Publ Hop Paris, Serv Med Interne, F-75674 Paris, France</t>
  </si>
  <si>
    <t>Berlin, GERMANY</t>
  </si>
  <si>
    <t>JUN 09-12, 2004</t>
  </si>
  <si>
    <t>Annual European Congress of Rheumatology (EULAR 2004)</t>
  </si>
  <si>
    <t>IGG from patients with pulmonary arterial hypertension associated with systemic sclerosis (SSC-PAH) and from patients with idiopathic pulmonary arterial hypertension (PAH) express distinct reactivity profiles with normal human fibroblasts antigens</t>
  </si>
  <si>
    <t>Tamby, MC; Chanseaud, Y; Humbert, M; Guilpain, P; Servettaz, A; Simonneau, G; Guillevin, L; Mouthon, L</t>
  </si>
  <si>
    <t>WOS:000222163900014</t>
  </si>
  <si>
    <t>830ZY</t>
  </si>
  <si>
    <t>10.2214/ajr.183.1.1830065</t>
  </si>
  <si>
    <t>arnaud.resten@abc.ap-hop-paris.fr</t>
  </si>
  <si>
    <t>Resten, A (corresponding author), Univ Paris Sud, Hop Paris, Hop Antoine Beclere Assistance Publ, Serv Radiol,UPRES EA 2705, 157 Rue Porte Trivaux, F-92140 Clamart, France.</t>
  </si>
  <si>
    <t>Assistance Publique Hopitaux Paris (APHP); Hopital Universitaire Antoine-Beclere - APHP; Universite Paris Saclay; Assistance Publique Hopitaux Paris (APHP); Hopital Universitaire Antoine-Beclere - APHP; Assistance Publique Hopitaux Paris (APHP); Hopital Universitaire Antoine-Beclere - APHP</t>
  </si>
  <si>
    <t>Univ Paris Sud, Hop Paris, Hop Antoine Beclere Assistance Publ, Serv Radiol,UPRES EA 2705, F-92140 Clamart, France; Hop Antoine Beclere, Serv Pneumol &amp; Reanimat Resp, F-92140 Clamart, France; Hop Antoine Beclere, Serv Anat Pathol, F-92140 Clamart, France</t>
  </si>
  <si>
    <t>OBJECTIVE. Pulmonary venoocclusive disease is a rare cause of pulmonary hypertension that is often difficult to distinguish from severe primary pulmonary hypertension. Unfortunately, medical treatment of primary pulmonary hypertension with prostacyclin can be fatal in patients with venoocclusive disease, and an early pretreatment diagnosis of this uncommon condition is critical. The aim of our study was to evaluate this disease noninvasively using CT of the chest. MATERIALS AND METHODS. We reviewed cross-referenced records from 1996 to 2001 in p our departments of radiology and pathology and identified 15 patients with initial pretreatment CT scans who had pathologically confirmed pulmonary venoocclusive disease. Their CT scans were compared with the CT scans of 15 consecutive patients with pathologically confirmed primary pulmonary hypertension. All patients had undergone a postmortem or posttransplantation examination. RESULTS. Ground-glass opacities were significantly more frequent in pulmonary venoocclusive disease (p = 0.003); the opacities were abundant with random zonal predominance and preferentially centrilobular distribution (p = 0.03). Subpleural septal lines and adenopathy were also significantly more frequent (p &lt; 0.0001). CONCLUSION. On the initial pretreatment chest CT scan, the presence of ground-glass opacities (particularly with a centrilobular distribution), septal lines, and adenopathy are indicative of pulmonary venoocclusive disease in patients displaying pulmonary hypertension. Caution should be exercised before vasodilator therapy is initiated in the patients whose scans show such radiologic abnormalities.</t>
  </si>
  <si>
    <t>LONG-TERM TREATMENT; HIGH-RESOLUTION CT; ARTERY HYPERTENSION; LUNG ATTENUATION; MOSAIC PATTERN; PROSTACYCLIN ANALOG; FREQUENCY; ILOPROST; EFFUSION; THERAPY</t>
  </si>
  <si>
    <t>Pulmonary hypertension: CT of the chest in pulmonary venoocclusive disease</t>
  </si>
  <si>
    <t>Resten, A; Maitre, S; Humbert, M; Rabiller, A; Sitbon, O; Capron, F; Simonneau, G; Musset, D</t>
  </si>
  <si>
    <t>WOS:000224551500334</t>
  </si>
  <si>
    <t>Humbert, Marc/AAC-8459-2019; DE GROOTE, Pascal/LLL-9444-2024</t>
  </si>
  <si>
    <t>Universite de Lille; CHU Lille; Sanofi-Aventis; Sanofi France; Communaute Universite Grenoble Alpes; Universite Grenoble Alpes (UGA); CHU Grenoble Alpes; Sorbonne Universite; Assistance Publique Hopitaux Paris (APHP); Hopital Universitaire Pitie-Salpetriere - APHP; Assistance Publique Hopitaux Paris (APHP); Hopital Universitaire Antoine-Beclere - APHP</t>
  </si>
  <si>
    <t>Univ Hosp Lille, Lille, France; Actel Pharmaceut France, Dept Med, Paris, France; Univ Hosp Grenoble, Grenoble, France; La Pitie Hosp, Paris, France; A Beclere Hosp, Clamart, France</t>
  </si>
  <si>
    <t>A French nationwide multicenter prospective screening study of pulmonary arterial hypertension in systemic sclerosis</t>
  </si>
  <si>
    <t>Hachulla, E; Gressin, V; Carpentier, P; Guillevin, L; Kahan, A; Cabane, J; Frances, C; Clerson, P; De Groote, P; Humbert, M</t>
  </si>
  <si>
    <t>WOS:000208663600721</t>
  </si>
  <si>
    <t>V28EH</t>
  </si>
  <si>
    <t>callebert, jacques/L-4569-2017; Peoc'h, Katell/V-1604-2017; Humbert, Marc/AAC-8459-2019; Maroteaux, Luc/H-4585-2019</t>
  </si>
  <si>
    <t>Universite Paris Cite; Assistance Publique Hopitaux Paris (APHP); Hopital Universitaire Lariboisiere-Fernand-Widal - APHP; Institut National de la Sante et de la Recherche Medicale (Inserm); Universite de Lorraine; Universites de Strasbourg Etablissements Associes; Universite de Strasbourg; Centre National de la Recherche Scientifique (CNRS); Assistance Publique Hopitaux Paris (APHP); Hopital Universitaire Antoine-Beclere - APHP; Universite Paris Cite; Assistance Publique Hopitaux Paris (APHP); Hopital Universitaire Europeen Georges-Pompidou - APHP</t>
  </si>
  <si>
    <t>[Callebert, J.; Peoc'h, K.; Launay, J. M.] Hop Lariboisiere, F-75475 Paris, France; [Launay, J. M.; Esteve, J. M.; Jaffre, F.; Monassier, L.] Univ Strasbourg, CNRS, INSERM, Strasbourg, France; [Herve, P.; Humbert, M.] Hop Antoine Beclere, Clamart, France; [Schussler, O.] HEGP, Paris, France</t>
  </si>
  <si>
    <t>The 5-HT2B receptor as mediator of pulmonary hypertension and cardiac valvulopathy</t>
  </si>
  <si>
    <t>Callebert, J.; Peoc'h, K.; Launay, J. M.; Esteve, J. M.; Jaffre, F.; Monassier, L.; Maroteaux, L.; Herve, P.; Humbert, M.; Schussler, O.</t>
  </si>
  <si>
    <t>Callebert, J; Peoc'h, K; Launay, JM; Esteve, JM; Jaffré, F; Monassier, L; Maroteaux, L; Hervé, P; Humbert, M; Schussler, O</t>
  </si>
  <si>
    <t>WOS:000224056500078</t>
  </si>
  <si>
    <t>856PG</t>
  </si>
  <si>
    <t>Sitbon, Olivier/I-3623-2019; Humbert, Marc/AAC-8459-2019; Beghetti, Maurice/HNP-1055-2023; Simonneau, Gerald/ABE-6614-2020</t>
  </si>
  <si>
    <t>Assistance Publique Hopitaux Paris (APHP); Hopital Universitaire Antoine-Beclere - APHP; University of Geneva; Hopital Marie Lannelongue; Assistance Publique Hopitaux Paris (APHP); Universite Paris Cite; Hopital Universitaire Necker-Enfants Malades - APHP</t>
  </si>
  <si>
    <t>Hop Antoine Beclere, Clamart, France; HUG, Pediat Cardiol Unit, Geneva, Switzerland; CMC Marie Lannelongue, Le Plessis Robinson, France; Hop Necker Enfants Malad, Paris, France; Actel Pharmaceut France, Paris, France</t>
  </si>
  <si>
    <t>ESC</t>
  </si>
  <si>
    <t>AUG 28-SEP 01, 2004</t>
  </si>
  <si>
    <t>ESC Congress 2004</t>
  </si>
  <si>
    <t>The endothelin-receptor antagonist bosentan for the treatment of pulmonary arterial hypertension associated with congenital heart defects</t>
  </si>
  <si>
    <t>Sitbon, O; Beghetti, M; Petit, J; Iserin, L; Humbert, M; Gressin, V; Simonneau, G</t>
  </si>
  <si>
    <t>WOS:000224056500074</t>
  </si>
  <si>
    <t>HACHULLA, ERIC/R-8488-2018; DE GROOTE, Pascal/LLL-9444-2024; Humbert, Marc/AAC-8459-2019</t>
  </si>
  <si>
    <t>Assistance Publique Hopitaux Paris (APHP); Hopital Universitaire Antoine-Beclere - APHP; CHU Grenoble Alpes; Assistance Publique Hopitaux Paris (APHP); Universite Paris Cite; Hopital Universitaire Cochin - APHP; Assistance Publique Hopitaux Paris (APHP); Sorbonne Universite; Hopital Universitaire Saint-Antoine - APHP; Universite de Lille; CHU Lille</t>
  </si>
  <si>
    <t>Hop Antoine Beclere, Clamart, France; Actel Pharmaceut France, Paris, France; Internal Med, Lille, France; Univ Hosp, Grenoble, France; Hop Cochin, F-75674 Paris, France; Hop St Antoine, F-75571 Paris, France; Univ Hosp, Lille, France</t>
  </si>
  <si>
    <t>Systematic cardiac echoscreening is effective in detecting early stage pulmonary arterial hypertension in systemic sclerosis</t>
  </si>
  <si>
    <t>ltinerAIR Scleroderma Investi</t>
  </si>
  <si>
    <t>Humbert, M; Gressin, V; Hachulla, E; Carpentier, P; Guillevin, L; Kahan, A; Cabane, J; De Groote, P</t>
  </si>
  <si>
    <t>WOS:000223757400008</t>
  </si>
  <si>
    <t>852LS</t>
  </si>
  <si>
    <t>10.1183/09031936.04.00028404</t>
  </si>
  <si>
    <t>Humbert, Marc/0000-0003-0703-2892; Galie, Nazzareno/0000-0003-4271-8670</t>
  </si>
  <si>
    <t>Rubin, Lewis/AEW-1719-2022; boonstra, anco/J-5446-2014; Simonneau, Gerald/ABE-6614-2020; Humbert, Marc/AAC-8459-2019; Galie, Nazzareno/F-7004-2014</t>
  </si>
  <si>
    <t>marc.humbert@abc.ap-hop-paris.fr</t>
  </si>
  <si>
    <t>Univ Paris Sud, Hop Antoine Beclere, Assistance Publ Hop Paris, 157 Rue Porte Trivaux, F-92140 Clamart, France.</t>
  </si>
  <si>
    <t>Universite Paris Saclay; Assistance Publique Hopitaux Paris (APHP); Hopital Universitaire Antoine-Beclere - APHP; Universite Paris Cite; Hopital Universitaire Saint-Louis - APHP; Columbia University; Vanderbilt University; University of California System; University of California San Diego; University of Bologna; Vrije Universiteit Amsterdam</t>
  </si>
  <si>
    <t>Univ Paris Sud, Hop Antoine Beclere, Assistance Publ Hop Paris, F-92140 Clamart, France; Columbia Univ Coll Phys &amp; Surg, New York, NY 10032 USA; Vanderbilt Univ, Sch Med, Nashville, TN 37212 USA; Univ Calif San Diego, Div Pulm &amp; Crit Care Med, La Jolla, CA 92093 USA; Univ Bologna, I-40126 Bologna, Italy; Vrije Univ Amsterdam, NL-1081 HV Amsterdam, Netherlands</t>
  </si>
  <si>
    <t>The efficacy and safety of combining bosentan, an orally active dual endothelin receptor antagonist and epoprostenol, a continuously infused prostaglandin, in the treatment of pulmonary arterial hypertension (PAH) was investigated. In this double-blind, placebo-controlled prospective study, 33 patients with PAH started epoprostenol treatment (2 ng.kg(-1)min(-1) starting dose, up to 14+/-2 ng.kg(-1) min(-1) at week 16) and were randomised for 16 weeks in a 2:1 ratio to bosentan (62.5 mg b.i.d for 4 weeks then 125 mg b.i.d) or placebo. Haemodynamics, exercise capacity and functional class improved in both groups at week 16. In the combination treatment group, there was a trend for a greater (although nonsignificant) improvement in all measured haemodynamic parameters. There were four withdrawals in the bosentan/epoprostenol group (two deaths due to cardiopulmonary failure, one clinical worsening, and one adverse event) and one withdrawal in the placebo/epoprostenol group (adverse event). This study showed a trend but no statistical significance towards haemodynamics or clinical improvement due to the combination of bosentan and epoprostenol therapy in patients with pulmonary arterial hypertension. Several cases of early and late major complications were reported. Additional information is needed to evaluate the risk/benefit ratio of combined bosentan-epoprostenol therapy in pulmonary arterial hypertension.</t>
  </si>
  <si>
    <t>CONTINUOUS INTRAVENOUS EPOPROSTENOL; ENDOTHELIN-RECEPTOR ANTAGONIST; SYSTEMIC-SCLEROSIS; PROSTACYCLIN; SURVIVAL; THERAPY; TERM; EXPRESSION; EXCRETION; SYNTHASE</t>
  </si>
  <si>
    <t>Bosentan; endothelin receptors; epoprostenol; pulmonary arterial hypertension; scleroderma</t>
  </si>
  <si>
    <t>Combination of bosentan with epoprostenol in pulmonary arterial hypertension:: BREATHE-2</t>
  </si>
  <si>
    <t>Humbert, M; Barst, RJ; Robbins, IM; Channick, RN; Galié, N; Boonstra, A; Rubin, LJ; Horn, EM; Manes, A; Simonneau, G</t>
  </si>
  <si>
    <t>WOS:000223799001130</t>
  </si>
  <si>
    <t>853AS</t>
  </si>
  <si>
    <t>S425</t>
  </si>
  <si>
    <t>DIV JOHN WILEY &amp; SONS INC, 111 RIVER ST, HOBOKEN, NJ 07030 USA</t>
  </si>
  <si>
    <t>Assistance Publique Hopitaux Paris (APHP); Universite Paris Cite; Hopital Universitaire Cochin - APHP; Assistance Publique Hopitaux Paris (APHP); Sorbonne Universite; Hopital Universitaire Saint-Antoine - APHP; Sorbonne Universite; Assistance Publique Hopitaux Paris (APHP); Hopital Universitaire Pitie-Salpetriere - APHP; Assistance Publique Hopitaux Paris (APHP); Hopital Universitaire Antoine-Beclere - APHP</t>
  </si>
  <si>
    <t>Actel Pharmaceut, Paris, France; Cochin Hosp, Paris, France; Hop St Antoine, F-75571 Paris, France; La Pitie Hosp, Paris, France; Hop Antoine Beclere, Clamart, France</t>
  </si>
  <si>
    <t>San Antonio, TX</t>
  </si>
  <si>
    <t>OCT 16-21, 2004</t>
  </si>
  <si>
    <t>68th Annual Scientific Meeting of the American-College-of-Rheumatology/39th Annual Scientific Meeting of the Association-of-Rheumatology-Health-Professionals</t>
  </si>
  <si>
    <t>Diagnostic approach of pulmonary arterial hypertension in systemic sclerosis: A French nationwide multicenter prospective study.</t>
  </si>
  <si>
    <t>Hachulla, E; Gressin, V; Guillevin, L; Carpentier, P; Kahan, A; Cabane, J; Frances, C; Clerson, P; de Groote, P; Humbert, M</t>
  </si>
  <si>
    <t>WOS:000223057200004</t>
  </si>
  <si>
    <t>843DX</t>
  </si>
  <si>
    <t>10.1111/j.1398-9995.2004.00520.x</t>
  </si>
  <si>
    <t>Demoly, Pascal/0000-0001-7827-7964; Humbert, Marc/0000-0003-0703-2892; leroyer, christophe/0000-0002-7601-1692</t>
  </si>
  <si>
    <t>leroyer, christophe/HTT-3905-2023; Magnan, Antoine/D-4100-2015; Demoly, Pascal/Y-9938-2019; Humbert, Marc/AAC-8459-2019</t>
  </si>
  <si>
    <t>Demoly, P (corresponding author), Hop Arnaud Villeneuve, INSERM, Explorat Allergies Malad Resp U454 IFR3, F-34295 Montpellier 5, France.</t>
  </si>
  <si>
    <t>Institut National de la Sante et de la Recherche Medicale (Inserm); Universite de Montpellier; CHU de Montpellier; Assistance Publique Hopitaux Paris (APHP); Universite Paris Cite; Hopital Universitaire Bichat-Claude Bernard - APHP; CHU Brest; Aix-Marseille Universite; Assistance Publique-Hopitaux de Marseille; AstraZeneca; Assistance Publique Hopitaux Paris (APHP); Hopital Universitaire Antoine-Beclere - APHP; Universite Paris Saclay</t>
  </si>
  <si>
    <t>CHU Montpellier, Hop Arnaud Villeneuve, INSERM,U454, Clin Malad Resp, Montpellier, France; Hop Bichat, Serv Pneumol, F-75877 Paris, France; CHRU Cavale Blanche, Serv Pneumol, Brest, France; Hop St Marguerite, Serv Pneumoallergol, Marseille, France; Lab AstraZeneca, Rueil Malmaison, France; Hop Antoine Beclere, Serv Pneumol &amp; Reanimat Resp, Clamart, France; Univ Paris 11, Orsay, France</t>
  </si>
  <si>
    <t>Background: Asthma control and prevention of exacerbations are primary objectives for asthma care. However there is a lack of universal definition of these notions which may therefore have a different meaning according to the physician's practice. Methods: In the present survey, 1805 general practitioners, 551 pulmonologists, 176 allergologists and 470 resuscitation/emergency care physicians were randomly selected in fall 2001 and asked to answer one question on asthma control and three questions on asthma exacerbation. Results: Regarding asthma control, the presence of minimum symptoms was the primary criterion for asthma specialists (pulmonologists and allergologists), while a normal respiratory function was first considered by nonspecialist physicians (general practitioners and emergency care physicians). The first criterion of mild exacerbation for asthma specialists was the occurrence during at least 2 days of an increase in the frequency of dyspnoea and/or the use of short-acting bronchodilators. For nonspecialist physicians, dyspnoea affecting daily activities and/or sleeping was the preferred notion. Hospitalization was unanimously recognized as the first criterion for severe exacerbations. A decrease in peak expiratory flow of more than 30% below the baseline value on two consecutive days and an episode requiring systemic corticosteroids were the next criteria. Conclusions: This survey emphasizes the complexity of the notions of asthma control and exacerbation and provides novel informations to orient continuing education programmes.</t>
  </si>
  <si>
    <t>ADULTS</t>
  </si>
  <si>
    <t>asthma; control; exacerbation; management; survey</t>
  </si>
  <si>
    <t>Control and exacerbation of asthma: a survey of more than 3000 French physicians</t>
  </si>
  <si>
    <t>Demoly, P; Crestani, B; Leroyer, C; Magnan, A; Mounedji, N; Humbert, M</t>
  </si>
  <si>
    <t>WOS:000224153900011</t>
  </si>
  <si>
    <t>857XT</t>
  </si>
  <si>
    <t>10.1056/NEJMra040291</t>
  </si>
  <si>
    <t>Assistance Publique Hopitaux Paris (APHP); Universite Paris Cite; Hopital Universitaire Saint-Louis - APHP; Hopital Universitaire Antoine-Beclere - APHP; Universite Paris Saclay</t>
  </si>
  <si>
    <t>Univ Paris 11, Assistance Publ Hop Paris, Hop Antoine Beclere,Ctr Malad Vasc Pulm, Serv Pneumol &amp; Reanimat Resp,Unite Propre Rech En, Clamart, France</t>
  </si>
  <si>
    <t>LONG-TERM TREATMENT; CONTINUOUS INTRAVENOUS EPOPROSTENOL; RECEPTOR ANTAGONIST BOSENTAN; CALCIUM-CHANNEL BLOCKERS; INHALED NITRIC-OXIDE; ORAL SILDENAFIL; PROSTACYCLIN ANALOG; DOUBLE-BLIND; GERMLINE MUTATIONS; PROGNOSTIC-FACTORS</t>
  </si>
  <si>
    <t>Drug therapy: Treatment of pulmonary arterial hypertension</t>
  </si>
  <si>
    <t>WOS:000224228500010</t>
  </si>
  <si>
    <t>858YJ</t>
  </si>
  <si>
    <t>10.1517/13543784.13.10.1349</t>
  </si>
  <si>
    <t>Expert Opin. Investig. Drugs</t>
  </si>
  <si>
    <t>EXPERT OPIN INV DRUG</t>
  </si>
  <si>
    <t>1744-7658</t>
  </si>
  <si>
    <t>1354-3784</t>
  </si>
  <si>
    <t>Univ Paris Sud, Assistance Publ Hop Paris, Hop Antoine Beclere, Serv Pneumol &amp; Reanimat, 157 Rue Porte Trivaux, F-92140 Clamart, France.</t>
  </si>
  <si>
    <t>Assistance Publique Hopitaux Paris (APHP); Hopital Universitaire Antoine-Beclere - APHP; Universite Paris Saclay; Universite Paris Cite; Hopital Universitaire Saint-Louis - APHP</t>
  </si>
  <si>
    <t>Univ Paris Sud, Assistance Publ Hop Paris, Hop Antoine Beclere, Serv Pneumol &amp; Reanimat Resp, F-92140 Clamart, France</t>
  </si>
  <si>
    <t>Inhaled corticosteroids (ICS) are a. mainstay in the treatment of persistent asthma, a disease with increasing prevalence and cost implications worldwide. However, long-term use of currently available ICS is associated with local adverse effects that include hoarseness and oral candidiasis. In addition, systemic adverse effects including adrenal cortical suppression, osteoporosis, growth retardation, cataracts and glaucoma are also present. Ciclesonide is a novel ICS, which promises to provide airway anti-inflammatory efficacy that is comparable with that of the available ICS in addition to reducing the risk for local and systemic adverse events. Ciclesonide is an agent that is inactive until it reaches its target site, the lung, where it is converted to its active metabolite desisobutyryl-ciclesonide. In addition, other favourable pharmacokinetic and pharmacodynamic characteristics such as high protein binding, low oral bioavailability and rapid clearance contribute to the efficacy and improved systemic safety profile of ciclesonide.</t>
  </si>
  <si>
    <t>AIRWAY RESPONSIVENESS; ASTHMA; PHARMACOKINETICS; HYDROFLUOROALKANE; PHARMACODYNAMICS; GLUCOCORTICOIDS; MECHANISMS; INHALATION; PREVENTION; CHILDREN</t>
  </si>
  <si>
    <t>asthma; cidesonide; economic impact; epidemiology; glucocorticoid; receptor binding; inhaled corticosteroid; metered-dose inhaler</t>
  </si>
  <si>
    <t>EXPERT OPINION ON INVESTIGATIONAL DRUGS</t>
  </si>
  <si>
    <t>Ciclesonide: a novel inhaled corticosteroid</t>
  </si>
  <si>
    <t>WOS:000224673100049</t>
  </si>
  <si>
    <t>864ZY</t>
  </si>
  <si>
    <t>10.1378/chest.126.4.1313</t>
  </si>
  <si>
    <t>Humbert, Marc/0000-0003-0703-2892; Castelain, Vincent/0000-0002-9354-6525; HEBERT, Jean-Louis/0000-0001-6049-0601; CHEMLA, Denis/0000-0001-7479-9896</t>
  </si>
  <si>
    <t>Simonneau, Gerald/ABE-6614-2020; Castelain, Vincent/ABG-9778-2020; Humbert, Marc/AAC-8459-2019</t>
  </si>
  <si>
    <t>denis.chemla@bct.ap-hop-paris.fr</t>
  </si>
  <si>
    <t>Chemla, D (corresponding author), Hop Bicetre, Serv EFCR, Broca 7,78 Rue Gen Leclerc 94, F-94275 Le Kremlin Bicetre, France.</t>
  </si>
  <si>
    <t>Assistance Publique Hopitaux Paris (APHP); Universite Paris Cite; Hopital Universitaire Saint-Louis - APHP; Hopital Universitaire Bicetre - APHP; Universite Paris Saclay; Assistance Publique Hopitaux Paris (APHP); Hopital Universitaire Antoine-Beclere - APHP; Hopital Marie Lannelongue</t>
  </si>
  <si>
    <t>Univ Paris 11, Serv Physiol Cardioresp, Hop Bicetre, Assistance Publ Hop Paris, Paris, France; Hop Antoine Beclere, Serv Pneumol, Clamart, France; Hop Marie Lannelongue, Dept Chirurg Thorac &amp; Vasc, F-92350 Le Plessis Robinson, France</t>
  </si>
  <si>
    <t>Study objectives: Mean pulmonary artery pressure (MPAP) and systolic pulmonary artery pressure (SPAP) are used interchangeably to define pulmonary hypertension (PH). We tested the hypothesis that the measurement of MPAP and SPAP is redundant in resting humans over a wide pressure range. Design: Prospective, observational study. Setting: Catheteirization laboratory in a university hospital. Patients: This study involved 31 patients, as follows: primary PH, nine patients; chronic pulmonary thromboembolism, seven patients; venous PH, six patients; and control subjects with normal pulmonary artery pressure, nine patients. Interventions: None. Measurements and results: High-fidelity pulmonary artery pressures were obtained when patients were at rest. Over the wide MPAP range that was under study (10 to 78 mm Hg), MPAP and SPAP were strongly related (r(2) = 0.98). Regression analysis performed on the first 16 subjects (test sample) allowed us to propose a formula (MPAP = 0.61 SPAP + 2 min Hg), the accuracy of which was confirmed in the remaining 15 subjects (validation sample bias, 0 +/- 2 min Hg). If PH was defined by an SPAP in excess of 30 or 40 mm Hg, this corresponded to an MPAP in excess of 20 or 26 mm Hg. If PH was defined by an MPAP of &gt; 25 mm Hg, this corresponded to an SPAP of &gt; 38 min Hg. Conclusions: In resting humans, MPAP can be accurately predicted from SPAP over a wide pressure range. The new formula may help to refine the threshold pressure values used in the diagnosis of PH. Further studies are needed to test the hypothesis that our formula may allow the noninvasive prediction of MPAP from Doppler-derived SPAP values.</t>
  </si>
  <si>
    <t>WAVE REFLECTION; HYPERTENSION; DIAGNOSIS</t>
  </si>
  <si>
    <t>hemodynamic; hypertension; pressure; pulmonary</t>
  </si>
  <si>
    <t>New formula for predicting mean pulmonary artery pressure using systolic pulmonary artery pressure</t>
  </si>
  <si>
    <t>Chemla, D; Castelain, V; Humbert, M; Hébert, JL; Simonneau, G; Lecarpentier, Y; Hervé, P</t>
  </si>
  <si>
    <t>WOS:000224783503749</t>
  </si>
  <si>
    <t>866OT</t>
  </si>
  <si>
    <t>OCT 26</t>
  </si>
  <si>
    <t>Universite de Lille; CHU Lille; Actelion Pharmaceuticals Ltd; Universite de Lille; CHU Lille; Assistance Publique Hopitaux Paris (APHP); Universite Paris Cite; Hopital Universitaire Cochin - APHP; CHU Grenoble Alpes; Assistance Publique Hopitaux Paris (APHP); Sorbonne Universite; Hopital Universitaire Saint-Antoine - APHP; Sorbonne Universite; Assistance Publique Hopitaux Paris (APHP); Hopital Universitaire Pitie-Salpetriere - APHP; Assistance Publique Hopitaux Paris (APHP); Hopital Universitaire Antoine-Beclere - APHP</t>
  </si>
  <si>
    <t>Hop Cardiol, Lille, France; Actelion Pharmaceut France, Paris, France; Hop Claude Huriez, Lille, France; Hop Cochin, F-75674 Paris, France; Hop Nord, Grenoble, France; Hop St Antoine, F-75571 Paris, France; Hop Pitie, F-75651 Paris, France; Orgametrie, Lille, France; Hop Antoine Beclere, Clamart, France</t>
  </si>
  <si>
    <t>NOV 07-10, 2004</t>
  </si>
  <si>
    <t>77th Scientific Meeting of the American-Heart-Association</t>
  </si>
  <si>
    <t>A multicenter cardiac echo Doppler study in 589 patients with systemic sclerosis</t>
  </si>
  <si>
    <t>de Groote, P; Gressin, V; Hachulla, E; Guillevin, L; Carpentier, P; Kahan, A; Cabane, J; Clerson, P; Humbert, M</t>
  </si>
  <si>
    <t>WOS:000225831200007</t>
  </si>
  <si>
    <t>880ZW</t>
  </si>
  <si>
    <t>Humbert, Marc/0000-0003-0703-2892; SITBON, Olivier/0000-0002-1942-1951; POUS, Christian/0000-0002-2502-7854</t>
  </si>
  <si>
    <t>Pous, Christian/JZJ-1643-2024; Simonneau, Gerald/ABE-6614-2020; Sitbon, Olivier/I-3623-2019; Humbert, Marc/AAC-8459-2019</t>
  </si>
  <si>
    <t>marc-humbert@abc.ap-hop-paris.fr</t>
  </si>
  <si>
    <t>Hop Antoine Beclere, Serv Pneumol &amp; Reanimat Resp, UPRES EA 2705, Ctr Malad Vasc Pulmonaires, 157 Rue Porte Trivaux, F-92140 Clamart, France.</t>
  </si>
  <si>
    <t>Assistance Publique Hopitaux Paris (APHP); Hopital Universitaire Antoine-Beclere - APHP; Assistance Publique Hopitaux Paris (APHP); Universite Paris Saclay; Assistance Publique Hopitaux Paris (APHP); Hopital Universitaire Antoine-Beclere - APHP; Assistance Publique Hopitaux Paris (APHP); Hopital Universitaire Antoine-Beclere - APHP</t>
  </si>
  <si>
    <t>Hop Antoine Beclere, Serv Pneumol &amp; Reanimat Resp, UPRES EA 2705, Ctr Malad Vasc Pulmonaires, F-92140 Clamart, France; Univ Paris Sud, Hop Paris, Paris, France; Hop Antoine Beclere, UPRES EA 2705, Serv Biochim, F-92140 Clamart, France; Hop Antoine Beclere, UPRES EA 2705, Serv Pediat, F-92140 Clamart, France</t>
  </si>
  <si>
    <t>Introduction Pulmonary arterial hypertension (PAH) is defined by a raised pressure in the pulmonary arterial circulation associated with small vessel narrowing due to proliferation of the endothelium and vascular smooth muscle. Idiopathic PAH should be distinguished from PAH associated with a causal disease. One familial type (familial PAH), gathered from one family, has recently been linked to a mutation of the BMPR 2 (bone morphogenetic protein receptor 2) gene. It seems important to compare the idiopathic form of PAH with these familial forms to confirm that the same diagnostic and therapeutic principles can be applied to familial PAH. Material and methods The demographic, clinical, haemodynamic and prognostic data from 34 cases of familial PAH were compared with those of 451 cases of idiopathic PAH. The genetic charecteristics of the familial forms were also defined. Results Familial PAH presented at a younger age than idiopathic PH (31 +/- 15 vs. 45 +/- 18 years p = 0.002) without any other demographic diference (sex-ratio 2.09/1 et 1.42/1 p = NS). There was no difference in exercises tolerance (6 minute walking test 341 98 and 289 135 metres p NS), in haemodynamic parameters (mean PAP 65 +/- 12 and 62 +/- 15 mmHg, p = NS), or in prognosis, with the exception of an absence of a vasodilator response in the familial group to nitric oxide challenge. We found the BMPR 2 gene mutation to be quantatively and qualitatively comparable to previously published data. Conclusion The only difference between these two forms of this illness were of a younger age at presentation and an absent vasodilator response in the familial PAH group. We do not propose that familial PAH should be treated any differently from the idiopathic form. Genetic counselling will need to be developed in line with the progress being made in the understanding of this condition.</t>
  </si>
  <si>
    <t>HEREDITARY HEMORRHAGIC TELANGIECTASIA; GERMLINE MUTATIONS</t>
  </si>
  <si>
    <t>pulmonary hypertension; BMPR 2; TGF beta; genetics</t>
  </si>
  <si>
    <t>Clinical, haemodynamic and genetic features of familial pulmonary hypertension</t>
  </si>
  <si>
    <t>Sztrymf, B; Francoual, J; Sitbon, O; Labrune, P; Jambou, M; Poüs, C; Simonneau, G; Humbert, M</t>
  </si>
  <si>
    <t>WOS:000225444900014</t>
  </si>
  <si>
    <t>875TO</t>
  </si>
  <si>
    <t>10.1164/rccm.200404-445OC</t>
  </si>
  <si>
    <t>Simonneau, Gerald/ABE-6614-2020; Macdonald, Peter/Q-3188-2019; Sitbon, Olivier/I-3623-2019; Humbert, Marc/AAC-8459-2019</t>
  </si>
  <si>
    <t>Hop Antoine Beclere, 157 Rue Porte Trivaux, F-92140 Clamart, France.</t>
  </si>
  <si>
    <t>Assistance Publique Hopitaux Paris (APHP); Hopital Universitaire Antoine-Beclere - APHP; Universite Paris Saclay; Assistance Publique Hopitaux Paris (APHP); Hopital Universitaire Bicetre - APHP; Hopital Universitaire Antoine-Beclere - APHP; Actelion Pharmaceuticals Ltd; University of Zurich; University Zurich Hospital; NSW Health; St Vincents Hospital Sydney</t>
  </si>
  <si>
    <t>Hop Antoine Beclere, F-92140 Clamart, France; Hop Bicetre, Le Kremlin Bicetre, France; Actelion Pharmaceut Ltd, Paris, France; Univ Zurich Hosp, CH-8091 Zurich, Switzerland; St Vincents Hosp, Sydney, NSW 2010, Australia</t>
  </si>
  <si>
    <t>Clinical studies have shown the importance of endothelin as a pathogenic mediator in pulmonary arterial hypertension (PAH). We describe the effects of bosentan, an oral dual endothelin receptor antagonist, in patients with PAH associated with human immunodeficiency virus (HIV) infection. In this prospective study, 16 patients with PAH associated with HIV infection in stable condition received bosentan for 16 weeks. Efficacy endpoints included exercise capacity, cardiopulmonary hemodynamics, Doppler echocardiography, New York Heart Association functional class, and quality of life (SF-36 and EQ-5D). Safety was assessed by laboratory tests, vital signs, and adverse events. Improvements were observed from baseline to Week 16 in all efficacy parameters: 6-minute walk distance (+91 +/- 60 m, p &lt; 0.001), New York Heart Association class (14 patients improved), hemodynamics (cardiac index: +0.9 +/- 0.7 L/minute/m(2), p &lt; 0.001), Doppler echocardiographic variables, and quality of life. During the study, no patient died and none required epoprostenol treatment. Hepatic tolerability was similar to that reported in patients with PAH. Bosentan had no negative impact on control of HIV infection. Although limited by uncontrolled design, small sample size and short duration, this study suggests that bosentan may benefit patients with PAH associated with HIV infection, and that endothelin is an important pathogenic mediator in this disease.</t>
  </si>
  <si>
    <t>QUALITY-OF-LIFE; RECEPTOR ANTAGONIST BOSENTAN; PROGNOSTIC-FACTORS; 6-MINUTE WALK; ENDOTHELIN-1; EPOPROSTENOL; SURVIVAL; PROSTACYCLIN; INFECTION; INFUSION</t>
  </si>
  <si>
    <t>bosentan; Doppler echocardiography; HIV infection; pulmonary arterial hypertension; quality of life</t>
  </si>
  <si>
    <t>Bosentan for the treatment of human immunodeficiency virus-associated pulmonary arterial hypertension</t>
  </si>
  <si>
    <t>Sitbon, O; Gressin, V; Speich, R; Macdonald, PS; Opravil, M; Cooper, DA; Fourme, T; Humbert, M; Delfraissy, JF; Simonneau, G</t>
  </si>
  <si>
    <t>WOS:000226909900016</t>
  </si>
  <si>
    <t>896BP</t>
  </si>
  <si>
    <t>10.1016/S0761-8425(04)71589-2</t>
  </si>
  <si>
    <t>Humbert, Marc/0000-0003-0703-2892; SITBON, Olivier/0000-0002-1942-1951; Degano, Bruno/0000-0003-1644-7264</t>
  </si>
  <si>
    <t>Chaouat, Ari/AAP-6784-2021; Reynaud-Gaubert, Martine/P-6958-2016; Degano, Bruno/IAQ-7289-2023; Sitbon, Olivier/I-3623-2019; , CRACOWSKI/M-6946-2014; Humbert, Marc/AAC-8459-2019</t>
  </si>
  <si>
    <t>JLCracowski@chu-grenoble.fr</t>
  </si>
  <si>
    <t>CHU Grenoble, Ctr Invest Clin, BP 217, F-38043 Grenoble 09, France.</t>
  </si>
  <si>
    <t>Institut National de la Sante et de la Recherche Medicale (Inserm); Communaute Universite Grenoble Alpes; Universite Grenoble Alpes (UGA); Assistance Publique Hopitaux Paris (APHP); Hopital Universitaire Antoine-Beclere - APHP; Aix-Marseille Universite; Assistance Publique-Hopitaux de Marseille; CHU Grenoble Alpes; Communaute Universite Grenoble Alpes; Universite Grenoble Alpes (UGA); Communaute Universite Grenoble Alpes; Universite Grenoble Alpes (UGA); CHU Grenoble Alpes; Universites de Strasbourg Etablissements Associes; Universite de Strasbourg; CHU Strasbourg; CHU de Nancy; CHU Tours; CHU Lyon</t>
  </si>
  <si>
    <t>Ctr Invest, Clin Inserm 003, Grenoble, France; Fac Med Grenoble, EA 3745, Lab HP2, Grenoble, France; CHU Clamart, Serv Pneumol, Clamart, France; CHU Marseille, Serv Pneumol, Marseille, France; CHU Grenoble, Dept Biol Integree, Grenoble, France; CHU Grenoble, Serv Pneumol, Grenoble, France; CHU Strasbourg, Serv Pneumol, Strasbourg, France; CHU Nancy, Serv Pneumol, Nancy, France; Inst Expt &amp; Klin Pharmakol, Hamburg, Germany; CHU Tours, Serv Pneumol, Toulouse, France; CHU Lyon, Serv Pneumol, Lyon, France</t>
  </si>
  <si>
    <t>Current situation Pulmonary arterial hypertension (PAH) is a serious disease. Its prognostic is based on the functional status quantified by the NYHA class and the 6-min walking test, and the hemodynamic data. The algorithms of treatment are solely based on the hemodynamic data and the functional status. The main objective is to test whether basal concentrations of isoprostanes, Big endotheline 1, ADMA, high sensitivity CRP, NT-Pro-BNP and cardiac troponin T are a 3-year prognostic factor in PAH using a combined criterion: death from any cause and pulmonary or cardiopulmonary transplantation. Materials and methods This is a multicenter, prospective, prognostic, single blinded study (plasma and urinary samples being blinded). The study started in november 2003, running for 2 years, with a 3 year follow-up for each patient. The main inclusion criterion is PAH. The data analysis will use a multivariable Cox model, taking into account the functional and hemodynamic parameters. Expected results This study will determine whether any of the biomarkers tested provides additional prognostic information in PAH in addition to the functional and hemodynamic parameters.</t>
  </si>
  <si>
    <t>LIPID-PEROXIDATION; BIG ENDOTHELIN-1; SURVIVAL; THERAPY; PHYSIOLOGY; SEVERITY; FAILURE; IMPACT</t>
  </si>
  <si>
    <t>pulmonary hypertension; prognosis; mortality; biomarkers</t>
  </si>
  <si>
    <t>Biomarkers as prognostic factors in pulmonary arterial hypertension. Rationale and study design</t>
  </si>
  <si>
    <t>Cracowski, JL; Yaici, A; Sitbon, O; Reynaud-Gaubert, M; Renversez, JC; Pison, C; Faure, P; Cracowski, C; Chouri, N; Chaouat, A; Chabot, F; Schwedhelm, E; Maas, R; Degano, B; Mornex, JF; Humbert, M</t>
  </si>
  <si>
    <t>WOS:000226909900018</t>
  </si>
  <si>
    <t>10.1016/S0761-8425(04)71591-0</t>
  </si>
  <si>
    <t>Pascal.ASSOULINE@ch-longjumeau.fr</t>
  </si>
  <si>
    <t>Assouline, P (corresponding author), Ctr Hosp Longjumeau, Serv Pneumol, 159 Rue President Francois Mitterand, F-91160 Longjumeau 01, France.</t>
  </si>
  <si>
    <t>Ctr Hosp Longjumeau, Serv Pneumol, F-91160 Longjumeau 01, France; Ctr Radiotherapie &amp; Traitment Tumeurs, Meudon, France; Hop Antoine Beclere, Serv Pneumol &amp; Reanimat Resp, Clamart, France</t>
  </si>
  <si>
    <t>Introduction Ocular metastases are rare and their diagnosis can be difficult, being dependent on a combination of clinical examination of the eye, ultrasound, angiography and magnetic resonance imaging. Clinical case We describe two cases of cases of choroidal metastases in patients with a bronchogenic carcinoma. In both cases the metastases presented at a late stage in the disease and occurred in association with cerebral metastases. One patient had an epidermoid turnout the other a small cell carcinoma. Loss of visual acuity, which was slowly progressive in the first case and abrupt in the second, led to the diagnosis of choroidal metastases. Following radiotherapy in a dose of 30 Gray delivered to the posterior segment of the eye, both patients' visual acuity recovered to near normal within a few weeks. Conclusion If patients with lung cancer develop visual disturbance the possibility of choroidal metastases should be considered. Ocular radiotherapy can often ameliorate disabling visual disturbance, significantly improving quality of life.</t>
  </si>
  <si>
    <t>CARCINOMA; EYES</t>
  </si>
  <si>
    <t>choroidal metastases; eye metastases; lung cancer</t>
  </si>
  <si>
    <t>Choroidal metastases in lung cancer</t>
  </si>
  <si>
    <t>Assouline, P; Bussiere, A; Thiellet, A; Humbert, M; Oliviero, G</t>
  </si>
  <si>
    <t>WOS:000226370500032</t>
  </si>
  <si>
    <t>888JP</t>
  </si>
  <si>
    <t>Hop Antoine Beclere, F-92140 Clamart, France.</t>
  </si>
  <si>
    <t>Hop Antoine Beclere, F-92140 Clamart, France</t>
  </si>
  <si>
    <t>Treatment of pulmonary arterial hypertension - Reply</t>
  </si>
  <si>
    <t>WOS:000226714800003</t>
  </si>
  <si>
    <t>893JJ</t>
  </si>
  <si>
    <t>10.1183/09031936.05.00129604</t>
  </si>
  <si>
    <t>Hop Antoine Beclere, Serv Pneumol, F-92140 Clamart, France</t>
  </si>
  <si>
    <t>THERAPY; EPOPROSTENOL; BOSENTAN; COMBINATION</t>
  </si>
  <si>
    <t>Improving survival in pulmonary arterial hypertension</t>
  </si>
  <si>
    <t>WOS:000227204700011</t>
  </si>
  <si>
    <t>900GZ</t>
  </si>
  <si>
    <t>10.1016/S0755-4982(05)88256-9</t>
  </si>
  <si>
    <t>Humbert, Marc/0000-0003-0703-2892; Perros, Frederic/0000-0001-7730-2427</t>
  </si>
  <si>
    <t>Humbert, Marc/AAC-8459-2019; Perros, Frederic/N-6921-2017</t>
  </si>
  <si>
    <t>humbert@ipsc.upsud.fr</t>
  </si>
  <si>
    <t>Univ Paris Sud, Hop Antoine Beclere, Inst Paris Sud Cytokines, Ctr Malad Vasc Pulm,Serv Pneumol &amp; Reanimat Resp, Clamart, France</t>
  </si>
  <si>
    <t>The combined effects of vasoconstriction, remodelling of the pulmonary vessel walls and in situ thrombosis contribute to the increase in pulmonary vascular resistance during pulmonary arterial hypertension. Vascular remodelling involves all the sheaths of the vessel wall and all the cell types of which it is composed (endothelial cells, smooth muscle cells, fibroblasts, inflammatory cells and platelets). Excessive vasoconstriction has been related to a defect in the function of expression of the potassium channels and endothelial dysfunction. This leads to chronic insufficiency in the production of vasodilatators, notably nitrogen monoxide and prostacyclin and the excessive production of vasoconstrictors such as endotheline-1. These defects contribute to the increase in vascular tonus and pulmonary vascular remodelling and represent pertinent pharmacological targets. Certain growth factors, including those of the super-family of transforming growth factor beta, angiopoietine-1 and serotonin, may play a part in the pathogenesis of pulmonary arterial hypertension.</t>
  </si>
  <si>
    <t>ENDOTHELIAL GROWTH-FACTOR; VASCULAR SMOOTH-MUSCLE; GERMLINE MUTATIONS; PLEXIFORM LESIONS; TRANSPORTER GENE; II RECEPTOR; FACTOR-BETA; EXPRESSION; SEROTONIN; 5-HYDROXYTRYPTAMINE</t>
  </si>
  <si>
    <t>Physiopathology of pulmonary arterial hypertension - Cellular and molecular aspects</t>
  </si>
  <si>
    <t>Perros, F; Humbert, M</t>
  </si>
  <si>
    <t>WOS:000227517300019</t>
  </si>
  <si>
    <t>904SF</t>
  </si>
  <si>
    <t>10.1183/09031936.05.00100504</t>
  </si>
  <si>
    <t>Souza, Rogerio/0000-0003-2789-9143; Carvalho, Carlos/0000-0002-1618-8509; Amato, Marcelo Britto Passos/0000-0003-3525-8282; Humbert, Marc/0000-0003-0703-2892; Jardim, Carlos/0000-0003-0425-5548</t>
  </si>
  <si>
    <t>Carvalho, Carlos/N-9827-2018; Souza, Rogerio/I-3584-2013; Amato, Marcelo Britto Passos/L-5001-2016; Humbert, Marc/AAC-8459-2019; Jardim, Carlos/N-8061-2017</t>
  </si>
  <si>
    <t>rgrsz@uol.com.br</t>
  </si>
  <si>
    <t>Afonso Freitas 556 Ap 12, BR-04006052 Sao Paulo, Brazil.</t>
  </si>
  <si>
    <t>Universidade de Sao Paulo; Universite Paris Saclay; Assistance Publique Hopitaux Paris (APHP); Hopital Universitaire Antoine-Beclere - APHP</t>
  </si>
  <si>
    <t>Univ Sao Paulo, Div Pulm, Pulm Hypertens Univ, Inst Heart,Med Sch, Sao Paulo, Brazil; Fleury Res Inst, Sao Paulo, Brazil; Univ Paris Sud, Hop Antoine Beclere, Ctr Malad Vasc Pulm, UPRES EA 2705, Clamart, France</t>
  </si>
  <si>
    <t>Patients with idiopathic pulmonary arterial hypertension usually undergo acute vasodilator tests with nitric oxide (NO) for haemodynamic evaluation and therapeutical planning. The aim of this study was to evaluate the link between the variation of N-terminal (NT)-pro-brain natriuretic peptide (BNP) levels and haemodynamic parameters during the acute vasodilator test. A total of 22 idiopathic pulmonary arterial hypertension patients who underwent acute vasodilator tests were studied. Blood samples were collected at baseline and after 30 and 60 min of NO inhalation. NT-pro-BNP levels were measured in each sample. A receiver-operating characteristic curve was used to evaluate the capability of the NT-pro-BNP level variation during NO inhalation in recognising nonresponders. To distinguish responders from nonresponders, the increase of the NT-pro-BNP (0% as cut-off value) determined a 50% specificity and 100% sensitivity (positive predictive value of 38% and a negative predictive value of 100%). These results suggest that N-terminal-pro-brain natriuretic peptide was able to distinguish nonresponder patients with the acute vasodilator test. N-terminal-pro-brain natriuretic peptide may be an interesting additional biological tool in the evaluation of idiopathic pulmonary arterial hypertension patients.</t>
  </si>
  <si>
    <t>CALCIUM-CHANNEL BLOCKERS; VENTRICULAR HYPERTROPHY; SYSTEMIC-SCLEROSIS; HEART-FAILURE; DYSFUNCTION</t>
  </si>
  <si>
    <t>acute vasodilator test; idiopathic pulmonary arterial hypertension; N-terminal-pro-brain natriuretic peptide; pulmonary hypertension</t>
  </si>
  <si>
    <t>N-terminal-pro-brain natriuretic peptide as a haemodynamic marker in idiopathic pulmonary arterial hypertension</t>
  </si>
  <si>
    <t>Souza, R; Bogossian, HB; Humbert, M; Jardim, C; Rabelo, R; Amato, MBP; Carvalho, CRR</t>
  </si>
  <si>
    <t>WOS:000226639200006</t>
  </si>
  <si>
    <t>892GV</t>
  </si>
  <si>
    <t>10.1111/j.1398-9995.2004.00772.x</t>
  </si>
  <si>
    <t>Beasley, Richard/0000-0003-0337-406X; Humbert, Marc/0000-0003-0703-2892; CANONICA, GIORGIO WALTER/0000-0001-8467-2557</t>
  </si>
  <si>
    <t>Beasley, Richard/AAH-3908-2019; Bousquet, Jean/O-4221-2019; Humbert, Marc/AAC-8459-2019; CANONICA, GIORGIO WALTER/ABF-2037-2020</t>
  </si>
  <si>
    <t>Humbert, M (corresponding author), Hop Antoine Beclere, Serv Pneumol, 157 Rue Porte Trivaux, F-92141 Clamart, France.</t>
  </si>
  <si>
    <t>Assistance Publique Hopitaux Paris (APHP); Hopital Universitaire Antoine-Beclere - APHP; Medical Research Institute Of New Zealand; Saint Louis University; Universite de Montpellier; CHU de Montpellier; Johannes Gutenberg University of Mainz; University of Oviedo; Central University Hospital Asturias; University of Genoa; IRCCS AOU San Martino IST; Novartis; Novartis United Kingdom</t>
  </si>
  <si>
    <t>Hop Antoine Beclere, Serv Pneumol, F-92141 Clamart, France; Med Res Inst New Zealand, Wellington, New Zealand; Liberty Safe Work Res Ctr, Aberdeen, Scotland; St Louis Univ, St Louis, MO 63103 USA; CRAAQ, Quebec City, PQ, Canada; Hop Arnaud Villeneuve, Montpellier, France; Univ Mainz 3, Mainz, Germany; Univ Oviedo, Hosp Cent Asturias, E-33080 Oviedo, Spain; Osped San Martino Genova, Genoa, Italy; Novartis Horsham Res Ctr, Horsham, W Sussex, England</t>
  </si>
  <si>
    <t>Background: Patients with severe persistent asthma who are inadequately controlled despite Global Initiative for Asthma (GINA) 2002 step 4 therapy are a challenging population with significant unmet medical need. We determined the effect of omalizumab on clinically significant asthma exacerbations (requiring systemic corticosteroids) in the first omalizumab study to exclusively enrol patients from this difficult-to-treat patient population. Methods: Following a run-in phase, patients (12-75 years) inadequately controlled despite therapy with high-dose inhaled corticosteroids (ICS) and long-acting beta(2)-agonists (LABA) with reduced lung function and a recent history of clinically significant exacerbations were randomized to receive omalizumab or placebo for 28 weeks in a double-blind, parallel-group, multicentre study. Results: A total of 419 patients were included in the efficacy analyses. The clinically significant asthma exacerbation rate (primary efficacy variable), adjusted for an observed relevant imbalance in history of clinically significant asthma exacerbations, was 0.68 with omalizumab and 0.91 with placebo (26% reduction) during the 28-week treatment phase (P=0.042). Without adjustment, a similar magnitude of effect was seen (19% reduction), but this did not reach statistical significance. Omalizumab significantly reduced severe asthma exacerbation rate (0.24 vs 0.48, P=0.002) and emergency visit rate (0.24 vs 0.43, P=0.038). Omalizumab significantly improved asthma-related quality of life, morning peak expiratory flow and asthma symptom scores. The incidence of adverse events was similar between treatment groups. Conclusions: In patients with inadequately controlled severe persistent asthma, despite high-dose ICS and LABA therapy, and often additional therapy, omalizumab significantly reduced the rate of clinically significant asthma exacerbations, severe exacerbations and emergency visits. Omalizumab is effective and should be considered as add-on therapy for patients with inadequately controlled severe persistent asthma who have a significant unmet need despite best available therapy.</t>
  </si>
  <si>
    <t>SEVERE ALLERGIC-ASTHMA; ANTI-IGE ANTIBODY; ANTIIMMUNOGLOBULIN-E ANTIBODY; LONG-TERM CONTROL; QUALITY-OF-LIFE; RISK-FACTORS; EFFICACY; TOLERABILITY; MULTICENTER; POPULATION</t>
  </si>
  <si>
    <t>anti-immunoglobulin E; exacerbations; Global Initiative for Asthma 2002 step 4 therapy; omalizumab; severe persistent asthma</t>
  </si>
  <si>
    <t>Benefits of omalizumab as add-on therapy in patients with severe persistent asthma who are inadequately controlled despite best available therapy (GINA 2002 step 4 treatment):: INNOVATE</t>
  </si>
  <si>
    <t>Humbert, M; Beasley, R; Ayres, J; Slavin, R; Hébert, J; Bousquet, J; Beeh, KM; Ramos, S; Canonica, GW; Hedgecock, S; Fox, H; Blogg, M; Surrey, K</t>
  </si>
  <si>
    <t>WOS:000230809400010</t>
  </si>
  <si>
    <t>949SW</t>
  </si>
  <si>
    <t>10.1007/s11882-005-0090-0</t>
  </si>
  <si>
    <t>Curr. Allergy Asthma Rep.</t>
  </si>
  <si>
    <t>CURR ALLERGY ASTHM R</t>
  </si>
  <si>
    <t>1534-6315</t>
  </si>
  <si>
    <t>1529-7322</t>
  </si>
  <si>
    <t>400 MARKET STREET, STE 700, PHILADELPHIA, PA 19106 USA</t>
  </si>
  <si>
    <t>CURRENT MEDICINE GROUP</t>
  </si>
  <si>
    <t>Humbert, Marc/0000-0003-0703-2892; Godot, Veronique/0000-0003-3557-308X</t>
  </si>
  <si>
    <t>Humbert, Marc/AAC-8459-2019; Godot, Veronique/A-7863-2015</t>
  </si>
  <si>
    <t>Chemokines and chemokine receptors are part of a complex network of molecules that play a key role in leukocyte migration and activation. The chemokine family role is crucial in the immune system, orchestrating innate and acquired immune responses, but also in allergic inflammation. A subset of chemokines, including CCL11, CCL24, CCL26, CCL7, CCL13, CCL17, and CCL22 is highly expressed by the three main cell types involved in allergic inflammation: eosinophils, basophils, and Th2 lymphocytes. In vitro and in vivo experimental studies in murine models of asthma as well as evidence from patients with asthma confirm the role of these chemokines and their receptors, including CCR3, CCR4, and CCR8, establishing a subset of chemokine/chemokine receptor that is potentially important in allergic inflammation. Recent data support the concept that interfering with chemokines or chemokine receptors represents a new approach in allergy therapy. However, even if some of them have been shown to be effective in animal models, none is as yet used in human patients.</t>
  </si>
  <si>
    <t>ALLERGIC AIRWAY DISEASE; DENDRITIC CELLS; LUNG INFLAMMATION; T-CELLS; IN-VIVO; RECEPTOR; CCR3; EXPRESSION; EOTAXIN; HYPERRESPONSIVENESS</t>
  </si>
  <si>
    <t>CURRENT ALLERGY AND ASTHMA REPORTS</t>
  </si>
  <si>
    <t>New chemokine targets for asthma therapy</t>
  </si>
  <si>
    <t>Garcia, G; Godot, V; Humbert, M</t>
  </si>
  <si>
    <t>WOS:000226639200024</t>
  </si>
  <si>
    <t>10.1111/j.1398-9995.2004.00691.x</t>
  </si>
  <si>
    <t>Garcia, G (corresponding author), Hop Antoine Beclere, Dept Pulm Dis &amp; Intens Care, 157 Rue Porte de Trivaux, F-92141 Clamart, France.</t>
  </si>
  <si>
    <t>Hop Antoine Beclere, Dept Pulm Dis &amp; Intens Care, F-92141 Clamart, France</t>
  </si>
  <si>
    <t>THROMBOSIS</t>
  </si>
  <si>
    <t>Churg-Srauss syndrome; deep vein thrombosis; eosinophilia; pulmonary embolism; vasculitis</t>
  </si>
  <si>
    <t>Severe venous thromboembolic disease in Churg-Strauss syndrome</t>
  </si>
  <si>
    <t>Garcia, G; Achouh, L; Cobarzan, D; Fichet, D; Humbert, M</t>
  </si>
  <si>
    <t>WOS:000227195700001</t>
  </si>
  <si>
    <t>900DN</t>
  </si>
  <si>
    <t>10.1111/j.1398-9995.2005.00817.x</t>
  </si>
  <si>
    <t>Assistance Publique Hopitaux Paris (APHP); Hopital Universitaire Antoine-Beclere - APHP; Universite Paris Saclay; Universite de Montpellier; CHU de Montpellier</t>
  </si>
  <si>
    <t>Univ Paris 11, Hop Antoine Beclere, Serv Pneumol &amp; Reanimat Resp, Clamart, France; Hop Arnaud de Villeneuve, Clin Malad Resp, Montpellier, France</t>
  </si>
  <si>
    <t>A new series in Allergy:: rare immunological respiratory diseases</t>
  </si>
  <si>
    <t>Humbert, M; Bousquet, J</t>
  </si>
  <si>
    <t>WOS:000228843600012</t>
  </si>
  <si>
    <t>922NC</t>
  </si>
  <si>
    <t>10.1183/09031936.05.00072504</t>
  </si>
  <si>
    <t>d'Ortho, Marie-Pia/0000-0003-3119-0970; Noel, Agnes/0000-0002-7670-6179; Humbert, Marc/0000-0003-0703-2892</t>
  </si>
  <si>
    <t>Munaut, Carine/K-8138-2019; Humbert, Marc/AAC-8459-2019</t>
  </si>
  <si>
    <t>helene.lepetit@creteil.inserm.fr</t>
  </si>
  <si>
    <t>CHU Henri Mondor, Fac Med, Dept Physiol, INSERM,U492, F-94010 Creteil, France.</t>
  </si>
  <si>
    <t>Institut National de la Sante et de la Recherche Medicale (Inserm); Universite Paris-Est-Creteil-Val-de-Marne (UPEC); Assistance Publique Hopitaux Paris (APHP); Hopital Universitaire Henri-Mondor - APHP; Hopital Marie Lannelongue; Sorbonne Universite; Institut National de la Sante et de la Recherche Medicale (Inserm); Assistance Publique Hopitaux Paris (APHP); Hopital Universitaire Pitie-Salpetriere - APHP; Assistance Publique Hopitaux Paris (APHP); Hopital Universitaire Antoine-Beclere - APHP; University of Liege</t>
  </si>
  <si>
    <t>CHU Henri Mondor, Fac Med, Dept Physiol, INSERM,U492, F-94010 Creteil, France; Hop Marie Lannelongue, Serv Chirurgie Thorac Vasc &amp; Transplantat Cardiop, UPRES EA2705, F-92350 Le Plessis Robinson, France; Hop Pitie, INSERM, U551, F-75651 Paris, France; Hop Antoine Beclere, Serv Pneumol, UPRES EA2705, Clamart, France; Univ Liege, Lab Biol Tumeurs &amp; Dev, Liege, Belgium</t>
  </si>
  <si>
    <t>Pulmonary arterial hypertension (PAH) results from persistent vasoconstriction, smooth muscle growth and extracellular matrix (ECM) remodelling of pulmonary arteries (PAs). Matrix metalloproteinases (MMPs) are matrix-degrading enzymes involved in ECM turnover, and in smooth muscle cell (SMC) and endothelial cell migration and proliferation. MMP expression and activity are increased in experimental PAH. Therefore, this study investigated whether similar changes occur in idiopathic PAH (IPAH; formerly known as primary pulmonary hypertension). Both in situ and in vitro studies were performed on PAs from patients undergoing lung transplantation for IPAH and from patients treated by lobectomy for localised lung cancer, who served as controls. In IPAH, MMP-tissue inhibitor of metalloproteinase (TIMP) imbalance was found in cultured PA-SMCs, with increased TIMP-1 and decreased MMP-3. MMP-2 activity was markedly elevated as a result of increases in both total MMP-2 and proportion of active MMP-2. In situ zymography and immunolocalisation showed that MMP-2 was associated with SMCs and elastic fibres, and also confirmed the MMP-3-TIMP-1 imbalance. In conclusion, the findings of this study were consistent with a role for the matrix metalloproteinase-tissue inhibitor of metalloproteinase system in pulmonary vascular remodelling in idiopathic pulmonary arterial hypertension. The matrix metalloproteinase-tissue inhibitor of metalloproteinase imbalance may lead to matrix accumulation, and increased matrix metalloproteinase-2 activity may contribute to smooth muscle cell migration and proliferation. Whether these abnormalities are potential therapeutic targets deserves further investigation.</t>
  </si>
  <si>
    <t>TIMP-1 GENE-TRANSFER; GELATINASE-A; ELASTASE; INHIBITION; EXPRESSION; MMP-2; PROGRESSION; ACTIVATION; MIGRATION; FLUID</t>
  </si>
  <si>
    <t>extracellular matrix; idiopathic pulmonary arterial hypertension; matrix metalloproteinases; smooth muscle cells; tissue inhibitor of matrix metalloproteinase</t>
  </si>
  <si>
    <t>Smooth muscle cell matrix metalloproteinases in idiopathic pulmonary arterial hypertension</t>
  </si>
  <si>
    <t>Lepetit, H; Eddahibi, S; Fadel, E; Frisdal, E; Munaut, C; Noel, A; Humbert, M; Adnot, S; D'Ortho, MP; Lafuma, C</t>
  </si>
  <si>
    <t>WOS:000229386900011</t>
  </si>
  <si>
    <t>930AA</t>
  </si>
  <si>
    <t>10.1097/00000542-200506000-00012</t>
  </si>
  <si>
    <t>ANESTHESIOLOGY</t>
  </si>
  <si>
    <t>1528-1175</t>
  </si>
  <si>
    <t>0003-3022</t>
  </si>
  <si>
    <t>Audibert, Francois/0000-0002-2697-3826; Humbert, Marc/0000-0003-0703-2892; MERCIER, Frederic/0000-0002-1289-2849; SITBON, Olivier/0000-0002-1942-1951; JAIS, XAVIER/0000-0002-4104-7994</t>
  </si>
  <si>
    <t>Simonneau, Gerald/ABE-6614-2020; Sitbon, Olivier/I-3623-2019; MERCIER, Frederic/HWQ-3001-2023; Benhamou, Dan/ABG-7935-2021; Humbert, Marc/AAC-8459-2019</t>
  </si>
  <si>
    <t>frederic.mercier@abc.aphp.fr</t>
  </si>
  <si>
    <t>Hop Antoine Beclere, APHP, Dept Anesthesie Reanimat, 157 Rue Porte Trivaux,BP 405, F-92141 Clamart, France.</t>
  </si>
  <si>
    <t>Assistance Publique Hopitaux Paris (APHP); Hopital Universitaire Ambroise-Pare - APHP; Hopital Universitaire Antoine-Beclere - APHP; Assistance Publique Hopitaux Paris (APHP); Hopital Universitaire Ambroise-Pare - APHP; Hopital Universitaire Antoine-Beclere - APHP</t>
  </si>
  <si>
    <t>Hop Antoine Beclere, APHP, Dept Anesthesie Reanimat, F-92141 Clamart, France; Hop Antoine Beclere, APHP, Dept Anesthesiol &amp; Intens Care, F-92141 Clamart, France</t>
  </si>
  <si>
    <t>Background: Available literature on pregnant women with severe pulmonary hypertension (PH) relies mainly on anecdotal case reports and two series only. Methods: The authors reviewed the charts of all pregnant women with severe PH who were followed up at their institution during the past 10 yr, to assess the multidisciplinary treatment and outcome of these patients. Results: Fifteen pregnancies in 14 women with severe PH were managed during this period: There were 4 cases of idiopathic pulmonary arterial hypertension (PAH), 6 cases of congenital heart disease-associated PAH, 1 case of fenfluramine-associated PAH, 1 case of mixed connective tissue-associated PAH, 1 case of human immunodeficiency virus-associated PAH, and 2 cases of chronic thromboembolic PH. PH presented during pregnancy in 3 patients. Two patients died before delivery at 12 and 23 weeks' gestation. Four patients had vaginal deliveries with regional anesthesia: One died 3 months postpartum, one worsened, and two remained stable. Four had cesarean deliveries during general anesthesia: One died 3 weeks postpartum, one worsened, and two remained stable. Five had cesarean deliveries during low-dose combined spinal-epidural anesthesia: One died I week postpartum, and four remained stable. There were two fetal deaths: one related to therapeutic abortion at 21 weeks' gestation and one stillbirth at 36 weeks' gestation followed by the death of the mother 1 week later. Conclusions: Despite the most modern treatment efforts, the maternal mortality was 36%. Scheduled cesarean delivery during combined spinal-epidural anesthesia seemed to be an attractive approach, but there was no evidence of actual benefit. Therefore, pregnancy must stiff be discouraged in patients with severe PH.</t>
  </si>
  <si>
    <t>INHALED NITRIC-OXIDE; CESAREAN-SECTION; ARTERIAL-HYPERTENSION; EISENMENGERS-SYNDROME; EPOPROSTENOL THERAPY; EPIDURAL-ANESTHESIA; VASCULAR-DISEASE; VASODILATORS; PATIENT; BLOCK</t>
  </si>
  <si>
    <t>European Soc Anesthesiol</t>
  </si>
  <si>
    <t>Glasgow, SCOTLAND</t>
  </si>
  <si>
    <t>MAY 31-JUN 03, 2003</t>
  </si>
  <si>
    <t>Annual Meeting of the European-Society-of-Anesthesiology</t>
  </si>
  <si>
    <t>Severe pulmonary hypertension during pregnancy -: Mode of delivery and anesthetic management of 15 consecutive cases</t>
  </si>
  <si>
    <t>Bonnin, M; Mercier, FJ; Sitbon, O; Roger-Christoph, S; Jaïs, X; Humbert, M; Audibert, F; Frydman, R; Simonneau, G; Benhamou, D</t>
  </si>
  <si>
    <t>WOS:000229773500014</t>
  </si>
  <si>
    <t>935IF</t>
  </si>
  <si>
    <t>10.1161/CIRCULATIONAHA.104.488486</t>
  </si>
  <si>
    <t>Humbert, Marc/0000-0003-0703-2892; SITBON, Olivier/0000-0002-1942-1951; Ioos, Vincent/0000-0001-6959-5602; JAIS, XAVIER/0000-0002-4104-7994</t>
  </si>
  <si>
    <t>olivier.sitbon@abc.aphp.fr</t>
  </si>
  <si>
    <t>Univ Paris Sud, AP HP, Hop Antoine Beclere,Ctr Malad Vasc Pulm, Serv Pneumol &amp; Reanimat Resp,UPRES EA 2705, 157 Rue Porte Trivaux, F-92140 Clamart, France.</t>
  </si>
  <si>
    <t>Univ Paris Sud, AP HP, Hop Antoine Beclere,Ctr Malad Vasc Pulm, Serv Pneumol &amp; Reanimat Resp,UPRES EA 2705, F-92140 Clamart, France</t>
  </si>
  <si>
    <t>Background - Characteristics of patients with idiopathic pulmonary arterial hypertension (IPAH) who benefit from long-term calcium channel blockers (CCB) are unknown. Methods and Results - Acute pulmonary vasodilator testing with epoprostenol or nitric oxide was performed in 557 IPAH patients. Acute responders, defined by a fall in both mean pulmonary artery pressure ( PAP) and pulmonary vascular resistance (PVR) &gt; 20%, received long-term oral CCB. Patients who benefit from long-term CCB were defined as those being in New York Heart Association (NYHA) functional class I or II after at least 1 year on CCB monotherapy. Among the 70 patients who displayed acute pulmonary vasoreactivity (12.6%; 95% CI, 9.8% to 15.3%) and received CCB therapy, only 38 showed long-term improvement (6.8%; 95% CI, 4.7% to 8.9%). Long-term CCB responders had less severe disease at baseline than patients who failed. During acute vasodilator testing, long-term CCB responders displayed a more pronounced fall in mean PAP (-39 +/- 11% versus -26 +/- 7%; P &lt; 0.0001), reaching an absolute value of mean PAP lower than that measured in patients who failed (33 +/- 8 versus 46 +/- 10 mm Hg; P &lt; 0.0001). After 7.0 +/- 4.1 years, all but 1 long-term CCB responders were alive in NYHA class I or II, with a sustained hemodynamic improvement. In the group of patients who failed on CCB, the 5-year survival rate was 48%. Conclusions - Long-term CCB responders represent &lt; 10% of IPAH patients evaluated in a pulmonary vascular referral center. During acute vasodilator testing, these patients showed significantly lower levels of both mean PAP and PVR, which reached near-normal values.</t>
  </si>
  <si>
    <t>INHALED NITRIC-OXIDE; VASODILATOR THERAPY; PROSTACYCLIN; NIFEDIPINE; INFUSION; AGENTS</t>
  </si>
  <si>
    <t>calcium channel blockers; follow-up studies; hypertension, pulmonary; nitric oxide; pulmonary circulation</t>
  </si>
  <si>
    <t>Long-term response to calcium channel blockers in idiopathic pulmonary arterial hypertension</t>
  </si>
  <si>
    <t>Sitbon, O; Humbert, M; Jaïs, X; Ioos, V; Hamid, AM; Provencher, S; Garcia, G; Parent, F; Hervé, P; Simonneau, G</t>
  </si>
  <si>
    <t>WOS:000229909101222</t>
  </si>
  <si>
    <t>937FD</t>
  </si>
  <si>
    <t>Ambrosone, Luigi/G-9988-2011; Humbert, Marc/AAC-8459-2019</t>
  </si>
  <si>
    <t>Universita della Campania Vanvitelli; Universita della Campania Vanvitelli</t>
  </si>
  <si>
    <t>Univ Naples 2, Rheumatol Unit, Naples, Italy; Univ Naples 2, Eye Dept, Naples, Italy</t>
  </si>
  <si>
    <t>JUN 08-11, 2005</t>
  </si>
  <si>
    <t>Long term course of ocular lesions in Behcet's disease</t>
  </si>
  <si>
    <t>Migliaresi, S; Ambrosone, L; Iaccarino, G; Orefice, M; Rosa, N; Valentini, G</t>
  </si>
  <si>
    <t>WOS:000229909101312</t>
  </si>
  <si>
    <t>Humbert, Marc/AAC-8459-2019; Rubin, Lewis/AEW-1719-2022</t>
  </si>
  <si>
    <t>University of London; University College London; Royal Free London NHS Foundation Trust; UCL Medical School; Assistance Publique Hopitaux Paris (APHP); Hopital Universitaire Antoine-Beclere - APHP; University of California System; University of California San Diego</t>
  </si>
  <si>
    <t>Royal Free Hosp, Ctr Rheumatol, London NW3 2QG, England; Hop Antoine Beclere, Serv Pneumol, Clamart, France; Univ Calif San Diego, Pulm Vasc Ctr, San Diego, CA 92103 USA</t>
  </si>
  <si>
    <t>Bosentan therapy for pulmonary arterial hypertension related to systemic sclerosis: A subgroup analysis of the pivotal studies and their extensions</t>
  </si>
  <si>
    <t>Denton, CP; Humbert, M; Rubin, LJ; Black, CM</t>
  </si>
  <si>
    <t>WOS:000229909101311</t>
  </si>
  <si>
    <t>University of London; University College London; UCL Medical School; Royal Free London NHS Foundation Trust; Hannover Medical School; University of Sheffield; University of Copenhagen; Copenhagen University Hospital; Rigshospitalet; Actelion Pharmaceuticals Ltd; Assistance Publique Hopitaux Paris (APHP); Hopital Universitaire Antoine-Beclere - APHP</t>
  </si>
  <si>
    <t>Royal Free Hosp, Ctr Rheumatol, London NW3 2QG, England; Hannover Med Sch, Dept Resp Med, D-3000 Hannover, Germany; Royal Hallamshire Hosp, Dept Resp Med, Sheffield S10 2JF, S Yorkshire, England; Rigshosp, Dept Med, DK-2100 Copenhagen, Denmark; Actelion Pharmaceut, Drug Safety, Allschwil, Switzerland; Hop Antoine Beclere, Serv Pneumol, Clamart, France</t>
  </si>
  <si>
    <t>Long-term safety profile of bosentan in patients with systemic sclerosis and pulmonary arterial hypertension: Results from the TRAX database</t>
  </si>
  <si>
    <t>Denton, CP; Coghlan, J; Black, CM; Hoeper, MM; Kiely, DG; Carlsen, J; Van Lierop, C; Humbert, M</t>
  </si>
  <si>
    <t>WOS:000229909101323</t>
  </si>
  <si>
    <t>DE GROOTE, Pascal/LLL-9444-2024; Humbert, Marc/AAC-8459-2019</t>
  </si>
  <si>
    <t>Universite de Lille; CHU Lille; Actelion Pharmaceuticals Ltd; Universite de Lille; CHU Lille; Assistance Publique Hopitaux Paris (APHP); Universite Paris Cite; Hopital Universitaire Cochin - APHP; CHU Grenoble Alpes; Assistance Publique Hopitaux Paris (APHP); Sorbonne Universite; Hopital Universitaire Saint-Antoine - APHP; Assistance Publique Hopitaux Paris (APHP); Hopital Universitaire Pitie-Salpetriere - APHP; Sorbonne Universite; Assistance Publique Hopitaux Paris (APHP); Hopital Universitaire Antoine-Beclere - APHP</t>
  </si>
  <si>
    <t>CHRU, Hop Cardiol, Lille, France; Actelion Pharmaceut France, Paris, France; Hop Claude Huriez, Lille, France; Hop Cochin, F-75674 Paris, France; Hop Nord, Grenoble, France; Hop St Antoine, F-75571 Paris, France; Hop Pitie, F-75651 Paris, France; Orgametrie, Lille, France; Hop Antoine Beclere, Clamart, France</t>
  </si>
  <si>
    <t>A French multicenter cardiac echo Doppler study in 588 patients with systemic sclerosis</t>
  </si>
  <si>
    <t>De Groote, P; Gressin, V; Hachulla, E; Guillevin, L; Carpentier, P; Kahan, A; Cabane, J; Frances, C; Clerson, P; Humbert, M</t>
  </si>
  <si>
    <t>WOS:000230530500078</t>
  </si>
  <si>
    <t>945VN</t>
  </si>
  <si>
    <t>10.1378/chest.128.1.467</t>
  </si>
  <si>
    <t>Castelain, Vincent/0000-0002-9354-6525; Humbert, Marc/0000-0003-0703-2892</t>
  </si>
  <si>
    <t>Chemla, D (corresponding author), Hop Bicetre, Serv EFCR, Broca 7,78 Rue Gen Leclerc, F-94275 Le Kremlin Bicetre, France.</t>
  </si>
  <si>
    <t>Assistance Publique Hopitaux Paris (APHP); Hopital Universitaire Bicetre - APHP; Assistance Publique Hopitaux Paris (APHP); Hopital Universitaire Antoine-Beclere - APHP; Hopital Marie Lannelongue</t>
  </si>
  <si>
    <t>CHU Bicetre, Le Kremlin Bicetre, France; Hop Antoine Beclere, Clamart, France; Hop Marie Lannelongue, F-92350 Le Plessis Robinson, France</t>
  </si>
  <si>
    <t>New formula for predicting mean pulmonary artery pressure</t>
  </si>
  <si>
    <t>Chemla, D; Castelain, V; Lecarpentier, Y; Humbert, M; Simonneau, G; Hervé, P</t>
  </si>
  <si>
    <t>WOS:000230692100020</t>
  </si>
  <si>
    <t>948BX</t>
  </si>
  <si>
    <t>Immunology; Infectious Diseases; Virology</t>
  </si>
  <si>
    <t>10.1097/01.aids.0000176230.94226.06</t>
  </si>
  <si>
    <t>JUL 22</t>
  </si>
  <si>
    <t>Aids</t>
  </si>
  <si>
    <t>AIDS</t>
  </si>
  <si>
    <t>0269-9370</t>
  </si>
  <si>
    <t>Montani, David/0000-0002-9358-6922; SITBON, Olivier/0000-0002-1942-1951; Calvez, Vincent/0009-0002-6855-3472; Humbert, Marc/0000-0003-0703-2892; Marcelin, Anne-Genevieve/0000-0003-4808-8999</t>
  </si>
  <si>
    <t>Calvez, Vincent/D-1119-2014; Sitbon, Olivier/I-3623-2019; Simonneau, Gerald/ABE-6614-2020; David, Montani/I-6885-2019; Humbert, Marc/AAC-8459-2019; Marcelin, Anne-Genevieve/D-8272-2014</t>
  </si>
  <si>
    <t>Montani, D (corresponding author), Univ Paris Sud, Assistance Publ Hop Paris, Serv Pneumol &amp; Reanimat Resp, UPRES EA2705,Ctr Malad Vasc Pulm, Clamart, France.</t>
  </si>
  <si>
    <t>Assistance Publique Hopitaux Paris (APHP); Universite Paris Cite; Hopital Universitaire Saint-Louis - APHP; Hopital Universitaire Antoine-Beclere - APHP; Universite Paris Saclay; Sorbonne Universite; Assistance Publique Hopitaux Paris (APHP); Universite Paris Cite; Hopital Universitaire Saint-Louis - APHP; Hopital Universitaire Pitie-Salpetriere - APHP</t>
  </si>
  <si>
    <t>Univ Paris Sud, Assistance Publ Hop Paris, Serv Pneumol &amp; Reanimat Resp, UPRES EA2705,Ctr Malad Vasc Pulm, Clamart, France; Univ Paris 06, Assistance Publ Hop Paris, Hop La Pitie Salpetriere, UPRES EA2387,Serv Virol, Paris, France</t>
  </si>
  <si>
    <t>KAPOSIS-SARCOMA; HUMAN-HERPESVIRUS-8; HHV-8</t>
  </si>
  <si>
    <t>FEB, 2005</t>
  </si>
  <si>
    <t>12th Conference on Retroviruses and Opportunistic Infections</t>
  </si>
  <si>
    <t>Human herpes virus 8 in HIV and non-HIV infected patients with pulmonary arterial hypertension in France</t>
  </si>
  <si>
    <t>Montani, D; Marcelin, AG; Sitbon, O; Calvez, V; Simonneau, G; Humbert, M</t>
  </si>
  <si>
    <t>WOS:000231671900002</t>
  </si>
  <si>
    <t>961OO</t>
  </si>
  <si>
    <t>10.1055/s-2005-916149</t>
  </si>
  <si>
    <t>Humbert, Marc/0000-0003-0703-2892; Dorfmuller, Peter/0000-0003-2499-6829; Perros, Frederic/0000-0001-7730-2427</t>
  </si>
  <si>
    <t>Univ Paris Sud, Hop Antoine Beclere, Ctr Malad Vasc Pulm, Serv Pneumol &amp; Reanimat Resp, Clamart, France</t>
  </si>
  <si>
    <t>Regardless of the initial trigger, the elevated pulmonary arterial pressure and vascular resistance in patients with pulmonary arterial hypertension are primarily caused by remodeling and thrombosis of small- and medium-sized pulmonary arteries and arterioles, as well as sustained vasoconstriction. The process of pulmonary vascular remodeling involves all layers of the vessel wall and is complicated by cellular heterogeneity within each compartment. Indeed, each cell type (endothelial cells, smooth muscle cells, and fibroblasts), as well as inflammatory cells and platelets, may play significant roles in this condition. Recent studies have emphasized the relevance of several mediators in this condition, including prostaglandin-I-2 (prostacyclin), nitric oxide, endothelin-1, angiopoietin-1, 5-hydroxytryptamine (serotonin), cytokines, chemokines, and members of the transforming growth factor beta (TGF-beta) superfamily. Targeting some of these dysfunctional pathways (prostacyclin, nitric oxide, and endothelin-1) has been beneficial in subjects displaying pulmonary arterial hypertension.</t>
  </si>
  <si>
    <t>ENDOTHELIAL GROWTH-FACTOR; VASCULAR SMOOTH-MUSCLE; PLEXIFORM LESIONS; CELL PROLIFERATION; GERMLINE MUTATIONS; ELASTASE ACTIVITY; TRANSPORTER GENE; II RECEPTOR; FACTOR-BETA; EXPRESSION</t>
  </si>
  <si>
    <t>pulmonary arterial hypertension; pulmonary vascular remodeling; prostacyclin; endothelin-1; pathogenesis</t>
  </si>
  <si>
    <t>Current insights on the pathogenesis of pulmonary arterial hypertension</t>
  </si>
  <si>
    <t>Perros, F; Dorfmüller, P; Humbert, M</t>
  </si>
  <si>
    <t>WOS:000231559200014</t>
  </si>
  <si>
    <t>Bronze, Green Published, Green Submitted</t>
  </si>
  <si>
    <t>959ZS</t>
  </si>
  <si>
    <t>10.1136/thx.2004.029082</t>
  </si>
  <si>
    <t>Humbert, Marc/0000-0003-0703-2892; Boissier, Marie-Christophe/0000-0003-4199-8797</t>
  </si>
  <si>
    <t>Simonneau, Gerald/ABE-6614-2020; Tamby, Mathieu/B-1277-2011; Humbert, Marc/AAC-8459-2019</t>
  </si>
  <si>
    <t>luc.mouthon@cch.aphp.fr</t>
  </si>
  <si>
    <t>UFR Cochin Port Royal, Immunol Lab, Pavillon Gustave Roussy,8 Rue Mechain, F-75014 Paris, France.</t>
  </si>
  <si>
    <t>Universite Paris 13; Universite Paris Cite; Universite Paris Saclay; Assistance Publique Hopitaux Paris (APHP); Hopital Universitaire Antoine-Beclere - APHP; Universite Paris Cite; Hopital Universitaire Saint-Louis - APHP; Assistance Publique Hopitaux Paris (APHP); Hopital Universitaire Ambroise-Pare - APHP; Universite Paris Cite; Hopital Universitaire Hotel-Dieu - APHP; Hopital Universitaire Necker-Enfants Malades - APHP; Assistance Publique Hopitaux Paris (APHP); Universite Paris Cite; Hopital Universitaire Hotel-Dieu - APHP; Hopital Universitaire Ambroise-Pare - APHP; Hopital Universitaire Cochin - APHP</t>
  </si>
  <si>
    <t>Univ Paris 13, UFR SMBH Leonard de Vinci, UPRES EA 3408, Lab Immunopathol &amp; Immunointervent, Bobigny, France; Univ Paris 05, UFR Cochin Port Royal, Immunol Lab, UPRES EA 1833, Paris, France; Univ Paris Sud, Clamart, France; Hop Antoine Beclere, Assistance Publ Hop Paris, Serv Pneumol, UPRES EA 2705, Clamart, France; Univ Paris 05, Hop Necker, APHP, Serv Biostat, Paris, France; Hop Cochin, APHP, Serv Med Interne, F-75674 Paris, France</t>
  </si>
  <si>
    <t>Background: It has previously been shown that IgG antibodies from patients with limited cutaneous systemic sclerosis (SSc) bind to specific microvascular endothelial cell antigens. Since patients with limited cutaneous SSc are prone to develop pulmonary arterial hypertension (PAH), and since endothelial cell activation is involved in the pathogenesis of idiopathic PAH (IPAH), a study was undertaken to examine the presence of anti-endothelial cell antibodies in patients with idiopathic or SSc associated PAH. Methods: PAH was confirmed by right heart catheterisation ( mean pulmonary artery pressure at rest &gt;25 mm Hg). Serum IgG and IgM reactivities were analysed by immunoblotting on human macrovascular and microvascular lung and dermal endothelial cells from patients with IPAH ( n = 35), patients with PAH associated with SSc ( n = 10), patients with diffuse ( n = 10) or limited cutaneous ( n = 10) SSc without PAH, and 65 age and sex matched healthy individuals. Results: IgG antibodies from patients with IPAH bound to a 36 kDa band in macrovascular endothelial cell extracts with a higher intensity than IgG from other patient groups and controls. IgG antibodies from patients with IPAH bound more strongly to a 58 kDa band in microvascular dermal endothelial cells and to a 53 kDa band in microvascular lung endothelial cells than IgG antibodies from other patients and controls. IgG antibodies from patients with limited cutaneous SSc with or without PAH, but not from other groups or from healthy controls, bound to two major bands ( 75 kDa and 85 kDa) in microvascular endothelial cells. Conclusion: IgG antibodies from patients with idiopathic or SSc associated PAH express distinct reactivity profiles with macrovascular and microvascular endothelial cell antigens.</t>
  </si>
  <si>
    <t>ENDOTHELIAL-CELLS; AUTOANTIBODIES; IGG; CLASSIFICATION; RECEPTOR; ANTIGEN; TISSUE</t>
  </si>
  <si>
    <t>Anti-endothelial cell antibodies in idiopathic and systemic sclerosis associated pulmonary arterial hypertension</t>
  </si>
  <si>
    <t>Tamby, MC; Chanseaud, Y; Humbert, M; Fermanian, J; Guilpain, P; Garcia-de-la-Peña-Lefebvre, P; Brunet, S; Servettaz, A; Weill, B; Simonneau, G; Guillevin, L; Boissier, MC; Mouthon, L</t>
  </si>
  <si>
    <t>WOS:000232451800012</t>
  </si>
  <si>
    <t>972KD</t>
  </si>
  <si>
    <t>10.1019/200530049</t>
  </si>
  <si>
    <t>Simonneau, Gerald/ABE-6614-2020; Sitbon, Olivier/I-3623-2019; David, Montani/I-6885-2019; Humbert, Marc/AAC-8459-2019</t>
  </si>
  <si>
    <t>Univ Paris Sud, Hop Paris,Assistance Publ, Hop Antoine Beclere,UPRES EA 2705, Serv Pneumol &amp; Reanomat Resp,Ctr Malad Vasc Pulm, 157 Rue Porte Trivaux, F-92140 Clamart, France.</t>
  </si>
  <si>
    <t>Universite Paris Saclay; Assistance Publique Hopitaux Paris (APHP); Hopital Universitaire Antoine-Beclere - APHP; Sorbonne Universite; Assistance Publique Hopitaux Paris (APHP); Hopital Universitaire Pitie-Salpetriere - APHP</t>
  </si>
  <si>
    <t>Univ Paris Sud, Hop Paris,Assistance Publ, Hop Antoine Beclere,UPRES EA 2705, Serv Pneumol &amp; Reanomat Resp,Ctr Malad Vasc Pulm, F-92140 Clamart, France; Hop La Pitie Salpetriere, Hop Paris, Assistance Publ, Serv Anat Pathol, Paris, France</t>
  </si>
  <si>
    <t>Introduction Pulmonary arterial hypertension (PAH) is a rare condition characterised by progressively elevated pulmonary arterial resistance leading to right heart failure. State of the art A recent classification distinguishes idiopathic PAH, familial PAH and PAH secondary to other conditions (con nective tissue disease, congenital heart disease, portal hypertension, human immunodeficiency virus infection or appetite suppressant exposure). Echocardiography is the initial investigation of choice for non-invasive detection of PAH but measurement of pulmonary pressures and cardiac output during right-heart catheterization are necessary to confirm the diagnosis of PAH. Conventional treatment includes non-specific drugs (warfarin, diuretics, oxygen). Intravenous epoprostenol is the first-line treatment for the most severely affected patients. In less severe cases, the first-line treatment may include bosentan or a prostacyclin analogue. Perspectives and conclusions Recent advances in the management of PAH have markedly improved prognosis, The availability of novel specific drugs including type 5 phosphodiesterase inhibitors offers novel therapeutic perspectives but their exact role in the treatment of PAH is still uncertain. The evolution of therapy from vasodilators to antiproliferative agents reflects the advancement in our understanding of the mechanisms mediating pulmonary arterial hypertension.</t>
  </si>
  <si>
    <t>CONTINUOUS INTRAVENOUS EPOPROSTENOL; PLACEBO-CONTROLLED TRIAL; LONG-TERM TREATMENT; 6-MINUTE WALK TEST; PROSTACYCLIN ANALOG; DOUBLE-BLIND; RECEPTOR ANTAGONIST; GERMLINE MUTATIONS; PROGNOSTIC-FACTORS; CLINICAL-EFFICACY</t>
  </si>
  <si>
    <t>pulmonary arterial hypertension; prostacyclin; endothelin</t>
  </si>
  <si>
    <t>Montani, D; Jaïs, X; Sitbon, O; Capron, F; Simonneau, G; Humbert, M</t>
  </si>
  <si>
    <t>WOS:000232207801379</t>
  </si>
  <si>
    <t>969BG</t>
  </si>
  <si>
    <t>S338</t>
  </si>
  <si>
    <t>ARTHRITIS RHEUM-US</t>
  </si>
  <si>
    <t>1529-0131</t>
  </si>
  <si>
    <t>Puechal, Xavier/0000-0003-3573-9203</t>
  </si>
  <si>
    <t>Maxime, Breban/F-4772-2019; Liote, Frederic/AAD-6926-2020; Salmon, Didier/M-5670-2013; Berenbaum, Francis/AAO-5690-2020; Humbert, Marc/AAC-8459-2019; Mariette, Xavier/GYU-8073-2022; Puechal, Xavier/P-1555-2017</t>
  </si>
  <si>
    <t>Universite Paris Saclay; Assistance Publique Hopitaux Paris (APHP); Hopital Universitaire Bicetre - APHP; Hopital Universitaire Antoine-Beclere - APHP; Universite Paris Saclay; Statens Serum Institut; Centre Hospitalier Le Mans; Assistance Publique Hopitaux Paris (APHP); Hopital Universitaire Ambroise-Pare - APHP; Assistance Publique Hopitaux Paris (APHP); Sorbonne Universite; Hopital Universitaire Saint-Antoine - APHP; Universite de Lille; CHU Lille; Assistance Publique Hopitaux Paris (APHP); Universite Paris Cite; Hopital Universitaire Bichat-Claude Bernard - APHP; Assistance Publique Hopitaux Paris (APHP); Hopital Universitaire Avicenne - APHP; Assistance Publique Hopitaux Paris (APHP); Universite Paris Cite; Hopital Universitaire Lariboisiere-Fernand-Widal - APHP; Assistance Publique Hopitaux Paris (APHP); Universite Paris-Est-Creteil-Val-de-Marne (UPEC); Hopital Universitaire Henri-Mondor - APHP; Assistance Publique Hopitaux Paris (APHP); Universite Paris Cite; Hopital Universitaire Saint-Louis - APHP; Assistance Publique Hopitaux Paris (APHP); Hopital Universitaire Antoine-Beclere - APHP; Assistance Publique Hopitaux Paris (APHP); Universite Paris Cite; Hopital Universitaire Cochin - APHP</t>
  </si>
  <si>
    <t>Hop Bicetre, Le Kremlin Bicetre, France; Inst Paris Sud Cytokines, Clamart, France; State Serum Inst, Copenhagen, Denmark; Le Mans Hosp, Le Mans, France; A Pare Hosp, Boulogne, France; St Antoine Hosp, Paris, France; Huriez Hosp, Lille, France; Hop Xavier Bichat, Paris, France; Avicenne Hosp, Bobigny, France; Lariboisiere Hosp, Paris, France; Mondor Hosp, Creteil, France; St Louis Hosp, Paris, France; Beclere Hosp, Clamart, France; Cochin Hosp, Paris, France</t>
  </si>
  <si>
    <t>NOV 12-17, 2005</t>
  </si>
  <si>
    <t>69th Annual Scientific Meeting of the American-College-of-Rheumatology/40th Annual Scientific Meeting of the Association-of-Rheumatology-Health-Professionals</t>
  </si>
  <si>
    <t>Inhibition of anti-tuberculosis effector T lymphocytes with tumor necrosis factor antagonist treatment</t>
  </si>
  <si>
    <t>Club Rhumatismes Inflammation</t>
  </si>
  <si>
    <t>Mariette, X; Hamdi, H; Weldingh, K; Puéchal, X; Bréban, M; Berenbaum, F; Flipo, RM; Meyer, O; Falgarone, G; Lioté, F; Claudepierre, P; Lemann, M; Humbert, M; Salmon, D; Emilie, D</t>
  </si>
  <si>
    <t>WOS:000233987101306</t>
  </si>
  <si>
    <t>993WO</t>
  </si>
  <si>
    <t>Assistance Publique Hopitaux Paris (APHP); Hopital Universitaire Antoine-Beclere - APHP; University of Sheffield; Actelion Pharmaceuticals Ltd; Hannover Medical School</t>
  </si>
  <si>
    <t>Hop Antoine Beclere, Serv Pneumol, F-92140 Clamart, France; Royal Hallamshire Hosp, Dept Resp Med, Sheffield S10 2JF, S Yorkshire, England; Actelion Pharmaceut, Dept Med, Allschwil, Switzerland; Hannover Med Sch, Dept Resp Med, D-3000 Hannover, Germany</t>
  </si>
  <si>
    <t>SEP 03-07, 2005</t>
  </si>
  <si>
    <t>27th Congress of the European-Society-of-Cardiology</t>
  </si>
  <si>
    <t>Clinical experience with bosentan for the treatment of pulmonary hypertension associated with congenital heart disease</t>
  </si>
  <si>
    <t>Carlsen, J.; Humbert, M.; Kiely, D. G.; van Lierop, C.; Schwierin, B.; Hoeper, M. M.</t>
  </si>
  <si>
    <t>Carlsen, J; Humbert, M; Kiely, DG; van Lierop, C; Schwierin, B; Hoeper, MM</t>
  </si>
  <si>
    <t>WOS:000233987100446</t>
  </si>
  <si>
    <t>Humbert, Marc/AAC-8459-2019; Hoeper, Marius/Z-1546-2019; Carlsen, Jørn/AAC-9640-2021</t>
  </si>
  <si>
    <t>Hannover Medical School; University of Sheffield; Actelion Pharmaceuticals Ltd; Assistance Publique Hopitaux Paris (APHP); Hopital Universitaire Antoine-Beclere - APHP</t>
  </si>
  <si>
    <t>Hannover Med Sch, Dept Resp Med, Hannover S10 2JF, Germany; Royal Hallamshire Hosp, Dept Resp Med, Sheffield, S Yorkshire, England; Actelion Pharmaceut Ltd, Med Dept, Allschwil, Switzerland; Hop Antoine Beclere, Serv Pneumol, Clamart, France</t>
  </si>
  <si>
    <t>Long-term safety profile of bosentan in patients with chronic thromboembolic pulmonary hypertension (CTEPH): results from the TRAX database</t>
  </si>
  <si>
    <t>Carlsen, J.; Hoeper, M. M.; Kiely, D. G.; van Lierop, C.; Humbert, M.</t>
  </si>
  <si>
    <t>Carlsen, J; Hoeper, MM; Kiely, DG; van Lierop, C; Humbert, M</t>
  </si>
  <si>
    <t>WOS:000231611700011</t>
  </si>
  <si>
    <t>960RU</t>
  </si>
  <si>
    <t>10.1111/j.1440-1746.2005.03914.x</t>
  </si>
  <si>
    <t>J. Gastroenterol. Hepatol.</t>
  </si>
  <si>
    <t>J GASTROEN HEPATOL</t>
  </si>
  <si>
    <t>1440-1746</t>
  </si>
  <si>
    <t>0815-9319</t>
  </si>
  <si>
    <t>Paris S Univ, Marie Lannelongue Surg Ctr, Surg Lab, UPRES,EA 2705, 133 Ave Resistance, F-92350 Le Plessis Robinson, France.</t>
  </si>
  <si>
    <t>Universite Paris Cite; Assistance Publique Hopitaux Paris (APHP); Hopital Universitaire Beaujon - APHP; Institut National de la Sante et de la Recherche Medicale (Inserm)</t>
  </si>
  <si>
    <t>Paris S Univ, Marie Lannelongue Surg Ctr, Surg Lab, UPRES,EA 2705, F-92350 Le Plessis Robinson, France; Beaujon Hosp, Hemodynam &amp; Vasc Biol Lab, INSERM, U481, Clichy, France</t>
  </si>
  <si>
    <t>Background: Bacterial translocation, that is, extra-intestinal dissemination of gut bacteria, occurs in approximately 50% of humans and rats with cirrhosis and plays a significant role in enhanced tumor necrosis factor-alpha (TNF-alpha) production. The authors' previous studies have indicated that prevention of bacterial translocation with norfloxacine or inhibition of TNF-alpha with pentoxifylline treatment decreased both the incidence and severity of hepatopulmonary syndrome by attenuating the induction of pulmonary intravascular macrophages in cirrhotic rats. In the present study the hypothesis was tested that the cirrhotic rats with bacterial translocation had higher TNF-alpha production, higher level of sequestration of macrophages in pulmonary vessels, and increased incidence and severity of hepatopulmonary syndrome. Methods: Rats were studied 5 weeks after common bile duct ligation or sham operation. Bacterial translocation was defined by positive mesenteric lymph node cultures. Hepatopulmonary syndrome was assessed by measurements of alveoloarterial oxygen difference (AaPO(2)) and intrapulmonary shunt. The TNF-alpha concentration in plasma was measured by ELISA. Pulmonary intravascular macrophage sequestration was assessed by lung morphometric analysis. Results: Bacterial translocation occurred in 48% of cirrhotic rats. Plasma concentrations of TNF-alpha and the percentage of vessels with pulmonary intravascular macrophages were higher in the cirrhotic rats with bacterial translocation. Rats with bacterial translocation also had a higher incidence (9% vs 63%, P &lt; 0.01) and severity of hepatopulmonary syndrome, as indicated by higher levels of both AaPO(2) and intrapulmonary shunt. Conclusions: These results suggest that bacterial translocation may play a role in the pathogenesis of hepatopulmonary syndrome by inducing pulmonary intravascular macrophages through TNF-alpha upregulation. (C) 2005 Blackwell Publishing Asia Pty Ltd.</t>
  </si>
  <si>
    <t>MESENTERIC LYMPH-NODES; TUMOR-NECROSIS-FACTOR; PULMONARY INTRAVASCULAR PHAGOCYTOSIS; NITRIC-OXIDE SYNTHASE; OBSTRUCTIVE-JAUNDICE; BILIARY-CIRRHOSIS; HEME OXYGENASE-1; ANIMAL-MODEL; FACTOR-ALPHA; CLEARANCE</t>
  </si>
  <si>
    <t>bacterial translocation; cirrhosis; hepatopulmonary syndrome; macrophage; tumor necrosis factor alpha</t>
  </si>
  <si>
    <t>JOURNAL OF GASTROENTEROLOGY AND HEPATOLOGY</t>
  </si>
  <si>
    <t>Cirrhotic rats with bacterial translocation have higher incidence and severity of hepatopulmonary syndrome</t>
  </si>
  <si>
    <t>Sztrymf, B; Libert, JM; Mougeot, C; Lebrec, D; Mazmanian, M; Humbert, M; Herve, P</t>
  </si>
  <si>
    <t>WOS:000233545800013</t>
  </si>
  <si>
    <t>987VO</t>
  </si>
  <si>
    <t>10.1016/S0761-8425(05)85637-2</t>
  </si>
  <si>
    <t>Humbert, Marc/0000-0003-0703-2892; JAIS, XAVIER/0000-0002-4104-7994; SITBON, Olivier/0000-0002-1942-1951</t>
  </si>
  <si>
    <t>benjamin.sztrymf@abc.aphp.fr</t>
  </si>
  <si>
    <t>Univ Paris 11, Hop Antoine Beclere, AP HP, Serv Pneumol &amp; Reanimat Resp,Ctr Maladies Vasc Pu, F-92140 Clamart, France.</t>
  </si>
  <si>
    <t>Univ Paris 11, Hop Antoine Beclere, AP HP, Serv Pneumol &amp; Reanimat Resp,Ctr Maladies Vasc Pu, F-92140 Clamart, France</t>
  </si>
  <si>
    <t>Introduction Pulmonary arterial hypertension (PAHT) is defined as an increase of mean pulmonary artery pressure above 25 mmHg at rest, or 30 mmHg on exercise, due to obliteration of small calibre pulmonary arteries by proliferation of endothelial cells and smooth muscle. Beside idiopathic PAHT and that associated with other conditions, a familial form has been identified. State of the art Family studies have shown an association between mutations of the BMPR2 gene and PAHT phenotypes. The products of this gene appear to be involved in vascular homeostasis and its mutations are the basis of a loss this function and, in consequence, proliferation of pulmonary vascular cells. Perspectives Certain characteristics, such as incomplete penetrance and genetic anticipation, lead to a complex relationship between genotype and phenotype and make genetic counselling difficult. Other members of the extended family of TGF-beta receptors are implicated in the development of the Osler-Rendu syndrome, but may also be associated with the development of PAHT. Conclusion Progress in genetics allows better understanding of the pathophysiology of this disease and could lead to new therapeutic possibilities.</t>
  </si>
  <si>
    <t>HEREDITARY HEMORRHAGIC TELANGIECTASIA; BONE MORPHOGENETIC PROTEINS; GERMLINE MUTATIONS; BETA-RECEPTOR; BMPR2; FEATURES; ENDOGLIN; SMOOTH; LOCUS; CELLS</t>
  </si>
  <si>
    <t>pulmonary arterial hypertension; genetics; TGF-beta; BMPR2; Osler-Rendu sydrome</t>
  </si>
  <si>
    <t>Genetics of pulmonary arterial hypertension:: recent data and practical applications.</t>
  </si>
  <si>
    <t>Sztrymf, B; Yaici, A; Jaïs, X; Simonneau, G; Sitbon, O; Humbert, M</t>
  </si>
  <si>
    <t>WOS:000233224400029</t>
  </si>
  <si>
    <t>983IH</t>
  </si>
  <si>
    <t>10.1183/09031936.05.00133904</t>
  </si>
  <si>
    <t>SITBON, Olivier/0000-0002-1942-1951; Marcelin, Anne-Genevieve/0000-0003-4808-8999; Montani, David/0000-0002-9358-6922; Humbert, Marc/0000-0003-0703-2892; Hermine, Olivier/0000-0003-2574-3874</t>
  </si>
  <si>
    <t>Viard, Jean-Paul/O-6467-2017; David, Montani/I-6885-2019; Sitbon, Olivier/I-3623-2019; Hermine, Olivier/Q-7072-2018; Simonneau, Gerald/ABE-6614-2020; Marcelin, Anne-Genevieve/D-8272-2014; Humbert, Marc/AAC-8459-2019</t>
  </si>
  <si>
    <t>marc.humbert@abc.aphop-paris.fr</t>
  </si>
  <si>
    <t>Univ Paris Sud, Ctr Maladies Vasc Pulm, UPRES EA 2705, Serv Pneumol &amp; Reanimat Resp,Hop Ant Beclere, 157 Rue Porte Trivaux, F-92140 Clamart, France.</t>
  </si>
  <si>
    <t>Universite Paris Saclay; Assistance Publique Hopitaux Paris (APHP); Hopital Universitaire Antoine-Beclere - APHP; Assistance Publique Hopitaux Paris (APHP); Hopital Universitaire Pitie-Salpetriere - APHP; Sorbonne Universite; Assistance Publique Hopitaux Paris (APHP); Universite Paris Cite; Hopital Universitaire Necker-Enfants Malades - APHP; Assistance Publique Hopitaux Paris (APHP); Universite Paris Cite; Hopital Universitaire Necker-Enfants Malades - APHP; Assistance Publique Hopitaux Paris (APHP); Universite Paris Cite; Hopital Universitaire Necker-Enfants Malades - APHP</t>
  </si>
  <si>
    <t>Univ Paris Sud, Ctr Maladies Vasc Pulm, UPRES EA 2705, Serv Pneumol &amp; Reanimat Resp,Hop Ant Beclere, F-92140 Clamart, France; Hop La Pitie Salpetriere, Serv Virol, Paris, France; Hop Paris, Serv Malad Infect, Grp Hosp Necker Enfants Malades, Paris, France; Hop Paris, Serv Hematol, Grp Hosp Necker Enfants Malades, Paris, France; Hop Paris, Serv Anat Pathol, Grp Hosp Necker Enfants Malades, Paris, France</t>
  </si>
  <si>
    <t>The present study describes a case of pulmonary arterial hypertension (PAH) associated with multicentric Castleman's disease in a patient infected with HIV type 1 and human herpes virus 8. Therapy included highly active antiretroviral therapy, warfarin, diuretics, continuous i.v. epoprostenol and 12-monthly pulses of cyclophosphamide. The patient's condition improved dramatically with complete reversibility of PAH, allowing weaning of continuous i.v. epoprostenol therapy. After 5 yrs, both Castleman's disease and PAH have not relapsed. This supports the hypothesis that control of inflammation and retroviral replication may be of interest in the context of PAH, complicating the course of an inflammatory condition associated with viral infection. In conclusion, further studies should help in characterising the best candidates for antiinflammatory treatment in the setting of pulmonary arterial hypertension.</t>
  </si>
  <si>
    <t>SARCOMA-ASSOCIATED HERPESVIRUS; ENDOTHELIAL GROWTH-FACTOR; HIV-INFECTED PATIENTS; PROGNOSTIC-FACTORS; INTERLEUKIN-6; HUMAN-HERPESVIRUS-8; THERAPY; SURVIVAL; EXPRESSION; VIRUS</t>
  </si>
  <si>
    <t>Castleman's disease; HIV; human herpes virus 8; pulmonary arterial hypertension</t>
  </si>
  <si>
    <t>Reversibility of pulmonary arterial hypertension in HIV/HHV8-associated Castleman's disease</t>
  </si>
  <si>
    <t>Montani, D; Achouh, L; Marcelin, AG; Viard, JP; Hermine, O; Canioni, D; Sitbon, O; Simonneau, G; Humbert, M</t>
  </si>
  <si>
    <t>WOS:000233426400006</t>
  </si>
  <si>
    <t>986CJ</t>
  </si>
  <si>
    <t>10.1016/S0755-4982(05)84207-1</t>
  </si>
  <si>
    <t>NOV 5</t>
  </si>
  <si>
    <t>Hop Antoine Beclere, Serv Pneumol, 157 Ave Porte Trivaux, F-92141 Clamart, France.</t>
  </si>
  <si>
    <t>Univ Paris Sud, Hop Antoine Beclere, UPRES, EA2705,Ctr Reference Natl HTAP,Serv Pneumol &amp; Rea, Clamart, France</t>
  </si>
  <si>
    <t>Activity-based financing (that is, casemix-based hospital payments, known as T2A) is intended to harmonize and improve the fairness of remuneration of public and private hospitals. T2A will ultimately rely mainly on a flat rate per admission, set according to the diagnosis-related group (DRG). Although payment for drugs is usually included in the DRG price, some expensive drugs will be reimbursed on an additional cost basis after implementation of a best practices agreement. Four drugs used for treatment of pulmonary arterial hypertension are eligible for this additional reimbursement: 3 prostacyclin derivatives (intravenous epoprostenol, inhaled iloprost, and subcutaneous treprostinil), and oral bosentan, an endothelin receptor antagonist. The Pulmonary Vascular Diseases working group of the French Society of Pulmonary Medicine has developed guidelines for the best practices in use of these drugs.</t>
  </si>
  <si>
    <t>CONTINUOUS INTRAVENOUS EPOPROSTENOL; ENDOTHELIN-RECEPTOR ANTAGONIST; PROSTACYCLIN THERAPY; INHALED ILOPROST; SHORT-TERM; PROGNOSTIC-FACTORS; BOSENTAN THERAPY; NITRIC-OXIDE; SECONDARY; VASODILATOR</t>
  </si>
  <si>
    <t>Treatment for pulmonary arterial hypertension under the new French hospital financing system</t>
  </si>
  <si>
    <t>WOS:000233426400004</t>
  </si>
  <si>
    <t>10.1016/S0755-4982(05)84205-8</t>
  </si>
  <si>
    <t>SITBON, Olivier/0000-0002-1942-1951; Humbert, Marc/0000-0003-0703-2892; JAIS, XAVIER/0000-0002-4104-7994</t>
  </si>
  <si>
    <t>steeveprovencher@hotmail.com</t>
  </si>
  <si>
    <t>Univ Laval, Inst Cardiol &amp; Pneumol, Serv Pneumol, 2725 Chemin St Foy, Ste Foy, PQ G1V 4G5, Canada.</t>
  </si>
  <si>
    <t>Laval University; Laval University Hospital; Assistance Publique Hopitaux Paris (APHP); Hopital Universitaire Antoine-Beclere - APHP; Universite Paris Saclay</t>
  </si>
  <si>
    <t>Univ Laval, Inst Cardiol &amp; Pneumol, Serv Pneumol, Hop Laval, Ste Foy, PQ G1V 4G5, Canada; Univ Paris Sud, AP HP, UPRES, EA 2705,Ctr malad Vasc Pulm,Serv Pneumol &amp; Reanim, Clamart, France</t>
  </si>
  <si>
    <t>The clinical classification of types of pulmonary hypertension has made it possible to better standardize the approach to the diagnosis and treatment of patients, to perform clinical studies among homogeneous patients, and to discover common laboratory abnormalities that may serve as markers or help elucidate mechanisms of disease. Pulmonary arterial hypertension groups together different diseases that affect the small-caliber pulmonary arteries and lead to a progressive increase in pulmonary arterial resistance and right heart failure. A specific diagnosis of pulmonary arterial hypertension is generally based on a detailed and methodical clinical evaluation. Pulmonary biopsy is rarely indicated. Work-up in a center specialized in the management of this disease is frequently appropriate when the cause of the hypertension is not clear or when a specific treatment is envisaged.</t>
  </si>
  <si>
    <t>IMMUNODEFICIENCY-VIRUS-INFECTION; COMPLICATING PORTAL-HYPERTENSION; 6-MINUTE WALK TEST; SYSTEMIC-SCLEROSIS; VENOOCCLUSIVE DISEASE; PORTOPULMONARY HYPERTENSION; CAPILLARY HEMANGIOMATOSIS; HEPATOPULMONARY SYNDROME; EISENMENGER-SYNDROME; VASCULAR DISORDERS</t>
  </si>
  <si>
    <t>Diagnosis and classification of pulmonary arterial hypertension</t>
  </si>
  <si>
    <t>Provencher, S; Martel, S; Jais, X; Sitbon, O; Humbert, M; Simonneau, G</t>
  </si>
  <si>
    <t>WOS:000233426400005</t>
  </si>
  <si>
    <t>10.1016/S0755-4982(05)84206-X</t>
  </si>
  <si>
    <t>Univ Paris Sud, AP HP, Hop Antoine Beclere, Ctr Reference Natl HTAP,Serv Pneumol &amp; Reanimat,U, Clamart, France</t>
  </si>
  <si>
    <t>Pulmonary arterial hypertension (PAH) is characterized by vasoconstriction, in situ thrombosis, and vascular remodeling of small pulmonary arteries. It induces a fixed pulmonary arterial obstruction, persistent elevation of pulmonary arterial resistance, and eventually right heart failure. Conventional therapy is based on simple measures (exercise limitation) and nonspecific treatments (warfarin, diuretics, and oxygen)., Pure vasoclilators, such as calcium channel blockers, are effective only in a minority of patients who have an acute response to vasoclilator testing. Intravenous prostacyclin (epoprostenol) and endothelin receptor blockers have vasodilator and antiproliferative properties. Epoprostenol therapy has significantly improved PAH prognosis and remains the first-line treatment for patients with the most severe disease. Bosentan is an interesting first-line treatment for NYHA functional class III patients. Availability of novel specific drugs (enclothelin receptor type A antagonists, prostacyclin analogues, type 5 phosphodiesterase inhibitors) is opening new perspectives in PAH treatment. The long-term benefit of these drugs remains to be evaluated and their respective place in treatment of these patients is still uncertain. The evolution of therapy from vasodilators to anti proliferative agents reflects the advancement in our understanding of the mechanisms mediating pulmonary arterial hypertension.</t>
  </si>
  <si>
    <t>CONTINUOUS INTRAVENOUS EPOPROSTENOL; RECEPTOR ANTAGONIST BOSENTAN; CALCIUM-CHANNEL BLOCKERS; LONG-TERM TREATMENT; LUNG-TRANSPLANTATION; ATRIAL SEPTOSTOMY; INHALED ILOPROST; PROSTACYCLIN ANALOG; PROGNOSTIC-FACTORS; ORAL SILDENAFIL</t>
  </si>
  <si>
    <t>Montani, D; Sitbon, O; Jaïs, X; Cabrol, S; Simonneau, G; Humbert, M</t>
  </si>
  <si>
    <t>WOS:000233426400001</t>
  </si>
  <si>
    <t>10.1016/S0755-4982(05)84202-2</t>
  </si>
  <si>
    <t>Hop Antoine Beclere, Serv Pneumol, 157,Rue Porte Trivaux, F-92140 Clamart, France.</t>
  </si>
  <si>
    <t>Perspectives on pulmonary vascular diseases</t>
  </si>
  <si>
    <t>Humbert, M; Dartevelle, P; Simonneau, G</t>
  </si>
  <si>
    <t>WOS:000233426400008</t>
  </si>
  <si>
    <t>10.1016/S0755-4982(05)84209-5</t>
  </si>
  <si>
    <t>Mussot, S/AAL-7512-2020; paul, john/IQU-1965-2023; Sitbon, Olivier/I-3623-2019; Simonneau, Gerald/ABE-6614-2020; Humbert, Marc/AAC-8459-2019</t>
  </si>
  <si>
    <t>Dartevelle, P (corresponding author), Hop Marie Lannelongue, Dept Chirurg Thorac Vasc &amp; Transplantat Cardiopul, 133 Ave Resistance, F-92350 Le Plessis Robinson, France.</t>
  </si>
  <si>
    <t>Hop Marie Lannelongue, Dept Chirurg Thorac Vasc &amp; Transplantat Cardiopul, F-92350 Le Plessis Robinson, France</t>
  </si>
  <si>
    <t>Chronic thromboembolic pulmonary hypertension is a condition that has long remained in the shadows, a kind of orphan disease, because of the lack of any curative treatment. The renewal of interest by pulmonary specialists, cardiologists and thoracic surgeon is due to the development over the past 20 years of major new treatments: lung transplantation, continuous prostacyclin infusion, and pulmonary endarterectomy, in chronological order. Most patients with postembolic pulmonary arterial hypertension (PEPAH) in a sufficiently proximal location can benefit from curative surgical treatment by bilateral endarterectomy of the pulmonary arteries. This complex surgery, performed under deep hypothermic circulatory arrest, clears out the pulmonary vascular bed down through its subsegmental branches and results in a frank reduction in. pulmonary vascular resistance and normalization of cardiopulmonary function. It is a curative procedure with a perioperative mortality rate less than 7% and a definitive result, unlike pulmonary and cardiopulmonary transplantation, which have a postoperative mortality rate of 20% and a 5-year survival rate of 50%. It is difficult to recognize the postembolic nature of pulmonary hypertension because there is no known history of venous thrombosis or embolic phenomena in more than 50% of cases. Diagnosis is based on the presence of mismatched segmental defects in the radioisotopic ventilation-perfusion scanning. To be accessible to endarterectomy, lesions must involve the main, lobar, or segmental arteries. When conducted by experienced operators according to specific protocols, pulmonary (frontal and lateral views of each lung) and multislice CT angiography optimize assessment of the lesion site. When the pulmonary vascular resistance evaluated by catheterization is correlated with the anatomical obstruction visible on the images, pulmonary endarterectomy has a mortality rate below 4% and offers the patient a substantial chance to regain normal cardiorespiratory function. 9 In cases of pulmonary arterial hypertension due to older embolisms, major arteriolitis occurs in the nonobstructed areas and</t>
  </si>
  <si>
    <t>NATURAL-HISTORY; EMBOLISM; THROMBOENDARTERECTOMY; ANGIOGRAPHY; MANAGEMENT</t>
  </si>
  <si>
    <t>Surgical treatment of chronic thromboembolic pulmonary hypertension</t>
  </si>
  <si>
    <t>Dartevelle, P; Fadel, E; Mussot, S; Cerrina, J; Ladurie, EL; Lehouerou, D; Parquin, E; Paul, JE; Musset, D; Humbert, M; Sitbon, O; Parent, E; Simonneau, G</t>
  </si>
  <si>
    <t>WOS:000234979600012</t>
  </si>
  <si>
    <t>007OS</t>
  </si>
  <si>
    <t>SITBON, Olivier/0000-0002-1942-1951; JAIS, XAVIER/0000-0002-4104-7994; Humbert, Marc/0000-0003-0703-2892</t>
  </si>
  <si>
    <t>Univ Paris 11, Hop Antoine Beclere, Ctr Maladies Vasc Pulm, Serv Pneumol &amp; Reanimat Resp,UPRES 2705, 157 Rue Porte Trivaux, F-92140 Clamart, France.</t>
  </si>
  <si>
    <t>Univ Paris 11, Hop Antoine Beclere, Ctr Maladies Vasc Pulm, Serv Pneumol &amp; Reanimat Resp,UPRES 2705, F-92140 Clamart, France</t>
  </si>
  <si>
    <t>Pulmonary arterial hypertension (PAH) is an uncommon disorder. PAH can be idiopathic, associated with other conditions or clustered in families. Indeed, at least 6% of individuals diagnosed with so-called primary pulmonary hypertension have a family history of the disorder. Familial PAH segregates as an autosomal dominant trait but with markedly reduced penetrance. Defects within bone morphogenetic protein receptor type II gene (BMPR2), coding for a type II receptor member of the transforming growth factor beta (TGF-beta) family, have been shown to underlie familial PAR Germline BMRR2 mutations have been detected in at least 60% of the families studied to date. Disease-associated mutations are predicted to interrupt the BMP-mediated signalling pathway predisposing to proliferation of cells within small pulmonary arteries. Several lines of evidence point to the potential requirement of additional factors, either environmental or genetic, in the pathogenesis of the disease. In addition, a proportion of idiopathic PAH as well as anorexigen-associated PAH turn out to have an inherited basis, as demonstrated by detection of germline BMPR2 mutations. Analysis of other genes encoding TGF-beta receptor proteins, led to the demonstration that PAH in association with hereditary hemorrhagic telangiectasta, an autosomal dominant vascular dysplasia, can involve other TGF-beta receptor subtypes. These observations support the hypothesis that mutations in the TGF-beta superfamily may be a trigger for pulmonary vascular remodeling. Nevertheless, PAR pathobiology remains unclear and genomic approaches may identify additional molecular determinants for this disorder.</t>
  </si>
  <si>
    <t>HEREDITARY HEMORRHAGIC TELANGIECTASIA; PROTEIN-RECEPTOR-II; ARTERIAL-HYPERTENSION; GERMLINE MUTATIONS; FENFLURAMINE DERIVATIVES; CLINICAL CLASSIFICATION; FUTURE-DIRECTIONS; BETA-RECEPTOR; MUSCLE-CELLS; BMPR2</t>
  </si>
  <si>
    <t>ALK-1; BMPR2; endoglin; hereditary hemorrhagic telangiectasia; primary pulmonary hypertension; pulmonary arterial hypertension; TGF-beta</t>
  </si>
  <si>
    <t>FEB 25-26, 2005</t>
  </si>
  <si>
    <t>1st RIPID International Congress on Rare Pulmonary Diseases and Orphan Drugs in Respiratory Medicine</t>
  </si>
  <si>
    <t>Idiopathic pulmonary hypertension:: what did we learn from genes?</t>
  </si>
  <si>
    <t>Sztrymf, B; Yaïci, A; Jaïs, X; Sitbon, O; Simonneau, G; Humbert, M</t>
  </si>
  <si>
    <t>WOS:000233368400012</t>
  </si>
  <si>
    <t>985HO</t>
  </si>
  <si>
    <t>10.1136/thx.2005.040618</t>
  </si>
  <si>
    <t>delcroix, marion/0000-0001-8394-9809; Galie, Nazzareno/0000-0003-4271-8670; SITBON, Olivier/0000-0002-1942-1951; Rainisio, Maurizio/0000-0002-4450-5751; Humbert, Marc/0000-0003-0703-2892</t>
  </si>
  <si>
    <t>Rubin, Lewis/AEW-1719-2022; Simonneau, Gerald/ABE-6614-2020; Sitbon, Olivier/I-3623-2019; Galie, Nazzareno/F-7004-2014; Humbert, Marc/AAC-8459-2019</t>
  </si>
  <si>
    <t>Univ Paris Sud, Hop Antoine Beclere, Ctr Malad Vasc Pulm, 157 Rue Porte Trivaux, F-92141 Clamart, France.</t>
  </si>
  <si>
    <t>Universite Paris Saclay; Assistance Publique Hopitaux Paris (APHP); Hopital Universitaire Antoine-Beclere - APHP; University of Michigan System; University of Michigan; University of Colorado System; University of Colorado Denver; University of Colorado Anschutz Medical Campus; Columbia University; Royal College of Physicians; University of Bologna; Actelion Pharmaceuticals Ltd; University of California System; University of California San Diego</t>
  </si>
  <si>
    <t>Univ Paris Sud, Hop Antoine Beclere, Ctr Malad Vasc Pulm, F-92141 Clamart, France; Univ Michigan, Ann Arbor, MI 48109 USA; Univ Colorado, Hlth Sci Ctr, Denver, CO 80202 USA; Columbia Univ, Coll Phys &amp; Surg, New York, NY 10027 USA; Royal Coll Physicians, London NW1 4LE, England; Univ Bologna, I-40126 Bologna, Italy; Actel Pharmaceut Ltd, Allschwil, Switzerland; Univ Calif San Diego, San Diego, CA 92103 USA</t>
  </si>
  <si>
    <t>Background: The oral dual endothelin receptor antagonist bosentan improves exercise capacity and delays clinical worsening in patients with pulmonary arterial hypertension, but its use could delay starting intravenous epoprostenol, a life saving treatment. Methods: Survival in patients with functional class III idiopathic pulmonary arterial hypertension (PAH) treated with bosentan in clinical trials was compared with historical data from similar patients treated with epoprostenol in the clinic. Statistical methods were used to adjust for possible underlying differences between the two groups. Results: Baseline factors for the 139 patients treated with bosentan and the 346 treated with epoprostenol suggested that the epoprostenol cohort had more severe disease - that is, a lower cardiac index (2.01 v 2.39 l/min/m(2)) and higher pressures and resistance. Kaplan-Meier survival estimates after 1 and 2 years were 97% and 91%, respectively, in the bosentan cohort and 91% and 84% in the epoprostenol cohort. Cox regression analyses adjusting for differences in baseline factors showed a greater probability of death in the epoprostenol cohort (hazard ratio 2.2 (95% confidence interval 1.2 to 4.0) in the model adjusted for haemodynamics). Alternative regression analyses and analyses to adjust for different data collection dates gave consistently similar results. When matched cohorts of 83 patients each were selected, survival estimates were similar. In the bosentan cohort 87% and 75% of patients followed for 1 and 2 years, respectively, remained on monotherapy. Conclusions: No evidence was found to suggest that initial treatment with oral bosentan, followed by or with the addition of other treatment if needed, adversely affected the long term outcome compared with initial intravenous epoprostenol in patients with class III idiopathic PAH.</t>
  </si>
  <si>
    <t>RECEPTOR ANTAGONIST BOSENTAN; THERAPY</t>
  </si>
  <si>
    <t>Survival in patients with class III idiopathic pulmonary arterial hypertension treated with first line oral bosentan compared with an historical cohort of patients started on intravenous epoprostenol</t>
  </si>
  <si>
    <t>Sitbon, O; McLaughlin, VV; Badesch, DB; Barst, RJ; Black, C; Galiè, N; Humbert, M; Rainisio, M; Rubin, LJ; Simonneau, G</t>
  </si>
  <si>
    <t>WOS:000234371400063</t>
  </si>
  <si>
    <t>999EK</t>
  </si>
  <si>
    <t>10.1378/chest.128.6_suppl.622S</t>
  </si>
  <si>
    <t>628S</t>
  </si>
  <si>
    <t>622S</t>
  </si>
  <si>
    <t>JAIS, XAVIER/0000-0002-4104-7994; Dupuis, Jocelyn/0000-0002-3193-1014; SITBON, Olivier/0000-0002-1942-1951; Humbert, Marc/0000-0003-0703-2892</t>
  </si>
  <si>
    <t>; Dupuis, Jocelyn/C-6613-2013; Humbert, Marc/AAC-8459-2019</t>
  </si>
  <si>
    <t>Univ Paris Sud 11, Hop Antoine Beclere, AP HP,Ctr Malad Vasc Pulm, Serv Pneumol &amp; Reanimat Resp,UPRES EA 2705, 157 Rue Porte Trivaux, F-92140 Clamart, France.</t>
  </si>
  <si>
    <t>Univ Paris Sud 11, Hop Antoine Beclere, AP HP,Ctr Malad Vasc Pulm, Serv Pneumol &amp; Reanimat Resp,UPRES EA 2705, F-92140 Clamart, France</t>
  </si>
  <si>
    <t>Despite major advances in our understanding of the pathophysiologic processes leading to pulmonary arterial hypertension and recent developments in therapeutic approaches, the long-term prognosis for patients with pulmonary arterial hypertension remains unsatisfactory. Early detection and adequate clinical classification of the disease, better assessment of patients' prognosis, and improved therapeutic strategies are important challenges for clinicians in coming years.</t>
  </si>
  <si>
    <t>LONG-TERM TREATMENT; ARTERIAL-HYPERTENSION; PRACTICE GUIDELINES; VENOOCCLUSIVE DISEASE; PROSTACYCLIN ANALOG; RECEPTOR ANTAGONIST; INHALED ILOPROST; ORAL SILDENAFIL; EPOPROSTENOL; THERAPY</t>
  </si>
  <si>
    <t>chronic thromboembolic pulmonary hypertension; combination therapy; early detection; venoocclusive disease; walk test</t>
  </si>
  <si>
    <t>Given Inst Pathobiol</t>
  </si>
  <si>
    <t>Given Inst Pathobiol, Aspen, CO</t>
  </si>
  <si>
    <t>47th Annual Thomas L Petty Aspen Lung Conference</t>
  </si>
  <si>
    <t>Clinical challenges in pulmonary hypertension - Roger S. Mitchell Lecture</t>
  </si>
  <si>
    <t>Provencher, S; Jais, X; Yaici, A; Sitbon, O; Humbert, M; Simonneau, G</t>
  </si>
  <si>
    <t>WOS:000234203100004</t>
  </si>
  <si>
    <t>996VK</t>
  </si>
  <si>
    <t>10.1183/09031936.05.00112105</t>
  </si>
  <si>
    <t>Mouthon, L (corresponding author), Univ Paris Descartes, Immunol Lab, Pavillon Gustave Roussy,4e Etage,8 Rue Mechain, F-75014 Paris, France.</t>
  </si>
  <si>
    <t>Assistance Publique Hopitaux Paris (APHP); Universite Paris Cite; Hopital Universitaire Cochin - APHP; Assistance Publique Hopitaux Paris (APHP); Hopital Universitaire Antoine-Beclere - APHP; Assistance Publique Hopitaux Paris (APHP); Hopital Universitaire Antoine-Beclere - APHP</t>
  </si>
  <si>
    <t>Paris Descartes Univ, Fac Med, Cochin Hosp, Paris, France; Antoine Beclere Hosp, Dept Pneumol, UPRES EA 2705, Clamart, France; Antoine Beclere Hosp, French Natl Reference Ctr Pulm Hypertens, Clamart, France</t>
  </si>
  <si>
    <t>HEREDITARY HEMORRHAGIC TELANGIECTASIA; ANTIENDOTHELIAL CELL ANTIBODIES; SYSTEMIC-SCLEROSIS; LEUKOCYTE ADHESION; GERMLINE MUTATIONS; ENDOTHELIAL-CELLS; PLEXIFORM LESIONS; AUTOANTIBODIES; SCLERODERMA; RECEPTOR</t>
  </si>
  <si>
    <t>Pulmonary arterial hypertension: an autoimmune disease?</t>
  </si>
  <si>
    <t>Mouthon, L; Guillevin, L; Humbert, M</t>
  </si>
  <si>
    <t>WOS:000234371400002</t>
  </si>
  <si>
    <t>10.1378/chest.128.6_suppl.552S</t>
  </si>
  <si>
    <t>553S</t>
  </si>
  <si>
    <t>552S</t>
  </si>
  <si>
    <t>saadia.eddahibi@creteil.inserm.fr</t>
  </si>
  <si>
    <t>INSERM, Fac Med, U492, 8,Ave Gen Sarrail, F-94010 Creteil, France.</t>
  </si>
  <si>
    <t>Institut National de la Sante et de la Recherche Medicale (Inserm); Universite Paris-Est-Creteil-Val-de-Marne (UPEC); Universite Paris-Est-Creteil-Val-de-Marne (UPEC); Assistance Publique Hopitaux Paris (APHP); Hopital Universitaire Henri-Mondor - APHP; Institut National de la Sante et de la Recherche Medicale (Inserm); Sorbonne Universite; Assistance Publique Hopitaux Paris (APHP); Hopital Universitaire Antoine-Beclere - APHP; Hopital Marie Lannelongue</t>
  </si>
  <si>
    <t>INSERM, Fac Med, U492, F-94010 Creteil, France; Serv Physiol Explorat Fonct, F-94010 Creteil, France; Hop Henri Mondor, F-94010 Creteil, France; INSERM, U288, Paris, France; Univ Paris 06, Paris, France; UPRES EA2705, Clamart, France; Hop Antoine Beclere, Serv Pneumol, Clamart, France; Hop Marie Lannelongue, UPRES EA2705, Serv Chirurg Thorac Vasc &amp; Transplantat Cardiopul, Le Plessis Robinson, France</t>
  </si>
  <si>
    <t>SMOOTH-MUSCLE HYPERPLASIA; HYPOXIA; MICE</t>
  </si>
  <si>
    <t>Serotonin transporter and receptors in various forms of human pulmonary hypertension</t>
  </si>
  <si>
    <t>WOS:000233777400001</t>
  </si>
  <si>
    <t>990XT</t>
  </si>
  <si>
    <t>10.1111/j.1365-2222.2005.02392.x</t>
  </si>
  <si>
    <t>9600 GARSINGTON RD, OXFORD OX4 2DQ, OXON, ENGLAND</t>
  </si>
  <si>
    <t>BLACKWELL PUBLISHING</t>
  </si>
  <si>
    <t>Magnan, Antoine/D-4100-2015; Humbert, Marc/AAC-8459-2019</t>
  </si>
  <si>
    <t>antoine.magnan@mail.ap-hm.fr</t>
  </si>
  <si>
    <t>Magnan, A (corresponding author), Univ Mediterranee, Fac Med, Hop St Marguerite, Serv Pneumo Allergol,UPRES 3287,IPHM, F-13285 Marseille, France.</t>
  </si>
  <si>
    <t>Aix-Marseille Universite; Assistance Publique-Hopitaux de Marseille; Universite Paris Saclay; Assistance Publique Hopitaux Paris (APHP); Hopital Universitaire Antoine-Beclere - APHP</t>
  </si>
  <si>
    <t>Univ Mediterranee, Fac Med, Hop St Marguerite, Serv Pneumo Allergol,UPRES 3287,IPHM, F-13285 Marseille, France; Univ Paris Sud, Serv Pneumol &amp; Reanimat Resp, Hop Antoine Beclere, Inst Paris Sud Cytokines, F-92140 Clamart, France</t>
  </si>
  <si>
    <t>REGULATORY T-CELLS; ALLERGIC AIRWAY INFLAMMATION; MESSENGER-RNA EXPRESSION; INDOLEAMINE 2,3-DIOXYGENASE; IMMUNE-RESPONSES; CHRONIC ASTHMA; MURINE MODEL; IN-SITU; HYPERRESPONSIVENESS; HYPERREACTIVITY</t>
  </si>
  <si>
    <t>Is deficient tolerance the true paradigm for atopic diseases?</t>
  </si>
  <si>
    <t>Magnan, A; Humbert, M</t>
  </si>
  <si>
    <t>WOS:000233564900281</t>
  </si>
  <si>
    <t>988AX</t>
  </si>
  <si>
    <t>II89</t>
  </si>
  <si>
    <t>II88</t>
  </si>
  <si>
    <t>University of Sheffield; University of Copenhagen; Copenhagen University Hospital; Rigshospitalet; Assistance Publique Hopitaux Paris (APHP); Hopital Universitaire Antoine-Beclere - APHP; Actelion Pharmaceuticals Ltd</t>
  </si>
  <si>
    <t>Royal Hallamshire Hosp, Sheffield S10 2JF, S Yorkshire, England; Rigshosp, Copenhagen, Denmark; Hop Antoine Beclere, Clamart, France; Actelion Pharmaceut, Allschwil, Switzerland; Sch Med, Hannover, Germany</t>
  </si>
  <si>
    <t>Long term experience with bosentan for the treatment of idiopathic pulmonary arterial hypertension under routine conditions</t>
  </si>
  <si>
    <t>Kiely, DG; Carlsen, J; Humbert, M; van Lierop, C; Hoeper, MM</t>
  </si>
  <si>
    <t>WOS:000233368400013</t>
  </si>
  <si>
    <t>10.1136/thx.2004.038083</t>
  </si>
  <si>
    <t>Humbert, Marc/0000-0003-0703-2892; JAIS, XAVIER/0000-0002-4104-7994; Ioos, Vincent/0000-0001-6959-5602; SITBON, Olivier/0000-0002-1942-1951; Jardim, Carlos/0000-0003-0425-5548</t>
  </si>
  <si>
    <t>Sitbon, Olivier/I-3623-2019; Simonneau, Gerald/ABE-6614-2020; Humbert, Marc/AAC-8459-2019; Jardim, Carlos/N-8061-2017</t>
  </si>
  <si>
    <t>xavier.jais@abc.ap-hop-paris.fr</t>
  </si>
  <si>
    <t>Univ Paris Sud, Ctr Malad Vasc Pulm, Serv Pneumol &amp; Reanimat Resp,UPRES EA 2705, Hop Antoine Beclere,Assistance Publ Hop Paris, 157 Rue Porte Trivaux, F-92140 Clamart, France.</t>
  </si>
  <si>
    <t>Assistance Publique Hopitaux Paris (APHP); Hopital Universitaire Antoine-Beclere - APHP; Universite Paris Saclay; Universite Paris Cite; Hopital Universitaire Saint-Louis - APHP; Universite Paris Saclay; Hopital Marie Lannelongue</t>
  </si>
  <si>
    <t>Univ Paris Sud, Ctr Malad Vasc Pulm, Serv Pneumol &amp; Reanimat Resp,UPRES EA 2705, Hop Antoine Beclere,Assistance Publ Hop Paris, F-92140 Clamart, France; Univ Paris Sud, Ctr Chirurg Marie Lannelongue, Serv Chirurg Thorac Vasc &amp; Transplantat Pulm, UPRES,EA 2705, Le Plessis Robinson, France</t>
  </si>
  <si>
    <t>Background: An increased prevalence of splenectomy has been reported in patients with idiopathic pulmonary arterial hypertension. Examination of small pulmonary arteries from these subjects has revealed multiple thrombotic lesions, suggesting that thrombosis may contribute to this condition. Based on these findings, we hypothesised that splenectomy could be a risk factor for chronic thromboembolic pulmonary hypertension (CTEPH), a condition defined by the absence of thrombus resolution after acute pulmonary embolism that causes sustained obstruction of the pulmonary arteries and subsequent pulmonary hypertension. Methods: The medical history, clinical characteristics, thrombotic risk factors and haemodynamics of 257 patients referred for CTEPH between 1989 and 1999 were reviewed. In a case- control study the prevalence of splenectomy in patients with CTEPH was compared with that of patients evaluated during the same period for idiopathic pulmonary hypertension (n = 276) or for lung transplantation in other chronic pulmonary conditions (n = 180). Results: In patients with CTEPH, 8.6% (95% CI 5.2 to 12.0) had a history of splenectomy compared with 2.5% ( 95% CI 0.7 to 4.4) and 0.56% ( 95% CI 0 to 1.6) in cases of idiopathic pulmonary arterial hypertension and other chronic pulmonary conditions, respectively (p, 0.01). Conclusion: Splenectomy may be a risk factor for chronic thromboembolic pulmonary hypertension.</t>
  </si>
  <si>
    <t>PLASMINOGEN-ACTIVATOR INHIBITOR; UNITED-STATES; EMBOLISM; THROMBOCYTOSIS; CONSEQUENCE; DISEASE; RISK</t>
  </si>
  <si>
    <t>Splenectomy and chronic thromboembolic pulmonary hypertension</t>
  </si>
  <si>
    <t>Jaïs, X; Ioos, V; Jardim, C; Sitbon, O; Parent, F; Hamid, A; Fadel, E; Dartevelle, P; Simonneau, G; Humbert, M</t>
  </si>
  <si>
    <t>WOS:000234747600012</t>
  </si>
  <si>
    <t>004IX</t>
  </si>
  <si>
    <t>10.1016/S0761-8425(05)85729-8</t>
  </si>
  <si>
    <t>Universite Paris Saclay; Assistance Publique Hopitaux Paris (APHP); Hopital Universitaire Antoine-Beclere - APHP; Universite Paris Cite; Hopital Universitaire Saint-Louis - APHP; Universite de Lille; CHU Lille</t>
  </si>
  <si>
    <t>Univ Paris Sud, Hop Antoine Beclere, Assistance Publ Hop Paris, Serv Pneumol &amp; Reanimat Resp, Clamart, France; CHRU Lille, Hop Albert Calmette, Serv Pneumol &amp; Immunoallergol, Lille, France</t>
  </si>
  <si>
    <t>Introduction: Immunoglobulin E (IgE) is a key factor of allergic reaction and is known to be involved in the immunopathology of asthma. In this review, we discuss the results of trials of a monoclonal antibody (omalizumab) against IgE in patients with allergic asthma. State of the art: Omalizumab is a humanised murine IgG(1) kappa monoclonal antibody which is administered subcutaneously every 2 to 4 weeks at a dose calculated according to the patient's body weight and total plasma IgE concentrations. It binds free circulating IgE thus preventing it from binding to high affinity receptors. Omalizumab therapy significantly reduces asthma exacerbations, improves quality of life and has a steroid-sparing effect. It has a good safety profile. This treatment appears to be more effective in the patients with the most severe disease and the worst lung function. Conclusion and perspectives: Omalizumab therapy is an important novel treatment for difficult-to-control allergic asthma. Because of its systemic mechanism of action, it may be of particular use in patients displaying multiple allergic pathologies. It remains unknown whether the beneficial effects of omalizumab could be extended to patients with severe non allergic (so-called intrinsic) asthma, a variant of the disease which is often difficult to control.</t>
  </si>
  <si>
    <t>ANTIIMMUNOGLOBULIN-E ANTIBODY; HUMANIZED MONOCLONAL-ANTIBODY; LONG-TERM CONTROL; QUALITY-OF-LIFE; ALLERGIC-ASTHMA; E THERAPY; OMALIZUMAB; EFFICACY; EXACERBATIONS; TOLERABILITY</t>
  </si>
  <si>
    <t>allergy; monoclonal antibody; omalizumab; asthma; immunoglobulin E</t>
  </si>
  <si>
    <t>Anti IgE antibodies for the treatment of difficult asthma</t>
  </si>
  <si>
    <t>Humbert, M; Tonnel, AB</t>
  </si>
  <si>
    <t>WOS:000235165400005</t>
  </si>
  <si>
    <t>010CV</t>
  </si>
  <si>
    <t>Rheumatology; Social Issues</t>
  </si>
  <si>
    <t>10.1038/ncprheum0048</t>
  </si>
  <si>
    <t>Nat. Clin. Pract. Rheumatol.</t>
  </si>
  <si>
    <t>NAT CLIN PRACT RHEUM</t>
  </si>
  <si>
    <t>1745-8382</t>
  </si>
  <si>
    <t>Univ Paris Sud, Hop Antoine Beclere, UPRES EA2705, Assistance Publ Hop Paris,Ctr Malad Vasc Pulm,Ser, Clamart, France.</t>
  </si>
  <si>
    <t>Univ Paris Sud, Hop Antoine Beclere, UPRES EA2705, Assistance Publ Hop Paris,Ctr Malad Vasc Pulm,Ser, Clamart, France</t>
  </si>
  <si>
    <t>Rapid advances in the understanding of endothelin as a naturally occurring peptide with developmental and regulatory roles in normal physiology, along with a number of deleterious effects under pathologic conditions (including vasoconstriction, fibrosis, vascular hypertrophy, and inflammation) have led to the development of endothelin-receptor antagonists (ERAs). Bosentan, an antagonist with dual specificity for the endothelin-receptor subtypes A and B, has been shown to be efficacious and well tolerated in placebo-controlled clinical trials and is now approved in many countries, including the US, Canada, and Europe, for treatment of pulmonary arterial hypertension (PAH), including PAH associated with rheumatic diseases. ERAs with specificity for the endothelin-receptor subtype A, including sitaxsentan and ambrisentan, are currently undergoing investigation. This article reviews PAH associated with systemic rheumatic diseases and describes the role of ERAs in this setting.</t>
  </si>
  <si>
    <t>CALCIUM-CHANNEL BLOCKERS; PLASMA ENDOTHELIN; BOSENTAN; SCLEROSIS; SURVIVAL; THERAPY; SITAXSENTAN; FIBROSIS; EPOPROSTENOL; EXPRESSION</t>
  </si>
  <si>
    <t>endothelin; pathophysiology; pulmonary arterial hypertension; receptor-subtype specificity; systemic sclerosis</t>
  </si>
  <si>
    <t>NATURE CLINICAL PRACTICE RHEUMATOLOGY</t>
  </si>
  <si>
    <t>Drug Insight: endothelin-receptor antagonists for pulmonary arterial hypertension in systemic rheumatic diseases</t>
  </si>
  <si>
    <t>WOS:000234131500016</t>
  </si>
  <si>
    <t>995VC</t>
  </si>
  <si>
    <t>10.1002/art.21433</t>
  </si>
  <si>
    <t>Launay, David/0000-0003-1840-1817; Humbert, Marc/0000-0003-0703-2892; Sibilia, Jean/0000-0002-1601-4795; de Groote, Pascal/0000-0002-6211-0147; HACHULLA, ERIC/0000-0001-7432-847X</t>
  </si>
  <si>
    <t>Launay, David/A-5270-2018; HACHULLA, ERIC/R-8488-2018; DE GROOTE, Pascal/LLL-9444-2024; Launay, David/H-1674-2016; Humbert, Marc/AAC-8459-2019</t>
  </si>
  <si>
    <t>Hop Claude Huriez, Serv Med Interne, Pl Verdun, F-59037 Lille, France.</t>
  </si>
  <si>
    <t>Universite de Lille; CHU Lille; Actelion Pharmaceuticals Ltd; Assistance Publique Hopitaux Paris (APHP); Universite Paris Cite; Hopital Universitaire Cochin - APHP; CHU Grenoble Alpes; CHU Tours; CHU Strasbourg; Universites de Strasbourg Etablissements Associes; Universite de Strasbourg; Assistance Publique Hopitaux Paris (APHP); Sorbonne Universite; Hopital Universitaire Saint-Antoine - APHP; Sorbonne Universite; Assistance Publique Hopitaux Paris (APHP); Hopital Universitaire Pitie-Salpetriere - APHP</t>
  </si>
  <si>
    <t>Hop Claude Huriez, Serv Med Interne, F-59037 Lille, France; Actelion Pharmaceut, Paris, France; Hop Cochin, Paris, France; Hop Nord, Grenoble, France; Hop Bretonneau, Tours, France; Hop Hautepierre, Strasbourg, France; Hop St Antoine, Paris, France; Hop La Pitie Salpetriere, Paris, France</t>
  </si>
  <si>
    <t>Objective. Screening allows for early management of pulmonary arterial hypertension (PAH), a severe complication of systemic sclerosis (SSc). Since no consensus has been reached on the method and criteria for optimal screening, we sought to develop an algorithm based on symptoms, Doppler echocardiography, and right heart catheterization (RHC) for application to a nationwide multicenter SSc population in France. Methods. This prospective study was conducted from September 2002 to July 2003 by experts at 21 SSc centers. At each center, SSc patients without severe pulmonary function abnormalities underwent Doppler echocardiography by an experienced cardiologist. Patients with a peak velocity of tricuspid regurgitation (VTR) of &gt; 3 meters/second or 2.5-3 meters/second with unexplained dyspnea were asked to undergo RHC to confirm PAH according to international guidelines. Results. Of the 599 patients analyzed, 29 had known PAH and 33 had suspected PAH, based on Doppler echocardiography, and underwent RHC. Of these 33, 18 were found to have PAH, 3 had left ventricular dysfunction, and 12 had no PAH. Newly diagnosed cases of PAH were of mild severity (mean +/- SD pulmonary artery pressure [mPAP] 30 +/- 9 mm Hg, mean +/- SD total pulmonary resistance [TPR] 524 +/- 382 dynes x second/cm(5)). Hemodynamic findings in patients with known PAH were mPAP 49 17 mm Hg and TPR 1,007 615 dynes x second/cm(5). The estimate of PAH prevalence was 7.85% (95% confidence interval 5.70-10.00). Conclusion. This screening algorithm, based on dyspnea, Doppler echocardiographic evaluation of VTR, and RHC, enabled early detection of PAH at a mild stage. Whether mild PAH will evolve to severe PAH in reported cases and whether this early diagnosis translates into improved prognosis for patients with mild PAH will be evaluated in the ongoing 3-year followup of this cohort.</t>
  </si>
  <si>
    <t>PREVALENCE; THERAPY</t>
  </si>
  <si>
    <t>Early detection of pulmonary arterial hypertension in systemic sclerosis -: A French nationwide prospective multicenter study</t>
  </si>
  <si>
    <t>Hachulla, E; Gressin, V; Guillevin, L; Carpentier, P; Diot, E; Sibilia, J; Kahan, A; Cabane, J; Francès, C; Launay, D; Mouthon, L; Allanore, Y; Tiev, KP; Clerson, P; de Groote, P; Humbert, M</t>
  </si>
  <si>
    <t>WOS:000234635100017</t>
  </si>
  <si>
    <t>002TT</t>
  </si>
  <si>
    <t>10.1183/09031936.06.00054105</t>
  </si>
  <si>
    <t>Assistance Publique Hopitaux Paris (APHP); Hopital Universitaire Antoine-Beclere - APHP; Universite Paris Saclay; Assistance Publique Hopitaux Paris (APHP); Hopital Universitaire Antoine-Beclere - APHP; Universite Paris Saclay; Assistance Publique Hopitaux Paris (APHP); Hopital Universitaire Antoine-Beclere - APHP; Universite Paris Saclay</t>
  </si>
  <si>
    <t>Univ Paris Sud, Hop Antoine Beclere, Ctr Malad Vasc Pulm, Serv Pneumol, Clamart, France; Univ Paris Sud, Hop Antoine Beclere, Serv Radiol, Clamart, France; Univ Paris Sud, Hop Antoine Beclere, Serv Anat Pathol, Unite Propre Rech Enseignement Super EA 2705, Clamart, France</t>
  </si>
  <si>
    <t>Pulmonary veno-occlusive disease (PVOD) is a rare cause of pulmonary arterial hypertension that affects predominantly post-capillary pulmonary vessels. A major concern with PVOD is the poor response to available therapies and the risk of pulmonary oedema with continuous intravenous epoprostenol. The present authors hypothesised that alveolar haemorrhage may be a characteristic feature of pulmonary veno-occlusive disease, as compared with other forms of pulmonary arterial hypertension that predominantly involve pre-capillary pulmonary arteries. This paper reports a series of 19 patients with either PVOD (n=8) or idiopathic pulmonary arterial hypertension (IPAH; n=11) who underwent bronchoalveolar lavage. Cytological analyses were performed and differential counts were made on Perls-stained preparations. The Golde score was used to assess alveolar haemorrhage. As compared with IPAH, PVOD was characterised by a higher percentage of haemosiderin-laden macrophages (40 +/- 37 versus 3 +/- 6%), resulting in elevated Golde scores (81 +/- 88 versus 4 +/- 10). It was concluded that occult alveolar haemorrhage is a common feature of pulmonary veno-occlusive disease. Detecting occult alveolar haemorrhage may be of interest in the diagnostic approach of pulmonary veno-occlusive disease.</t>
  </si>
  <si>
    <t>VENO-OCCLUSIVE DISEASE; ARTERIAL-HYPERTENSION; NITRIC-OXIDE; MACROPHAGES; THERAPY; COCAINE; CHEMOTHERAPY; CAPILLARIES; MARIJUANA; SMOKERS</t>
  </si>
  <si>
    <t>alveolar haemorrhage; bronchoalveolar lavage; pulmonary arterial hypertension; pulmonary veno-occlusive disease</t>
  </si>
  <si>
    <t>Occult alveolar haemorrhage in pulmonary veno-occlusive disease</t>
  </si>
  <si>
    <t>Rabillier, A; Jaïs, X; Hamid, A; Resten, A; Parent, F; Haque, R; Capron, F; Sitbon, O; Simonneau, G; Humbert, M</t>
  </si>
  <si>
    <t>WOS:000234525200018</t>
  </si>
  <si>
    <t>001HW</t>
  </si>
  <si>
    <t>10.1053/j.gastro.2005.10.013</t>
  </si>
  <si>
    <t>Gastroenterology</t>
  </si>
  <si>
    <t>GASTROENTEROLOGY</t>
  </si>
  <si>
    <t>1528-0012</t>
  </si>
  <si>
    <t>0016-5085</t>
  </si>
  <si>
    <t>Hop Antoine Beclere, Serv Pneumol, Ctr Maladies Vasc Pulm, UPRES EA 2705, 157 Rue Porte Trivaux, F-92140 Clamart, France.</t>
  </si>
  <si>
    <t>Assistance Publique Hopitaux Paris (APHP); Hopital Universitaire Antoine-Beclere - APHP; Hopital Marie Lannelongue; Institut National de la Sante et de la Recherche Medicale (Inserm); Universite Paris Cite; Assistance Publique Hopitaux Paris (APHP); Hopital Universitaire Beaujon - APHP</t>
  </si>
  <si>
    <t>Hop Antoine Beclere, Serv Pneumol, Ctr Maladies Vasc Pulm, UPRES EA 2705, F-92140 Clamart, France; Ctr Chirurg Marie Lannelongue, Le Plessis Robinson, France; Hop Beaujon, INSERM, Lab Hemodynam Splanch &amp; Biol Vasc, Unite 481, Clichy, France</t>
  </si>
  <si>
    <t>Background &amp; Aims: It has been suggested that beta-blockers might be harmful in pulmonary arterial hypertension. However, no study has evaluated the effect of beta-blockers in these patients. The aim of this study was to investigate the effect of beta-blockers on exercise capacity and pulmonary hemodynamics in patients with portopulmonary hypertension receiving beta-blockers for the prophylaxis of variceal bleeding. Methods: Ten consecutive patients with moderate to severe portopulmonary hypertension (mean pulmonary artery pressure of 52 [10] mm Hg) underwent a 6-minute walk test and a right heart catheterization at baseline and 2 (1) months after beta-blocker withdrawal. Results: Following beta-blocker withdrawal, 9 of :10 patients increased their 6-minute walked distance with a mean increase in the whole group of 79 (78) meters (P =.01). Cardiac output increased by 28% (P &lt;.01) with no change in mean pulmonary artery pressure, resulting in a 19% decrease in pulmonary vascular resistance (P &lt;.01). Increases in cardiac output were related to a 25% increase in heart rate (P &lt;.01), whereas stroke volume was unchanged (P =.65). The improvements in exercise tolerance were associated with increases in chronotropic response (maximal heart rate minus resting heart rate) from 18 (9) to 34 (12) beats/min (P &lt;.01) during the 6-minute walk test. Conclusions: In patients with moderate to severe portopulmonary hypertension, beta-blockers are associated with significant worsening in exercise capacity and pulmonary hemodynamics. These deleterious effects support the contraindication of beta-blockers in patients with portopulmonary hypertension.</t>
  </si>
  <si>
    <t>PRIMARY PULMONARY-HYPERTENSION; PREVENTION; THERAPY</t>
  </si>
  <si>
    <t>Deleterious effects of β-blockers on exercise capacity and hemodynamics in patients with portopulmonary hypertension</t>
  </si>
  <si>
    <t>Provencher, S; Herve, P; Jais, X; Lebrec, D; Humbert, M; Simonneau, G; Sitbon, O</t>
  </si>
  <si>
    <t>WOS:000234635100018</t>
  </si>
  <si>
    <t>10.1183/09031936.06.00042705</t>
  </si>
  <si>
    <t>Humbert, Marc/0000-0003-0703-2892; CHEMLA, Denis/0000-0001-7479-9896; SITBON, Olivier/0000-0002-1942-1951</t>
  </si>
  <si>
    <t>Univ Paris 11, Hop Antoine Beclere, APHP,Ctr Malad Vasc Pulm,UPRES EA 2705, Serv Pneumol &amp; Reanimat Resp, 157 Rue Porte Trivaux, F-92140 Clamart, France.</t>
  </si>
  <si>
    <t>Assistance Publique Hopitaux Paris (APHP); Hopital Universitaire Ambroise-Pare - APHP; Universite Paris Saclay; Hopital Universitaire Antoine-Beclere - APHP; Assistance Publique Hopitaux Paris (APHP); Hopital Universitaire Bicetre - APHP; Hopital Marie Lannelongue</t>
  </si>
  <si>
    <t>Univ Paris 11, Hop Antoine Beclere, APHP,Ctr Malad Vasc Pulm,UPRES EA 2705, Serv Pneumol &amp; Reanimat Resp, F-92140 Clamart, France; CHU Bicetre, Serv Physiol, Le Kremlin Bicetre, France; Ctr Chirurg Marie Lannelongue, Le Plessis Robinson, France</t>
  </si>
  <si>
    <t>Patients with pulmonary arterial hypertension (PAH) exhibit a limited increase in stroke volume on exercise, and the heart rate (HR) increases may reflect the main mechanism that allows cardiac output to increase. The current prospective study documented the contribution of HR to the 6-min walking distance (6MWD) in idiopathic (IPAH) and nonidiopathic PAH. Eighty-three patients (46 IPAH and 37 nonidiopathic PAH) underwent haemodynamic evaluation and a 6MWD test. Chronotropic response (peak walking HR minus resting HR) and peripheral oxygen saturation were monitored. Fifty-seven patients were also assessed after 5+/-2 months of treatment (bosentan n=38 epoprostenol n=14, bosentan-epoprostenol n=3, iloprost n=2). Before treatment, the 6MWD was related to numerous demographic, haemodynamic and walking test characteristics. Stepwise regression analysis indicated that the only factors significantly associated with the 6MWD were stroke volume and chronotropic response in both IPAH and nonidiopathic PAH patients. Following treatment, changes in 6MWD were significantly related to changes in chronotropic response in both IPAH and nonidiopathic PAH. In conclusion, baseline stroke volume and chronotropic response were independently associated with the 6-min walking distance in pulmonary arterial hypertension. The lack of chronotropic response may reflect the loss in normal physiological reserve in more unwell patients.</t>
  </si>
  <si>
    <t>EXERCISE; DIAGNOSIS; EPOPROSTENOL; GUIDELINES; THERAPY; FAILURE</t>
  </si>
  <si>
    <t>exercise test; heart rate; pulmonary hypertension; stroke volume</t>
  </si>
  <si>
    <t>Heart rate responses during the 6-minute walk test in pulmonary arterial hypertension</t>
  </si>
  <si>
    <t>Provencher, S; Chemla, D; Hervé, P; Sitbon, O; Humbert, M; Simonneau, G</t>
  </si>
  <si>
    <t>WOS:000234423000015</t>
  </si>
  <si>
    <t>999WY</t>
  </si>
  <si>
    <t>SITBON, Olivier/0000-0002-1942-1951; Valeyre, dominique/0000-0003-4470-1776; Nunes, Hilario/0000-0003-2896-7347; Humbert, Marc/0000-0003-0703-2892</t>
  </si>
  <si>
    <t>hilario.nunes@avc.ap-hop-paris.fr</t>
  </si>
  <si>
    <t>Nunes, H (corresponding author), Univ Paris 13, Hop Avicenne, Assistance Publ Hop Paris,UPRES EA 2363, Serv Pneumol,Serv Radiol, 125 Rue Stalingrad, F-93009 Bobigny, France.</t>
  </si>
  <si>
    <t>Assistance Publique Hopitaux Paris (APHP); Universite Paris Cite; Hopital Universitaire Saint-Louis - APHP; Hopital Universitaire Avicenne - APHP; Universite Paris 13; Assistance Publique Hopitaux Paris (APHP); Hopital Universitaire Antoine-Beclere - APHP; Universite Paris Cite; Hopital Universitaire Saint-Louis - APHP; Universite Paris Saclay</t>
  </si>
  <si>
    <t>Univ Paris 13, Hop Avicenne, Assistance Publ Hop Paris,UPRES EA 2363, Serv Pneumol,Serv Radiol, F-93009 Bobigny, France; Univ Paris Sud, Hop Antoine Beclere,Assistance Publ Hop Paris, Ctr malad Vasc Pulm,UPRES EA 2705, Serv Pneumol &amp; Reanimat Resp,Serv Anat Pathol, Clamart, France</t>
  </si>
  <si>
    <t>Background: Pulmonary hypertension ( PH) is a rare complication of sarcoidosis, although it is not uncommon in advanced disease. Methods: A retrospective series of 22 sarcoidosis patients ( 16 men) of mean (SD) age 46 ( 13) years with PH was divided into two groups depending on the absence ( stage 0: n = 2, stage II: n = 4, stage III: n = 1) or presence ( n = 15) of radiographic pulmonary fibrosis at the time of PH diagnosis. Results: In both groups PH was moderate to severe and there was no response to acute vasodilator challenge. In non-fibrotic cases no other cause of PH was found, suggesting a specific sarcoidosis vasculopathy, although no histological specimens were available. In cases with fibrosis there was no correlation between haemodynamics and lung volumes or arterial oxygen tensions, suggesting other mechanisms for PH in addition to pulmonary destruction and hypoxaemia. These included extrinsic arterial compression by lymphadenopathies in three cases and histologically proven pulmonary veno-occlusive disease in the five patients who underwent lung transplantation. Ten patients received high doses of oral prednisone for PH ( stage 0: n = 1, stage II: n = 4 and stage IV: n = 5); three patients without pulmonary fibrosis experienced a sustained haemodynamic response. Survival of the overall population was poor (59% at 5 years). Mortality was associated with NYHA functional class IV but not with haemodynamic parameters or with lung function. Conclusion: Two very different phenotypes of sarcoidosis combined with PH are observed depending on the presence or absence of pulmonary fibrosis. PH is a severe complication of sarcoidosis.</t>
  </si>
  <si>
    <t>VENOOCCLUSIVE DISEASE; LUNG FIBROSIS; CT; SECONDARY; STENOSIS; SERIES; RARE</t>
  </si>
  <si>
    <t>Pulmonary hypertension associated with sarcoidosis: mechanisms, haemodynamics and prognosis</t>
  </si>
  <si>
    <t>Nunes, H; Humbert, M; Capron, F; Brauner, M; Sitbon, O; Battesti, JP; Simonneau, G; Valeyre, D</t>
  </si>
  <si>
    <t>WOS:000240985200040</t>
  </si>
  <si>
    <t>090WT</t>
  </si>
  <si>
    <t>10.1186/ar1994</t>
  </si>
  <si>
    <t>R114</t>
  </si>
  <si>
    <t>Arthritis Res. Ther.</t>
  </si>
  <si>
    <t>ARTHRITIS RES THER</t>
  </si>
  <si>
    <t>1478-6362</t>
  </si>
  <si>
    <t>1478-6354</t>
  </si>
  <si>
    <t>236 GRAYS INN RD, FLOOR 6, LONDON WC1X 8HL, ENGLAND</t>
  </si>
  <si>
    <t>BIOMED CENTRAL LTD</t>
  </si>
  <si>
    <t>Godot, Veronique/0000-0003-3557-308X; Baron, Gabriel/0000-0003-4893-2926; Breban, Maxime/0000-0002-6932-9395; Humbert, Marc/0000-0003-0703-2892; berenbaum, francis/0000-0001-8252-7815; Puechal, Xavier/0000-0003-3573-9203; DAUTZENBERG, Bertrand/0000-0001-6937-8907</t>
  </si>
  <si>
    <t>Mariette, Xavier/GYU-8073-2022; Berenbaum, Francis/AAO-5690-2020; Salmon, Didier/M-5670-2013; Godot, Veronique/A-7863-2015; Breban, Maxime/F-4772-2019; Humbert, Marc/AAC-8459-2019; Puechal, Xavier/P-1555-2017; DAUTZENBERG, Bertrand/F-4104-2017</t>
  </si>
  <si>
    <t>emilie@ipsc.u-psud.fr</t>
  </si>
  <si>
    <t>Emilie, D (corresponding author), Univ Paris Sud, INSERM, Serv Hepatogastroenterol,U764,UMR S764, Hop Antoine Beclere,AP HP,Inst Paris Sud Cytokine, 32 Rue Carnets, F-92140 Clamart, France.</t>
  </si>
  <si>
    <t>Universite Paris Saclay; Assistance Publique Hopitaux Paris (APHP); Hopital Universitaire Antoine-Beclere - APHP; Institut National de la Sante et de la Recherche Medicale (Inserm); Institut National de la Sante et de la Recherche Medicale (Inserm); Universite Paris Saclay; Assistance Publique Hopitaux Paris (APHP); Hopital Universitaire Antoine-Beclere - APHP; Assistance Publique Hopitaux Paris (APHP); Hopital Universitaire Antoine-Beclere - APHP; Universite Paris Saclay; Institut National de la Sante et de la Recherche Medicale (Inserm); Hopital Universitaire Bicetre - APHP; Statens Serum Institut; Assistance Publique Hopitaux Paris (APHP); Hopital Universitaire Antoine-Beclere - APHP; Universite Paris Saclay; Universite Paris Cite; Institut National de la Sante et de la Recherche Medicale (Inserm); Assistance Publique Hopitaux Paris (APHP); Assistance Publique Hopitaux Paris (APHP); Universite Paris Cite; Hopital Universitaire Saint-Louis - APHP; Centre Hospitalier Le Mans; Assistance Publique Hopitaux Paris (APHP); Hopital Universitaire Ambroise-Pare - APHP; Assistance Publique Hopitaux Paris (APHP); Sorbonne Universite; Hopital Universitaire Saint-Antoine - APHP; Assistance Publique Hopitaux Paris (APHP); Universite Paris-Est-Creteil-Val-de-Marne (UPEC); Hopital Universitaire Henri-Mondor - APHP; Universite de Lille; CHU Lille; Assistance Publique Hopitaux Paris (APHP); Hopital Universitaire Pitie-Salpetriere - APHP; Sorbonne Universite; Assistance Publique Hopitaux Paris (APHP); Universite Paris Cite; Hopital Universitaire Cochin - APHP; Assistance Publique Hopitaux Paris (APHP); Hopital Universitaire Antoine-Beclere - APHP; Universite Paris Saclay</t>
  </si>
  <si>
    <t>Univ Paris Sud, INSERM, Serv Hepatogastroenterol,U764,UMR S764, Hop Antoine Beclere,AP HP,Inst Paris Sud Cytokine, F-92140 Clamart, France; Univ Paris Sud, INSERM, Serv Microbiol Immunol Biol,U764,UMR S764, Hop Antoine Beclere,AP HP,Inst Paris Sud Cytokine, F-92140 Clamart, France; Univ Paris Sud, INSERM, Serv Rhumatol, Hop Bicetre,AP HP, F-94275 Le Kremlin Bicetre, France; Statens Serum Inst, Dept Infect Dis &amp; Immunol, DK-2300 Copenhagen, Denmark; Univ Paris Sud, Serv Pneumol, Hop Antoine Beclere, AP HP, F-92140 Clamart, France; Univ Paris 07, INSERM, Dept Epidemiol,AP HP,U738, Biostat &amp; Rech Clin,Grp Hosp Bichat Claude Bernar, F-75018 Paris, France; Hop St Louis, Serv Gastroenterol, AP HP, F-75475 Paris, France; Ctr Hosp Mans, Serv Rhumatol, F-72037 Le Mans, France; Hop Ambroise Pare, Serv Rhumatol, AP HP, F-92100 Boulogne, France; Hop St Antoine, Serv Rhumatol, AP HP, F-75012 Paris, France; Hop Henri Mondor, Serv Gastroenterol, AP HP, F-94400 Creteil, France; Ctr Hosp Reg &amp; Univ Lille, Hop Huriez, Serv Rhumatol, F-59037 Lille, France; Hop La Pitie Salpetriere, Serv Pneumol, AP HP, F-75013 Paris, France; Hop Cochin, Serv Med Interne &amp; Malad Infect, F-75014 Paris, France; Univ Paris Sud, Serv Microbiol Immunol Biol, Hop Antoine Beclere, AP HP, F-92140 Clamart, France</t>
  </si>
  <si>
    <t>Reactivation of latent Mycobacterium tuberculosis (Mtb) infection is a major complication of anti-tumour necrosis factor (TNF)-alpha treatment, but its mechanism is not fully understood. We evaluated the effect of the TNF antagonists infliximab (Ifx), adalimumab (Ada) and etanercept (Eta) on anti-mycobacterial immune responses in two conditions: with ex vivo studies from patients treated with TNF antagonists and with the in vitro addition of TNF antagonists to cells stimulated with mycobacterial antigens. In both cases, we analysed the response of CD4(+) T lymphocytes to purified protein derivative (PPD) and to culture filtrate protein (CFP)-10, an antigen restricted to Mtb. The tests performed were lymphoproliferation and immediate production of interferon (IFN)-gamma. In the 68 patients with inflammatory diseases (rheumatoid arthritis, spondylarthropathy or Crohn's disease), including 31 patients with a previous or latent tuberculosis (TB), 14 weeks of anti-TNF-alpha treatment had no effect on the proliferation of CD4(+) T lymphocytes. In contrast, the number of IFN-gamma-releasing CD4(+) T lymphocytes decreased for PPD (p &lt; 0.005) and CFP-10 (p &lt; 0.01) in patients with previous TB and for PPD (p &lt; 0.05) in other patients ( all vaccinated with Bacille Calmette-Guerin). Treatments with Ifx and with Eta affected IFN-gamma release to a similar extent. In vitro addition of TNF antagonists to CD4(+) T lymphocytes stimulated with mycobacterial antigens inhibited their proliferation and their expression of membrane-bound TNF (mTNF). These effects occurred late in cultures, suggesting a direct effect of TNF antagonists on activated mTNF(+) CD4(+) T lymphocytes, and Ifx and Ada were more efficient than Eta. Therefore, TNF antagonists have a dual action on anti-mycobacterial CD4(+) T lymphocytes. Administered in vivo, they decrease the frequency of the subpopulation of memory CD4+ T lymphocytes rapidly releasing IFN-gamma upon challenge with mycobacterial antigens. Added in vitro, they inhibit the activation of CD4+ T lymphocytes by mycobacterial antigens. Such a dual effect may explain the increased incidence of TB in patients treated with TNF antagonists as well as possible differences between TNF antagonists for the incidence and the clinical presentation of TB reactivation.</t>
  </si>
  <si>
    <t>MYCOBACTERIUM-TUBERCULOSIS INFECTION; INFLIXIMAB INDUCES APOPTOSIS; RHEUMATOID-ARTHRITIS; FACTOR-ALPHA; CROHNS-DISEASE; TNF-ALPHA; TRANSMEMBRANE TNF; CONTROLLED-TRIAL; ANKYLOSING-SPONDYLITIS; GRANULOMA-FORMATION</t>
  </si>
  <si>
    <t>ARTHRITIS RESEARCH &amp; THERAPY</t>
  </si>
  <si>
    <t>Inhibition of anti-tuberculosis T-lymphocyte function with tumour necrosis factor antagonists</t>
  </si>
  <si>
    <t>RATIO Study Grp</t>
  </si>
  <si>
    <t>Hamdi, Haifa; Mariette, Xavier; Godot, Veronique; Weldingh, Karin; Hamid, Abdul Monem; Prejean, Maria-Victoria; Baron, Gabriel; Lemann, Marc; Puechal, Xavier; Breban, Maxime; Berenbaum, Francis; Delchier, Jean-Charles; Flipo, Rene-Marc; Dautzenberg, Bertrand; Salmon, Dominique; Humbert, Marc; Emilie, Dominique</t>
  </si>
  <si>
    <t>Hamdi, H; Mariette, X; Godot, V; Weldingh, K; Hamid, AM; Prejean, MV; Baron, G; Lemann, M; Puechal, X; Breban, M; Berenbaum, F; Delchier, JC; Flipo, RM; Dautzenberg, B; Salmon, D; Humbert, M; Emilie, D</t>
  </si>
  <si>
    <t>WOS:000233656400001</t>
  </si>
  <si>
    <t>989ET</t>
  </si>
  <si>
    <t>10.1111/j.1398-9995.2006.01020.x</t>
  </si>
  <si>
    <t>Humbert, Marc/0000-0003-0703-2892; Simon, Hans-Uwe/0000-0002-9404-7736</t>
  </si>
  <si>
    <t>Simon, Hans-Uwe/AAU-7410-2020; Bieber, Thomas/AFM-9906-2022; Bousquet, Jean/O-4221-2019; Fokkens, Wytske/ABF-2185-2020; Humbert, Marc/AAC-8459-2019</t>
  </si>
  <si>
    <t>CHU Montpellier, Hop Arnaud Villeneuve, Clin Malad Resp, F-34295 Montpellier, France.</t>
  </si>
  <si>
    <t>Universite de Montpellier; CHU de Montpellier</t>
  </si>
  <si>
    <t>CHU Montpellier, Hop Arnaud Villeneuve, Clin Malad Resp, F-34295 Montpellier, France</t>
  </si>
  <si>
    <t>FOOD CHALLENGES; POSITION PAPER; ASTHMA; IMMUNOTHERAPY; EOSINOPHILS; ATOPY</t>
  </si>
  <si>
    <t>Themes in allergy</t>
  </si>
  <si>
    <t>Bousquet, J; Bieber, T; Fokkens, W; Humbert, M; Kowalski, M; Niggemann, B; Simon, HU</t>
  </si>
  <si>
    <t>WOS:000234985500036</t>
  </si>
  <si>
    <t>007QX</t>
  </si>
  <si>
    <t>10.1097/00000542-200602000-00038</t>
  </si>
  <si>
    <t>530 WALNUT ST, PHILADELPHIA, PA 19106-3261 USA</t>
  </si>
  <si>
    <t>Humbert, Marc/0000-0003-0703-2892; MERCIER, Frederic/0000-0002-1289-2849</t>
  </si>
  <si>
    <t>MERCIER, Frederic/HWQ-3001-2023; Humbert, Marc/AAC-8459-2019</t>
  </si>
  <si>
    <t>frederic.mercier@abc.ap-hop-paris.fr</t>
  </si>
  <si>
    <t>Mercier, FJ (corresponding author), Hop Antoine Beclere, AP HP, Paris, France.</t>
  </si>
  <si>
    <t>Hop Antoine Beclere, AP HP, Paris, France</t>
  </si>
  <si>
    <t>ARTERIAL-HYPERTENSION; GUIDELINES; THERAPY</t>
  </si>
  <si>
    <t>Sildenafil for pulmonary hypertension in pregnancy? Reply</t>
  </si>
  <si>
    <t>Mercier, FJ; Bonnin, M; Humbert, M</t>
  </si>
  <si>
    <t>WOS:000235172400001</t>
  </si>
  <si>
    <t>010FN</t>
  </si>
  <si>
    <t>10.1002/humu.20285</t>
  </si>
  <si>
    <t>SITBON, Olivier/0000-0002-1942-1951; Galie, Nazzareno/0000-0003-4271-8670; Fijalkowska, Anna/0000-0002-2225-9684; Olschewski, Horst/0000-0002-2834-7466; Morrell, Nicholas/0000-0001-5700-9792; Abramowicz, Marc/0000-0003-0623-8768; Machado, Rajiv David/0000-0001-9247-0744; Seeger, Werner/0000-0003-1946-0894; Szewczyk, Grzegorz/0000-0003-4143-2777; Torbicki, Adam/0000-0003-3475-8832; James, Victoria/0000-0002-9926-2953; Humbert, Marc/0000-0003-0703-2892; Trembath, Richard/0000-0003-0550-3400</t>
  </si>
  <si>
    <t>Szewczyk, Grzegorz/AAW-4007-2021; Simonneau, Gerald/ABE-6614-2020; Olschewski, Horst/L-3547-2019; Eickelberg, Oliver/A-5461-2013; Machado, Rajiv David/AAD-7813-2019; Abramowicz, Marc/AAX-6419-2020; Sitbon, Olivier/I-3623-2019; Galie, Nazzareno/F-7004-2014; Fijalkowska, Anna/V-3994-2018; Humbert, Marc/AAC-8459-2019</t>
  </si>
  <si>
    <t>richard.trembath@genetics.kcl.ac.uk</t>
  </si>
  <si>
    <t>Kings Coll London, Dept Genet, Guys Campus, London WC2R 2LS, England.</t>
  </si>
  <si>
    <t>University of London; King's College London; University of Leicester; University of Leicester; Ruprecht Karls University Heidelberg; Ruprecht Karls University Heidelberg; Justus Liebig University Giessen; Medical University of Graz; Utah System of Higher Education; University of Utah; Medical University of Warsaw; Universite Libre de Bruxelles; Universite Libre de Bruxelles; University of Bologna; National Cerebral &amp; Cardiovascular Center - Japan; National Cerebral &amp; Cardiovascular Center - Japan; Osaka University; National Cerebral &amp; Cardiovascular Center - Japan; Osaka University; Universite Paris Saclay; Assistance Publique Hopitaux Paris (APHP); Hopital Universitaire Antoine-Beclere - APHP; Assistance Publique Hopitaux Paris (APHP); Hopital Universitaire Pitie-Salpetriere - APHP; Sorbonne Universite; Cambridge University Hospitals NHS Foundation Trust; Addenbrooke's Hospital; University of Cambridge; University of London; King's College London</t>
  </si>
  <si>
    <t>Kings Coll London, Dept Genet, London WC2R 2LS, England; Univ Leicester, Dept Genet, Div Med Genet, Leicester LE1 7RH, Leics, England; Univ Leicester, Dept Cardiovasc Sci, Leicester LE1 7RH, Leics, England; Univ Hosp Heidelberg, Dept Cardiol &amp; Pneumol, Heidelberg, Germany; Heidelberg Univ, Inst Human Genet, Heidelberg, Germany; Univ Giessen, Dept Internal Med, Lung Ctr, D-6300 Giessen, Germany; Med Univ Graz, Div Pulm, Graz, Austria; Latter Day St Hosp, Salt Lake City, UT 84143 USA; Univ Utah, Salt Lake City, UT USA; Natl Res Inst TB &amp; Lund Dis, Dept Chest Med, Warsaw, Poland; Med Univ Warsaw, Dept Gen &amp; Expt Pathol, Warsaw, Poland; Univ Libre Bruxelles, Hop Erasme, Dept Med Genet, Brussels, Belgium; Univ Libre Bruxelles, Med Genet Lab, Brussels, Belgium; Univ Bologna, Ist Cardiol, Bologna, Italy; Natl Cardiovasc Ctr, Res Inst, Dept Biosci, Suita, Osaka 565, Japan; Natl Cardiovasc Ctr, Dept Internal Med, Osaka, Japan; Osaka Univ, Grad Sch Pharmaceut Sci, Natl Cardiovasc Ctr, Res Inst,Dept Biosci, Suita, Osaka, Japan; Osaka Univ, Grad Sch Pharmaceut Sci, Dept Mol Pathophysiol, Suita, Osaka, Japan; Univ Paris Sud, Hop Antoine Beclere, UPRESEA2705, Serv Pneumol, Clamart, France; GH Pitie Salpetriere, Dept Genet, Lab Oncogenet &amp; Angiogenet Mol, Paris, France; Univ Cambridge, Addenbrookes Hosp, Dept Med, Resp Med Unit, Cambridge CB2 2QQ, England; Kings Coll London, Dept Mol Med, London WC2R 2LS, England</t>
  </si>
  <si>
    <t>Pulmonary arterial hypertension (PAH) is clinically characterized by a sustained elevation in mean pulmonary artery pressure leading to significant morbidity and mortality. The disorder is typically sporadic, and in such cases the term idiopathic PAH (IPAH) is used. However, cases that occur within families (familial PAH (FPAH)) display similar clinical and histopathological features, suggesting a common etiology. Heterozygous mutations of a type II member of the TGF-beta cell signaling superfamily known as BMPR2 on chromosome 2q33 have been identified in many kindreds with FPAH, yet display both reduced penetrance and sex bias. This report presents the compilation of data for 144 distinct mutations that alter the coding sequence of the BMPR2 gene identified in 210 independent PAH subjects. This large data set characterizes the extent of sequence variation and reveals that the majority (71%) of mutations in FPAH and IPAH comprise nonsense, frameshift, and splice,site defects, and gene rearrangements. These predict premature termination of the transcript with likely loss through the process of nonsense-mediated decay (NMD). A total of 44 missense mutations were identified that substitute amino acid residues at highly conserved sites within recognized functional domains of the mature receptor. We assess this category of mutations in the context of their heterogeneous effects on cell signaling when assayed by in vitro cell,based systems. Disease-causing mutation hot-spots within BMPR2 are summarized. Taken together, these observations are likely to aid in the development of targeted mutation detection strategies relevant for patient management. Finally, we examine the age. and sex dependent reduced penetrance of BMPR2 mutations by reviewing bmpr2 animal models and the requirement for additional genetic and/or environmental modifiers of disease. In conclusion, these data provide compelling genetic evidence that haploinsufficiency is the predominant molecular mechanism underlying disease predisposition, and support the concept of a critical threshold of signaling activity below which disease may be precipitated.</t>
  </si>
  <si>
    <t>MORPHOGENETIC PROTEIN-RECEPTOR; HEREDITARY HEMORRHAGIC TELANGIECTASIA; GERMLINE MUTATIONS; SIGNAL-TRANSDUCTION; FUNCTIONAL-ANALYSIS; SMOOTH-MUSCLE; GENE; DISEASE; GROWTH; KINASE</t>
  </si>
  <si>
    <t>BMPR2; pulmonary arterial hypertension; reduced penetrance; modifier genes</t>
  </si>
  <si>
    <t>Mutations of the TGF-β type II receptor BMPR2 in pulmonary arterial hypertension</t>
  </si>
  <si>
    <t>Machado, RD; Aldred, MA; James, V; Harrison, RE; Patel, B; Schwalbe, EC; Gruenig, E; Janssen, B; Koehler, R; Seeger, W; Eickelberg, O; Olschewski, H; Elliott, CG; Glissmeyer, E; Carlquist, J; Kim, M; Torbicki, A; Fijalkowska, A; Szewczyk, G; Parma, J; Abramowicz, MJ; Galie, N; Morisaki, H; Kyotani, S; Nakanishi, N; Morisaki, T; Humbert, M; Simonneau, G; Sitbon, O; Soubrier, F; Coulet, F; Morrell, NW; Trembath, RC</t>
  </si>
  <si>
    <t>WOS:000203407400093</t>
  </si>
  <si>
    <t>V50KO</t>
  </si>
  <si>
    <t>S76</t>
  </si>
  <si>
    <t>S75</t>
  </si>
  <si>
    <t>Rigshospitalet; University of Copenhagen; Copenhagen University Hospital; University of Sheffield; Hannover Medical School; Actelion Pharmaceuticals Ltd; Assistance Publique Hopitaux Paris (APHP); Hopital Universitaire Antoine-Beclere - APHP</t>
  </si>
  <si>
    <t>[Carisen, J.] Rigshosp, Dept Med, DK-2100 Copenhagen, Denmark; [Kiely, D. G.] Royal Hallamshire Hosp, Dept Resp Med, Sheffield S10 2JF, S Yorkshire, England; [Hoeper, M. M.] Hannover Med Sch, Dept Resp Med, D-3000 Hannover, Germany; [Segal, E.] Actel Pharmaceut, Global Drug Safety Dept, Allschwil, Switzerland; [Humbert, M.] Hosp Antoine Beclere, Serv Pneumol, Clamart, France</t>
  </si>
  <si>
    <t>Combination of bosentan with prostanoids or sildenafil in pulmonary arterial hypertension was well tolerated: Results from the TRAX database</t>
  </si>
  <si>
    <t>Carisen, J.; Kiely, D. G.; Hoeper, M. M.; Segal, E.; Humbert, M.</t>
  </si>
  <si>
    <t>Carisen, J; Kiely, DG; Hoeper, MM; Segal, E; Humbert, M</t>
  </si>
  <si>
    <t>WOS:000209426100004</t>
  </si>
  <si>
    <t>V39QS</t>
  </si>
  <si>
    <t>10.1002/humu.9398</t>
  </si>
  <si>
    <t>This study was supported by a Programme grant from the British Heart Foundation (BHF) to R.C.T. and N.W.M. (Ref: RG/2000012) and EU 5th framework grant Disposition to PPH (QLG1-CT-2002-01116). V.J. is supported by a BHF PhD studentship (Ref: FS/02/082/14741). We thank Professor PS Hasleton, Sheila Simpson, Jim Egan, David Smith, Rachel Harrison, Benjamin Sztrymf and Florence Coulet for their assistance in patient recruitment and Rajiv Machado for critical evaluation of the manuscript.</t>
  </si>
  <si>
    <t>British Heart Foundation (BHF)(British Heart Foundation); EU(European Union (EU)); BHF PhD studentship</t>
  </si>
  <si>
    <t>British Heart Foundation (BHF) [RG/2000012]; EU [QLG1-CT-2002-01116]; BHF PhD studentship [FS/02/082/14741]</t>
  </si>
  <si>
    <t>Galie, Nazzareno/0000-0003-4271-8670; Morrell, Nicholas/0000-0001-5700-9792; James, Victoria/0000-0002-9926-2953; Vijayakrishnan, Jayaram/0000-0002-8284-2249; Humbert, Marc/0000-0003-0703-2892; Trembath, Richard/0000-0003-0550-3400</t>
  </si>
  <si>
    <t>Cardoso, Paulo/C-5768-2012; Simonneau, Gerald/ABE-6614-2020; Galie, Nazzareno/F-7004-2014; Humbert, Marc/AAC-8459-2019</t>
  </si>
  <si>
    <t>Trembath, RC (corresponding author), Kings Coll London, Div Genet &amp; Mol Med, Guys Hosp, 8th Floor Guys Tower, London SE1 9RT, England.</t>
  </si>
  <si>
    <t>University of Leicester; University of Leicester; Sorbonne Universite; Assistance Publique Hopitaux Paris (APHP); Hopital Universitaire Pitie-Salpetriere - APHP; Hospital Universitario 12 de Octubre; Sahlgrenska University Hospital; University of Bologna; Newcastle Freeman Hospital; Newcastle University - UK; Assistance Publique Hopitaux Paris (APHP); Hopital Universitaire Antoine-Beclere - APHP; Universite Paris Saclay; University of Cambridge; Cambridge University Hospitals NHS Foundation Trust; Addenbrooke's Hospital; Papworth Hospital; University of Cambridge; University of London; King's College London</t>
  </si>
  <si>
    <t>[Aldred, Micheala A.; Vijayakrishnan, Jairam; James, Victoria; Trembath, Richard C.] Univ Leicester, Dept Genet, Div Med Genet, Leicester LE1 7RH, Leics, England; [Aldred, Micheala A.; Vijayakrishnan, Jairam; James, Victoria; Trembath, Richard C.] Univ Leicester, Dept Cardiovasc Sci, Div Med Genet, Leicester, Leics, England; [Soubrier, Florent] GHPitie Salpetriere, Lab Oncogenet &amp; Angiogenet Mol, Dept Genet, Paris, France; [Gomez-Sanchez, Miguel A.] Hosp Univ 12 Octubre, Serv Cardiol, Unidad Trasplante Cardiaco, Madrid, Spain; [Martensson, Gunnar] Sahlgrens Univ Hosp, Div Heart &amp; Lung Transplantat, Gothenburg, Sweden; [Galie, Nazzareno; Manes, Alessandra] Univ Bologna, Ist Cardiol, Bologna, Italy; [Corris, Paul] Freeman Rd Hosp, Dept Resp Med, Newcastle Upon Tyne NE7 7DN, Tyne &amp; Wear, England; [Simonneau, Gerald; Humbert, Marc] Univ Paris 11, Hop Antoine Beclere, Serv Pneumol, Clamart, France; [Morrell, Nicholas W.] Univ Cambridge, Addenbrookes Hosp, Sch Clin Med, Div Resp Med,Dept Med, Cambridge CB2 2QQ, England; [Morrell, Nicholas W.] Univ Cambridge, Sch Clin Med, Dept Med, Div Resp Med,Papworth Hosp, Cambridge, England; [Trembath, Richard C.] Kings Coll London, Div Genet &amp; Mol Med, London SE1 9RT, England</t>
  </si>
  <si>
    <t>Mutations of the BMPR2 gene predispose to pulmonary arterial hypertension (PAH), a serious, progressive disease of the pulmonary vascular system. However, despite the fact that most PAH families are consistent with linkage to the BMPR2 locus, sequencing only identifies mutations in some 55% of familial cases and between 10% and 40% of cases without a family history (idiopathic or IPAH). We therefore conducted a systematic analysis for larger gene rearrangements in panels of both familial and idiopathic PAH cases that were negative on sequencing of coding regions. Analysis of exon dosage across the entire gene using Multiplex Ligation-dependent Probe Amplification identified nine novel rearrangements and enabled full characterization at the exon level of previously reported deletions. Overall, BMPR2 rearrangements were identified in 7 of 58 families and 6 of 126 IPAH cases, suggesting that gross rearrangements underlie around 12% of all FPAH cases and 5% of IPAH. Importantly, two deletions encompassed all functional protein domains and are predicted to result in null mutations, providing the strongest support yet that the predominant molecular mechanism for disease predisposition is haploinsufficiency. Dosage analysis should now be considered an integral of part of the molecular work-up of PAH patients. (C) 2006 Wiley-Liss, Inc.</t>
  </si>
  <si>
    <t>BMPR2; deletion; MLPA; pulmonary arterial hypertension</t>
  </si>
  <si>
    <t>BMPR2 Gene Rearrangements Account for a Significant Proportion of Mutations in Familial and Idiopathic Pulmonary Arterial Hypertension</t>
  </si>
  <si>
    <t>Aldred, Micheala A.; Vijayakrishnan, Jairam; James, Victoria; Soubrier, Florent; Gomez-Sanchez, Miguel A.; Martensson, Gunnar; Galie, Nazzareno; Manes, Alessandra; Corris, Paul; Simonneau, Gerald; Humbert, Marc; Morrell, Nicholas W.; Trembath, Richard C.</t>
  </si>
  <si>
    <t>Aldred, MA; Vijayakrishnan, J; James, V; Soubrier, F; Gomez-Sanchez, MA; Martensson, G; Galie, N; Manes, A; Corris, P; Simonneau, G; Humbert, M; Morrell, NW; Trembath, RC</t>
  </si>
  <si>
    <t>WOS:000235605100017</t>
  </si>
  <si>
    <t>016FC</t>
  </si>
  <si>
    <t>10.1093/eurheartj/ehi728</t>
  </si>
  <si>
    <t>Univ Paris Sud, AP HP, Serv Pneumol &amp; Reanimat, Ctr Malad Vasc Pulm,UPRES EA 2705, 157 Rue Porte Trivaux, F-92140 Clamart, France.</t>
  </si>
  <si>
    <t>Univ Paris Sud, AP HP, Serv Pneumol &amp; Reanimat, Ctr Malad Vasc Pulm,UPRES EA 2705, F-92140 Clamart, France</t>
  </si>
  <si>
    <t>Aims Data on long-term efficacy of bosentan in unselected idiopathic pulmonary arterial hypertension (IPAH) patients are lacking. We aimed to describe the long-term outcome of consecutive IPAH patients treated first-line with bosentan. Methods and results A retrospective analysis of 103 consecutive New York Heart Association functional class III/IV IPAH patients treated with bosentan at our centre between November 1999 and May 2004 was performed. The 6-minute walk distance (6MWD) and haemodynamics were assessed at baseline and after 4 and 12 months. Mean follow-up was 24 +/- 15 months. At 4 months, significant improvements in exercise capacity and haemodynamics were observed and persisted up to 1 year. Overall survival estimates were 90 and 87% and event-free status (survival without transplantation, prostanoid initiation, or hospitalization for right heart failure) estimates were 61 and 44% at 1 and 2 years, respectively. Forty-five (44%) patients required prostanoid therapy during follow-up. The 6MWD and the right atrial pressure at baseline and the 6MWD, the increase in 6MWD, and the decrease in pulmonary resistance after 4 months of treatment were associated with long-term outcomes. Conclusion In our series of consecutive IPAH patients treated with bosentan, improvements in exercise capacity and haemodynamics were similar to those observed in previous randomized trials. However, on the basis of local criteria, many patients required the addition of prostanoid therapy during follow-up.</t>
  </si>
  <si>
    <t>ENDOTHELIN-RECEPTOR ANTAGONIST; SURVIVAL</t>
  </si>
  <si>
    <t>hypertension; pulmonary; endothelin receptor antagonist; prostacyclin; follow-up studies; walk tests</t>
  </si>
  <si>
    <t>Long-term outcome with first-line bosentan therapy in idiopathic pulmonary arterial hypertension</t>
  </si>
  <si>
    <t>Provencher, S; Sitbon, O; Humbert, M; Cabrol, S; Jaïs, X; Simonneau, G</t>
  </si>
  <si>
    <t>WOS:000236392500001</t>
  </si>
  <si>
    <t>027CY</t>
  </si>
  <si>
    <t>10.1111/j.1398-9995.2006.01127.x</t>
  </si>
  <si>
    <t>Universite Paris Saclay; Assistance Publique Hopitaux Paris (APHP); Hopital Universitaire Antoine-Beclere - APHP; Universite Paris Cite; Hopital Universitaire Saint-Louis - APHP; Institut National de la Sante et de la Recherche Medicale (Inserm)</t>
  </si>
  <si>
    <t>Univ Paris Sud, Hop Antoine Beclere,Assistance Publ Hop Paris, Serv Pneumol &amp; Reanimat Resp, INSERM,Inst Paris Sud Cytokines,U764, Clamart, France</t>
  </si>
  <si>
    <t>SEVERE PERSISTENT ASTHMA; OMALIZUMAB; THERAPY</t>
  </si>
  <si>
    <t>Asthma, a priority for the allergist</t>
  </si>
  <si>
    <t>WOS:000235747600007</t>
  </si>
  <si>
    <t>018EU</t>
  </si>
  <si>
    <t>10.1007/s00292-006-0822-5</t>
  </si>
  <si>
    <t>Pathologe</t>
  </si>
  <si>
    <t>PATHOLOGE</t>
  </si>
  <si>
    <t>1432-1963</t>
  </si>
  <si>
    <t>0172-8113</t>
  </si>
  <si>
    <t>Humbert, Marc/0000-0003-0703-2892; Dorfmuller, Peter/0000-0003-2499-6829</t>
  </si>
  <si>
    <t>dorfmuller_p@web.de</t>
  </si>
  <si>
    <t>Univ Paris 06, Grp Hosp Pitie Salpetriere, Serv Anat &amp; Cytol Pathol, 47-83 Blvd Hop, F-75651 Paris 13, France.</t>
  </si>
  <si>
    <t>Assistance Publique Hopitaux Paris (APHP); Hopital Universitaire Pitie-Salpetriere - APHP; Sorbonne Universite; Assistance Publique Hopitaux Paris (APHP); Hopital Universitaire Antoine-Beclere - APHP; Universite Paris Saclay</t>
  </si>
  <si>
    <t>Univ Paris 06, Grp Hosp Pitie Salpetriere, Serv Anat &amp; Cytol Pathol, F-75651 Paris 13, France; Univ Paris Sud, Hop Antoine Beclere, Serv Pneumol &amp; Reanimat Resp, Clamart, France</t>
  </si>
  <si>
    <t>Pulmonary arterial hypertension (PAH) is a term which has recently been redefined and includes idiopathic pulmonary arterial hypertension, familial pulmonary arterial hypertension PAH related to specific pathological conditions (e.g. connective tissue diseases), as well as PAH caused by veno-occlusive disease or capillary hemangiomatosis. The clinical manifestation seems to be related to a peculiar pathological anatomy involving small, muscular pulmonary arteries, capillaries and veins. In addition to common hypertrophy of the tunica media, other vascular compartments may also be affected by intimal thickening or adventitial fibrosis. Moreover, complex lesions, such as so called plexiform lesions and arteritis can be present in certain forms of the disease. While the recent identification of responsible gene mutations in subgroups of patients have shed some light on disease evolution, therapeutic strategies must currently rely on vasodilative and antimitogenic drugs acting on the intimal and medial level of the affected pulmonary vessels. The clinical outcome of patients suffering from PAH remains poor, underlining our need for a better comprehension of disease pathophysiology, and thus for the characterization of specific histomorphological patterns.</t>
  </si>
  <si>
    <t>pulmonary hypertension; pulmonary arterial hypertension (PAH); vasculopathy; veno-occlusive disease; capillary hemangiomatosis</t>
  </si>
  <si>
    <t>Update on the pathomorphological assessment of vasculopathies in pulmonary arterial hypertension</t>
  </si>
  <si>
    <t>Dorfmüller, P; Humbert, M; Capron, F</t>
  </si>
  <si>
    <t>WOS:000236530600015</t>
  </si>
  <si>
    <t>Green Published, Green Submitted</t>
  </si>
  <si>
    <t>029AQ</t>
  </si>
  <si>
    <t>10.1164/rccm.200509-1361OC</t>
  </si>
  <si>
    <t>PHS HHS(United States Department of Health &amp; Human ServicesUnited States Public Health Service)</t>
  </si>
  <si>
    <t>PHS HHS [P01 072058] Funding Source: Medline</t>
  </si>
  <si>
    <t>Loyd, James/0000-0002-5042-7390; Cogan, Joy/0000-0001-8106-1216; Humbert, Marc/0000-0003-0703-2892</t>
  </si>
  <si>
    <t>Byrne, Daniel/GRE-6302-2022; Simonneau, Gerald/ABE-6614-2020; Robbins, Ivan/MBH-7238-2025; Humbert, Marc/AAC-8459-2019</t>
  </si>
  <si>
    <t>elisabeth.willers@vanderbilt.edu</t>
  </si>
  <si>
    <t>Willers, ED (corresponding author), Vanderbilt Univ, Med Ctr, Div Allergy Pulm &amp; Crit Care Med, Dept Med,Sch Med, Med Ctr N T-1218, Nashville, TN 37232 USA.</t>
  </si>
  <si>
    <t>Vanderbilt University; Vanderbilt University; University of Wisconsin System; University of Wisconsin Madison; University Wisconsin Madison Hospital; Universite Paris Saclay; Columbia University</t>
  </si>
  <si>
    <t>Vanderbilt Univ, Med Ctr, Div Allergy Pulm &amp; Crit Care Med, Dept Med,Sch Med, Nashville, TN 37232 USA; Vanderbilt Univ, Div Genet, Dept Pediat, Sch Med, Nashville, TN 37232 USA; Univ Wisconsin Hosp &amp; Clin, Madison, WI 53792 USA; Univ Paris 11, Clamart, France; Columbia Univ Coll Phys &amp; Surg, New York, NY 10032 USA</t>
  </si>
  <si>
    <t>Rationale: Serotonin is a pulmonary vasoconstrictor and smooth muscle cell mitogen. The serotonin transporter (SERT) is abundant in pulmonary vascular smooth muscle. Compared with the short (S) allele, the long (L) SERT promoter allele is associated with increased SERT transcription and more severe pulmonary hypertension in a cohort of patients with chronic obstructive pulmonary disease, and was more prevalent in a cohort with idiopathic pulmonary arterial hypertension (IPAH), compared with control subjects. Objective: We hypothesized that the SERT L allele would associate with an earlier age at diagnosis and/or shorter survival interval in pulmonary arterial hypertension (PAH) than the S allele. Methods: SERT promoters from 166 familial PAH (FPAH), 83 IPAH, and 125 control subjects were sequenced. One hundred twenty-seven of the patients with FPAH had a known mutation in bone morphogenetic protein receptor 2 (BMPR2). Results: The mean age at diagnosis was 35.8 yr in patients with FPAH and 41.1 yr in patients with IPAH (p = 0.02). There were no significant differences in distribution of the LL, LS, or SS genotypes in IPAH, FPAH, or unaffected BMPR2 mutation carriers. In FPAH, the LL genotype was associated with an earlier age at diagnosis (p &lt; 0.02). Conclusions: In patients with IPAH, these SERT genotypes do not correlate with age at diagnosis or survival interval. In patients with FPAH, the LL genotype correlates with an earlier age at diagnosis than SIL or SS, although survival among the groups was similar. The correlation of the SERT promoter polymorphism with age at diagnosis in FPAH suggests a possible relationship between the SERT and BMPR2.</t>
  </si>
  <si>
    <t>SMOOTH-MUSCLE HYPERPLASIA; FUTURE-DIRECTIONS; GENE; DISEASE; RATS</t>
  </si>
  <si>
    <t>familial pulmonary arterial hypertension; 5-HT; 5-HTT; idiopathic pulmonary arterial hypertension; primary pulmonary hypertension; serotonin transporter</t>
  </si>
  <si>
    <t>Serotonin transporter polymorphisms in familial and idiopathic pulmonary arterial hypertension</t>
  </si>
  <si>
    <t>Willers, ED; Newman, JH; Loyd, JE; Robbins, IM; Wheeler, LA; Prince, MA; Stanton, KC; Cogan, JA; Runo, JR; Byrne, D; Humbert, M; Simonneau, G; Sztrymf, B; Morse, JA; Knowles, JA; Roberts, KE; McElroy, JJ; Barst, RJ; Phillips, JA</t>
  </si>
  <si>
    <t>WOS:000236865100010</t>
  </si>
  <si>
    <t>033QX</t>
  </si>
  <si>
    <t>10.1161/CIRCULATIONAHA.105.591321</t>
  </si>
  <si>
    <t>APR 18</t>
  </si>
  <si>
    <t>GUIGNABERT, Christophe/0000-0002-8545-4452; Humbert, Marc/0000-0003-0703-2892; SAURINI, Francoise/0000-0002-5107-2114</t>
  </si>
  <si>
    <t>hanoun, naima/M-6408-2014; Simonneau, Gerald/ABE-6614-2020; GUIGNABERT, Christophe/G-3873-2013; Humbert, Marc/AAC-8459-2019</t>
  </si>
  <si>
    <t>INSERM, U651, Fac Med, 8 Rue Gen Sarrail, F-94010 Creteil, France.</t>
  </si>
  <si>
    <t>INSERM, U651, Fac Med, F-94010 Creteil, France; Hop Henri Mondor, AP HP, Dept Physiol, F-94010 Creteil, France; UPMC, Fac Med Pitie Salpetriere, INSERM, UMR 677, Paris, France; Hop Antoine Beclere, Serv Pneumol, AP HP, Clamart, France; Hop Marie Lannelongue, Serv Chirurg Thorac Vasc &amp; Transplantat Cardiopul, UPRES EA 2705, F-92350 Le Plessis Robinson, France</t>
  </si>
  <si>
    <t>Background - The mechanism of pulmonary artery smooth muscle cell (PA-SMC) hyperplasia in idiopathic pulmonary artery hypertension (iPH) may involve both an inherent characteristic of PA-SMCs and abnormal control by external stimuli. We investigated the role of pulmonary microvascular endothelial cells (P-ECs) in controlling PA-SMC growth. Methods and Results - Serum-free medium of quiescent P-ECs elicited marked PA-SMC proliferation, and this effect was greater with P-ECs from patients with iPH than from control subjects and greater with PA-SMCs from these patients than from control subjects. Fluoxetine, which inhibits serotonin-induced mitogenesis by blocking the serotonin transporter, and p-chlorophenylalanine, which inhibits serotonin synthesis by blocking tryptophan hydroxylase (TPH), caused a similar 60% reduction in the growth-promoting effect of P-EC media, whereas endothelin receptor blockers had no effect. Assays of TPH activity in P-EC medium based on p-chlorophenylalanine - sensitive 5-hydroxytryptophan accumulation or serotonin determination indicated serotonin synthesis by P-ECs and an increase in this TPH-dependent process in iPH. Expression of the tph1 gene encoding the peripheral form of the TPH enzyme was increased in lungs and P-ECs from patients with iPH. Lung TPH1 immunostaining was confined to the pulmonary vessel intima. Conclusions - P-ECs produce paracrine factors governing PA-SMC growth. Serotonin, the main P-EC - derived growth factor, is overproduced in iPH and contributes to PA-SMC hyperplasia.</t>
  </si>
  <si>
    <t>ARTERY SMOOTH; EXPRESSION; LUNGS; CHLOROPHENYLALANINE; 5-HYDROXYTRYPTAMINE; TRANSPORTER; INDUCTION; SYNTHASE; RECEPTOR; DISEASE</t>
  </si>
  <si>
    <t>endothelial cells; hypertension, pulmonary; serotonin; tryptophan hydroxylase</t>
  </si>
  <si>
    <t>Cross talk between endothelial and smooth muscle cells in pulmonary hypertension - Critical role for serotonin-induced smooth muscle hyperplasia</t>
  </si>
  <si>
    <t>Eddahibi, S; Guignabert, C; Barlier-Mur, AM; Dewachter, L; Fadel, E; Dartevelle, P; Humbert, M; Simonneau, G; Hanoun, N; Saurini, F; Hamon, M; Adnot, S</t>
  </si>
  <si>
    <t>WOS:000237332400015</t>
  </si>
  <si>
    <t>039UI</t>
  </si>
  <si>
    <t>10.1164/rccm.200510-1668OC</t>
  </si>
  <si>
    <t>HACHULLA, ERIC/0000-0001-7432-847X; Humbert, Marc/0000-0003-0703-2892; SITBON, Olivier/0000-0002-1942-1951</t>
  </si>
  <si>
    <t>Sitbon, Olivier/I-3623-2019; Simonneau, Gerald/ABE-6614-2020; Chaouat, Ari/AAP-6784-2021; HACHULLA, ERIC/R-8488-2018; Reynaud-Gaubert, Martine/P-6958-2016; Humbert, Marc/AAC-8459-2019</t>
  </si>
  <si>
    <t>Univ Paris Sud, Assistance Publ Hop Paris, Hop Antoine Beclere,Ctr Natl Reference Hypertens, Serv Pneumol &amp; Reanimat Resp,UPRES EA 2705, 157 Rue Porte Trivaux, F-92140 Clamart, France.</t>
  </si>
  <si>
    <t>Assistance Publique Hopitaux Paris (APHP); Hopital Universitaire Antoine-Beclere - APHP; Universite Paris Cite; Hopital Universitaire Saint-Louis - APHP; Universite Paris Saclay; CHU Strasbourg; Universites de Strasbourg Etablissements Associes; Universite de Strasbourg; CHU Lyon; Aix-Marseille Universite; Assistance Publique-Hopitaux de Marseille; Aix-Marseille Universite; Assistance Publique-Hopitaux de Marseille; CHU de Nancy; CHU Bordeaux; CHU Grenoble Alpes; Nantes Universite; CHU de Nantes; Universite de Rennes; CHU Rennes; Universite de Lille; CHU Lille</t>
  </si>
  <si>
    <t>Univ Paris Sud, Assistance Publ Hop Paris, Hop Antoine Beclere, Ctr Malad Vasc Pulm,Serv Pneumol, Clamart, France; Hop Hautepierre, Serv Pneumol, Strasbourg, France; Hop Louis Pradel, Serv Pneumol, Lyon, France; Hop Enfants La Timone, Serv Cardiol, F-13385 Marseille, France; Hop St Marguerite, Serv Pneumol, Marseille, France; Actel Pharmaceut France, Paris, France; Hop Brabois, Serv Pneumol, Vandoeuvre Les Nancy, France; Hop Haut Levesque, Serv Chirurg Thorac, Bordeaux, France; Hop Michallon, Dept Med Aigue Specialisee, Grenoble, France; Hop Laennec, Serv Pneumol, Nantes, France; Hop Pontchaillou, Serv Cardiol, Rennes, France; Hop Claude Huriez, Serv Med Interne, Lille, France</t>
  </si>
  <si>
    <t>Rationale: Pulmonary arterial hypertension (PAH) is an orphan disease for which the trend is for management in designated centers with multidisciplinary teams working in a shared-care approach. Objective: To describe clinical and hemodynamic parameters and to provide estimates for the prevalence of patients diagnosed for PAH according to a standardized definition. Methods: The registry was initiated in 17 university hospitals following at least five newly diagnosed patients per year. All consecutive adult (&gt;= 18 yr) patients seen between October 2002 and October 2003 were to be included. Main Results: A total of 674 patients (mean +/- SD age, 50 +/- 15 yr; range, 18-85 yr) were entered in the registry. Idiopathic, familial, anorexigen, connective tissue diseases, congenital heart diseases, portal hypertension, and HIV-associated PAH accounted for 39.2, 3.9, 9.5, 15.3, 11.3, 10.4, and 6.2% of the population, respectively. At diagnosis, 75% of patients were in New York Heart Association functional class III or IV. Six-minute walk test was 329 +/- 109 m. Mean pulmonary artery pressure, cardiac index, and pulmonary vascular resistance index were 55 +/- 15 mm Hg, 2.5 +/- 0.8 L/min/m(2), and 20.5 +/- 10.2 mm Hg/L/min/m(2), respectively. The low estimates of prevalence and incidence of PAH in France were 15.0 cases/million of adult inhabitants and 2.4 cases/million of adult inhabitants/yr. One-year survival was 88% in the incident cohort. Conclusions: This contemporary registry highlights current practice and shows that PAH is detected late in the course of the disease, with a majority of patients displaying severe functional and hemodynamic compromise.</t>
  </si>
  <si>
    <t>CALCIUM-CHANNEL BLOCKERS; SYSTEMIC-SCLEROSIS; PROGNOSTIC-FACTORS; 6-MINUTE WALK; SURVIVAL; THERAPY; DISEASE; RISK</t>
  </si>
  <si>
    <t>cardiopulmonary hemodynamics; prevalence; pulmonary arterial hypertension registry; six-minute walk test</t>
  </si>
  <si>
    <t>Pulmonary arterial hypertension in France - Results from a national registry</t>
  </si>
  <si>
    <t>Humbert, M; Sitbon, O; Chaouat, A; Bertocchi, M; Habib, G; Gressin, V; Yaici, A; Weitzenblum, E; Cordier, JFO; Chabot, F; Dromer, C; Pison, C; Reynaud-Gaubert, M; Haloun, A; Laurent, M; Hachulla, E; Simonneau, G</t>
  </si>
  <si>
    <t>WOS:000238310900004</t>
  </si>
  <si>
    <t>053ND</t>
  </si>
  <si>
    <t>10.1517/14656566.7.9.1133</t>
  </si>
  <si>
    <t>TELEPHONE HOUSE, 69-77 PAUL STREET, LONDON EC2A 4LQ, ENGLAND</t>
  </si>
  <si>
    <t>INFORMA HEALTHCARE</t>
  </si>
  <si>
    <t>JAIS, XAVIER/0000-0002-4104-7994; Humbert, Marc/0000-0003-0703-2892</t>
  </si>
  <si>
    <t>Pepke-Zaba, Joanna/AGW-3073-2022; Simonneau, Gerald/ABE-6614-2020; Humbert, Marc/AAC-8459-2019</t>
  </si>
  <si>
    <t>rodneyhughes@onetel.com</t>
  </si>
  <si>
    <t>Hughes, R (corresponding author), Papworth Hosp, Pulm Vasc Dis Unit, Cambridge CB3 8RE, Cambs, England.</t>
  </si>
  <si>
    <t>Papworth Hospital</t>
  </si>
  <si>
    <t>Papworth Hosp, Pulm Vasc Dis Unit, Cambridge CB3 8RE, Cambs, England</t>
  </si>
  <si>
    <t>Chronic thromboembolic pulmonary hypertension may occur in the context of incomplete lysis of acute pulmonary emboli, resulting in the obstruction of pulmonary blood flow, as well as progressive right ventricular dysfunction and failure. The treatment of choice for this condition is surgical removal of the obstructing material. However, in many patients, surgery is not possible due to either an unfavourable distribution of the disease, the development of a concurrent small vessel pulmonary arteriopathy, or the presence of significant comorbid conditions. There is increasing evidence that the medical therapies that are used in other forms of pulmonary hypertension may also be effective in inoperable chronic thromboembolic pulmonary hypertension. This article examines the rationale for the use of the oral dual endothelin receptor antagonist bosentan in this life-threatening condition.</t>
  </si>
  <si>
    <t>ENDOTHELIN-RECEPTOR ANTAGONIST; CHRONIC THROMBOTIC OBSTRUCTION; ARTERIAL-HYPERTENSION; INTRAVENOUS EPOPROSTENOL; FOLLOW-UP; THERAPY; EMBOLISM; THROMBOENDARTERECTOMY; ENDARTERECTOMY; SILDENAFIL</t>
  </si>
  <si>
    <t>bosentan; chronic thromboembolic pulmonary hypertension; pulmonary endarterectomy; pulmonary hypertension</t>
  </si>
  <si>
    <t>Current understanding of the role of bosentan in inoperable chronic thromboembolic pulmonary hypertension</t>
  </si>
  <si>
    <t>Hughes, Rodney; Jais, Xavier; Suntharalingam, Jay; Humbert, Marc; Parent, Florence; Simonneau, Gerald; Pepke-Zaba, Joanna</t>
  </si>
  <si>
    <t>Hughes, R; Jais, X; Suntharalingam, J; Humbert, M; Parent, F; Simonneau, G; Pepke-Zaba, J</t>
  </si>
  <si>
    <t>WOS:000239219300030</t>
  </si>
  <si>
    <t>066HC</t>
  </si>
  <si>
    <t>10.1378/chest.130.1.182</t>
  </si>
  <si>
    <t>Humbert, M (corresponding author), Hop Antoine Beclere, Serv Pneumol &amp; Reanimat, 157,Rue Porte Trivaux, F-92140 Clamart, France.</t>
  </si>
  <si>
    <t>Univ Paris Sud, Hop Antoine Beclere, Assistance Publ Hop Paris, Serv Pneumol &amp; Reanimat Resp,UPRESEA 2705,Ctr Nat, F-92140 Clamart, France</t>
  </si>
  <si>
    <t>Study objective: Immune and inflammatory mechanisms could play a significant role in pulmonary arterial hypertension (PAH) genesis or progression, especially in patients with connective tissue diseases. Inummosuppressive therapy should he better evaluated in this setting. Study design: Monocentric retrospective study. Patients: We reviewed the clinical and hemodynamic effects of immunosuppressants administered as first-line monotherapy to 28 consecutive patients with connective tissue disease-associated PAH. Interventions: All patients received a monthly IV bolus of cyclophosphamide, 600 mg/m(2), for at least 3 months, and 22 of 28 patients received systemic glucocorticosteroids. Responders to immunosuppressive therapy were defined as patients who remained in New York Heart Association (NYHA) functional class I or II with sustained hemodynamic improvement after at least 1 year of immunosuppressive therapy without addition of prostanoids, phosphodiesterase type 5 inhibitors, or endothelin receptor antagonists. Results: Eight of 28 patients (systemic lupus erythematosus [SLE], n = 5; mixed connective tissue disease [MCTD], n = 3) [29%] were responders. These patients had a significantly improved 6-min walking distance (available in five patients) and a significant improvement in hemodynamic function. No patients with systemic sclerosis responded, while 5 of 12 patients with SLE and 3 of 8 patients with MCTD did respond. Survival analysis indicated that responders had a better survival than nonresponders. Patients with a lower baseline NYHA functional class and better baseline pulmonary hemodynamics (p &lt; 0.05) were more likely to benefit from immunosuppressive therapy. Conclusion: PAH associated with SLE or MCTD might respond to a treatment combining glucocorticosteroids and cyclophosphamide.</t>
  </si>
  <si>
    <t>SYSTEMIC-LUPUS-ERYTHEMATOSUS; CONTINUOUS INTRAVENOUS EPOPROSTENOL; PLEXIFORM LESIONS; CONTROLLED-TRIAL; CYCLOPHOSPHAMIDE; SCLERODERMA; CLASSIFICATION; PATHOGENESIS; SURVIVAL; PATIENT</t>
  </si>
  <si>
    <t>connective tissue diseases; cyclophosphamide; immunosuppressive therapy; pulmonary hypertension</t>
  </si>
  <si>
    <t>Immunosuppressive therapy in connective tissue diseases-associated pulmonary arterial hypertension</t>
  </si>
  <si>
    <t>Sanchez, Olivier; Sitbon, Olivier; Jais, Xavier; Simonneau, Gerald; Humbert, Marc</t>
  </si>
  <si>
    <t>Sanchez, O; Sitbon, O; Jaïs, X; Simonneau, G; Humbert, M</t>
  </si>
  <si>
    <t>WOS:000239305500005</t>
  </si>
  <si>
    <t>067LZ</t>
  </si>
  <si>
    <t>10.1378/chest.130.1_suppl.29S</t>
  </si>
  <si>
    <t>40S</t>
  </si>
  <si>
    <t>29S</t>
  </si>
  <si>
    <t>marc.humbert@abc.aphp.frr</t>
  </si>
  <si>
    <t>Humbert, M (corresponding author), Univ Paris Sud, Hop Antoine Beclere, APHP, Serv Pneumol &amp; Reanimat Resp, 157 Rue Porte Trivaux, F-92140 Clamart, France.</t>
  </si>
  <si>
    <t>Assistance Publique Hopitaux Paris (APHP); Hopital Universitaire Antoine-Beclere - APHP; Universite Paris Saclay; Hopital Universitaire Ambroise-Pare - APHP</t>
  </si>
  <si>
    <t>Univ Paris Sud, Hop Antoine Beclere, APHP, Serv Pneumol &amp; Reanimat Resp, F-92140 Clamart, France</t>
  </si>
  <si>
    <t>Asthma is underdiagnosed and undertreated or inappropriately treated, even though approximately 300 million people worldwide currently have the disease. While asthma in most patients can be controlled using currently available medications, in practice this rarely happens. Despite the wide availability of treatment guidelines, there are clear discrepancies between recommendations and the reality of treatment. There is excessive use of relief medications, particularly among patients with moderate-to-severe persistent asthma, coupled with a marked underuse of inhaled corticosteroids (ICS). This underuse by patients is likely to be related to anxiety about side effects and a misunderstanding about asthma. Many patients overestimate their degree of control and have a perceived lack of need for medication. Early therapeutic intervention, with optimal antiinflammatory therapy and a stepwise approach, has a positive impact on long-term outcomes, achieving suppression of airway inflammation, prompt symptom control, and restoration of pulmonary function. Even at low doses, ICS rapidly improve clinical symptoms and measures of lung function, while their long-term use markedly reduces the frequency and severity of exacerbations and asthma mortality. Although ICS monotherapy achieves successful control of persistent asthma in a significant proportion of patients, add-on therapy with a long-acting beta(2)-agonist provides control for most patients with moderate-to-severe persistent asthma. Fixed combination inhalers (ICS plus a long-acting beta(2)-agonist) have become popular, but these have drawbacks and there is the potential for overuse. In conclusion, ICS are the cornerstone of therapy for persistent asthma of all degrees of severity in adults and children, and early therapeutic intervention is recommended for optimal long-term outcome.</t>
  </si>
  <si>
    <t>INHALED CORTICOSTEROIDS; AIRWAY INFLAMMATION; ASTHMA; SALMETEROL; BUDESONIDE; OMALIZUMAB; MANAGEMENT; DIAGNOSIS; MONTELUKAST; CHILDHOOD</t>
  </si>
  <si>
    <t>add-on therapy; asthma; early intervention; inhaled corticosteroids; management guidelines</t>
  </si>
  <si>
    <t>The right tools at the right time</t>
  </si>
  <si>
    <t>WOS:000239066500021</t>
  </si>
  <si>
    <t>064CJ</t>
  </si>
  <si>
    <t>10.1183/09031936.06.00135905</t>
  </si>
  <si>
    <t>Humbert, Marc/0000-0003-0703-2892; Lang, Irene/0000-0003-0485-2692; JAIS, XAVIER/0000-0002-4104-7994</t>
  </si>
  <si>
    <t>Simonneau, Gerald/ABE-6614-2020; Pepke-Zaba, Joanna/AGW-3073-2022; Humbert, Marc/AAC-8459-2019</t>
  </si>
  <si>
    <t>Hughes, RJ (corresponding author), Papworth Hosp, Pulm Vasc Dis Unit, Cambridge CB3 8RE, England.</t>
  </si>
  <si>
    <t>Papworth Hospital; Universite Paris Saclay; Assistance Publique Hopitaux Paris (APHP); Hopital Universitaire Antoine-Beclere - APHP; Medical University of Vienna</t>
  </si>
  <si>
    <t>Papworth Hosp, Pulm Vasc Dis Unit, Cambridge CB3 8RE, England; Univ Paris Sud, Antoine Beclere Hosp, Clamart, France; Med Univ Vienna, Dept Cardiol, Vienna, Austria</t>
  </si>
  <si>
    <t>The treatment of choice for chronic thromboembolic pulmonary hypertension (CTEPH) is pulmonary endarterectomy (PEA). However, many patients develop a severe progressive small vessel pulmonary arteriopathy that is inaccessible to surgical intervention and is associated with poor survival. The purpose of the present study was to evaluate the medium-term efficacy and safety of the dual endothelin receptor antagonist, bosentan, in inoperable CTEPH. Forty-seven patients with inoperable CTEPH (distal disease or persistent pulmonary hypertension following PEA) underwent evaluation after 1 yr of bosentan therapy. Outcomes included assessment of 6-min walk test (6MWT), haemodynamics and World Health Organization functional classification. Monitoring of serious adverse effects and changes in therapy was undertaken. Patients showed sustained improvements in 6MWT (49 +/- 8 m), functional classification, cardiac index (+0.2 +/- 0.07 L.min(-1).m(-2)) and total pulmonary resistance (-139 +/- 42 dyn.s.cm(-5)). Those patients with persisting pulmonary hypertension following PEA showed the greatest improvement. One-yr survival was 96%, and bosentan was well tolerated with only one patient developing deranged liver function. Although all patients with chronic thromboembolic pulmonary hypertension should be considered for pulmonary endarterectomy, bosentan provides an alternative medical therapy to improve function and delay the progression of this devastating disease in those in whom surgery is not suitable.</t>
  </si>
  <si>
    <t>ARTERIAL-HYPERTENSION; INTRAVENOUS EPOPROSTENOL; ILOPROST; THERAPY; THROMBOENDARTERECTOMY; ENDARTERECTOMY; OBSTRUCTION; SURVIVAL; EMBOLISM; MODEL</t>
  </si>
  <si>
    <t>bosentan; chronic thromboembolic pulmonary hypertension; endothelin; pulmonary hypertension; thromboembolic</t>
  </si>
  <si>
    <t>The efficacy of bosentan in inoperable chronic thromboembolic pulmonary hypertension: a 1-year follow-up study</t>
  </si>
  <si>
    <t>Hughes, R. J.; Jais, X.; Bonderman, D.; Suntharalingam, J.; Humbert, M.; Lang, I.; Simonneau, G.; Pepke-Zaba, J.</t>
  </si>
  <si>
    <t>Hughes, RJ; Jais, X; Bonderman, D; Suntharalingam, J; Humbert, M; Lang, I; Simonneau, G; Pepke-Zaba, J</t>
  </si>
  <si>
    <t>WOS:000238305000015</t>
  </si>
  <si>
    <t>053KW</t>
  </si>
  <si>
    <t>10.1111/j.1398-9995.2006.01065.x</t>
  </si>
  <si>
    <t>Humbert, Marc/0000-0003-0703-2892; AROCK, Michel/0000-0002-3990-4408</t>
  </si>
  <si>
    <t>Godot, Veronique/A-7863-2015; Humbert, Marc/AAC-8459-2019</t>
  </si>
  <si>
    <t>Godot, V (corresponding author), INSERM U131, 32 Rue Carnets, F-92140 Clamart, France.</t>
  </si>
  <si>
    <t>Institut National de la Sante et de la Recherche Medicale (Inserm); Universite Paris Saclay; Assistance Publique Hopitaux Paris (APHP); Hopital Universitaire Antoine-Beclere - APHP; Universite Paris Saclay; Centre National de la Recherche Scientifique (CNRS); CNRS - National Institute for Biology (INSB); Universite Paris Saclay; Institut National de la Sante et de la Recherche Medicale (Inserm)</t>
  </si>
  <si>
    <t>Univ Paris Sud 11, INSERM U764, Clamart, France; Hop Antoine Beclere, Serv Pneumol, AP HP, Clamart, France; Ecole Normale Super, CNRS, UMR 8113, Cachan, France; Univ Paris Sud 11, Fac Pharm, INSERM, UMRS 749, Chatenay Malabry, France</t>
  </si>
  <si>
    <t>Background: Glucocorticoids (GCs) decrease tissue mast cell (MC) number and prevent their activation via their high-affinity IgE receptor. Glucocorticoid-induced leucine zipper (GILZ) is one of the GC-induced genes, which inhibits the functions of the transcriptional activators AP-1 and NF-kappa B. GILZ appears to be a critical actor in the anti-inflammatory and immunosuppressive effects of GCs in human T lymphocytes, macrophages and dendritic cells. Aims of the study: We investigated whether GILZ was produced by human MCs and whether GILZ synthesis was stimulated by GCs. We also investigated whether GILZ production was modulated by (i) IL-10, because of its common immunosuppressive properties with GCs, (ii) histamine because of its pro-inflammatory properties and (iii) IL-4 and IL-5 because of their ability to favour MC survival and proliferation with SCF. Methods: The human MC lines HMC-1 5C6 and LAD-2, and cord blood-derived MCs (CB-MCs) were cultured alone or in the presence of GCs, IL-10, histamine, IL-4 or IL-5. The expression of GILZ was evaluated by using RT-PCR, Western blotting or immunocytochemistry. Results: We found that human MC lines and CB-MCs constitutively produce GILZ. We also show that GCs and IL-10 stimulate GILZ production by human MCs. Our present results indicate that histamine, IL-4 and IL-5 alone or in combination with SCF do not downregulate GILZ production by MCs. Conclusions: These results show that GCs and IL-10 stimulate GILZ production by human MCs. As GILZ mediates anti-inflammatory effects of GCs in immune cells, we speculate that GILZ could account for the deactivation of MCs by GCs and IL-10.</t>
  </si>
  <si>
    <t>FC-EPSILON-RI; T-LYMPHOCYTES; ACTIVATION; GILZ; MATURATION; INHIBITION; EXPRESSION</t>
  </si>
  <si>
    <t>GILZ; glucocorticoids; IL-10; mast cells</t>
  </si>
  <si>
    <t>Dexamethasone and IL-10 stimulate glucocorticoid-induced leucine zipper synthesis by human mast cells</t>
  </si>
  <si>
    <t>Godot, V.; Garcia, G.; Capel, F.; Arock, M.; Durand-Gasselin, I.; Asselin-Labat, M. L.; Emilie, D.; Humbert, M.</t>
  </si>
  <si>
    <t>Godot, V; Garcia, G; Capel, F; Arock, M; Durand-Gasselin, I; Asselin-Labat, ML; Emilie, D; Humbert, M</t>
  </si>
  <si>
    <t>WOS:000249372501519</t>
  </si>
  <si>
    <t>209ET</t>
  </si>
  <si>
    <t>University of London; University College London; University of London; University College London; University of London; University College London; UCL Medical School; Royal Free London NHS Foundation Trust; University of Sheffield; Rigshospitalet; University of Copenhagen; Copenhagen University Hospital; Actelion Pharmaceuticals Ltd; Assistance Publique Hopitaux Paris (APHP); Hopital Universitaire Antoine-Beclere - APHP</t>
  </si>
  <si>
    <t>Ctr Rheumatol, RFH, London, England; Ctr Rheumatol, London, England; Royal Free Hosp, Ctr Rheumatol, London NW3 2QG, England; Sch Med, Dept Resp Med, Hannover, Germany; Royal Hallamshire Hosp, Dept Resp Med, Sheffield, S Yorkshire, England; Rigshosp, Dept Cardiol, DK-2100 Copenhagen, Denmark; Actelion Pharmaceut, Global Drug Safety, Allschwil, Switzerland; Hop Antoine Beclere, Dept Resp Med, Clamart, France</t>
  </si>
  <si>
    <t>Amsterdam, NETHERLANDS</t>
  </si>
  <si>
    <t>JUN 21-24, 2006</t>
  </si>
  <si>
    <t>Annual European Congress of Rheumatology (EULAR 2006)</t>
  </si>
  <si>
    <t>Long-term safety profile of bosentan in patients with pulmonary arterial hypertension related to mixed connective tissue disease or systemic lupus erythematosus: Results from the Tracleer post marketing surveillance database</t>
  </si>
  <si>
    <t>Denton, C. P.; Coghlan, J.; Black, C. M.; Hoeper, M. M.; Kiely, D. G.; Carlsen, J.; Segal, E.; Humbert, M.</t>
  </si>
  <si>
    <t>Denton, CP; Coghlan, J; Black, CM; Hoeper, MM; Kiely, DG; Carlsen, J; Segal, E; Humbert, M</t>
  </si>
  <si>
    <t>WOS:000239104700018</t>
  </si>
  <si>
    <t>064QR</t>
  </si>
  <si>
    <t>Humbert, M (corresponding author), Univ Paris 11, Assistance Publ Hosp Paris, Hop Antoine Beclere, Clamart, France.</t>
  </si>
  <si>
    <t>Univ Paris 11, Assistance Publ Hosp Paris, Hop Antoine Beclere, Clamart, France</t>
  </si>
  <si>
    <t>PULMONARY; HYPERTENSION</t>
  </si>
  <si>
    <t>The need for national registries in rare diseases</t>
  </si>
  <si>
    <t>French Network Pulmonary Arterial</t>
  </si>
  <si>
    <t>Humbert, Marc; Simonneau, Gerald</t>
  </si>
  <si>
    <t>WOS:000239369700021</t>
  </si>
  <si>
    <t>Bronze, Green Submitted, Green Published</t>
  </si>
  <si>
    <t>068JL</t>
  </si>
  <si>
    <t>10.1136/thx.2006.064097</t>
  </si>
  <si>
    <t>Humbert, Marc/0000-0003-0703-2892; SITBON, Olivier/0000-0002-1942-1951; Souza, Rogerio/0000-0003-2789-9143</t>
  </si>
  <si>
    <t>Sitbon, Olivier/I-3623-2019; Simonneau, Gerald/ABE-6614-2020; Humbert, Marc/AAC-8459-2019; Souza, Rogerio/I-3584-2013</t>
  </si>
  <si>
    <t>Humbert, M (corresponding author), Univ Paris Sud 11, APHP,INSERM U764, Hop Antoine Beclere,UPRES EA2705,IFR 13, Serv Pneumol &amp; Reanimat Resp,Ctr Malad Vasc Pulmo, 157 Rue Porte Trivaux, F-92140 Clamart, France.</t>
  </si>
  <si>
    <t>Institut National de la Sante et de la Recherche Medicale (Inserm); Assistance Publique Hopitaux Paris (APHP); Hopital Universitaire Ambroise-Pare - APHP; Universite Paris Saclay; Hopital Universitaire Antoine-Beclere - APHP</t>
  </si>
  <si>
    <t>Univ Paris Sud 11, APHP,INSERM U764, Hop Antoine Beclere,UPRES EA2705,IFR 13, Serv Pneumol &amp; Reanimat Resp,Ctr Malad Vasc Pulmo, F-92140 Clamart, France</t>
  </si>
  <si>
    <t>Long term imatinib treatment in pulmonary arterial hypertension</t>
  </si>
  <si>
    <t>Souza, R.; Sitbon, O.; Parent, F.; Simonneau, G.; Humbert, M.</t>
  </si>
  <si>
    <t>Souza, R; Sitbon, O; Parent, F; Simonneau, G; Humbert, M</t>
  </si>
  <si>
    <t>WOS:000240668402435</t>
  </si>
  <si>
    <t>086JA</t>
  </si>
  <si>
    <t>Humbert, Marc/AAC-8459-2019; Beghetti, Maurice/HNP-1055-2023; Hoeper, Marius/Z-1546-2019</t>
  </si>
  <si>
    <t>University of Geneva; Hannover Medical School; University of Sheffield; Rigshospitalet; University of Copenhagen; Copenhagen University Hospital; Actelion Pharmaceuticals Ltd; Assistance Publique Hopitaux Paris (APHP); Hopital Universitaire Antoine-Beclere - APHP</t>
  </si>
  <si>
    <t>Hop Enfants, Dept Cardiol, Geneva, Switzerland; Hannover Med Sch, Dept Resp Med, D-3000 Hannover, Germany; Royal Hallamshire Hosp, Dept Resp Med, Sheffield S10 2JF, S Yorkshire, England; Rigshosp, Dept Cardiol, DK-2100 Copenhagen, Denmark; Actel Pharmaceut, Global Drug Safety, Allschwil, Switzerland; Hop Antoine Beclere, Dept Resp Med, Clamart, France</t>
  </si>
  <si>
    <t>European Soc Cardiol,World Heart Federat</t>
  </si>
  <si>
    <t>SEP 02-06, 2006</t>
  </si>
  <si>
    <t>28th Congress of the European-Society-of-Cardiology/World Congress of Cardiology</t>
  </si>
  <si>
    <t>Long-term safety profile of bosentan in paediatric patients with pulmonary arterial hypertension related to congenital heart defects or other aetiologies</t>
  </si>
  <si>
    <t>Beghetti, M.; Hoeper, M. M.; Kiely, D. G.; Carlsen, J.; Segal, E.; Humbert, M.</t>
  </si>
  <si>
    <t>Beghetti, M; Hoeper, MM; Kiely, DG; Carlsen, J; Segal, E; Humbert, M</t>
  </si>
  <si>
    <t>WOS:000240535600005</t>
  </si>
  <si>
    <t>084LY</t>
  </si>
  <si>
    <t>General &amp; Internal Medicine; Research &amp; Experimental Medicine</t>
  </si>
  <si>
    <t>Medicine, General &amp; Internal; Medicine, Research &amp; Experimental</t>
  </si>
  <si>
    <t>10.1111/j.1365-2362.2006.01685.x</t>
  </si>
  <si>
    <t>Eur. J. Clin. Invest.</t>
  </si>
  <si>
    <t>EUR J CLIN INVEST</t>
  </si>
  <si>
    <t>1365-2362</t>
  </si>
  <si>
    <t>0014-2972</t>
  </si>
  <si>
    <t>Simonneau, Gerald/ABE-6614-2020; Beghetti, Maurice/HNP-1055-2023; Sitbon, Olivier/I-3623-2019; Humbert, Marc/AAC-8459-2019</t>
  </si>
  <si>
    <t>Sitbon, O (corresponding author), Hop Antoine Beclere, Serv Pneumol, 157 Rue Porte Trivaux, F-92141 Clamart, France.</t>
  </si>
  <si>
    <t>Hop Antoine Beclere, Serv Pneumol, F-92141 Clamart, France; HUG, Geneva, Switzerland; CMC Marie Lannelongue, Le Plessis Robinson, France; Hop Necker Enfants Malad, Paris, France; Actel Pharmaceut France, Paris, France</t>
  </si>
  <si>
    <t>Background Bosentan is an effective first-line therapy in New York Heart Association (NYHA) III patients with idiopathic pulmonary arterial hypertension (PAH). Pre-clinical data support the rationale for the potential benefit of bosentan in PAH associated with congenital heart disease (CHD). Materials and Methods We performed a retrospective analysis of patients with PAHassociated CHD who were treated with bosentan on top of conventional therapy. Bosentan was started at 62 .5 mg bid for 4 weeks, then titrated to 125 ing bid. New York Heart Association (NYHA) functional class, 6-min walking distance (6MWD), Borg dyspnoea index, arterial oxygen saturation and cardiopulmonary haemodynamic data (cardiac output, pulmonary blood flow and systemic and pulmonary vascular resistances) were collected at baseline and at follow up. Results Twenty-seven patients (23 females, mean 35 15 years) with NYHA class III-IV PAH-associated CHD (not repaired in 23 cases) were treated with bosentan for a mean 18-3 +/- 9.9 months. Bosentan improved 6MWID from 298 + 92 in at baseline to 355 82 in at 3 months (P = 0-0002) and to 364 92 in (P = 0-0001) at the last follow up (mean 15-2 +/- 9.7 months). At the last follow up, 13 patients had improved (= I NYHA class) and 14 remained stable. A favourable effect was observed in pulmonary blood flow and pulmonary vascular resistance for the 11 available patients. No change in pulse oximetry or liver enzyme elevation was reported. Conclusions Bosentan improves exercise capacity functional class and haemodynamics in most patients with PAH-associated CHD, without serious side-effects, suggesting bosentan may be an important treatment option for these patients.</t>
  </si>
  <si>
    <t>RECEPTOR ANTAGONIST BOSENTAN; EISENMENGER-SYNDROME; 6-MINUTE WALK; ENDOTHELIN; THERAPY; ADULTS; HEMODYNAMICS; PROSTACYCLIN; EXPRESSION; PHYSIOLOGY</t>
  </si>
  <si>
    <t>hypertension; pulmonary; bosentan; endothelin; congenital heart defects</t>
  </si>
  <si>
    <t>European Soc Clin Invest</t>
  </si>
  <si>
    <t>Athens, GREECE</t>
  </si>
  <si>
    <t>APR 06-09, 2005</t>
  </si>
  <si>
    <t>39th Annual Meeting of the European-Society-for-Clinical-Investigation</t>
  </si>
  <si>
    <t>EUROPEAN JOURNAL OF CLINICAL INVESTIGATION</t>
  </si>
  <si>
    <t>Bosentan for the treatment of pulmonary arterial hypertension associated with congenital heart defects</t>
  </si>
  <si>
    <t>Sitbon, O.; Beghetti, M.; Petit, J.; Iserin, L.; Humbert, M.; Gressin, V.; Simonneau, G.</t>
  </si>
  <si>
    <t>WOS:000242021600004</t>
  </si>
  <si>
    <t>105HS</t>
  </si>
  <si>
    <t>10.1019/20064120</t>
  </si>
  <si>
    <t>S28</t>
  </si>
  <si>
    <t>S17</t>
  </si>
  <si>
    <t>Raherison, Chantal/T-3556-2019; Delacourt, Christophe/K-6161-2019; leroyer, christophe/HTT-3905-2023; Humbert, Marc/AAC-8459-2019</t>
  </si>
  <si>
    <t>daniel.dusser@cch.aphp.fr</t>
  </si>
  <si>
    <t>Dusser, D (corresponding author), Hop Cochin, Serv Pneumol, 27 Rue Faubourg St Jacques, F-75679 Paris 14, France.</t>
  </si>
  <si>
    <t>Assistance Publique Hopitaux Paris (APHP); Universite Paris Cite; Hopital Universitaire Cochin - APHP; Universite de Montpellier; CHU de Montpellier; Assistance Publique Hopitaux Paris (APHP); Universite Paris Cite; Hopital Universitaire Necker-Enfants Malades - APHP; Universite Paris-Est-Creteil-Val-de-Marne (UPEC); CHI Creteil; Universite de Lille; CHU Lille; Hospital Foch; CHU de Toulouse; Assistance Publique Hopitaux Paris (APHP); Universite Paris Cite; Hopital Universitaire Cochin - APHP; Assistance Publique Hopitaux Paris (APHP); Hopital Universitaire Antoine-Beclere - APHP; CHU Brest; Universite de Bretagne Occidentale; Universite de Rouen Normandie; CHU de Rouen; Universite Paris Cite; Institut National de la Sante et de la Recherche Medicale (Inserm); Universite de Lille; CHU Lille; Universite de Lille; CHU Lille; CHU Bordeaux; Universite de Bordeaux</t>
  </si>
  <si>
    <t>Hop Cochin, Serv Pneumol, F-75679 Paris 14, France; Hop Arnaud Villeneuve, Clin Maladies Resp, Montpellier, France; Hop Necker Enfants Malad, Serv Pediat 6, Paris, France; Ctr Hosp Intercommunal, Serv Pediat, Creteil, France; Hop Jeanne Flandre, Unite Pneumol Allergol Pediat, Pediat Clin, Lille, France; Hop Foch, Serv Biol Clin, Suresnes, France; Hop Larrey, Clin Voies Resp, Toulouse, France; Hop Cochin, Serv Pneumol, Paris, France; Hop Antoine Beclere, Serv Pneumol, Clamart, France; Hop Cavale Blanche, Dept Med Interne &amp; Pneumol, Brest, France; Hop Charles Nicolle, Serv Pediat Med, F-76031 Rouen, France; Ctr Med Parot, Lyon, France; Ctr Hosp Le Raincy, Serv Pneumol, Montfermeil, France; Univ Paris 07, INSERM, Serv Epidemiol, Paris, France; Hop Albert Calmette, Clin Maladies Resp, Lille, France; Hop Albert Calmette, Serv Pneumol &amp; Immnoallergol, Lille, France; Hop Haut Leveque, Serv Maladies Resp, Pessac, France</t>
  </si>
  <si>
    <t>Introduction Update on the state of knowledge in the mild asthma (intermittent and persistent mild asthma, according to the GINA classification) literature, and position of a French Mild Asthma Working Group. State of the art The French Mild Asthma Working Group (11 lung specialists, 4 paediatricians, 1 pharmacologist, and 1 general practitioner) selected, analysed, and summarised the literature on the epidemiology, physiopathology, clinical signs, and management of mild asthma. The present article shows the position of the working group on mild asthma descriptive epidemiology (causal factors excluded) and the nature of the bronchial inflammation. Clinical signs and medicinal treatments will be-presented in a second article. Perspectives Between 50% and 75% of asthma patients depending on the study, present mild asthma. Child hood-to-adulthood cohort monitoring found severity to be unchanged over developmental time. Its generally benign evolution may in some (&lt; 10%) cases be complicated by severe episodes. Inflammation and airway-wall remodelling were always found, although of variable intensity, and non-specific (except for absence of infiltration by polymorphonuclear neutrophils). Corticosteroid therapy by inhalation reduces bronchial inflammation, but with little impact on airway-wall remodelling. Conclusion The present findings should help clinicians in identifying and understanding mild asthma.</t>
  </si>
  <si>
    <t>EXHALED NITRIC-OXIDE; AIRWAY INFLAMMATION; EARLY INTERVENTION; PERSISTENT ASTHMA; EOSINOPHILIC INFLAMMATION; COLLAGEN DEPOSITION; WHEEZING ILLNESS; SMOOTH-MUSCLE; SEVERITY; CHILDREN</t>
  </si>
  <si>
    <t>mild asthma; epidemiology; physiopathology</t>
  </si>
  <si>
    <t>Characteristics of mild asthma: descriptive epidemiology and nature of bronchial inflammation. Position of the Mild Asthma Working Group</t>
  </si>
  <si>
    <t>Chanez, P.; de Blic, J.; Delacourt, C.; Deschildre, A.; Devillier, P.; Didier, A.; Dusser, D.; Humbert, M.; Leroyer, C.; Marguet, C.; Martinat, Y.; Piquet, J.; Raherison, C.; Serrier, P.; Tillie-Leblond, I.; Tonnel, A. B.; de Lara, M. Tunon</t>
  </si>
  <si>
    <t>Chanez, P; de Blic, J; Delacourt, C; Deschildre, A; Devillier, P; Didier, A; Dusser, D; Humbert, M; Leroyer, C; Marguet, C; Martinat, Y; Piquet, J; Raherison, C; Serrier, P; Tillie-Leblond, I; Tonnel, AB; de Lara, MT</t>
  </si>
  <si>
    <t>WOS:000241345000021</t>
  </si>
  <si>
    <t>095YU</t>
  </si>
  <si>
    <t>10.1183/09031936.06.00152705</t>
  </si>
  <si>
    <t>Humbert, Marc/0000-0003-0703-2892; Dupin, Nicolas/0000-0002-6237-4951</t>
  </si>
  <si>
    <t>luc.mouthon@cch.aphp.tr</t>
  </si>
  <si>
    <t>Mouthon, L (corresponding author), Univ Paris 05, Immunol Lab, Pavillon Gustave Roussy, Fac Med,UPRES EA 1833, 4E Etage,8 Rue Mechain, F-75014 Paris, France.</t>
  </si>
  <si>
    <t>Universite Paris Cite; Assistance Publique Hopitaux Paris (APHP); Universite Paris Cite; Hopital Universitaire Cochin - APHP; Assistance Publique Hopitaux Paris (APHP); Universite Paris Cite; Hopital Universitaire Cochin - APHP; Assistance Publique Hopitaux Paris (APHP); Universite Paris Cite; Hopital Universitaire Cochin - APHP; Assistance Publique Hopitaux Paris (APHP); Universite Paris Cite; Hopital Universitaire Necker-Enfants Malades - APHP; Assistance Publique Hopitaux Paris (APHP); Hopital Universitaire Antoine-Beclere - APHP; Assistance Publique Hopitaux Paris (APHP); Hopital Universitaire Antoine-Beclere - APHP; Universite Paris Saclay</t>
  </si>
  <si>
    <t>Univ Paris 05, Immunol Lab, Pavillon Gustave Roussy, Fac Med,UPRES EA 1833, F-75014 Paris, France; Hop Cochin, Dept Dermatol, F-75674 Paris, France; Hop Cochin, Dept Internal Med, F-75674 Paris, France; Hop Cochin, French Natl Ref Ctr Necrotizing Vasculitis &amp; Syst, F-75674 Paris, France; Univ Paris 05, AP HP, Hop Necker Enfants Malad, Dept Biostat, Paris, France; Hop Antoine Beclere, AP HP, Dept Pneumol, UPRES EA 2705, Clamart, France; Hop Antoine Beclere, AP HP, French Natl Ref Ctr Pulm Hypertens, Clamart, France; Univ Paris Sud, Clamart, France</t>
  </si>
  <si>
    <t>The aim of the present study was to investigate the presence of anti-fibroblast antibodies in patients with idiopathic or scleroderma-associated pulmonary arterial hypertension (PAH) and healthy controls. PAH was documented by right-heart catheterisation (mean pulmonary artery pressure at rest &gt; 25 mmHg). Serum immunoglobulin (Ig)G and IgM reactivities of patients with idiopathic PAH (n=35), scleroderma-associated PAH (n=10), diffuse (n=10) or limited cutaneous (n=10) scleroderma without PAH and age- and sex-matched healthy individuals (n=65) were analysed by cell-based ELISA and immunoblotting on normal human fibroblasts. As assessed by ELISA, 14 out of 35 (40%) patients with idiopathic PAH and three out of 10 (30%) patients with scleroderma-associated PAH expressed anti-fibroblast IgG antibodies. IgG from all individuals bound to one major 40-kDa protein band. IgG from patients with idiopathic PAH bound to two 25- and 60-kDa bands with a higher intensity than IgG from other individuals. In conclusion, immunoglobulin G anti-fibroblast antibodies are present in the serum of patients with pulmonary arterial hypertension. Immunoglobulin G from patients with idiopathic pulmonary arterial hypertension or scleroderma-associated pulmonary arterial hypertension express distinct reactivity profiles with fibroblasts antigens, suggesting distinct target antigens.</t>
  </si>
  <si>
    <t>SYSTEMIC-SCLEROSIS; ARTERIAL-HYPERTENSION; AUTOANTIBODIES; PATHOBIOLOGY; DISEASE</t>
  </si>
  <si>
    <t>anti-fibroblast antibodies; pulmonary arterial hypertension; systemic sclerosis</t>
  </si>
  <si>
    <t>Antibodies to fibroblasts in idiopathic and scleroderma-associated pulmonary hypertension</t>
  </si>
  <si>
    <t>Tamby, M. C.; Humbert, M.; Guilpain, P.; Servettaz, A.; Dupin, N.; Christner, J. J.; Simonneau, G.; Fermanian, J.; Weill, B.; Guillevin, L.; Mouthon, L.</t>
  </si>
  <si>
    <t>Tamby, MC; Humbert, M; Guilpain, P; Servettaz, A; Dupin, N; Christner, JJ; Simonneau, G; Fermanian, J; Weill, B; Guillevin, L; Mouthon, L</t>
  </si>
  <si>
    <t>WOS:000250210200008</t>
  </si>
  <si>
    <t>221EM</t>
  </si>
  <si>
    <t>Humbert, Marc/0000-0003-0703-2892; HACHULLA, ERIC/0000-0001-7432-847X; Souza, Rogerio/0000-0003-2789-9143; Launay, David/0000-0003-1840-1817</t>
  </si>
  <si>
    <t>HACHULLA, ERIC/R-8488-2018; Launay, David/A-5270-2018; Humbert, Marc/AAC-8459-2019; Souza, Rogerio/I-3584-2013; Launay, David/H-1674-2016</t>
  </si>
  <si>
    <t>Humbert, M (corresponding author), Univ Paris Sud, Hop Antoine Beclere, Ctr Natl Ref Hypertens, Serv Pulm,Asst Publ Hop Paris, 157 Rue de la Porte de Trivaux, F-92140 Clamart, France.</t>
  </si>
  <si>
    <t>Assistance Publique Hopitaux Paris (APHP); Hopital Universitaire Antoine-Beclere - APHP; Universite Paris Saclay; Universite de Lille; CHU Lille; Assistance Publique Hopitaux Paris (APHP); Universite Paris Cite; Hopital Universitaire Saint-Louis - APHP; Hopital Universitaire Cochin - APHP; Assistance Publique Hopitaux Paris (APHP); Universite Paris Cite; Hopital Universitaire Europeen Georges-Pompidou - APHP</t>
  </si>
  <si>
    <t>Univ Paris Sud, Hop Antoine Beclere, Ctr Natl Ref Hypertens, Serv Pulm,Asst Publ Hop Paris, F-92140 Clamart, France; Univ Lille 2, Reg Univ Hosp, Natl Ctr Vasc Manifestat Scleroderma, Lille, France; Cochin Hosp, Assistance Publ Hop Paris, Natl Ctr Vasculitis &amp; Scleroderma, Dept Internal Med, Paris, France; Georges Pompidou European Hosp, Dept Internal Med, Paris, France</t>
  </si>
  <si>
    <t>Background and aim of the work: Pulmonary arterial hypertension (PAH) is a severe condition characterized by chronic obstruction of small pulmonary arteries leading to progressive right heart failure and ultimately death. Inflammatory mechanisms may play an important part in the origin or progression of the disease in a subset of patients. Whereas PAH is well known complication of some connective tissue diseases, it is a rare condition associated with systemic vasculitis. In the present report, we describe 4 cases of anti-neutrophil cytoplasmic antibodies (ANCA)-related systemic vasculitis (3 with Wegener's granulomatosis and I with microscopic polyangiitis) associated with PAH. Methods: We describe the clinical features of both ANCA-associated systemic vasculitis and PAH. Results: PAH was diagnosed after the onset of the systemic vasculitis in 3 cases. In I case, the systemic vasculitis was active at the diagnosis of PAH and treatment of the vasculitis led to a significant improvement of PAH. In the 2 other patients, PAH occurred while the vasculitis was inactive. The remaining patient, for whom Wegener's granulomatosis was diagnosed 2 years after PAH was documented, died because of a vasculitis treatment-related side effect. Conclusions: Systemic vasculitides have to be added to the conditions associated with PAH. The underlying pathophysiological mechanisms of this association have still to be firmly established. It is probable that some PAH are due, at least in part, to direct pulmonary arteries involvement by the vasculitic process.</t>
  </si>
  <si>
    <t>WEGENERS-GRANULOMATOSIS; INVOLVEMENT; EXPRESSION; FAILURE; DISEASE; PATIENT; GROWTH; NODOSA</t>
  </si>
  <si>
    <t>anti-neutrophil cytoplasmic antibodies; pulmonary arterial hypertension; vasculitis; wegener's granulomatosis; microscopic polyangiitis</t>
  </si>
  <si>
    <t>Pulmonary arterial hypertension in ANCA-associated vasculitis</t>
  </si>
  <si>
    <t>Launay, David; Souza, Rogerio; Guillevin, Loiec; Hachullal, Eric; Pouchot, Jacques; Simonneaul, Gerald; Humbert, Marc</t>
  </si>
  <si>
    <t>Launay, D; Souza, R; Guillevin, L; Hachullal, E; Pouchot, J; Simonneaul, G; Humbert, M</t>
  </si>
  <si>
    <t>WOS:000241628200001</t>
  </si>
  <si>
    <t>099WP</t>
  </si>
  <si>
    <t>10.1016/S0755-4982(06)74841-2</t>
  </si>
  <si>
    <t>Assistance Publique Hopitaux Paris (APHP); Hopital Universitaire Antoine-Beclere - APHP; Universite Paris Saclay; Assistance Publique Hopitaux Paris (APHP); Hopital Universitaire Antoine-Beclere - APHP</t>
  </si>
  <si>
    <t>Hop Antoine Beclere, Serv Pneumol, F-92140 Clamart, France; Univ Paris Sud, Hop Antoine Beclere, AP HP, Serv Pneumol &amp; Reanimat Resp, Clamart, France</t>
  </si>
  <si>
    <t>SEVERE PERSISTENT ASTHMA; OMALIZUMAB; ANTIBODY; ADULTS</t>
  </si>
  <si>
    <t>Better management of patients with difficult asthma</t>
  </si>
  <si>
    <t>WOS:000240508600012</t>
  </si>
  <si>
    <t>084CF</t>
  </si>
  <si>
    <t>10.1136/ard.2005.048967</t>
  </si>
  <si>
    <t>denton@medsch.ucl.ac.uk</t>
  </si>
  <si>
    <t>Denton, CP (corresponding author), Royal Free Hosp, Ctr Rheumatol, Pond St, London NW3 2QG, England.</t>
  </si>
  <si>
    <t>University of London; University College London; Royal Free London NHS Foundation Trust; UCL Medical School; Assistance Publique Hopitaux Paris (APHP); Hopital Universitaire Antoine-Beclere - APHP</t>
  </si>
  <si>
    <t>Royal Free Hosp, Ctr Rheumatol, London NW3 2QG, England; Hop Bedere, Clamart, France; San Diego Sch Med, Pulm Vasc Ctr, San Diego, CA USA</t>
  </si>
  <si>
    <t>Background: Endothelin-1 is considered to be a central pathogenic factor in connective tissue diseases (CTDs) such as systemic sclerosis (SSc), leading to vasoconstriction, fibrosis, hypertrophy and inflammation. A frequent complication of CTD is pulmonary arterial hypertension (PAH), which has a major effect on functioning and quality of life, and is associated with a particularly poor prognosis. Objective: To present a subgroup analysis that summarises experiences from the pivotal studies and their open-label extensions with the oral dual endothelin-1 receptor antagonist bosentan in patients with PAH and CTD, mostly SSc and lupus erythematosus. Methods: 66 patients with PAH secondary to CTD, in World Health Organization functional class III or IV, were randomised to two double-blind, placebo-controlled studies and followed up for 12 and 16 weeks, respectively. The primary end point was change in exercise capacity, assessed using the 6-min walk test. In both studies and their extensions, survival was assessed from start of treatment to death or data cut-off and analysed as Kaplan-Meier estimates. Results: 44 patients with PAH secondary to CTD who were treated with bosentan were stable in 6-min walk distance at the end of the study (+19.5 m, 95% confidence interval (CI) 23.2 to 42.2), whereas patients treated with placebo deteriorated (-22.6 m, 95% CI -54.0 to 48.7). 64 patients subsequently received bosentan in an open-label long-term extension study. Mean (standard deviation (SD)) exposure to bosentan was 1.6 (0.9) years, and duration of observation was 1.8 (0.8) years. 8 (16%) patients received epoprostenol as add-on treatment and 7 (14%) after discontinuation of bosentan. Survival in those receiving bosentan was 85.9% after 1 year and 73.4% after 2 years. Conclusion: Short-term bosentan treatment in a subgroup of patients with PAH secondary to CTD seems to have a favourable effect compared with placebo. The long-term follow-up of these patients suggests that first-line bosentan, with the subsequent addition of other PAH treatments if required, is safe for long-term treatment and may have a positive effect on outcome.</t>
  </si>
  <si>
    <t>SYSTEMIC-LUPUS-ERYTHEMATOSUS; SCLEROSIS; SURVIVAL; ERA</t>
  </si>
  <si>
    <t>Bosentan treatment for pulmonary arterial hypertension related to connective tissue disease: a subgroup analysis of the pivotal clinical trials and their open-label extensions</t>
  </si>
  <si>
    <t>Denton, C. P.; Humbert, M.; Rubin, L.; Black, C. M.</t>
  </si>
  <si>
    <t>Denton, CP; Humbert, M; Rubin, L; Black, CM</t>
  </si>
  <si>
    <t>WOS:000241819100015</t>
  </si>
  <si>
    <t>102NO</t>
  </si>
  <si>
    <t>10.1164/rccm.200602-304OC</t>
  </si>
  <si>
    <t>Maitre, Bernard/0000-0002-8061-1252; Humbert, Marc/0000-0003-0703-2892</t>
  </si>
  <si>
    <t>dewachter@creteil.inserm.fr</t>
  </si>
  <si>
    <t>Dewachter, L (corresponding author), INSERM, Fac Med, U651, 8 Rue Gen Sarrail, F-94010 Creteil, France.</t>
  </si>
  <si>
    <t>Universite Paris-Est-Creteil-Val-de-Marne (UPEC); Assistance Publique Hopitaux Paris (APHP); Hopital Universitaire Henri-Mondor - APHP; Hopital Marie Lannelongue; Assistance Publique Hopitaux Paris (APHP); Hopital Universitaire Antoine-Beclere - APHP; Institut National de la Sante et de la Recherche Medicale (Inserm); Sorbonne Universite; Universite Libre de Bruxelles</t>
  </si>
  <si>
    <t>Hop Henri Mondor, AP HP, Dept Physiol, F-94010 Creteil, France; Hop Marie Lannelongue, Serv Chirurgie Thorac Vasc &amp; Transplant Cardiopul, UPRES EA 2705, F-92350 Le Plessis Robinson, France; Hop Antoine Beclere, AP HP, Serv Pneumol, Clamart, France; Univ Paris 06, INSERM, Fac Med Pitie Salpetriere, UMR 677, Paris, France; Free Univ Brussels, Fac Med, Physiol Lab, Brussels, Belgium</t>
  </si>
  <si>
    <t>Rationale: Angiopoietins are involved in blood vessel maturation and remodeling. Objectives: One consequence of endothelium-specific tyrosine kinase-2 (Tie2) receptor activation by angiopoietin-1 (Ang1) is the release of endothelium-derived growth factors that recruit vascular wall cells. We investigated this process in idiopathic pulmonary arterial hypertension (iPAH). Methods: Ang1, Ang2, and total and phosphorylated Tie2 expression (mRNA and protein) was evaluated in human lung specimens and in cultured pulmonary artery smooth muscle cells (PA-SMCs) and pulmonary endothelial cells (P-ECs) isolated from patients with iPAH and control subjects. Media collected from Ang1-treated P-ECs were assessed for their PA-SMC growth-promoting effect. Measurements and Main Results: Tie2 receptor was fourfold higher in lungs and P-ECs from patients with iPAH than in those from control subjects, with a parallel increase in phosphorylated lung Tie2 receptor. In contrast, Ang1 and Ang2 expression in lungs, P-ECs, and PA-SMCs did not differ. Incubation of PA-SMCs with medium collected from P-EC cultures induced marked proliferation, and this effect was stronger when using P-ECs from patients with iPAH than from control subjects. Ang1 pretreatment of P-ECs from either patients or control subjects induced a further increase in PA-SMC proliferation. Fluoxetine, an inhibitor of the mitogenic action of serotonin, reduced the growth-promoting effect of P-EC media. Ang1 added to P-ECs from patients with iPAH increased the production of endothelin-1 (ET-1) and serotonin, but not of plateletderived growth factor-BB orepidermal growth factor, and increased the amount of mRNA encoding tryptophan hydroxylase-1 (the rate-limiting enzyme of serotonin synthesis), preproET-1, and ET-11-converting enzyme. Conclusions: The Ang1/Tie2 pathway is potentiated in iPAH, contributing to PA-SMC hyperplasia via increased stimulation of endothelium-derived growth factors synthesis by P-ECs.</t>
  </si>
  <si>
    <t>ENDOTHELIAL-CELLS; TIE2 RECEPTOR; SEROTONIN; INDUCTION; OVEREXPRESSION; PATHOBIOLOGY; TRANSPORTER; ROLES; GENE; PDGF</t>
  </si>
  <si>
    <t>angiopoietin-1; growth factors; idiopathic pulmonary arterial hypertension; pulmonary artery smooth muscle; pulmonary endothelial cells</t>
  </si>
  <si>
    <t>Angiopoietin/Tie2 pathway influences smooth muscle hyperplasia in idiopathic pulmonary hypertension</t>
  </si>
  <si>
    <t>Dewachter, Laurence; Adnot, Serge; Fadel, Elie; Humbert, Marc; Maitre, Bernard; Barlier-Mur, Anne-Marie; Simonneau, Gerald; Hamon, Michel; Naeije, Robert; Eddahibi, Saadia</t>
  </si>
  <si>
    <t>Dewachter, L; Adnot, S; Fadel, E; Humbert, M; Maitre, B; Barlier-Mur, AM; Simonneau, G; Hamon, M; Naeije, R; Eddahibi, S</t>
  </si>
  <si>
    <t>WOS:000242896400009</t>
  </si>
  <si>
    <t>117TO</t>
  </si>
  <si>
    <t>10.1016/S0755-4982(06)74927-2</t>
  </si>
  <si>
    <t>Launay, David/0000-0003-1840-1817; HACHULLA, ERIC/0000-0001-7432-847X; Humbert, Marc/0000-0003-0703-2892</t>
  </si>
  <si>
    <t>HACHULLA, ERIC/R-8488-2018; Launay, David/A-5270-2018; Launay, David/H-1674-2016; Humbert, Marc/AAC-8459-2019</t>
  </si>
  <si>
    <t>Hachulla, E (corresponding author), CHRU, Hop Claude Huriez, Serv Med Interne, Ctr Natl Ref Atteintes Vasc Sclerodermie, F-59037 Lille, France.</t>
  </si>
  <si>
    <t>Universite de Lille; CHU Lille; Assistance Publique Hopitaux Paris (APHP); Hopital Universitaire Antoine-Beclere - APHP; Universite Paris Saclay</t>
  </si>
  <si>
    <t>CHRU, Hop Claude Huriez, Serv Med Interne, Ctr Natl Ref Atteintes Vasc Sclerodermie, F-59037 Lille, France; Univ Paris Sud, Hop Antoine Beclere, Serv Pneumol &amp; Reanimat,AP HP, Ctr Natl Ref Hypertens Arterielles Pulm, Clamart, France</t>
  </si>
  <si>
    <t>Pulmonary arterial hypertension (PAN) is a serious complication of systemic sclerosis (SSc) and a leading cause of death in patients with it. Recent publications suggest that a prevalence of 10-15% is likely The prognosis remains poor compared to that of idiopathic PAH. WHO recommends annual echocardiography for PAH screening of patients with SSc. Right heart catheterization is necessary to confirm the diagnosis. Nevertheless, more than half of all SSc patients have symptoms classified as WHO functional class III or IV at diagnosis. Prostacyclin therapy, delivered via continuous intravenous infusion (epoprostenol), has been demonstrated to be effective in patients with severe PAH (both idiopathic and scleroderma-related). Prostacyclin analogs (such as treprostinil and iloprost) are other options. Bosentan is the first endothelin receptor antagonist approved in the EU for the treatment of PAH, both idiopathic and related to connective tissue diseases such as scleroderma, in patients in WHO functional class III. Sildenafil by its selective inhibition of phosphodiesterase type 5 is also effective against both types of PAH. It too is now approved in the EU for this purpose in patients in WHO functional class III, but we do not yet have any information about its long-term effects in sclerodermo.</t>
  </si>
  <si>
    <t>CONNECTIVE-TISSUE DISEASES; CALCIUM-CHANNEL BLOCKERS; INTRAVENOUS EPOPROSTENOL; ORAL SILDENAFIL; RISK-FACTORS; SURVIVAL; THERAPY; BOSENTAN; SCLERODERMA; ENDOTHELIN</t>
  </si>
  <si>
    <t>Pulmonary arterial hypertension and systemic sclerosis</t>
  </si>
  <si>
    <t>Launay, David; Humbert, Marc; Hachulla, Eric</t>
  </si>
  <si>
    <t>Launay, D; Humbert, M; Hachulla, E</t>
  </si>
  <si>
    <t>WOS:000242627700017</t>
  </si>
  <si>
    <t>113WC</t>
  </si>
  <si>
    <t>Cardiovascular System &amp; Cardiology; Pediatrics</t>
  </si>
  <si>
    <t>Cardiac &amp; Cardiovascular Systems; Pediatrics</t>
  </si>
  <si>
    <t>10.1007/s00246-006-1325-0</t>
  </si>
  <si>
    <t>Pediatr. Cardiol.</t>
  </si>
  <si>
    <t>PEDIATR CARDIOL</t>
  </si>
  <si>
    <t>1432-1971</t>
  </si>
  <si>
    <t>0172-0643</t>
  </si>
  <si>
    <t>alain.fraisse@ap-hm.fr</t>
  </si>
  <si>
    <t>Fraisse, A (corresponding author), Hop Enfants La Timone, Dept Cardiol, 264 Rue St Pierre, F-13385 Marseille 05, France.</t>
  </si>
  <si>
    <t>Aix-Marseille Universite; Assistance Publique-Hopitaux de Marseille; Creighton University; Universite Paris Saclay; Assistance Publique Hopitaux Paris (APHP); Hopital Universitaire Antoine-Beclere - APHP</t>
  </si>
  <si>
    <t>Hop Enfants La Timone, Dept Cardiol, F-13385 Marseille 05, France; Univ Nebraska Creighton Univ, Childrens Hosp, Omaha, NE 68114 USA; Hop St Joseph, F-13008 Marseille, France; Univ Paris Sud, Hop Antoine Beclere, UPRESEA 2705, Ctr Malad Vasc Pulm, Clamart, France</t>
  </si>
  <si>
    <t>In a 4.5-year-old child with refractory pulmonary arterial hypertension, we performed atrial septostomy with the application of an Amplatzer fenestrated device designed to maintain patency. Continuous intravenous epoprostenol infusion was started concomitantly. Forty-two months after the procedure, the patient had no recurrent syncope and remained in New York Heart Association functional class II. Fenestration of the atrial septum is feasible in children with pulmonary artery hypertension. No conclusion regarding the patient's need for an atrial septal defect can be drawn since concomitant prostanoid therapy was administered. The long-term patency of the atrial communication needs further confirmation and the optimal timing for its application has to be determined.</t>
  </si>
  <si>
    <t>ARTERIAL-HYPERTENSION; SEPTOSTOMY; THERAPY</t>
  </si>
  <si>
    <t>pulmonary arterial hypertension; interventional catheterization; atrial septostomy</t>
  </si>
  <si>
    <t>PEDIATRIC CARDIOLOGY</t>
  </si>
  <si>
    <t>Use of amplatzer fenestrated atrial septal defect device in a child with familial pulmonary hypertension</t>
  </si>
  <si>
    <t>Fraisse, Alain; Chetaille, Philippe; Amin, Zahid; Rouault, Francis; Humbert, Marc</t>
  </si>
  <si>
    <t>Fraisse, A; Chetaille, P; Amin, Z; Rouault, F; Humbert, M</t>
  </si>
  <si>
    <t>WOS:000242247400001</t>
  </si>
  <si>
    <t>108NV</t>
  </si>
  <si>
    <t>10.1093/rheumatology/kel273</t>
  </si>
  <si>
    <t>Humbert, Marc/0000-0003-0703-2892; Nash, Peter/0000-0002-2571-788X; Huscher, Dorte/0000-0001-9070-0761</t>
  </si>
  <si>
    <t>Behrens, Frank/AAI-8910-2021; MATUCCI CERINIC, MARCO/AAO-2769-2020; furst, daniel/B-7316-2014; Distler, Oliver/AAE-6225-2019; Humbert, Marc/AAC-8459-2019; Nash, Peter/D-7392-2013</t>
  </si>
  <si>
    <t>Oliver.Distler@usz.ch</t>
  </si>
  <si>
    <t>Distler, O (corresponding author), Univ Zurich Hosp, Dept Rheumatol, CH-8091 Zurich, Switzerland.</t>
  </si>
  <si>
    <t>University of Zurich; University Zurich Hospital; Goethe University Frankfurt; Leibniz Association; Deutsches Rheuma-Forschungszentrum (DRFZ); University of London; University College London; UCL Medical School; Assistance Publique Hopitaux Paris (APHP); Hopital Universitaire Antoine-Beclere - APHP; Universite Paris Saclay; University of Michigan System; University of Michigan; University of California System; University of California San Diego; University of California System; University of California Los Angeles; University of California Los Angeles Medical Center; David Geffen School of Medicine at UCLA</t>
  </si>
  <si>
    <t>Univ Zurich Hosp, Dept Rheumatol, CH-8091 Zurich, Switzerland; Goethe Univ Frankfurt, ZAFES, Div Rheumatol, D-6000 Frankfurt, Germany; German Rheumatism Res Ctr, Berlin, Germany; Rheumatol Res Unit, Sunshine Coast, Qld, Australia; UCL Royal Free &amp; Univ Coll, Sch Med, Ctr Rheumatol, London, England; Univ Paris Sud, Hop Antoine Beclere, Ctr Malad Vasc Pulm, Serv Pneumol &amp; Reanimat Resp, Clamart, France; Univ Terapia Med I, Florence, Italy; Univ Michigan, Scleroderma Program, Ann Arbor, MI 48109 USA; Univ Calif San Diego, Sch Med, Div Pulm &amp; Crit Care Med, La Jolla, CA 92093 USA; Univ Calif Los Angeles, David Geffen Sch, Dept Med, Div Rheumatol, Los Angeles, CA USA</t>
  </si>
  <si>
    <t>PLACEBO-CONTROLLED TRIAL; PROSTACYCLIN ANALOG; CLINICAL-TRIALS; OMERACT FILTER; DOUBLE-BLIND; THERAPY</t>
  </si>
  <si>
    <t>Need for improved outcome measures in pulmonary arterial hypertension related to systemic sclerosis</t>
  </si>
  <si>
    <t>Distler, O.; Behrens, F.; Huscher, D.; Foeldvari, I.; Zink, A.; Nash, P.; Denton, C. P.; Humbert, M.; Matucci-Cerinic, M.; Seibold, J.; Rubin, L.; Furst, D. E.</t>
  </si>
  <si>
    <t>Distler, O; Behrens, F; Huscher, D; Foeldvari, I; Zink, A; Nash, P; Denton, CP; Humbert, M; Matucci-Cerinic, M; Seibold, J; Rubin, L; Furst, DE</t>
  </si>
  <si>
    <t>WOS:000243521800002</t>
  </si>
  <si>
    <t>126OF</t>
  </si>
  <si>
    <t>10.1016/S0761-8425(06)72076-9</t>
  </si>
  <si>
    <t>Humbert, Marc/0000-0003-0703-2892; leroyer, christophe/0000-0002-7601-1692; chanez, pascal/0000-0003-4059-0917</t>
  </si>
  <si>
    <t>leroyer, christophe/HTT-3905-2023; Raherison, Chantal/T-3556-2019; Delacourt, Christophe/K-6161-2019; Humbert, Marc/AAC-8459-2019</t>
  </si>
  <si>
    <t>Assistance Publique Hopitaux Paris (APHP); Universite Paris Cite; Hopital Universitaire Cochin - APHP; Universite de Montpellier; CHU de Montpellier; Assistance Publique Hopitaux Paris (APHP); Universite Paris Cite; Hopital Universitaire Necker-Enfants Malades - APHP; Universite Paris-Est-Creteil-Val-de-Marne (UPEC); CHI Creteil; Universite de Lille; CHU Lille; Hospital Foch; CHU de Toulouse; Assistance Publique Hopitaux Paris (APHP); Hopital Universitaire Antoine-Beclere - APHP; Universite de Bretagne Occidentale; CHU Brest; Universite de Rouen Normandie; CHU de Rouen; Universite Paris Cite; Institut National de la Sante et de la Recherche Medicale (Inserm); Universite de Lille; CHU Lille; Universite de Lille; CHU Lille; CHU Bordeaux; Universite de Bordeaux</t>
  </si>
  <si>
    <t>Hop Cochin, Serv Pneumol, F-75679 Paris 14, France; Hop Arnaud Villeneuve, Clin Malad Resp, Montpellier, France; Hop Necker Enfants Malad, Serv Pediat 6, Paris, France; Ctr Hosp Intercommunal Creteil, Serv Pediat, Creteil, France; Hop Jeanne Flandre, Pediat Clin, Unite Pneumol Al Ergol Pediat, Lille, France; Hop Foch, Serv Biol Clin, Suresnes, France; Hop Larrey, Clin Voies Resp, Toulouse, France; Hop Antoine Beclere, Serv Pneumol, Clamart, France; Hop Cavale Blanche, Dept Med Interne &amp; Pneumol, Brest, France; Hop Charles Nicolle, Serv Pediat Med, F-76031 Rouen, France; Ctr Med Parot, Lyon, France; Ctr Hosp Raincy, Serv Pneumol, Montfermeil, France; Univ Paris 07, Inserm 700, Serv Epidemiol, Paris, France; Hop Albert Calmette, Clin Malad Resp, Lille, France; Hop Albert Calmette, Serv Pneumol &amp; Immunoallergol, Lille, France; Hop Haut Leveque, Serv Malad Resp, Pessac, France</t>
  </si>
  <si>
    <t>Objective To update on the state of knowledge in mild asthma (intermittent and persistent mild asthma, according to the GINA classification) review the literature, and the position statement of the French Mild Asthma Working Group. Methods The French Mild Asthma Working Group (11 lung specialists, 4 paediatricians, 1 pharmacologist, and 1 general practitioner) selected, analysed, and summarised the literature on the descriptive epidemiology, physiopathology, clinical signs, and management of mild asthma. The position of the working group on the descriptive epidemiology (causal factors excluded) and the nature of the bronchial inflammation has been presented in a previous article. The present article focuses on the clinical features of mild asthma and the use of medication for it. Results Mild asthma was more frequent, more symptomatic, and less well controlled in children than in adults. Its generally benign evolution may in some (&lt; 10%) cases be complicated by severe episodes. Patients with mild persistent asthma require controller medication every day: permanent low-dose inhaled corticosteroid monotherapy is the reference foundation treatment for persistent mild asthma. Conclusions The present findings should help clinicians and guide them in their approach to managing this condition.</t>
  </si>
  <si>
    <t>LONG-TERM TREATMENT; 1ST 6 YEARS; INHALED BUDESONIDE; PERSISTENT ASTHMA; EARLY INTERVENTION; UNITED-STATES; RISK-FACTORS; CHILDREN; MONTELUKAST; POPULATION</t>
  </si>
  <si>
    <t>mild asthma; clinical signs; treatment</t>
  </si>
  <si>
    <t>Characteristics of mild asthma: clinical signs and medication use. Position statement of the Mild Asthma Working Group (174)</t>
  </si>
  <si>
    <t>Chanez, P.; de Blic, J.; Delacourt, C.; Deschildre, A.; Devillier, P.; Didier, A.; Dusser, D.; Humbert, M.; Leroyer, C.; Marguet, C.; Martinat, Y.; Piquet, J.; Raherison, C.; Serrier, P.; Tillie-Leblond, I.; Tonnel, A. B.; de lara, M. Tunon</t>
  </si>
  <si>
    <t>WOS:000244565600001</t>
  </si>
  <si>
    <t>141GA</t>
  </si>
  <si>
    <t>10.1159/000098818</t>
  </si>
  <si>
    <t>Sztrymf, B (corresponding author), Univ Paris Sud, Hop Antoine Beclere,Assistance Publ Hop Paris, INSERM,U764,IFR13,Serv Pneumol &amp; Reanimat Resp, Ctr Natl Reference Hypertens Arterielle Pulm, 157 Rue Porte Trivaux, FR-92140 Clamart, France.</t>
  </si>
  <si>
    <t>Assistance Publique Hopitaux Paris (APHP); Universite Paris Cite; Hopital Universitaire Saint-Louis - APHP; Hopital Universitaire Antoine-Beclere - APHP; Institut National de la Sante et de la Recherche Medicale (Inserm); Universite Paris Saclay</t>
  </si>
  <si>
    <t>Univ Paris Sud, Hop Antoine Beclere,Assistance Publ Hop Paris, INSERM,U764,IFR13,Serv Pneumol &amp; Reanimat Resp, Ctr Natl Reference Hypertens Arterielle Pulm, FR-92140 Clamart, France</t>
  </si>
  <si>
    <t>Familial pulmonary arterial hypertension (FPAH) was first described more than 50 years ago. Before the availability of modern genetic tools, studies of the genealogies demonstrated that these cases segregated as an autosomic dominant trait, with an incomplete penetrance and a genetic anticipation phenomenon by which age at onset of the disease is decreasing in the subsequent generations. Germline mutations in the gene coding for the bone morphogenetic protein receptor II (BMPR2) are present in more than 70% of FPAH and up to 26% of idiopathic, apparently sporadic cases (IPAH). Incomplete penetrance (around 20%) is a major pitfall because FPAH becomes ignored when the disease skips one or several generations. Genetic counseling is complex, with a significant number of BMPR2 mutation healthy carriers screened in some families. Incomplete penetrance puts them in the anxious situation of being potentially affected in the future by this devastating condition or to transmit this risk to their offspring. Nevertheless, genetic testing and counseling is about to become a standard in the management of PAH. Recent international guidelines on PAH state that genetic testing is recommended in FPAH and that IPAH patients have to be informed about the availability of such testing. Copyright (C) 2007 S. Karger AG, Basel.</t>
  </si>
  <si>
    <t>HEREDITARY HEMORRHAGIC TELANGIECTASIA; PROTEIN-RECEPTOR-II; SEROTONIN TRANSPORTER; GERMLINE MUTATIONS; BETA-RECEPTOR; MUSCLE-CELLS; BMPR-II; SUSCEPTIBILITY; SMOOTH; PATHOGENESIS</t>
  </si>
  <si>
    <t>bone morphogenetic protein receptor II; hereditary hemorrhagic telangiectasia; molecular genetics; pulmonary arterial hypertension</t>
  </si>
  <si>
    <t>Genes and pulmonary arterial hypertension</t>
  </si>
  <si>
    <t>Sztrymf, Benjamin; Yaici, Azzedine; Girerd, Barbara; Humbert, Marc</t>
  </si>
  <si>
    <t>Sztrymf, B; Yaïci, A; Girerd, B; Humbert, M</t>
  </si>
  <si>
    <t>WOS:000243772900009</t>
  </si>
  <si>
    <t>130BB</t>
  </si>
  <si>
    <t>10.1016/j.rmed.2006.04.014</t>
  </si>
  <si>
    <t>Souza, Rogerio/0000-0003-2789-9143; Humbert, Marc/0000-0003-0703-2892; Fernandes, Caio/0000-0002-4912-021X; Jardim, Carlos/0000-0003-0425-5548</t>
  </si>
  <si>
    <t>Fernandes, Caio/W-8676-2019; Souza, Rogerio/I-3584-2013; Humbert, Marc/AAC-8459-2019; Fernandes, Caio/K-9194-2016; Jardim, Carlos/N-8061-2017</t>
  </si>
  <si>
    <t>Souza, R (corresponding author), R Afonso de Freitas 451 Ap 112, Sao Paulo, Brazil.</t>
  </si>
  <si>
    <t>Universidade de Sao Paulo; Assistance Publique Hopitaux Paris (APHP); Hopital Universitaire Antoine-Beclere - APHP; Universite Paris Saclay</t>
  </si>
  <si>
    <t>Univ Sao Paulo, Sch Med, Div Pulm, Pulm Hypertens Unit,Heart Inst, Sao Paulo, Brazil; Fleury Res Inst, Sao Paulo, Brazil; Univ Paris Sud, Hop Antoine Beclere, UPRES EA 2705, Ctr Malad Vasc Pulm, Clamart, France</t>
  </si>
  <si>
    <t>The recent development of treatment modalities for patients with idiopathic pulmonary arterial hypertension has been based on the evaluation of many different markers such as functional capacity, addressed by NYHA classification, six-minute walk test (6MWT) and hemodynamic parameters. The aim of this study was to evaluate the correlation of N-terminal fragment (NT-proBNP) with other markers in IPAH and its potential for patient stratification. We studied 42 IPAH patients consecutively evaluated through right heart catheterization in the absence of any specific treatment for pulmonary hypertension. Blood samples, clinical evaluation and 6MWF distance were collected at baseline. The levels of NT-proBNP showed a high correlation with hemodynamic parameters, such as pulmonary vascular resistance (r = 0.80, P &lt; 0.001). A significant difference was found among patients with different functional classes, addressed by NYHA classification (P &lt; 0.02 for all groups comparison). The discriminant analysis reinforced the ability of NT-proBNP to stratify patients according to NYHA functional class. Compared to the other variables studied (hemodynamics and 6MWT), NT-proBNP had the lowest level of overlap in the stratification of IPAH patients. We conclude that NT-proBNP differs among the different functional classes and correlates with other measures of disease severity, although its rote in predicting survival still needs to be addressed. (c) 2006 Elsevier Ltd. All rights reserved.</t>
  </si>
  <si>
    <t>BRAIN NATRIURETIC PEPTIDE; CLINICAL-PRACTICE GUIDELINES; ISCHEMIC-HEART-DISEASE; INTRAVENOUS EPOPROSTENOL; SYSTEMIC-SCLEROSIS; THERAPY; BOSENTAN; DIAGNOSIS; SURVIVAL; DYSFUNCTION</t>
  </si>
  <si>
    <t>pulmonary hypertension; hemodynamics; NT-proBNP; idiopathic pulmonary; arterial hypertension; six-minute walk test; functional class</t>
  </si>
  <si>
    <t>NT-proBNP as a tool to stratify disease severity in pulmonary arterial hypertension</t>
  </si>
  <si>
    <t>Souza, Rogerio; Jardim, Carlos; Julio Cesar Fernandes, Caio; Silveira Lapa, Monica; Rabelo, Rogerio; Humbert, Marc</t>
  </si>
  <si>
    <t>Souza, R; Jardim, C; Fernandes, CJC; Lapa, MS; Rabelo, R; Humbert, M</t>
  </si>
  <si>
    <t>WOS:000243964200001</t>
  </si>
  <si>
    <t>132TD</t>
  </si>
  <si>
    <t>10.1097/FJC.0b013e31802b3184</t>
  </si>
  <si>
    <t>J. Cardiovasc. Pharmacol.</t>
  </si>
  <si>
    <t>J CARDIOVASC PHARM</t>
  </si>
  <si>
    <t>0160-2446</t>
  </si>
  <si>
    <t>SITBON, Olivier/0000-0002-1942-1951; Humbert, Marc/0000-0003-0703-2892; Galie, Nazzareno/0000-0003-4271-8670; JAIS, XAVIER/0000-0002-4104-7994</t>
  </si>
  <si>
    <t>Palazzini, Massimiliano/AFM-3353-2022; Sitbon, Olivier/I-3623-2019; Simonneau, Gerald/ABE-6614-2020; Humbert, Marc/AAC-8459-2019; Galie, Nazzareno/F-7004-2014</t>
  </si>
  <si>
    <t>Sitbon, O (corresponding author), Hop Antoine Beclere, Serv Pneumol &amp; Reanimat, 157 Rue Porte Trivaux, F-92141 Clamart, France.</t>
  </si>
  <si>
    <t>Universite Paris Saclay; Assistance Publique Hopitaux Paris (APHP); Hopital Universitaire Antoine-Beclere - APHP; University of Bologna; United Therapeutics Corporation</t>
  </si>
  <si>
    <t>Univ Paris Sud, Hop Antoine Beclere, Serv Pneumol, F-92141 Clamart, France; Univ Bologna, Inst Malattie Apparato Cardiovasc, I-40126 Bologna, Italy; Bioproject Pharma, Paris, France; United Therapeut Corp, Res Triangle Pk, NC USA</t>
  </si>
  <si>
    <t>Intravenous epoprostenol improves exercise capacity and survival in patients with pulmonary arterial hypertension (PAH); however, chemical instability and a short half-life have caused limitations in its use. The chemically stable prostacyclin analogue treprostinil has a longer half-life, and improves hemodynamics and signs/symptoms of PAH. This Study investigated the feasibility of transitioning patients with PAH from intravenous epoprostenol to intravenous treprostinil using a rapid switch protocol. Twelve PAH patients were enrolled in a 12 week prospective open label study. Patients were switched from intravenous epoprostenol to intravenous treprostinil (1:1 ng/kg/min) by a direct switch of the medication reservoir from epoprostenol to treprostinil. The dose of treprostinil was adjusted throughout the study to achieve a 2-fold increase of treprostinil compared with the baseline epoprostenol dose. Rapid transition to treprostinil was achieved without serious adverse events and, baseline clinical status was maintained over 12 weeks. The mean baseline epoprostenol dose was 28 +/- 14 ng/kg/min. At week 12, the mean treprostinil dose was 62 +/- 30 ng/kg/min. All patients reported less prostacyclin-related side effects with treprostinil and remained oil treprostinil after Study completion. Selected patients with PAH call be safely transitioned front intravenous epoprostenol to intravenous treprostinil using a rapid switch protocol.</t>
  </si>
  <si>
    <t>PROSTACYCLIN ANALOG; PROGNOSTIC-FACTORS; CONTROLLED-TRIAL; THERAPY; SURVIVAL; PHARMACOKINETICS; INFUSION; 15AU81</t>
  </si>
  <si>
    <t>hypertension; pulmonary; prostacyclins; treprostinil; epoprostenol; clinical trial</t>
  </si>
  <si>
    <t>JOURNAL OF CARDIOVASCULAR PHARMACOLOGY</t>
  </si>
  <si>
    <t>Rapid switch from intravenous epoprostenol to intravenous treprostinil in patients with pulmonary arterial hypertension</t>
  </si>
  <si>
    <t>Sitbon, Olivier; Manes, Alessandra; Jais, Xavier; Pallazini, Massimiliano; Humbert, Marc; Presotto, Luis; de Nillette, Louis; Zaccardelli, Divid; Davis, Gillian; Jeff, Roger; Simonneau, Gerald; Galie, Naareno</t>
  </si>
  <si>
    <t>Sitbon, O; Manes, A; Jais, X; Pallazini, M; Humbert, M; Presotto, L; de Nillette, L; Zaccardelli, D; Davis, G; Jeff, R; Simonneau, G; Galie, N</t>
  </si>
  <si>
    <t>WOS:000243548100017</t>
  </si>
  <si>
    <t>126XF</t>
  </si>
  <si>
    <t>10.1378/chest.06-0682</t>
  </si>
  <si>
    <t>Montani, David/0000-0002-9358-6922; Souza, Rogerio/0000-0003-2789-9143; Humbert, Marc/0000-0003-0703-2892</t>
  </si>
  <si>
    <t>Simonneau, Gerald/ABE-6614-2020; David, Montani/I-6885-2019; Souza, Rogerio/I-3584-2013; Humbert, Marc/AAC-8459-2019</t>
  </si>
  <si>
    <t>Humbert, M (corresponding author), Univ Paris Sud, Ctr Malad Vasc Pulm, Assistance Publ Hop Paris,UPRES EA 2705, Serv Pneumol &amp; Reanimat Resp,Hop Antoine Belcere, 157 Rue Porte De Trivaux, F-92140 Clamart, France.</t>
  </si>
  <si>
    <t>Assistance Publique Hopitaux Paris (APHP); Universite Paris Cite; Hopital Universitaire Saint-Louis - APHP; Hopital Universitaire Antoine-Beclere - APHP; Universite Paris Saclay; Actelion Pharmaceuticals Ltd</t>
  </si>
  <si>
    <t>Univ Paris Sud, Ctr Malad Vasc Pulm, Assistance Publ Hop Paris,UPRES EA 2705, Serv Pneumol &amp; Reanimat Resp,Hop Antoine Belcere, F-92140 Clamart, France; Actelion Pharmaceut Ltd, Allschwil, Switzerland</t>
  </si>
  <si>
    <t>Background: Pulmonary arterial hypertension (PAH) is a rare condition characterized by elevated pulmonary artery pressure leading to right-heart failure and death. Endothelin (ET)-1 has been shown to play a significant pathogenic role in PAH. ET-3 has not yet been investigated in PAH. Methods: ET-1 and ET-3 plasma concentrations were measured in 33 PAH patients prior to any specific PAH therapy and in 9 control subjects. In PAH patients, hemodynamic parameters measured by right-heart catheterization, 6-min walk distance (6MWD), New York Heart Association (NYHA) functional class, and time until lung transplantation or death were recorded. Results: In patients with PAIR, levels of ET-1 were increased while those of ET-3 were decreased, as compared to control subjects (p &lt; 0.005 for both comparisons). ET-1/ET-3 ratio varied little in control subjects, while it increased threefold in PAH patients (p &lt; 0.0001). ET-1 correlated positively with right atrial pressure (RA-P), indexed total pulmonary resistance, and negatively with cardiac index and venous saturation of oxygen (Svo(2)). ET-3 correlated positively with 6MWD. ET-1/ET-3 ratio correlated positively with RAP, negatively with Svo(2) and 6MWD, and was also associated with NYHA functional class. ET-1/ET-3 ratio was associated with prognosis in this sample of PAH patients treated with specific therapies. Conclusions: PAH is characterized by elevated ET-1 and ET-I/ET-3 ratio and decreased ET-3 plasma concentrations. All of them correlate with hemodynamic and clinical markers of disease severity. ET-1/ET-3 ratio might be a novel prognostic factor in PAH. These preliminary data should be validated in a large prospective multicenter cohort of PAH patients.</t>
  </si>
  <si>
    <t>ENDOTHELIN-B RECEPTOR; VESSELS IN-VIVO; EPOPROSTENOL PROSTACYCLIN; CONTINUOUS-INFUSION; HUMAN RESISTANCE; ET(B) RECEPTORS; PLASMA-LEVELS; NITRIC-OXIDE; THERAPY; CLEARANCE</t>
  </si>
  <si>
    <t>endothelin; endothelin-1; endothelin-3; propostic factor; pulmonary arterial hypertension</t>
  </si>
  <si>
    <t>European Resp Soc</t>
  </si>
  <si>
    <t>SEP 17-21, 2005</t>
  </si>
  <si>
    <t>15th Annual Congress of the European-Respiratory-Society</t>
  </si>
  <si>
    <t>Endothelin-1/endothelin-3 ratio - A potential prognostic factor of pulmonary arterial hypertension</t>
  </si>
  <si>
    <t>Montani, David; Souza, Rogerio; Binkert, Christoph; Fischli, Walter; Simonneau, Gerald; Clozel, Martine; Humbert, Marc</t>
  </si>
  <si>
    <t>Montani, D; Souza, R; Binkert, C; Fischli, W; Simonneau, G; Clozel, M; Humbert, M</t>
  </si>
  <si>
    <t>WOS:000270422100021</t>
  </si>
  <si>
    <t>BLL06</t>
  </si>
  <si>
    <t>Education &amp; Educational Research</t>
  </si>
  <si>
    <t>Book Citation Index – Social Sciences &amp; Humanities (BKCI-SSH)</t>
  </si>
  <si>
    <t>10.1007/978-1-4020-5612-3</t>
  </si>
  <si>
    <t>EDUC INNOV ECON BUS</t>
  </si>
  <si>
    <t>978-1-4020-5612-3</t>
  </si>
  <si>
    <t>PO BOX 17, 3300 AA DORDRECHT, NETHERLANDS</t>
  </si>
  <si>
    <t>marc.humbert@esc-grenoble.fr</t>
  </si>
  <si>
    <t>Humbert, M (corresponding author), Grenoble Ecole Managemement, Grenoble, France.</t>
  </si>
  <si>
    <t>Grenoble Ecole Management</t>
  </si>
  <si>
    <t>Grenoble Ecole Managemement, Grenoble, France</t>
  </si>
  <si>
    <t>Educational Innovation in Economics and Business</t>
  </si>
  <si>
    <t>CHALLENGES OF EDUCATING PEOPLE TO LEAD IN A CHALLENGING WORLD</t>
  </si>
  <si>
    <t>ADOPTION OF BLENDED LEARNING BY FACULTY An Exploratory Analysis</t>
  </si>
  <si>
    <t>McCuddy, MK; VandenBosch, H; Martz, WB; Matveev, AV; Morse, KO</t>
  </si>
  <si>
    <t>WOS:000248285400016</t>
  </si>
  <si>
    <t>193PB</t>
  </si>
  <si>
    <t>10.1185/030079907X199745</t>
  </si>
  <si>
    <t>S97</t>
  </si>
  <si>
    <t>Curr. Med. Res. Opin.</t>
  </si>
  <si>
    <t>CURR MED RES OPIN</t>
  </si>
  <si>
    <t>1473-4877</t>
  </si>
  <si>
    <t>0300-7995</t>
  </si>
  <si>
    <t>Aix-Marseille Universite; Assistance Publique-Hopitaux de Marseille; University of Nebraska System; University of Nebraska Lincoln; Creighton University; Universite Paris Saclay; Assistance Publique Hopitaux Paris (APHP); Hopital Universitaire Antoine-Beclere - APHP</t>
  </si>
  <si>
    <t>Hop Enfants La Timone, Dept Cardiol, F-13385 Marseille 05, France; Actel Pharmaceut France, Paris, France; Univ Nebraska, Lincoln, NE 68583 USA; Creighton Univ, Omaha, NE 68178 USA; Childrens Hosp, Omaha, NE USA; Univ Paris 11, Hop Antoine Beclere, Ctr Malad Vasc Pulm, UPRES EA 2705, Clamart, France</t>
  </si>
  <si>
    <t>Patients and methods: Atrial septostomy was carried out in three children with end-stage pulmonary arterial hypertension and recurrent syncope. Continuous intravenous epoprostenol infusion was started concomitantly, in association with oral bosentan therapy. Results: Within a few weeks, the functional New York Heart Association (NYHA) class improved from III to II in all three patients. No recurrent syncope occurred and the children remained in NYHA functional class II during follow-up. The atrial septostomy remained patent and there was no need to increase the dose of intravenous epoprostenol. Conclusion: This small case series demonstrates that children with end-stage pulmonary arterial hypertension may benefit from an aggressive management, including fenestration of the atrial septum associated with the combination of bosentan and epoprostenol.</t>
  </si>
  <si>
    <t>ARTERIAL-HYPERTENSION; SEPTOSTOMY; EPOPROSTENOL; SURVIVAL; THERAPY</t>
  </si>
  <si>
    <t>atrial septostomy; children; interventional catheterisation; paediatric PAH; pulmonary arterial hypertension; pulmonary vasodilators</t>
  </si>
  <si>
    <t>FEB 24-26, 2006</t>
  </si>
  <si>
    <t>5th Scientific Symposium on Endothelin Receptor Antagonist and Pulmonary Artery Hypertension</t>
  </si>
  <si>
    <t>CURRENT MEDICAL RESEARCH AND OPINION</t>
  </si>
  <si>
    <t>Atrial septal fenestration in children for treatment of end-stage pulmonary hypertension</t>
  </si>
  <si>
    <t>Fraisse, A.; Paoli, F.; Gressin, V.; Amin, Z.; Simonneau, G.; Humbert, M.</t>
  </si>
  <si>
    <t>Fraisse, A; Paoli, F; Gressin, V; Amin, Z; Simonneau, G; Humbert, M</t>
  </si>
  <si>
    <t>WOS:000242634300001</t>
  </si>
  <si>
    <t>113YQ</t>
  </si>
  <si>
    <t>10.1111/j.1398-9995.2006.01283.x</t>
  </si>
  <si>
    <t>Simon, Hans-Uwe/0000-0002-9404-7736; Humbert, Marc/0000-0003-0703-2892</t>
  </si>
  <si>
    <t>Bousquet, Jean/O-4221-2019; Bieber, Thomas/AFM-9906-2022; Simon, Hans-Uwe/AAU-7410-2020; Fokkens, Wytske/ABF-2185-2020; Humbert, Marc/AAC-8459-2019</t>
  </si>
  <si>
    <t>Bousquet, J (corresponding author), CHU Montpellier, Hop Arnaud Villeneuve, Clin Malad Resp, F-34295 Montpellier 5, France.</t>
  </si>
  <si>
    <t>CHU Montpellier, Hop Arnaud Villeneuve, Clin Malad Resp, F-34295 Montpellier 5, France</t>
  </si>
  <si>
    <t>EUROPEAN BIRTH COHORT; ATOPIC DISEASES; IMMUNOTHERAPY; ASTHMA; EXPOSURES; FUTURE; NOSE; IGE</t>
  </si>
  <si>
    <t>Themes in Allergy: one year old and moving forward</t>
  </si>
  <si>
    <t>Bousquet, J.; Bieber, T.; Fokkens, W.; Humbert, M.; Kowalski, M.; Niggemann, B.; Simon, H. -U.</t>
  </si>
  <si>
    <t>WOS:000244618600024</t>
  </si>
  <si>
    <t>141ZT</t>
  </si>
  <si>
    <t>10.1016/j.rmed.2006.04.026</t>
  </si>
  <si>
    <t>Humbert, Marc/0000-0003-0703-2892; JAIS, XAVIER/0000-0002-4104-7994</t>
  </si>
  <si>
    <t>thomas.papo@bch.aphp.fr</t>
  </si>
  <si>
    <t>Papo, T (corresponding author), Hop Bichat, Serv Med Interne, 45 Rue Henri Huchard, F-75877 Paris 18, France.</t>
  </si>
  <si>
    <t>Assistance Publique Hopitaux Paris (APHP); Universite Paris Cite; Hopital Universitaire Bichat-Claude Bernard - APHP; Assistance Publique Hopitaux Paris (APHP); Hopital Universitaire Antoine-Beclere - APHP</t>
  </si>
  <si>
    <t>Hop Bichat, Serv Med Interne, F-75877 Paris 18, France; Hop Antoine Beclere, Serv Pneumol &amp; Reanimat, UPRES EA 2705, Ctr Maladies Vasc Pulm, Clamart, France</t>
  </si>
  <si>
    <t>Background: The POEMS (Polyneuropathy, Organomegaly, Endocrinopathy, Monoctonal immunoglobulin, Skin changes) syndrome is a rare disease that entails a specific risk for pulmonary arterial hypertension. Methods and results: We report on 2 patients who suffered from POEMS syndrome and pulmonary arterial hypertension for whom a detailed hemodynamic pulmonary study was obtained before and after steroid treatment. Patient 1 had defined post-capillary pulmonary hypertension (PH) ascribed to an abnormally high cardiac output. Patient 2 suffered from severe pre-capillary PH. Under high-dose steroids treatment, clinical symptoms disappeared and PH assessment by sequential hemodynamic study showed a clear-cut improvement in both patients. Conclusion: First-line therapy should include corticosteroids in POEMS syndrome-related PH. (c) 2006 Published by Elsevier Ltd.</t>
  </si>
  <si>
    <t>CROW-FUKASE SYNDROME; CASTLEMANS-DISEASE</t>
  </si>
  <si>
    <t>POEMS syndrome; pulmonary arterial hypertension</t>
  </si>
  <si>
    <t>POEMS syndrome-related pulmonary hypertension is steroid-responsive</t>
  </si>
  <si>
    <t>Jouve, Pascale; Humbert, Marc; Chauveheid, Marie-Paule; Jais, Xavier; Papo, Thomas</t>
  </si>
  <si>
    <t>Jouve, P; Humbert, M; Chauveheid, MP; Jaïs, X; Papo, T</t>
  </si>
  <si>
    <t>WOS:000243440400001</t>
  </si>
  <si>
    <t>125KI</t>
  </si>
  <si>
    <t>10.1111/j.1398-9995.2006.01308.x</t>
  </si>
  <si>
    <t>Medical Research Council(UK Research &amp; Innovation (UKRI)Medical Research Council UK (MRC)); MRC(UK Research &amp; Innovation (UKRI)Medical Research Council UK (MRC))</t>
  </si>
  <si>
    <t>Medical Research Council [G0800766] Funding Source: Medline; MRC [G0800766] Funding Source: UKRI</t>
  </si>
  <si>
    <t>Bonniaud, Philippe/ITT-4660-2023; Bousquet, Jean/O-4221-2019; holgate, stephen/JOZ-4882-2023; Humbert, Marc/AAC-8459-2019</t>
  </si>
  <si>
    <t>Humbert, M (corresponding author), Univ Paris 11, Hop Antoine Beclere, INSERM, Serv Pneumol,U764, Clamart, France.</t>
  </si>
  <si>
    <t>Institut National de la Sante et de la Recherche Medicale (Inserm); Universite Paris Saclay; Assistance Publique Hopitaux Paris (APHP); Hopital Universitaire Antoine-Beclere - APHP; University of Southampton; Laval University; Laval University Hospital; Universite de Montpellier; CHU de Montpellier</t>
  </si>
  <si>
    <t>Univ Paris 11, Hop Antoine Beclere, INSERM, Serv Pneumol,U764, Clamart, France; Southampton Gen Hosp, Sch Med, Southampton SO9 4XY, Hants, England; Univ Laval, Hop Laval, Inst Univ Cardiol &amp; Pneumol, Unite Rech Pneumol,Ctr Rech, Quebec City, PQ G1K 7P4, Canada; Univ Hosp, Hop Arnaud Villeneuve, Serv Malad Resp, Montpellier, France</t>
  </si>
  <si>
    <t>In the first National Heart Lung and Blood Institute and Global Initiative for Asthma (GINA) guidelines, the level of symptoms and airflow limitation and its variability allowed asthma to be subdivided by severity into four subcategories (intermittent, mild persistent, moderate persistent, and severe persistent). It is important to recognize, however, that asthma severity involves both the severity of the underlying disease and its responsiveness to treatment. Thus, the first update of the GINA guidelines defined asthma severity depending on the clinical features already proposed as well as the current treatment of the patient. In addition, severity is not a fixed feature of asthma, but may change over months or years, whereas the classification by severity suggests a static feature. Moreover, using severity as an outcome measure has limited value in predicting what treatment will be required and what the response to that treatment might be. Because of these considerations, the classi. cation of asthma severity is no longer recommended as the basis for treatment decisions, a periodic assessment of asthma control being more relevant and useful.</t>
  </si>
  <si>
    <t>ENVIRONMENTAL TOBACCO-SMOKE; AIRWAY INFLAMMATION; ALLERGEN EXPOSURE; CIGARETTE-SMOKING; THERAPEUTIC RESPONSE; COMBINATION THERAPY; PERSISTENT ASTHMA; SINGLE INHALER; DOUBLE-BLIND; FOLLOW-UP</t>
  </si>
  <si>
    <t>asthma; guidelines</t>
  </si>
  <si>
    <t>Asthma control or severity: that is the question</t>
  </si>
  <si>
    <t>Humbert, M.; Holgate, S.; Boulet, L. -P.; Bousquet, J.</t>
  </si>
  <si>
    <t>Humbert, M; Holgate, S; Boulet, LP; Bousquet, J</t>
  </si>
  <si>
    <t>WOS:000243440400012</t>
  </si>
  <si>
    <t>10.1111/j.1398-9995.2006.01216.x</t>
  </si>
  <si>
    <t>Godot, V (corresponding author), Hop Antoine Beclere, Assistance Publ Hop Paris, Serv Pneumol &amp; Reanimat Resp, Clamart, France.</t>
  </si>
  <si>
    <t>Assistance Publique Hopitaux Paris (APHP); Universite Paris Cite; Hopital Universitaire Saint-Louis - APHP; Hopital Universitaire Antoine-Beclere - APHP; Universite Paris Saclay; Institut National de la Sante et de la Recherche Medicale (Inserm)</t>
  </si>
  <si>
    <t>Hop Antoine Beclere, Assistance Publ Hop Paris, Serv Pneumol &amp; Reanimat Resp, Clamart, France; Univ Paris 11, INSERM, IFR13, U764, Clamart, France</t>
  </si>
  <si>
    <t>Allergic bronchopulmonary aspergillosis (ABPA) is a rare variant of severe asthma resulting from hypersensitivity to Aspergillus fumigatus (Asp f) present in the airways. We analyzed the expression of a panel of six chemokine receptors (CCR3, CCR4, CCR8, CCR5, CXCR3 and CXCR4) on total blood CD4(+) T cells and Asp f-specific-T cells in ABPA patients. We hypothesized that chemokine receptor pattern on T cells differs between ABPA patients, non-ABPA allergic asthmatics sensitized to Dermatophagoides pteronyssinus (Der p) or Phleum pratense (Phl p) and healthy controls. We used the fluorescent dye PKH26, a membrane bound marker, to identify accumulated proliferating (cell-sorted PKH26(low)) CD4(+) T cells in response to allergens (Asp f, Der p, Phl p) or recall antigens (PPD and TT). Chemokine receptor expression was analyzed by flow cytometry on proliferating CD3(+) CD4(+) PKH26(low) cells. Stimulation of CD4(+) T cells with the relevant allergen resulted in different patterns of chemokine receptor expression in ABPA and non-ABPA allergic asthmatics. Upon Asp f exposure, proliferating CD4(+) T cells from ABPA patients down-regulated the expression of CCR4 and CXCR3 while CCR4 and CXCR3 were up-regulated in allergen-specific T cells from non-ABPA allergic asthmatics. Considering each group of patients, the pattern of chemokine receptors expressed on proliferating allergen-specific CD4(+) T cells was similar to that expressed by recall antigen-specific T cells. The down-regulation of CCR4 and CXCR3 after allergen exposure in Asp f-specific T cells seems to be a characteristic feature of ABPA patients and requires further evaluation.</t>
  </si>
  <si>
    <t>BRONCHIAL BIOPSIES; NONATOPIC ASTHMA; CYSTIC-FIBROSIS; LUNG; CCR4; LYMPHOCYTES; RANTES; CXCR3; IL-4</t>
  </si>
  <si>
    <t>allergic bronchopulmonary aspergillosis; Asp f-specific CD4 T lymphocytes; Aspergillus fumigatus; chemokine receptors</t>
  </si>
  <si>
    <t>Chemokine receptor expression on allergen-specific T cells in asthma and allergic bronchopulmonary aspergillosis</t>
  </si>
  <si>
    <t>Garcia, G.; Humbert, M.; Capel, F.; Rimaniol, A. C.; Escourrou, P.; Emilie, D.; Godot, V.</t>
  </si>
  <si>
    <t>Garcia, G; Humbert, M; Capel, F; Rimaniol, AC; Escourrou, P; Emilie, D; Godot, V</t>
  </si>
  <si>
    <t>WOS:000244967500008</t>
  </si>
  <si>
    <t>146XH</t>
  </si>
  <si>
    <t>10.1183/09031936.00094706</t>
  </si>
  <si>
    <t>Perros, Frederic/0000-0001-7730-2427; Dorfmuller, Peter/0000-0003-2499-6829; Humbert, Marc/0000-0003-0703-2892; Souza, Rogerio/0000-0003-2789-9143</t>
  </si>
  <si>
    <t>Mussot, S/AAL-7512-2020; Simonneau, Gerald/ABE-6614-2020; Perros, Frederic/N-6921-2017; Humbert, Marc/AAC-8459-2019; Souza, Rogerio/I-3584-2013</t>
  </si>
  <si>
    <t>Universite Paris Saclay; Assistance Publique Hopitaux Paris (APHP); Universite Paris Cite; Hopital Universitaire Saint-Louis - APHP; Institut National de la Sante et de la Recherche Medicale (Inserm); Universite Paris Saclay; Hopital Marie Lannelongue</t>
  </si>
  <si>
    <t>Univ Paris 11, UPRES EA2705, Serv Pneumol,Assistance Publ Hop Paris, Ctr Natl Reference Hypertens Arterielle Pulm, Paris, France; INSERM, U764, Inst Federat Rech 13, Clamart, France; Univ Paris Sud, Ctr Chirurg Marie Lannelongue, Chirurg Expt Lab, UPRES EA2705, Le Plessis Robinson, France</t>
  </si>
  <si>
    <t>In the present study, the hypothesis that dendritic cells (DCs), key players in immunity and tolerance, might be involved in the immunopathology of idiopathic pulmonary arterial hypertension (IPAH) was tested. The phenotype and localisation of DCs were characterised by immunohistochemistry and double-labelling immunofluorescence in lung samples from controls, human IPAH patients and an experimental pulmonary hypertension model (monocrotaline-exposed rats). As compared with controls, morphometric analysis demonstrated increased numbers of dendritic cell-specific intercellular adhesion molecule-grabbing nonintegrin (DC-SIGN)-positive cells in muscular pulmonary arteries in IPAH and OX-62-positive DCs in monocrotaline-induced pulmonary hypertension. In human samples, the mean +/- SEM number of DC-SIGN-positive cells(.)artery(-1) of 100-300 mu m diameter was 1.4 +/- 0.4 in controls versus 26.4 +/- 2.7 in IPAH. In rats, the number of OX-62-positive cells(.)artery(-1) of 50-150 mu m diameter was 0.5 +/- 0.2 in controls, and 0.7 +/- 0.5, 3.1 +/- 0.5 and 8.4 +/- 0.6 at day 7, 14 and 28 after monocrotaline exposure, respectively. Human complex lesions of muscular pulmonary arteries showed transmural DC infiltration. Phenotyping revealed an immature DC profile in human and experimental pulmonary hypertension. The results support the concept that immature dendritic cells accumulate in remodelled pulmonary vessels and hence could be involved in the immunopathology of pulmonary hypertension.</t>
  </si>
  <si>
    <t>IMATINIB MESYLATE; ARTERIAL-HYPERTENSION; TUMOR; PRECURSORS; ANTIBODIES</t>
  </si>
  <si>
    <t>dendritic cells; immunopathology; inflammation; monocrotaline; pulmonary arterial hypertension</t>
  </si>
  <si>
    <t>Dendritic cell recruitment in lesions of human and experimental pulmonary hypertension</t>
  </si>
  <si>
    <t>Perros, F.; Dorfmuller, P.; Souza, R.; Durand-Gasselin, I.; Mussot, S.; Mazmanian, M.; Herve, P.; Emilie, D.; Simonneau, G.; Humbert, M.</t>
  </si>
  <si>
    <t>Perros, F; Dorfmüller, P; Souza, R; Durand-Gasselin, I; Mussot, S; Mazmanian, M; Hervé, P; Emilie, D; Simonneau, G; Humbert, M</t>
  </si>
  <si>
    <t>WOS:000244967500010</t>
  </si>
  <si>
    <t>10.1183/09031936.00016806</t>
  </si>
  <si>
    <t>Humbert, Marc/0000-0003-0703-2892; Souza, Rogerio/0000-0003-2789-9143; Carvalho, Carlos/0000-0002-1618-8509; Jardim, Carlos/0000-0003-0425-5548; Rochitte, Carlos/0000-0003-4505-3344</t>
  </si>
  <si>
    <t>ROCHITTE, CARLOS/GYH-2098-2022; Carvalho, Carlos/N-9827-2018; Humbert, Marc/AAC-8459-2019; Souza, Rogerio/I-3584-2013; Jardim, Carlos/N-8061-2017; Rochitte, Carlos/M-1042-2017</t>
  </si>
  <si>
    <t>Souza, R (corresponding author), R Afonso de Freitas 451,Ap 112, BR-04006052 Sao Paulo, Brazil.</t>
  </si>
  <si>
    <t>Universidade de Sao Paulo; Assistance Publique Hopitaux Paris (APHP); Hopital Universitaire Antoine-Beclere - APHP; Universite Paris Saclay; University of Washington; University of Washington Seattle</t>
  </si>
  <si>
    <t>Univ Sao Paulo, Sch Med, Div Pulm, Pulm Hypertens Unit,Heart Inst, BR-05508 Sao Paulo, Brazil; Fleury Res Inst, Sao Paulo, Brazil; Univ Paris Sud, Natl Pulm Hypertens Reference Ctr, Hop Antoine Beclere, Clamart, France; Univ Washington, Pulm &amp; Crit Care Div, Seattle, WA 98195 USA</t>
  </si>
  <si>
    <t>Pulmonary arterial hypertension (PAH) is a disease of the small vessels in which there is a substantial increase in pulmonary vascular resistance leading to right ventricle failure and death. Invasive haemodynamic evaluation is mandatory not only for diagnosis confirmation but also to address prognosis and eligibility for the use of calcium-channel blockers through an acute vasodilator challenge. Noninvasive surrogate response markers to the acute vasodilator test have been sought. In the present study, the relationship between pulmonary artery distensibility, assessed using magnetic resonance imaging (MRI), and response to acute vasodilator tests was investigated. In total, 19 patients diagnosed with idiopathic PAH without any specific treatment were evaluated. Within a 48-h window after pulmonary artery catheterisation, patients underwent cardiac MRI. Cardiac index, calculated after the determination (invasively and noninvasively) of cardiac output, showed excellent correlation, as did right atrial pressure and right ventricle ejection fraction. Pulmonary artery distensibility was significantly higher in responders. A receiver operating characteristic curve analysis has shown that 10% distensibility was able to differentiate responders from nonresponders with 100% sensitivity and 56% specificity. The present findings suggest that magnetic resonance imaging and pulmonary artery distensibility may be useful noninvasive tools for the evaluation of patients with pulmonary hypertension.</t>
  </si>
  <si>
    <t>CALCIUM-CHANNEL BLOCKERS; INHALED NITRIC-OXIDE; MAGNETIC-RESONANCE; DISEASE; FLOW; CIRCULATION; AGENT; TRUNK; HEART</t>
  </si>
  <si>
    <t>acute vasodilator response; haemodynamic evaluation; magnetic resonance imaging; pulmonary artery distensibility; pulmonary hypertension</t>
  </si>
  <si>
    <t>Pulmonary artery distensibility in pulmonary arterial hypertension: an MRI pilot study</t>
  </si>
  <si>
    <t>Jardim, C.; Rochitte, C. E.; Humbert, M.; Rubenfeld, G.; Jasinowodolinski, D.; Carvalho, C. R. R.; Souza, R.</t>
  </si>
  <si>
    <t>Jardim, C; Rochitte, CE; Humbert, M; Rubenfeld, G; Jasinowodolinski, D; Carvalho, CRR; Souza, R</t>
  </si>
  <si>
    <t>WOS:000246104900015</t>
  </si>
  <si>
    <t>162QW</t>
  </si>
  <si>
    <t>10.1016/S0761-8425(07)91070-0</t>
  </si>
  <si>
    <t>JAIS, XAVIER/0000-0002-4104-7994; SITBON, Olivier/0000-0002-1942-1951; Humbert, Marc/0000-0003-0703-2892; Dorfmuller, Peter/0000-0003-2499-6829</t>
  </si>
  <si>
    <t>Sztrymf, B (corresponding author), Univ Paris Sud, Serv Pneumol &amp; Reanimat Resp, APHP,UPRES EA 2705, Hop Antoine Beclere,Ctr Natl Reference Hypertens, 157 Rue Porte Trivaux, F-92140 Clamart, France.</t>
  </si>
  <si>
    <t>Assistance Publique Hopitaux Paris (APHP); Hopital Universitaire Antoine-Beclere - APHP; Hopital Universitaire Ambroise-Pare - APHP; Universite Paris Saclay; Sorbonne Universite; Assistance Publique Hopitaux Paris (APHP); Hopital Universitaire Pitie-Salpetriere - APHP</t>
  </si>
  <si>
    <t>Univ Paris Sud, Serv Pneumol &amp; Reanimat Resp, APHP,UPRES EA 2705, Hop Antoine Beclere,Ctr Natl Reference Hypertens, F-92140 Clamart, France; Univ Paris 06, Serv Anat &amp; Cytol Pathol, Grp Hosp Pitie Salpetriere, Paris, France</t>
  </si>
  <si>
    <t>Introduction Pulmonary arterial hypertension (PAH) is rare in the presence of malignancy and turnout embolisation is one of several possible pathological mechanisms. Case reports We report our experience of 5 clinical cases and undertake a literature revue of the pathophysiological mechanisms and of the possible diagnostic and therapeutic approaches. Conclusions Neoplastic PAH due to tumour micro-emboli is rare and the diagnosis difficult to establish. Cytological examination of pulmonary arterial blood could allow early institution of appropriate chemotherapy and lead to an improvement in the grave prognosis of this condition.</t>
  </si>
  <si>
    <t>MICROVASCULAR CYTOLOGY; VENOOCCLUSIVE DISEASE; DIAGNOSIS; MANIFESTATION; MICROEMBOLISM; CHEMOTHERAPY; LYMPHANGITIS; OCCULT</t>
  </si>
  <si>
    <t>pulmonary arterial hypertension; cancer; tumour emboli</t>
  </si>
  <si>
    <t>Pulmonary arterial hypertension due to tumour emboli</t>
  </si>
  <si>
    <t>Dot, J. M.; Sztrymf, B.; Yaici, A.; Dorfmuller, P.; Capron, F.; Parent, F.; Jais, X.; Sitbon, O.; Simonneau, G.; Humbert, M.</t>
  </si>
  <si>
    <t>Dot, JM; Sztrymf, B; Yaïci, A; Dorfmüller, P; Capron, F; Parent, F; Jaïs, X; Sitbon, O; Simonneau, G; Humbert, M</t>
  </si>
  <si>
    <t>WOS:000246690300009</t>
  </si>
  <si>
    <t>170UH</t>
  </si>
  <si>
    <t>10.1016/S0761-8425(07)91572-7</t>
  </si>
  <si>
    <t>Humbert, Marc/0000-0003-0703-2892; SITBON, Olivier/0000-0002-1942-1951; JAIS, XAVIER/0000-0002-4104-7994; Le Pavec, Jerome/0000-0003-4426-9645</t>
  </si>
  <si>
    <t>Sitbon, Olivier/I-3623-2019; Mussot, S/AAL-7512-2020; Simonneau, Gerald/ABE-6614-2020; Humbert, Marc/AAC-8459-2019</t>
  </si>
  <si>
    <t>xavier.jais@abc.aphp.fr</t>
  </si>
  <si>
    <t>Jais, X (corresponding author), Univ Paris Sud, Hop Antoine Beclere, APHP, Serv Pneumol &amp; Reanimat Resp,UPRESEA2705,Ctr Refe, 157 Rue Porte de Trivaux, F-92141 Clamart, France.</t>
  </si>
  <si>
    <t>Assistance Publique Hopitaux Paris (APHP); Hopital Universitaire Antoine-Beclere - APHP; Hopital Universitaire Ambroise-Pare - APHP; Universite Paris Saclay; Universite Paris Saclay; Hopital Marie Lannelongue; Universite Paris Saclay; Assistance Publique Hopitaux Paris (APHP); Hopital Universitaire Antoine-Beclere - APHP; Hopital Universitaire Ambroise-Pare - APHP</t>
  </si>
  <si>
    <t>Univ Paris Sud, Hop Antoine Beclere, APHP, Serv Pneumol &amp; Reanimat Resp,UPRESEA2705,Ctr Refe, F-92141 Clamart, France; Univ Paris Sud, Dept Chirurg Thorac Vasc &amp; Transplantat Cardiopul, Ctr Chirurg Marie Lannelongue, UPRESEA 2705, Le Plessis Robinson, France; Univ Paris Sud, Hop Antoine Beclere, APHP, Serv Pneumol &amp; Reanimat Resp,UPRESEA2705,Ctr Refe, F-92141 Clamart, France</t>
  </si>
  <si>
    <t>Introduction Chronic thromboembolic pulmonary hypertension (CTEPH) is a rare disease characterized by the persistence of thromboemboli obstructing the pulmonary arteries as an organized tissue. The consequence is an increase in pulmonary vascular resistance resulting in pulmonary hypertension (PH) and progressive right heart failure. Background It is difficult to recognize the postembolic nature of PH because there is no known history of thromboembolic disease in more than 50 % of cases. Diagnosis is based on the presence of mismatched segmental defects in the ventilation-perfusion scanning. When CTEPH is suspected, pulmonary angiography and high-resolution CT scan are required to establish the diagnosis and to assess the operability. Pulmonary angiography is always performed in conjunction with a diagnostic right heart catheterization, which is required to confirm the diagnosis of PH and to determine the degree of hemodynamic impairement. If there is a good correlation between the pulmonary vascular resistance and the anatomical obstruction, pulmonary endarterectomy (PEA) must be proposed. Otherwise, vasodilator and antiproliferative treatments and lung transplantation represent interesting alternatives. Viewpoint and Conclusion PEA remains the treatment of choice for eligible patients. Nevertheless, there is a need to conduct randomized trials to assess the efficacy of novel medical therapies in some situations: (1) in inoperable CTEPH due to distal lesions, (2) before PEA (therapeutic bridge) in patients who are considered high risk due to extremely poor hemodynamics, (3) in patients with persistent pulmonary hypertension after surgery.</t>
  </si>
  <si>
    <t>PERFUSION LUNG SCANS; ARTERIAL-HYPERTENSION; THROMBOEMBOLIC DISEASE; MR-ANGIOGRAPHY; HELICAL CT; FOLLOW-UP; SURGICAL-TREATMENT; BOSENTAN THERAPY; THROMBOENDARTERECTOMY; DIFFERENTIATION</t>
  </si>
  <si>
    <t>pulmonary hypertension; pulmonary embolism; pulmonary endarterectomy</t>
  </si>
  <si>
    <t>Post embolic pulmonary hypertension</t>
  </si>
  <si>
    <t>Jais, X.; Dartevelle, P.; Parent, F.; Sitbon, O.; Humbert, M.; Fadel, E.; Mussot, S.; Cabrol, S.; Le Pavec, J.; Sztrymf, B.; Tcherakian, C.; Musset, D.; Maitre, S.; Simonneau, G.</t>
  </si>
  <si>
    <t>Jais, X; Dartevelle, P; Parent, F; Sitbon, O; Humbert, M; Fadel, E; Mussot, S; Cabrol, S; Le Pavec, J; Sztrymf, B; Tcherakian, C; Musset, D; Maitre, S; Simonneau, G</t>
  </si>
  <si>
    <t>WOS:000245725100009</t>
  </si>
  <si>
    <t>157MV</t>
  </si>
  <si>
    <t>10.1016/j.healun.2006.12.014</t>
  </si>
  <si>
    <t>Souza, Rogerio/0000-0003-2789-9143; Humbert, Marc/0000-0003-0703-2892; JAIS, XAVIER/0000-0002-4104-7994; SITBON, Olivier/0000-0002-1942-1951</t>
  </si>
  <si>
    <t>Simonneau, Gerald/ABE-6614-2020; Sitbon, Olivier/I-3623-2019; Souza, Rogerio/I-3584-2013; Humbert, Marc/AAC-8459-2019</t>
  </si>
  <si>
    <t>Sitbon, O (corresponding author), Univ Paris Sud, Serv Pneumol &amp; Reanimat, Hop Antoine Beclere,AP HP, Ctr Malad Vasc Pulm,UPRES EA 2705, 157 Rue Porte Trivaux, F-92140 Clamart, France.</t>
  </si>
  <si>
    <t>Assistance Publique Hopitaux Paris (APHP); Hopital Universitaire Antoine-Beclere - APHP; Universite Paris Saclay; Hopital Marie Lannelongue</t>
  </si>
  <si>
    <t>Univ Paris Sud, Serv Pneumol &amp; Reanimat, Hop Antoine Beclere,AP HP, Ctr Malad Vasc Pulm,UPRES EA 2705, F-92140 Clamart, France; GHU Paris Sud, Serv Chirurg, Ctr Chirurg Marie Lannelongue, Leplessis Robinson, France</t>
  </si>
  <si>
    <t>Background: Pulmonary thromboendarterectomy may be a cure for patients with chronic thromboembolic pulmonary hypertension (CTEPH) with proximal obstruction. Conversely, short-term prognosis is poor for inoperable CTEPH patients with distal obstruction. Vascular remodeling lesions can be found in lungs of patients with CTEPH. Little is known about epoprostenol therapy in inoperable distal CTEPH patients. Methods: We conducted a retrospective analysis of 27 consecutive patients with inoperable distal CTEPH, who were in New York Heart Association Functional Class (NYHA FC) III (n = 20) or TV (n = 7) and treated with long-term intravenous epoprostenol. Results: Before epoprostenol initiation (baseline), 6-minute walk distance (6MWD) was 265 +/- 117 m, right atrial pressure 13 +/- 5 mm Hg, mean pulmonary artery pressure (mPAP) 56 +/- 9 mm Hg, cardiac index (CI) 1.9 +/- 0.3 liters/min/m(2), total pulmonary resistance JPR) 29.3 +/- 7.0 U/m(2) and mixed venous oxygen saturation 52 +/- 8%. After 3 months of epoprostenol (n = 23; mean epoprostenol dose 16 +/- 2 ng/kg/min), NYHA FC improved by one class in 11 of 23 patients, 6MWD increased by 66 m (p &lt; 0.0001), and hemodynamics also improved (mPAP: 51 +/- 8 nim Hg, p = 0.001; CI: 2.3 - 0. 4 liters/min/m(2), p = 0.0003; TPR: 23.0 5.0 U/m(2), p &lt; 0.0001). At last evaluation (n = 18; 20 +/- 8 months), mean dose of epoprostenol. was 30 +/- 8 ng/kg/min, NYHA FC was improved in 9 of 18 patients and there was sustained improvement in 6MWD (+46 m,p = 0.03) and hemodynamic parameters. Survival at 1, 2 and 3 years was 73%, 59% and 41%, respectively. Conclusions: Long-term treatment with intravenous epoprostenol improves exercise capacity and hemodynamic parameters in patients with inoperable distal CTEPH. Epoprostenol may be used as bridge therapy in CTEPH patients awaiting lung transplantation.</t>
  </si>
  <si>
    <t>ARTERIAL-HYPERTENSION; BOSENTAN THERAPY; THROMBOENDARTERECTOMY; SURVIVAL</t>
  </si>
  <si>
    <t>Intravenous epoprostenol in inoperable chronic thromboembolic pulmonary hypertension</t>
  </si>
  <si>
    <t>Cabrol, Segolene; Souza, Rogerio; Jais, Xavier; Fadel, Elie; Ali, Ratiba Haddad Si; Humbert, Marc; Dartevelle, Philippe; Simonneau, Gerald; Sitbon, Olivier</t>
  </si>
  <si>
    <t>Cabrol, S; Souza, R; Jais, X; Fadel, E; Ali, RHS; Humbert, M; Dartevelle, P; Simonneau, G; Sitbon, O</t>
  </si>
  <si>
    <t>WOS:000246409300014</t>
  </si>
  <si>
    <t>166VR</t>
  </si>
  <si>
    <t>10.1183/09031936.00104706</t>
  </si>
  <si>
    <t>Souza, Rogerio/0000-0003-2789-9143; Perros, Frederic/0000-0001-7730-2427; Dorfmuller, Peter/0000-0003-2499-6829; Humbert, Marc/0000-0003-0703-2892</t>
  </si>
  <si>
    <t>Godot, Veronique/A-7863-2015; Simonneau, Gerald/ABE-6614-2020; Souza, Rogerio/I-3584-2013; Perros, Frederic/N-6921-2017; Humbert, Marc/AAC-8459-2019</t>
  </si>
  <si>
    <t>marc.humbert@abc.aphp.tr</t>
  </si>
  <si>
    <t>Humbert, M (corresponding author), Hop Antoine Beclere, Serv Pneumol &amp; Reanimat Resp, 157 Porte Trivaux, F-92140 Clamart, France.</t>
  </si>
  <si>
    <t>Assistance Publique Hopitaux Paris (APHP); Universite Paris Cite; Hopital Universitaire Saint-Louis - APHP; Hopital Universitaire Antoine-Beclere - APHP; Universite Paris Saclay; Institut National de la Sante et de la Recherche Medicale (Inserm); Universite Paris-Est-Creteil-Val-de-Marne (UPEC); Institut National de la Sante et de la Recherche Medicale (Inserm); Hopital Marie Lannelongue; Universite Paris Saclay</t>
  </si>
  <si>
    <t>Univ Paris Sud, Assistance Publ Hop Paris,Serv Pneumol, Hop Antoine Beclere,UPRES EA2705, Ctr Natl Reference Hypertens Arterielle Pulm, Paris, France; INSERM, U764, Inst Federatif Rech 12, Clamart, France; Univ Paris 12, INSERM, U651, Creteil, France; Univ Paris Sud, Ctr Chirurg Marie Lannelongue, Chirurg Expt Lab, UPRES EA2705, Le Plessis Robinson, France</t>
  </si>
  <si>
    <t>Pulmonary hypertension is characterised by a progressive increase in pulmonary arterial resistance due to endothelial and smooth muscle cell proliferation resulting in chronic obstruction of small pulmonary arteries. There is evidence that inflammatory mechanisms may contribute to the pathogenesis of human and experimental pulmonary hypertension. The aim of the study was to address the role of fractalkine (CX3CL1) in the inflammatory responses and pulmonary vascular remodelling of a monocrotaline-induced pulmonary hypertension model. The expression of CX3CL1 and its receptor CX3CR1 was studied in monocrotaline-induced pulmonary hypertension by means of immunohistochemistry and quantitative reverse-transcription PCR on laser-captured microdissected pulmonary arteries. It was demonstrated that CX3CL1 was expressed by inflammatory cells surrounding pulmonary arterial lesions and that smooth muscle cells from these vessels had increased CX3CR1 expression. It was then shown that cultured rat pulmonary artery smooth muscle cells expressed CX3CR1 and that CX3CL1 induced proliferation but not migration of these cells. In conclusion, the current authors proposed that fractalkine may act as a growth factor for pulmonary artery smooth muscle cells. Chemokines may thus play a role in pulmonary artery remodelling.</t>
  </si>
  <si>
    <t>CX3C CHEMOKINE FRACTALKINE; RECEPTOR CX(3)CR1; EXPRESSION; ARTERY; ATHEROSCLEROSIS; POLYMORPHISM; TRANSPORTER; SEROTONIN; IMATINIB; THERAPY</t>
  </si>
  <si>
    <t>chemokines; fractalkine; proliferation; pulmonary hypertension; smooth muscle cell</t>
  </si>
  <si>
    <t>Fractalkine-induced smooth muscle cell proliferation in pulmonary hypertension</t>
  </si>
  <si>
    <t>Perros, F.; Dorfmuller, P.; Souza, R.; Durand-Gasselin, I.; Godot, V.; Capel, F.; Adnot, S.; Eddahibi, S.; Mazmanian, M.; Fadel, E.; Herve, P.; Simonneau, G.; Emilie, D.; Humbert, M.</t>
  </si>
  <si>
    <t>Perros, F; Dorfmüller, P; Souza, R; Durand-Gasselin, I; Godot, V; Capel, F; Adnot, S; Eddahibi, S; Mazmanian, M; Fadel, E; Hervé, P; Simonneau, G; Emilie, D; Humbert, M</t>
  </si>
  <si>
    <t>WOS:000247309600001</t>
  </si>
  <si>
    <t>179SE</t>
  </si>
  <si>
    <t>10.1016/j.lpm.2007.03.029</t>
  </si>
  <si>
    <t>Le Pavec, Jerome/0000-0003-4426-9645; Humbert, Marc/0000-0003-0703-2892</t>
  </si>
  <si>
    <t>Humbert, M (corresponding author), Univ Paris 11, AP HP, Hop Antoine Beclere,Ctr Malad Vasculaire Pulm, Serv Pneumol &amp; Reanimat Resp, 157 Rue Porte Trivaux, F-92140 Clamart, France.</t>
  </si>
  <si>
    <t>Institut National de la Sante et de la Recherche Medicale (Inserm); Universite Paris Saclay; Assistance Publique Hopitaux Paris (APHP); Hopital Universitaire Antoine-Beclere - APHP</t>
  </si>
  <si>
    <t>Univ Paris 11, AP HP, Hop Antoine Beclere,Ctr Natl Reference Hypertens, CTRS INSERM 062,UPRES EA2705, F-92140 Clamart, France</t>
  </si>
  <si>
    <t>PULMONARY ARTERIAL-HYPERTENSION; HEMODYNAMICS; FIBROSIS; THERAPY; SERIES</t>
  </si>
  <si>
    <t>Reference centers for rare respiratory diseases</t>
  </si>
  <si>
    <t>Le Pavec, Jerome; Humbert, Marc</t>
  </si>
  <si>
    <t>Le Pavec, J; Humbert, M</t>
  </si>
  <si>
    <t>WOS:000246484100001</t>
  </si>
  <si>
    <t>167WV</t>
  </si>
  <si>
    <t>10.1111/j.1398-9995.2007.01415.x</t>
  </si>
  <si>
    <t>Humbert, M (corresponding author), Univ Paris Sud, Serv Pneumol, Hop Antoine Beclere, APHP, 157 Rue Porte Trivaux, F-92140 Clamart, France.</t>
  </si>
  <si>
    <t>Assistance Publique Hopitaux Paris (APHP); Hopital Universitaire Ambroise-Pare - APHP; Universite Paris Saclay; Hopital Universitaire Antoine-Beclere - APHP; Universite de Montpellier; CHU de Montpellier</t>
  </si>
  <si>
    <t>Univ Paris Sud, Serv Pneumol, Hop Antoine Beclere, APHP, F-92140 Clamart, France; Univ Montpellier, Cliv Malad Resp, Hop Arnaud de Villeneuve, F-34059 Montpellier, France</t>
  </si>
  <si>
    <t>SEVERE PERSISTENT ASTHMA; OMALIZUMAB; SEVERITY; BURDEN</t>
  </si>
  <si>
    <t>Allergy celebrates the 2007 World Asthma Day:: 'You can control your asthma!'</t>
  </si>
  <si>
    <t>Humbert, M.; Bousquet, J.</t>
  </si>
  <si>
    <t>WOS:000246484100005</t>
  </si>
  <si>
    <t>10.1111/j.1398-9995.2007.01394.x</t>
  </si>
  <si>
    <t>Humbert, Marc/0000-0003-0703-2892; Montani, David/0000-0002-9358-6922; leroyer, christophe/0000-0002-7601-1692; chanez, pascal/0000-0003-4059-0917</t>
  </si>
  <si>
    <t>Delacourt, Christophe/K-6161-2019; leroyer, christophe/HTT-3905-2023; David, Montani/I-6885-2019; Raherison, Chantal/T-3556-2019; Humbert, Marc/AAC-8459-2019</t>
  </si>
  <si>
    <t>Dusser, D (corresponding author), Univ Paris 05, Hop Cochin, Serv Pneumol, APHP, 27 Rue Faubourg St Jacques, F-75679 Paris, France.</t>
  </si>
  <si>
    <t>Assistance Publique Hopitaux Paris (APHP); Universite Paris Cite; Hopital Universitaire Cochin - APHP; Hopital Universitaire Ambroise-Pare - APHP; Hopital Universitaire Hotel-Dieu - APHP; Universite de Montpellier; CHU de Montpellier; Assistance Publique Hopitaux Paris (APHP); Universite Paris Cite; Hopital Universitaire Necker-Enfants Malades - APHP; Universite Paris-Est-Creteil-Val-de-Marne (UPEC); CHI Creteil; Universite de Lille; CHU Lille; Hospital Foch; CHU de Toulouse; CHU Brest; Universite de Rouen Normandie; CHU de Rouen; Institut National de la Sante et de la Recherche Medicale (Inserm); Universite de Lille; CHU Lille; CHU Bordeaux; Assistance Publique Hopitaux Paris (APHP); Hopital Universitaire Antoine-Beclere - APHP</t>
  </si>
  <si>
    <t>Univ Paris 05, Hop Cochin, Serv Pneumol, APHP, F-75679 Paris, France; Arnaud Villeneuve Hosp, Resp Dis Clin, Montpellier, France; Necker 3 Children Hosp, Pediat Dept 6, Paris, France; Ctr Hosp Intercommunal, Dept Pediat, Creteil, France; Jeanne de Flandre Hosp, Pediat Clin, Pediat Pneumol &amp; Allergol Unit, Lille, France; Foch Hosp, Dept Biol Clin, Suresnes, France; Larrey Hosp, Resp Airways Clin, Toulouse, France; Cavale Blanche Hosp, Internal Med &amp; Pneumol Dept, Brest, France; Charles Nicolle Hosp, Med Pediat Dept, Rouen, France; Parot Med Ctr, Lyon, France; Le Raincy Hosp Ctr, Dept Pneumol, Montfermeil, France; INSERM, Dept Epidemiol, Paris, France; Albert Calmette Hosp, Resp Dis Clin, Lille, France; Haut Leveque Hosp, Dept Resp Dis, Pessac, France; Antoine Beclere Hosp, Dept Pneumol, Clamart, France</t>
  </si>
  <si>
    <t>This review is the synthesis of a working group on mild asthma. Mild asthma includes intermittent and persistent mild asthma according to the Global Initiative for Asthma (GINA) classification, and affects between 50% and 75% of asthmatic patients. Mild asthma is more frequent, more symptomatic, and less well controlled in children than in adults. Cohort studies from childhood to adulthood show that asthma severity usually remains stable over time. Nevertheless, mild asthma can lead to severe exacerbations, with a frequency ranging from 0.12 to 0.77 per patient-year. Severe exacerbations in mild asthma represent 30-40% of asthma exacerbations requiring emergency consultation. In mild asthma, inflammation and structural remodelling are constant, of varying intensity, but nonspecific. Therapy with inhaled corticosteroids (ICS) decreases bronchial inflammation, but has only a slight effect on structural remodelling, and, when stopped, inflammation immediately recurs. Permanent low-dose ICS therapy is the reference treatment for persistent mild asthma. Effectiveness is to be reassessed at 3 months, and if it is insufficient the patient is no longer considered mildly asthmatic, and treatment has to be stepped up. As mild asthma is the most frequent form of the disease, diagnosis and management require physicians' particular attention.</t>
  </si>
  <si>
    <t>LONG-TERM TREATMENT; NITRIC-OXIDE MEASUREMENTS; TO-MODERATE ASTHMA; PERSISTENT ASTHMA; AIRWAY INFLAMMATION; CHILDHOOD ASTHMA; INHALED BUDESONIDE; EARLY INTERVENTION; EOSINOPHILIC INFLAMMATION; RESOURCE UTILIZATION</t>
  </si>
  <si>
    <t>clinical signs; epidemiology; mild asthma; physiopathology; treatment</t>
  </si>
  <si>
    <t>Mild asthma: an expert review on epidemiology, clinical characteristics and treatment recommendations</t>
  </si>
  <si>
    <t>Dusser, D.; Montani, D.; Chanez, P.; de Blic, J.; Delacourt, C.; Deschildre, A.; Devillier, P.; Didier, A.; Leroyer, C.; Marguet, C.; Martinat, Y.; Piquet, J.; Raherison, C.; Serrier, P.; Tillie-Leblond, I.; Tonnel, A.-B.; de Lara, M. T.; Humbert, M.</t>
  </si>
  <si>
    <t>Dusser, D; Montani, D; Chanez, P; de Blic, J; Delacourt, C; Deschildre, A; Devillier, P; Didier, A; Leroyer, C; Marguet, C; Martinat, Y; Piquet, J; Raherison, C; Serrier, P; Tillie-Leblond, I; Tonnel, AB; de Lara, MT; Humbert, M</t>
  </si>
  <si>
    <t>WOS:000246814500011</t>
  </si>
  <si>
    <t>172OV</t>
  </si>
  <si>
    <t>10.1016/j.humpath.2006.11.022</t>
  </si>
  <si>
    <t>Hum. Pathol.</t>
  </si>
  <si>
    <t>HUM PATHOL</t>
  </si>
  <si>
    <t>0046-8177</t>
  </si>
  <si>
    <t>Perros, Frederic/0000-0001-7730-2427; Humbert, Marc/0000-0003-0703-2892; SANCHEZ, Olivier/0000-0003-1633-8391; Dorfmuller, Peter/0000-0003-2499-6829</t>
  </si>
  <si>
    <t>Simonneau, Gerald/ABE-6614-2020; Perros, Frederic/N-6921-2017; Humbert, Marc/AAC-8459-2019</t>
  </si>
  <si>
    <t>peter.dorfmuller@psl.aphp.fr</t>
  </si>
  <si>
    <t>Dorfmüller, P (corresponding author), CHU Pitie Salpetriere, Serv Anat &amp; Cytol Pathol, 47-83 Blvd Hop, F-75651 Paris 13, France.</t>
  </si>
  <si>
    <t>Assistance Publique Hopitaux Paris (APHP); Hopital Universitaire Pitie-Salpetriere - APHP; Sorbonne Universite; Institut National de la Sante et de la Recherche Medicale (Inserm); Universite Paris Saclay; Assistance Publique Hopitaux Paris (APHP); Hopital Universitaire Antoine-Beclere - APHP; Ruhr University Bochum</t>
  </si>
  <si>
    <t>CHU Pitie Salpetriere, Serv Anat &amp; Cytol Pathol, F-75651 Paris 13, France; Univ Paris Sud, Ctr Natl Reference Hypertens Arterielle Pulm, UPRES EA2705,Hop Antoine Beclere, INSERM U764,IFR 13,Serv Pneumol, F-92140 Clamart, France; Ruhr Univ Bochum, Inst Pathol, Berufsgenossenschaftl Kliniken Bergmannsheil, D-44789 Bochum, Germany</t>
  </si>
  <si>
    <t>Pulmonary arterial hypertension is a severe complication of connective tissue diseases. It is currently well established that pulmonary arterial hypertension associated with connective tissue diseases such as systemic sclerosis is frequently less responsive or even refractory to pulmonary vasodilator therapies. In that setting, pulmonary venoocclusive disease is believed to contribute to treatment failures. We therefore hypothesized that pulmonary arterial hypertension associated with connective tissue diseases may be associated with obstructive lesions of pulmonary veins. Lung samples from 8 patients with pulmonary arterial hypertension associated with connective tissue diseases (4 limited systemic sclerosis, 2 systemic lupus erythematosus, 1 mixed connective tissue diseases, and 1 rheumatoid arthritis) were studied by light microscopy and analyzed by immunohistochemistry (5 postmortem samples, 3 explants after lung transplantation). Findings were compared with 29 pulmonary arterial hypertension cases from patients displaying neither connective tissue diseases nor associated conditions. We found that (a) 6 (75%) of 8 patients with pulmonary arterial hypertension associated with connective tissue diseases showed significant obstructive pulmonary vascular lesions predominating in veins/preseptal venules, as compared with 5 (17.2%) of 29 non-connective tissue diseases control pulmonary arterial hypertension; (b) lesions of small muscular arteries were consistently present in pulmonary arterial hypertension associated with connective tissue diseases, showing mostly intimal fibrosis and thrombotic lesions; and (c) 6 of 8 lung samples from patients with pulmonary arterial hypertension associated with connective tissue diseases revealed perivascular inflammatory infiltration. In conclusion, our study highlights the fact that pulmonary arterial hypertension complicating the course of connective tissue diseases may be characterized by a more frequent involvement of pulmonary veins and may thus explain why these patients are less prone to respond to specific pulmonary arterial hypertension treatment as compared with idiopathic pulmonary arterial hypertension. (c) 2007 Elsevier Inc. All rights reserved.</t>
  </si>
  <si>
    <t>VENOOCCLUSIVE DISEASE; CAPILLARY HEMANGIOMATOSIS; PLEXIFORM LESIONS; THERAPY; PATHOGENESIS; EPOPROSTENOL; INFLAMMATION; SCLERODERMA; SECONDARY; SCLEROSIS</t>
  </si>
  <si>
    <t>pulmonary arterial hypertension; venoocclusive disease; connective tissue diseases; intimal fibrosis; thrombotic lesion</t>
  </si>
  <si>
    <t>HUMAN PATHOLOGY</t>
  </si>
  <si>
    <t>Fibrous remodeling of the pulmonary venous system in pulmonary arterial hypertension associated with connective tissue diseases</t>
  </si>
  <si>
    <t>Dorfmueller, Peter; Humbert, Marc; Perros, Frederic; Sanchez, Olivier; Simonneau, Gerald; Mueller, Klaus-Michael; Capron, Frederique</t>
  </si>
  <si>
    <t>Dorfmüller, P; Humbert, M; Perros, F; Sanchez, O; Simonneau, G; Müller, KM; Capron, F</t>
  </si>
  <si>
    <t>WOS:000247232800008</t>
  </si>
  <si>
    <t>178PO</t>
  </si>
  <si>
    <t>10.1016/j.jaci.2006.11.702</t>
  </si>
  <si>
    <t>MRC(UK Research &amp; Innovation (UKRI)Medical Research Council UK (MRC)); Medical Research Council(UK Research &amp; Innovation (UKRI)Medical Research Council UK (MRC))</t>
  </si>
  <si>
    <t>MRC [G0800766] Funding Source: UKRI; Medical Research Council [G0800766] Funding Source: Medline</t>
  </si>
  <si>
    <t>Wenzel, Sally/0000-0002-4242-0164; Gaga, Mina/0000-0002-9949-6012; Vachier, Isabelle/0000-0003-2730-5165; Anderson, Gary P./0000-0001-6580-3398; Rabe, Klaus F./0000-0002-7020-1401; Humbert, Marc/0000-0003-0703-2892; Dahlen, Barbro/0000-0003-3803-9034; chanez, pascal/0000-0003-4059-0917; Fabbri, Leonardo/0000-0001-8894-1689; brightling, chris/0000-0002-9345-4903</t>
  </si>
  <si>
    <t>Bonniaud, Philippe/ITT-4660-2023; Rabe, Klaus/AAW-6296-2021; Wenzel, Sally/ABY-1380-2022; Anto, J/H-2676-2014; holgate, stephen/JOZ-4882-2023; Sterk, P.J./AAK-8175-2020; Vachier, Isabelle/AAV-5731-2020; Castro, Mario/ABD-7776-2021; Gaga, Mina/AAP-8348-2020; Busse, William/AFR-0848-2022; Humbert, Marc/AAC-8459-2019; Fabbri, Leonardo/I-4055-2012</t>
  </si>
  <si>
    <t>chanez@montp.inserm.fr</t>
  </si>
  <si>
    <t>Chanez, P (corresponding author), Clin Malad Resp, 371 Av Doyen Gaston Giraud, F-34295 Montpellier 05, France.</t>
  </si>
  <si>
    <t>Clin Malad Resp, F-34295 Montpellier 05, France</t>
  </si>
  <si>
    <t>The term severe refractory asthma (SRA) in adults applies to patients who remain difficult to control despite extensive reevaluation of diagnosis and management following an observational period of at least 6 months by a specialist. Factors that influence asthma control should be recognized and adequately addressed prior to confirming the diagnosis of SRA.</t>
  </si>
  <si>
    <t>AIRWAY SMOOTH-MUSCLE; GROWTH-FACTOR RECEPTOR; EXHALED NITRIC-OXIDE; ANTI-IGE ANTIBODY; PERSISTENT ASTHMA; RISK-FACTORS; GLUCOCORTICOID-RECEPTOR; BRONCHIAL THERMOPLASTY; CHLAMYDIA-PNEUMONIAE; CLINICAL PHENOTYPES</t>
  </si>
  <si>
    <t>epidemiology; pathophysiology; management; research perspectives; severe asthma</t>
  </si>
  <si>
    <t>Severe asthma in adults: What are the important questions?</t>
  </si>
  <si>
    <t>Chanez, Pascal; Wenzel, Sally E.; Anderson, Gary P.; Anto, Josep M.; Bel, Elisabeth H.; Boulet, Louis-Philippe; Brightling, Christopher E.; Busse, William W.; Castro, Mario; Dahlen, Babro; Dahlen, Sven Erik; Fabbri, Leo M.; Holgate, Stephen T.; Humbert, Marc; Gaga, Mina; Joos, Guy F.; Levy, Bruce; Rabe, Klaus F.; Sterk, Peter J.; Wilson, Susan J.; Vachier, Isabelle</t>
  </si>
  <si>
    <t>Chanez, P; Wenzel, SE; Anderson, GP; Anto, JM; Bel, EH; Boulet, LP; Brightling, CE; Busse, WW; Castro, M; Dahlen, B; Dahlen, SE; Fabbri, LM; Holgate, ST; Humbert, M; Gaga, M; Joos, GF; Levy, B; Rabe, KF; Sterk, PJ; Wilson, SJ; Vachier, I</t>
  </si>
  <si>
    <t>WOS:000248191600001</t>
  </si>
  <si>
    <t>192HM</t>
  </si>
  <si>
    <t>10.1183/09031936.00055407</t>
  </si>
  <si>
    <t>Humbert, M (corresponding author), Antoine Beclere Hosp, Dept Resp Med, 157,Rue Porte de Trivaux, F-92140 Clamart, France.</t>
  </si>
  <si>
    <t>Antoine Beclere Hosp, Dept Resp Med, F-92140 Clamart, France</t>
  </si>
  <si>
    <t>ARTERIAL-HYPERTENSION; HEART</t>
  </si>
  <si>
    <t>The burden of pulmonary hypertension</t>
  </si>
  <si>
    <t>WOS:000247765900017</t>
  </si>
  <si>
    <t>186GA</t>
  </si>
  <si>
    <t>10.1016/j.rmed.2007.01.011</t>
  </si>
  <si>
    <t>Humbert, Marc/0000-0003-0703-2892; Rabe, Klaus F./0000-0002-7020-1401; Chung, Kian Fan/0000-0001-7101-1426</t>
  </si>
  <si>
    <t>holgate, stephen/JOZ-4882-2023; Rabe, Klaus/AAW-6296-2021; Humbert, Marc/AAC-8459-2019; Chung, Kian Fan/B-1872-2012</t>
  </si>
  <si>
    <t>jean.bousquet@wanadoo.fr</t>
  </si>
  <si>
    <t>Bousquet, J (corresponding author), Hop Arnaud Villeneuve, Serv Pneumol, 371 Ave Doyen G Giraud, F-34295 Montpellier, France.</t>
  </si>
  <si>
    <t>Universite de Montpellier; CHU de Montpellier; Leiden University; Leiden University Medical Center (LUMC); Leiden University - Excl LUMC; Assistance Publique Hopitaux Paris (APHP); Hopital Universitaire Antoine-Beclere - APHP; Institut National de la Sante et de la Recherche Medicale (Inserm); Universite Paris Saclay; Imperial College London; Novartis; Novartis United Kingdom; University of Southampton</t>
  </si>
  <si>
    <t>Hop Arnaud Villeneuve, Serv Pneumol, F-34295 Montpellier, France; Leiden Univ, Med Ctr, Dept Pulmonol, NL-2300 RA Leiden, Netherlands; Univ Paris 11, Hop Antoine Beclere, AP HP, INSERM U764,Serv Pneumol, Clamart, France; Imperial Coll Sch Med, Natl Heart &amp; Lung Inst, London SW3 6LY, England; Allergy &amp; Asthma Associates, Mission Viejo, CA 92691 USA; Novartis Horsham Res Ctr, Horsham RH12 5AB, W Sussex, England; Southampton Gen Hosp, AIR Div, Southampton SO16 6YD, Hants, England</t>
  </si>
  <si>
    <t>Background: Omalizumab is a monoclonal antibody indicated for treatment of severe persistent allergic asthma inadequately controlled despite optimal. controller therapy. We investigated whether patient selection could be targeted further. Methods: Data from seven randomized controlled omalizumab trials were analyzed to investigate whether pre-treatment patient baseline clinical characteristics could be identified that were predictive of a superior response to omalizumab. We also studied whether patients who respond to omalizumab following a course of treatment could be reliably identified. Univariate/multivariate analyses of INNOVATE data were performed to identify predictive baseline measures and further investigated in efficacy analyses of pooled data from seven studies. The best method of identifying responders to omalizumab following treatment was determined by assessing the ability of various clinical response criteria to identify responders and discriminate patient exacerbation and other outcomes. Results: Baseline total immunoglobulin E (IgE) was the only predictor of efficacy in INNOVATE. However, pooled analysis showed treatment benefits irrespective of IgE levels. In omalizumab-treated patients, physician's overall assessment following a course of treatment identified 61% as responders and best discriminated treatment outcomes. Conclusion: Baseline characteristics do not reliably predict benefit with omalizumab. Physician's overall assessment after 16 weeks of treatment is the most meaningful measure of response to therapy. (C) 2007 Elsevier Ltd. All rights reserved.</t>
  </si>
  <si>
    <t>ANTI-IGE ANTIBODY; ANTIIMMUNOGLOBULIN-E THERAPY; LONG-TERM CONTROL; QUALITY-OF-LIFE; EFFICACY; EXACERBATIONS; TOLERABILITY</t>
  </si>
  <si>
    <t>omalizumab; allergic asthma; immunoglobulin E</t>
  </si>
  <si>
    <t>Predicting and evaluating response to omalizumab in patients with severe allergic asthma</t>
  </si>
  <si>
    <t>Bousquet, J.; Rabe, K.; Humbert, M.; Chung, K. F.; Berger, W.; Fox, H.; Ayre, G.; Chen, H.; Thomas, K.; Blogg, M.; Holgate, S.</t>
  </si>
  <si>
    <t>Bousquet, J; Rabe, K; Humbert, M; Chung, KF; Berger, W; Fox, H; Ayre, G; Chen, H; Thomas, K; Blogg, M; Holgate, S</t>
  </si>
  <si>
    <t>WOS:000248779700002</t>
  </si>
  <si>
    <t>200RE</t>
  </si>
  <si>
    <t>10.1378/chest.07-0903</t>
  </si>
  <si>
    <t>Bousquet, Jean/O-4221-2019; Souza, Rogerio/I-3584-2013; Humbert, Marc/AAC-8459-2019</t>
  </si>
  <si>
    <t>Humbert, M (corresponding author), Univ Paris Sud, Hop Antoine Beclere, Ctr Natl Reference Hypertens Arterielle Pulm, 157 Rue Porte Trivaux, F-92140 Clamart, France.</t>
  </si>
  <si>
    <t>Assistance Publique Hopitaux Paris (APHP); Hopital Universitaire Antoine-Beclere - APHP; Universite Paris Saclay; Assistance Publique Hopitaux Paris (APHP); Universite de Montpellier; CHU de Montpellier; Universidade de Sao Paulo</t>
  </si>
  <si>
    <t>Univ Paris Sud, Hop Antoine Beclere, Ctr Natl Reference Hypertens Arterielle Pulm, F-92140 Clamart, France; Hop Paris, Paris, France; Univ Montpellier, Hop Arnaud Villeneuve, Clin Malad Resp, F-34059 Montpellier, France; Univ Sao Paulo, Dept Pulm, Pulm Hypertens Unit, Sao Paulo, Brazil</t>
  </si>
  <si>
    <t>SURVIVAL</t>
  </si>
  <si>
    <t>Pulmonary hypertension - From an orphan disease to a public health problem</t>
  </si>
  <si>
    <t>Humbert, Marc; Khaltaev, Nikolai; Bousquet, Jean; Souza, Rogerio</t>
  </si>
  <si>
    <t>Humbert, M; Khaltaev, N; Bousquet, J; Souza, R</t>
  </si>
  <si>
    <t>WOS:000248613500021</t>
  </si>
  <si>
    <t>198FX</t>
  </si>
  <si>
    <t>10.1183/09031936.00138706</t>
  </si>
  <si>
    <t>Humbert, M (corresponding author), Antoine Beclere Hosp, Dept Resp Med, Clamart, France.</t>
  </si>
  <si>
    <t>Assistance Publique Hopitaux Paris (APHP); Hopital Universitaire Antoine-Beclere - APHP; Actelion Pharmaceuticals Ltd; Actelion Pharmaceuticals Ltd; University of Sheffield; University of Copenhagen; Copenhagen University Hospital; Rigshospitalet; Hannover Medical School</t>
  </si>
  <si>
    <t>Antoine Beclere Hosp, Dept Resp Med, Clamart, France; Actelion Pharmaceut, Global Drug Safety, Allschwil, Switzerland; Actelion Pharmaceut, Global Med Sci, Allschwil, Switzerland; Royal Hallamshire Hosp, Dept Med Res, Sheffield S10 2JF, S Yorkshire, England; Rigshosp, Dept Med, DK-2100 Copenhagen, Denmark; Hannover Med Sch, Dept Resp Med, D-3000 Hannover, Germany</t>
  </si>
  <si>
    <t>After the approval of bosentan for the treatment of pulmonary arterial hypertension (PAH), European authorities required the introduction of a post-marketing surveillance, system (PMS) to obtain further data on its safety profile. A novel, prospective, internet-based PMS was designed, which solicited reports on elevated aminotransferases, medical reasons for bosentan discontinuation and other serious adverse events requiring hospitalisation. Data captured included demographics, PAH aetiology, baseline functional status and concomitant PAH-specific medications. Safety signals captured included death, hospitalisation, serious adverse events, unexpected adverse events and elevated aminotransferases. Within 30 months, 4,994 patients were included, representing 79% of patients receiving bosentan in Europe. In total, 4,623 patients were naive to treatment; of these, 352 had elevated aminotransferases, corresponding to a crude incidence of 7.6% and an annual rate of 10.1%. Bosentan was discontinued due to elevated aminotransferases in 150 (3.2%) bosentan-naive patients. Safety results were consistent across subgroups and aetiologies. The novel post-marketing surveillance captured targeted safety data (potential safety signals) from the majority of patients and confirmed that the incidence and severity of elevated aminotransferase levels in clinical practice was similar to that reported in clinical trials. These data complement those from randomised controlled clinical trials and provide important additional information on the safety profile of bosentan.</t>
  </si>
  <si>
    <t>aminotransferase elevation; bosentan; post-marketing surveillance; pulmonary arterial hypertension</t>
  </si>
  <si>
    <t>Results of European post-marketing surveillance of bosentan in pulmonary hypertension</t>
  </si>
  <si>
    <t>Humbert, M.; Segal, E. S.; Kiely, D. G.; Carlsen, J.; Schwierin, B.; Hoeper, M. M.</t>
  </si>
  <si>
    <t>Humbert, M; Segal, ES; Kiely, DG; Carlsen, J; Schwierin, B; Hoeper, MM</t>
  </si>
  <si>
    <t>WOS:000247816900026</t>
  </si>
  <si>
    <t>186ZK</t>
  </si>
  <si>
    <t>Raherison, Chantal/T-3556-2019; leroyer, christophe/HTT-3905-2023; David, Montani/I-6885-2019; Humbert, Marc/AAC-8459-2019</t>
  </si>
  <si>
    <t>Mild asthma: an expert review on epidemiology, clinical characteristics and treatment recommendations. (vol 62, pg 591, 2007)</t>
  </si>
  <si>
    <t>Dusser, D.; Montani, D.; Chanez, P.; de Blic, J.; Delacourt, C.; Deschildre, A.; Devillier, P.; Didier, A.; Leroyer, C.; Marguet, C.; Martinat, Y.; Piquet, J.; Raherison, C.; Serrier, P.; Tillie-Leblond, I.; Tonnel, A.-B.; de lara, M. T.; Humbert, M.</t>
  </si>
  <si>
    <t>WOS:000249567200006</t>
  </si>
  <si>
    <t>212AY</t>
  </si>
  <si>
    <t>10.1097/MD.0b013e3181579781</t>
  </si>
  <si>
    <t>HACHULLA, ERIC/0000-0001-7432-847X; JAIS, XAVIER/0000-0002-4104-7994; Humbert, Marc/0000-0003-0703-2892; Launay, David/0000-0003-1840-1817</t>
  </si>
  <si>
    <t>Launay, David/A-5270-2018; Simonneau, Gerald/ABE-6614-2020; HACHULLA, ERIC/R-8488-2018; Humbert, Marc/AAC-8459-2019; Launay, David/H-1674-2016</t>
  </si>
  <si>
    <t>Humbert, M (corresponding author), Univ Paris Sud 11, Hop Antoine Beclere, Serv Pneumol &amp; Reanimat Resp,UPRES EA2705, Assuistance Publ Hop Paris,Ctr Natl Reference Hyp, 157 Rue Porte Trivaux, F-92140 Clamart, France.</t>
  </si>
  <si>
    <t>Universite Paris Saclay; Assistance Publique Hopitaux Paris (APHP); Hopital Universitaire Antoine-Beclere - APHP; Universite de Lille; CHU Lille</t>
  </si>
  <si>
    <t>Univ Paris Sud 11, Hop Antoine Beclere, Serv Pneumol &amp; Reanimat Resp,UPRES EA2705, Assuistance Publ Hop Paris,Ctr Natl Reference Hyp, F-92140 Clamart, France; Univ Lille 2, CHRU Lille, Hop Claude Huriez, Ctr Natl Reference Sclerodermie,Serv Med Interne, Lille, France</t>
  </si>
  <si>
    <t>Primary Sjogren syndrome (pSS) is a fairly common autoimmune disease with glandular and extraglandular manifestations. Pulmonary involvement mainly corresponds to small airways and interstitial lung disease. Pulmonary arterial hypertension (PAH) is rare: to our knowledge, only 3.2 cases have been reported in pSS patients to date. PAH is a disease of the small pulmonary arteries characterized by vascular proliferation and remodeling, resulting in a progressive increase in pulmonary vascular resistance, and, ultimately, right ventricular failure and death. We report 9 new cases of pSS-associated PAH with a complete assessment including clinical characteristics (of both PAH and pSS), hemodynamic parameters, medical management, and outcome. We also review the 19 fully documented PAH patients with pSS reported in the English-language literature, therefore analyzing a total of 28 cases (27 women; mean age at PAH diagnosis, 50 +/- 11 yr; range, 23-68 yr). Functional impairment at diagnosis was severe, with a New York Heart Association (NYHA) functional class of III or IV in most cases. Seven of 15 (47%) patients for whom data were available had history or evidence of right heart failure at PAH diagnosis. Hemodynamic parameters were moderate to severe with a mean pulmonary artery pressure of 44 +/- 11 mm Hg (range, 24-60 mm Hg) and a cardiac index of 2.91 +/- 0.72 Lmin(-1) m(-2) (range, 1.36-3.88 Lmin(-1) m(-2)). Standard PAH therapy (endothelin receptor antagonists, phosphodiesterase type 5 inhibitors, or prostanoids) was initially effective in some patients but had short-term and long-term failures. Some patients were treated with first-line immunosuppressants alone leading to improvement in some, but second-line standard PAH therapy was added in all cases thereafter. The best treatment strategy remains to be defined. Estimated survival rates were low (73% and 66% at 1 and 3 years, respectively). Compared with pSS patients without PAH, patients with pSS-associated PAH had Raynaud phenomenon, cutaneous vasculitis, and interstitial lung disease significantly more frequently. They also more frequently had antinuclear, anti-Ro/SSA, and anti-RNP autoantibodies, as well as positive rheumatoid factor and hypergammaglobulinemia. These data suggest that systemic vasculopathy, B-cell activation, and autoinimunity could play a role in the pathophysiology of pSS-associated PAR in conclusion, this report underlines the rarity and severity of PAH in pSS patients. The best therapeutic regimen remains to be defined but should include standard PAH therapy and/or immunosuppressants.</t>
  </si>
  <si>
    <t>CONNECTIVE-TISSUE DISEASES; INTERSTITIAL LUNG-DISEASE; SYSTEMIC-SCLEROSIS; PLEXIFORM LESIONS; THERAPY; PATHOGENESIS; ASSOCIATION; GUIDELINES; DIAGNOSIS; PROSTACYCLIN</t>
  </si>
  <si>
    <t>Pulmonary arterial hypertension: A rare complication of primary Sjogren syndrome - Report of 9 new cases and review of the literature</t>
  </si>
  <si>
    <t>Launay, David; Hachulla, Eric; Hatron, Pierre-Yves; Jais, Xavier; Simonneau, Gald; Humbert, Marc</t>
  </si>
  <si>
    <t>Launay, D; Hachulla, E; Hatron, PY; Jais, X; Simonneau, G; Humbert, M</t>
  </si>
  <si>
    <t>WOS:000251080000003</t>
  </si>
  <si>
    <t>233HA</t>
  </si>
  <si>
    <t>10.1016/S0248-8663(07)80020-8</t>
  </si>
  <si>
    <t>S226</t>
  </si>
  <si>
    <t>S221</t>
  </si>
  <si>
    <t>HACHULLA, ERIC/R-8488-2018; Launay, David/A-5270-2018; Humbert, Marc/AAC-8459-2019; Launay, David/H-1674-2016</t>
  </si>
  <si>
    <t>Hachulla, E (corresponding author), Univ Lille 2, Hop Claude Huriez, Ctr Reference Atteintes Vasc Sclerodermie Syst, Serv Med Interne, F-59037 Lille, France.</t>
  </si>
  <si>
    <t>Universite de Lille; CHU Lille; Universite Paris Saclay; Assistance Publique Hopitaux Paris (APHP); Hopital Universitaire Antoine-Beclere - APHP</t>
  </si>
  <si>
    <t>Univ Lille 2, Hop Claude Huriez, Ctr Reference Atteintes Vasc Sclerodermie Syst, Serv Med Interne, F-59037 Lille, France; Univ Paris 11, Hop Antoine Beclere, Ctr Natl Reference Hypertens Arterielles Pulm, Serv Pneumol &amp; Reanimat Resp,AP HP, Clamart, France</t>
  </si>
  <si>
    <t>Bosentan is the first orally active, high affinity endothelin dual receptor antagonist approved for the treatment of PAR Elevated circulating levels and increased tissue expression of endothelin-1 are characteristic of scleroderma (ScS) and patients show endothelin-receptor overexpression in affected tissues and organs. Two randomized trials have demonstrated that bosentan is effective in PAH and (idiopathic or related to connective tissue diseases (CTD)) particularly ScS, improving 6-minute walk (6MW) distance, haemodynamic parameters, and time to clinical worsening. Extension of these two pivotal randomized studies has shown in the PAH-CTD subgroup (including 79% ScS and 12% systemic lupus) survival of 85.9% and 73.4% at 1 and 2 years, respectively. The tolerability of bosentan is good in ScS-patients. The post-marketing surveillance program (Actelion TRAX) showed that elevated liver enzymes after treatment initiation were recorded in 9.4% of the 1,070 ScS patients treated with bosentan by the 19 November 2004, compared with 8.4% in idiopathic PAH patients. (C) 2007 Elsevier SAS. Tons droits reserves.</t>
  </si>
  <si>
    <t>RECEPTOR ANTAGONIST BOSENTAN; CONNECTIVE-TISSUE DISEASE; SYSTEMIC-SCLEROSIS; INHALED ILOPROST; RISK-FACTORS; SURVIVAL; PREVALENCE</t>
  </si>
  <si>
    <t>scleroderma; pulmonary arterial hypertension; bosentan</t>
  </si>
  <si>
    <t>Bosentan for the treatment of pulmonary arterial hypertension associated to scleroderma</t>
  </si>
  <si>
    <t>Hachulla, E.; Launay, D.; Humbert, M.</t>
  </si>
  <si>
    <t>Hachulla, E; Launay, D; Humbert, M</t>
  </si>
  <si>
    <t>WOS:000250157700016</t>
  </si>
  <si>
    <t>220LH</t>
  </si>
  <si>
    <t>10.1016/j.jaci.2007.05.046</t>
  </si>
  <si>
    <t>Humbert, Marc/0000-0003-0703-2892; Godot, Veronique/0000-0003-3557-308X; AROCK, Michel/0000-0002-3990-4408</t>
  </si>
  <si>
    <t>Godot, V (corresponding author), INSERMU764, 32 Rue Carnets, F-92140 Clamart, France.</t>
  </si>
  <si>
    <t>Institut National de la Sante et de la Recherche Medicale (Inserm); Institut National de la Sante et de la Recherche Medicale (Inserm); Universite Paris Saclay; Centre National de la Recherche Scientifique (CNRS); Assistance Publique Hopitaux Paris (APHP); Hopital Universitaire Antoine-Beclere - APHP; Centre National de la Recherche Scientifique (CNRS); Assistance Publique Hopitaux Paris (APHP); Hopital Universitaire Antoine-Beclere - APHP; Assistance Publique Hopitaux Paris (APHP); Hopital Universitaire Antoine-Beclere - APHP</t>
  </si>
  <si>
    <t>INSERMU764, F-92140 Clamart, France; Univ Paris 11, Inst Natl Sante Rech Med, Fac Med Paris Sud, Inst Fed Rech 143, Clamart, France; CNRS, Unite Mixte Rech 8113, Cachan, France; Assitance Publ Hop Paris, Hop Antoine Beclere, Serv Explorat Fonctionnelles Resp, Clamart, France; CNRS, Unite Mixte Rech 8147, Paris, France; Assitance Publ Hop Paris, Hop Antoine Beclere, Serv Microbiol Immunol Biol, Clamart, France; Assitance Publ Hop Paris, Hop Antoine Beclere, Serv Pneumol, Clamart, France</t>
  </si>
  <si>
    <t>Background: CXCL12, a constitutive chemokine (ligand of CXCR4 and CXCR7), is expressed in the skin and airway epithelium and plays a significant role in allergic airway diseases. The pleiotropic effects of CXCL12 are enhanced by cofactors specific to the target cell. Objective: We hypothesized that histamine, a major mediator of allergic reactions, could interact with CXCL12 to promote human mast cell (MC) migration. Methods: The chemotactic effects of CXCL12 alone or in combination with histamine were evaluated on human precursor and mature MCs by using in vitro migration assays. Results: CXCL12 exerts a chemotactic activity on both precursor and fully mature MCs. Histamine and supernatants from IgE-activated MCs enhanced CXCL12 chemotactic activity on the precursor MC population. The synergy between histamine and CXCL12 was not observed with mature MCs, CD4(+) T cells, and monocytes. Inhibition of histamine receptors pharmacologically or with specific small interfering RNA (siRNA) indicated that synergy between histamine and CXCL12 required the H-4 receptor. Conclusion: Histamine released by allergen-activated mature MCs might promote MC-rich allergic inflammation by enhancing recruitment of their precursors in tissues constitutively expressing CXCL12, including skin and airways. Clinical implications: This work highlights a novel role of the H-4 receptor in the perpetuation of allergic responses and provides evidence for the Utility of H-4 receptor antagonists in the treatment of allergic diseases.</t>
  </si>
  <si>
    <t>AIRWAY SMOOTH-MUSCLE; IN-VITRO; LYMPHOCYTE CHEMOATTRACTANT; PROGENITOR CELLS; DENDRITIC CELLS; STEEL FACTOR; CHEMOKINES; ASTHMA; EXPRESSION; RESPONSES</t>
  </si>
  <si>
    <t>mast cell precursors; CXCL12 histamine; H-4 receptor; cell migration</t>
  </si>
  <si>
    <t>H4 histamine receptor mediates optimal migration of mast cell precursors to CXCL 12</t>
  </si>
  <si>
    <t>Godot, Veronique; Arock, Michel; Garcia, Gilles; Capel, Francis; Flys, Carine; Dy, Michel; Emilie, Dominique; Humbert, Marc</t>
  </si>
  <si>
    <t>Godot, V; Arock, M; Garcia, G; Capel, F; Flys, C; Dy, M; Emilie, D; Humbert, M</t>
  </si>
  <si>
    <t>WOS:000251542600014</t>
  </si>
  <si>
    <t>239UE</t>
  </si>
  <si>
    <t>10.1016/S0761-8425(07)74268-7</t>
  </si>
  <si>
    <t>anneddlr@yahoo.fr</t>
  </si>
  <si>
    <t>Dumas de la Roque, A (corresponding author), Hop Antoine Beclere, Serv Radiol, 157 Rue Porte Trivaux, F-92140 Clamart, France.</t>
  </si>
  <si>
    <t>[Dumas de la Roque, A.; Maitre, S.; Resten, A.; Lacroix, V.; Musset, D.] Hop Antoine Beclere, Serv Radiol, F-92140 Clamart, France; [Humbert, M.; Simonneau, G.] Hop Antoine Beclere, Serv Pneumol, Clamart, France</t>
  </si>
  <si>
    <t>Introduction In pulmonary sarcoidosis, vascular involvement is usually limited to the small and medium-sized vessels: Enlarged hilar lymph nodes are usually considered to be soft and hence unlikely to cause pressure on adjacent bronchi or blood vessels. Case report We report a rare symptomatic compression of a major pulmonary artery by lymphadenopathy in a case of sarcoidosis. Our patient presented with exertional dyspnoea, with enlarged hilar lymph nodes responsible for segmental pulmonary arterial hypertension, without other thoracic abnormalities. The symptoms and lymphadenopathy regressed with corticosteroid therapy. Conclusion Enlarged hilar lymph nodes can compress major pulmonary arteries and cause segmental pulmonary hypertension. The prognosis can be grave in the absence of treatment.</t>
  </si>
  <si>
    <t>sarcoidosis; pulmonary arteries; stenosis; adenopathy; pulmonary angiography</t>
  </si>
  <si>
    <t>Hilar adenopathy compressing the pulmonary arteries in the course of sarcoidosis</t>
  </si>
  <si>
    <t>Dumas de la Roque, A.; Maitre, S.; Resten, A.; Lacroix, V.; Humbert, M.; Simonneau, G.; Musset, D.</t>
  </si>
  <si>
    <t>Dumas de la Roque, A; Maitre, S; Resten, A; Lacroix, V; Humbert, M; Simonneau, G; Musset, D</t>
  </si>
  <si>
    <t>WOS:000250889400015</t>
  </si>
  <si>
    <t>230PW</t>
  </si>
  <si>
    <t>10.1164/rccm.200610-1559OC</t>
  </si>
  <si>
    <t>Perros, Frederic/0000-0001-7730-2427; TU, Ly/0000-0003-2336-5099; SANCHEZ, Olivier/0000-0003-1633-8391; Humbert, Marc/0000-0003-0703-2892</t>
  </si>
  <si>
    <t>Simonneau, Gerald/ABE-6614-2020; Perros, Frederic/N-6921-2017; TU, Ly/G-4035-2013; Humbert, Marc/AAC-8459-2019</t>
  </si>
  <si>
    <t>Eddahibi, S (corresponding author), Fac Med 8, INSERM, U841, Ave Gen Sarrail, F-94010 Creteil, France.</t>
  </si>
  <si>
    <t>Universite Paris-Est-Creteil-Val-de-Marne (UPEC); Institut National de la Sante et de la Recherche Medicale (Inserm); Assistance Publique Hopitaux Paris (APHP); Hopital Universitaire Henri-Mondor - APHP; Universite Paris Saclay; Assistance Publique Hopitaux Paris (APHP); Hopital Universitaire Antoine-Beclere - APHP; Hopital Marie Lannelongue</t>
  </si>
  <si>
    <t>Hop Henri Mondor, INSERM, U841, Dept Physiol Explorat Fonctionnelles, F-94010 Creteil, France; Univ Paris 11, Hop Antoine Beclere, Ctr Natl Reference Hypertens Arterielle Pulm, Serv Pneumol,UPRES EA2705, Clamart, France; Hop Marie Lannelongue, Serv Chirurg Thoracique, Vasc Transplantat Cardiopulm, UPRES EA2705, Le Plessis Robinson, France</t>
  </si>
  <si>
    <t>Rationale: Inflammatory cytokines may affect pulmonary vascular remodeling in idiopathic pulmonary arterial hypertension (IPAH). CC chemokine ligand 2 (CCL2) is synthesized by vascular cells and can stimulate monocyte/macrophage migration and smooth muscle cell (SMC) proliferation. Objectives: To investigate the role of CCL2 in IPAH. Methods: CCL2 levels in plasma, monocytes, lungs, and medium from pulmonary endothelial cell (P-EC) or pulmonary artery SMC (PASMC) cultures were measured by ELISA and Western blot analysis, CCL2 receptor CCR2 mRNA levels in monocytes, P-ECs, and PA-SMCS were measured by real-time polymerase chain reaction. Effect of CCL2 on PA-SMC proliferation and migration was assessed using [H-3]thymidine incorporation and a modified Boyden's chamber. The effect of endothelial cell-derived CCL2 on monocyte migration was measured using a modified Boyden's chamber. Measurements and Main Results: Compared with control subjects, we found the following in patients with IPAH: elevated CCL2 protein levels in plasma and lung tissue, whereas monocyte CCL2 levels were similar between patients and control subjects, and elevated CCL2 release by P-ECs or PA-SMCs. P-ECs released twice as much CCL2 than did PA-SMCs. Monocyte migration was markedly increased in the presence of P-ECs, and the increase was larger with P-ECs from patients with IPAH. CCL2-blocking antibodies reduced P-ECs' chemotactic activity by 60%. Compared with controls, PA-SMCs from patients exhibited stronger migratory and proliferative responses to CCL2, in keeping with the finding that CCR2 was markedly increased in PA-SMCs from patients. Conclusions: These results suggest that CCL2 overproduction may be a feature of the abnormal P-EC phenotype in IPAH, contributing to the inflammatory process and to pulmonary vascular remodeling.</t>
  </si>
  <si>
    <t>MONOCYTE CHEMOATTRACTANT PROTEIN-1; SMOOTH-MUSCLE-CELLS; CHEMOTACTIC PROTEIN-1; INFLAMMATION; EXPRESSION; GROWTH; SUSCEPTIBILITY; PROLIFERATION; HYPERPLASIA; MECHANISMS</t>
  </si>
  <si>
    <t>pulmonary hypertension; enclothelial cells; smooth muscle cells; chemokines; CCL2</t>
  </si>
  <si>
    <t>Role of endothelium-derived CC chemokine ligand 2 in idiopathic pulmonary arterial hypertension</t>
  </si>
  <si>
    <t>Sanchez, Olivier; Marcos, Elisabeth; Perros, Frederic; Fadel, Elie; Tu, Ly; Humbert, Marc; Dartevelle, Philippe; Simonneau, Gerald; Adnot, Serge; Eddahibi, Saadia</t>
  </si>
  <si>
    <t>Sanchez, O; Marcos, E; Perros, F; Fadel, E; Tu, L; Humbert, M; Dartevelle, P; Gerald, S; Adnot, S; Eddahibi, S</t>
  </si>
  <si>
    <t>WOS:000250902600011</t>
  </si>
  <si>
    <t>230UW</t>
  </si>
  <si>
    <t>10.1136/ard.2007.069799</t>
  </si>
  <si>
    <t>Puechal, Xavier/0000-0003-3573-9203; berenbaum, francis/0000-0001-8252-7815; Baron, Gabriel/0000-0003-4893-2926; Breban, Maxime/0000-0002-6932-9395; Humbert, Marc/0000-0003-0703-2892; Ravaud, Philippe/0000-0001-8264-9206</t>
  </si>
  <si>
    <t>Mariette, Xavier/GYU-8073-2022; Salmon, Didier/M-5670-2013; Berenbaum, Francis/AAO-5690-2020; ravaud, philippe/C-1694-2009; PuÃ©chal, Xavier/HJY-7296-2023; Puechal, Xavier/P-1555-2017; Breban, Maxime/F-4772-2019; Humbert, Marc/AAC-8459-2019</t>
  </si>
  <si>
    <t>xavier.mariette@bct.ap-hop-paris.fr</t>
  </si>
  <si>
    <t>Mariette, X (corresponding author), Univ Paris Sud, Hop Bicetre, Serv Rhumatol, AP HP, 78 Rue Gen Leclerc, F-94275 Le Kremlin Bicetre, France.</t>
  </si>
  <si>
    <t>Assistance Publique Hopitaux Paris (APHP); Hopital Universitaire Antoine-Beclere - APHP; Universite Paris Saclay; Hopital Universitaire Bicetre - APHP; Universite Paris Saclay; Institut National de la Sante et de la Recherche Medicale (Inserm); Assistance Publique Hopitaux Paris (APHP); Hopital Universitaire Antoine-Beclere - APHP; Assistance Publique Hopitaux Paris (APHP); Universite Paris Cite; Hopital Universitaire Bichat-Claude Bernard - APHP; Universite Paris Cite; Assistance Publique Hopitaux Paris (APHP); Hopital Universitaire Saint-Louis - APHP; Centre Hospitalier Le Mans; Assistance Publique Hopitaux Paris (APHP); Hopital Universitaire Ambroise-Pare - APHP; Assistance Publique Hopitaux Paris (APHP); Sorbonne Universite; Hopital Universitaire Saint-Antoine - APHP; Assistance Publique Hopitaux Paris (APHP); Hopital Universitaire Antoine-Beclere - APHP; Universite Paris Saclay; Statens Serum Institut; Assistance Publique Hopitaux Paris (APHP); Universite Paris Cite; Hopital Universitaire Cochin - APHP</t>
  </si>
  <si>
    <t>Univ Paris Sud, Hop Bicetre, Serv Rhumatol, AP HP, F-94275 Le Kremlin Bicetre, France; Univ Paris Sud, Inst Paris Sud Cytokines, AP HP,INSERM UMR S764, Hop Antoine Beclere,Serv Microbiol Immunol Biol, Clamart, France; Univ Paris 07, Grp Hosp Bichat Claude Bernard, Dept Epidemiol Biostat &amp; Rech Clin, AP HP, Paris, France; Hop St Louis, Serv Gastroenterol, AP HP, Paris, France; Ctr Hosp Mans, Serv Rhumatol, Le Mans, France; Hop Ambroise Pare, Serv Rhumatol, AP HP, Boulogne, France; Hop St Antoine, Serv Rhumatol, AP HP, F-75571 Paris, France; Univ Paris Sud, Hop Antoine Beclere, Serv Pneumol, AP HP, Clamart, France; State Serum Inst, Dept Infect Dis &amp; Immunol, Copenhagen, Denmark; Hop Cochin, AP HP, Serv Med Interne &amp; Maladies Infect, F-75674 Paris, France</t>
  </si>
  <si>
    <t>Introduction: Latent tuberculosis infection ( LTBI) is detected with the tuberculin skin test ( TST) before anti-TNF therapy. We aimed to investigate in vitro blood assays with TB-specific antigens ( CFP-10, ESAT-6), in immune-mediated inflammatory diseases ( IMID) for LTBI screening. Patients and methods: Sixty-eight IMID patients with ( n = 35) or without ( n = 33) LTBI according to clinicoradiographic findings or TST results ( 10 mm cutoff value) underwent cell proliferation assessed by thymidine incorporation and PKH-26 dilution assays, and IFN gamma-release enzyme-linked immunosorbent spot ( ELISPOT) assays with TB-specific antigens. Results: In vitro blood assays gave higher positive results in patients with LTBI than without ( p &lt; 0.05), with some variations between tests. Among the 13 patients with LTBI diagnosed independently of TST results, 5 had a negative TST ( 38.5%) and only 2 a negative blood assays result ( 15.4%). The 5 LTBI patients with negative TST results all had positive blood assays results. Ten patients without LTBI but with intermediate TST results ( 6 10 mm) had no different result than patients with TST result &lt;= 5 mm( p &gt; 0.3) and lower results than those with LTBI ( p, 0.05) on CFP-10+ESAT-6 ELISPOT and CFP-10 proliferation assays. Conclusion: Anti-TB blood assays are beneficial for LTBI diagnosis in IMID. Compared with TST, they show a better sensitivity, as seen by positive results in 5 patients with certain LTBI and negative TST, and better specificity, as seen by negative results in most patients with intermediate TST as the only criteria of LTBI. In the absence of clinico-radiographic findings for LTBI, blood assays could replace TST for antibiotherapy decision before anti-TNF.</t>
  </si>
  <si>
    <t>NECROSIS-FACTOR INHIBITORS; RHEUMATOID-ARTHRITIS; MYCOBACTERIUM-TUBERCULOSIS; ANTITUBERCULOSIS DRUGS; INFECTION; GAMMA; CLASSIFICATION; HEPATOTOXICITY; INFLIXIMAB; CRITERIA</t>
  </si>
  <si>
    <t>Comparison of in vitro-specific blood tests with tuberculin skin test for diagnosis of latent tuberculosis before anti-TNF therapy</t>
  </si>
  <si>
    <t>Sellam, Jeremie; Hamdi, Haifa; Roy, Carine; Baron, Gabriel; Lemann, Marc; Puechal, Xavier; Breban, Maxime; Berenbaum, Francis; Humbert, Marc; Weldingh, Karin; Salmon, Dominique; Ravaud, Philippe; Emilie, Dominique; Mariette, Xavier</t>
  </si>
  <si>
    <t>Sellam, J; Hamdi, H; Roy, C; Baron, G; Lemann, M; Puechal, X; Breban, M; Berenbaum, F; Humbert, M; Weldingh, K; Salmon, D; Ravaud, P; Emilie, D; Mariette, X</t>
  </si>
  <si>
    <t>WOS:000252145300007</t>
  </si>
  <si>
    <t>248IC</t>
  </si>
  <si>
    <t>10.1016/j.revmed.2007.09.012</t>
  </si>
  <si>
    <t>S276</t>
  </si>
  <si>
    <t>S273</t>
  </si>
  <si>
    <t>Humbert, M (corresponding author), Univ Paris Sud, Hop Antoine Beclere, AP HP,Serv Pneumol &amp; Reanimat Resp, Ctr Malad Vasc Pulm,UPRES EA 2705, 157 Rue Porte De Trivaux, F-92140 Clamart, France.</t>
  </si>
  <si>
    <t>Univ Paris Sud, Hop Antoine Beclere, AP HP,Serv Pneumol &amp; Reanimat Resp, Ctr Malad Vasc Pulm,UPRES EA 2705, F-92140 Clamart, France</t>
  </si>
  <si>
    <t>CONTINUOUS INTRAVENOUS EPOPROSTENOL; SYSTEMIC-SCLEROSIS; INHALED ILOPROST; CONTROLLED-TRIAL; BOSENTAN; SURVIVAL; THERAPY; PROSTACYCLIN; INFUSION</t>
  </si>
  <si>
    <t>pulmonary arterial hypertension; systemic sclerosis</t>
  </si>
  <si>
    <t>Soc Natl Francaise Med Interne</t>
  </si>
  <si>
    <t>Versailles, FRANCE</t>
  </si>
  <si>
    <t>56th Congress of the Societe-Nationale-Francaise-de-Medecine-Interne</t>
  </si>
  <si>
    <t>Treatment of idiopathic and related to connective tissue disease pulmonary arterial hypertension</t>
  </si>
  <si>
    <t>WOS:000251835800013</t>
  </si>
  <si>
    <t>243ZM</t>
  </si>
  <si>
    <t>10.1136/thx.2006.069237</t>
  </si>
  <si>
    <t>ISRAEL-BIET, Dominique/0000-0003-4308-4411; Valeyre, dominique/0000-0003-4470-1776; Humbert, Marc/0000-0003-0703-2892; wislez, marie/0000-0001-7518-7859</t>
  </si>
  <si>
    <t>wislez, marie/IAO-6511-2023; Humbert, Marc/AAC-8459-2019</t>
  </si>
  <si>
    <t>jacques.cadranel@tnn.aphp.fr</t>
  </si>
  <si>
    <t>Cadranel, J (corresponding author), Hop Tenon, Serv Pneumol &amp; Reanimat Resp, 4 Rue Chine, F-75970 Paris 20, France.</t>
  </si>
  <si>
    <t>Assistance Publique Hopitaux Paris (APHP); Sorbonne Universite; Hopital Universitaire Tenon - APHP; Assistance Publique Hopitaux Paris (APHP); Hopital Universitaire Avicenne - APHP; Universite Paris 13; Universite Paris Cite; Assistance Publique Hopitaux Paris (APHP); Hopital Universitaire Bichat-Claude Bernard - APHP; Assistance Publique Hopitaux Paris (APHP); Universite Paris Cite; Hopital Universitaire Hotel-Dieu - APHP; Assistance Publique Hopitaux Paris (APHP); Universite Paris Cite; Hopital Universitaire Europeen Georges-Pompidou - APHP; Assistance Publique Hopitaux Paris (APHP); Hopital Universitaire Antoine-Beclere - APHP; Hospital Foch; Universite de Lille; CHU Lille</t>
  </si>
  <si>
    <t>[Tillie-Leblond, I.; Wislez, M.; Cadranel, J.] Hop Tenon, Serv Pneumol &amp; Reanimat Resp, F-75970 Paris 20, France; [Valeyre, D.] Hop Avicenne, Serv Pneumol, F-93009 Bobigny, France; [Crestani, B.] Hop Bichat Claude Bernard, Serv Pneumol, F-75877 Paris, France; [Rabbat, A.] Hop Hotel Dieu, Serv Pneumol, Paris, France; [Israel-Biet, D.] Hop Europeen Georges Pompidou, Serv Pneumol, Paris, France; [Humbert, M.] Hop Antoine Beclere, Serv Pneumol, Clamart, France; [Couderc, L. J.] Hop Foch, Serv Pneumol, Suresnes, France; [Tillie-Leblond, I.; Wallaert, B.] Hop Calmette, Serv Pneumol, Lille, France</t>
  </si>
  <si>
    <t>Aim: A multicentre retrospective study was undertaken to examine patients with interstitial lung disease (ILD) with the initial clinical manifestation of an anti-synthetase syndrome (anti-Jo-1 antibodies), and to analyse the characteristics and long-term outcome of these patients according to their clinical presentation (acute or gradual onset), treatment and adverse events related to treatment. Methods: 32 patients, 15 (47%) presenting with acute onset and associated respiratory insufficiency (group A) and 17 (53%) with gradual onset (group G) were examined. Myositis was diagnosed at admission in only 31% of cases and was observed during follow-up in 56% of cases, but the prevalence did not differ between the two groups. Results: Fever and radiological patterns including diffuse patchy ground-glass opacities, basal irregular lines and consolidation on high-resolution CT scan were more frequent in group A than in group G. More patients in group G had neutrophils in the bronchoalveolar lavage fluid and autoantibodies other than anti-Jo-1 (rheumatoid factor, anti SSa/SSb) than in group A. The percentage of patients in whom the ILD improved at 3 months was significantly higher in group A than in group G (13/15 vs 9/17; p= 0.006). In contrast, after 12 months, most patients with ILD progression were in group A and were treated with corticosteroids alone. A combination of corticosteroids and an immunosuppressive drug was required in most cases (84%) at the end of the follow-up period. Severe adverse effects of treatment were observed and varicella zoster virus infection was frequent. Conclusions: Early testing for anti-synthetase antibodies, particularly anti-Jo-1, and creatine kinase determination are useful procedures in patients presenting with ILD. Treatment with corticosteroids and immunosuppressive drugs is required in most patients. At the end of the study, around two-thirds of patients had stable ILD while the other third had disease progression with respiratory insufficiency.</t>
  </si>
  <si>
    <t>MYOSITIS-SPECIFIC AUTOANTIBODIES; TRANSFER RNA-SYNTHETASE; PULMONARY-FIBROSIS; POLYMYOSITIS-DERMATOMYOSITIS; INFLAMMATORY MYOPATHIES; CORTICOSTEROID-RESISTANT; CLINICAL-FEATURES; JO-1; CYCLOPHOSPHAMIDE; CYCLOSPORINE</t>
  </si>
  <si>
    <t>Interstitial lung disease and anti-Jo-1 antibodies: difference between acute and gradual onset</t>
  </si>
  <si>
    <t>Tillie-Leblond, I.; Wislez, M.; Valeyre, D.; Crestani, B.; Rabbat, A.; Israel-Biet, D.; Humbert, M.; Couderc, L. J.; Wallaert, B.; Cadranel, J.</t>
  </si>
  <si>
    <t>Tillie-Leblond, I; Wislez, M; Valeyre, D; Crestani, B; Rabbat, A; Israel-Biet, D; Humbert, M; Couderc, LJ; Wallaert, B; Cadranel, J</t>
  </si>
  <si>
    <t>WOS:000255895400003</t>
  </si>
  <si>
    <t>301KP</t>
  </si>
  <si>
    <t>10.1159/000114655</t>
  </si>
  <si>
    <t>Humbert, Marc/0000-0003-0703-2892; Perros, Frederic/0000-0001-7730-2427; Cohen-Kaminsky, Sylvia/0000-0002-6341-7482</t>
  </si>
  <si>
    <t>Humbert, Marc/AAC-8459-2019; Perros, Frederic/N-6921-2017; Cohen-Kaminsky, Sylvia/E-4837-2014</t>
  </si>
  <si>
    <t>Perros, F (corresponding author), Univ Paris 11, Serv Pneumol &amp; Reanimat Resp, Ctr Natl Reference Hypertens Arterielle Pulmonair, UPRES EA2705,INSERM U764,Hop Antoine Beclere, 157 Rue Prote Trivaux, FR-92140 Clamart, France.</t>
  </si>
  <si>
    <t>Assistance Publique Hopitaux Paris (APHP); Hopital Universitaire Antoine-Beclere - APHP; Universite Paris Saclay; Institut National de la Sante et de la Recherche Medicale (Inserm); Universite Paris Saclay; Hopital Marie Lannelongue</t>
  </si>
  <si>
    <t>[Perros, Frederic; Humbert, Marc] Univ Paris 11, Serv Pneumol &amp; Reanimat Resp, Ctr Natl Reference Hypertens Arterielle Pulmonair, UPRES EA2705,INSERM U764,Hop Antoine Beclere, FR-92140 Clamart, France; [Cohen-Kaminsky, Sylvia] Hop Marie Lannelongue, Inst Paris Sud Cytokines, Remodelage Tissulaire &amp; Fonctionnel Signalisat &amp;, UMR 8162, F-92350 Le Plessis Robinson, France</t>
  </si>
  <si>
    <t>CONNECTIVE-TISSUE DISEASES; AUTOIMMUNE-DISEASE; FOXP3 EXPRESSION; DENDRITIC CELLS; INFLAMMATION; STIMULATION; ANTIBODIES; INDUCTION; SCLEROSIS; RESPONSES</t>
  </si>
  <si>
    <t>Understanding the role of CD4+CD25 high (so-called regulatory) T cells in idiopathic pulmonary arterial hypertension</t>
  </si>
  <si>
    <t>Perros, Frederic; Cohen-Kaminsky, Sylvia; Humbert, Marc</t>
  </si>
  <si>
    <t>Perros, F; Cohen-Kaminsky, S; Humbert, M</t>
  </si>
  <si>
    <t>WOS:000252707300015</t>
  </si>
  <si>
    <t>256DG</t>
  </si>
  <si>
    <t>10.1016/j.lpm.2007.08.008</t>
  </si>
  <si>
    <t>chanez, pascal/0000-0003-4059-0917; Humbert, Marc/0000-0003-0703-2892</t>
  </si>
  <si>
    <t>[Humbert, Marc; Garcia, Gilles] Univ Paris Sud, Hop Antoine Beclere, AP HP, Serv Pneumol &amp; Reanimat Resp, F-92140 Clamart, France; [Chanez, Pascal] Hop Arnaud Villeneuve, Clin Malad Resp, F-34000 Montpellier, France</t>
  </si>
  <si>
    <t>Better understanding of the cellular and molecular mechanisms of asthma hove mode it possible to envision a large number of new treatment targets. Clinical trials assessing some of these targets were recently published The results of these trials were often disappointing. For example, parenteral administration of anti-interleukin-5 antibodies diminished bronchial eosinophilic inflammation but without improving either asthma symptoms or bronchial hyperreactivity. Other treatments are promising but hove not yet been proved effective in patients with asthma: open studies with anti-TNF alpha antibodies ore interesting but the efficacy of this treatment strategy remains uncertain and must be validated against placebo. The first targeted treatment approved for severe difficult-to-control allergic asthma is an anti-IgE monoclonal antibody (omalizumab).</t>
  </si>
  <si>
    <t>SEVERE ALLERGIC-ASTHMA; ANTI-IGE ANTIBODY; CORTICOSTEROID-DEPENDENT ASTHMA; ANTIIMMUNOGLOBULIN-E ANTIBODY; SEVERE PERSISTENT ASTHMA; HUMANIZED MONOCLONAL-ANTIBODY; LONG-TERM CONTROL; QUALITY-OF-LIFE; DIFFICULT ASTHMA; AIRWAY HYPERRESPONSIVENESS</t>
  </si>
  <si>
    <t>Targeted immunologic therapies for severe asthma</t>
  </si>
  <si>
    <t>Humbert, Marc; Garcia, Gilles; Chanez, Pascal</t>
  </si>
  <si>
    <t>Humbert, M; Garcia, G; Chanez, P</t>
  </si>
  <si>
    <t>WOS:000259784600010</t>
  </si>
  <si>
    <t>356NJ</t>
  </si>
  <si>
    <t>10.1159/000112822</t>
  </si>
  <si>
    <t>Humbert, Marc/0000-0003-0703-2892; Le Pavec, Jerome/0000-0003-4426-9645; Hermine, Olivier/0000-0003-2574-3874; Montani, David/0000-0002-9358-6922</t>
  </si>
  <si>
    <t>Hermine, Olivier/Q-7072-2018; Simonneau, Gerald/ABE-6614-2020; David, Montani/I-6885-2019; Humbert, Marc/AAC-8459-2019</t>
  </si>
  <si>
    <t>davidmontani@hotmail.com</t>
  </si>
  <si>
    <t>Montani, D (corresponding author), Univ Paris Sud, AP HP, Hop Antoine Beclere,Dept Pulm Dis, Serv Pneumol,Ctr Maladies Vasc Pulm, 157 Rue Porte Trivaux, FR-92140 Clamart, France.</t>
  </si>
  <si>
    <t>Assistance Publique Hopitaux Paris (APHP); Hopital Universitaire Antoine-Beclere - APHP; Universite Paris Saclay; Universite Paris Cite; Assistance Publique Hopitaux Paris (APHP); Hopital Universitaire Necker-Enfants Malades - APHP; Centre National de la Recherche Scientifique (CNRS); Universite Paris Cite; Assistance Publique Hopitaux Paris (APHP); Hopital Universitaire Necker-Enfants Malades - APHP; Universite Paris Saclay; Assistance Publique Hopitaux Paris (APHP); Hopital Universitaire Antoine-Beclere - APHP; Hopital Marie Lannelongue; Universite Paris Saclay</t>
  </si>
  <si>
    <t>[Montani, D.] Univ Paris Sud, AP HP, Hop Antoine Beclere,Dept Pulm Dis, Serv Pneumol,Ctr Maladies Vasc Pulm, FR-92140 Clamart, France; [Guilpain, P.; Damaj, G.; Achouh, L.; Hermine, O.] Univ Paris 05, Hop Necker Enfants Malad, AP HP, Dept Clin Hematol, Paris, France; [Hermine, O.] Univ Paris 05, CNRS, AP HP, Hop Necker Enfants Malad,UMR 8147, F-75270 Paris, France; [Marfaing-Koka, A.] Univ Paris Sud, Hop Antoine Beclere, AP HP, Dept Hematol, FR-92140 Clamart, France; [Dartevelle, P.] Univ Paris Sud, Ctr Chirurg Marie Lannelongue, Dept Thorac Surg, UPRES EA2705, Le Plessis Robinson, France</t>
  </si>
  <si>
    <t>Background: Pulmonary hypertension (PH) is a severe hemodynamic disorder in which the pulmonary artery pressure is persistently elevated, leading to right-sided heart failure. Some studies have suggested an association between PH and myeloproliferative diseases (MPD). Objectives: This study describes clinical, hematological and hemodynamic characteristics of PH associated with MPD. Methods: We retrospectively reviewed 10 cases of PH associated with MPD: polycythemia vera ( 8 patients) and essential thrombocythemia ( 2 patients), followed between 1993 and 2002. The baseline evaluation was established by right-sided heart catheterization, ventilation/perfusion lung scan and pulmonary angiography if required. Results: Six patients had confirmed chronic thromboembolic pulmonary hypertension (CTEPH) and 4 had pulmonary arterial hypertension (PAH) associated with MPD without other risk factors for PAH. The hemodynamic characteristics of CTEPH and PAH associated with MPD were similar. The diagnosis of CTEPH was concomitant to that of MPD in all cases ( 5 polycythemia vera and 1 essential thrombocythemia). The PAH associated with MPD occurred later in the evolution of the MPD ( 3 polycythemia vera and 1 essential thrombocythemia) with a median of 162 months after the diagnosis of MPD, and it was associated with myeloid metaplasia ( p &lt; 0.01). Conclusion: We describe 2 distinct forms of PH in the context of MPD: CTEPH, which is diagnosed at an early stage of the MPD, and PAH, which occurs later in the course of the MPD and is associated with myeloid metaplasia. Progressively increasing dyspnea in a patient with an MPD warrants further investigation to rule out PAH and CTEPH, while a diagnosis of CTEPH warrants ruling out MPD. Copyright (C) 2007 S. Karger AG, Basel.</t>
  </si>
  <si>
    <t>ERYTHROID COLONY FORMATION; BUDD-CHIARI-SYNDROME; ESSENTIAL THROMBOCYTHEMIA; POLYCYTHEMIA-VERA; ARTERIAL-HYPERTENSION; MYELOID METAPLASIA; VEIN-THROMBOSIS; RISK-FACTORS; MYELOFIBROSIS; BOSENTAN</t>
  </si>
  <si>
    <t>pulmonary hypertension; myeloproliferative disease; chronic thromboembolic pulmonary hypertension; polycythemia vera; essential thrombocythemia</t>
  </si>
  <si>
    <t>Pulmonary hypertension associated with myeloproliferative disorders: A retrospective study of ten cases</t>
  </si>
  <si>
    <t>Guilpain, P.; Montani, D.; Damaj, G.; Achouh, L.; Lefrere, F.; Le Pavec, J.; Marfaing-Koka, A.; Dartevelle, P.; Simonneau, G.; Humbert, M.; Hermine, O.</t>
  </si>
  <si>
    <t>Guilpain, P; Montani, D; Damaj, G; Achouh, L; Lefrere, F; Le Pavec, J; Marfaing-Koka, A; Dartevelle, P; Simonneau, G; Humbert, M; Hermine, O</t>
  </si>
  <si>
    <t>WOS:000251615600006</t>
  </si>
  <si>
    <t>240VF</t>
  </si>
  <si>
    <t>10.1136/ard.2006.057760</t>
  </si>
  <si>
    <t>LAMBLIN, NICOLAS/0000-0003-3754-1241; de Groote, Pascal/0000-0002-6211-0147; Sibilia, Jean/0000-0002-1601-4795; Humbert, Marc/0000-0003-0703-2892; PATAT, Frederic/0000-0001-9347-750X; HACHULLA, ERIC/0000-0001-7432-847X</t>
  </si>
  <si>
    <t>, CRACOWSKI/M-6946-2014; patat, frederic/K-8052-2012; DE GROOTE, Pascal/LLL-9444-2024; HACHULLA, ERIC/R-8488-2018; Humbert, Marc/AAC-8459-2019</t>
  </si>
  <si>
    <t>pdegroote@chru-lille.fr</t>
  </si>
  <si>
    <t>de Groote, P (corresponding author), CHRU, Hop Cardiol, Serv Cardiol, Blvd Prof Leclercq, F-59037 Lille, France.</t>
  </si>
  <si>
    <t>Universite de Lille; CHU Lille; Actelion Pharmaceuticals Ltd; Universite de Lille; CHU Lille; CHU Grenoble Alpes; Assistance Publique Hopitaux Paris (APHP); Universite Paris Cite; Hopital Universitaire Cochin - APHP; Assistance Publique Hopitaux Paris (APHP); Sorbonne Universite; Hopital Universitaire Saint-Antoine - APHP; Sorbonne Universite; Assistance Publique Hopitaux Paris (APHP); Hopital Universitaire Pitie-Salpetriere - APHP; CHU Tours; Universites de Strasbourg Etablissements Associes; Universite de Strasbourg; CHU Strasbourg; Assistance Publique Hopitaux Paris (APHP); Hopital Universitaire Antoine-Beclere - APHP</t>
  </si>
  <si>
    <t>[de Groote, P.; Lamblin, N.] CHRU, Hop Cardiol, Serv Cardiol, F-59037 Lille, France; [Gressin, V.] Actelion Pharmaceut France, Paris, France; [Hachulla, E.] Hop Claude Huriez, Lille, France; [Carpentier, P.; Cracowski, J-L] Hop Nord, Grenoble, France; [Guillevin, L.] Univ Paris 05, Hop Cochin, Fac Med, AP HP, Paris, France; [Cabane, J.] Hop St Antoine, F-75571 Paris, France; [Frances, C.] Hop La Pitie Salpetriere, Paris, France; [Patat, F.] CHU Tours, Tours, France; [Petit, H.] CHU Strasbourg, F-67000 Strasbourg, France; [Clerson, P.] Orgametrie, Roubaix, France; [Humbert, M.] Hop Antoine Beclere, Clamart, France</t>
  </si>
  <si>
    <t>Objectives: There is increasing concern about heart and pulmonary vascular involvement in systemic sclerosis (SSc). One of the most severe complications of SSc is pulmonary arterial hypertension (PAH). There has been an increased awareness of left ventricular (LV) diastolic abnormalities in SSc patients. However, previous studies have generally been conducted in small populations. The aims of this study were to prospectively screen for PAH and to describe echocardiographic parameters in a large group of SSc patients. Methods: This prospective study was conducted in 21 centres for SSc in France. Patients without severe pulmonary function abnormalities, severe cardiac disease and known PAH underwent Doppler echocardiography performed by a reference cardiologist. Results: Of the 570 patients evaluated, PAH was suspected in 33 patients and was confirmed in 18 by right heart catheterisation. LV systolic dysfunction was rare (1.4%). LV hypertrophy was found in 22.6%, with LV diastolic dysfunction in 17.7%. These LV abnormalities were influenced by age, gender and blood pressure. We identified a small group of 21 patients with a restrictive mitral flow pattern in the absence of any other cardiopulmonary diseases, suggesting a specific cardiac involvement in SSc. Conclusions: Left and right heart diseases, including PAH, LV hypertrophy and diastolic dysfunction, are common in SSc. However, a small subset of patients without any cardiac or pulmonary diseases have a restrictive mitral flow pattern that could be due to primary cardiac involvement of SSc. The prognostic implications of the LV abnormalities will be evaluated in the 3-year follow-up of this cohort.</t>
  </si>
  <si>
    <t>PULMONARY ARTERIAL-HYPERTENSION; DIASTOLIC ABNORMALITIES; PROGNOSTIC VALUE; PREVALENCE; INVOLVEMENT; MORTALITY; SURVIVAL</t>
  </si>
  <si>
    <t>Evaluation of cardiac abnormalities by Doppler echocardiography in a large nationwide multicentric cohort of patients with systemic sclerosis</t>
  </si>
  <si>
    <t>ItinerAIR Scleroderma Investigator</t>
  </si>
  <si>
    <t>de Groote, P.; Gressin, V.; Hachulla, E.; Carpentier, P.; Guillevin, L.; Kahan, A.; Cabane, J.; Frances, C.; Lamblin, N.; Diot, E.; Patat, F.; Sibilia, J.; Petit, H.; Cracowski, J-L; Clerson, P.; Humbert, M.</t>
  </si>
  <si>
    <t>de Groote, P; Gressin, V; Hachulla, E; Carpentier, P; Guillevin, L; Kahan, A; Cabane, J; Francés, C; Lamblin, N; Diot, E; Patat, F; Sibilia, J; Petit, H; Cracowski, JL; Clerson, P; Humbert, M</t>
  </si>
  <si>
    <t>WOS:000252707300005</t>
  </si>
  <si>
    <t>10.1016/j.lpm.2007.10.007</t>
  </si>
  <si>
    <t>Chanez, P (corresponding author), Univ Aix Marseille 2, Dept Malad Resp, AP HM, 270 Blvd St Marguerite, F-13009 Marseille, France.</t>
  </si>
  <si>
    <t>Aix-Marseille Universite; Assistance Publique-Hopitaux de Marseille; Assistance Publique Hopitaux Paris (APHP); Hopital Universitaire Antoine-Beclere - APHP; Universite Paris Saclay</t>
  </si>
  <si>
    <t>[Chanez, Pascal] Univ Aix Marseille 2, Dept Malad Resp, AP HM, F-13009 Marseille, France; [Humbert, Marc] Univ Paris Sud, Hop Antoine Beclere, AP HP, Serv Pneumol &amp; Reanimat Resp, F-92140 Clamart, France</t>
  </si>
  <si>
    <t>DIFFICULT ASTHMA</t>
  </si>
  <si>
    <t>Severe hard-to-treat refractory asthma: the only asthma issue of the 21st century?</t>
  </si>
  <si>
    <t>Chanez, Pascal; Humbert, Marc</t>
  </si>
  <si>
    <t>Chanez, P; Humbert, M</t>
  </si>
  <si>
    <t>WOS:000253825900001</t>
  </si>
  <si>
    <t>271YZ</t>
  </si>
  <si>
    <t>10.1111/j.1398-9995.2007.01620.x</t>
  </si>
  <si>
    <t>Papadopoulos, Nikolaos/0000-0002-2508-3872; CANONICA, GIORGIO WALTER/0000-0001-8467-2557; Bousquet, Philippe Jean/0000-0002-0217-5483; Cucalin, Aleksandr/0000-0002-6808-5528; Zar, Heather/0000-0002-9046-759X; Yusuf, Osman/0000-0002-8067-1204; Papadopoulos, Nikolaos/0000-0002-4448-3468; Burney, Peter/0000-0001-8635-5678; Johnston, Sebastian/0000-0003-3009-9200; Rabe, Klaus F./0000-0002-7020-1401; mohammad, yousser/0009-0003-0403-2747; Chavannes, Niels Henrik/0000-0002-8607-9199; Demoly, Pascal/0000-0001-7827-7964; van Weel, Chris/0000-0003-3653-4701; Larenas Linnemann, Desiree/0000-0002-5713-5331; Bonini, Sergio/0000-0003-0079-3031; Price, David/0000-0002-9728-9992; yorgancioglu, arzu/0000-0002-4032-0944; O'Hehir, Robyn/0000-0002-3489-7595; Custovic, Adnan/0000-0001-5218-7071; Popov, Todor/0000-0001-5052-5866; Humbert, Marc/0000-0003-0703-2892; Kuna, Piotr/0000-0003-2401-0070</t>
  </si>
  <si>
    <t>Cruz, Alvaro/I-1676-2012; Dahl, Ronahl/F-8170-2013; Marshall, Gailen/R-7459-2019; Popov, Todor/Q-9928-2016; Mohammad, Yousser/LTD-1984-2024; jackson, cathy/H-4869-2013; Rabe, Klaus/AAW-6296-2021; Busse, William/AFR-0848-2022; Johnston, Sebastian/I-2423-2012; Agache, Ioana/AAP-7403-2020; Price, David/H-2837-2019; KIM, JOO YEOL/HRC-8018-2023; Oliver, Brian/E-7939-2010; Bachert, Claus/J-8825-2012; Bousquet, Jean/O-4221-2019; Yorgancioglu, Arzu/AAC-7548-2020; Bonniaud, Philippe/ITT-4660-2023; Bousquet, Philippe Jean/AAW-8608-2021; Annesi-Maesano, Isabella/D-9173-2016; Bateman, Eric/B-7042-2011; Viegi, Giovanni/K-2746-2016; Zar, Heather/GZL-5350-2022; Zuberbier, Torsten/AFM-9173-2022; Fokkens, Wytske/ABF-2185-2020; CANONICA, GIORGIO WALTER/ABF-2037-2020; Cucalin, Aleksandr/P-5678-2018; Yusuf, Osman/AAI-1142-2020; Papadopoulos, Nikolaos/L-8670-2013; Chavannes, Niels Henrik/F-1148-2011; Demoly, Pascal/Y-9938-2019; van Weel, Chris/D-4375-2009; Bonini, Sergio/T-6594-2019; O'Hehir, Robyn/H-3627-2011; Custovic, Adnan/A-2435-2012; Humbert, Marc/AAC-8459-2019</t>
  </si>
  <si>
    <t>Universite de Montpellier; CHU de Montpellier; Institut National de la Sante et de la Recherche Medicale (Inserm); Universite de Montpellier; CHU de Montpellier; Universidade Federal da Bahia; McMaster University; University of Amsterdam; Academic Medical Center Amsterdam; National Institutes of Health (NIH) - USA; NIH National Institute of Allergy &amp; Infectious Diseases (NIAID); Berlin Institute of Health; Free University of Berlin; Humboldt University of Berlin; Charite Universitatsmedizin Berlin; Catholic University of Cordoba; University of Genoa; Radboud University Nijmegen; Transylvania University of Brasov; Ghent University; Ghent University Hospital; University of Tennessee System; University of Tennessee Health Science Center; Universita della Campania Vanvitelli; Laval University; Laval University Hospital; Laval University; Universite de Montpellier; CHU de Nimes; Universidade Federal de Minas Gerais; Norwegian School of Sport Sciences; University of Oslo; National Hospital Norway; Capital Institute of Pediatrics (CIP); University of Manchester; Aarhus University; Imperial College London; Erasmus University Rotterdam; Erasmus MC; Seoul National University (SNU); Seoul National University Hospital; Medical University Lodz; Hochiminh City University of Medicine &amp; Pharmacy; Universite de Montreal; State University System of Florida; University of South Florida; University of California System; University of California San Diego; Allergy &amp; Asthma Medical Group &amp; Research Center; University of Barcelona; Hospital Clinic de Barcelona; IDIBAPS; University of Chicago; Florey Institute of Neuroscience &amp; Mental Health; Howard Florey Institute Affiliates; Monash University; Teikyo University; National &amp; Kapodistrian University of Athens; University of Genoa; Nippon Medical School; Medical University Sofia; Leiden University - Excl LUMC; Leiden University; Leiden University Medical Center (LUMC); University of London; University College London; University of Manitoba; University of Helsinki; Helsinki University Central Hospital; Finnish Institute of Occupational Health; Ghent University; National University of Singapore; Karolinska Institutet; Karolinska Institutet; University of Minnesota System; University of Minnesota Rochester; Olmsted Medical Center; Celal Bayar University; University of Cape Town; Institut National de la Sante et de la Recherche Medicale (Inserm); Sorbonne Universite; University of Cape Town; Universite de Tunis; University of Ghana; Imperial College London; University of Wisconsin System; University of Wisconsin Madison; University of British Columbia; University System of Georgia; Augusta University; Vilnius University; University of Washington; University of Washington Seattle; Universite Paris Saclay; Assistance Publique Hopitaux Paris (APHP); Hopital Universitaire Antoine-Beclere - APHP; University of Dundee; McMaster University; University of California System; University of California San Diego; Universite de Poitiers; Universite de Montreal; University of Mississippi; Universidade Federal de Sao Paulo (UNIFESP); Jagiellonian University; Chiba University; University of Cape Town; University of Cape Town; University of Aberdeen; Nevada System of Higher Education (NSHE); University of Nevada Reno; Universite Catholique Louvain; Universite Catholique Louvain Hospital; Consiglio Nazionale delle Ricerche (CNR); Istituto di Fisiologia Clinica (IFC-CNR); University of North Carolina; University of North Carolina Chapel Hill</t>
  </si>
  <si>
    <t>[Bousquet, J.] Univ Hosp, Montpellier, France; [Demoly, P.] Hop Arnaud Villeneuve, INSERM, Univ Hosp Montpellier, U657, Montpellier, France; [Khaltaev, N.] GARD ARIA, Geneva, Switzerland; [Cruz, A. A.] Univ Fed Bahia, Sch Med, BR-41170290 Salvador, BA, Brazil; [Denburg, J.] McMaster Univ, AllerGen NCE, Hamilton, ON L8S 4L8, Canada; [Fokkens, W. J.] Univ Amsterdam, Acad Med Ctr, NL-1105 AZ Amsterdam, Netherlands; [Togias, A.] NIAID, Bethesda, MD 20892 USA; [Zuberbier, T.] Charite, Allergy Ctr Charite, D-13353 Berlin, Germany; [Baena-Cagnani, C. E.] WAO, Cordoba, Argentina; [Baena-Cagnani, C. E.] Catholic Univ Cordoba, Cordoba, Argentina; [Canonica, G. W.] Univ Genoa, Allergy &amp; Resp Dis Clin, Genoa, Italy; [van Weel, C.] Radboud Univ Nijmegen, Med Ctr, NL-6525 ED Nijmegen, Netherlands; [Agache, I.] Transylvania Univ, Brasov, Romania; [Bachert, C.] Univ Hosp Ghent, UZG, Ghent, Belgium; [Blaiss, M. S.] Univ Tennessee, Ctr Hlth Sci, Memphis, TN 38163 USA; [Bonini, S.] Univ Naples 2, INMM CNR, Rome, Italy; [Boulet, L. -P.] Hop Laval, Inst Cardiol &amp; Pneumol, Quebec City, PQ, Canada; [Boulet, L. -P.] Univ Laval, Quebec City, PQ, Canada; [Bousquet, P. -J.] Univ Nimes Hosp, F-30006 Nimes, France; [Camargos, P.] Univ Fed Minas Gerais, Univ Hosp, Sch Med, Belo Horizonte, MG, Brazil; [Carlsen, K. -H.] Univ Oslo, Rikshosp, Norwegian Sch Sport Sci, Fac Med, N-0027 Oslo, Norway; [Chen, Y.] Capital Inst Pediat, Asthma Clin &amp; Educ Ctr, Natl Cooperat Grp Pediat Res Asthma, Beijing, Peoples R China; [Custovic, A.] Univ Manchester, Manchester, Lancs, England; [Dahl, R.] Aarhus Univ Hosp, DK-8000 Aarhus, Denmark; [Douagui, H.] Ctr Hosp Univ Beni Messous, Algiers, Algeria; [Durham, S. R.] Univ London Imperial Coll Sci Technol &amp; Med, London, England; [van Wijk, R. Gerth] Erasmus MC, Rotterdam, Netherlands; [Kalayci, O.] Pediat Allergy &amp; Asthma Unit, Ankara, Turkey; [Kaliner, M. A.] Geo Washington Univ, Sch Med, Washington, DC USA; [Kaliner, M. A.] Inst Asthma &amp; Allergy, Chevy Chase, MD USA; [Kim, Y. -Y.] Seoul Natl Univ Hosp, Seoul 110744, South Korea; [Kuna, P.] Med Univ Lodz, Barlicki Univ Hosp, Lodz, Poland; [Le, L. T. T.] Univ Med &amp; Pharm, Ho Chi Minh City, Vietnam; [Lemiere, C.; Malo, J. -L.] Univ Montreal, Montreal, PQ, Canada; [Li, J.] First Affiliated Hosp, Guangzhou Med Sch, Guangzhou Inst Resp Dis, Guangzhou, Peoples R China; [Lockey, R. F.] Univ S Florida, Coll Med, Tampa, FL 33620 USA; [Mavale-Manuel, S.] Childrens Hosp, Maputo, Mozambique; [Meltzer, E. O.] Univ Calif San Diego, Allergy &amp; Asthma Med Grp &amp; Res Ctr, San Diego, CA 92103 USA; [Mohammad, Y.] Tishreen Univ Sch Med, Latakia, Syria; [Mullol, J.] Hosp Clin IDIBAPS, Barcelona, Catalonia, Spain; [Naclerio, R.] Univ Chicago, Chicago, IL 60637 USA; [Hehir, R. E. O.] Alfred Hosp, Melbourne, Vic, Australia; [Hehir, R. E. O.] Monash Univ, Melbourne, Vic 3004, Australia; [Ohta, K.] Teikyo Univ, Sch Med, Tokyo 173, Japan; [Ouedraogo, S.] Ctr Hosp Univ Pediat Charles de Gaulle, Ouagadougou, Burkina Faso; [Palkonen, S.] EFA European Federat Allergy &amp; Airways Dis Patien, Brussels, Belgium; [Papadopoulos, N.] Univ Athens, Allergy Res Ctr, Athens, Greece; [Passalacqua, G.] Univ Genoa, Genoa, Italy; [Pawankar, R.] Nippon Med Sch, Bunkyo Ku, Tokyo 113, Japan; [Popov, T. A.] Med Univ Sofia, Clin Allergy &amp; Asthma, Sofia, Bulgaria; [Rabe, K. F.; Chavannes, N. H.] Leiden Univ, Med Ctr, Leiden, Netherlands; [Rosado-Pinto, J.] Hosp Dona Estefania, Lisbon, Portugal; [Scadding, G. K.] UCL, Royal Natl TNE Hosp London, London, England; [Simons, F. E. R.] Univ Manitoba, Winnipeg, MB R3T 2N2, Canada; [Toskala, E.] Helsinki Univ Hosp, Helsinki, Finland; [Toskala, E.] Finnish Inst Occupat Hlth, Helsinki, Finland; [Valovirta, E.] Turku Allergy Ctr, Turku, Finland; [van Cauwenberge, P.] Univ Ghent, B-9000 Ghent, Belgium; [Wang, D. -Y.] Natl Univ Singapore, Yong Loo Lin Sch Med, Singapore 117548, Singapore; [Wickman, M.] Karolinska Inst, Sachs Childrens Hosp, Stockholm, Sweden; [Wickman, M.] Karolinska Inst, Inst Environm Med, S-10401 Stockholm, Sweden; [Yawn, B. P.] Univ Minnesota, Olmsted Med Ctr, Rochester, MN USA; [Yorgancioglu, A.] Celal Bayar Univ, Sch Med, Manisa, Turkey; [Yusuf, O. M.] Allergy &amp; Asthma Inst, Islamabad, Pakistan; [Zar, H.] Univ Cape Town, Sch Child &amp; Adolescent Hlth, Red Cross Childrens Hosp, ZA-7925 Cape Town, South Africa; [Annesi-Maesano, I.] INSERM, EPAR U707, F-75654 Paris 13, France; [Annesi-Maesano, I.] UPMC, EPAR, UMR S, Paris, France; [Bateman, E. D.] Univ Cape Town, Fac Hlth Sci, ZA-7925 Cape Town, South Africa; [Ben Kheder, A.] Univ Tunis, Tunisian Soc Resp Dis, Pan African Thorac Soc, Tunis, Tunisia; [Boakye, D. A.] Univ Ghana, Coll Hlth Sci, Noguchi Mem Inst Med Res, Legon, Accra, Ghana; [Bouchard, J.] Hop Malbaie, Quebec City, PQ, Canada; [Burney, P.; Johnston, S. L.] Univ London Imperial Coll Sci Technol &amp; Med, Natl Heart &amp; Lung Inst, London, England; [Busse, W. W.] Univ Wisconsin, Sch Med &amp; Publ Hlth, Dept Med, Madison, WI USA; [Chan-Yeung, M.] Univ British Columbia, Vancouver, BC V5Z 1M9, Canada; [Chuchalin, A.] Pulmonol Res Inst, Moscow, Russia; [Chuchalin, A.] Russian Resp Soc, Moscow, Russia; [Dolen, W. K.] Med Coll Georgia, Augusta, GA 30912 USA; [Emuzyte, R.] Vilnius State Univ, Fac Med, Vilnius, Lithuania; [Grouse, L.] Univ Washington, Sch Med, Seattle, WA 98195 USA; [Humbert, M.] Univ Paris Sud, Hop Antoine Beclere, Clamart, France; [Jackson, C.] Univ Dundee, Tayside Ctr Gen Practice, Dundee, Scotland; [Keith, P. K.] McMaster Univ, Hamilton, ON, Canada; [Kemp, J. P.] Univ Calif San Diego, Sch Med, San Diego, CA 92103 USA; [Klossek, J. -M.] Univ Poitiers, Poitiers, France; [Larenas-Linnemann, D.] Hosp Med Sur, Mexico City, DF, Mexico; [Malo, J. -L.] Hop Sacre Coeur Montreal, Montreal, PQ, Canada; [Marshall, G. D.] Univ Mississippi, Jackson, MS 39216 USA; [Naspitz, C.] Univ Fed Sao Paulo, Sao Paulo, Brazil; [Nekam, K.] Hosp Hospitaller Bros Buda, Budapest, Hungary; [Niggemann, B.] German Red Cross Hosp Berlin, Berlin, Germany; [Nizankowska-Mogilnicka, E.] Jagiellonian Univ, Sch Med, Krakow, Poland; [Okamoto, Y.] Chiba Univ, Chiba, Japan; [Potter, P.] Groote Schuur Hosp, ZA-7925 Cape Town, South Africa; [Potter, P.] Univ Cape Town, Lung Inst, ZA-7700 Rondebosch, South Africa; [Price, D.] Univ Aberdeen, Aberdeen, Scotland; [Stoloff, S. W.] Univ Nevada, Sch Med, Reno, NV 89557 USA; [Vandenplas, O.] Catholic Univ Louvain, Univ Hosp Mt Godinne, Yvoir, Belgium; [Viegi, G.] CNR, Inst Clin Physiol, I-56100 Pisa, Italy; [Williams, D.] Univ N Carolina, Sch Pharm, Chapel Hill, NC 27515 USA</t>
  </si>
  <si>
    <t>Allergic rhinitis is a symptomatic disorder of the nose induced after allergen exposure by an IgE-mediated inflammation of the membranes lining the nose. It is a global health problem that causes major illness and disability worldwide. Over 600 million patients from all countries, all ethnic groups and of all ages suffer from allergic rhinitis. It affects social life, sleep, school and work and its economic impact is substantial. Risk factors for allergic rhinitis are well identified. Indoor and outdoor allergens as well as occupational agents cause rhinitis and other allergic diseases. The role of indoor and outdoor pollution is probably very important, but has yet to be fully understood both for the occurrence of the disease and its manifestations. In 1999, during the Allergic Rhinitis and its Impact on Asthma (ARIA) WHO workshop, the expert panel proposed a new classification for allergic rhinitis which was subdivided into 'intermittent' or 'persistent' disease. This classification is now validated. The diagnosis of allergic rhinitis is often quite easy, but in some cases it may cause problems and many patients are still under-diagnosed, often because they do not perceive the symptoms of rhinitis as a disease impairing their social life, school and work. The management of allergic rhinitis is well established and the ARIA expert panel based its recommendations on evidence using an extensive review of the literature available up to December 1999. The statements of evidence for the development of these guidelines followed WHO rules and were based on those of Shekelle et al. A large number of papers have been published since 2000 and are extensively reviewed in the 2008 Update using the same evidence-based system. Recommendations for the management of allergic rhinitis are similar in both the ARIA workshop report and the 2008 Update. In the future, the GRADE approach will be used, but is not yet available. Another important aspect of the ARIA guidelines was to consider co-morbidities. Both allergic rhinitis and asthma are systemic inflammatory conditions and often co-exist in the same patients. In the 2008 Update, these links have been confirmed. The ARIA document is not intended to be a standard-of-care document for individual countries. It is provided as a basis for physicians, health care professionals and organizations involved in the treatment of allergic rhinitis and asthma in various countries to facilitate the development of relevant local standard-of-care documents for patients.</t>
  </si>
  <si>
    <t>QUALITY-OF-LIFE; HOUSE-DUST-MITE; AQUEOUS NASAL SPRAY; SKIN-TEST REACTIVITY; INTRANASAL FLUTICASONE PROPIONATE; PLACEBO-CONTROLLED TRIAL; NATURAL-RUBBER LATEX; ATOPY PATCH TEST; SUBLINGUAL-SWALLOW IMMUNOTHERAPY; RANDOMIZED CONTROLLED-TRIAL</t>
  </si>
  <si>
    <t>ARIA; asthma; guideline; management; rhinitis</t>
  </si>
  <si>
    <t>Allergic rhinitis and its impact on asthma (ARIA) 2008 update (in collaboration with the World Health Organization, GA2LEN and AllerGen)</t>
  </si>
  <si>
    <t>Bousquet, J.; Khaltaev, N.; Cruz, A. A.; Denburg, J.; Fokkens, W. J.; Togias, A.; Zuberbier, T.; Baena-Cagnani, C. E.; Canonica, G. W.; van Weel, C.; Agache, I.; Ait-Khaled, N.; Bachert, C.; Blaiss, M. S.; Bonini, S.; Boulet, L. -P.; Bousquet, P. -J.; Camargos, P.; Carlsen, K. -H.; Chen, Y.; Custovic, A.; Dahl, R.; Demoly, P.; Douagui, H.; Durham, S. R.; van Wijk, R. Gerth; Kalayci, O.; Kaliner, M. A.; Kim, Y. -Y.; Kowalski, M. L.; Kuna, P.; Le, L. T. T.; Lemiere, C.; Li, J.; Lockey, R. F.; Mavale-Manuel, S.; Meltzer, E. O.; Mohammad, Y.; Mullol, J.; Naclerio, R.; Hehir, R. E. O.; Ohta, K.; Ouedraogo, S.; Palkonen, S.; Papadopoulos, N.; Passalacqua, G.; Pawankar, R.; Popov, T. A.; Rabe, K. F.; Rosado-Pinto, J.; Scadding, G. K.; Simons, F. E. R.; Toskala, E.; Valovirta, E.; van Cauwenberge, P.; Wang, D. -Y.; Wickman, M.; Yawn, B. P.; Yorgancioglu, A.; Yusuf, O. M.; Zar, H.; Annesi-Maesano, I.; Bateman, E. D.; Ben Kheder, A.; Boakye, D. A.; Bouchard, J.; Burney, P.; Busse, W. W.; Chan-Yeung, M.; Chavannes, N. H.; Chuchalin, A.; Dolen, W. K.; Emuzyte, R.; Grouse, L.; Humbert, M.; Jackson, C.; Johnston, S. L.; Keith, P. K.; Kemp, J. P.; Klossek, J. -M.; Larenas-Linnemann, D.; Lipworth, B.; Malo, J. -L.; Marshall, G. D.; Naspitz, C.; Nekam, K.; Niggemann, B.; Nizankowska-Mogilnicka, E.; Okamoto, Y.; Orru, M. P.; Potter, P.; Price, D.; Stoloff, S. W.; Vandenplas, O.; Viegi, G.; Williams, D.</t>
  </si>
  <si>
    <t>Bousquet, J; Khaltaev, N; Cruz, AA; Denburg, J; Fokkens, WJ; Togias, A; Zuberbier, T; Baena-Cagnani, CE; Canonica, GW; van Weel, C; Agache, I; Aït-Khaled, N; Bachert, C; Blaiss, MS; Bonini, S; Boulet, LP; Bousquet, PJ; Camargos, P; Carlsen, KH; Chen, Y; Custovic, A; Dahl, R; Demoly, P; Douagui, H; Durham, SR; van Wijk, RG; Kalayci, O; Kaliner, MA; Kim, YY; Kowalski, ML; Kuna, P; Le, LTT; Lemiere, C; Li, J; Lockey, RF; Mavale-Manuel, S; Meltzer, EO; Mohammad, Y; Mullol, J; Naclerio, R; Hehir, REO; Ohta, K; Ouedraogo, S; Palkonen, S; Papadopoulos, N; Passalacqua, G; Pawankar, R; Popov, TA; Rabe, KF; Rosado-Pinto, J; Scadding, GK; Simons, FER; Toskala, E; Valovirta, E; van Cauwenberge, P; Wang, DY; Wickman, M; Yawn, BP; Yorgancioglu, A; Yusuf, OM; Zar, H; Annesi-Maesano, I; Bateman, ED; Ben Kheder, A; Boakye, DA; Bouchard, J; Burney, P; Busse, WW; Chan-Yeung, M; Chavannes, NH; Chuchalin, A; Dolen, WK; Emuzyte, R; Grouse, L; Humbert, M; Jackson, C; Johnston, SL; Keith, PK; Kemp, JP; Klossek, JM; Larenas-Linnemann, D; Lipworth, B; Malo, JL; Marshall, GD; Naspitz, C; Nekam, K; Niggemann, B; Nizankowska-Mogilnicka, E; Okamoto, Y; Orru, MP; Potter, P; Price, D; Stoloff, SW; Vandenplas, O; Viegi, G; Williams, D</t>
  </si>
  <si>
    <t>WOS:000251327700001</t>
  </si>
  <si>
    <t>236UA</t>
  </si>
  <si>
    <t>10.1111/j.1398-9995.2007.01594.x</t>
  </si>
  <si>
    <t>Schunemann, Holger/0000-0003-3211-8479; Humbert, Marc/0000-0003-0703-2892; Simon, Hans-Uwe/0000-0002-9404-7736</t>
  </si>
  <si>
    <t>Simon, Hans-Uwe/AAU-7410-2020; Bieber, Thomas/AFM-9906-2022; Bousquet, Jean/O-4221-2019; Fokkens, Wytske/ABF-2185-2020; Schunemann, Holger/LRB-7016-2024; Humbert, Marc/AAC-8459-2019</t>
  </si>
  <si>
    <t>Bousquet, J (corresponding author), Univ Hosp, Hop Arnaud Villeneuve, INSERM, U454, F-34295 Montpellier 5, France.</t>
  </si>
  <si>
    <t>Universite de Montpellier; CHU de Montpellier; Institut National de la Sante et de la Recherche Medicale (Inserm); University of Bonn; University of Amsterdam; Universite Paris Saclay; Assistance Publique Hopitaux Paris (APHP); Hopital Universitaire Antoine-Beclere - APHP; Medical University Lodz; University of Bern</t>
  </si>
  <si>
    <t>Univ Hosp, Hop Arnaud Villeneuve, INSERM, U454, F-34295 Montpellier 5, France; Univ Bonn, Dept Dermatol &amp; Allergy, D-5300 Bonn, Germany; Univ Amsterdam, Dept Otorhinolaryngol, Amsterdam, Netherlands; Univ Paris 11, Hop Antoine Beclere, Serv Pneumol, Clamart, France; Med Univ Lodz, Dept Immunol Rheumatol &amp; Allergy, Lodz, Poland; German Red Cross Hosp, Berlin, Germany; Univ Bern, Inst Pharmacol, Bern, Switzerland; Italian Natl Canc Inst, Dept Epidemiol, Rome, Italy</t>
  </si>
  <si>
    <t>EAACI/GA(2)LEN/EDF GUIDELINE; QUALITY; DIAGNOSIS; STRENGTH; ASTHMA; RECOMMENDATIONS; MANAGEMENT; REVIEWS; CARE; NEED</t>
  </si>
  <si>
    <t>Consensus statements, evidence-based medicine and guidelines in allergic diseases</t>
  </si>
  <si>
    <t>Bousquet, J.; Bieber, T.; Fokkens, W.; Humbert, M.; Kowalski, M. L.; Niggemann, B.; Simon, H. -U.; Schuenemann, H.</t>
  </si>
  <si>
    <t>Bousquet, J; Bieber, T; Fokkens, W; Humbert, M; Kowalski, ML; Niggemann, B; Simon, HU; Schünemann, H</t>
  </si>
  <si>
    <t>WOS:000253038400019</t>
  </si>
  <si>
    <t>260VL</t>
  </si>
  <si>
    <t>10.1183/09031936.00104807</t>
  </si>
  <si>
    <t>Le Pavec, Jerome/0000-0003-4426-9645; Souza, Rogerio/0000-0003-2789-9143; JAIS, XAVIER/0000-0002-4104-7994; Humbert, Marc/0000-0003-0703-2892; SITBON, Olivier/0000-0002-1942-1951</t>
  </si>
  <si>
    <t>Sitbon, Olivier/I-3623-2019; Simonneau, Gerald/ABE-6614-2020; Souza, Rogerio/I-3584-2013; Humbert, Marc/AAC-8459-2019</t>
  </si>
  <si>
    <t>Humbert, M (corresponding author), Univ Paris 11, AP HP,French Natl Reference Ctr Pulm Hypertens, Hop Antoine Beclere,Ctr Malad Vasc Pulm, Serv Pneumol &amp; Reanimat Resp,UPRES EA 2705, 157 Rue Porte Trivaux, F-92140 Clamart, France.</t>
  </si>
  <si>
    <t>Assistance Publique Hopitaux Paris (APHP); Hopital Universitaire Antoine-Beclere - APHP; Universite Paris Saclay; Universite Paris Saclay; Sorbonne Universite; Assistance Publique Hopitaux Paris (APHP); Hopital Universitaire Pitie-Salpetriere - APHP</t>
  </si>
  <si>
    <t>[Souza, R.; Humbert, M.; Sztrymf, B.; Jais, X.; Yaici, A.; Le Pavec, J.; Parent, F.; Herve, P.; Sitbon, O.; Simonneau, G.] Univ Paris 11, AP HP,French Natl Reference Ctr Pulm Hypertens, Hop Antoine Beclere,Ctr Malad Vasc Pulm, Serv Pneumol &amp; Reanimat Resp,UPRES EA 2705, F-92140 Clamart, France; [Souza, R.; Humbert, M.; Sztrymf, B.; Jais, X.; Yaici, A.; Le Pavec, J.; Parent, F.; Herve, P.; Sitbon, O.; Simonneau, G.] Univ Paris 11, UPRES EA 2705, Dept Pneumol, F-92140 Clamart, France; [Soubrier, F.] Univ Paris 06, Grp Hosp Pitie Salpetriere, Lab Oncogenet &amp; Mol Angiogenet, Paris, France</t>
  </si>
  <si>
    <t>The aim of the present study was to describe a large cohort of fenfluramine-associated pulmonary arterial hypertension (fen-PAH) and its possible prognostic markers. The records of all patients with a diagnosis of fen-PAH evaluated at the present authors' centre from 1986-2004 were retrospectively studied. Baseline clinical and haemodynamic data were collected, as well as survival times. The median duration of fenfluramine exposure was 6 months, with a median of 4.5 yrs between exposure and onset of symptoms. Nine (22.5%) out of 40 patients evaluated resulted positive for the presence of germline bone morphogenetic protein receptor (BMPR) type 2 mutations. In these patients, the duration of exposure to fenfluramine was significantly lower than in patients without mutation. The median survival was 6.4 yrs, without significant difference between fen-PAH and a control group of idiopathic and familial pulmonary arterial hypertension patients referred to the present authors' centre during the same time frame and treated identically. Duration of fenfluramine exposure showed no relation to survival, while cardiac index was the only independent predictor of multivariate analysis. Fenfluramine-associated pulmonary arterial hypertension shares clinical, functional, haemodynamic and genetic features with idiopathic pulmonary arterial hypertension, as well as overall survival rates. Therefore, the present authors conclude that fenfluramine exposure characterises a potent trigger for pulmonary arterial hypertension without influencing its clinical course.</t>
  </si>
  <si>
    <t>SEROTONIN TRANSPORTER; GERMLINE MUTATIONS; SURVIVAL; THERAPY; OVEREXPRESSION; PATHOGENESIS; HYPERPLASIA; DERIVATIVES; BOSENTAN; INSIGHTS</t>
  </si>
  <si>
    <t>bone morphogenetic protein receptor type 2; fenfluramine derivatives; idiopathic pulmonary arterial hypertension; pulmonary arterial hypertension; survival</t>
  </si>
  <si>
    <t>Pulmonary arterial hypertension associated with fenfluramine exposure:: report of 109 cases</t>
  </si>
  <si>
    <t>Souza, R.; Humbert, M.; Sztrymf, B.; Jais, X.; Yaici, A.; Le Pavec, J.; Parent, F.; Herve, P.; Soubrier, F.; Sitbon, O.; Simonneau, G.</t>
  </si>
  <si>
    <t>Souza, R; Humbert, M; Sztrymf, B; Jaïs, X; Yaici, A; Le Pavec, J; Parent, F; Hervé, P; Soubrier, F; Sitbon, O; Simonneau, G</t>
  </si>
  <si>
    <t>WOS:000253260700020</t>
  </si>
  <si>
    <t>264BR</t>
  </si>
  <si>
    <t>10.1002/art.23303</t>
  </si>
  <si>
    <t>SITBON, Olivier/0000-0002-1942-1951; Le Pavec, Jerome/0000-0003-4426-9645; Launay, David/0000-0003-1840-1817; Humbert, Marc/0000-0003-0703-2892; JAIS, XAVIER/0000-0002-4104-7994</t>
  </si>
  <si>
    <t>Sitbon, Olivier/I-3623-2019; Launay, David/A-5270-2018; Tcherakian, Colas/D-8813-2016; Simonneau, Gerald/ABE-6614-2020; Launay, David/H-1674-2016; Humbert, Marc/AAC-8459-2019</t>
  </si>
  <si>
    <t>Humbert, M (corresponding author), Univ Paris Sud, Serv Pneumol &amp; Reanimat Resp, Hop Antoine Beclere, Assistance Publ Hop Paris, 157 Rue Porte Trivaux, F-92140 Clamart, France.</t>
  </si>
  <si>
    <t>Assistance Publique Hopitaux Paris (APHP); Universite Paris Cite; Hopital Universitaire Saint-Louis - APHP; Hopital Universitaire Antoine-Beclere - APHP; Universite Paris Saclay; Universite de Lille; CHU Lille</t>
  </si>
  <si>
    <t>[Jais, Xavier; Launay, David; Yaici, Azzedine; Le Pavec, Jerome; Tcherakian, Colas; Sitbon, Olivier; Simonneau, Gerald; Humbert, Marc] Univ Paris Sud, Serv Pneumol &amp; Reanimat Resp, Hop Antoine Beclere, Assistance Publ Hop Paris, F-92140 Clamart, France; [Launay, David] Univ Lille 2, CHRU Lille, Hop Claude Huriez, Lille, France</t>
  </si>
  <si>
    <t>Objective. To describe the response to first-line immunosuppressive therapy with or without pulmonary vasodilators in pulmonary arterial hypertension (PAH) associated with systemic lupus erythematosus (SLE) or mixed connective tissue disease (MCTD). Methods. Twenty-three consecutive patients with SLE- or MCTD-associated PAH treated with first-line immunosuppressive therapy either alone (n = 16) or in combination with pulmonary vasodilators (n = 7) were evaluated according to clinical and hemodynamic criteria before and after immunosuppressive therapy. Responders were defined as patients in New York Heart Association (NYHA) functional class I or II with hemodynamic improvement after the last pulse of cyclophosphamide. Results. Among the 16 patients treated with first-line immunosuppressive therapy alone, 8 (50%) were responders. These patients had a significantly improved NYHA functional class, 6-minute walking distance, and mean pulmonary artery pressure. Patients in NYHA functional class I or II and/or a cardiac index &gt; 3.1 liters/minute/m(2) at baseline were more likely to benefit from immunosuppressive therapy. Six of the 8 nonresponders subsequently improved with pulmonary vasodilators. Among the 7 patients who were initially treated with immunosuppressive therapy and pulmonary vasodilators, 4 (57.1%) were responders. Conclusion. PAH associated with SLE or MCTD may respond to a treatment combining cyclophosphamide and glucocorticoids. Patients who could benefit from this immunosuppressive therapy could be those who have less severe disease at baseline. For patients with more severe disease, pulmonary vasodilators should be started, possibly in combination with immunosuppressants. In any case, clinical and hemodynamic evaluations are mandatory to monitor the response and adapt the treatment. These retrospective and uncontrolled data need to be confirmed by randomized controlled trials.</t>
  </si>
  <si>
    <t>ERYTHEMATOSUS; PATIENT; CYCLOPHOSPHAMIDE; INFLAMMATION; IMPROVEMENT; CRITERIA; GROWTH</t>
  </si>
  <si>
    <t>Immunosuppressive therapy in lupus- and mixed connective tissue disease-associated pulmonary arterial hypertension</t>
  </si>
  <si>
    <t>Jais, Xavier; Launay, David; Yaici, Azzedine; Le Pavec, Jerome; Tcherakian, Colas; Sitbon, Olivier; Simonneau, Gerald; Humbert, Marc</t>
  </si>
  <si>
    <t>Jais, X; Launay, D; Yaici, A; Le Pavec, J; Tchérakian, C; Sitbon, O; Simonneau, G; Humbert, M</t>
  </si>
  <si>
    <t>WOS:000252119400001</t>
  </si>
  <si>
    <t>247YV</t>
  </si>
  <si>
    <t>10.1111/j.1398-9995.2007.01615.x</t>
  </si>
  <si>
    <t>Humbert, Marc/0000-0003-0703-2892; Simon, Hans-Uwe/0000-0002-9404-7736; Burney, Peter/0000-0001-8635-5678; Akdis, Cezmi/0000-0001-8020-019X; Demoly, Pascal/0000-0001-7827-7964</t>
  </si>
  <si>
    <t>Simon, Hans-Uwe/AAU-7410-2020; Zuberbier, Torsten/AFM-9173-2022; Bousquet, Jean/O-4221-2019; Bieber, Thomas/AFM-9906-2022; Fokkens, Wytske/ABF-2185-2020; Akdis, Cezmi/AAV-4844-2020; Humbert, Marc/AAC-8459-2019; Demoly, Pascal/Y-9938-2019</t>
  </si>
  <si>
    <t>Bousquet, J (corresponding author), Univ Hosp, F-34295 Montpellier 5, France.</t>
  </si>
  <si>
    <t>Universite de Montpellier; CHU de Montpellier; Institut National de la Sante et de la Recherche Medicale (Inserm); Universite de Montpellier; CHU de Montpellier; University of Bonn; University of Amsterdam; Medical University Lodz; Assistance Publique Hopitaux Paris (APHP); Hopital Universitaire Antoine-Beclere - APHP; Universite Paris Saclay; University of Bern; Imperial College London; Ghent University; Berlin Institute of Health; Free University of Berlin; Humboldt University of Berlin; Charite Universitatsmedizin Berlin; Swiss Institute of Allergy &amp; Asthma Research; Institut National de la Sante et de la Recherche Medicale (Inserm); Universite de Montpellier; CHU de Montpellier</t>
  </si>
  <si>
    <t>[Bousquet, J.] Univ Hosp, F-34295 Montpellier 5, France; [Bousquet, J.] INSERM, Hop Arnaud Villeneuve, Serv Malad Resp, F-34295 Montpellier, France; [Bieber, T.] Univ Bonn, Dept Dermatol &amp; Allergy, D-5300 Bonn, Germany; [Fokkens, W.] Univ Amsterdam, Dept Otorhinolaryngol, NL-1012 WX Amsterdam, Netherlands; [Kowalski, M. L.] Med Univ Lodz, Dept Immunol Rheumatol &amp; Allergy, Lodz, Poland; [Humbert, M.] Univ Paris 11, Hop Antoine Beclere, Serv Pneumol, Clamart, France; [Niggemann, B.] German Red Cross Hosp, Berlin, Germany; [Simon, H. -U.] Univ Bern, Inst Pharmacol, Bern, Switzerland; [Burney, P.] Univ London Imperial Coll Sci Technol &amp; Med, London, England; [van Cauwenberge, P.] Univ Ghent, Dept Otorhinolaryngol, B-9000 Ghent, Belgium; [Zuberbier, T.] Univ Med Berlin, Charite, Dept Dermatol &amp; Allergy, Berlin, Germany; [Akdis, C. A.] Swiss Inst Allergy &amp; Asthma Res, CH-7270 Davos, Switzerland; [Demoly, P.] Univ Hosp Montpellier, INSERM, U657, Montpellier, France</t>
  </si>
  <si>
    <t>ASTHMA EUROPEAN NETWORK; IMMUNE TOLERANCE NETWORK; OF-THE-ART; GLOBAL ALLERGY; FOOD ALLERGY; EAACI/GA(2)LEN/EDF GUIDELINE; PROVOCATION TESTS; CHILDHOOD ASTHMA; ATOPIC DISEASES; POSITION PAPER</t>
  </si>
  <si>
    <t>Important questions in allergy: novel research areas</t>
  </si>
  <si>
    <t>Bousquet, J.; Bieber, T.; Fokkens, W.; Kowalski, M. L.; Humbert, M.; Niggemann, B.; Simon, H. -U.; Burney, P.; van Cauwenberge, P.; Zuberbier, T.; Akdis, C. A.; Demoly, P.</t>
  </si>
  <si>
    <t>Bousquet, J; Bieber, T; Fokkens, W; Kowalski, ML; Humbert, M; Niggemann, B; Simon, HU; Burney, P; van Cauwenberge, P; Zuberbier, T; Akdis, CA; Demoly, P</t>
  </si>
  <si>
    <t>WOS:000253852000005</t>
  </si>
  <si>
    <t>272IB</t>
  </si>
  <si>
    <t>10.1164/rccm.200801-029UP</t>
  </si>
  <si>
    <t>Humbert, M (corresponding author), Univ Paris 11, Ctr Natl Reference Hypertens Arterielle Pulm, Serv Pneumol &amp; Reanimat Resp, Hop Antoine Beclere,AP HP, 157 Rue Porte Trivaux, F-92140 Clamart, France.</t>
  </si>
  <si>
    <t>Univ Paris 11, Ctr Natl Reference Hypertens Arterielle Pulm, Serv Pneumol &amp; Reanimat Resp, Hop Antoine Beclere,AP HP, F-92140 Clamart, France</t>
  </si>
  <si>
    <t>This article summarizes recent advances in the field of pulmonary arterial hypertension (PAH), a severe condition characterized by a progressive remodeling of small pulmonary arteries leading to elevated pulmonary vascular resistance and right ventricular failure (1, 2). Epidemiology, genetics, pathophysiology, and treatment will be the main focus of this update.</t>
  </si>
  <si>
    <t>SOLUBLE GUANYLATE-CYCLASE; SICKLE-CELL-DISEASE; MEDICAL THERAPY; HEART-FAILURE; T-CELLS; IMATINIB; BOSENTAN; LESIONS; HEMODYNAMICS; PATHOGENESIS</t>
  </si>
  <si>
    <t>Update in pulmonary arterial hypertension 2007</t>
  </si>
  <si>
    <t>WOS:000254866300040</t>
  </si>
  <si>
    <t>286SM</t>
  </si>
  <si>
    <t>Humbert, Marc/0000-0003-0703-2892; Souza, Rogerio/0000-0003-2789-9143</t>
  </si>
  <si>
    <t>Simonneau, Gerald/ABE-6614-2020; Humbert, Marc/AAC-8459-2019; Souza, Rogerio/I-3584-2013</t>
  </si>
  <si>
    <t>Pulmonary arterial hypertension associated with fenfluramine exposure:: Report of 109 cases (vol 31, 343, 2008)</t>
  </si>
  <si>
    <t>Souza, R; Humbert, M; Sztrymf, B; Jaïs, X; Yaïci, A; Le Pavec, J; Parent, F; Hervé, P; Soubrier, F; Sitbon, O; Simonneau, G</t>
  </si>
  <si>
    <t>WOS:000254638700015</t>
  </si>
  <si>
    <t>283LW</t>
  </si>
  <si>
    <t>10.1111/j.1398-9995.2008.01654.x</t>
  </si>
  <si>
    <t>Humbert, M (corresponding author), Hop Antoine Beclere, AP HP, Univ Paris Sud 11, Serv Pneumol &amp; Reanimat Resp, 157 Rue Porte Trivaux, F-92140 Clamart, France.</t>
  </si>
  <si>
    <t>Assistance Publique Hopitaux Paris (APHP); Hopital Universitaire Antoine-Beclere - APHP; Universite Paris Saclay; Novartis; Novartis; Novartis USA</t>
  </si>
  <si>
    <t>[Humbert, M.] Hop Antoine Beclere, AP HP, Univ Paris Sud 11, Serv Pneumol &amp; Reanimat Resp, F-92140 Clamart, France; [Berger, W.] Allergy &amp; Asthma Associates, Mission Viejo, CA USA; [Rapatz, G.] Novartis Pharma AG, Basel, Switzerland; [Turk, F.] Novartis Pharmaceut, E Hanover, NJ USA</t>
  </si>
  <si>
    <t>Background: Omalizumab is efficacious in the treatment of moderate-to-severe and severe persistent allergic (immunoglobulin E-mediated) asthma, reducing exacerbations, emergency visits and improving quality of life (QoL). However, as exacerbations are relatively infrequent, assessment of efficacy on day-to-day symptoms is warranted. Aims: To investigate the effect of add-on omalizumab on day-to-day symptoms, and how they correlate with QoL in severe persistent asthma. Methods: The correlation between asthma symptom scores and QoL [Asthma Quality of Life Questionnaire (AQLQ)] was assessed. Symptom-free days (total symptom score = 0) and symptom-controlled days (definition 1: total symptom score &lt;= 1; and definition 2: morning peak expiratory flow &gt;= 90% of baseline, daytime asthma score &lt;= 1 and night-time asthma score = 0) were compared between the omalizumab-treated group, omalizumab responders and placebo. Results: Four hundred and nineteen patients (omalizumab, n = 209; placebo, n = 210) were included in the efficacy analyses, and 61% (118/195) of patients with response data were classified as responders. Total symptom score strongly correlated with AQLQ overall and symptom scores and individual domains. AQLQ overall score correlated well with symptom scores. Responders had significantly more symptom-free days than the omalizumab-treated and placebo groups (45.8%, 37.2% and 22.6% respectively), and more symptom-controlled days (definition 1: 56.1%, 47.9% and 35.3%, respectively, and definition 2: 50.8%, 43.9% and 28.0%, respectively). Conclusions: In patients with inadequately controlled severe persistent asthma, day-to-day symptoms correlate well with QoL. Add-on omalizumab significantly improves day-to-day symptoms compared with placebo. Further improvement in responders confirms the physician's assessment as a response measure.</t>
  </si>
  <si>
    <t>ANTI-IGE ANTIBODY; EXACERBATIONS; EFFICACY; THERAPY</t>
  </si>
  <si>
    <t>Add-on omalizumab improves day-to-day symptoms in inadequately controlled severe persistent allergic asthma</t>
  </si>
  <si>
    <t>Humbert, M.; Berger, W.; Rapatz, G.; Turk, F.</t>
  </si>
  <si>
    <t>Humbert, M; Berger, W; Rapatz, G; Turk, F</t>
  </si>
  <si>
    <t>WOS:000254638700001</t>
  </si>
  <si>
    <t>10.1111/j.1398-9995.2008.01738.x</t>
  </si>
  <si>
    <t>SEVERE PERSISTENT ASTHMA; OMALIZUMAB; DIFFICULT; RHINITIS; CHILDREN; BURDEN</t>
  </si>
  <si>
    <t>The many faces of severe asthma</t>
  </si>
  <si>
    <t>WOS:000256046000014</t>
  </si>
  <si>
    <t>303NA</t>
  </si>
  <si>
    <t>10.1164/rccm.200707-1015OC</t>
  </si>
  <si>
    <t>Broussard, Cedric/0000-0001-9508-2341; Humbert, Marc/0000-0003-0703-2892; Camoin, Luc/0000-0002-1230-4787</t>
  </si>
  <si>
    <t>Camoin, Luc/AAB-3856-2019; Simonneau, Gerald/ABE-6614-2020; meroni, pier/K-8473-2016; Tamby, Mathieu/B-1277-2011; Humbert, Marc/AAC-8459-2019</t>
  </si>
  <si>
    <t>Mouthon, L (corresponding author), Paris Descartes Univ, Fac Med, UPRES EA 4058, Immunol Lab, Pavillon Gustave Roussy,4E Etage, F-75014 Paris, France.</t>
  </si>
  <si>
    <t>Universite Paris Cite; Centre National de la Recherche Scientifique (CNRS); CNRS - National Institute for Biology (INSB); Institut National de la Sante et de la Recherche Medicale (Inserm); Universite Paris Cite; Universite Paris Saclay; Assistance Publique Hopitaux Paris (APHP); Hopital Universitaire Antoine-Beclere - APHP; Universite Paris Cite; Assistance Publique Hopitaux Paris (APHP); Universite Paris Cite; Hopital Universitaire Cochin - APHP; Universite Paris Cite; Institut National de la Sante et de la Recherche Medicale (Inserm)</t>
  </si>
  <si>
    <t>[Terrier, Benjamin; Tamby, Mathieu C.; Guilpain, Philippe; Bussone, Guillaume; Mouthon, Luc] Paris Descartes Univ, Fac Med, UPRES EA 4058, Immunol Lab, F-75014 Paris, France; [Camoin, Luc; Broussard, Cedric; Hotellier, Francoise] Univ Paris 05, CNRS, UMR 8104, Inst Cochin,Lab Proteom, Paris, France; [Yaici, Azzedine; Simonneau, Gerald; Humbert, Marc] Univ Paris Sud, Fac Med, Dept Pneumol, Clamart, France; [Yaici, Azzedine; Simonneau, Gerald; Humbert, Marc] Hop Antoine Beclere, AP HP, French Reference Ctr Pulm Arteria Hypertens, Clamart, France; [Guillevin, Loic; Mouthon, Luc] Paris Descartes Univ, Fac Med, Dept Internal Med, Paris, France; [Guillevin, Loic] Cochin Hosp, AP HP, French Reference Ctr Necrotizing Vasculitides &amp; S, Paris, France; [Broussard, Cedric; Hotellier, Francoise] INSERM, U567, Paris, France</t>
  </si>
  <si>
    <t>Rationale: Pulmonary arterial hypertension (PAH) may be classified as idiopathic (IPAH) or familial (FPAH) or associated with various conditions and exposures such as dexfenfluramine intake (Dex-PAH) or systemic sclerosis (SSc-PAH). Because fibroblast dysfunction has been identified in SSc and IPAH and antifibroblast antibodies (AFAs) with a pathogenic role have been detected in the serum of SSc patients, we used a proteomic approach combining two-dimensional electrophoresis and immunoblotting to identify the target antigens of AFAs in such patients. Objectives: To identify target antigens of antifibroblast antibodies in pulmonary arterial hypertension. Methods: Sera from 24 patients with IPAH, 6 with FPAH, 6 with Dex-PAH, and 12 with SSc-PAH were collected. We pooled sera from sets of three patients with PAH classification and SSc-PAH based on autoantibody profile. Sera from 14 healthy blood donors were also pooled and used as a control. Measurements and Main Results: Serum IgG antibodies in the pools of patients with IPAH (n = 8), FPAH (n = 2), Dex-PAH (n = 2), and SSc-PAH (n = 4) recognized 103 +/- 31, 63 +/- 20, 78 +/- 11, and 81 +/- 12 protein spots, respectively, whereas serum IgG antibodies from healthy control subjects recognized 43 +/- 22 protein spots. Twenty-one protein spots were specifically recognized by the serum IgG antibodies from patients with PAH. We identified 16 of the protein spots as vimentin, calumenin, tropomyosin 1, heat shock proteins 27 and 70, glucose-6-phosphate-dehydrogenase, phosphatidylinositol 3-kinase, DAP kinase, and others. These proteins are involved in regulation of cytoskeletal function, cell contraction, oxidative stress, cell energy metabolism, and other key cellular pathways. Conclusions: AFAs detected in patients with PAH recognize cellular targets playing key roles in cell biology and maintenance of homeostasis.</t>
  </si>
  <si>
    <t>SYSTEMIC-SCLEROSIS; OXIDATIVE STRESS; FIBROBLASTS; AUTOANTIBODIES; CLASSIFICATION; ANGIOGENESIS</t>
  </si>
  <si>
    <t>fibroblast; antigens; autoantibodies; pulmonary arterial hypertension</t>
  </si>
  <si>
    <t>Identification of target antigens of antifibroblast antibodies in pulmonary arterial hypertension</t>
  </si>
  <si>
    <t>Terrier, Benjamin; Tamby, Mathieu C.; Camoin, Luc; Guilpain, Philippe; Broussard, Cedric; Bussone, Guillaume; Yaici, Azzedine; Hotellier, Francoise; Simonneau, Gerald; Guillevin, Loic; Humbert, Marc; Mouthon, Luc</t>
  </si>
  <si>
    <t>Terrier, B; Tamby, MC; Camoin, L; Guilpain, P; Broussard, C; Bussone, G; Yaïci, A; Hotellier, F; Simonneau, G; Guillevin, L; Humbert, M; Mouthon, L</t>
  </si>
  <si>
    <t>WOS:000258450100007</t>
  </si>
  <si>
    <t>337QH</t>
  </si>
  <si>
    <t>10.1016/j.pneumo.2008.05.001</t>
  </si>
  <si>
    <t>Rev. Pneumol. Clin.</t>
  </si>
  <si>
    <t>REV PNEUMOL CLIN</t>
  </si>
  <si>
    <t>1776-2561</t>
  </si>
  <si>
    <t>0761-8417</t>
  </si>
  <si>
    <t>David, Montani/I-6885-2019; Simonneau, Gerald/ABE-6614-2020; Humbert, Marc/AAC-8459-2019</t>
  </si>
  <si>
    <t>david.montani@abc.aphp.fr</t>
  </si>
  <si>
    <t>Montani, D (corresponding author), Univ Paris Sud, Hop Antoine Beclere, AP HP, Ctr Natl Reference Hypertens Arterielle Pulm,Serv, 157 Rue Porte Trivaux, F-92141 Clamart, France.</t>
  </si>
  <si>
    <t>[Natali, D.; Simonneau, G.; Humbert, M.; Montani, D.] Univ Paris Sud, Hop Antoine Beclere, AP HP, Ctr Natl Reference Hypertens Arterielle Pulm,Serv, F-92141 Clamart, France</t>
  </si>
  <si>
    <t>Pulmonary hypertension (PH) is defined by a mean pulmonary artery pressure (PAPm) superior than 25 mmHg at rest or superior than 30 mmHg with exercise. The classification of PH differentiates between secondary PH which results from a well-known disease, such as PH due to thromboembolic disease (obstructive PH), left cardiac failure (passive PH), or chronic respiratory diseases (hypoxic PH), and pulmonary arterial hypertension (PAH). PAH is a rare disease characterized by a progressive increase of pulmonary vascular resistance leading to right ventricular failure. PAH is classified as idiopathic, familial, or associated with various conditions (connective tissue diseases, congenital heart diseases with systemic-to-pulmonary shunts, portal hypertension, infection with the human immunodeficiency virus, or appetite-suppressant drugs). Transthoracic Doppler echocardiography is the investigation of choice for non invasive detection of PAH but right-heart catheterization is necessary to confirm the diagnosis of PAH and determine its mechanism. Pulmonary function tests and chest CT scan may detect an underlying chronic pulmonary disease (hypoxic PH). Lung perfusion scan and contrast-enhanced chest spiral CT scan can lead to the diagnosis of thromboembolic PH, which is to be confirmed by pulmonary angiography. Assessment of the severity of PH is based on clinical parameters (NYHA, right heart failure), functional tests (six-minute walk test), echocardiography and hemodynamics. Characterization of PH is essential in the management of PH because it determines the appropriate treatment: an etiological treatment in passive, obstructive or hypoxemic PH, or vasodilatator and anti proliferative therapies in PAH. (c) 2008 Elsevier Masson SAS. Tous droits reserves.</t>
  </si>
  <si>
    <t>LIVER-TRANSPLANT CANDIDATES; CALCIUM-CHANNEL BLOCKERS; 6-MINUTE WALK TEST; ARTERIAL-HYPERTENSION; PORTOPULMONARY HYPERTENSION; VENOOCCLUSIVE DISEASE; GERMLINE MUTATIONS; SYSTEMIC-SCLEROSIS; VASCULAR-DISEASE; CT SCANS</t>
  </si>
  <si>
    <t>pulmonary hypertension; classification; diagnosis; hemodynamic; echocardiography; computed tomography of the chest</t>
  </si>
  <si>
    <t>REVUE DE PNEUMOLOGIE CLINIQUE</t>
  </si>
  <si>
    <t>Investigation of pulmonary hypertension</t>
  </si>
  <si>
    <t>Natali, D.; Simonneau, G.; Humbert, M.; Montani, D.</t>
  </si>
  <si>
    <t>Natali, D; Simonneau, G; Humbert, M; Montani, D</t>
  </si>
  <si>
    <t>WOS:000255285300001</t>
  </si>
  <si>
    <t>292SB</t>
  </si>
  <si>
    <t>10.1111/j.1398-9995.2008.01730.x</t>
  </si>
  <si>
    <t>Fokkens, Wytske/ABF-2185-2020; Simon, Hans-Uwe/AAU-7410-2020; Cruz, Alvaro/I-1676-2012; Bousquet, Jean/O-4221-2019; Bieber, Thomas/AFM-9906-2022; Humbert, Marc/AAC-8459-2019</t>
  </si>
  <si>
    <t>Bousquet, J (corresponding author), Univ Hosp, Hop Arnaud Villeneuve, Serv Malad Resp, F-34295 Montpellier 5, France.</t>
  </si>
  <si>
    <t>Universite de Montpellier; CHU de Montpellier; Institut National de la Sante et de la Recherche Medicale (Inserm); University of Bonn; University of Amsterdam; Medical University Lodz; Universite Paris Saclay; Assistance Publique Hopitaux Paris (APHP); Hopital Universitaire Antoine-Beclere - APHP; University of Bern; Universidade Federal da Bahia; University of Helsinki; Helsinki University Central Hospital</t>
  </si>
  <si>
    <t>[Bousquet, J.] Univ Hosp, Hop Arnaud Villeneuve, Serv Malad Resp, F-34295 Montpellier 5, France; [Bousquet, J.] INSERM, F-34295 Montpellier 5, France; [Bieber, T.] Univ Bonn, Dept Dermatol &amp; Allergy, D-5300 Bonn, Germany; [Fokkens, W.] Univ Amsterdam, Dept Otorhinolaryngol, Amsterdam, Netherlands; [Kowalski, M.] Med Univ Lodz, Dept Immunol Rheumatol &amp; Allergy, Lodz, Poland; [Humbert, M.] Univ Paris Sud, Hop Antoine Beclere, Serv Pneumol, Clamart, France; [Niggemann, B.] German Red Cross Hosp, Berlin, Germany; [Simon, H. -U.] Univ Bern, Inst Pharmacol, Bern, Switzerland; [Cruz, A. A.] Univ Fed Bahia, Sch Med, ProAR, Salvador, BA, Brazil; [Haahtela, T.] Helsinki Univ Cent Hosp, Skin &amp; Allergy Hosp, Helsinki, Finland</t>
  </si>
  <si>
    <t>ASTHMA PROGRAM; PREVALENCE; FINNISH; ECZEMA; ATOPY; SYMPTOMS; RHINITIS; CHILDREN; FINLAND</t>
  </si>
  <si>
    <t>In Allergy, 'A new day has begun'</t>
  </si>
  <si>
    <t>Bousquet, J.; Bieber, T.; Fokkens, W.; Kowalski, M.; Humbert, M.; Niggemann, B.; Simon, H. -U.; Cruz, A. A.; Haahtela, T.</t>
  </si>
  <si>
    <t>Bousquet, J; Bieber, T; Fokkens, W; Kowalski, M; Humbert, M; Niggemann, B; Simon, HU; Cruz, AA; Haahtela, T</t>
  </si>
  <si>
    <t>WOS:000256549700013</t>
  </si>
  <si>
    <t>310SE</t>
  </si>
  <si>
    <t>10.1164/rccm.200712-1807OC</t>
  </si>
  <si>
    <t>SITBON, Olivier/0000-0002-1942-1951; JAIS, XAVIER/0000-0002-4104-7994; Montani, David/0000-0002-9358-6922; Humbert, Marc/0000-0003-0703-2892; Souza, Rogerio/0000-0003-2789-9143</t>
  </si>
  <si>
    <t>Simonneau, Gerald/ABE-6614-2020; Sitbon, Olivier/I-3623-2019; David, Montani/I-6885-2019; Humbert, Marc/AAC-8459-2019; Souza, Rogerio/I-3584-2013</t>
  </si>
  <si>
    <t>Humbert, M (corresponding author), Univ Paris 11, Hop Antoine Beclere,EA 2705, AP HP,Ctr Natl Reference Hypertens Arterielle Pul, Serv Pneumol &amp; Reanimat Resp,UPRES,Inst Paris Sud, 157 Rue Porte Trivaux, F-92140 Clamart, France.</t>
  </si>
  <si>
    <t>Assistance Publique Hopitaux Paris (APHP); Hopital Universitaire Antoine-Beclere - APHP; Universite Paris Saclay; Sorbonne Universite; Assistance Publique Hopitaux Paris (APHP); Hopital Universitaire Pitie-Salpetriere - APHP</t>
  </si>
  <si>
    <t>[Sztrymf, Benjamin; Girerd, Barbara; Yaici, Azzedine; Jais, Xavier; Sitbon, Olivier; Montani, David; Souza, Rogerio; Simonneau, Gerald; Humbert, Marc] Univ Paris 11, Hop Antoine Beclere,EA 2705, AP HP,Ctr Natl Reference Hypertens Arterielle Pul, Serv Pneumol &amp; Reanimat Resp,UPRES,Inst Paris Sud, F-92140 Clamart, France; [Coulet, Florence; Soubrier, Florent] Univ Paris 06, Lab Oncogenet &amp; Angiogenet Mol, Grp Hosp Pitie Salpetriere, Paris, France</t>
  </si>
  <si>
    <t>Rationale: Germline mutations in the gene encoding for bone morphogenetic protein receptor 2 (BMPR2) area cause of pulmonary arterial hypertension (PAH). Objectives: We conducted a study to determine the influence, if any, of a BMPR2 mutation on clinical outcome. Methods: The French Network of Pulmonary Hypertension obtained data for 223 consecutive patients displaying idiopathic or familial PAH in whom point mutation and large size rearrangements of BMPR2 were screened for. Clinical, functional, and hemodynamic characteristics, as well as outcomes, were compared in BMPR2 mutation carriers and noncarriers. Measurements and Main Results: Sixty-eight BMPR2 mutation carriers (28 familial and 40 idiopathic PAH) were compared with 155 noncarriers (all displaying idiopathic PAH). As compared with noncarriers, BMPR2 mutation carriers were younger at diagnosis of PAH (36.5 +/- 14.5 vs. 46.0 +/- 16.1 yr, P &lt; 0.0001), had higher mean pulmonary artery pressure (64 +/- 13 vs. 56 +/- 13 mm Hg, P &lt; 0.0001), lower cardiac index (2.13 +/- 0.68 vs. 2.50 +/- 0.73 L/min/m(2), p 0.0005), higher pulmonary vascular resistance (117.4 +/- 6.1 vs. 12.7 +/- 6.6 mm Hg/L/min/m(2), P &lt; 0.0001), lower mixed venous oxygen saturation (59 +/- 9% vs. 63 9%, P = 0.02), shorter time to death or lung transplantation (P = 0.044), and younger age at death (P 0.002), but similar overall survival (P = 0.51). Conclusions: BMPR2 mutation carriers with PAH present approximately 10 years earlier than noncarriers, with a more severe hemodynamic compromise at diagnosis.</t>
  </si>
  <si>
    <t>CALCIUM-CHANNEL BLOCKERS; PROTEIN-RECEPTOR-II; GERMLINE MUTATIONS; GENE; REARRANGEMENTS; FREQUENCY; APOPTOSIS; DIAGNOSIS; THERAPY; RATIO</t>
  </si>
  <si>
    <t>bone morphogenetic protein receptor 2; genetics; hemodynamics; pulmonary arterial hypertension; survival</t>
  </si>
  <si>
    <t>Clinical outcomes of pulmonary arterial hypertension in carriers of BMPR2 mutation</t>
  </si>
  <si>
    <t>Sztrymf, Benjamin; Coulet, Florence; Girerd, Barbara; Yaici, Azzedine; Jais, Xavier; Sitbon, Olivier; Montani, David; Souza, Rogerio; Simonneau, Gerald; Soubrier, Florent; Humbert, Marc</t>
  </si>
  <si>
    <t>Sztrymf, B; Coulet, F; Girerd, B; Yaici, A; Jais, X; Sitbon, O; Montani, D; Souza, R; Simonneau, G; Soubrier, F; Humbert, M</t>
  </si>
  <si>
    <t>WOS:000256692500015</t>
  </si>
  <si>
    <t>312TA</t>
  </si>
  <si>
    <t>10.1002/art.23718</t>
  </si>
  <si>
    <t>Arthritis Rheum-Arthritis Care Res.</t>
  </si>
  <si>
    <t>ARTHRIT RHEUM-ARTHR</t>
  </si>
  <si>
    <t>Hoeper, Marius/0000-0001-9086-2293; Pope, Janet/0000-0003-1479-5302; Nash, Peter/0000-0002-2571-788X; Huscher, Dorte/0000-0001-9070-0761; Farber, Harrison/0000-0002-0297-7902; Humbert, Marc/0000-0003-0703-2892</t>
  </si>
  <si>
    <t>Rubin, Lewis/AEW-1719-2022; Opitz, Christian/L-3438-2019; Distler, Oliver/AAE-6225-2019; Pittrow, David/AAY-5042-2021; Behrens, Frank/AAI-8910-2021; MATUCCI CERINIC, MARCO/AAO-2769-2020; furst, daniel/B-7316-2014; Pope, Janet/G-3342-2011; Nash, Peter/D-7392-2013; Humbert, Marc/AAC-8459-2019</t>
  </si>
  <si>
    <t>defurst@mednet.ucla.edu</t>
  </si>
  <si>
    <t>Furst, DE (corresponding author), Univ Calif Los Angeles, David Geffen Sch Med, Dept Med, Div Rheumatol, 1000 Veteran Ave,Room 32-59, Los Angeles, CA 90095 USA.</t>
  </si>
  <si>
    <t>University of Zurich; University Zurich Hospital; Goethe University Frankfurt; Technische Universitat Dresden; Leibniz Association; Deutsches Rheuma-Forschungszentrum (DRFZ); University of London; University College London; UCL Medical School; Assistance Publique Hopitaux Paris (APHP); Hopital Universitaire Antoine-Beclere - APHP; Universite Paris Saclay; University of Florence; University of Queensland; University of California System; University of California San Diego; University of Michigan System; University of Michigan; University of California System; University of California Los Angeles; University of California Los Angeles Medical Center; David Geffen School of Medicine at UCLA</t>
  </si>
  <si>
    <t>[Distler, Oliver] Univ Zurich Hosp, CH-8091 Zurich, Switzerland; [Behrens, Frank] Goethe Univ Frankfurt, Frankfurt, Germany; [Pittrow, David] Tech Univ Dresden, Dresden, Germany; [Huscher, Doerte] German Rheumatism Res Ctr, Berlin, Germany; [Denton, Christopher P.] UCL Royal Free &amp; Univ Coll Med Sch, London WC1E 6BT, England; [Foeldvari, Ivan] Gen Hosp Eilbek, Eilbek, Germany; [Humbert, Marc] Hop Antoine Beclere, AP HP, Paris, France; [Humbert, Marc] Univ Paris 11, Clamart, France; [Matucci-Cerinic, Marco] Univ Florence, Florence, Italy; [Nash, Peter] Univ Queensland, Brisbane, Qld 4072, Australia; [Opitz, Christian F.] DRK Kliniken Berlin, Berlin, Germany; [Rubin, Lewis J.] Univ Calif San Diego, San Diego, CA 92103 USA; [Seibold, James R.] Univ Michigan, Scleroderma Program, Ann Arbor, MI USA; [Furst, Daniel E.] Univ Calif Los Angeles, David Geffen Sch Med, Dept Med, Div Rheumatol, Los Angeles, CA 90095 USA</t>
  </si>
  <si>
    <t>Objective. Outcome measures for pulmonary arterial hypertension associated with systemic sclerosis (PAH-SSc) are only partially validated. The aim of the present study was to establish an expert consensus regarding which outcome measures are most appropriate for clinical trials in PAH-SSc. Methods. Sixty-nine PAH-SSc experts (rheumatologists, cardiologists, pulmonologists) rated a list of disease domains and measurement tools in an Internet-based 3-stage Delphi consensus study. In stages 2 and 3, the medians of domains and measurement tools and frequency distributions of ratings, along with requests for re-ratings, were distributed to respondents to provide feedback. A final score of items was identified by means of cluster analysis. Results. The experts judged the following domains and tools as most appropriate for randomized controlled trials in PAH-SSc: lung vascular/pulmonary arterial pressure and cardiac function both measured by right heart catheterization and echo cardiography, exercise testing measured by 6-minute walking test and oxygen saturation at exercise, severity of dyspnea measured on a visual analog scale, discontinuation of treatment measured by (serious) adverse events, quality of life/activities of daily living measured by the Short Form 36 and Health Assessment Questionnaire disability index, and global state assessed by physician measured by survival. Conclusion. Among experts in PAH-SSc, a core set of outcome measures has been defined for clinical trials by Delphi consensus methods. Although these outcome measures are recommended by this expert group to be used as an interim tool, it will be necessary to formally validate the present measures, as well as potential research measures, in further studies.</t>
  </si>
  <si>
    <t>PLACEBO-CONTROLLED TRIAL; PROSTACYCLIN ANALOG; CLINICAL-TRIALS; OMERACT FILTER; DOUBLE-BLIND; END-POINTS; THERAPY; SITAXSENTAN; GUIDELINES; BOSENTAN</t>
  </si>
  <si>
    <t>ARTHRITIS &amp; RHEUMATISM-ARTHRITIS CARE &amp; RESEARCH</t>
  </si>
  <si>
    <t>Defining appropriate outcome measures in pulmonary arterial hypertension related to systemic sclerosis: A Delphi consensus study with cluster analysis</t>
  </si>
  <si>
    <t>Eposs-Omeract Grp</t>
  </si>
  <si>
    <t>Distler, Oliver; Behrens, Frank; Pittrow, David; Huscher, Doerte; Denton, Christopher P.; Foeldvari, Ivan; Humbert, Marc; Matucci-Cerinic, Marco; Nash, Peter; Opitz, Christian F.; Rubin, Lewis J.; Seibold, James R.; Furst, Daniel E.</t>
  </si>
  <si>
    <t>Distler, O; Behrens, F; Pittrow, D; Huscher, D; Denton, CP; Foeldvari, I; Humbert, M; Matucci-Cerinic, M; Nash, P; Opitz, CF; Rubin, LJ; Seibold, JR; Furst, DE</t>
  </si>
  <si>
    <t>WOS:000257199800014</t>
  </si>
  <si>
    <t>319YB</t>
  </si>
  <si>
    <t>10.1164/rccm.200707-1037OC</t>
  </si>
  <si>
    <t>61 BROADWAY, FL 4, NEW YORK, NY 10006 USA</t>
  </si>
  <si>
    <t>Mercier, Olaf/0000-0002-4760-6267; Le Pavec, Jerome/0000-0003-4426-9645; Dorfmuller, Peter/0000-0003-2499-6829; Montani, David/0000-0002-9358-6922; Souza, Rogerio/0000-0003-2789-9143; Perros, Frederic/0000-0001-7730-2427; Humbert, Marc/0000-0003-0703-2892</t>
  </si>
  <si>
    <t>David, Montani/I-6885-2019; Mussot, S/AAL-7512-2020; Simonneau, Gerald/ABE-6614-2020; Tcherakian, Colas/D-8813-2016; Souza, Rogerio/I-3584-2013; Perros, Frederic/N-6921-2017; Humbert, Marc/AAC-8459-2019</t>
  </si>
  <si>
    <t>Humbert, M (corresponding author), Univ Paris 11, Serv Pneumol &amp; Reanimat Resp,Hop Antoine Beclere, UPRES EA 2705,Inst Paris Sud Cytokines,Assistance, Ctr Natl Reference Hypertens Arterielle Pulm, 157 Rue Porte Trivaux, F-92140 Clamart, France.</t>
  </si>
  <si>
    <t>Universite Paris Saclay; Assistance Publique Hopitaux Paris (APHP); Hopital Universitaire Antoine-Beclere - APHP; Institut National de la Sante et de la Recherche Medicale (Inserm); Hopital Marie Lannelongue; Universite Paris Saclay; Assistance Publique Hopitaux Paris (APHP); Universite Paris Cite; Hopital Universitaire Saint-Louis - APHP; Universite Paris-Est-Creteil-Val-de-Marne (UPEC); Hopital Universitaire Henri-Mondor - APHP</t>
  </si>
  <si>
    <t>[Perros, Frederic; Montani, David; Dorfmueller, Peter; Tcherakian, Colas; Le Pavec, Jerome; Simonneau, Gerald; Souza, Rogerio; Humbert, Marc] Univ Paris 11, Serv Pneumol &amp; Reanimat Resp,Hop Antoine Beclere, UPRES EA 2705,Inst Paris Sud Cytokines,Assistance, Ctr Natl Reference Hypertens Arterielle Pulm, F-92140 Clamart, France; [Perros, Frederic; Montani, David; Dorfmueller, Peter; Durand-Gasselin, Ingrid; Tcherakian, Colas; Emilie, Dominique; Souza, Rogerio; Humbert, Marc] INSERM U764, Clamart, France; [Perros, Frederic; Mazmanian, Michel; Fadel, Elie; Mussot, Sacha; Mercier, Olaf; Herve, Philippe] Univ Paris 11, UPRES EA 2705, Chirurg Expt Lab, Ctr Chirurg Marie Lannelongue, Le Plessis Robinson, France; [Eddahibi, Saadia] Hop Henri Mondor, Assistance Publ Hop Paris, Dept Physiol Explorat Fonct, F-94010 Creteil, France</t>
  </si>
  <si>
    <t>Rationale; Platelet-derived growth factor (PDGF) promotes the proliferation and migration of pulmonary artery smooth muscle cells (PASMCs), and may play a role in the progression of pulmonary arterial hypertension (PAH), a condition characterized by proliferation of PASMCs resulting in the obstruction of small pulmonary arteries. Objectives: To analyze the expression and pathogenic role of PDGF in idiopathic PAH. Methods: PDGF and PDGF receptor mRNA expression was studied by real-time reverse tran scription-polymerase chain reaction performed on laser capture microdissected pulmonary arteries from patients undergoing lung transplantation for idiopathic PAH. Immunohistochemistry was used to localize PDGF, PDGF receptors, and phosphorylated PDGFR-beta. The effects of imatinib on PDGF-B-induced proliferation and chemotaxis were tested on human PA5MCs. Measurements and Main Results: PDGF-A, PDGF-B, PDGFR-alpha, and PDGFR-beta mRNA expression was increased in small pulmonary arteries from patients displaying idiopathic PAH, as compared with control subjects. Western blotanalysis revealed a significant increase in protein expression of PDGFR-beta in PAH lungs, as compared with control lungs. In small remodeled pulmonary arteries, PDGF-A and PDCF-B mainly localized to PASMCs and endothelial cells (perivascular inflammatory infiltrates, when present, showed intensive staining), PDGFR-alpha and PDGFR-beta mainly stained PASMCs and to a lesser extent endothelial cells. Proliferating pulmonary vascular lesions stained phosphorylated PDGFR-beta. PDGF-BB-induced proliferation and migration of PASMCs were inhibited by imatinib. This effect was not due to PASMC apoptosis. Conclusions: PDGF may play an important role in human PAH. Novel therapeutic strategies targeting the PDGF pathway should be tested in clinical trials.</t>
  </si>
  <si>
    <t>SMOOTH-MUSCLE-CELLS; IMATINIB; PDGF; MECHANISM; PHENOTYPES; RESPONSES; LESIONS</t>
  </si>
  <si>
    <t>imatinib; pulmonary arterial hypertension; platelet-derived growth factor; remodeling; smooth muscle cells</t>
  </si>
  <si>
    <t>Platelet-derived growth factor expression and function in idiopathic pulmonary arterial hypertension</t>
  </si>
  <si>
    <t>Perros, Frederic; Montani, David; Dorfmueller, Peter; Durand-Gasselin, Ingrid; Tcherakian, Colas; Le Pavec, Jerome; Mazmanian, Michel; Fadel, Elie; Mussot, Sacha; Mercier, Olaf; Herve, Philippe; Emilie, Dominique; Eddahibi, Saadia; Simonneau, Gerald; Souza, Rogerio; Humbert, Marc</t>
  </si>
  <si>
    <t>Perros, F; Montani, D; Dorfmüller, P; Durand-Gasselin, I; Tcherakian, C; Le Pavec, J; Mazmanian, M; Fadel, E; Mussot, S; Mercier, O; Hervé, P; Emilie, D; Eddahibi, S; Simonneau, G; Souza, R; Humbert, M</t>
  </si>
  <si>
    <t>WOS:000257894100005</t>
  </si>
  <si>
    <t>329TS</t>
  </si>
  <si>
    <t>10.1097/MD.0b013e31818193bb</t>
  </si>
  <si>
    <t>Le Pavec, Jerome/0000-0003-4426-9645; Dorfmuller, Peter/0000-0003-2499-6829; SITBON, Olivier/0000-0002-1942-1951; JAIS, XAVIER/0000-0002-4104-7994; Montani, David/0000-0002-9358-6922; Humbert, Marc/0000-0003-0703-2892</t>
  </si>
  <si>
    <t>Tcherakian, Colas/D-8813-2016; Simonneau, Gerald/ABE-6614-2020; David, Montani/I-6885-2019; Sitbon, Olivier/I-3623-2019; Humbert, Marc/AAC-8459-2019</t>
  </si>
  <si>
    <t>Humbert, M (corresponding author), Univ Paris 11, Hop Antoine Beclere, AP HP, Serv Pneumol, 157 Rue Porte de Trivaux, F-92140 Clamart, France.</t>
  </si>
  <si>
    <t>Universite Paris Saclay; Assistance Publique Hopitaux Paris (APHP); Hopital Universitaire Antoine-Beclere - APHP; Universite Paris Saclay; Hopital Marie Lannelongue; Assistance Publique Hopitaux Paris (APHP); Hopital Universitaire Pitie-Salpetriere - APHP; Sorbonne Universite</t>
  </si>
  <si>
    <t>[Montani, David; Achouh, Lara; Dorfmuller, Peter; Le Pavec, Jerome; Sztrymf, Benjamin; Tcherakian, Colas; Rabiller, Anne; Haque, Rehan; Sitbon, Olivier; Jais, Xavier; Capron, Frederique; Simonneau, Gerald; Humbert, Marc] Univ Paris 11, UPRES EA 2705, Ctr Malad Vasc Pulm, Serv Pneumol &amp; Reanimat Resp, F-92140 Clamart, France; [Maitre, Sophie; Musset, Dominique] Hop Antoine Beclere, AP HP, Serv Radiol, Clamart, France; [Dartevelle, Philippe] Univ Paris 11, UPRES EA 2705, Serv Chirurg Thorac, Ctr Chirurg Marie Lannelongue, Le Plessis Robinson, France; Univ Paris 06, Grp Hosp Pitie Salpetriere, AP HP, Serv Anat Pathol, Paris, France</t>
  </si>
  <si>
    <t>Pulmonary veno-occlusive disease (PVOD) is defined by specific pathologic changes of the pulmonary veins. A definite diagnosis of PVOD thus requires a lung biopsy or pathologic examination of pulmonary explants or postmortem lung samples. However, lung biopsy is hazardous in patients with severe pulmonary hypertension, and there is a need for noninvasive diagnostic tools in this patient population. Patients with PVOD may be refractory to pulmonary arterial hypertension (PAH)-specific therapy and may even deteriorate with it. It is important to identify such patients as soon as possible, because they should be treated cautiously and considered for lung transplantation if eligible. High-resolution computed tomography of the chest can suggest PVOD in the setting of pulmonary hypertension when it shows nodular ground-glass opacities, septal lines, lymph node enlargement, and pleural effusion. Similarly, occult alveolar hemorrhage found on bronchoalveolar lavage in patients with pulmonary hypertension is associated with PVOD. We conducted the current study to identify additional clinical, functional, and hemodynamic characteristics of PVOD. We retrospectively reviewed 48 cases of severe pulmonary hypertension: 24 patients with histologic evidence of PVOD and 24 randomly selected patients with idiopathic, familial, or anorexigen-associated PAH and no evidence of PVOD after meticulous lung pathologic evaluation. We compared clinical and radiologic findings, pulmonary function, and hemodynamics at presentation, as well as outcomes after the initiation of PAH therapy in both groups. Compared to PAH, PVOD was characterized by a higher male:female ratio and higher tobacco exposure (p &lt; 0.01). Clinical presentation was similar except for a lower body mass index (p &lt; 0.02) in patients with PVOD. At baseline, PVOD patients had significantly lower partial pressure of arterial oxygen (PaO2), diffusing lung capacity of carbon monoxide/alveolar volume (DLCO/VA), and oxygen saturation nadir during the 6-minute walk test (all p &lt; 0.01). Hemodynamic parameters showed a lower mean systemic arterial pressure (p &lt; 0.01) and right atrial pressure (p &lt; 0.05), but no difference in pulmonary capillary wedge pressure. Four bone morphogenetic protein receptor II (BMPR2) mutations have been previously described in PVOD patients; in the current study we describe 2 additional cases of BMPR2 mutation in PVOD. Computed tomography of the chest revealed nodular and ground-glass opacities, septal lines, and lymph node enlargement more frequently in patients with PVOD compared with patients with PAH (all p &lt; 0.05). Among the 16 PVOD patients who received PAH-specific therapy, 7 (43.8%) developed pulmonary edema (mostly with continuous intravenous epoprostenol, but also with oral bosentan and oral calcium channel blockers) at a median of 9 days after treatment initiation. Acute vasodilator testing with nitric oxide and clinical, functional, or hemodynamic characteristics were not predictive of the subsequent occurrence of pulmonary edema on treatment. Clinical outcomes of PVOD patients were worse than those of PAH patients.</t>
  </si>
  <si>
    <t>VENO-OCCLUSIVE DISEASE; CONTINUOUS INTRAVENOUS PROSTACYCLIN; CAPILLARY HEMANGIOMATOSIS; ARTERIAL-HYPERTENSION; VASOACTIVE MEDIATORS; THERAPY; EPOPROSTENOL; PATIENT; EDEMA; RISK</t>
  </si>
  <si>
    <t>Pulmonary veno-occlusive disease -: Clinical, functional, radiologic, and hemodynamic characteristics and outcome of 24 cases confirmed by histology</t>
  </si>
  <si>
    <t>Montani, David; Achouh, Lara; Dorfmuller, Peter; Le Pavec, Jerome; Sztrymf, Benjamin; Tcherakian, Colas; Rabiller, Anne; Haque, Rehan; Sitbon, Olivier; Jais, Xavier; Dartevelle, Philippe; Maitre, Sophie; Capron, Frederique; Musset, Dominique; Simonneau, Gerald; Humbert, Marc</t>
  </si>
  <si>
    <t>Montani, D; Achouh, L; Dorfmüller, P; Le Pavec, J; Sztrymf, B; Tchérakian, C; Rabiller, A; Haque, R; Sitbon, O; Jaïs, X; Dartevelle, P; Maitre, S; Capron, F; Musset, D; Simonneau, G; Humbert, M</t>
  </si>
  <si>
    <t>WOS:000257300200005</t>
  </si>
  <si>
    <t>321JH</t>
  </si>
  <si>
    <t>10.1183/09031936.00041008</t>
  </si>
  <si>
    <t>Hoeper, MM (corresponding author), Hannover Med Sch, Dept Resp Med, Carl Neuberg Str 1, D-30625 Hannover, Germany.</t>
  </si>
  <si>
    <t>Hannover Medical School; Assistance Publique Hopitaux Paris (APHP); Hopital Universitaire Antoine-Beclere - APHP; Universite Paris Saclay</t>
  </si>
  <si>
    <t>[Hoeper, M. M.] Hannover Med Sch, Dept Resp Med, D-30625 Hannover, Germany; [Humbert, M.] Univ Paris 11, Hop Antoine Beclere, AP HP, Serv Pneumol, Clamart, France</t>
  </si>
  <si>
    <t>HEREDITARY HEMORRHAGIC TELANGIECTASIA; PULMONARY ARTERIOVENOUS-MALFORMATIONS; ARTERIAL-HYPERTENSION; EMBOLIZATION; DISEASE</t>
  </si>
  <si>
    <t>A message on the lips</t>
  </si>
  <si>
    <t>Hoeper, M. M.; Humbert, M.</t>
  </si>
  <si>
    <t>WOS:000256720100006</t>
  </si>
  <si>
    <t>313DA</t>
  </si>
  <si>
    <t>10.1111/j.1398-9995.2008.01715.x</t>
  </si>
  <si>
    <t>Johnston, Sebastian/0000-0003-3009-9200; Demoly, Pascal/0000-0001-7827-7964; Bonini, Sergio/0000-0003-0079-3031; Burney, Peter/0000-0001-8635-5678; Cardell, Lars Olaf/0000-0003-0538-9580; Valenta, Rudolf/0000-0001-5944-3365; Papadopoulos, Nikolaos/0000-0002-4448-3468; Humbert, Marc/0000-0003-0703-2892; Howarth, Peter/0000-0003-0619-7927; Papadopoulos, Nikolaos/0000-0002-2508-3872; CANONICA, GIORGIO WALTER/0000-0001-8467-2557; Roberts, Graham/0000-0003-2252-1248; Custovic, Adnan/0000-0001-5218-7071; Simon, Hans-Uwe/0000-0002-9404-7736; Leynaert, Benedicte/0000-0001-5045-2492; Akdis, Cezmi/0000-0001-8020-019X; Bousquet, Philippe Jean/0000-0002-0217-5483; Schunemann, Holger/0000-0003-3211-8479; Todo-Bom, Ana/0000-0002-1850-6689; Lehmann, Sylvain/0000-0001-6117-562X</t>
  </si>
  <si>
    <t>Simon, Hans-Uwe/AAU-7410-2020; Bousquet, Philippe Jean/AAW-8608-2021; Zuberbier, Torsten/AFM-9173-2022; Bousquet, Jean/O-4221-2019; Bieber, Thomas/AFM-9906-2022; Johnston, Sebastian/I-2423-2012; Valenta, Richard/K-4072-2017; Bachert, Claus/J-8825-2012; Fokkens, Wytske/ABF-2185-2020; Lambrecht, Bart/K-2484-2014; Brozek, Jan/ADG-1130-2022; Cardell, Lars Olaf/HLW-5467-2023; Akdis, Cezmi/AAV-4844-2020; Todo Bom, Ana/AHD-3630-2022; Leynaert, Benedicte/N-5251-2018; Zock, Jan-Paul/P-5034-2018; Demoly, Pascal/Y-9938-2019; Bonini, Sergio/T-6594-2019; Papadopoulos, Nikolaos/L-8670-2013; Humbert, Marc/AAC-8459-2019; CANONICA, GIORGIO WALTER/ABF-2037-2020; Custovic, Adnan/A-2435-2012; Schunemann, Holger/LRB-7016-2024; Lehmann, Sylvain/P-1301-2017</t>
  </si>
  <si>
    <t>Universite de Montpellier; CHU de Montpellier; Centre National de la Recherche Scientifique (CNRS); Institut National de la Sante et de la Recherche Medicale (Inserm); Universite de Montpellier; University of Amsterdam; Imperial College London; Ghent University; Ghent University Hospital; Swiss Institute of Allergy &amp; Asthma Research; University of Genoa; Karolinska Institutet; Berlin Institute of Health; Free University of Berlin; Humboldt University of Berlin; Charite Universitatsmedizin Berlin; University of Bonn; Universita della Campania Vanvitelli; Karolinska Institutet; University of Manchester; Universite de Montpellier; Centre National de la Recherche Scientifique (CNRS); Institut National de la Sante et de la Recherche Medicale (Inserm); Erasmus University Rotterdam; Erasmus MC; Consiglio Nazionale delle Ricerche (CNR); Istituto di Biomedicina e di Immunologia Molecolare Alberto Monroy (IBIM-CNR); University of Southampton; Assistance Publique Hopitaux Paris (APHP); Hopital Universitaire Antoine-Beclere - APHP; Universite Paris Saclay; Institut National de la Sante et de la Recherche Medicale (Inserm); Medical University Lodz; Universite de Montpellier; CHU de Montpellier; Centre National de la Recherche Scientifique (CNRS); Institut National de la Sante et de la Recherche Medicale (Inserm); University of Oslo; University of Barcelona; Hospital Clinic de Barcelona; IDIBAPS; Jagiellonian University; National &amp; Kapodistrian University of Athens; University of Bern; Universidade de Coimbra; Centro Hospitalar e Universitario de Coimbra (CHUC); Finnish Institute of Occupational Health; Medical University of Vienna; Karolinska Institutet; Hospital del Mar Research Institute</t>
  </si>
  <si>
    <t>[Bousquet, J.; Bousquet, P. J.; Demoly, P.] Univ Hosp, Montpellier, France; [Bousquet, J.; Bousquet, P. J.; Demoly, P.] CNRS, INSERM, Montpellier, France; [Fokkens, W.; Holland, C.] Univ Amsterdam, Dept Otorhinolaryngol, NL-1012 WX Amsterdam, Netherlands; [Burney, P.; Durham, S. R.] Univ London Imperial Coll Sci Technol &amp; Med, Natl Heart &amp; Lung Inst, London, England; [Bachert, C.; Johnston, S. L.] Ghent Univ Hosp, URL, B-9000 Ghent, Belgium; [Akdis, C. A.; Crameri, R.] Swiss Inst Allergy &amp; Asthma Res SIAF, Davos, Switzerland; [Canonica, G. W.; Passalacqua, G.] Univ Genoa, Dept Internal Med, I-16126 Genoa, Italy; [Dahlen, S. -E.] Karolinska Inst, Stockholm, Sweden; [Zuberbier, T.] Charite, Dept Dermatol &amp; Allergy, D-13353 Berlin, Germany; [Bieber, T.] Univ Bonn, Dept Dermatol &amp; Allergy, D-5300 Bonn, Germany; [Bonini, S.] Univ Naples 2, INMM CNR, Rome, Italy; [Brozek, J. L.; Schuenemann, H. J.] Italian Natl Canc Inst Regina Elena, CLARITY Res Grp, Dept Epidemiol, Rome, Italy; [Cardell, L. -O.] Karolinska Inst, Inst Clin Sci Intervent &amp; Technol, Div ENT Dis, Stockholm, Sweden; [Custovic, A.] Univ Manchester, Manchester, Lancs, England; [Demoly, P.] CNRS, INSERM, U657, Montpellier, France; [van Wijk, R. G.] Erasmus MC, Rotterdam, Netherlands; [Gjomarkaj, M.] CNR, Ist Biomed &amp; Immunol Mol, Palermo, Italy; [Howarth, P.] Univ Southampton, Inflammat Repair Sch Med, Div Infect, Southampton, Hants, England; [Humbert, M.] Univ Paris Sud, Hop Antoine Beclere, Serv Pneumol, Clamart, France; [Kauffmann, F.] INSERM, U780, Villejuif, France; [Kowalski, M. L.] Med Univ Lodz, Dept Immunol Rheumatol &amp; Allergy, Lodz, Poland; [Lehmann, S.] Univ Hosp, Montpellier, France; [Lehmann, S.] CNRS, Montpellier, France; [Leynaert, B.] INSERM, U700, Paris, France; [Lodrup-Carlsen, K.] Ullevel Univ Hosp, Dept Paediat, Oslo, Norway; [Lodrup-Carlsen, K.] Univ Oslo, Fac Med, Oslo, Norway; [Mullol, J.] IDIBAPS, Hosp Clin, ENT Dept, Barcelona, Catalunya, Spain; [Niggemann, B.] German Red Cross Hosp, Berlin, Germany; [Nizankowska-Mogilnicka, E.] Jagiellonian Univ, Sch Med, Dept Pulm Dis, Krakow, Poland; [Papadopoulos, N.] Univ Athens, Pediat Clin 2, Dept Allergy, Athens, Greece; [Simon, H. -U.] Univ Bern, Inst Pharmacol, Bern, Switzerland; [Todo-Bom, A.] Coimbra Univ Hosp, Immunoallergol Dept, Coimbra, Portugal; [Toskala, E.] Finnish Inst Occupat Hlth, Dept Otorhinolaryngol, Helsinki, Finland; [Valenta, R.] Med Univ Vienna, Div Immunopathol, Vienna, Austria; [Wickman, M.] Sachs Childrens Hosp, Stockholm, Sweden; [Wickman, M.] Karolinska Inst, Inst Environm Med, S-10401 Stockholm, Sweden; [Zock, J. P.] IMIM, Unitat Recerca Resp &amp; Ambiental, Barcelona, Spain</t>
  </si>
  <si>
    <t>Nonallergic rhinitis (NAR) can be defined as a chronic nasal inflammation which is not caused by systemic IgE-dependent mechanisms. It is common and probably affects far more than 200 million people worldwide. Both children and adults are affected. However, its exact prevalence is unknown and its phenotypes need to be evaluated using appropriate methods to better understand its pathophysiology, diagnosis and management. It is important to differentiate between infectious rhinitis, allergic/NAR and chronic rhinosinusitis, as management differs for each of these cases. Characterization of the phenotype, mechanisms and management of NAR represents one of the major unmet needs in allergic and nonallergic diseases. Studies on children and adults are required in order to appreciate the prevalence, phenotype, severity and co-morbidities of NAR. These studies should compare allergic and NAR and consider different age group populations including elderly subjects. Mechanistic studies should be carried out to better understand the disease(s) and risk factors and to guide towards an improved diagnosis and therapy. These studies need to take the heterogeneity of NAR into account. It is likely that neuronal mechanisms, T cells, innate immunity and possibly auto-immune responses all play a role in NAR and may also contribute to the symptoms of allergic rhinitis.</t>
  </si>
  <si>
    <t>NONINFECTIOUS PERENNIAL RHINITIS; RESPIRATORY-HEALTH-SURVEY; QUALITY-OF-LIFE; INDEPENDENT RISK-FACTOR; EUROPEAN BIRTH COHORT; LOCAL IGE PRODUCTION; SKIN-TEST REACTIVITY; NASAL-MUCOSA; AIR-POLLUTION; EOSINOPHIL APOPTOSIS</t>
  </si>
  <si>
    <t>asthma; epidemiology; GA(2)LEN; inflammation; nonallergic; rhinitis</t>
  </si>
  <si>
    <t>Important research questions in allergy and related diseases:: nonallergic rhinitis:: a GA2LEN paper</t>
  </si>
  <si>
    <t>Bousquet, J.; Fokkens, W.; Burney, P.; Durham, S. R.; Bachert, C.; Akdis, C. A.; Canonica, G. W.; Dahlen, S. -E.; Zuberbier, T.; Bieber, T.; Bonini, S.; Bousquet, P. J.; Brozek, J. L.; Cardell, L. -O.; Crameri, R.; Custovic, A.; Demoly, P.; van Wijk, R. G.; Gjomarkaj, M.; Holland, C.; Howarth, P.; Humbert, M.; Johnston, S. L.; Kauffmann, F.; Kowalski, M. L.; Lambrecht, B.; Lehmann, S.; Leynaert, B.; Lodrup-Carlsen, K.; Mullol, J.; Niggemann, B.; Nizankowska-Mogilnicka, E.; Papadopoulos, N.; Passalacqua, G.; Schuenemann, H. J.; Simon, H. -U.; Todo-Bom, A.; Toskala, E.; Valenta, R.; Wickman, M.; Zock, J. P.</t>
  </si>
  <si>
    <t>Bousquet, J; Fokkens, W; Burney, P; Durham, SR; Bachert, C; Akdis, CA; Canonica, GW; Dahlen, SE; Zuberbier, T; Bieber, T; Bonini, S; Bousquet, PJ; Brozek, JL; Cardell, LO; Crameri, R; Custovic, A; Demoly, P; van Wijk, RG; Gjomarkaj, M; Holland, C; Howarth, P; Humbert, M; Johnston, SL; Kauffmann, F; Kowalski, ML; Lambrecht, B; Lehmann, S; Leynaert, B; Lodrup-Carlsen, K; Mullol, J; Niggemann, B; Nizankowska-Mogilnicka, E; Papadopoulos, N; Passalacqua, G; Schünemann, HJ; Simon, HU; Todo-Bom, A; Toskala, E; Valenta, R; Wickman, M; Zock, JP</t>
  </si>
  <si>
    <t>WOS:000258417000021</t>
  </si>
  <si>
    <t>337DZ</t>
  </si>
  <si>
    <t>10.1183/09031936.00009008</t>
  </si>
  <si>
    <t>CHEMLA, Denis/0000-0001-7479-9896; Humbert, Marc/0000-0003-0703-2892; SITBON, Olivier/0000-0002-1942-1951</t>
  </si>
  <si>
    <t>steve.provencher@crhl.ulaval.ca</t>
  </si>
  <si>
    <t>Provencher, S (corresponding author), Univ Paris 11, AP HP, Hop Antoine Beclere, Ctr Maladies Vascuaires Pulm UPRES EA 2705,Serv P, 157 Rue Porte Trivaux, F-92140 Clamart, France.</t>
  </si>
  <si>
    <t>Assistance Publique Hopitaux Paris (APHP); Hopital Universitaire Antoine-Beclere - APHP; Universite Paris Saclay; Hopital Marie Lannelongue; Assistance Publique Hopitaux Paris (APHP); Hopital Universitaire Bicetre - APHP; Laval University; Laval University Hospital</t>
  </si>
  <si>
    <t>[Provencher, S.; Sitbon, O.; Humbert, M.; Simonneau, G.] Univ Paris 11, AP HP, Hop Antoine Beclere, Ctr Maladies Vascuaires Pulm UPRES EA 2705,Serv P, F-92140 Clamart, France; [Herve, P.] Ctr Chirurg Marie Lannelongue, Le Plessis Robinson, France; [Chemla, D.] CHU Bicetre, Serv Physiol, Le Kremlin Bicetre, France; [Provencher, S.] Univ Laval, Inst Univ Cardiol &amp; Pneumol, Hop Laval, Ctr Rech, Quebec City, PQ, Canada</t>
  </si>
  <si>
    <t>Improvement in exercise capacity may not be associated with significant changes in resting pulmonary haemodynamics. The present prospective study documented the relationships between improvement in 6-min walking distance (6MWD) and changes in resting and exercise pulmonary haemodynamics after treatment in patients with idiopathic pulmonary arterial hypertension (IPAH). A total of 42 IPAH patients underwent supine submaximal exercise haemodynamic assessments at baseline and after 5 +/- 2 months of therapy. The 6MWD, the corresponding chronotropic response (peak minus resting heart rate), and resting and exercise haemodynamic variables were analysed. The isoflow was defined as the lowest of the pre- and post-treatment peak cardiac index (CI). The extrapolated isoflow mean pulmonary artery pressure ((P) over bar pa) was used to characterise changes in (P) over bar pa-CI regression lines following treatment. Patients were given bosentan (n=28), epoprostenol (n=12) or both. The 6MWD increased significantly, from 399 +/- 88 to 442 +/- 86 m. On univariate analysis, changes in 6MWD correlated with changes in isoflow (P) over bar pa, chronotropic response, resting haemodynamics (Cl, pulmonary vascular resistance and mixed venous oxygen saturation) and exercise haemodynamics (peak CI). On multivariate analysis, only changes in isoflow (P) over bar pa and chronotropic response were independently associated with changes in 6MWD. Improvement in exercise tolerance with chronic therapy is independently related to improvement in pulmonary haemodynamics measured in exercise but not in resting conditions.</t>
  </si>
  <si>
    <t>VASCULAR-RESISTANCE; END-POINTS; HEART; RESPONSES</t>
  </si>
  <si>
    <t>exercise haemodynamics; pulmonary hypertension</t>
  </si>
  <si>
    <t>Changes in exercise haemodynamics during treatment in pulmonary arterial hypertension</t>
  </si>
  <si>
    <t>Provencher, S.; Herve, P.; Sitbon, O.; Humbert, M.; Simonneau, G.; Chemla, D.</t>
  </si>
  <si>
    <t>Provencher, S; Herve, P; Sitbon, O; Humbert, M; Simonneau, G; Chemla, D</t>
  </si>
  <si>
    <t>WOS:000258022000017</t>
  </si>
  <si>
    <t>331OR</t>
  </si>
  <si>
    <t>10.1203/PDR.0b013e318179954c</t>
  </si>
  <si>
    <t>Pediatr. Res.</t>
  </si>
  <si>
    <t>PEDIATR RES</t>
  </si>
  <si>
    <t>1530-0447</t>
  </si>
  <si>
    <t>0031-3998</t>
  </si>
  <si>
    <t>Hoeper, Marius/Z-1546-2019; Beghetti, Maurice/HNP-1055-2023; Humbert, Marc/AAC-8459-2019</t>
  </si>
  <si>
    <t>Maurice.Beghetti@hcuge.ch</t>
  </si>
  <si>
    <t>Beghetti, M (corresponding author), Hop Enfants, Unite Cardiol Pediat, 6 Rue Willy Donze, CH-1211 Geneva 14, Switzerland.</t>
  </si>
  <si>
    <t>University of Geneva; University of Sheffield; Rigshospitalet; University of Copenhagen; Copenhagen University Hospital; Actelion Pharmaceuticals Ltd; Actelion Pharmaceuticals Ltd; Assistance Publique Hopitaux Paris (APHP); Hopital Universitaire Antoine-Beclere - APHP</t>
  </si>
  <si>
    <t>[Beghetti, Maurice] Univ Hosp Geneva, Dept Pediat, CH-1211 Geneva 14, Switzerland; [Hoeper, Marius M.] Sch Med, Dept Resp Med, D-30623 Hannover, Germany; [Kiely, David G.] Royal Hallamshire Hosp, Dept Resp Med, Sheffield S10 2JF, S Yorkshire, England; [Carlsen, Joern] Rigshosp, Dept Cardiol, DK-2100 Copenhagen, Denmark; [Schwierin, Barbara] Actel Pharmaceut Ltd, Global Med Sci &amp; Commun, CH-4123 Allschwil, Switzerland; [Segal, Eleanor S.] Actel Pharmaceut Ltd, Global Drug Safety &amp; Global Med Informat, CH-4123 Allschwil, Switzerland; [Humbert, Marc] Hop Antoine Beclere, Serv Pneumol, F-92140 Clamart, France</t>
  </si>
  <si>
    <t>The oral dual endothelin receptor antagonist bosentan has been shown to improve the short- and medium-term course of adult pulmonary arterial hypertension (PAH); however, data from clinical studies in children are limited. This analysis investigated the safety profile of bosentan in pediatric patients in a European, prospective, noninterventional, Internet-based postmarketing surveillance database (Tracleer PMS). Pediatric patients (aged 2-11 y) were compared with patients aged &gt;= 12 y. Over a 30-mo period, 4994 patients, including 146 bosentan-naive pediatric patients (51.4% males), were captured in the database. Predominant etiologies in children were idiopathic PAH (40.4%) and PAH related to congenital heart disease (45.2%). The majority of children were in New York Heart Association functional class II (28.1%) or III (50.7%), and median exposure to bosentan was 29.1 wk. Elevated aminotransferases were reported in 2.7% of children versus 7.8% of patients &gt;= 12 y. The discontinuation rate was 14.4% in children versus 28.1% in patients 12 y. The Tracleer PMS results provide unique information on pediatric PAH in Europe. They also suggest that Tracleer may be better tolerated in children than in adults. This observation confirms the value of monthly monitoring of liver function for the duration of bosentan treatment.</t>
  </si>
  <si>
    <t>PEDIATRIC RESEARCH</t>
  </si>
  <si>
    <t>Safety experience with bosentan in 146 children 2-11 years old with pulmonary arterial hypertension: Results from the European postmarketing surveillance program</t>
  </si>
  <si>
    <t>Beghetti, Maurice; Hoeper, Marius M.; Kiely, David G.; Carlsen, Joern; Schwierin, Barbara; Segal, Eleanor S.; Humbert, Marc</t>
  </si>
  <si>
    <t>Beghetti, M; Hoeper, MM; Kiely, DG; Carlsen, J; Schwierin, B; Segal, ES; Humbert, M</t>
  </si>
  <si>
    <t>WOS:000258417000035</t>
  </si>
  <si>
    <t>10.1183/09031936.00005408</t>
  </si>
  <si>
    <t>Mercier, Olaf/0000-0002-4760-6267; Montani, David/0000-0002-9358-6922; Humbert, Marc/0000-0003-0703-2892; JAIS, XAVIER/0000-0002-4104-7994</t>
  </si>
  <si>
    <t>Simonneau, Gerald/ABE-6614-2020; David, Montani/I-6885-2019; Humbert, Marc/AAC-8459-2019</t>
  </si>
  <si>
    <t>marc.humbert@abc.aphp.fri</t>
  </si>
  <si>
    <t>Humbert, M (corresponding author), Univ Paris 11, Hop Antoine Beclere, Ctr Natl Reference Hypertens Arterielle Pulmonair, Serv Pneumol &amp; Reanimat Resp, 157 Rue Porte de Trivaux, F-92140 Clamart, France.</t>
  </si>
  <si>
    <t>Universite Paris Saclay; Assistance Publique Hopitaux Paris (APHP); Hopital Universitaire Antoine-Beclere - APHP; Universite Paris Saclay; Hopital Marie Lannelongue</t>
  </si>
  <si>
    <t>[Achouh, L.; Montani, D.; Garcia, G.; Jais, X.; Hamid, A. M.; Simonneau, G.; Humbert, M.] Univ Paris 11, Hop Antoine Beclere, Ctr Natl Reference Hypertens Arterielle Pulmonair, Serv Pneumol &amp; Reanimat Resp, F-92140 Clamart, France; [Mercler, O.] Univ Paris 11, Ctr Chirurg Marie Lannelongue, Serv Chirurg Thorac, Le Plessis Robinson, France</t>
  </si>
  <si>
    <t>Once the diagnosis of pulmonary arterial hypertension is established, wheezing and chronic cough are rarely described during the course of the disease. The present study reports on two nonsmoking patients with severe pulmonary arterial hypertension, confirmed by right-heart catheterisation, who developed chronic cough, wheezing and irreversible obstructive lung disease masquerading as adult-onset severe refractory asthma. In both cases, extrinsic proximal airway obstruction by dilated pulmonary arteries was demonstrated by fibreoptic bronchoscopy and computed tomography of the chest. The present observations add dilatation of the central pulmonary arteries with compression of the mainstem bronchi to the list of masqueraders of asthma in patients with pulmonary arterial hypertension.</t>
  </si>
  <si>
    <t>MAIN CORONARY-ARTERY; CONGENITAL HEART-DISEASE; AIRWAY-OBSTRUCTION; COMPRESSION; CHILDREN</t>
  </si>
  <si>
    <t>asthma; compression of the mainstem bronchi; congenital heart diseases; obstructive airway disease; Ortner's syndrome; pulmonary arterial hypertension</t>
  </si>
  <si>
    <t>Pulmonary arterial hypertension masquerading as severe refractory asthma</t>
  </si>
  <si>
    <t>Achouh, L.; Montani, D.; Garcia, G.; Jais, X.; Hamid, A. M.; Mercler, O.; Simonneau, G.; Humbert, M.</t>
  </si>
  <si>
    <t>Achouh, L; Montani, D; Garcia, G; Jaïs, X; Hamid, AM; Mercler, O; Simonneau, G; Humbert, M</t>
  </si>
  <si>
    <t>WOS:000258888800026</t>
  </si>
  <si>
    <t>343XF</t>
  </si>
  <si>
    <t>Opitz, Christian/L-3438-2019; Rubin, Lewis/AEW-1719-2022; Pittrow, David/AAY-5042-2021; Behrens, Frank/AAI-8910-2021; furst, daniel/B-7316-2014; MATUCCI CERINIC, MARCO/AAO-2769-2020; Humbert, Marc/AAC-8459-2019; Distler, Oliver/AAE-6225-2019</t>
  </si>
  <si>
    <t>Defining appropriate outcome measures in pulmonary arterial hypertension related to systemic sclerosis: A Delphi consensus study with cluster analysis (vol 59, pg 867, 2008)</t>
  </si>
  <si>
    <t>Distler, O.; Behrens, F.; Pittrow, D.; Huscher, D.; Denton, C. P.; Foeldvari, I; Humbert, M.; Matucci-Cerinic, M.; Nash, P.; Opitz, C. F.; Rubin, L. J.; Seibold, J. R.; Furst, D. E.</t>
  </si>
  <si>
    <t>WOS:000259244202291</t>
  </si>
  <si>
    <t>348XU</t>
  </si>
  <si>
    <t>S830</t>
  </si>
  <si>
    <t>Humbert, Marc/AAC-8459-2019; Camoin, Luc/AAB-3856-2019; Tamby, Mathieu/B-1277-2011; meroni, pier/K-8473-2016</t>
  </si>
  <si>
    <t>Universite Paris Cite; Institut National de la Sante et de la Recherche Medicale (Inserm); Universite Paris Cite; Assistance Publique Hopitaux Paris (APHP); Universite Paris Cite; Hopital Universitaire Cochin - APHP; Assistance Publique Hopitaux Paris (APHP); Hopital Universitaire Antoine-Beclere - APHP</t>
  </si>
  <si>
    <t>[Terrier, Benjamin; Tamby, Mathieu C.; Bussone, Guillaume] Paris Descartes Univ, Paris, France; [Camoin, Luc] Inst Cochin Genet Mol, F-75014 Paris, France; [Guillevin, Loic; Mouthon, Luc] Cochin Hosp, Paris, France; [Simmoneau, Gerald; Humbert, Marc] Hop Antoine Beclere, Paris, France</t>
  </si>
  <si>
    <t>OCT 24-29, 2008</t>
  </si>
  <si>
    <t>72nd Annual Scientific Meeting of the American-College-of-Rheumatology/43rd Annual Scientific Meeting of the Association-of-Rheumatology-Health-Professionals</t>
  </si>
  <si>
    <t>Proteomic identification of target antigens of anti-fibroblast antibodies in patients with idiopathic and systemic sclerosis-associated pulmonary arterial hypertension</t>
  </si>
  <si>
    <t>Terrier, Benjamin; Tamby, Mathieu C.; Camoin, Luc; Bussone, Guillaume; Guillevin, Loic; Simmoneau, Gerald; Humbert, Marc; Mouthon, Luc</t>
  </si>
  <si>
    <t>Terrier, B; Tamby, MC; Camoin, L; Bussone, G; Guillevin, L; Simmoneau, G; Humbert, M; Mouthon, L</t>
  </si>
  <si>
    <t>WOS:000259244202310</t>
  </si>
  <si>
    <t>S836</t>
  </si>
  <si>
    <t>Camoin, Luc/AAB-3856-2019; Simonneau, Gerald/ABE-6614-2020; Tamby, Mathieu/B-1277-2011; Humbert, Marc/AAC-8459-2019; meroni, pier/K-8473-2016</t>
  </si>
  <si>
    <t>Universite Paris Cite; Universite Paris Cite; Institut National de la Sante et de la Recherche Medicale (Inserm); Assistance Publique Hopitaux Paris (APHP); Universite Paris Cite; Hopital Universitaire Cochin - APHP; Assistance Publique Hopitaux Paris (APHP); Hopital Universitaire Antoine-Beclere - APHP</t>
  </si>
  <si>
    <t>[Terrier, Benjamin; Tamby, Mathieu C.; Tamas, Nicolas; Hotellier, Francoise] Univ Paris 05, Paris, France; [Camoin, Luc] Inst Cochin Genet Mol, F-75014 Paris, France; [Guilpain, Philippe; Berezne, Alice; Guillevin, Loic; Mouthon, Luc] Cochin Hosp, Paris, France; [Broussard, Cedric; Humbert, Marc; Simonneau, Gerald] Antoine Beclere Hosp, Paris, France</t>
  </si>
  <si>
    <t>Anti-fibroblast antibodies from systemic sclerosis patients bind to α-enolase and are associated with interstitial lung disease</t>
  </si>
  <si>
    <t>Terrier, Benjamin; Tamby, Mathieu C.; Camoin, Luc; Guilpain, Philippe; Berezne, Alice; Tamas, Nicolas; Broussard, Cedric; Hotellier, Francoise; Humbert, Marc; Simonneau, Gerald; Guillevin, Loic; Mouthon, Luc</t>
  </si>
  <si>
    <t>Terrier, B; Tamby, MC; Camoin, L; Guilpain, P; Bérezné, A; Tamas, N; Broussard, C; Hotellier, F; Humbert, M; Simonneau, G; Guillevin, L; Mouthon, L</t>
  </si>
  <si>
    <t>WOS:000259244200579</t>
  </si>
  <si>
    <t>S373</t>
  </si>
  <si>
    <t>Launay, David/0000-0003-1840-1817; LEFEVRE, Guillaume/0000-0002-9427-7267</t>
  </si>
  <si>
    <t>Simonneau, Gerald/ABE-6614-2020; HACHULLA, ERIC/R-8488-2018; Humbert, Marc/AAC-8459-2019; Launay, David/A-5270-2018; meroni, pier/K-8473-2016; Launay, David/H-1674-2016; LEFEVRE, Guillaume/I-7168-2018</t>
  </si>
  <si>
    <t>Universite de Lille; CHU Lille; Assistance Publique Hopitaux Paris (APHP); Hopital Universitaire Antoine-Beclere - APHP; Assistance Publique Hopitaux Paris (APHP); Universite Paris Cite; Hopital Universitaire Cochin - APHP</t>
  </si>
  <si>
    <t>[Launay, David; Lefevre, Guillaume; Hatron, Pierre-Yves; Hachulla, Eric] Hop Claude Huriez, Lille, France; [Humbert, Marc; Simonneau, Gerald] Hop Antoine Beclere, Paris, France; [Mouthon, Luc; Berezne, Alice] Hop Cochin, F-75674 Paris, France; [Clerson, Pierre] Organmetrie, Lille, France</t>
  </si>
  <si>
    <t>Natural history of pulmonary arterial hypertension in systemic sclerosis: A late or early complication?</t>
  </si>
  <si>
    <t>Launay, David; Humbert, Marc; Mouthon, Luc; Lefevre, Guillaume; Berezne, Alice; Hatron, Pierre-Yves; Clerson, Pierre; Simonneau, Gerald; Hachulla, Eric</t>
  </si>
  <si>
    <t>Launay, D; Humbert, M; Mouthon, L; Lefevre, G; Berezne, A; Hatron, PY; Clerson, P; Simonneau, G; Hachulla, E</t>
  </si>
  <si>
    <t>WOS:000259244202262</t>
  </si>
  <si>
    <t>S819</t>
  </si>
  <si>
    <t>Launay, David/A-5270-2018; Tcherakian, Colas/D-8813-2016; Sitbon, Olivier/I-3623-2019; Simonneau, Gerald/ABE-6614-2020; Humbert, Marc/AAC-8459-2019; Launay, David/H-1674-2016</t>
  </si>
  <si>
    <t>Assistance Publique Hopitaux Paris (APHP); Hopital Universitaire Antoine-Beclere - APHP; Universite de Lille; CHU Lille</t>
  </si>
  <si>
    <t>[Sitbon, Olivier; Jais, Xavier; Yaici, Azzedine; Le Pavec, Jerome; Tcherakian, Colas; Humbert, Marc; Simonneau, Gerald] Hop Antoine Beclere, Paris, France; [Launay, David] Hop Claude Huriez, Lille, France</t>
  </si>
  <si>
    <t>Long-term outcome with first-line bosentan therapy in systemic sclerosis-associated pulmonary arterial hypertension</t>
  </si>
  <si>
    <t>Launay, David; Sitbon, Olivier; Jais, Xavier; Yaici, Azzedine; Le Pavec, Jerome; Tcherakian, Colas; Humbert, Marc; Simonneau, Gerald</t>
  </si>
  <si>
    <t>Launay, D; Sitbon, O; Jais, X; Yaici, A; Le Pavec, J; Tcherakian, C; Humbert, M; Simonneau, G</t>
  </si>
  <si>
    <t>WOS:000260436700007</t>
  </si>
  <si>
    <t>365VI</t>
  </si>
  <si>
    <t>10.1097/01.aids.0000327515.55041.da</t>
  </si>
  <si>
    <t>S47</t>
  </si>
  <si>
    <t>S41</t>
  </si>
  <si>
    <t>1473-5571</t>
  </si>
  <si>
    <t>Humbert, M (corresponding author), Hop Antoine Beclere, Serv Pneumol, 157 Rue Porte de Trivaux, F-92140 Clamart, France.</t>
  </si>
  <si>
    <t>Assistance Publique Hopitaux Paris (APHP); Hopital Universitaire Antoine-Beclere - APHP; Institut National de la Sante et de la Recherche Medicale (Inserm); Universite Paris Saclay</t>
  </si>
  <si>
    <t>[Humbert, Marc] Univ Paris 11, Hop Antoine Beclere, AP HP, Serv Pneumol &amp; Reanimat Resp,INSERM,U764, Clamart, France; [Humbert, Marc] UPRES EA2705, Clamart, France</t>
  </si>
  <si>
    <t>HIV-related pulmonary arterial hypertension (PAH) is one of the long-term complications of HIV infection that has become increasingly apparent in recent years. The clinical presentation and underlying pathology of PAH in HIV is similar to that in other forms of the disease, although there are data to suggest subtle differences, such as a greater inflammatory component in the HIV-related form. Advances continue to be made in defining the underlying pathogenesis of PAH, but the overall processes leading to vascular dysfunction and remodeling remain unclear. It would appear that PAH has a multifactorial etiology, with various risk factors - probably acting on an underlying genetic predisposition - that lead to the pulmonary vascular dysfunction that characterizes the disease. A range of growth factors, chemokines, cytokines and other inflammatory mediators, together with mediators involved in vasoconstriction and dilation, have been implicated in the pulmonary vascular remodeling resulting from this dysfunction. An increased understanding of the processes and factors involved in PAH has led to the development of new therapeutic strategies that have improved the management of various forms of PAH, including PAH associated with HIV (HIV-PAH). Recent results from studies into other potential mediators of PAH offer the possibility of new targets for therapy in this progressive and serious condition. (c) 2008 Wolters Kluwer Health vertical bar Lippincott Williams &amp; Wilkins</t>
  </si>
  <si>
    <t>SARCOMA-ASSOCIATED HERPESVIRUS; PROTEIN-RECEPTOR-II; GERMLINE MUTATIONS; KAPOSIS-SARCOMA; CX3C CHEMOKINE; ENDOTHELIN-1; EXPRESSION; GENE; GROWTH; HUMAN-HERPESVIRUS-8</t>
  </si>
  <si>
    <t>cytokines; endothelial; HIV; mediators; pulmonary artery hypertension</t>
  </si>
  <si>
    <t>Zurich, SWITZERLAND</t>
  </si>
  <si>
    <t>APR 21-22, 2007</t>
  </si>
  <si>
    <t>Meeting on Pulmonary Arterial Hypertension and Other Cardiovascular Complications Related to HIV</t>
  </si>
  <si>
    <t>Mediators involved in HIV-related pulmonary arterial hypertension</t>
  </si>
  <si>
    <t>WOS:000259244202311</t>
  </si>
  <si>
    <t>S837</t>
  </si>
  <si>
    <t>meroni, pier/K-8473-2016; Simonneau, Gerald/ABE-6614-2020; Tamby, Mathieu/B-1277-2011; Camoin, Luc/AAB-3856-2019; Humbert, Marc/AAC-8459-2019</t>
  </si>
  <si>
    <t>Universite Paris Cite; Assistance Publique Hopitaux Paris (APHP); Universite Paris Cite; Hopital Universitaire Cochin - APHP; Institut National de la Sante et de la Recherche Medicale (Inserm); Assistance Publique Hopitaux Paris (APHP); Hopital Universitaire Antoine-Beclere - APHP</t>
  </si>
  <si>
    <t>[Dib, Hanadi; Bussone, Guillaume; Tamby, Mathieu] Univ Paris 05, F-75005 Paris, France; [Guilpain, Philippe; Berezne, Alice; Guillevin, Loic; Mouthon, Luc] Cochin Hosp, Paris, France; [Camoin, Luc; Broussard, Cedric] INSERM, Paris, France; [Simonneau, Gerald; Humbert, Marc] Antoine Beclere Hosp, Paris, France</t>
  </si>
  <si>
    <t>Identification of target antigens of endothelial cells antibodies in systemic sclerosis and idiopathic pulmonary arterial hypertension</t>
  </si>
  <si>
    <t>Dib, Hanadi; Bussone, Guillaume; Guilpain, Philippe; Tamby, Mathieu; Berezne, Alice; Camoin, Luc; Simonneau, Gerald; Broussard, Cedric; Guillevin, Loic; Humbert, Marc; Mouthon, Luc</t>
  </si>
  <si>
    <t>Dib, H; Bussone, G; Guilpain, P; Tamby, M; Bérezné, A; Camoin, L; Simonneau, G; Broussard, C; Guillevin, L; Humbert, M; Mouthon, L</t>
  </si>
  <si>
    <t>WOS:000208702502485</t>
  </si>
  <si>
    <t>V28TG</t>
  </si>
  <si>
    <t>Humbert, Marc/AAC-8459-2019; HACHULLA, ERIC/R-8488-2018; DE GROOTE, Pascal/LLL-9444-2024</t>
  </si>
  <si>
    <t>Universite de Lille; CHU Lille</t>
  </si>
  <si>
    <t>[De Groote, P.] Hop Cardiol Chru Lille, Serv Cardiol C, Lille, France</t>
  </si>
  <si>
    <t>Incidence of pulmonary arterial hypertension related to systemic sclerosis: a 3-year nationwide longitudinal study</t>
  </si>
  <si>
    <t>ItinerAIR-Scleroderma Registry</t>
  </si>
  <si>
    <t>De Groote, P.; Hachulla, E.; Gressin, V.; Sibilia, J.; Diot, E.; Carpentier, P.; Mouthon, L.; Hatron, P. Y.; Clerson, P.; Humbert, M.</t>
  </si>
  <si>
    <t>De Groote, P; Hachulla, E; Gressin, V; Sibilia, J; Diot, E; Carpentier, P; Mouthon, L; Hatron, PY; Clerson, P; Humbert, M</t>
  </si>
  <si>
    <t>WOS:000208702501206</t>
  </si>
  <si>
    <t>DE GROOTE, Pascal/LLL-9444-2024; HACHULLA, ERIC/R-8488-2018; Humbert, Marc/AAC-8459-2019; , CRACOWSKI/M-6946-2014; patat, frederic/LRU-5377-2024</t>
  </si>
  <si>
    <t>[De Groote, P.] Chru Lille, Hop Cardiol, Serv Cardiol C, Lille, France</t>
  </si>
  <si>
    <t>Maximal velocity of tricuspid regurgitation: a powerful prognostic parameter in patients with systemic sclerosis. A 3-year nationwide longitudinal study</t>
  </si>
  <si>
    <t>De Groote, P.; Hachulla, E.; Gressin, V.; Lamblin, N.; Petit, H.; Patat, F.; Cracowski, J. L.; Clerson, P.; Guillevin, L.; Humbert, M.</t>
  </si>
  <si>
    <t>De Groote, P; Hachulla, E; Gressin, V; Lamblin, N; Petit, H; Patat, F; Cracowski, JL; Clerson, P; Guillevin, L; Humbert, M</t>
  </si>
  <si>
    <t>WOS:000259158600014</t>
  </si>
  <si>
    <t>347RL</t>
  </si>
  <si>
    <t>10.1164/rccm.200804-613OC</t>
  </si>
  <si>
    <t>SITBON, Olivier/0000-0002-1942-1951; Humbert, Marc/0000-0003-0703-2892; JAIS, XAVIER/0000-0002-4104-7994; Souza, Rogerio/0000-0003-2789-9143; Le Pavec, Jerome/0000-0003-4426-9645</t>
  </si>
  <si>
    <t>Simonneau, Gerald/ABE-6614-2020; Savale, Laurent/AAJ-9781-2020; Sitbon, Olivier/I-3623-2019; Tcherakian, Colas/D-8813-2016; Humbert, Marc/AAC-8459-2019; Souza, Rogerio/I-3584-2013</t>
  </si>
  <si>
    <t>Le Pavec, J (corresponding author), Hop Antoine Beclere, Serv Pneumol, 157 Rue Porte Trivaux, F-92140 Clamart, France.</t>
  </si>
  <si>
    <t>Universite Paris Saclay; Assistance Publique Hopitaux Paris (APHP); Hopital Universitaire Antoine-Beclere - APHP; Assistance Publique Hopitaux Paris (APHP); Universite Paris Cite; Hopital Universitaire Beaujon - APHP; Institut National de la Sante et de la Recherche Medicale (Inserm); Universite Paris Cite; Assistance Publique Hopitaux Paris (APHP); Hopital Universitaire Beaujon - APHP</t>
  </si>
  <si>
    <t>[Le Pavec, Jerome; Souza, Rogerio; Herve, Philippe; Savale, Laurent; Tcherakian, Colas; Jais, Xavier; Yaici, Azzedine; Humbert, Marc; Simonneau, Gerald; Sitbon, Olivier] Univ Paris 11, Hop Antoine Beclere, AP HP, Serv Pneumol &amp; Reanimat,UPRES 2705, Clamart, France; [Lebrec, Didier] Hop Beaujon, INSERM, U773, Ctr Rech Biomed Bichat Beaujon,CRB3,AP HP, Clichy, France; [Lebrec, Didier] Hop Beaujon, AP HP, Serv Hepatol, Clichy, France</t>
  </si>
  <si>
    <t>Rationale: Portopulmonary hypertension (PoPH) can be defined as elevation of pulmonary arterial pressure and pulmonary vascular resistance in the setting of portal hypertension. Survival results in PoPH are contrasting, and prognostic factors need to be identified. Objectives: To analyze long-term survival in a large cohort of patients with PoPH with the aim of determining the independent variables affecting survival. Methods: We retrospectively analyzed charts of all patients referred to the French Referral Center for pulmonary arterial hypertension with the diagnosis of PoPH between 1984 and 2004. Measurements and Main Results: The study population comprised 154 patients; 57% male. Mean age at diagnosis was 49 +/- 11 years, 60%of patients were in New York Heart Association functional class III-IV, and mean 6-minute walk distance was 326 +/- 116 m. Hemodynamic measurements showed a mean pulmonary arterial pressure of 53 +/- 13 mm Hg, cardiac index of 2.9 0.9 L/min/m(2), and pulmonary vascular resistance of 752 +/- 377 dyn/s/cm(5). Portal hypertension was related to cirrhosis in 136 patients, with a severity assessed as follows: Child-Pugh class A 51%, Child-Pugh class B 38%, Child-Pugh class C 11%. Overall survival rates at 1, 3, and 5 yr were 88, 75, and 68%, respectively. Multivariate regression analysis individualized the presence and severity of cirrhosis and cardiac index as major independent prognostic factors. Conclusions: Prognosis in PoPH is mainly related to the presence and severity of cirrhosis and to cardiac function. The place of pulmonary arterial hypertension-specific therapies remains to be determined in the setting of PoPH.</t>
  </si>
  <si>
    <t>PULMONARY ARTERIAL-HYPERTENSION; LIVER-TRANSPLANTATION; PORTAL-HYPERTENSION; VASCULAR DISORDERS; HEMODYNAMICS; DIAGNOSIS; THERAPY; PROSTACYCLIN; BOSENTAN</t>
  </si>
  <si>
    <t>pulmonary hypertension; portal hypertension; portopulmonary hypertension; cirrhosis; survival</t>
  </si>
  <si>
    <t>Portopulmonary hypertension -: Survival and prognostic factors</t>
  </si>
  <si>
    <t>Le Pavec, Jerome; Souza, Rogerio; Herve, Philippe; Lebrec, Didier; Savale, Laurent; Tcherakian, Colas; Jais, Xavier; Yaici, Azzedine; Humbert, Marc; Simonneau, Gerald; Sitbon, Olivier</t>
  </si>
  <si>
    <t>Le Pavec, J; Souza, R; Herve, P; Lebrec, D; Savale, L; Tcherakian, C; Jaïs, X; Yaïci, A; Humbert, M; Simonneau, G; Sitbon, O</t>
  </si>
  <si>
    <t>WOS:000259158600001</t>
  </si>
  <si>
    <t>10.1164/rccm.200806-867ED</t>
  </si>
  <si>
    <t>Humbert, M (corresponding author), Univ Paris 11, Hop Antoine Beclere, AP HP, Clamart, France.</t>
  </si>
  <si>
    <t>Universite Paris Saclay; Assistance Publique Hopitaux Paris (APHP); Hopital Universitaire Antoine-Beclere - APHP; Hannover Medical School</t>
  </si>
  <si>
    <t>[Humbert, Marc] Univ Paris 11, Hop Antoine Beclere, AP HP, Clamart, France; [Hoeper, Marius M.] Hannover Med Sch, D-3000 Hannover, Germany</t>
  </si>
  <si>
    <t>EXPRESSION; BMPR2</t>
  </si>
  <si>
    <t>Severe pulmonary arterial hypertension: A forme fruste of cancer?</t>
  </si>
  <si>
    <t>Humbert, Marc; Hoeper, Marius M.</t>
  </si>
  <si>
    <t>Humbert, M; Hoeper, MM</t>
  </si>
  <si>
    <t>WOS:000260772500007</t>
  </si>
  <si>
    <t>370OW</t>
  </si>
  <si>
    <t>10.1016/S0761-8425(08)74411-5</t>
  </si>
  <si>
    <t>Humbert, Marc/0000-0003-0703-2892; chanez, pascal/0000-0003-4059-0917; roche, nicolas/0000-0002-3162-5033; Montani, David/0000-0002-9358-6922</t>
  </si>
  <si>
    <t>David, Montani/I-6885-2019; Roche, Nicolas/AAE-9206-2021; MAGNAN, ANTOINE/GVT-4308-2022; Humbert, Marc/AAC-8459-2019</t>
  </si>
  <si>
    <t>Montani, D (corresponding author), Univ Paris 11, Hop Antoine Beclere, AP HP, Serv Pneumol &amp; reanimat Resp, 157 Rue Pporte Trivaux, F-92140 Clamart, France.</t>
  </si>
  <si>
    <t>Universite Paris Saclay; Assistance Publique Hopitaux Paris (APHP); Hopital Universitaire Antoine-Beclere - APHP; Aix-Marseille Universite; Assistance Publique-Hopitaux de Marseille; Universite de Lille; CHU Lille; Universite Paris Cite; Assistance Publique Hopitaux Paris (APHP); Hopital Universitaire Bichat-Claude Bernard - APHP; Assistance Publique Hopitaux Paris (APHP); Universite Paris Cite; Hopital Universitaire Necker-Enfants Malades - APHP; CHU Bordeaux; Universite de Bordeaux; Nantes Universite; CHU de Nantes; Institut National de la Sante et de la Recherche Medicale (Inserm); Assistance Publique Hopitaux Paris (APHP); Universite Paris Cite; Hopital Universitaire Hotel-Dieu - APHP</t>
  </si>
  <si>
    <t>[Montani, D.] Univ Paris 11, Hop Antoine Beclere, AP HP, Serv Pneumol &amp; reanimat Resp, F-92140 Clamart, France; [Chanez, P.] Hop St Marguerite, Marseille, France; [Tillie-Leblond, I.] Hop Albert Calmette, Lille, France; [Crestani, B.] Hop Bichat Claude Bernard, F-75877 Paris 18, France; [de Blic, J.] Hop Necker Enfants Malad, Paris, France; [Tunon-de-Lara, M.] Univ Bordeaux 2 Victor Segalen, Hop Haut Leveque, F-33076 Bordeaux, France; [Magnan, A.] INSERM, Inst Thorax, UMR 533, Nantes, France; [Roche, N.] Hop Hotel Dieu, F-75181 Paris, France</t>
  </si>
  <si>
    <t>In asthma, symptoms are the main reason for recourse to health-care and are a fundamental parameter for the evaluation of asthma control. Currently, asthma is defined as a chronic inflammatory disease. Uncontrolled asthmatics have an increased number of eosinophils in induced sputum and an increased production of exhaled NO. Control by anti-inflammatory treatment is accompanied by a reduction in bronchial eosinophilia and exhaled NO. Asthma symptoms are the result of complex mechanisms and many factors modify their perception. Experimental data suggests that there is a relationship between the perception of symptoms and eosinophilic inflammation, and that inhaled corticoid therapy improves this perception. Although they are still not applicable in routine practice, follow-up strategies based on the evaluation of inflammation are thought to be more effective in reducing exacerbations than those usually recommended based on retrospective evaluation of symptoms and sequential analysis of respiratory function. Inhaled corticosteroid therapy is the reference maintenance therapy for persistent asthma and adjustment of anti-inflammatory treatment based on symptoms is an effective strategy to prevent exacerbations and reduce the total dose of inhaled corticosteroids. A French expert group has undertaken a study of the association between inflammation and asthma symptoms by carrying out a critical review of the international literature.</t>
  </si>
  <si>
    <t>EXHALED NITRIC-OXIDE; SPUTUM EOSINOPHILS PREDICT; INDUCED AIRWAY RESPONSES; INHALED CORTICOSTEROIDS; CHILDHOOD ASTHMA; CELL COUNTS; RESPIRATORY SENSATION; DIFFICULT ASTHMA; RELIEVER THERAPY; CLINICAL ASTHMA</t>
  </si>
  <si>
    <t>Asthma; Inflammation; Symptoms; Inhaled corticosteroids; Perception; Exacerbation</t>
  </si>
  <si>
    <t>The relationship between inflammation and symptoms in asthma</t>
  </si>
  <si>
    <t>Montani, D.; Tillie-Leblond, I.; Crestani, B.; de Blic, J.; Humbert, M.; Tunon-de-Lara, M.; Magnan, A.; Roche, N.; Gati, S.; Chanez, P.</t>
  </si>
  <si>
    <t>Montani, D; Tillie-Leblond, I; Crestani, B; de Blic, J; Humbert, M; Tunon-de-Lara, M; Magnan, A; Roche, N; Gati, S; Chanez, P</t>
  </si>
  <si>
    <t>WOS:000261126300002</t>
  </si>
  <si>
    <t>375PR</t>
  </si>
  <si>
    <t>10.1016/j.vph.2008.06.003</t>
  </si>
  <si>
    <t>OCT-DEC</t>
  </si>
  <si>
    <t>Vasc. Pharmacol.</t>
  </si>
  <si>
    <t>VASC PHARMACOL</t>
  </si>
  <si>
    <t>1879-3649</t>
  </si>
  <si>
    <t>1537-1891</t>
  </si>
  <si>
    <t>Montani, David/0000-0002-9358-6922; Perros, Frederic/0000-0001-7730-2427; Humbert, Marc/0000-0003-0703-2892; Dorfmuller, Peter/0000-0003-2499-6829</t>
  </si>
  <si>
    <t>Humbert, M (corresponding author), Univ Paris 11, Hop Antoine Beclere, AP HP, Ctr Natl Reference Hypertens Arterielle Pulm, 157 Rue Porte Trivaux, F-92140 Clamart, France.</t>
  </si>
  <si>
    <t>Universite Paris Saclay; Assistance Publique Hopitaux Paris (APHP); Hopital Universitaire Antoine-Beclere - APHP; Institut National de la Sante et de la Recherche Medicale (Inserm); Assistance Publique Hopitaux Paris (APHP); Universite Paris-Est-Creteil-Val-de-Marne (UPEC); Hopital Universitaire Henri-Mondor - APHP</t>
  </si>
  <si>
    <t>[Humbert, Marc; Montani, David; Perros, Frederic; Dorfmueller, Peter] Univ Paris 11, Hop Antoine Beclere, AP HP, Ctr Natl Reference Hypertens Arterielle Pulm, F-92140 Clamart, France; [Adnot, Serge; Eddahibi, Saadia] Univ Paris 12, Hop Henri Mondor, AP HP, INSERM,U841, F-94010 Creteil, France</t>
  </si>
  <si>
    <t>The pathogenesis of pulmonary arterial hypertension (PAH) involves a complex and multifactorial process in which endothelial cell dysfunction appears to play an integral role in mediating the structural changes in the pulmonary vasculature. Disordered endothelial cell proliferation along with concurrent neoangiogenesis, when exuberant, results in the formation of glomeruloid structures known as the plexiform lesions, which are common pathological features of the pulmonary vessels of patients with PAH. In addition, an altered production of various endothelial vasoactive mediators, such as nitric oxide, prostacyclin, endothelin-1, serotonin, chemokines and thromboxane, has been increasingly recognized in patients with PAH. Because most of these mediators affect the growth of the smooth muscle cells, an alteration in their production may facilitate the development of pulmonary vascular hypertrophy and structural remodeling, characteristic of PAH. It is conceivable that the beneficial effects of many of the treatments currently available for PAH, such as the use of prostacyclin, nitric oxide, and endothelin receptor antagonists, result at least in part from restoring the balance between these mediators. A greater understanding of the role of the endothelium in PAH will presumably facilitate the evolution of newer, targeted therapies. (C) 2008 Elsevier Inc. All rights reserved.</t>
  </si>
  <si>
    <t>5-HYDROXYTRYPTAMINE TRANSPORTER GENE; CONNECTIVE-TISSUE DISEASES; GROWTH-FACTOR EXPRESSION; TRYPTOPHAN-HYDROXYLASE; IMMUNOSUPPRESSIVE THERAPY; SEROTONIN; INHIBITION; ANTIBODIES; IMATINIB; CHLOROPHENYLALANINE</t>
  </si>
  <si>
    <t>Chemokines; Endothelial cells; Endothelium; Pulmonary arterial hypertension; Serotonin; Smooth muscle cells</t>
  </si>
  <si>
    <t>VASCULAR PHARMACOLOGY</t>
  </si>
  <si>
    <t>Endothelial cell dysfunction and cross talk between endothelium and smooth muscle cells in pulmonary arterial hypertension</t>
  </si>
  <si>
    <t>Humbert, Marc; Montani, David; Perros, Frederic; Dorfmueller, Peter; Adnot, Serge; Eddahibi, Saadia</t>
  </si>
  <si>
    <t>Humbert, M; Montani, D; Perros, F; Dorfmüller, P; Adnot, S; Eddahibi, S</t>
  </si>
  <si>
    <t>WOS:000262104500413</t>
  </si>
  <si>
    <t>389ON</t>
  </si>
  <si>
    <t>S362</t>
  </si>
  <si>
    <t>S361</t>
  </si>
  <si>
    <t>OCT 28</t>
  </si>
  <si>
    <t>Guilluy, Christophe/Z-1015-2019; Savale, Laurent/AAJ-9781-2020; Humbert, Marc/AAC-8459-2019</t>
  </si>
  <si>
    <t>Nantes Universite; CHU de Nantes; Institut National de la Sante et de la Recherche Medicale (Inserm); Institut National de la Sante et de la Recherche Medicale (Inserm); Universite Paris-Est-Creteil-Val-de-Marne (UPEC); Assistance Publique Hopitaux Paris (APHP); Hopital Universitaire Henri-Mondor - APHP; Institut National de la Sante et de la Recherche Medicale (Inserm); Hopital Marie Lannelongue</t>
  </si>
  <si>
    <t>[Guilluy, Christophe; Agard, Christian; Loirand, Gervaise] INSERM, Inst Thorax, U915, Nantes, France; [Eddahibl, Saadia; Adnot, Serge] Hop Henri Mondor, INSERM, U651, F-94010 Creteil, France; [Savale, Laurent; Humbert, Marc] INSERM, U764, Clamart, France; [Savale, Laurent; Humbert, Marc] UPRES, EA 2705, Clamart, France; [Fadel, Elie] Cntr Chirurg Marie Lannelongue, Le Plessis Robinson, France</t>
  </si>
  <si>
    <t>NOV 08-12, 2008</t>
  </si>
  <si>
    <t>81st Annual Scientific Session of the American-Heart-Association</t>
  </si>
  <si>
    <t>RhoA and Rho Kinase Activation in Human Pulmonary Hypertension - Role of 5-HT Signaling</t>
  </si>
  <si>
    <t>Guilluy, Christophe; Eddahibl, Saadia; Agard, Christian; Savale, Laurent; Humbert, Marc; Fadel, Elie; Loirand, Gervaise; Adnot, Serge</t>
  </si>
  <si>
    <t>Guilluy, C; Eddahibl, S; Agard, C; Savale, L; Humbert, M; Fadel, E; Loirand, G; Adnot, S</t>
  </si>
  <si>
    <t>WOS:000261351100070</t>
  </si>
  <si>
    <t>378UZ</t>
  </si>
  <si>
    <t>A30</t>
  </si>
  <si>
    <t>A29</t>
  </si>
  <si>
    <t>David, Montani/I-6885-2019; Tcherakian, Colas/D-8813-2016; Howard, Luke/HJP-3415-2023; Humbert, Marc/AAC-8459-2019; Simonneau, Gerald/ABE-6614-2020; Perros, Frederic/N-6921-2017</t>
  </si>
  <si>
    <t>[Price, L. C.; Montani, D.; Perros, F.; Tcherakian, C.; Simonneau, G.; Humbert, M.] Hop Antoine Beclere, Paris, France</t>
  </si>
  <si>
    <t>DEC 03-05, 2008</t>
  </si>
  <si>
    <t>DEXAMETHASONE IMPROVES HAEMODYNAMICS IN ESTABLISHED INFLAMMATORY PULMONARY ARTERIAL HYPERTENSION IN A RAT MODEL</t>
  </si>
  <si>
    <t>Price, L. C.; Montani, D.; Perros, F.; Tcherakian, C.; Howard, L. S.; Simonneau, G.; Humbert, M.</t>
  </si>
  <si>
    <t>Price, LC; Montani, D; Perros, F; Tcherakian, C; Howard, LS; Simonneau, G; Humbert, M</t>
  </si>
  <si>
    <t>WOS:000261053900003</t>
  </si>
  <si>
    <t>374OP</t>
  </si>
  <si>
    <t>10.1111/j.1398-9995.2008.01863.x</t>
  </si>
  <si>
    <t>COMMERCE PLACE, 350 MAIN ST, MALDEN 02148, MA USA</t>
  </si>
  <si>
    <t>MALDEN</t>
  </si>
  <si>
    <t>We thank Dr Louise Brady, from MediTech Media Ltd, who provided medical writing support funded by AstraZeneca.</t>
  </si>
  <si>
    <t>Humbert, M (corresponding author), Univ Paris 11, AP HP, Hop Antoine Beclere, Serv Pneumol &amp; Reanimat Resp, 157 Rue Porte Trivaux, F-92140 Clamart, France.</t>
  </si>
  <si>
    <t>Universite Paris Saclay; Assistance Publique Hopitaux Paris (APHP); Hopital Universitaire Antoine-Beclere - APHP; AstraZeneca; University Hospital Mainz</t>
  </si>
  <si>
    <t>[Humbert, M.] Univ Paris 11, AP HP, Hop Antoine Beclere, Serv Pneumol &amp; Reanimat Resp, F-92140 Clamart, France; [Andersson, T. L. G.] AstraZeneca, Lund, Sweden; [Buhl, R.] Mainz Univ Hosp, Dept Pulm, Mainz, Germany</t>
  </si>
  <si>
    <t>The Global Initiative for Asthma (GINA) guidelines aim at improving asthma control and preventing future risk. For patients with moderate to severe asthma an inhaled corticosteroid (ICS) or an ICS/long-acting beta(2)-agonist (LABA) combination with a short-acting beta(2)-agonist (SABA) as reliever is recommended. Despite the availability of effective maintenance therapies, a large proportion of patients still fail to achieve guideline-defined asthma control, and overuse of SABA reliever medication at the expense of ICS is commonly observed. New simplified treatment approaches may offer a solution and assist physicians to achieve overall asthma control. One such treatment approach, which is recommended in the GINA guidelines, is budesonide/formoterol for both maintenance and reliever therapy. This treatment strategy significantly reduces the rate of severe asthma exacerbations compared with ICS/LABA plus SABA and achieves equivalent daily symptom control compared with higher doses of ICS/LABA plus separate SABA for relief. These benefits are achieved at a lower overall steroid load, and budesonide/formoterol maintenance and reliever therapy is well tolerated in patients with moderate to severe asthma. This review discusses current asthma management in patients with moderate to severe disease and examines the evidence for alternative asthma management approaches.</t>
  </si>
  <si>
    <t>AIRWAY SMOOTH-MUSCLE; SALMETEROL/FLUTICASONE PROPIONATE COMBINATION; LONG-ACTING BETA(2)-AGONISTS; SINGLE INHALER; DOSE SALMETEROL/FLUTICASONE; FLUTICASONE PROPIONATE; SCIENTIFIC RATIONALE; SEVERE EXACERBATIONS; COST-EFFECTIVENESS; IMPROVES ASTHMA</t>
  </si>
  <si>
    <t>asthma symptoms; budesonide; formoterol maintenance and reliever therapy; exacerbations; moderate to severe asthma; quality of life; asthma control</t>
  </si>
  <si>
    <t>Budesonide/formoterol for maintenance and reliever therapy in the management of moderate to severe asthma</t>
  </si>
  <si>
    <t>Humbert, M.; Andersson, T. L. G.; Buhl, R.</t>
  </si>
  <si>
    <t>Humbert, M; Andersson, TLG; Buhl, R</t>
  </si>
  <si>
    <t>WOS:000261371800009</t>
  </si>
  <si>
    <t>379CG</t>
  </si>
  <si>
    <t>Biotechnology &amp; Applied Microbiology; Research &amp; Experimental Medicine</t>
  </si>
  <si>
    <t>Biotechnology &amp; Applied Microbiology; Medicine, Research &amp; Experimental</t>
  </si>
  <si>
    <t>10.1517/14712590802496928</t>
  </si>
  <si>
    <t>Expert Opin. Biol. Ther.</t>
  </si>
  <si>
    <t>EXPERT OPIN BIOL TH</t>
  </si>
  <si>
    <t>1744-7682</t>
  </si>
  <si>
    <t>1471-2598</t>
  </si>
  <si>
    <t>jean.bousquet@inserm.fr</t>
  </si>
  <si>
    <t>Bousquet, J (corresponding author), Hop Arnaud Villeneuve, Serv Malad Resp, F-34295 Montpellier 05, France.</t>
  </si>
  <si>
    <t>Universite de Montpellier; CHU de Montpellier; Institut National de la Sante et de la Recherche Medicale (Inserm); Universite Paris Saclay; Assistance Publique Hopitaux Paris (APHP); Hopital Universitaire Antoine-Beclere - APHP</t>
  </si>
  <si>
    <t>[Bousquet, Jean; Chiron, Raphael] Hop Arnaud Villeneuve, Serv Malad Resp, F-34295 Montpellier 05, France; [Bousquet, Jean] INSERM, UMR 780, Villejuif, France; [Humbert, Marc] Univ Paris Sud 11, Hop Antoine Beclere, Serv Pneumol, F-92140 Clamart, France</t>
  </si>
  <si>
    <t>Background: Biologics have become an increasingly important class of therapeutic compounds in a variety of immune and/or inflammatory diseases. Patients with severe uncontrolled asthma represent a significant unmet need. Methods: This review gives some examples of the complex use of biologics in asthma. Results/Conclusions: It is very difficult to predict the efficacy of biologics in severe asthma and only one monoclonal antibody to date has been found to be effective and approved by both the FDA and European Medicines Agency (EMEA) for the treatment of difficult allergic asthma. New pathways may prove to be of importance for the development of biologics. Biologics are not devoid of side effects, which can, although not always, be predicted from their mechanism of action. These include hypersensivity reactions, which need to be better understood to prevent and control them. Finally, biologics should be cost-effective. This review gives some examples of the complex use of biologics in asthma.</t>
  </si>
  <si>
    <t>NECROSIS-FACTOR-ALPHA; INJECTION SITE REACTIONS; MONOCLONAL-ANTIBODY; SEVERE PERSISTENT; RHEUMATOID-ARTHRITIS; ANTI-INTERLEUKIN-5 ANTIBODY; AIRWAY INFLAMMATION; MAINTENANCE THERAPY; ANTI-IL-5 TREATMENT; INFLIXIMAB THERAPY</t>
  </si>
  <si>
    <t>asthma; biologics; control; costs; omalizumab; side effects</t>
  </si>
  <si>
    <t>EXPERT OPINION ON BIOLOGICAL THERAPY</t>
  </si>
  <si>
    <t>Biologics in asthma: difficulties and drawbacks</t>
  </si>
  <si>
    <t>Bousquet, Jean; Chiron, Raphael; Humbert, Marc</t>
  </si>
  <si>
    <t>Bousquet, J; Chiron, R; Humbert, M</t>
  </si>
  <si>
    <t>WOS:000208733101773</t>
  </si>
  <si>
    <t>V29FA</t>
  </si>
  <si>
    <t>A2654</t>
  </si>
  <si>
    <t>[Sztrymf, B.; Price, L. C.; Yaici, A.; Jais, X.; Sitbon, O.; Humbert, M.; Simonneau, G.] Hop Antoine Beclere, Clamart, France</t>
  </si>
  <si>
    <t>Predictors of Outcome in Patients with Pulmonary Arterial Hypertension with Right Ventricular Failure Requiring Intensive Care Admission</t>
  </si>
  <si>
    <t>Sztrymf, B.; Price, L. C.; Yaici, A.; Jais, X.; Sitbon, O.; Humbert, M.; Simonneau, G.</t>
  </si>
  <si>
    <t>Sztrymf, B; Price, LC; Yaici, A; Jais, X; Sitbon, O; Humbert, M; Simonneau, G</t>
  </si>
  <si>
    <t>WOS:000208733102603</t>
  </si>
  <si>
    <t>A3368</t>
  </si>
  <si>
    <t>Humbert, Marc/AAC-8459-2019; Sitbon, Olivier/I-3623-2019; Tcherakian, Colas/D-8813-2016; Savale, Laurent/AAJ-9781-2020; Simonneau, Gerald/ABE-6614-2020</t>
  </si>
  <si>
    <t>laurent.savale@hmn.aphp.fr</t>
  </si>
  <si>
    <t>[Savale, L.; Sitbon, O.; Le Pavec, J.; Tcherakian, C.; Jais, X.; Achouh, L.; Yaici, A.; Humbert, M.; Simonneau, G.] Hop Antoine Beclere, Serv Pneumol, Clamart, France</t>
  </si>
  <si>
    <t>Addition of Sildenafil to First Line Bosentan Therapy in Patients with Idiopathic Pulmonary Arterial Hypertension</t>
  </si>
  <si>
    <t>Savale, L.; Sitbon, O.; Le Pavec, J.; Tcherakian, C.; Jais, X.; Achouh, L.; Yaici, A.; Humbert, M.; Simonneau, G.</t>
  </si>
  <si>
    <t>Savale, L; Sitbon, O; Le Pavec, J; Tcherakian, C; Jais, X; Achouh, L; Yaici, A; Humbert, M; Simonneau, G</t>
  </si>
  <si>
    <t>WOS:000208733101477</t>
  </si>
  <si>
    <t>A2358</t>
  </si>
  <si>
    <t>Simonneau, Gerald/ABE-6614-2020; Howard, Luke/HJP-3415-2023; Humbert, Marc/AAC-8459-2019; Tcherakian, Colas/D-8813-2016; David, Montani/I-6885-2019; Perros, Frederic/N-6921-2017</t>
  </si>
  <si>
    <t>lauracprice@hotmail.com</t>
  </si>
  <si>
    <t>Assistance Publique Hopitaux Paris (APHP); Hopital Universitaire Antoine-Beclere - APHP; Imperial College London</t>
  </si>
  <si>
    <t>[Price, L. C.; Montani, D.; Perros, F.; Dorfmuller, P.; Tcherakian, C.; Simonneau, G.; Humbert, M.] Hop Antoine Beclere, Clamart, France; [Price, L. C.; Howard, L. S.; Wort, S. J.] Univ London Imperial Coll Sci Technol &amp; Med, London, England</t>
  </si>
  <si>
    <t>Dexamethasone Reverses Vascular Remodelling in Monocrotaline Pulmonary Arterial Hypertension.</t>
  </si>
  <si>
    <t>Price, L. C.; Montani, D.; Perros, F.; Dorfmuller, P.; Tcherakian, C.; Howard, L. S.; Wort, S. J.; Simonneau, G.; Humbert, M.</t>
  </si>
  <si>
    <t>Price, LC; Montani, D; Perros, F; Dorfmuller, P; Tcherakian, C; Howard, LS; Wort, SJ; Simonneau, G; Humbert, M</t>
  </si>
  <si>
    <t>WOS:000208733102578</t>
  </si>
  <si>
    <t>A3343</t>
  </si>
  <si>
    <t>David, Montani/I-6885-2019; MERCIER, Frederic/HWQ-3001-2023; Humbert, Marc/AAC-8459-2019; Sitbon, Olivier/I-3623-2019; Simonneau, Gerald/ABE-6614-2020</t>
  </si>
  <si>
    <t>[Price, L. C.; Montani, D.; Jais, X.; Dick, J. R.; Sitbon, O.; Mercier, F. J.; Simonneau, G.; Humbert, M.] Hop Antoine Beclere, Clamart, France</t>
  </si>
  <si>
    <t>Anesthesia for Patients with Pulmonary Arterial Hypertension Undergoing Non-Cardiac, Non-Obstetric Surgery</t>
  </si>
  <si>
    <t>Price, L. C.; Montani, D.; Jais, X.; Dick, J. R.; Sitbon, O.; Mercier, F. J.; Simonneau, G.; Humbert, M.</t>
  </si>
  <si>
    <t>Price, LC; Montani, D; Jais, X; Dick, JR; Sitbon, O; Mercier, FJ; Simonneau, G; Humbert, M</t>
  </si>
  <si>
    <t>WOS:000208733104358</t>
  </si>
  <si>
    <t>A4894</t>
  </si>
  <si>
    <t>Sitbon, Olivier/I-3623-2019; Tamby, Mathieu/B-1277-2011; Humbert, Marc/AAC-8459-2019; Simonneau, Gerald/ABE-6614-2020</t>
  </si>
  <si>
    <t>Assistance Publique Hopitaux Paris (APHP); Universite Paris Cite; Hopital Universitaire Cochin - APHP; Assistance Publique Hopitaux Paris (APHP); Hopital Universitaire Antoine-Beclere - APHP</t>
  </si>
  <si>
    <t>[Mouthon, L.; Tamby, M. C.; Sahbatou, Y.; Terrier, B.; Guillevin, L.] Hop Cochin, Serv Med Interne, F-75674 Paris, France; [Sitbon, O.; Simonneau, G.; Humbert, M.] Hop Antoine Beclere, Serv Pneumol, Clamart, France</t>
  </si>
  <si>
    <t>Detection of Antibodies to Tenascin-C in Patients with Idiopathic Pulmonary Arterial Hypertension.</t>
  </si>
  <si>
    <t>Mouthon, L.; Tamby, M. C.; Sitbon, O.; Sahbatou, Y.; Terrier, B.; Simonneau, G.; Guillevin, L.; Humbert, M.</t>
  </si>
  <si>
    <t>Mouthon, L; Tamby, MC; Sitbon, O; Sahbatou, Y; Terrier, B; Simonneau, G; Guillevin, L; Humbert, M</t>
  </si>
  <si>
    <t>WOS:000264988000028</t>
  </si>
  <si>
    <t>430KM</t>
  </si>
  <si>
    <t>10.1183/09031936.00090608</t>
  </si>
  <si>
    <t>This study has been supported in part by grants from Ministere I'Enseignement Superieur et de la Recherche (Paris, France) and the Universite Paris-Sud 11 (Clamart, France), L.C Price has received ERS long-term research fellowship number 139.</t>
  </si>
  <si>
    <t>Ministere I'Enseignement Superieur et de la Recherche (Paris, France); Universite Paris-Sud 11 (Clamart, France)</t>
  </si>
  <si>
    <t>Humbert, Marc/0000-0003-0703-2892; JAIS, XAVIER/0000-0002-4104-7994; Dorfmuller, Peter/0000-0003-2499-6829; Montani, David/0000-0002-9358-6922; SITBON, Olivier/0000-0002-1942-1951</t>
  </si>
  <si>
    <t>David, Montani/I-6885-2019; Sitbon, Olivier/I-3623-2019; Simonneau, Gerald/ABE-6614-2020; Humbert, Marc/AAC-8459-2019</t>
  </si>
  <si>
    <t>Humbert, M (corresponding author), Univ Paris 11, Hop Antoine Beclere, Ctr Natl Reference Hypertens Arterielle Pulm, Dept Pneumol &amp; Intens Care,Serv Pneumol,AP HP, 157 Rur Porte Trivaux, F-92140 Clamart, France.</t>
  </si>
  <si>
    <t>Assistance Publique Hopitaux Paris (APHP); Hopital Universitaire Antoine-Beclere - APHP; Universite Paris Saclay; Universite Paris Saclay; Assistance Publique Hopitaux Paris (APHP); Hopital Universitaire Antoine-Beclere - APHP</t>
  </si>
  <si>
    <t>[Humbert, M.] Univ Paris 11, Hop Antoine Beclere, Ctr Natl Reference Hypertens Arterielle Pulm, Dept Pneumol &amp; Intens Care,Serv Pneumol,AP HP, F-92140 Clamart, France; [Musset, D.] Univ Paris 11, Hop Antoine Beclere, Dept Radiol, AP HP, F-92140 Clamart, France</t>
  </si>
  <si>
    <t>Pulmonary veno-occlusive disease (PVOD) is currently classified as a subgroup of pulmonary arterial hypertension (PAH) and accounts for 5-10% of cases initially considered to be idiopathic PAH. PVOD has been described as idiopathic or complicating other conditions, including connective tissue diseases, HIV infection, bone marrow transplantation, sarcoidosis and pulmonary Langerhans cell granulomatosis. PVOD shares broadly similar clinical presentation, genetic background and haemodynamic characteristics with PAH. Compared to PAH, PVOD is characterised by a higher male/female ratio, higher tobacco exposure, lower arterial oxygen tension at rest, lower diffusing capacity of the lung for carbon monoxide, and lower oxygen saturation nadir during the 6-min walk test. High-resolution computed tomography (HRCT) of the chest can be suggestive of PVOD in the presence of centrilobular ground-glass opacities, septal lines and lymph node enlargement. Similarly, occult alveolar haemorrhage is associated with PVOD. A noninvasive diagnostic approach using HRCT of the chest, arterial blood gases, pulmonary function tests and bronchoalveolar lavage could be helpful for the detection of PVOD patients and in avoiding high-risk surgical lung biopsy for histological confirmation. PVOD is characterised by a poor prognosis and the possibility of developing severe pulmonary oedema with specific PAH therapy. Lung transplantation is the treatment of choice. Cautious use of specific PAH therapy can, however, be helpful in some patients.</t>
  </si>
  <si>
    <t>VENO-OCCLUSIVE DISEASE; BONE-MARROW-TRANSPLANTATION; SINGLE-LUNG TRANSPLANTATION; CONNECTIVE-TISSUE DISEASES; OF-THE-LITERATURE; ARTERIAL-HYPERTENSION; CAPILLARY-PRESSURE; IMMUNOSUPPRESSIVE THERAPY; VASOACTIVE MEDIATORS; VASCULAR-DISEASE</t>
  </si>
  <si>
    <t>Alveolar haemorrhage; BMPR2; computed tomography; diffusing capacity of the lung for carbon monoxide; pulmonary arterial hypertension; pulmonary veno-occlusive disease</t>
  </si>
  <si>
    <t>Montani, D.; Price, L. C.; Dorfmuller, P.; Achouh, L.; Jais, X.; Yaici, A.; Sitbon, O.; Musset, D.; Simonneau, G.; Humbert, M.</t>
  </si>
  <si>
    <t>Montani, D; Price, LC; Dorfmuller, P; Achouh, L; Jaïs, X; Yaïci, A; Sitbon, O; Musset, D; Simonneau, G; Humbert, M</t>
  </si>
  <si>
    <t>WOS:000208733101778</t>
  </si>
  <si>
    <t>A2659</t>
  </si>
  <si>
    <t>Reis, Abilio/0000-0002-9932-3736; Montani, David/0000-0002-9358-6922</t>
  </si>
  <si>
    <t>Simonneau, Gerald/ABE-6614-2020; David, Montani/I-6885-2019; Humbert, Marc/AAC-8459-2019; Reis, Ana Claudia/N-3124-2016</t>
  </si>
  <si>
    <t>Assistance Publique Hopitaux Paris (APHP); Hopital Universitaire Antoine-Beclere - APHP; Assistance Publique Hopitaux Paris (APHP); Hopital Universitaire Antoine-Beclere - APHP; Assistance Publique Hopitaux Paris (APHP); Hopital Universitaire Pitie-Salpetriere - APHP; Sorbonne Universite</t>
  </si>
  <si>
    <t>[Montani, D.; Girerd, B.; Sztrymf, B.; Yaici, A.; Drouin-Garraud, V.; Simonneau, G.; Humbert, M.] Hop Antoine Beclere, French PAH Network, Serv Pneumol, Clamart, France; [Montani, D.; Girerd, B.; Sztrymf, B.; Yaici, A.; Drouin-Garraud, V.; Simonneau, G.; Humbert, M.] Hop Antoine Beclere, Serv Pneumol, French PAH Network, Rouen, France; [Coulet, F.; Soubrier, F.] Hop La Pitie Salpetriere, Lab Oncogenet &amp; Angiogenet Mol, Paris, France; [Reis, A.] Hosp Santo Antonio, Ctr Hosp Porto, Unidade Doencas Resp, Oporto, Portugal</t>
  </si>
  <si>
    <t>Clinical Outcomes of Pulmonary Arterial Hypertension in Carriers of ACVRL1 (ALK1) Mutation</t>
  </si>
  <si>
    <t>Montani, D.; Girerd, B.; Coulet, F.; Sztrymf, B.; Yaici, A.; Reis, A.; Drouin-Garraud, V.; Simonneau, G.; Soubrier, F.; Humbert, M.</t>
  </si>
  <si>
    <t>Montani, D; Girerd, B; Coulet, F; Sztrymf, B; Yaici, A; Reis, A; Drouin-Garraud, V; Simonneau, G; Soubrier, F; Humbert, M</t>
  </si>
  <si>
    <t>WOS:000208733102600</t>
  </si>
  <si>
    <t>A3365</t>
  </si>
  <si>
    <t>Sitbon, Olivier/I-3623-2019; David, Montani/I-6885-2019; Humbert, Marc/AAC-8459-2019; Degano, Bruno/IAQ-7289-2023; Simonneau, Gerald/ABE-6614-2020</t>
  </si>
  <si>
    <t>Assistance Publique Hopitaux Paris (APHP); Hopital Universitaire Antoine-Beclere - APHP; Hopital Marie Lannelongue</t>
  </si>
  <si>
    <t>[Montani, D.; Jais, X.; Price, L. C.; Degano, B.; Sitbon, O.; Simonneau, G.; Humbert, M.] Hop Antoine Beclere, Serv Pneumol, Clamart, France; [Mercier, O.; Fadel, E.; Dartevelle, P.] Hop Marie Lannelongue, Serv Chirurg Thorac, F-92350 Le Plessis Robinson, France</t>
  </si>
  <si>
    <t>Epoprostenol Therapy as a Life Saving Bridge to Lung Transplantation for Pulmonary Veno-Occlusive Disease</t>
  </si>
  <si>
    <t>Montani, D.; Jais, X.; Price, L. C.; Mercier, O.; Degano, B.; Fadel, E.; Dartevelle, P.; Sitbon, O.; Simonneau, G.; Humbert, M.</t>
  </si>
  <si>
    <t>Montani, D; Jais, X; Price, LC; Mercier, O; Degano, B; Fadel, E; Dartevelle, P; Sitbon, O; Simonneau, G; Humbert, M</t>
  </si>
  <si>
    <t>WOS:000208733103642</t>
  </si>
  <si>
    <t>A4289</t>
  </si>
  <si>
    <t>Simonneau, Gerald/ABE-6614-2020; Savale, Laurent/AAJ-9781-2020; Sitbon, Olivier/I-3623-2019; David, Montani/I-6885-2019; Humbert, Marc/AAC-8459-2019; Perros, Frederic/N-6921-2017</t>
  </si>
  <si>
    <t>[Le Pavec, J.; Girerd, B.; Montani, D.; Perros, F.; Savale, L.; Simonneau, G.; Sitbon, O.; Humbert, M.] Hop Antoine Beclere, Serv Pneumol, Clamart, France</t>
  </si>
  <si>
    <t>Circulating Dendritic Cells in Idiopathic Pulmonary Arterial Hypertension and Cirrhotic Portopulmonary Hypertension</t>
  </si>
  <si>
    <t>Le Pavec, J.; Girerd, B.; Montani, D.; Perros, F.; Savale, L.; Simonneau, G.; Sitbon, O.; Humbert, M.</t>
  </si>
  <si>
    <t>Le Pavec, J; Girerd, B; Montani, D; Perros, F; Savale, L; Simonneau, G; Sitbon, O; Humbert, M</t>
  </si>
  <si>
    <t>WOS:000208733101786</t>
  </si>
  <si>
    <t>A2667</t>
  </si>
  <si>
    <t>Savale, Laurent/AAJ-9781-2020; Sitbon, Olivier/I-3623-2019; Humbert, Marc/AAC-8459-2019; Tcherakian, Colas/D-8813-2016; Simonneau, Gerald/ABE-6614-2020; David, Montani/I-6885-2019</t>
  </si>
  <si>
    <t>[Jais, X.; Savale, L.; Sitbon, O.; Montani, D.; Price, L. C.; Ioos, V.; Sztrymf, B.; Tcherakian, C.; Hamid, A. M.; Humbert, M.; Simonneau, G.] Hop Antoine Beclere, Serv Pneumol, Clamart, France</t>
  </si>
  <si>
    <t>Hemoptysis in Pulmonary Arterial Hypertension (PAH): A Life-Threatening Complication</t>
  </si>
  <si>
    <t>Jais, X.; Savale, L.; Sitbon, O.; Montani, D.; Price, L. C.; Ioos, V.; Sztrymf, B.; Tcherakian, C.; Hamid, A. M.; Humbert, M.; Simonneau, G.</t>
  </si>
  <si>
    <t>Jais, X; Savale, L; Sitbon, O; Montani, D; Price, LC; Ioos, V; Sztrymf, B; Tcherakian, C; Hamid, AM; Humbert, M; Simonneau, G</t>
  </si>
  <si>
    <t>WOS:000208733100819</t>
  </si>
  <si>
    <t>A1820</t>
  </si>
  <si>
    <t>TU, Ly/G-4035-2013; GUIGNABERT, Christophe/G-3873-2013; Humbert, Marc/AAC-8459-2019</t>
  </si>
  <si>
    <t>Institut National de la Sante et de la Recherche Medicale (Inserm); Universite Paris-Est-Creteil-Val-de-Marne (UPEC); Assistance Publique Hopitaux Paris (APHP); Hopital Universitaire Henri-Mondor - APHP; Hopital Marie Lannelongue; Assistance Publique Hopitaux Paris (APHP); Hopital Universitaire Antoine-Beclere - APHP; Universite Paris Saclay</t>
  </si>
  <si>
    <t>[Izikki, M.; Guignabert, C.; Tu, L.; Zadigue, P.; Adnot, S.; Maitre, B.; Raffestin, B.; Eddahibi, S.] Hop Henri Mondor, INSERM, U841, F-94010 Creteil, France; [Fadel, E.; Dartevelle, P.] Hop Marie Lannelongue, Serv Chirurg Thorac, UPRES, EA2705, F-92350 Le Plessis Robinson, France; [Humbert, M.; Simonneau, G.] Univ Paris 11, Hop Antoine Beclere, Serv Pneumol, Clamart, France</t>
  </si>
  <si>
    <t>Role for Dysregulated Endothelium-Derived FGF2 Signaling in Progression of Pulmonary Hypertension.</t>
  </si>
  <si>
    <t>Izikki, M.; Guignabert, C.; Fadel, E.; Humbert, M.; Tu, L.; Zadigue, P.; Dartevelle, P.; Simonneau, G.; Adnot, S.; Maitre, B.; Raffestin, B.; Eddahibi, S.</t>
  </si>
  <si>
    <t>Izikki, M; Guignabert, C; Fadel, E; Humbert, M; Tu, L; Zadigue, P; Dartevelle, P; Simonneau, G; Adnot, S; Maitre, B; Raffestin, B; Eddahibi, S</t>
  </si>
  <si>
    <t>WOS:000261974400010</t>
  </si>
  <si>
    <t>387TL</t>
  </si>
  <si>
    <t>10.1111/j.1398-9995.2008.01846.x</t>
  </si>
  <si>
    <t>The authors wish to dedicate this work to Professor Maurizio Vignola. Editorial support for this communication was provided by professional medical writer Thomas McMurray (ACUMED) and funded by Novartis Pharma AG.</t>
  </si>
  <si>
    <t>Novartis Pharma AG</t>
  </si>
  <si>
    <t>Niven, Robert/0000-0003-2249-960X; Humbert, Marc/0000-0003-0703-2892</t>
  </si>
  <si>
    <t>Humbert, M (corresponding author), Univ Paris 11, Hop Antoine Beclere, 157 Rue Porte Trivaux, F-92140 Clamart, France.</t>
  </si>
  <si>
    <t>Universite Paris Saclay; Assistance Publique Hopitaux Paris (APHP); Hopital Universitaire Antoine-Beclere - APHP; Laval University; Laval University Hospital; Wythenshawe Hospital NHS Foundation Trust; Wythenshawe Hospital; Novartis; Novartis United Kingdom</t>
  </si>
  <si>
    <t>[Humbert, M.] Univ Paris 11, Hop Antoine Beclere, F-92140 Clamart, France; [Boulet, L. P.] Hop Laval, Ste Foy, PQ, Canada; [Niven, R. M.] Wythenshawe Hosp, Manchester M23 9LT, Lancs, England; [Panahloo, Z.; Blogg, M.; Ayre, G.] Novartis Horsham Res Ctr, Horsham, W Sussex, England</t>
  </si>
  <si>
    <t>Asthma and rhinitis are considered components of a single IgE-mediated inflammatory disorder. However, despite being shown to often co-exist, they are typically treated as independent conditions. Omalizumab, an anti-IgE antibody, has proven effective in the treatment of both asthma and rhinitis. To examine whether a response to omalizumab in terms of asthma control predicts a higher likelihood of rhinitis response in patients with concomitant allergic asthma and rhinitis. This post hoc analysis was conducted on efficacy results from the SOLAR trial in which patients with moderate-to-severe asthma and rhinitis were randomized to receive omalizumab or placebo for 28 weeks. Patients were classified as asthma responders based on the physician's overall assessment (complete control or marked improvement in a five-level evaluation). Rhinitis responders were identified using the Rhinitis Quality of Life Questionnaire (RQLQ) questionnaire (&gt;= 1.0 point improvement in overall score). Data were available for 207 omalizumab-treated patients and 192 placebo patients. According to the physicians overall assessment, 123 (59.4%) of omalizumab-treated patients were asthma responders, with the likelihood of a rhinitis response significantly (P &lt; 0.001) greater in these patients than in the placebo group. The odds ratio for rhinitis response in omalizumab-treated asthma responders vs nonresponders was 3.56 (95% CI: 1.94-6.54). A response in terms of asthma following omalizumab therapy is associated with a significantly increased probability of improvement in rhinitis.</t>
  </si>
  <si>
    <t>QUALITY-OF-LIFE; ALLERGIC RHINITIS; EMERGENCY; VISITS; RISK; CARE</t>
  </si>
  <si>
    <t>allergic asthma; asthma; omalizumab; rhinitis; symptoms</t>
  </si>
  <si>
    <t>Omalizumab therapy: patients who achieve greatest benefit for their asthma experience greatest benefit for rhinitis</t>
  </si>
  <si>
    <t>Humbert, M.; Boulet, L. P.; Niven, R. M.; Panahloo, Z.; Blogg, M.; Ayre, G.</t>
  </si>
  <si>
    <t>Humbert, M; Boulet, LP; Niven, RM; Panahloo, Z; Blogg, M; Ayre, G</t>
  </si>
  <si>
    <t>WOS:000208733100803</t>
  </si>
  <si>
    <t>A1803</t>
  </si>
  <si>
    <t>Universite Paris-Est-Creteil-Val-de-Marne (UPEC); Assistance Publique Hopitaux Paris (APHP); Hopital Universitaire Henri-Mondor - APHP; Institut National de la Sante et de la Recherche Medicale (Inserm); Hopital Marie Lannelongue; Assistance Publique Hopitaux Paris (APHP); Hopital Universitaire Antoine-Beclere - APHP</t>
  </si>
  <si>
    <t>[Guignabert, C.; Tu, L.; Izikki, M.; Zadigue, P.; Adnot, S.; Raffestin, B.; Eddahibi, S.] Hop Henri Mondor, INSERM, IMRB, U841, F-94010 Creteil, France; [Fadel, E.] Ctr Chirurg Marie Lannelongue, Le Plessis Robinson, France; [Humbert, M.] Hop Antoine Beclere, Clamart, France</t>
  </si>
  <si>
    <t>Restoration of Voltage Gated K+ Channel (Kv1.5) Expression by NFAT1 Inhibition Is Not Sufficient for Reversing Pulmonary Arterial Hypertension in Serotonin Transporter (5-HTT) Over-Expressing Mice (SM22 5-HTT+).</t>
  </si>
  <si>
    <t>Guignabert, C.; Tu, L.; Izikki, M.; Zadigue, P.; Adnot, S.; Fadel, E.; Humbert, M.; Raffestin, B.; Eddahibi, S.</t>
  </si>
  <si>
    <t>Guignabert, C; Tu, L; Izikki, M; Zadigue, P; Adnot, S; Fadel, E; Humbert, M; Raffestin, B; Eddahibi, S</t>
  </si>
  <si>
    <t>WOS:000208733101771</t>
  </si>
  <si>
    <t>A2652</t>
  </si>
  <si>
    <t>Souza, Rogerio/0000-0003-2789-9143</t>
  </si>
  <si>
    <t>Alves-Souza, Solange/I-8780-2012; Jardim, Carlos/N-8061-2017; Fernandes, Caio/W-8676-2019; Humbert, Marc/AAC-8459-2019; Souza, Rogerio/I-3584-2013</t>
  </si>
  <si>
    <t>cjcfernandes@yahoo.com.br</t>
  </si>
  <si>
    <t>Universidade de Sao Paulo; Assistance Publique Hopitaux Paris (APHP); Hopital Universitaire Antoine-Beclere - APHP</t>
  </si>
  <si>
    <t>[Fernandes, C.; Jardim, C.; Dias, B.; Hovnanian, A.; Hoette, S.; Souza, S.; Souza, R.] Univ Sao Paulo, Inst Heart, Dept Pulm, Sao Paulo, Brazil; [Humbert, M.; Souza, R.] Univ South Paris, Hop Antoine Beclere, Paris, France</t>
  </si>
  <si>
    <t>Survival in Schistosomiasis Associated Pulmonary Arterial Hypertension</t>
  </si>
  <si>
    <t>Fernandes, C.; Jardim, C.; Dias, B.; Hovnanian, A.; Hoette, S.; Souza, S.; Humbert, M.; Souza, R.</t>
  </si>
  <si>
    <t>Fernandes, C; Jardim, C; Dias, B; Hovnanian, A; Hoette, S; Souza, S; Humbert, M; Souza, R</t>
  </si>
  <si>
    <t>WOS:000208733104364</t>
  </si>
  <si>
    <t>A4900</t>
  </si>
  <si>
    <t>Humbert, Marc/AAC-8459-2019; David, Montani/I-6885-2019; Simonneau, Gerald/ABE-6614-2020</t>
  </si>
  <si>
    <t>Assistance Publique Hopitaux Paris (APHP); Hopital Universitaire Antoine-Beclere - APHP; Universite Paris Saclay; Hopital Marie Lannelongue; Assistance Publique Hopitaux Paris (APHP); Hopital Universitaire Pitie-Salpetriere - APHP; Sorbonne Universite</t>
  </si>
  <si>
    <t>[Dorfmuller, P.; Montani, D.; Fadel, E.; Mercier, O.; Dulmet, E.; De Montpreville, V.; Dartevelle, P.; Simonneau, G.; Humbert, M.] Hop Antoine Beclere, Serv Pneumol, UPRES EA2705, IFR 13, Clamart, France; [Dorfmuller, P.; Montani, D.; Fadel, E.; Mercier, O.; Dulmet, E.; De Montpreville, V.; Dartevelle, P.; Simonneau, G.; Humbert, M.] Univ Paris 11, Ctr Chirurg Marie Lannelongue, Clamart, France; [Dorfmuller, P.; Capron, F.] Univ Paris 06, CHU Pitie Salpetriere, Serv Anat Pathol, Paris, France</t>
  </si>
  <si>
    <t>Systematic Analysis of Arterial, Capillary and Venous Involvement in Idiopathic Pulmonary Arterial Hypertension and Pulmonary Veno-Occlusive Disease.</t>
  </si>
  <si>
    <t>Dorfmuller, P.; Montani, D.; Fadel, E.; Mercier, O.; Dulmet, E.; De Montpreville, V.; Dartevelle, P.; Simonneau, G.; Humbert, M.; Capron, F.</t>
  </si>
  <si>
    <t>Dorfmuller, P; Montani, D; Fadel, E; Mercier, O; Dulmet, E; De Montpreville, V; Dartevelle, P; Simonneau, G; Humbert, M; Capron, F</t>
  </si>
  <si>
    <t>WOS:000208733105599</t>
  </si>
  <si>
    <t>A6008</t>
  </si>
  <si>
    <t>GUIGNABERT, Christophe/G-3873-2013; Humbert, Marc/AAC-8459-2019; TU, Ly/G-4035-2013; Simonneau, Gerald/ABE-6614-2020</t>
  </si>
  <si>
    <t>ldewacht@ulb.ac.be</t>
  </si>
  <si>
    <t>Institut National de la Sante et de la Recherche Medicale (Inserm); Universite Paris-Est-Creteil-Val-de-Marne (UPEC); Assistance Publique Hopitaux Paris (APHP); Hopital Universitaire Henri-Mondor - APHP; Hopital Marie Lannelongue; Institut National de la Sante et de la Recherche Medicale (Inserm); Assistance Publique Hopitaux Paris (APHP); Hopital Universitaire Antoine-Beclere - APHP</t>
  </si>
  <si>
    <t>[Dewachter, L.; Adnot, S.; Guignabert, C.; Tu, L.; Marcos, E.; Eddahibi, S.] Hop Henri Mondor, INSERM, U841, F-94010 Creteil, France; [Fadel, E.; Dartevelle, P.] Hop Marie Lannelongue, F-92350 Le Plessis Robinson, France; [Humbert, M.; Simonneau, G.] Hop Antoine Beclere, INSERM, U764, Clamart, France; [Naeije, R.] Physiol Lab, Brussels, Belgium</t>
  </si>
  <si>
    <t>Bone Morphogenetic Protein Signaling in Familial Versus Idiopathic Pulmonary Arterial Hypertension.</t>
  </si>
  <si>
    <t>Dewachter, L.; Adnot, S.; Guignabert, C.; Tu, L.; Marcos, E.; Fadel, E.; Humbert, M.; Dartevelle, P.; Simonneau, G.; Naeije, R.; Eddahibi, S.</t>
  </si>
  <si>
    <t>Dewachter, L; Adnot, S; Guignabert, C; Tu, L; Marcos, E; Fadel, E; Humbert, M; Dartevelle, P; Simonneau, G; Naeije, R; Eddahibi, S</t>
  </si>
  <si>
    <t>WOS:000264988000014</t>
  </si>
  <si>
    <t>10.1183/09031936.00094808</t>
  </si>
  <si>
    <t>This study was supported in part by an educational grant from Actelion Pharmaceuticals France. Editorial support was provided by Elements Communications Ltd on behalf of Actelion Pharmaceuticals France.</t>
  </si>
  <si>
    <t>Actelion Pharmaceuticals France</t>
  </si>
  <si>
    <t>Le Pavec, Jerome/0000-0003-4426-9645; Humbert, Marc/0000-0003-0703-2892; Degano, Bruno/0000-0003-1644-7264; JAIS, XAVIER/0000-0002-4104-7994; SITBON, Olivier/0000-0002-1942-1951</t>
  </si>
  <si>
    <t>Savale, Laurent/AAJ-9781-2020; Degano, Bruno/IAQ-7289-2023; Simonneau, Gerald/ABE-6614-2020; Sitbon, Olivier/I-3623-2019; Humbert, Marc/AAC-8459-2019</t>
  </si>
  <si>
    <t>Sitbon, O (corresponding author), Univ Paris 11, Serv Pneumol,Inst Paris Sud Cytokines, Dept Resp &amp; Intens Care Med,Hop Antoine Beclere, Nationa Reference Ctr Pulm Arterial Hypertens, 157 Rue Porte Trivaex, F-92141 Clamart, France.</t>
  </si>
  <si>
    <t>Universite Paris Saclay; Assistance Publique Hopitaux Paris (APHP); Hopital Universitaire Antoine-Beclere - APHP; CHU de Toulouse</t>
  </si>
  <si>
    <t>[Degano, B.; Yalci, A.; Le Pavec, J.; Savale, L.; Jais, X.; Humbert, M.; Simonneau, G.; Sitbon, O.] Univ Paris 11, Serv Pneumol,Inst Paris Sud Cytokines, Dept Resp &amp; Intens Care Med,Hop Antoine Beclere, Nationa Reference Ctr Pulm Arterial Hypertens, F-92141 Clamart, France; [Degano, B.; Camara, B.] Univ Larey, Ctr Hosp, Dept Resp &amp; Intens Care Med, Toulouse, France</t>
  </si>
  <si>
    <t>Bosentan has proven 4-month efficacy in patients with HIV-associated pulmonary arterial hypertension (PAH-HIV). Herein, the long-term outcome of unselected PAH-HIV patients treated with first-line bosentan is described. Data for 59 consecutive World Health Organization (WHO) functional class II-IV PAH-HIV patients treated with first-line bosentan between May 2002 and July 2007 were analysed. HIV status, 6-min walk distance and haemodynamics were assessed at baseline, after 4 months and every 6-12 months thereafter. After 4 months, 6-min walk distance increased from 358 +/- 98 to 435 +/- 89 m and pulmonary vascular resistance decreased from 737 +/- 328 to 476 +/- 302 dyn-s-cm(-5). At the final evaluation (29 +/- 15 months), 6-min walk distance remained stable and pulmonary vascular resistance decreased further to 444 +/- 356 dyn-s-cm-5. Haemodynamics normalised in 10 patients. At their last evaluation, these 10 patients were in WHO functional class 1, with a 6-min walk distance of 532 +/- 52 m. Overall survival estimates were 93, 86 and 66% at 1, 2 and 3 yrs, respectively. Bosentan was safe when combined with highly active antiretroviral therapy, with no negative impact on HIV infection control. The present data confirm the long-term benefits of bosentan therapy in HIV-associated pulmonary arterial hypertension patients with improvements in symptoms, 6-min walk distance and haemodynamics, and with favourable overall survival.</t>
  </si>
  <si>
    <t>ANTIRETROVIRAL THERAPY; SURVIVAL; INFECTION; EPOPROSTENOL; GUIDELINES; COHORT</t>
  </si>
  <si>
    <t>Bosentan; endothelin; HIV; hypertension; pulmonary</t>
  </si>
  <si>
    <t>Long-term effects of bosentan in patients with HIV-associated pulmonary arterial hypertension</t>
  </si>
  <si>
    <t>Degano, B.; Yalci, A.; Le Pavec, J.; Savale, L.; Jais, X.; Camara, B.; Humbert, M.; Simonneau, G.; Sitbon, O.</t>
  </si>
  <si>
    <t>Degano, B; Yalci, A; Le Pavec, J; Savale, L; Jais, X; Camara, B; Humbert, M; Simonneau, G; Sitbon, O</t>
  </si>
  <si>
    <t>WOS:000208733101772</t>
  </si>
  <si>
    <t>A2653</t>
  </si>
  <si>
    <t>Savale, Laurent/AAJ-9781-2020; Degano, Bruno/IAQ-7289-2023; Sitbon, Olivier/I-3623-2019; Simonneau, Gerald/ABE-6614-2020; Tcherakian, Colas/D-8813-2016; Humbert, Marc/AAC-8459-2019</t>
  </si>
  <si>
    <t>degano.b@gmail.com</t>
  </si>
  <si>
    <t>[Degano, B.; Sitbon, O.; Jais, X.; Savale, L.; Tcherakian, C.; Kemp, K.; Le Pavec, J.; Garcia, G.; Humbert, M.; Simonneau, G.] Hop Antoine Beclere, Serv Pneumol, Clamart, France</t>
  </si>
  <si>
    <t>Clinical Outcomes of PAH Patients Walking More Than 450m in 6-Min at the Time of Diagnosis</t>
  </si>
  <si>
    <t>Degano, B.; Sitbon, O.; Jais, X.; Savale, L.; Tcherakian, C.; Kemp, K.; Le Pavec, J.; Garcia, G.; Humbert, M.; Simonneau, G.</t>
  </si>
  <si>
    <t>Degano, B; Sitbon, O; Jais, X; Savale, L; Tcherakian, C; Kemp, K; Le Pavec, J; Garcia, G; Humbert, M; Simonneau, G</t>
  </si>
  <si>
    <t>WOS:000208733101774</t>
  </si>
  <si>
    <t>A2655</t>
  </si>
  <si>
    <t>Simonneau, Gerald/ABE-6614-2020; Savale, Laurent/AAJ-9781-2020; Degano, Bruno/IAQ-7289-2023; David, Montani/I-6885-2019; Sitbon, Olivier/I-3623-2019; Humbert, Marc/AAC-8459-2019</t>
  </si>
  <si>
    <t>Assistance Publique Hopitaux Paris (APHP); Hopital Universitaire Antoine-Beclere - APHP; Communaute Universite Grenoble Alpes; Universite Grenoble Alpes (UGA); CHU Grenoble Alpes</t>
  </si>
  <si>
    <t>[Degano, B.; Jais, X.; Montani, D.; Yaici, A.; Le Pavec, J.; Savale, L.; Humbert, M.; Simonneau, G.; Sitbon, O.] Hop Antoine Beclere, Serv Pneumol, Clamart, France; [Guillaume, M.] CHU Grenoble, Serv Malad Infect, F-38043 Grenoble, France</t>
  </si>
  <si>
    <t>HIV-Associated Pulmonary Arterial Hypertension: Survival and Prognostic Factors in the Current Therapeutic Era</t>
  </si>
  <si>
    <t>Degano, B.; Guillaume, M.; Jais, X.; Montani, D.; Yaici, A.; Le Pavec, J.; Savale, L.; Humbert, M.; Simonneau, G.; Sitbon, O.</t>
  </si>
  <si>
    <t>Degano, B; Guillaume, M; Jais, X; Montani, D; Yaici, A; Le Pavec, J; Savale, L; Humbert, M; Simonneau, G; Sitbon, O</t>
  </si>
  <si>
    <t>WOS:000208733104390</t>
  </si>
  <si>
    <t>A4926</t>
  </si>
  <si>
    <t>Universite Paris Cite; Assistance Publique Hopitaux Paris (APHP); Universite Paris Cite; Hopital Universitaire Bichat-Claude Bernard - APHP; CHU de Toulouse</t>
  </si>
  <si>
    <t>[Cottin, V.; Cordier, J. F.] Univ Lyon, Reference Ctr Orphan Lung Dis, Lyon, France; [Le Pavec, J.; Humbert, M.; Simonneau, G.] Univ Paris, Reference Ctr Pulm Arterial Hypertens, Clamart, France; [Mal, H.] Univ Paris, Bichat Hosp, F-75252 Paris, France; [Prevot, G.] Univ Hosp, Toulouse, France</t>
  </si>
  <si>
    <t>Combined Pulmonary Fibrosis and Emphysema with Associated Pulmonary Hypertension: Characteristics and Prognostic Determinants</t>
  </si>
  <si>
    <t>Grp Apos Etud Rech Malad Orpheline</t>
  </si>
  <si>
    <t>Cottin, V.; Le Pavec, J.; Mal, H.; Prevot, G.; Humbert, M.; Simonneau, G.; Cordier, J. F.</t>
  </si>
  <si>
    <t>Cottin, V; Le Pavec, J; Mal, H; Prevot, G; Humbert, M; Simonneau, G; Cordier, JF</t>
  </si>
  <si>
    <t>WOS:000208733104394</t>
  </si>
  <si>
    <t>A4930</t>
  </si>
  <si>
    <t>Simonneau, Gerald/ABE-6614-2020; Camoin, Luc/AAB-3856-2019; Humbert, Marc/AAC-8459-2019</t>
  </si>
  <si>
    <t>calzas@voila.fr</t>
  </si>
  <si>
    <t>Universite Paris Cite; Institut National de la Sante et de la Recherche Medicale (Inserm); Universite Paris Cite; Universite Paris Cite; Institut National de la Sante et de la Recherche Medicale (Inserm); Assistance Publique Hopitaux Paris (APHP); Universite Paris Cite; Hopital Universitaire Cochin - APHP; Assistance Publique Hopitaux Paris (APHP); Hopital Universitaire Antoine-Beclere - APHP</t>
  </si>
  <si>
    <t>[Calzas, C.; Sahbatou, Y.; Bussone, G.; Dib, H.] Paris Descartes Univ, UPRES EA 4058, Paris, France; [Camoin, L.; Broussard, C.] Cochin Inst, Lab Prote, Paris, France; [Weksler, B.] Paris Descartes Univ, Cochin Inst, Paris, France; [Berezne, A.; Guillevin, L.; Mouthon, L.] Hop Cochin, Dept Internal Med, F-75674 Paris, France; [Simonneau, G.; Humbert, M.] Hop Antoine Beclere, Dept Pneumol, Clamart, France</t>
  </si>
  <si>
    <t>Anti-Vascular Smooth Muscle Cell Antibodies in the Serum of Patients with Idiopathic and Systemic Sclerosis-Associated Pulmonary Arterial Hypertension Bind to Cytoskeleton, Oxidative Stress and Cell Cycle Antigens</t>
  </si>
  <si>
    <t>Calzas, C.; Sahbatou, Y.; Camoin, L.; Weksler, B.; Broussard, C.; Bussone, G.; Dib, H.; Berezne, A.; Simonneau, G.; Guillevin, L.; Humbert, M.; Mouthon, L.</t>
  </si>
  <si>
    <t>Calzas, C; Sahbatou, Y; Camoin, L; Weksler, B; Broussard, C; Bussone, G; Dib, H; Berezne, A; Simonneau, G; Guillevin, L; Humbert, M; Mouthon, L</t>
  </si>
  <si>
    <t>WOS:000261974400001</t>
  </si>
  <si>
    <t>10.1111/j.1398-9995.2008.01954.x</t>
  </si>
  <si>
    <t>Simon, Hans-Uwe/AAU-7410-2020; Bousquet, Jean/O-4221-2019; Fokkens, Wytske/ABF-2185-2020; Bieber, Thomas/AFM-9906-2022; Humbert, Marc/AAC-8459-2019</t>
  </si>
  <si>
    <t>Universite de Montpellier; CHU de Montpellier; Universite de Montpellier; Institut National de la Sante et de la Recherche Medicale (Inserm); University of Bonn; University of Amsterdam; Medical University Lodz; Assistance Publique Hopitaux Paris (APHP); Hopital Universitaire Antoine-Beclere - APHP; Universite Paris Saclay; University of Bern</t>
  </si>
  <si>
    <t>[Bousquet, J.] Univ Hosp, Montpellier, France; [Bousquet, J.] INSERM, UMR 780, Montpellier, France; [Bieber, T.] Univ Bonn, Dept Dermatol &amp; Allergy, D-5300 Bonn, Germany; [Fokkens, W.] Univ Amsterdam, Dept Otorhinolaryngol, Amsterdam, Netherlands; [Kowalski, M. L.] Med Univ Lodz, Dept Immunol Rheumatol &amp; Allergy, Lodz, Poland; [Humbert, M.] Univ Paris Sud, Hop Antoine Beclere, Serv Pneumol, Clamart, France; [Niggemann, B.] German Red Cross Hosp, Berlin, Germany; [Simon, H. -U.] Univ Bern, Inst Pharmacol, Bern, Switzerland</t>
  </si>
  <si>
    <t>CLINICAL IMMUNOLOGY EAACI; RESPIRATORY SOCIETY ERS; EXERCISE-INDUCED ASTHMA; MITE CONTROL MEASURES; JOINT TASK-FORCE; EUROPEAN ACADEMY; EPITHELIAL-CELLS; DENDRITIC CELLS; CLIMATE-CHANGE; NASAL POLYPS</t>
  </si>
  <si>
    <t>Rhinitis and asthma represent hot topics for Allergy</t>
  </si>
  <si>
    <t>Bousquet, J.; Bieber, T.; Fokkens, W.; Kowalski, M. L.; Humbert, M.; Niggemann, B.; Simon, H. -U.</t>
  </si>
  <si>
    <t>Bousquet, J; Bieber, T; Fokkens, W; Kowalski, ML; Humbert, M; Niggemann, B; Simon, HU</t>
  </si>
  <si>
    <t>WOS:000263676500005</t>
  </si>
  <si>
    <t>411UL</t>
  </si>
  <si>
    <t>10.1111/j.1398-9995.2009.01971.x</t>
  </si>
  <si>
    <t>roche, nicolas/0000-0002-3162-5033; Montani, David/0000-0002-9358-6922; chanez, pascal/0000-0003-4059-0917; Humbert, Marc/0000-0003-0703-2892</t>
  </si>
  <si>
    <t>MAGNAN, ANTOINE/GVT-4308-2022; David, Montani/I-6885-2019; Roche, Nicolas/AAE-9206-2021; Humbert, Marc/AAC-8459-2019</t>
  </si>
  <si>
    <t>Tillie-Leblond, I (corresponding author), Hop Albert Calmette, Dept Resp Dis, Blvd Pr Jules Leclercq, F-59037 Lille, France.</t>
  </si>
  <si>
    <t>Universite de Lille; CHU Lille; Universite Paris Saclay; Assistance Publique Hopitaux Paris (APHP); Hopital Universitaire Antoine-Beclere - APHP; Assistance Publique Hopitaux Paris (APHP); Universite Paris Cite; Hopital Universitaire Bichat-Claude Bernard - APHP; Assistance Publique Hopitaux Paris (APHP); Universite Paris Cite; Hopital Universitaire Necker-Enfants Malades - APHP; Universite de Bordeaux; CHU Bordeaux; Nantes Universite; CHU de Nantes; Institut National de la Sante et de la Recherche Medicale (Inserm); Aix-Marseille Universite; Assistance Publique-Hopitaux de Marseille</t>
  </si>
  <si>
    <t>[Tillie-Leblond, I.] Hop Albert Calmette, Dept Resp Dis, F-59037 Lille, France; [Montani, D.; Humbert, M.] Univ Paris 11, Dept Pneumol, Hop Antoine Beclere, Clamart, France; [Crestani, B.] Hop Bichat Claude Bernard, Dept Pneumol, F-75877 Paris 18, France; [de Blic, J.] Hop Necker Enfants Malad, Dept Pediat, Paris, France; [Tunon-de-Lara, M.] Univ Bordeaux 2, Dept Resp Dis, Hop Haut Leveque, F-33076 Bordeaux, France; [Magnan, A.] INSERM, Inst Thorax, UMR 533, Nantes, France; [Chanez, P.] Hop St Marguerite, Dept Resp Dis, Marseille, France</t>
  </si>
  <si>
    <t>Asthma symptoms are the main reason for healthcare utilization and are a fundamental parameter for the evaluation of asthma control. Currently, asthma is defined as a chronic inflammatory disease. A French expert group studied the association between inflammation and asthma symptoms by carrying out a critical review of the international literature. Uncontrolled asthmatics have an increased number of polynuclear eosinophils in the induced sputum and an increased production of exhaled NO. Control by anti-inflammatory treatment is accompanied by a reduction in bronchial eosinophilia and exhaled NO. Asthma symptoms are the result of complex mechanisms and many factors modify their perception. Experimental data suggest that there is a relationship between the perception of symptoms and eosinophilic inflammation and that inhaled corticoid therapy improves this perception. Although they are still not applicable in routine practice, follow-up strategies based on the evaluation of inflammation are thought to be more effective in reducing exacerbations than those usually recommended based on symptoms and sequential analysis of respiratory function. Inhaled corticosteroid therapy is the reference disease-modifying therapy for persistent asthma. Recent studies demonstrated that adjustment of anti-inflammatory treatment based on symptoms is an effective strategy to prevent exacerbations and reduce the total number of doses of inhaled corticosteroids.</t>
  </si>
  <si>
    <t>EXHALED NITRIC-OXIDE; SPUTUM EOSINOPHILS PREDICT; INDUCED AIRWAY RESPONSES; INHALED CORTICOSTEROIDS; CHILDHOOD ASTHMA; CELL COUNTS; DIFFICULT ASTHMA; CLINICAL ASTHMA; LUNG-FUNCTION; FATAL ASTHMA</t>
  </si>
  <si>
    <t>asthma; inflammation; physiopathology; symptoms; treatment</t>
  </si>
  <si>
    <t>Relation between inflammation and symptoms in asthma</t>
  </si>
  <si>
    <t>Tillie-Leblond, I.; Montani, D.; Crestani, B.; de Blic, J.; Humbert, M.; Tunon-de-Lara, M.; Magnan, A.; Roche, N.; Ostinelli, J.; Chanez, P.</t>
  </si>
  <si>
    <t>Tillie-Leblond, I; Montani, D; Crestani, B; de Blic, J; Humbert, M; Tunon-de-Lara, M; Magnan, A; Roche, N; Ostinelli, J; Chanez, P</t>
  </si>
  <si>
    <t>WOS:000263941000014</t>
  </si>
  <si>
    <t>415NP</t>
  </si>
  <si>
    <t>10.1172/JCI35070</t>
  </si>
  <si>
    <t>This study was supported by grants from the Leg Poix, INSERM, Ministre de la Recherche, and Institur des Maladies Rates (GIS). This publication reflects only the authors' views, and under no circumstances is the European Community liable for any use that may be made ofthe information it contains.</t>
  </si>
  <si>
    <t>Leg Poix; INSERM(Institut National de la Sante et de la Recherche Medicale (Inserm)); Ministre de la Recherche; Institur des Maladies Rates (GIS)</t>
  </si>
  <si>
    <t>Leg Poix; INSERM; Ministre de la Recherche; Institur des Maladies Rates (GIS)</t>
  </si>
  <si>
    <t>TU, Ly/0000-0003-2336-5099; GUIGNABERT, Christophe/0000-0002-8545-4452; Maitre, Bernard/0000-0002-8061-1252; Humbert, Marc/0000-0003-0703-2892</t>
  </si>
  <si>
    <t>Simonneau, Gerald/ABE-6614-2020; TU, Ly/G-4035-2013; GUIGNABERT, Christophe/G-3873-2013; Humbert, Marc/AAC-8459-2019</t>
  </si>
  <si>
    <t>Eddahibi, S (corresponding author), Hop Henri Mondor, INSERM, Fac Med, Inst Mondor Rech Biomed,U841, 8 Ave Gen Sarrail, F-94010 Creteil, France.</t>
  </si>
  <si>
    <t>Universite Paris-Est-Creteil-Val-de-Marne (UPEC); Institut National de la Sante et de la Recherche Medicale (Inserm); Assistance Publique Hopitaux Paris (APHP); Hopital Universitaire Henri-Mondor - APHP; Hopital Marie Lannelongue; Institut National de la Sante et de la Recherche Medicale (Inserm); Assistance Publique Hopitaux Paris (APHP); Hopital Universitaire Antoine-Beclere - APHP</t>
  </si>
  <si>
    <t>[Eddahibi, Saadia] Hop Henri Mondor, INSERM, Fac Med, Inst Mondor Rech Biomed,U841, F-94010 Creteil, France; [Fadel, Elie; Dartevelle, Philippe] Hop Marie Lannelongue, Serv Chirurg Thorac Vasc &amp; Transplantat Cardiopul, UPRES EA2705, F-92350 Le Plessis Robinson, France; [Humbert, Marc; Simonneau, Gerald] Hop Antoine Beclere, AP HP, Ctr Natl Reference Hypertens Arterielle Pulm, Serv Pneumol,INSERM,U764, Clamart, France</t>
  </si>
  <si>
    <t>Pulmonary hypertension (PH) is a progressive, lethal lung disease characterized by pulmonary artery SMC (PA-SMC) hyperplasia. leading to right-sided heart failure. Molecular events originating in pulmonary ECs (P-ECs) may contribute to the PA-SMC hyperplasia in PH. Thus, we exposed cultured human PA-SMC to medium conditioned by P-EC from patients with idiopathic PH (IPH) or controls and found that IPH P-EC-conditioned medium increased PA-SMC proliferation more than control P-EC medium. Levels of FGF2 were increased in the medium of IPH P-ECs over controls, while there was no detectable difference in TGF-beta 1, PDGF-BB, or EGF levels. No difference in FGF2-induced proliferation or FGF receptor type 1 (FGFR1) mRNA levels was detected between IPH and control PA-SMCs. Knockdown of FGF2 in P-EC using siRNA reduced the PA-SMC growth-stimulating effects of IPH P-EC medium by 60% and control P-EC medium by 10%. In situ hybridization showed FGF2 overproduction predominantly in the remodeled vascular endothelium. of lungs from patients with IPH. Repeated intravenous FGF2-siRNA administration abolished lung FGF2 production, both preventing and nearly reversing a rat model of PH. Similarly, pharmacological FGFR1 inhibition with SU5402 reversed established PH in the same model. Thus, endothelial FGF2 is overproduced in IPH and contributes to SMC hyperplasia. in IPH, identifying FGF2 as a promising target for new treatments against PH.</t>
  </si>
  <si>
    <t>FIBROBLAST-GROWTH-FACTOR; SMOOTH-MUSCLE HYPERPLASIA; FACTOR RECEPTOR; GENE-EXPRESSION; MONOCROTALINE; CELLS; FACTOR-2; INHIBITION; APOPTOSIS; RELEASE</t>
  </si>
  <si>
    <t>Endothelial-derived FGF2 contributes to the progression of pulmonary hypertension in humans and rodents</t>
  </si>
  <si>
    <t>Izikki, Mohamed; Guignabert, Christophe; Fadel, Elie; Humbert, Marc; Tu, Ly; Zadigue, Patricia; Dartevelle, Philippe; Simonneau, Gerald; Adnot, Serge; Maitre, Bernard; Raffestin, Bernadette; Eddahibi, Saadia</t>
  </si>
  <si>
    <t>WOS:000263942400005</t>
  </si>
  <si>
    <t>415OC</t>
  </si>
  <si>
    <t>10.1183/09031936.00001509</t>
  </si>
  <si>
    <t>Humbert, M (corresponding author), Univ Paris 11, Hop Antoine Beclere, AP HP, Serv Pneumol &amp; Reanimat Resp, 157 Rue Porte Trivaux, F-92140 Clamart, France.</t>
  </si>
  <si>
    <t>Univ Paris 11, Hop Antoine Beclere, AP HP, Serv Pneumol &amp; Reanimat Resp, F-92140 Clamart, France</t>
  </si>
  <si>
    <t>Introducing the new European Respiratory Review</t>
  </si>
  <si>
    <t>WOS:000263603500021</t>
  </si>
  <si>
    <t>hybrid, Green Submitted, Green Published</t>
  </si>
  <si>
    <t>410UJ</t>
  </si>
  <si>
    <t>10.1093/rheumatology/ken488</t>
  </si>
  <si>
    <t>The authors wish to gratefully acknowledge the contribution of all investigators who participated in the study (see Appendix). Editorial assistance was provided by Andrew Gray (Elements Communications Limited).r Funding: The authors acknowledge the support of Actelion Pharmaceuticals France that provided funding for logistical support, patient monitoring, project management, data management, statistical analysis and editorial assistance.</t>
  </si>
  <si>
    <t>Degano, Bruno/0000-0003-1644-7264; Ioos, Vincent/0000-0001-6959-5602; gosse, philippe/0000-0002-5840-7749; JAIS, XAVIER/0000-0002-4104-7994; LAMBLIN, NICOLAS/0000-0003-3754-1241; Selton-Suty, Christine/0000-0003-4129-5784; DERUMEAUX, Genevieve/0000-0003-1471-1631; Sibilia, Jean/0000-0002-1601-4795; Machet, Laurent/0000-0001-5985-878X; ederhy, stephane/0000-0002-0792-2521; Hammoudi, Nadjib/0000-0003-2085-8525; Humbert, Marc/0000-0003-0703-2892; de Groote, Pascal/0000-0002-6211-0147; SITBON, Olivier/0000-0002-1942-1951; Launay, David/0000-0003-1840-1817; HACHULLA, ERIC/0000-0001-7432-847X; lambert, marc/0000-0002-3485-8238; PATAT, Frederic/0000-0001-9347-750X</t>
  </si>
  <si>
    <t>JEGO, Patrick/L-1144-2015; DE GROOTE, Pascal/LLL-9444-2024; HACHULLA, ERIC/R-8488-2018; meroni, pier/K-8473-2016; Launay, David/A-5270-2018; DERUMEAUX, Genevieve/T-2489-2018; Machet, Laurent/A-2976-2010; Humbert, Marc/AAC-8459-2019; Launay, David/H-1674-2016; lambert, marc/V-7380-2017</t>
  </si>
  <si>
    <t>Hachulla, E (corresponding author), Univ Lille, Claude Huriez Hosp, Dept Internal Med, Natl Reference Ctr Scleroderma, F-59037 Lille, France.</t>
  </si>
  <si>
    <t>Universite de Lille; CHU Lille; Universite Paris Saclay; Assistance Publique Hopitaux Paris (APHP); Hopital Universitaire Antoine-Beclere - APHP; Universite Paris Cite; Hopital Paris Saint-Joseph; CHU de Toulouse; Universite de Lille; CHU Lille; Assistance Publique Hopitaux Paris (APHP); Sorbonne Universite; Hopital Universitaire Saint-Antoine - APHP; CHU Rennes; Universite de Rennes; Assistance Publique Hopitaux Paris (APHP); Universite Paris Cite; Hopital Universitaire Cochin - APHP; CHU Grenoble Alpes; CHU Strasbourg; Universites de Strasbourg Etablissements Associes; Universite de Strasbourg; CHU Tours</t>
  </si>
  <si>
    <t>[Hachulla, Eric] Univ Lille, Claude Huriez Hosp, Dept Internal Med, Natl Reference Ctr Scleroderma, F-59037 Lille, France; [Humbert, Marc] Univ Paris 11, Hop Antoine Beclere, AP HP, Clamart, France; [Clerson, Pierre] Orgametrie, Roubaix, France; [Lazareth, Isabelle] Grp Hosp St Joseph, Serv Med Vasc, Paris, France; [Chabrol, Amelie] Hop Toulouse Purpan, Toulouse, France; [de Groote, Pascal] Hop Cardiol, F-59037 Lille, France; [Cabane, Jean] Hop St Antoine, F-75571 Paris, France; [Jego, Patrick] Hop Sud, Rennes, France; [Allanore, Yannick; Mouthon, Luc; Guillevin, Loic] Hop Cochin, F-75674 Paris, France; [Carpentier, Patrick] Hop Nord, Grenoble, France; [Sibilia, Jean] Hop Hautepierre, Strasbourg, France; [Gressin, Virginie] Actel Pharmaceut France, Paris, France; [Diot, Elisabeth] Hop Bretonneau, Tours, France</t>
  </si>
  <si>
    <t>Objectives. This longitudinal study investigated survival, risk factors and causes of death in the multicentre ItinrAIR-Sclrodermie cohort of patients with SSc without severe pulmonary fibrosis or severe left heart disease at baseline. Methods. At 3-year follow-up, vital status was obtained from investigators or French national death records. Causes of death were classified as SSc-related or otherwise. Data were censored at 37 months, time of death or loss to follow-up, whichever was earlier. Survival was estimated using the KaplanMeier method. Multivariate survival analyses were conducted using the Cox model. Results. In total, 546 patients were followed for a median duration of 37 months, representing 1547 patient-years. At baseline, the majority of patients were female, with lcSSc, mean age 54.9 13.0 years and mean duration of SSc of 8.8 8.1 years. In total, 47 patients died, giving a 3-year survival of 91.1 and cumulative mortality of 3.04 deaths per 100 patient-years; 17 deaths (32.2) resulted from pulmonary arterial hypertension (PAH) and eight (17.1) from cancer. Of the 47 patients with PAH at baseline, 20 died during follow-up, giving a 3-year survival of 56.3. In a multivariate analysis, PAH [hazard ratio (HR) 7.246], age at first symptom (HR 1.052), duration of SSc (HR 1.047 per year) and Rodnan skin score (per one point) (HR 1.045) were associated with increased mortality. Conclusion. This 3-year study observed survival and mortality estimates that were comparable with previous reports. PAH increased the HR for mortality in patients with SSc, justifying yearly echocardiographic screening.</t>
  </si>
  <si>
    <t>PULMONARY ARTERIAL-HYPERTENSION; SCLERODERMA; CANCER; COHORT</t>
  </si>
  <si>
    <t>Systemic sclerosis; Survival; Pulmonary arterial hypertension; Pulmonary hypertension</t>
  </si>
  <si>
    <t>Risk factors for death and the 3-year survival of patients with systemic sclerosis: the French ItinrAIR-Sclrodermie study</t>
  </si>
  <si>
    <t>ItinerAIR-Sclerodermie Study Inves</t>
  </si>
  <si>
    <t>Hachulla, Eric; Carpentier, Patrick; Gressin, Virginie; Diot, Elisabeth; Allanore, Yannick; Sibilia, Jean; Launay, David; Mouthon, Luc; Jego, Patrick; Cabane, Jean; de Groote, Pascal; Chabrol, Amelie; Lazareth, Isabelle; Guillevin, Loic; Clerson, Pierre; Humbert, Marc</t>
  </si>
  <si>
    <t>Hachulla, E; Carpentier, P; Gressin, V; Diot, E; Allanore, Y; Sibilia, J; Launay, D; Mouthon, L; Jego, P; Cabane, J; de Groote, P; Chabrol, A; Lazareth, I; Guillevin, L; Clerson, P; Humbert, M</t>
  </si>
  <si>
    <t>WOS:000264310500025</t>
  </si>
  <si>
    <t>420SW</t>
  </si>
  <si>
    <t>10.1378/chest.08-0904</t>
  </si>
  <si>
    <t>CHEMLA, Denis/0000-0001-7479-9896; Castelain, Vincent/0000-0002-9354-6525; Humbert, Marc/0000-0003-0703-2892</t>
  </si>
  <si>
    <t>Castelain, Vincent/ABG-9778-2020; Simonneau, Gerald/ABE-6614-2020; Humbert, Marc/AAC-8459-2019</t>
  </si>
  <si>
    <t>denis.chernla@bct.aphp.fr</t>
  </si>
  <si>
    <t>Universite Paris Saclay; CHU Strasbourg; Universites de Strasbourg Etablissements Associes; Universite de Strasbourg; Laval University; Quebec Heart &amp; Lung Institute; Assistance Publique Hopitaux Paris (APHP)</t>
  </si>
  <si>
    <t>[Chemla, Denis] Univ Paris Sud, EA4046, Med Intens Care Unit, Paris, France; [Castelain, Vincent] Univ Strasbourg, Hautepierre Hosp, Med Care Unit, Strasbourg, France; [Provencher, Steeve] Univ Laval, Heart &amp; Lung Inst, Quebec City, PQ, Canada; [Humbert, Marc; Simonneau, Gerald] AP HP, Dept Pneumol, Clamart, France; [Herve, Philippe] Dept Thorac &amp; Vasc Surg, Le Plessis Robinson, France</t>
  </si>
  <si>
    <t>Background: Mean pulmonary artery pressure (mPAP) may be estimated by using the classic rule of thumb, namely 2/3 x dPAP + 1/3 x sPAP, where dPAP = diastolic PAP and sPAP = systolic PAP. Studies have suggested that mPAP may be also estimated from sPAP alone. Pulmonary hypertension (PH) is usually defined by an invasive mPAP &gt; 25 mm Hg, but the corresponding sPAP threshold remains to be established. Our study evaluated the accuracy and precision of various empirical formulas relating mPAP and sPA-P in resting adults. Methods: Five previously published studies with individual high-fidelity, PAPs were analyzed (n = 166 individuals, 57% of whom had PH). The time-averaged mPAP was compared with formula one (F1), the classic rule of thumb; formula two (F2) = dPAP + 0.41 X pulse PAP; formula three (F3) = square root of (sPAP x dPAP); formula four (F4) = 0.61 x sPAIV + 2 mm Hg; and formula five (F5) = 2/3 x sPAP (parabolic shape). Results: The mPAP ranged from 9 to 82 mm Hg and was related to sPAP (r(2) = 0.98). The most accurate formula was F4 (mean bias, 0.0 mm Hg). The most precise formula was F1 (SD of the bias, 1.6 mm Hg). Other formulas gave estimates of essentially similar accuracy, while F2 and F3 were more precise than F4 and F5. sPAP &gt; 36 min Hg could be used to diagnose PH (mPAP &gt; 25 mm Hg) with a 97.9% sensitivity and 98.6% specificity. Conclusion: In resting adults, the most accurate estimate of mPAP was obtained by using sPAP only, while the combination of sPAP and dPAP gave the most precise mPAP estimate. The sPAP threshold of 36 mm Hg could be used to diagnose PH with high sensitivity and high specificity.</t>
  </si>
  <si>
    <t>HYPERTENSION; INTERVALS</t>
  </si>
  <si>
    <t>hemodynamics; pulmonary circulation; pulmonary hypertension</t>
  </si>
  <si>
    <t>Evaluation of Various Empirical Formulas for Estimating Mean Pulmonary Artery Pressure by Using Systolic Pulmonary Artery Pressure in Adults</t>
  </si>
  <si>
    <t>Chemla, Denis; Castelain, Vincent; Provencher, Steeve; Humbert, Marc; Simonneau, Gerald; Herve, Philippe</t>
  </si>
  <si>
    <t>Chemla, D; Castelain, V; Provencher, S; Humbert, M; Simonneau, G; Herve, P</t>
  </si>
  <si>
    <t>WOS:000264584200009</t>
  </si>
  <si>
    <t>424RG</t>
  </si>
  <si>
    <t>10.1016/j.lpm.2009.01.005</t>
  </si>
  <si>
    <t>a.chaouat@chu-nancy.fr</t>
  </si>
  <si>
    <t>Chaouat, A (corresponding author), CHU Nancy, Hop Adultes Brabois, Serv Malad Resp &amp; Reanimat Resp, Rue Morvan, F-54511 Vandoeuvre Les Nancy, France.</t>
  </si>
  <si>
    <t>CHU de Nancy; Universite Paris Saclay; Assistance Publique Hopitaux Paris (APHP); Hopital Universitaire Antoine-Beclere - APHP; Universites de Strasbourg Etablissements Associes; Universite de Strasbourg; CHU Strasbourg</t>
  </si>
  <si>
    <t>[Chaouat, Ari] CHU Nancy, Hop Adultes Brabois, Serv Malad Resp &amp; Reanimat Resp, F-54511 Vandoeuvre Les Nancy, France; [Humbert, Marc] Univ Paris 11, Hop Antoine Beclere, Serv Pneumol &amp; Reanimat Resp, Hop Paris,AP HP, F-92141 Clamart, France; [Weitzenblum, Emmanuel] Hop Univ Strasbourg, Nouvel Hop Civil, Serv Pneumol, F-67091 Strasbourg, France</t>
  </si>
  <si>
    <t>Chronic obstuctive pulmonary disease: a major challenge for our society</t>
  </si>
  <si>
    <t>Chaouat, Ari; Humbert, Marc; Weitzenblum, Emmanuel</t>
  </si>
  <si>
    <t>Chaouat, A; Humbert, M; Weitzenblum, E</t>
  </si>
  <si>
    <t>WOS:000263942400033</t>
  </si>
  <si>
    <t>10.1183/09031936.00086308</t>
  </si>
  <si>
    <t>Frachon, Irene/0000-0001-6666-9709; SITBON, Olivier/0000-0002-1942-1951; leroyer, christophe/0000-0002-7601-1692; Humbert, Marc/0000-0003-0703-2892</t>
  </si>
  <si>
    <t>Simonneau, Gerald/ABE-6614-2020; Sitbon, Olivier/I-3623-2019; leroyer, christophe/HTT-3905-2023; Humbert, Marc/AAC-8459-2019</t>
  </si>
  <si>
    <t>kim.boutet@umontreal.Ga</t>
  </si>
  <si>
    <t>Boutet, K (corresponding author), Hop Sacre Coeur, Dept Med Interne &amp; Pneumol, 5400 Boul Gouin Ouest, Montreal, PQ H4J 1C5, Canada.</t>
  </si>
  <si>
    <t>Universite Paris Saclay; Assistance Publique Hopitaux Paris (APHP); Hopital Universitaire Antoine-Beclere - APHP; CHU Brest</t>
  </si>
  <si>
    <t>[Boutet, K.; Sitbon, O.; Simonneau, G.; Humbert, M.] Univ Paris 11, UPRES EA 2705, Ctr Natl Reference Hypertens Arterielle Pulm, Serv Pneumol &amp; Reanimat Resp,Hop Antoine Beclere, Paris, France; [Frachon, I.; Jobic, Y.; Gut-Gobert, C.; Leroyer, C.; Carlhant-Kowalski, D.] Hop Univ Cavale Blanche, GETBO EA 3878, Grp HTAP Bretagne Occidentale, Brest, France</t>
  </si>
  <si>
    <t>Since 1976, benfluorex has been approved in Europe as a hypolipidermic and hypoglycemic drug, and is commonly used in the treatment of the metabolic syndrome. As a derivative of fenfluramine with an appetite suppressant action, benfluorex is preferentially used in overweight patients. In contrast to fenfluramine and dexfenfluramine, to date, benfluorex has not been reported to be associated with frequent cardiovascular side-effects. The present study reports five cases of severe pulmonary arterial hypertension and one case of valvular heart disease occurring in patients exposed to benfluorex. These individuals were middle age, diabetic females with a body mass index ranging 24.2-49 kg center dot m(-2). No definite causal effect for cardiovascular disease with benfluorex can be drawn from such case reports. However, as benfluorex, like dexfenfluramine and fenfluramine, is metabolised into active metabolite norfenfluramine, further extensive assessment of drug exposure in newly diagnosed pulmonary arterial hypertension or valvular heart disease patients is warranted.</t>
  </si>
  <si>
    <t>PRIMARY PULMONARY-HYPERTENSION; VALVULAR HEART-DISEASE; ARTERIAL-HYPERTENSION; VALVULOPATHY; PATIENT</t>
  </si>
  <si>
    <t>Anorexigen; norfenfluramine; pulmonary arterial hypertension; valvular heart disease</t>
  </si>
  <si>
    <t>Fenfluramine-like cardiovascular side-effects of benfluorex</t>
  </si>
  <si>
    <t>Boutet, K.; Frachon, I.; Jobic, Y.; Gut-Gobert, C.; Leroyer, C.; Carlhant-Kowalski, D.; Sitbon, O.; Simonneau, G.; Humbert, M.</t>
  </si>
  <si>
    <t>Boutet, K; Frachon, I; Jobic, Y; Gut-Gobert, C; Leroyer, C; Carlhant-Kowalski, D; Sitbon, O; Simonneau, G; Humbert, M</t>
  </si>
  <si>
    <t>WOS:000264460800009</t>
  </si>
  <si>
    <t>422XK</t>
  </si>
  <si>
    <t>10.1161/CIRCULATIONAHA.108.803221</t>
  </si>
  <si>
    <t>MAR 24</t>
  </si>
  <si>
    <t>Humbert, Marc/0000-0003-0703-2892; Souza, Rogerio/0000-0003-2789-9143; Queiroz Farias, Alberto/0000-0002-5572-663X; Jardim, Carlos/0000-0003-0425-5548; Fernandes, Caio/0000-0002-4912-021X; Terra-Filho, Mario/0000-0002-8642-5354</t>
  </si>
  <si>
    <t>Dias, Bruno/ABC-3454-2021; Fernandes, Caio/W-8676-2019; Humbert, Marc/AAC-8459-2019; Souza, Rogerio/I-3584-2013; Queiroz Farias, Alberto/ABB-1291-2020; Jardim, Carlos/N-8061-2017; Fernandes, Caio/K-9194-2016; Terra-Filho, Mario/H-5806-2012</t>
  </si>
  <si>
    <t>Souza, R (corresponding author), Univ Sao Paulo, Sch Med, Inst Heart, Pulm Hypertens Grp,Pulm Dept, Av Dr Eneas de Carvalho Aguiar 44, BR-05403000 Sao Paulo, Brazil.</t>
  </si>
  <si>
    <t>Universidade de Sao Paulo; Universidade de Sao Paulo; Universidade de Sao Paulo; Universite Paris Saclay; Assistance Publique Hopitaux Paris (APHP); Hopital Universitaire Antoine-Beclere - APHP</t>
  </si>
  <si>
    <t>[Souza, Rogerio] Univ Sao Paulo, Sch Med, Inst Heart, Pulm Hypertens Grp,Pulm Dept, BR-05403000 Sao Paulo, Brazil; [Dourado, Paulo M. M.; Figueiredo, Magda; Tsutsui, Jeane] Univ Sao Paulo, Sch Med, Dept Cardiol, BR-05403000 Sao Paulo, Brazil; [Farias, Alberto] Univ Sao Paulo, Sch Med, Dept Gastroenterol, BR-05403000 Sao Paulo, Brazil; [Humbert, Marc; Souza, Rogerio] Univ Paris 11, Dept Pulm, Hop Antoine Beclere, Clamart, France</t>
  </si>
  <si>
    <t>Background -Schistosomiasis is a highly prevalent disease with &gt;200 million infected people. Pulmonary hypertension is one of the pulmonary manifestations in this disease, particularly in its hepatosplenic presentation. The aim of this study was to determine the prevalence of pulmonary hypertension in schistosomiasis patients with the hepatosplenic form of the disease. Methods and Results -All patients with hepatosplenic schistosomiasis followed up at the gastroenterology department of our university hospital underwent echocardiographic evaluation to search for pulmonary hypertension. Patients presenting with systolic pulmonary artery pressure &gt;40 mm Hg were further evaluated through right heart catheterization. Our study showed an 18.5% prevalence of patients with elevated systolic pulmonary artery pressure at echocardiography. Invasive hemodynamics confirmed the presence of pulmonary hypertension in 7.7% (95% confidence interval, 3.3 to 16.7) of patients, with a prevalence of precapillary (arterial) pulmonary hypertension of 4.6% (95% confidence interval, 1.5 to 12.7). Conclusions -Our study reinforces the role of echocardiography as a screening tool in the investigation of pulmonary hypertension, together with the need for invasive monitoring for a proper diagnosis. We conclude that hepatosplenic schistosomiasis may account for one of the most prevalent forms of pulmonary hypertension worldwide, justifying the development of further studies to evaluate the effect of specific pulmonary hypertension treatment in this particular form of the disease. (Circulation. 2009; 119: 1518-1523.)</t>
  </si>
  <si>
    <t>PULMONARY ARTERIAL-HYPERTENSION; SICKLE-CELL-DISEASE; THERAPY; HEMODYNAMICS; PREVALENCE; QUANTIFICATION; PATHOLOGY</t>
  </si>
  <si>
    <t>echocardiography; hemodynamics; hypertension, pulmonary; schistosomiasis</t>
  </si>
  <si>
    <t>Cardiopulmonary Manifestations of Hepatosplenic Schistosomiasis</t>
  </si>
  <si>
    <t>Lapa, Monica; Dias, Bruno; Jardim, Carlos; Fernandes, Caio J. C.; Dourado, Paulo M. M.; Figueiredo, Magda; Farias, Alberto; Tsutsui, Jeane; Terra-Filho, Mario; Humbert, Marc; Souza, Rogerio</t>
  </si>
  <si>
    <t>Lapa, M; Dias, B; Jardim, C; Fernandes, CJC; Dourado, PMM; Figueiredo, M; Farias, A; Tsutsui, J; Terra, M; Humbert, M; Souza, R</t>
  </si>
  <si>
    <t>WOS:000264928800009</t>
  </si>
  <si>
    <t>429OA</t>
  </si>
  <si>
    <t>10.1161/CIRCULATIONAHA.108.800938</t>
  </si>
  <si>
    <t>APR 7</t>
  </si>
  <si>
    <t>This study was funded by a grant of the European Union, fifth framework program, Disposition to PPH, QLG1-CT-2002-01116.</t>
  </si>
  <si>
    <t>European Union(European Union (EU))</t>
  </si>
  <si>
    <t>European Union [QLG1-CT-2002-01116]</t>
  </si>
  <si>
    <t>Olschewski, Horst/0000-0002-2834-7466; Machado, Rajiv David/0000-0001-9247-0744; Seeger, Werner/0000-0003-1946-0894; Ghofrani, Ardeschir/0000-0002-2029-4419; Trembath, Richard/0000-0003-0550-3400; Humbert, Marc/0000-0003-0703-2892; Weissmann, Sylvia/0000-0002-1261-0899; Fijalkowska, Anna/0000-0002-2225-9684; Galie, Nazzareno/0000-0003-4271-8670; Torbicki, Adam/0000-0003-3475-8832; Mereles, Derliz/0000-0001-9601-7103</t>
  </si>
  <si>
    <t>Olschewski, Horst/L-3547-2019; Benjamin, Nicola/AAJ-4360-2021; Simonneau, Gerald/ABE-6614-2020; Machado, Rajiv David/AAD-7813-2019; Ghofrani, Ardeschir/AAD-5293-2020; Humbert, Marc/AAC-8459-2019; Fijalkowska, Anna/V-3994-2018; Galie, Nazzareno/F-7004-2014</t>
  </si>
  <si>
    <t>ekkehard.gruenig@thoraxklinik-heidelberg.de</t>
  </si>
  <si>
    <t>Grünig, E (corresponding author), Univ Heidelberg Hosp, Dept Pneumol, Thoraxclin, Amalienstr 5, D-69126 Heidelberg, Germany.</t>
  </si>
  <si>
    <t>Ruprecht Karls University Heidelberg; Ruprecht Karls University Heidelberg; Ruprecht Karls University Heidelberg; Justus Liebig University Giessen; Assistance Publique Hopitaux Paris (APHP); Hopital Universitaire Antoine-Beclere - APHP; Universite Paris Saclay; University of Bologna; University of London; King's College London; Laval University; Laval University Hospital; University of Graz</t>
  </si>
  <si>
    <t>[Gruenig, Ekkehard; Ehlken, Nicola] Heidelberg Univ, Thoraxclin, Heidelberg, Germany; [Mereles, Derliz] Heidelberg Univ, Dept Cardiol, D-6900 Heidelberg, Germany; [Fischer, Christine; Janssen, Bart; Koehler, Rolf] Heidelberg Univ, Inst Human Genet, D-6900 Heidelberg, Germany; [Weissmann, Sylvia; Ghofrani, Ardeschir; Reichenberger, Frank; Seeger, Werner] Univ Giessen, Lung Ctr, Giessen, Germany; [Fourme, Thierry; Humbert, Marc; Provencher, Steeve; Simonneau, Gerald] Univ Paris 11, Hop Antoine Beclere, Clamart, France; [Huez, Sandrine; Naeije, Robert; Retailleau, Kathleen] Univ Brussels, Dept Physiol, Brussels, Belgium; [Fijalkowska, Anna; Kober, Jaroslaw; Torbicki, Adam] Natl Inst TB &amp; Lung Dis, Warsaw, Poland; [Galie, Nazzareno; Rocchi, Guido] Univ Bologna, Dept Cardiol, Bologna, Italy; [Harrison, Rachel E.; Machado, Rajiv D.; Trembath, Richard] Kings Coll London, Inst Human Genet, London WC2R 2LS, England; [Provencher, Steeve] Univ Laval, Inst Cardiol &amp; Pneumol, Quebec City, PQ, Canada; [Olschewski, Horst] Graz Univ, Dept Pulmonol, Graz, Austria</t>
  </si>
  <si>
    <t>Background-This large, prospective, multicentric study was performed to analyze the distribution of tricuspid regurgitation velocity (TRV) values during exercise and hypoxia in relatives of patients with idiopathic and familial pulmonary arterial hypertension (PAH) and in healthy control subjects. We tested the hypothesis that relatives of idiopathic/familial PAH patients display an enhanced frequency of hypertensive TRV response to stress and that this response is associated with mutations in the bone morphogenetic protein receptor II (BMPR2) gene. Methods and Results-TRV was estimated by Doppler echocardiography during supine bicycle exercise in normoxia and during 120 minutes of normobaric hypoxia (FIO2 = 12%; approximate to 4500 m) in 291 relatives of 109 PAH patients and in 191 age-matched control subjects. Mean maximal TRVs were significantly higher in PAH relatives during both exercise and hypoxia. During exercise, 10% of control subjects but 31.6% of relatives (P &lt; 0.0001) exceeded the 90% quantile of mean maximal TRV seen in control subjects. Hypoxia revealed hypertensive TRV in 26% of relatives (P = 0.0029). Among control subjects, TRV at rest was not related to age, sex, body mass index, systemic blood pressure, smoking status, or heart rate. Within kindreds identified as harboring deleterious mutations of the BMPR2 gene, a hypertensive TRV response occurred significantly more often compared with those without detected mutations. Conclusions-Pulmonary hypertensive response to exercise and hypoxia in idiopathic/familial PAH relatives appears as a genetic trait with familial clustering, being correlated to but not caused by a BMPR2 mutation. The suitability of this trait to predict manifest PAH development should be addressed in long-term follow-up studies. (Circulation. 2009; 119: 1747-1757.)</t>
  </si>
  <si>
    <t>SYSTOLIC PRESSURE; HIGH-ALTITUDE; NONINVASIVE EVALUATION; DISEASE; BMPR2; MUTATIONS; DIAGNOSIS; RECEPTOR; LOCUS</t>
  </si>
  <si>
    <t>echocardiography; echocardiography, stress; genetics; hypertension, pulmonary; hypoxia; pulmonary heart disease</t>
  </si>
  <si>
    <t>Stress Doppler Echocardiography in Relatives of Patients With Idiopathic and Familial Pulmonary Arterial Hypertension Results of a Multicenter European Analysis of Pulmonary Artery Pressure Response to Exercise and Hypoxia</t>
  </si>
  <si>
    <t>Gruenig, Ekkehard; Weissmann, Sylvia; Ehlken, Nicola; Fijalkowska, Anna; Fischer, Christine; Fourme, Thierry; Galie, Nazzareno; Ghofrani, Ardeschir; Harrison, Rachel E.; Huez, Sandrine; Humbert, Marc; Janssen, Bart; Kober, Jaroslaw; Koehler, Rolf; Machado, Rajiv D.; Mereles, Derliz; Naeije, Robert; Olschewski, Horst; Provencher, Steeve; Reichenberger, Frank; Retailleau, Kathleen; Rocchi, Guido; Simonneau, Gerald; Torbicki, Adam; Trembath, Richard; Seeger, Werner</t>
  </si>
  <si>
    <t>Grünig, E; Weissmann, S; Ehlken, N; Fijalkowska, A; Fischer, C; Fourme, T; Galié, N; Ghofrani, A; Harrison, RE; Huez, S; Humbert, M; Janssen, B; Kober, J; Koehler, R; Machado, RD; Mereles, D; Naeije, R; Olschewski, H; Provencher, S; Reichenberger, F; Retailleau, K; Rocchi, G; Simonneau, G; Torbicki, A; Trembath, R; Seeger, W</t>
  </si>
  <si>
    <t>WOS:000265251500005</t>
  </si>
  <si>
    <t>434BZ</t>
  </si>
  <si>
    <t>10.1164/rccm.200901-0136UP</t>
  </si>
  <si>
    <t>Humbert, M (corresponding author), Univ Paris 11, Hop Antoine Beclere, AP HP,Ctr Natl Reference Hypertens Arterielle Pul, Serv Pneumol &amp; Reanimat Resp, 157 Rue Porte Trivaux, F-92140 Clamart, France.</t>
  </si>
  <si>
    <t>Univ Paris 11, Hop Antoine Beclere, AP HP,Ctr Natl Reference Hypertens Arterielle Pul, Serv Pneumol &amp; Reanimat Resp, F-92140 Clamart, France</t>
  </si>
  <si>
    <t>SICKLE-CELL-DISEASE; ARTERIAL-HYPERTENSION; VENOOCCLUSIVE DISEASE; GERMLINE MUTATIONS; DOUBLE-BLIND; RISK-FACTORS; BMPR2; SURVIVAL; THERAPY; BOSENTAN</t>
  </si>
  <si>
    <t>Update in Pulmonary Hypertension 2008</t>
  </si>
  <si>
    <t>WOS:000268243300006</t>
  </si>
  <si>
    <t>473WV</t>
  </si>
  <si>
    <t>10.1093/rheumatology/kep107</t>
  </si>
  <si>
    <t>Nash, Peter/0000-0002-2571-788X; Humbert, Marc/0000-0003-0703-2892</t>
  </si>
  <si>
    <t>Nash, Peter/D-7392-2013; Humbert, Marc/AAC-8459-2019</t>
  </si>
  <si>
    <t>McLaughlin, V (corresponding author), Ctr Cardiovasc, 1500 E Med Ctr Dr,Room 2392, Ann Arbor, MI 48109 USA.</t>
  </si>
  <si>
    <t>University of Michigan System; University of Michigan; Assistance Publique Hopitaux Paris (APHP); Hopital Universitaire Antoine-Beclere - APHP; University of London; University College London; University of Queensland; Georgetown University</t>
  </si>
  <si>
    <t>[McLaughlin, V.] Univ Michigan, Dept Internal Med, Ann Arbor, MI 48109 USA; [Humbert, M.] Hop Antoine Beclere, Dept Resp Med, Clamart, France; [Coghlan, G.] Royal Free &amp; Univ Coll Med Sch, Cardiol Unit, London WC1E 6BT, England; [Nash, P.] Univ Queensland, Sunshine Coast Queensland Dept Med, Rheumatol Res Unit, Brisbane, Qld 4072, Australia; [Steen, V.] Georgetown Univ, Dept Med, Washington, DC USA</t>
  </si>
  <si>
    <t>Pulmonary arterial hypertension (PAH) is a devastating vascular complication of a number of CTDs. In patients with SSc, PAH has a dramatic impact on prognosis and survival and is the single most common cause of disease-related death. Yearly echocardiographic screening for PAH is recommended in patients with SSc. It suspected, confirmation of PAH diagnosis by right heart catheterization is necessary. Treatment goals for patients with PAH associated with SSc (PAH-SSc) aim to slow disease progression and improve quality of life. Some measures used to gauge the effect of treatment in patients with PAH-SSc remain to be fully validated; the 6-min walk distance, for example, is a simple and reproducible means of assessing exercise capacity, but there exists a need to understand what constitutes a clinically relevant change in this specific patient population. Currently, pharmacological intervention in PAH-SSc may target one or more of three pathophysiological pathways in PAR The prostacyclin analogue epoprostenol has been shown to improve exercise capacity and haemodynamics in PAH-SSc patients and similar data are available from smaller studies on trepostinil and iloprost. The dual endothelin receptor antagonist bosentan has been shown to improve exercise capacity and haemodynamics in PAH-SSc, and similar data have been obtained in small numbers of patients treated with the endothelin receptor A antagonists sitaxsentan and ambrisentan. Impaired production of nitric oxide may be addressed by inhibiting phosphodiesterase type-5 with sildenafil or possibly tadalafil. Combinations of multiple targeted therapies may be beneficial to this patient population.</t>
  </si>
  <si>
    <t>CONTINUOUS INTRAVENOUS EPOPROSTENOL; RECEPTOR ANTAGONIST BOSENTAN; BRAIN NATRIURETIC PEPTIDE; CONNECTIVE-TISSUE DISEASE; PROSTACYCLIN ANALOG; INHALED ILOPROST; THERAPY; HEMODYNAMICS; TREPROSTINIL; SILDENAFIL</t>
  </si>
  <si>
    <t>Pulmonary arterial hypertension; Systemic sclerosis; Vasculopathy</t>
  </si>
  <si>
    <t>FEB 10-11, 2007</t>
  </si>
  <si>
    <t>1st International SSc Forum</t>
  </si>
  <si>
    <t>Pulmonary arterial hypertension: the most devastating vascular complication of systemic sclerosis</t>
  </si>
  <si>
    <t>McLaughlin, V.; Humbert, M.; Coghlan, G.; Nash, P.; Steen, V.</t>
  </si>
  <si>
    <t>McLaughlin, V; Humbert, M; Coghlan, G; Nash, P; Steen, V</t>
  </si>
  <si>
    <t>WOS:000267301800032</t>
  </si>
  <si>
    <t>461VX</t>
  </si>
  <si>
    <t>10.1183/09031936.00138107</t>
  </si>
  <si>
    <t>fabre, aurelie/0000-0001-8176-1386; marchand-adam, sylvain/0000-0002-9522-3738; Humbert, Marc/0000-0003-0703-2892</t>
  </si>
  <si>
    <t>marchand-adam, sylvain/MTA-8367-2025; Humbert, Marc/AAC-8459-2019</t>
  </si>
  <si>
    <t>bruno.crestani@bch.aphp.fr</t>
  </si>
  <si>
    <t>Crestani, B (corresponding author), Hop Bichat Claude Bernard, Serv Pneumol, APHP, 16 Rue Henri Huchard, F-75877 Paris 18, France.</t>
  </si>
  <si>
    <t>Universite Paris Cite; Assistance Publique Hopitaux Paris (APHP); Hopital Universitaire Ambroise-Pare - APHP; Hopital Universitaire Bichat-Claude Bernard - APHP; Hopital Universitaire Hotel-Dieu - APHP; Assistance Publique Hopitaux Paris (APHP); Universite Paris Cite; Hopital Universitaire Bichat-Claude Bernard - APHP; Assistance Publique Hopitaux Paris (APHP); Universite Paris Cite; Hopital Universitaire Bichat-Claude Bernard - APHP; Assistance Publique Hopitaux Paris (APHP); Universite Paris Cite; Hopital Universitaire Bichat-Claude Bernard - APHP; Assistance Publique Hopitaux Paris (APHP); Universite Paris Cite; Hopital Universitaire Bichat-Claude Bernard - APHP; Institut National de la Sante et de la Recherche Medicale (Inserm); Universite Paris Cite; Assistance Publique Hopitaux Paris (APHP); Hopital Universitaire Ambroise-Pare - APHP; Hopital Universitaire Antoine-Beclere - APHP; Universite de Tunis-El-Manar; Hopital Abderrahmene Mami</t>
  </si>
  <si>
    <t>[Khaldi, H.; Marchand-Adam, S.; Aubier, M.; Crestani, B.] Hop Bichat Claude Bernard, Serv Pneumol, APHP, F-75877 Paris 18, France; [Kannengiesser, C.; Danel, C.] Hop Bichat Claude Bernard, Serv Genet, F-75877 Paris 18, France; [Fabre, A.] Hop Bichat Claude Bernard, Serv Anat Pathol, F-75877 Paris 18, France; [Debray, M. P.] Hop Bichat Claude Bernard, Serv Radiol, F-75877 Paris 18, France; [Gougerot-Pocidalo, M-A.] Hop Bichat Claude Bernard, Serv Immunol &amp; Hematol, F-75877 Paris 18, France; [Kannengiesser, C.; Gougerot-Pocidalo, M-A.] CIB Phenogen Paris, Paris, France; [Gougerot-Pocidalo, M-A.; El Benna, J.] INSERM, U773, Paris, France; [Humbert, M.] Hop Antoine Beclere, APHP, Serv Pneumol &amp; Reanimat Resp, Clamart, France; [Khaldi, H.] Hop Abderrahmen Mami, Serv Pneumol, Ariana, Tunisia</t>
  </si>
  <si>
    <t>The present authors report the case of an adult with chronic granulomatous disease who developed an unusual lung fibrosis associated with severe pulmonary hypertension. Histological analysis of a lung biopsy showed a diffuse infiltration with pigmented macrophages without granulomas, which particularly involved the pulmonary arterial and venular walls. Clinical and histological findings were suggestive of pulmonary veno-occlusive disease. Such a clinical association has not been previously described in the literature and might be due to the persistent expression of gp91 phox at a very low level. In conclusion, the present case report illustrates a novel manifestation of chronic granulomatous disease.</t>
  </si>
  <si>
    <t>ARTERIAL-HYPERTENSION; VENOOCCLUSIVE DISEASE; THERAPY; HEMORRHAGE; CGD; CT</t>
  </si>
  <si>
    <t>Chronic granulomatous disease; lung fibrosis; pigmented macrophages; pulmonary hypertension; pulmonary veno-occlusive disease</t>
  </si>
  <si>
    <t>Diffuse interstitial pneumonia and pulmonary hypertension: a novel manifestation of chronic granulomatous disease</t>
  </si>
  <si>
    <t>Khaldi, H.; Marchand-Adam, S.; Kannengiesser, C.; Fabre, A.; Debray, M. P.; Danel, C.; Gougerot-Pocidalo, M-A.; El Benna, J.; Humbert, M.; Aubier, M.; Crestani, B.</t>
  </si>
  <si>
    <t>Khaldi, H; Marchand-Adam, S; Kannengiesser, C; Fabre, A; Debray, MP; Danel, C; Gougerot-Pocidalo, MA; Benna, J; Humbert, M; Aubier, M; Crestani, B</t>
  </si>
  <si>
    <t>WOS:000267221800007</t>
  </si>
  <si>
    <t>460WI</t>
  </si>
  <si>
    <t>10.1016/j.lpm.2008.08.017</t>
  </si>
  <si>
    <t>HACHULLA, ERIC/0000-0001-7432-847X; Humbert, Marc/0000-0003-0703-2892; de Groote, Pascal/0000-0002-6211-0147; Launay, David/0000-0003-1840-1817; LAMBLIN, NICOLAS/0000-0003-3754-1241</t>
  </si>
  <si>
    <t>HACHULLA, ERIC/R-8488-2018; Launay, David/A-5270-2018; meroni, pier/K-8473-2016; Thierry, PEREZ/AAB-4853-2020; DE GROOTE, Pascal/LLL-9444-2024; Humbert, Marc/AAC-8459-2019; Launay, David/H-1674-2016</t>
  </si>
  <si>
    <t>Hachulla, E (corresponding author), CHRU, Ctr Reference Malad Autoimmunes &amp; Malad Syst Rare, Serv Med Interne, Hop Claude Huriez, Rue Michel Polonovski, F-59037 Lille, France.</t>
  </si>
  <si>
    <t>Universite de Lille; CHU Lille; Universite de Lille; CHU Lille; Assistance Publique Hopitaux Paris (APHP); Universite Paris Cite; Hopital Universitaire Cochin - APHP; Universite de Lille; CHU Lille; Universite Paris Saclay; Assistance Publique Hopitaux Paris (APHP); Hopital Universitaire Antoine-Beclere - APHP</t>
  </si>
  <si>
    <t>[Hachulla, Eric; Launay, David] CHRU, Ctr Reference Malad Autoimmunes &amp; Malad Syst Rare, Serv Med Interne, Hop Claude Huriez, F-59037 Lille, France; [Bervar, Jean Francois; Perez, Thierry; Tillie-Leblond, Isabelle] CHU Lille, Serv Pneumol, Hop Calmette, F-59037 Lille, France; [Mouthon, Luc] Hop Cochin, Ctr Reference Malad Autoimmunes &amp; Malad Syst Rare, Serv Med Interne, F-75014 Paris, France; [Lamblin, Nicolas; De Groote, Pascal] CHU Lille, Serv Cardiol, Ctr Competences Hypertens Arterielle Pulm, Hop Cardiol, F-59037 Lille, France; [Humbert, Marc] Univ Paris 11, Serv Pneumol &amp; Reanimat, Ctr Reference Hypertens Arterielles Pulm, Hop Antoine Beclere,AP HP, F-92141 Clamart, France</t>
  </si>
  <si>
    <t>Pulmonary hypertension and interstitial lung disease are the two main causes of death in systemic sclerosis. The hallmark of these complications is dyspnea on exertion. Assessment of dyspnea in systemic sclerosis is based on a questionnaire; 6-minute walk test and Borg index. After excluding anemia, a deceptive cause mainly due to digestive haemorrhage, echocardiography, pulmonary function tests and high resolution computed tomography of the chest are the first step to diagnosis. Peak velocity of tricuspid regurgitation as measured by echocardiography is the main parameter to evaluate the risk of pulmonary hypertension before performing a right heart catheterization. Diastolic left ventricle dysfunction is another frequently encountered cause of dyspnea in systemic sclerosis. Other less common causes are pericarditis, respiratory muscle involvement, lung cancer, pulmonary embolism.</t>
  </si>
  <si>
    <t>PULMONARY ARTERIAL-HYPERTENSION; 6-MINUTE WALK TEST; SYSTEMIC-SCLEROSIS; LUNG-DISEASE; EXERCISE PERFORMANCE; FIBROSING ALVEOLITIS; DIFFUSING-CAPACITY; CARBON-MONOXIDE; HEART-FAILURE; PREDICTORS</t>
  </si>
  <si>
    <t>Dyspnea on exertion in scleroderma: from symptom to diagnosis</t>
  </si>
  <si>
    <t>Hachulla, Eric; Bervar, Jean Francois; Launay, David; Lamblin, Nicolas; Perez, Thierry; Mouthon, Luc; De Groote, Pascal; Tillie-Leblond, Isabelle; Humbert, Marc</t>
  </si>
  <si>
    <t>Hachulla, E; Bervar, JF; Launay, D; Lamblin, N; Perez, T; Mouthon, L; De Groote, P; Tillie-Leblond, I; Humbert, M</t>
  </si>
  <si>
    <t>WOS:000267116800035</t>
  </si>
  <si>
    <t>459PV</t>
  </si>
  <si>
    <t>10.1002/art.24525</t>
  </si>
  <si>
    <t>Supported by a research grant from Actelion Pharmaceuticals France.</t>
  </si>
  <si>
    <t>lambert, marc/0000-0002-3485-8238; gosse, philippe/0000-0002-5840-7749; Ioos, Vincent/0000-0001-6959-5602; de Groote, Pascal/0000-0002-6211-0147; JAIS, XAVIER/0000-0002-4104-7994; LAMBLIN, NICOLAS/0000-0003-3754-1241; SITBON, Olivier/0000-0002-1942-1951; HACHULLA, ERIC/0000-0001-7432-847X; Machet, Laurent/0000-0001-5985-878X; ederhy, stephane/0000-0002-0792-2521; DERUMEAUX, Genevieve/0000-0003-1471-1631; Sibilia, Jean/0000-0002-1601-4795; PATAT, Frederic/0000-0001-9347-750X; Hammoudi, Nadjib/0000-0003-2085-8525; Degano, Bruno/0000-0003-1644-7264; Launay, David/0000-0003-1840-1817; Humbert, Marc/0000-0003-0703-2892; Selton-Suty, Christine/0000-0003-4129-5784</t>
  </si>
  <si>
    <t>patat, frederic/K-8052-2012; DE GROOTE, Pascal/LLL-9444-2024; meroni, pier/K-8473-2016; HACHULLA, ERIC/R-8488-2018; JEGO, Patrick/L-1144-2015; lambert, marc/V-7380-2017; Machet, Laurent/A-2976-2010; DERUMEAUX, Genevieve/T-2489-2018; Launay, David/H-1674-2016; Humbert, Marc/AAC-8459-2019</t>
  </si>
  <si>
    <t>Hachulla, E (corresponding author), Univ Lille 2, Dept Internal Med, Natl Reference Ctr Scleroderma, Claude Huriez Hosp, F-59037 Lille, France.</t>
  </si>
  <si>
    <t>Universite de Lille; CHU Lille; Universite de Lille; CHU Lille; CHU Strasbourg; Universites de Strasbourg Etablissements Associes; Universite de Strasbourg; CHU Tours; CHU Grenoble Alpes; Assistance Publique Hopitaux Paris (APHP); Universite Paris Cite; Hopital Universitaire Cochin - APHP; Universite de Rennes; CHU Rennes; Assistance Publique Hopitaux Paris (APHP); Sorbonne Universite; Hopital Universitaire Saint-Antoine - APHP; Nantes Universite; CHU de Nantes; Assistance Publique Hopitaux Paris (APHP); Universite Paris-Est-Creteil-Val-de-Marne (UPEC); Hopital Universitaire Henri-Mondor - APHP; CHU de Nancy; CHU Bordeaux; Universite Paris Cite; Assistance Publique Hopitaux Paris (APHP); Hopital Universitaire Saint-Louis - APHP; CHU Bordeaux; Universite de Bordeaux; Universite de Tours; Universite Paris Saclay; Assistance Publique Hopitaux Paris (APHP); Hopital Universitaire Antoine-Beclere - APHP</t>
  </si>
  <si>
    <t>[Hachulla, Eric] Univ Lille 2, Dept Internal Med, Natl Reference Ctr Scleroderma, Claude Huriez Hosp, F-59037 Lille, France; [de Groote, Pascal] Ctr Hosp Reg &amp; Univ Lille, F-59037 Lille, France; [Gressin, Virginie] Actel Pharmaceut France, Paris, France; [Sibilia, Jean] Hop Hautepierre, Strasbourg, France; [Diot, Elisabeth] Hop Bretonneau, Tours, France; [Carpentier, Patrick] Hop Nord, Grenoble, France; [Mouthon, Luc; Allanore, Yannick; Kahan, Andre; Guillevin, Loic] Hop Cochin, F-75674 Paris, France; [Jego, Patrick] Hop Sud, Rennes, France; [Tiev, Kiet Phong] Hop St Antoine, F-75571 Paris, France; [Agard, Christian] Hop Hotel Dieu, Nantes, France; [Cosnes, Anne] Hop Henri Mondor, F-94010 Creteil, France; [Cirstea, Daniela] Hop Cent, Nancy, France; [Constans, Joel] Hop St Andre, Bordeaux, France; [Farge, Dominique] Hop St Louis, Paris, France; [Viallard, Jean-Francois] Hop Haut Levesque, Pessac, France; [Harle, Jean-Robert] Hop Conception, Marseilles, France; [Patat, Frederic] Univ Tours, Tours, France; [Clerson, Pierre] Orgametrie, Roubaix, France; [Humbert, Marc] Univ Paris 11, Clamart, France; [Humbert, Marc] Hop Antoine Beclere, AP HP, Clamart, France</t>
  </si>
  <si>
    <t>Objective. An algorithm for the detection of pulmonary arterial hypertension (PAH), based on the presence of dyspnea and the findings of Doppler echocardiographic evaluation of the velocity of tricuspid regurgitation (VTR) and right-sided heart catheterization (RHC), which was applied in a large multicenter systemic sclerosis (SSc) population, estimated the prevalence of PAH to be 7.85%. The aim of this observational study was to investigate the incidence of PAH and pulmonary hypertension (PH) during a 3-year followup of patients from the same cohort (the ItinerAIR-Sclerodermie Study). Methods. Patients with SSc and without evidence of PAH underwent evaluation for dyspnea and VTR at study entry and during subsequent visits. Patients in whom PAH was suspected because of a VTR of 2.8-3.0 meters/second and unexplained dyspnea or a VTR of &gt;3.0 meters/second underwent RHC to confirm the diagnosis. Results. A total of 384 patients were followed up for a mean +/- SD of 41.03 +/- 5.66 months (median 40.92 months). At baseline, 86.7% of the patients were women, and the mean +/- SD age of the patients was 53.1 +/- 12.0 years. The mean +/- SD duration of SSc at study entry was 8.7 +/- 7.6 years. After RHC, PAH was diagnosed in 8 patients, postcapillary PH in 8 patients, and PH associated with severe pulmonary fibrosis in 2 patients. The incidence of PAH was estimated to be 0.61 cases per 100 patient-years. Two patients who exhibited a mean pulmonary artery pressure of 20-25 mm Hg at baseline subsequently developed PAH. Conclusion. The estimated incidence of PAH among patients with SSc was 0.61 cases per 100 patient-years. The high incidence of postcapillary PH highlights the value of RHC in investigating suspected PAH.</t>
  </si>
  <si>
    <t>RISK-FACTORS; DOPPLER-ECHOCARDIOGRAPHY; DIFFUSING-CAPACITY; NATURAL-HISTORY; PREDICTORS; SURVIVAL; DEATH</t>
  </si>
  <si>
    <t>The Three-Year Incidence of Pulmonary Arterial Hypertension Associated With Systemic Sclerosis in a Multicenter Nationwide Longitudinal Study in France</t>
  </si>
  <si>
    <t>ItinerAIR-Sclerodermie Study Grp</t>
  </si>
  <si>
    <t>Hachulla, Eric; de Groote, Pascal; Gressin, Virginie; Sibilia, Jean; Diot, Elisabeth; Carpentier, Patrick; Mouthon, Luc; Hatron, Pierre-Yves; Jego, Patrick; Allanore, Yannick; Tiev, Kiet Phong; Agard, Christian; Cosnes, Anne; Cirstea, Daniela; Constans, Joel; Farge, Dominique; Viallard, Jean-Francois; Harle, Jean-Robert; Patat, Frederic; Imbert, Bernard; Kahan, Andre; Cabane, Jean; Clerson, Pierre; Guillevin, Loic; Humbert, Marc</t>
  </si>
  <si>
    <t>Hachulla, E; de Groote, P; Gressin, V; Sibilia, J; Diot, E; Carpentier, P; Mouthon, L; Hatron, PY; Jego, P; Allanore, Y; Tiev, KP; Agard, C; Cosnes, A; Cirstea, D; Constans, J; Farge, D; Viallard, JF; Harle, JR; Patat, F; Imbert, B; Kahan, A; Cabane, J; Clerson, P; Guillevin, L; Humbert, M</t>
  </si>
  <si>
    <t>WOS:000267777400001</t>
  </si>
  <si>
    <t>467XT</t>
  </si>
  <si>
    <t>10.1007/s12325-009-0038-1</t>
  </si>
  <si>
    <t>Demoly, Pascal/0000-0001-7827-7964; Humbert, Marc/0000-0003-0703-2892</t>
  </si>
  <si>
    <t>Bousquet, Jean/O-4221-2019; Demoly, Pascal/Y-9938-2019; Humbert, Marc/AAC-8459-2019</t>
  </si>
  <si>
    <t>Bousquet, J (corresponding author), Hop Arnaud Villeneuve, Serv Malad Resp, 371 Ave Doyen Gaston Giraud, F-34275 Montpellier 5, France.</t>
  </si>
  <si>
    <t>Universite de Montpellier; CHU de Montpellier; Institut National de la Sante et de la Recherche Medicale (Inserm); Assistance Publique Hopitaux Paris (APHP); Hopital Universitaire Antoine-Beclere - APHP; Universite Paris Saclay</t>
  </si>
  <si>
    <t>[Bousquet, Jean; Demoly, Pascal] Hop Arnaud Villeneuve, Serv Malad Resp, F-34275 Montpellier 5, France; [Demoly, Pascal] INSERM, U657, F-75654 Paris 13, France; [Humbert, Marc] Univ Paris 11, Hop Antoine Beclere, Clamart, France</t>
  </si>
  <si>
    <t>In all asthma guidelines, preventive anti-inflammatory treatment is essential in all patients with persistent asthma. Inhaled corticosteroids are the mainstay of treatment in the control of asthma, but other treatments may be used as a monotherapy in patients with mild asthma or as an add-on treatment in those with moderate-to-severe asthma. Leukotriene modifiers are the only validated preventive treatment for all age groups. This review discusses the place of montelukast, a leukotriene receptor antagonist, using guidelines and consensus reports on asthma and rhinitis: the US National Asthma Education and Prevention Program (NAEPP); the British Guideline on the Management of Asthma; the Global Initiative on Asthma (GINA); and Allergic Rhinitis and its Impact on Asthma (ARIA). This review includes new studies that have not yet been considered in guidelines.</t>
  </si>
  <si>
    <t>LEUKOTRIENE-RECEPTOR ANTAGONIST; SEASONAL ALLERGIC RHINITIS; TERM CLINICAL-TRIAL; INHALED CORTICOSTEROIDS; ASTHMA CONTROL; DOUBLE-BLIND; PRESCHOOL-CHILDREN; ORAL MONTELUKAST; MILD ASTHMA; PLACEBO</t>
  </si>
  <si>
    <t>allergic rhinitis; asthma; guidelines; inhaled corticosteroids; montelukast; rhinitis</t>
  </si>
  <si>
    <t>Montelukast in guidelines and beyond</t>
  </si>
  <si>
    <t>Bousquet, Jean; Demoly, Pascal; Humbert, Marc</t>
  </si>
  <si>
    <t>Bousquet, J; Demoly, P; Humbert, M</t>
  </si>
  <si>
    <t>WOS:000266787500014</t>
  </si>
  <si>
    <t>455TB</t>
  </si>
  <si>
    <t>10.1164/rccm.200805-691OC</t>
  </si>
  <si>
    <t>Supported by grants from the Institut National de la Sante et de la Recherche Medicale, the Agence Nationale de la Recherche, the Fondation pour la Recherche Medicale, and the Delegation A la Recherche Clinique de l'AP-HP. C.G. was supported by the Societe Francaise d'Hypertension Arterielle. Financial support was received also from the European Commission under the 6th Framework Program (Contract No: LSHM-CT-2005-018725, PULMOTENSION). This publication reflects only the authors' views, and under no circumstances is the European Community liable for any use that may be made of the information it contains.</t>
  </si>
  <si>
    <t>Institut National de la Sante et de la Recherche Medicale(Institut National de la Sante et de la Recherche Medicale (Inserm)); Agence Nationale de la Recherche(Agence Nationale de la Recherche (ANR)); Fondation pour la Recherche Medicale(Fondation pour la Recherche Medicale); Delegation A la Recherche Clinique de l'AP-HP; Societe Francaise d'Hypertension Arterielle; European Commission(European Union (EU)European Commission Joint Research Centre)</t>
  </si>
  <si>
    <t>Institut National de la Sante et de la Recherche Medicale; Agence Nationale de la Recherche; Fondation pour la Recherche Medicale; Delegation A la Recherche Clinique de l'AP-HP; Societe Francaise d'Hypertension Arterielle; European Commission [LSHM-CT-2005-018725]</t>
  </si>
  <si>
    <t>Guilluy, Christophe/0000-0003-1141-0809; TU, Ly/0000-0003-2336-5099; GUIGNABERT, Christophe/0000-0002-8545-4452; Loirand, Gervaise/0000-0002-2306-3931; Humbert, Marc/0000-0003-0703-2892</t>
  </si>
  <si>
    <t>Pacaud, Pierre/D-6392-2015; Savale, Laurent/AAJ-9781-2020; Guilluy, Christophe/C-6002-2014; TU, Ly/G-4035-2013; GUIGNABERT, Christophe/G-3873-2013; Loirand, Gervaise/K-1834-2014; Humbert, Marc/AAC-8459-2019</t>
  </si>
  <si>
    <t>pierre.pacaud@univ-nantes.fr</t>
  </si>
  <si>
    <t>Pacaud, P (corresponding author), INSERM, Fac Med, U915, 4 Rue Gaston Veil, F-44035 Nantes, France.</t>
  </si>
  <si>
    <t>Institut National de la Sante et de la Recherche Medicale (Inserm); Nantes Universite; Institut National de la Sante et de la Recherche Medicale (Inserm); Nantes Universite; CHU de Nantes; Universite Paris-Est-Creteil-Val-de-Marne (UPEC); Assistance Publique Hopitaux Paris (APHP); Hopital Universitaire Henri-Mondor - APHP; Institut National de la Sante et de la Recherche Medicale (Inserm); Assistance Publique Hopitaux Paris (APHP); Hopital Universitaire Antoine-Beclere - APHP; Universite Paris Saclay; Institut National de la Sante et de la Recherche Medicale (Inserm); Universite Paris Saclay; Hopital Marie Lannelongue</t>
  </si>
  <si>
    <t>[Pacaud, Pierre] INSERM, Fac Med, U915, F-44035 Nantes, France; [Guilluy, Christophe; Agard, Christian; Loirand, Gervaise; Pacaud, Pierre] Univ Nantes, Fac Sci, Nantes, France; [Agard, Christian; Loirand, Gervaise] CHU Nantes, Inst Thorax, F-44035 Nantes 01, France; [Eddahibi, Saadia; Guignabert, Christophe; Izikki, Mohamed; Tu, Ly; Adnot, Serge] Hop Henri Mondor, INSERM, U651, F-94010 Creteil, France; [Savale, Laurent; Humbert, Marc] Univ Paris 11, INSERM, U764, Hop Antoine Beclere,AP HP, Clamart, France; [Fadel, Elie] Univ Paris 11, UPRES EA 2705, Ctr Chirurg Marie Lannelongue, Le Plessis Robinson, France</t>
  </si>
  <si>
    <t>Rationale: The complex and multifactorial pathogenesis of pulmonary hypertension (PH) involves constriction, remodeling, and in situ thrombosis of pulmonary vessels. Both serotonin (5-HT) and Rho kinase signaling may contribute to these alterations. Objectives: To investigate possible links between the 5-HT transporter (5-HTT) and RhoA/Rho kinase pathways, as well as their involvement in the progression of human and experimental PH. Methods: Biochemical and functional analyses of lungs, platelets, and pulmonary artery smooth muscle cells (PA-SMCs) from patients with idiopathic PH (iPH) and 5-HTT overexpressing mice. Measurements and Main Results: Lungs, platelets, and PA-SMCs from patients with iPH were characterized by marked elevation in RhoA and Rho kinase activities and a strong increase in 5-HT binding to RhoA indicating RhoA serotonylation. The 5-HTT inhibitor fluoxetine and the type 2 transglutaminase inhibitor monodansylcadaverin prevented 5-HT-induced RhoA serotonylation and RhoA/Rho kinase activation, as well as 5-HT-induced proliferation of PA-SMCs from iPH patients that was also inhibited by the Rho kinase inhibitor fasudil. Increased Rho kinase activity, RhoA activation, and RhoA serotonylation were also observed in lungs from SM22-5-HTT+ mice, which overexpress 5-HTT in smooth muscle and spontaneously develop PH. Treatment of SM22-5-HTT+ mice with either fasudil or fluoxetine limited PH progression and RhoA/Rho kinase activation. Conclusions: RhoA and Rho kinase activities are increased in iPH, in association with enhanced RhoA serotonylation. Direct involvement of the 5-HTT/RhoA/Rho kinase signaling pathway in 5-HT-mediated PA-SMC proliferation and platelet activation during PH progression identify RhoA/Rho kinase signaling as a promising target for new treatments against PH.</t>
  </si>
  <si>
    <t>SMOOTH-MUSCLE-CELLS; NUCLEAR TRANSLOCATION; DNA-SYNTHESIS; SEROTONIN; ARTERIAL; 5-HYDROXYTRYPTAMINE; TRANSPORTER; INHIBITION; EXPRESSION; MICE</t>
  </si>
  <si>
    <t>hypertension; pulmonary; muscle; smooth; Rho proteins; signal transduction; serotonin</t>
  </si>
  <si>
    <t>RhoA and Rho Kinase Activation in Human Pulmonary Hypertension Role of 5-HT Signaling</t>
  </si>
  <si>
    <t>Guilluy, Christophe; Eddahibi, Saadia; Agard, Christian; Guignabert, Christophe; Izikki, Mohamed; Tu, Ly; Savale, Laurent; Humbert, Marc; Fadel, Elie; Adnot, Serge; Loirand, Gervaise; Pacaud, Pierre</t>
  </si>
  <si>
    <t>Guilluy, C; Eddahibi, S; Agard, C; Guignabert, C; Izikki, M; Tu, L; Savale, L; Humbert, M; Fadel, E; Adnot, S; Loirand, G; Pacaud, P</t>
  </si>
  <si>
    <t>WOS:000267547500001</t>
  </si>
  <si>
    <t>464YR</t>
  </si>
  <si>
    <t>10.1016/j.jacc.2009.04.013</t>
  </si>
  <si>
    <t>S2</t>
  </si>
  <si>
    <t>S1</t>
  </si>
  <si>
    <t>McLaughlin, VV (corresponding author), Univ Michigan Hlth Syst, Ctr Cardiovasc, Dept Internal Med, 1500 E Med Ctr Dr SPC5853, Ann Arbor, MI 48109 USA.</t>
  </si>
  <si>
    <t>University of Michigan System; University of Michigan; Universite Paris Saclay; Assistance Publique Hopitaux Paris (APHP); Hopital Universitaire Antoine-Beclere - APHP</t>
  </si>
  <si>
    <t>[McLaughlin, Vallerie V.] Univ Michigan Hlth Syst, Ctr Cardiovasc, Dept Internal Med, Ann Arbor, MI 48109 USA; [Humbert, Marc] Univ Paris Sud, Serv Pneumol &amp; Reanimat Resp, Hop Antoine Beclere, Clamart, France</t>
  </si>
  <si>
    <t>The 4th World Symposium on Pulmonary Hypertension INTRODUCTION</t>
  </si>
  <si>
    <t>Humbert, Marc; McLaughlin, Vallerie V.</t>
  </si>
  <si>
    <t>Humbert, M; McLaughlin, VV</t>
  </si>
  <si>
    <t>WOS:000267547500003</t>
  </si>
  <si>
    <t>10.1016/j.jacc.2009.04.006</t>
  </si>
  <si>
    <t>S19</t>
  </si>
  <si>
    <t>British Heart Foundation(British Heart Foundation); NHLBI NIH HHS(United States Department of Health &amp; Human ServicesNational Institutes of Health (NIH) - USANIH National Heart Lung &amp; Blood Institute (NHLBI))</t>
  </si>
  <si>
    <t>British Heart Foundation [RG/08/002/24718] Funding Source: Medline; NHLBI NIH HHS [R01 HL087118] Funding Source: Medline</t>
  </si>
  <si>
    <t>Grimminger, Friedrich/0000-0001-8725-6276; Schermuly, Ralph/0000-0002-5167-6970; Barbera, Joan Albert/0000-0003-1469-4990; Jones, Peter Lloyd/0000-0003-1445-4081; Morrell, Nicholas/0000-0001-5700-9792; Humbert, Marc/0000-0003-0703-2892</t>
  </si>
  <si>
    <t>stenmark, kurt/AFI-6776-2022; meroni, pier/K-8473-2016; Humbert, Marc/AAC-8459-2019</t>
  </si>
  <si>
    <t>phassoun@jhmi.edu</t>
  </si>
  <si>
    <t>Hassoun, PM (corresponding author), Johns Hopkins Univ, Dept Med Pulm &amp; Crit Care Med, 1830 E Monument St,Room 530, Baltimore, MD 21287 USA.</t>
  </si>
  <si>
    <t>Johns Hopkins University; Universite Paris Cite; Assistance Publique Hopitaux Paris (APHP); Hopital Universitaire Cochin - APHP; University of Barcelona; Hospital Clinic de Barcelona; CIBER - Centro de Investigacion Biomedica en Red; CIBERES; Universite Paris-Est-Creteil-Val-de-Marne (UPEC); Assistance Publique Hopitaux Paris (APHP); Hopital Universitaire Henri-Mondor - APHP; University of Colorado System; University of Colorado Denver; University Hospital of Giessen &amp; Marburg; University Hospital of Giessen &amp; Marburg; University of Pennsylvania; University of Chicago; University of Chicago; University of Alberta; University of Cambridge; Vanderbilt University; Stanford University; Justus Liebig University Giessen; University of Colorado System; University of Colorado Denver; University of Colorado System; University of Colorado Denver; University of Colorado Anschutz Medical Campus; Virginia Commonwealth University; University of California System; University of California San Diego; Assistance Publique Hopitaux Paris (APHP); Hopital Universitaire Antoine-Beclere - APHP; Universite Paris Saclay</t>
  </si>
  <si>
    <t>[Hassoun, Paul M.] Johns Hopkins Univ, Div Pulm &amp; Crit Care Med, Dept Med, Baltimore, MD 21287 USA; [Mouthon, Luc] Paris Descartes Univ, Cochin Hosp, Dept Internal Med, Paris, France; [Barbera, Joan A.] Univ Barcelona, Serv Pneumol, Hosp Clin, Barcelona, Spain; [Barbera, Joan A.] CIBERES, Barcelona, Spain; [Eddahibi, Saadia] Hop Henri Mondor, Dept Physiol, F-94010 Creteil, France; [Flores, Sonia C.] Univ Colorado, Div Pulm Sci &amp; Crit Care Med, Denver, CO 80202 USA; [Grimminger, Friedrich] Univ Hosp Giessen, Med Clin 4 &amp; 5, Giessen, Germany; [Grimminger, Friedrich] Marburg GmbH, Giessen, Germany; [Jones, Peter Lloyd] Univ Penn, Penn CMREF, Ctr Pulm Arterial Hypertens Res, Philadelphia, PA 19104 USA; [Maitland, Michael L.] Univ Chicago, Dept Med, Hematol Oncol Sect, Chicago, IL 60637 USA; [Maitland, Michael L.] Univ Chicago, Comm Clin Pharmacol &amp; Pharmacogen, Chicago, IL 60637 USA; [Michelakis, Evangelos D.] Univ Alberta Hosp, Pulm Hypertens Program, Pulm Hypertens Program, Edmonton, AB T6G 2B7, Canada; [Morrell, Nicholas W.] Univ Cambridge, Sch Clin Med, Dept Med, Pulm Vasc Dis Unit, Cambridge, England; [Newman, John H.] Vanderbilt Univ, Med Ctr, Dept Med, Div Pulm Allergy Immunol, Nashville, TN USA; [Rabinovitch, Marlene] Stanford Univ, Sch Med, Wall Ctr Pulm Vasc Dis, Stanford, CA 94305 USA; [Schermuly, Ralph] Univ Giessen, Dept Internal Med, D-6300 Giessen, Germany; [Stenmark, Kurt R.] Univ Colorado, Dev Lung Biol Lab, Denver, CO 80202 USA; [Stenmark, Kurt R.] Univ Colorado, Hlth Sci Ctr, Denver, CO USA; [Voelkel, Norbert F.] Virginia Commonwealth Univ, Div Pulm &amp; Crit Care, Richmond, VA USA; [Yuan, Jason X. -J.] Univ Calif San Diego, Dept Med, La Jolla, CA 92093 USA; [Humbert, Marc] Univ Paris Sud, Serv Pneumol &amp; Reanimat Resp, Hop Antoine Beclere, Clamart, France</t>
  </si>
  <si>
    <t>Inflammatory processes are prominent in various types of human and experimental pulmonary hypertension (PH) and are increasingly recognized as major pathogenic components of pulmonary vascular remodeling. Macrophages, T and B lymphocytes, and dendritic cells are present in the vascular lesions of PH, whether in idiopathic pulmonary arterial hypertension (PAH) or PAH related to more classical forms of inflammatory syndromes such as connective tissue diseases, human immunodeficiency virus (HIV), or other viral etiologies. Similarly, the presence of circulating chemokines and cytokines, viral protein components (e. g., HIV-1 Nef), and increased expression of growth (such as vascular endothelial growth factor and platelet-derived growth factor) and transcriptional (e. g., nuclear factor of activated T cells or NFAT) factors in these patients are thought to contribute directly to further recruitment of inflammatory cells and proliferation of smooth muscle and endothelial cells. Other processes, such as mitochondrial and ion channel dysregulation, seem to convey a state of cellular resistance to apoptosis; this has recently emerged as a necessary event in the pathogenesis of pulmonary vascular remodeling. Thus, the recognition of complex inflammatory disturbances in the vascular remodeling process offers potential specific targets for therapy and has recently led to clinical trials investigating, for example, the use of tyrosine kinase inhibitors. This paper provides an overview of specific inflammatory pathways involving cells, chemokines and cytokines, cellular dysfunctions, growth factors, and viral proteins, highlighting their potential role in pulmonary vascular remodeling and the possibility of future targeted therapy. (J Am Coll Cardiol 2009;54:S10-9) (C) 2009 by the American College of Cardiology Foundation</t>
  </si>
  <si>
    <t>5-HYDROXYTRYPTAMINE TRANSPORTER GENE; SARCOMA-ASSOCIATED HERPESVIRUS; ENDOTHELIAL-CELL APOPTOSIS; HEPATITIS-C VIRUS; ARTERIAL-HYPERTENSION; SYSTEMIC-SCLEROSIS; PLEXIFORM LESIONS; HIV-1 NEF; PLASMINOGEN-ACTIVATOR; FACTOR EXPRESSION</t>
  </si>
  <si>
    <t>growth factors; inflammation; pulmonary vascular remodeling</t>
  </si>
  <si>
    <t>Dana Point, CA</t>
  </si>
  <si>
    <t>FEB, 2008</t>
  </si>
  <si>
    <t>4th World Symposium on Pulmonary Hypertension</t>
  </si>
  <si>
    <t>Inflammation, Growth Factors, and Pulmonary Vascular Remodeling</t>
  </si>
  <si>
    <t>Hassoun, Paul M.; Mouthon, Luc; Barbera, Joan A.; Eddahibi, Saadia; Flores, Sonia C.; Grimminger, Friedrich; Jones, Peter Lloyd; Maitland, Michael L.; Michelakis, Evangelos D.; Morrell, Nicholas W.; Newman, John H.; Rabinovitch, Marlene; Schermuly, Ralph; Stenmark, Kurt R.; Voelkel, Norbert F.; Yuan, Jason X. -J.; Humbert, Marc</t>
  </si>
  <si>
    <t>Hassoun, PM; Mouthon, L; Barberà, JA; Eddahibi, S; Flores, SC; Grimminger, F; Jones, PL; Maitland, ML; Michelakis, ED; Morrell, NW; Newman, JH; Rabinovitch, M; Schermuly, R; Stenmark, KR; Voelkel, NF; Yuan, JXJ; Humbert, M</t>
  </si>
  <si>
    <t>WOS:000267547500012</t>
  </si>
  <si>
    <t>10.1016/j.jacc.2009.04.014</t>
  </si>
  <si>
    <t>S117</t>
  </si>
  <si>
    <t>S108</t>
  </si>
  <si>
    <t>NHLBI NIH HHS [R01 HL066012, R01 HL066012-07] Funding Source: Medline</t>
  </si>
  <si>
    <t>Ventura, Carlo/AAV-3658-2020; Ghofrani, Ardeschir/AAD-5293-2020; Rubin, Lewis/AEW-1719-2022; Benza, Raymond/AAD-4885-2019; Simonneau, Gerald/ABE-6614-2020; Humbert, Marc/AAC-8459-2019</t>
  </si>
  <si>
    <t>ardeschir.ghofrani@uglc.de</t>
  </si>
  <si>
    <t>Ghofrani, HA (corresponding author), Univ Giessen, Lung Ctr, Pulm Hypertens Div, Univ Hosp Giessen,Med Clin 2 5, D-35392 Giessen, Germany.</t>
  </si>
  <si>
    <t>University Hospital of Giessen &amp; Marburg; Justus Liebig University Giessen; University Hospital of Giessen &amp; Marburg; Columbia University; Allegheny General Hospital; Drexel University; Johns Hopkins University; University of South Alabama; University Hospital of Giessen &amp; Marburg; Assistance Publique Hopitaux Paris (APHP); Hopital Universitaire Antoine-Beclere - APHP; Universite Paris Saclay; University of Ottawa; Ottawa Hospital Research Institute; University of Bologna; IRCCS Azienda Ospedaliero-Universitaria di Bologna; University of California System; University of California San Diego</t>
  </si>
  <si>
    <t>[Ghofrani, Hossein A.] Univ Giessen, Lung Ctr, Pulm Hypertens Div, Univ Hosp Giessen,Med Clin 2 5, D-35392 Giessen, Germany; [Ghofrani, Hossein A.; Grimminger, Friedrich] Marburg GmbH, Giessen, Germany; [Barst, Robyn J.] Columbia Univ, New York, NY USA; [Benza, Raymond L.] Drexel Univ, Coll Med, Sect Heart Failure Transplantat &amp; Pulm, Hypertens Program,Allegheny Gen Hosp, Pittsburgh, PA USA; [Champion, Hunter C.] Johns Hopkins Univ, Div Cardiol, Baltimore, MD USA; [Fagan, Karen A.] Univ S Alabama, Div Pulm &amp; Crit Care Med, Mobile, AL 36688 USA; [Ghofrani, Hossein A.; Grimminger, Friedrich] Univ Hosp Giessen, Med Clin 4 &amp; 5, D-35392 Giessen, Germany; [Humbert, Marc; Simonneau, Gerald] Univ Paris Sud, Hop Antoine Beclere, Serv Pneumol, Clamart, France; [Stewart, Duncan J.] Ottawa Hlth Res Inst, Ottawa, ON, Canada; [Ventura, Carlo] Univ Bologna, Lab Mol Biol &amp; Stem Cell Engn, Natl Inst Biostruct &amp; Biosyst, Inst Cardiol,S Orsola Malpighi Hosp, Bologna, Italy; [Rubin, Lewis J.] Univ Calif San Diego, Med Ctr, La Jolla, CA 92093 USA</t>
  </si>
  <si>
    <t>Over the past 2 decades, pulmonary arterial hypertension has evolved from a uniformly fatal condition to a chronic, manageable disease in many cases, the result of unparalleled development of new therapies and advances in early diagnosis. However, none of the currently available therapies is curative, so the search for new treatment strategies continues. With a deeper understanding of the genetics and the molecular mechanisms of pulmonary vascular disorders, we are now at the threshold of entering a new therapeutic era. Our working group addressed what can be expected in the near future. The topics span the understanding of genetic variations, novel antiproliferative treatments, the role of stem cells, the right ventricle as a therapeutic target, and strategies and challenges for the translation of novel experimental findings into clinical practice. (J Am Coll Cardiol 2009;54:S108-17) (C) 2009 by the American College of Cardiology Foundation</t>
  </si>
  <si>
    <t>NITRIC-OXIDE SYNTHASE; ENDOTHELIAL GROWTH-FACTOR; SMOOTH-MUSCLE-CELLS; ATRIAL-NATRIURETIC-PEPTIDE; PROTEIN-COUPLED RECEPTORS; GATED K+ CHANNELS; TGF-BETA FAMILY; NADPH OXIDASE; MYOCARDIAL-INFARCTION; CHRONIC HYPOXIA</t>
  </si>
  <si>
    <t>treatment; pulmonary arterial hypertension; PAH</t>
  </si>
  <si>
    <t>Future Perspectives for the Treatment of Pulmonary Arterial Hypertension</t>
  </si>
  <si>
    <t>Ghofrani, Hossein A.; Barst, Robyn J.; Benza, Raymond L.; Champion, Hunter C.; Fagan, Karen A.; Grimminger, Friedrich; Humbert, Marc; Simonneau, Gerald; Stewart, Duncan J.; Ventura, Carlo; Rubin, Lewis J.</t>
  </si>
  <si>
    <t>Ghofrani, HA; Barst, RJ; Benza, RL; Champion, HC; Fagan, KA; Grimminger, F; Humbert, M; Simonneau, G; Stewart, DJ; Ventura, C; Rubin, LJ</t>
  </si>
  <si>
    <t>WOS:000268780200006</t>
  </si>
  <si>
    <t>481AZ</t>
  </si>
  <si>
    <t>10.1055/s-0029-1233310</t>
  </si>
  <si>
    <t>Dorfmuller, Peter/0000-0003-2499-6829; SITBON, Olivier/0000-0002-1942-1951; Montani, David/0000-0002-9358-6922; Humbert, Marc/0000-0003-0703-2892</t>
  </si>
  <si>
    <t>Simonneau, Gerald/ABE-6614-2020; David, Montani/I-6885-2019; Sitbon, Olivier/I-3623-2019; Humbert, Marc/AAC-8459-2019</t>
  </si>
  <si>
    <t>Montani, D (corresponding author), Univ Paris 11, Hop Antoine Beclere, AP HP, Ctr Malad Vasc Pulm,Serv Pneumol, 157 Rue Porte Trivaux, F-92140 Clamart, France.</t>
  </si>
  <si>
    <t>[Montani, David; Kemp, Kristina; Dorfmuller, Peter; Sitbon, Olivier; Simonneau, Gerald; Humbert, Marc] Univ Paris 11, Hop Antoine Beclere, Ctr Natl Reference Hypertens Arterielle Pulm, Serv Pneumol &amp; Reanimat Resp,AP HP, F-92140 Clamart, France</t>
  </si>
  <si>
    <t>Pulmonary veno-occlusive disease (PVOD) is a rare disorder and can be misdiagnosed as idiopathic pulmonary arterial hypertension (iPAH). PVOD and iPAH often share a similar clinical presentation, genetic background, and hemodynamic profile. PVOD accounts for 5 to 10% of cases initially considered as iPAH. When compared with iPAH, PVOD is characterized by a higher male:female ratio, higher tobacco exposure, and lower PaO2 at rest, diffusing capacity for carbon monoxide (DLCO), and oxygen saturation nadir during the 6-minute walk test. High-resolution computed tomography (HRCT) of the chest may be suggestive of PVOD in the presence of centrilobular ground-glass opacities, septal lines, and lymph node enlargement. Additionally,, occult alveolar hemorrhage is associated with PVOD. Definitive diagnosis necessitates a surgical lung biopsy; however, this procedure is exceedingly high risk in this patient population and is generally not recommended. Therefore, a noninvasive diagnostic approach using HRCT of the chest, arterial blood gases, pulmonary function tests, and bronchoalveolar lavage may be helpful to detect PVOD. In contrast with iPAH, PVOD is characterized by an even poorer prognosis and the possibility of developing severe Pulmonary edema with specific PAH therapy. Lung transplantation remains the treatment of choice, but cautious Use Of Specific PAH therapy can be helpful in select patients while awaiting this intervention.</t>
  </si>
  <si>
    <t>VENO-OCCLUSIVE DISEASE; BONE-MARROW-TRANSPLANTATION; CAPILLARY-PRESSURE; IMMUNOSUPPRESSIVE THERAPY; VASOACTIVE MEDIATORS; HEMOLYTIC-ANEMIA; CT FINDINGS; PATIENT; PROSTACYCLIN; BMPR2</t>
  </si>
  <si>
    <t>Pulmonary arterial hypertension; pulmonary veno-occlusive disease; carbon monoxide diffusing capacity; computed tomography; alveolar hemorrhage</t>
  </si>
  <si>
    <t>Idiopathic Pulmonary Arterial Hypertension and Pulmonary Veno-occlusive Disease: Similarities and Differences</t>
  </si>
  <si>
    <t>Montani, David; Kemp, Kristina; Dorfmuller, Peter; Sitbon, Olivier; Simonneau, Gerald; Humbert, Marc</t>
  </si>
  <si>
    <t>Montani, D; Kemp, K; Dorfmuller, P; Sitbon, O; Simonneau, G; Humbert, M</t>
  </si>
  <si>
    <t>WOS:000268780200001</t>
  </si>
  <si>
    <t>10.1055/s-0029-1233305</t>
  </si>
  <si>
    <t>rsaggar@mednet.ucla.edu</t>
  </si>
  <si>
    <t>Saggar, R (corresponding author), Univ Calif Los Angeles, David Geffen Sch Med, Dept Med, Div Pulm Crit Care Med &amp; Hospitalists, Los Angeles, CA 90095 USA.</t>
  </si>
  <si>
    <t>University of California System; University of California Los Angeles; University of California Los Angeles Medical Center; David Geffen School of Medicine at UCLA; Universite Paris Saclay; Assistance Publique Hopitaux Paris (APHP); Hopital Universitaire Antoine-Beclere - APHP</t>
  </si>
  <si>
    <t>[Saggar, Rajan] Univ Calif Los Angeles, David Geffen Sch Med, Dept Med, Div Pulm Crit Care Med &amp; Hospitalists, Los Angeles, CA 90095 USA; [Humbert, Marc] Univ Paris 11, Antoine Beclere Hosp, Dept Resp Med, Clamart, France</t>
  </si>
  <si>
    <t>Pulmonary Hypertension PREFACE</t>
  </si>
  <si>
    <t>Humbert, Marc; Saggar, Rajan</t>
  </si>
  <si>
    <t>Humbert, M; Saggar, R</t>
  </si>
  <si>
    <t>WOS:000267830700013</t>
  </si>
  <si>
    <t>468PE</t>
  </si>
  <si>
    <t>10.1111/j.1398-9995.2009.02122.x</t>
  </si>
  <si>
    <t>WILEY-BLACKWELL PUBLISHING, INC</t>
  </si>
  <si>
    <t>Hermine, Olivier/0000-0003-2574-3874; Vachier, Isabelle/0000-0003-2730-5165; Humbert, Marc/0000-0003-0703-2892; chanez, pascal/0000-0003-4059-0917; Mansfield, Colin/0000-0001-9175-5051; leroyer, christophe/0000-0002-7601-1692</t>
  </si>
  <si>
    <t>MAGNAN, ANTOINE/GVT-4308-2022; Hermine, Olivier/Q-7072-2018; Vachier, Isabelle/AAV-5731-2020; leroyer, christophe/HTT-3905-2023; Humbert, Marc/AAC-8459-2019</t>
  </si>
  <si>
    <t>Humbert, M (corresponding author), Univ Paris 11, Serv Pneumol &amp; Reanimat Resp, Hop Antoine Beclere,INSERM, Assistance Publ Hop Paris,UPRES EA2705,U764,IFR13, 157 Rue Porte Trivaux, F-92140 Clamart, France.</t>
  </si>
  <si>
    <t>Universite Paris Saclay; Institut National de la Sante et de la Recherche Medicale (Inserm); Assistance Publique Hopitaux Paris (APHP); Hopital Universitaire Antoine-Beclere - APHP; Universite Paris Cite; Hopital Universitaire Saint-Louis - APHP; CHU Strasbourg; Universites de Strasbourg Etablissements Associes; Universite de Strasbourg; CHU Brest; Institut National de la Sante et de la Recherche Medicale (Inserm); Institut National de la Sante et de la Recherche Medicale (Inserm); Nantes Universite; CHU de Nantes; Institut National de la Sante et de la Recherche Medicale (Inserm); Nantes Universite; CHU de Nantes; CHU de Toulouse; CHU Bordeaux; Institut National de la Sante et de la Recherche Medicale (Inserm); Universite de Bordeaux; Communaute Universite Grenoble Alpes; Universite Grenoble Alpes (UGA); CHU Grenoble Alpes; Universite Paris Cite; Assistance Publique Hopitaux Paris (APHP); Hopital Universitaire Bichat-Claude Bernard - APHP; Aix-Marseille Universite; Assistance Publique-Hopitaux de Marseille; Universite de Montpellier; CHU de Montpellier; Universite Paris Cite; Centre National de la Recherche Scientifique (CNRS); Assistance Publique Hopitaux Paris (APHP); Hopital Universitaire Saint-Louis - APHP; Aix-Marseille Universite; Assistance Publique-Hopitaux de Marseille</t>
  </si>
  <si>
    <t>[Humbert, M.; Garcia, G.] Univ Paris 11, Serv Pneumol &amp; Reanimat Resp, Hop Antoine Beclere,INSERM, Assistance Publ Hop Paris,UPRES EA2705,U764,IFR13, F-92140 Clamart, France; [de Blay, F.; Purohit, A.] Univ Strasbourg, Hop Univ Strasbourg, Strasbourg, France; [Prud'homme, A.] Ctr Hosp Intercommunal, Serv Malad Resp, Tarbes, France; [Leroyer, C.] CHU Cavale Blanche, Dept Med Interne &amp; Pneumol, Brest, France; [Magnan, A.] INSERM, UMR915, Nantes, France; [Magnan, A.] Univ Nantes, Fac Med, Inst Thorax, Nantes, France; [Magnan, A.] CHU Nantes, Inst Thorax, Serv Pneumol, F-44035 Nantes 01, France; [Tunon-de-Lara, J. -M.] Univ Bordeaux, INSERM, U885, Ctr Hosp Univ, Bordeaux, France; [Pison, C.] CHU Grenoble, Dept Med Aigue Specialisee, F-38043 Grenoble, France; [Aubier, M.] Hop Bichat Claude Bernard, Serv Pneumol, F-75877 Paris, France; [Charpin, D.] Hop Nord Marseille, Serv Pneumol Allergol, Marseille, France; [Vachier, I.; Chanez, P.] CHU Montpellier, Hop Arnaud Villeneuve, Dept Malad Resp, Montpellier, France; [Gineste, P.; Bader, T.; Moussy, A.; Hermine, O.] AB Sci, Paris, France; [Hermine, O.] Univ Paris V Rene Descartes, Serv Hematol, Ctr Reference Mastocytoses, CNRS,UMR 8147,Assistance Publ Hop Paris,Hop Necke, Paris, France; [Chanez, P.] Univ Aix Marseille 2, Serv Pneumoallergol, Hop St Marguerite, UMR 6020, Marseille, France</t>
  </si>
  <si>
    <t>Background: Masitinib is a tyrosine kinase inhibitor targeting stem cell factor receptor (c-kit) and platelet-derived growth factor (PDGF) receptor, which are expressed on several cell types including mast cells and bronchial structural cells, respectively. We hypothesized that c-kit and PDGF receptor inhibition may decrease bronchial inflammation and interfere with airway remodeling, which are crucial features of severe asthma. Objectives: The primary endpoint was the percent change from baseline in oral corticosteroids after 16 weeks of treatment. Change in asthma control (asthma control questionnaire), exacerbation rate, pulmonary function tests, rescue medication requirement and safety were secondary endpoints. Methods: A 16-week randomized, dose-ranging (3, 4.5, and 6 mg/kg/day), placebo-controlled study was undertaken in 44 patients with severe corticosteroid-dependent asthma who remained poorly controlled despite optimal asthma management. Results: At 16 weeks of treatment, a comparable reduction in oral corticosteroids was achieved with masitinib and placebo (median reduction of -78% and -57% in the masitinib and placebo arms, respectively). Despite this similar reduction, the Asthma Control Questionnaire score was significantly better in the masitinib arm as compared to placebo with a reduction by 0.99 unit at week 16 (P &lt; 0.001) vs 0.43 unit in the placebo arm. Masitinib therapy was associated with more transient skin rash and edema. Conclusions: Masitinib, a c-kit and PDGF-receptor tyrosine kinase inhibitor, may represent an innovative avenue of treatment in corticosteroid-dependent asthma. These preliminary results warrant further long-term clinical studies in severe asthma (ClinicalTrials.gov Identifier: NCT00842270).</t>
  </si>
  <si>
    <t>IMATINIB; CYCLOSPORINE; MECHANISMS; TARGETS; ADULTS; AGENT; LUNG; KIT</t>
  </si>
  <si>
    <t>asthma; c-kit; platelet-derived growth factor; mast cells; tyrosine kinase inhibitors</t>
  </si>
  <si>
    <t>Masitinib, a c-kit/PDGF receptor tyrosine kinase inhibitor, improves disease control in severe corticosteroid-dependent asthmatics</t>
  </si>
  <si>
    <t>Humbert, M.; de Blay, F.; Garcia, G.; Prud'homme, A.; Leroyer, C.; Magnan, A.; Tunon-de-Lara, J. -M.; Pison, C.; Aubier, M.; Charpin, D.; Vachier, I.; Purohit, A.; Gineste, P.; Bader, T.; Moussy, A.; Hermine, O.; Chanez, P.</t>
  </si>
  <si>
    <t>Humbert, M; de Blay, F; Garcia, G; Prud'homme, A; Leroyer, C; Magnan, A; Tunon-de-Lara, JM; Pison, C; Aubier, M; Charpin, D; Vachier, I; Purohit, A; Gineste, P; Bader, T; Moussy, A; Hermine, O; Chanez, P</t>
  </si>
  <si>
    <t>WOS:000269021200016</t>
  </si>
  <si>
    <t>484CP</t>
  </si>
  <si>
    <t>10.1164/ajrccm.180.4.378a</t>
  </si>
  <si>
    <t>Le Pavec, J (corresponding author), Univ Paris, Hop Antoine Beclere, Clamart, France.</t>
  </si>
  <si>
    <t>Assistance Publique Hopitaux Paris (APHP); Hopital Universitaire Antoine-Beclere - APHP; Universite Paris Cite</t>
  </si>
  <si>
    <t>[Le Pavec, Jerome; Humbert, Marc; Herve, Philippe; Simonneau, Gerald; Sitbon, Olivier] Univ Paris, Hop Antoine Beclere, Clamart, France</t>
  </si>
  <si>
    <t>Screening for Portopulmonary Hypertension with Transthoracic Echocardiography: Implications for Early Mortality Associated with Liver Transplantation</t>
  </si>
  <si>
    <t>Le Pavec, Jerome; Humbert, Marc; Herve, Philippe; Simonneau, Gerald; Sitbon, Olivier</t>
  </si>
  <si>
    <t>Le Pavec, J; Humbert, M; Hervé, P; Simonneau, G; Sitbon, O</t>
  </si>
  <si>
    <t>WOS:000270825900001</t>
  </si>
  <si>
    <t>507BU</t>
  </si>
  <si>
    <t>10.1007/s12325-009-0064-z</t>
  </si>
  <si>
    <t>Humbert, Marc/0000-0003-0703-2892; JAIS, XAVIER/0000-0002-4104-7994; Chaumais, Marie-Camille/0000-0002-1217-8442; Montani, David/0000-0002-9358-6922; SITBON, Olivier/0000-0002-1942-1951</t>
  </si>
  <si>
    <t>Sitbon, O (corresponding author), Univ Paris 11, F-91405 Orsay, France.</t>
  </si>
  <si>
    <t>Universite Paris Saclay; Assistance Publique Hopitaux Paris (APHP); Hopital Universitaire Antoine-Beclere - APHP; Assistance Publique Hopitaux Paris (APHP); Hopital Universitaire Antoine-Beclere - APHP; Royal Brompton Hospital</t>
  </si>
  <si>
    <t>[Montani, David; Chaumais, Marie-Camille; Savale, Laurent; Natali, Delphine; Jais, Xavier; Humbert, Marc; Simonneau, Gerald; Sitbon, Olivier] Univ Paris 11, F-91405 Orsay, France; [Montani, David; Chaumais, Marie-Camille; Savale, Laurent; Natali, Delphine; Price, Laura C.; Jais, Xavier; Humbert, Marc; Simonneau, Gerald; Sitbon, Olivier] Antoine Beclere Hosp, Dept Pneumol, F-92140 Clamart, France; [Montani, David; Chaumais, Marie-Camille; Savale, Laurent; Natali, Delphine; Price, Laura C.; Jais, Xavier; Humbert, Marc; Simonneau, Gerald; Sitbon, Olivier] Antoine Beclere Hosp, French Natl Reference Ctr Pulm Hypertens, F-92140 Clamart, France; [Price, Laura C.] Royal Brompton Hosp, Pulm Hypertens Serv, London SW3 6NP, England</t>
  </si>
  <si>
    <t>Pulmonary arterial hypertension (PAH) is a rare disease characterized by vascular proliferation and remodeling, resulting in a progressive increase in pulmonary arterial resistance, right heart failure, and death. The pathogenesis of PAH is multifactorial, with endothelial cell dysfunction playing an integral role. This endothelial dysfunction is characterized by an overproduction of vasoconstrictors and proliferative factors, such as endothelin-1, and a reduction of vasodilators and antiproliferative factors, such prostacyclin and nitric oxide. Phosphodiesterase type 5 (PDE-5) is implicated in this process by inactivating cyclic guanosine monophosphate, the nitric oxide pathway second messenger. PDE-5 is abundantly expressed in lung tissue, and appears to be upregulated in PAH. Three oral PDE-5 inhibitors are available (sildenafil, tadalafil, and vardenafil) and are the recommended first-line treatment for erectile dysfunction. Experimental studies have shown the beneficial effects of PDE-5 inhibitors on pulmonary vascular remodeling and vasodilatation, justifying their investigation in PAH. Randomized clinical trials in monotherapy or combination therapy have been conducted in PAH with sildenafil and tadalafil, which are therefore currently the approved PDE-5 inhibitors in PAH treatment. Sildenafil and tadalafil significantly improve clinical status, exercise capacity, and hemodynamics of PAH patients. Combination therapy of PDE-5 inhibitors with prostacyclin analogs and endothelin receptor antagonists may be helpful in the management of PAH although further studies are needed in this area. The third PDE-5 inhibitor, vardenafil, is currently being investigated in PAH. Side effects are usually mild and transient and include headache, flushing, nasal congestion, digestive disorders, and myalgia. Mild and moderate renal or hepatic failure does not significantly affect the metabolism of PDE-5 inhibitors, whereas coadministration of bosentan decreases sildenafil and tadalafil plasma levels. Due to their clinical effectiveness, tolerance pro. le, and their oral administration, sildenafil and tadalafil are two of the recommended first-line therapies for PAH patients in World Health Organization functional classes II or III.</t>
  </si>
  <si>
    <t>LONG-TERM TREATMENT; NITRIC-OXIDE; ORAL SILDENAFIL; VENOOCCLUSIVE DISEASE; EISENMENGER-SYNDROME; THERAPY; BOSENTAN; PDE5; HEMODYNAMICS; VASODILATOR</t>
  </si>
  <si>
    <t>phosphodiesterase type 5 inhibitors; pulmonary arterial hypertension; sildenafil; tadalafil; vardenafil</t>
  </si>
  <si>
    <t>Phosphodiesterase Type 5 Inhibitors in Pulmonary Arterial Hypertension</t>
  </si>
  <si>
    <t>Montani, David; Chaumais, Marie-Camille; Savale, Laurent; Natali, Delphine; Price, Laura C.; Jais, Xavier; Humbert, Marc; Simonneau, Gerald; Sitbon, Olivier</t>
  </si>
  <si>
    <t>Montani, D; Chaumais, MC; Savale, L; Natali, D; Price, LC; Jaïs, X; Humbert, M; Simonneau, G; Sitbon, O</t>
  </si>
  <si>
    <t>WOS:000269702800026</t>
  </si>
  <si>
    <t>492ZR</t>
  </si>
  <si>
    <t>10.1183/09031936.00006508</t>
  </si>
  <si>
    <t>The present study was supported by a grant of La Fondation pour la Recherche Medicale (Paris, France).</t>
  </si>
  <si>
    <t>La Fondation pour la Recherche Medicale (Paris, France)(Fondation pour la Recherche Medicale)</t>
  </si>
  <si>
    <t>La Fondation pour la Recherche Medicale (Paris, France)</t>
  </si>
  <si>
    <t>Dorfmuller, Peter/0000-0003-2499-6829; SITBON, Olivier/0000-0002-1942-1951; Le Pavec, Jerome/0000-0003-4426-9645; Humbert, Marc/0000-0003-0703-2892; DECANTE, Benoit/0000-0003-1642-7589; Perros, Frederic/0000-0001-7730-2427</t>
  </si>
  <si>
    <t>Sitbon, Olivier/I-3623-2019; Humbert, Marc/AAC-8459-2019; Perros, Frederic/N-6921-2017</t>
  </si>
  <si>
    <t>Herve, P (corresponding author), Univ Paris 11, Ctr Chirurg Marie Lannelongue, Hop Marie Lannelongue, Chirurg Expt Lab,UPRES,EA 2705, 133 Ave Resistance, F-92350 Le Plessis Robinson, France.</t>
  </si>
  <si>
    <t>Hopital Marie Lannelongue; Universite Paris Saclay; Universite Paris-Est-Creteil-Val-de-Marne (UPEC); Assistance Publique Hopitaux Paris (APHP); Hopital Universitaire Henri-Mondor - APHP; Institut National de la Sante et de la Recherche Medicale (Inserm); Assistance Publique Hopitaux Paris (APHP); Universite Paris Cite; Hopital Universitaire Beaujon - APHP; Institut National de la Sante et de la Recherche Medicale (Inserm)</t>
  </si>
  <si>
    <t>[Herve, P.] Univ Paris 11, Ctr Chirurg Marie Lannelongue, Hop Marie Lannelongue, Chirurg Expt Lab,UPRES,EA 2705, F-92350 Le Plessis Robinson, France; [Eddahibi, S.] Hop Henri Mondor, INSERM, U492, F-94010 Creteil, France; [Lebrec, D.] Hop Beaujon, INSERM, U481, Lab Hemodynam Splanchn &amp; Biol Vasc, Clichy, France</t>
  </si>
  <si>
    <t>Common bile duct ligation (CBDL) induces biliary cirrhosis and pulmonary vasodilatation. We tested whether CBDL ameliorates monocrotaline (MCT)-induced pulmonary hypertension (PH) in rats. Five groups of rats were studied: controls; rats dosed with MCT (60 mg-kg(-1) subcutaneously); CBDL; rats dosed with MCT followed by CBDL on day 7; and rats dosed with MCT followed by CBDL (day 7) and L-NAME therapy between days 24 and 28. 28-day survival was 26% in the MCT group and 72% in the MCT+CBDL group. Pulmonary vascular resistance measured on days 21 and 28 increased in the MCT and MCT+CBDL+L-NAME groups, but returned to normal in the MCT+CBDL group on day 28. Pulmonary artery (PA) medial hypertrophy persisted in MCT+CBDL rats. PA inflammation increased in MCT+CBDL rats, with accumulation of both intra- and perivascular macrophages. Exhaled nitric oxide (NO) levels decreased in the MCT group and increased in the MCT+CBDL group, which showed upregulation of inducible NO synthase and normal endothelial NO synthase. Blood endothelin (ET)-1 increased in CBDL, MCT, and MCT+CBDL rats. Levels of ETB receptors increased and ETA receptors decreased in the MCT+CBDL group, whereas the opposite changes occurred in the MCT group. Billary cirrhosis induces pulmonary vasodilation that ameliorates MCT-induced PH and improves survival. Upregulation of inducible NO synthase and ETB receptor and downregulation of ETA receptor may be involved.</t>
  </si>
  <si>
    <t>EXPERIMENTAL HEPATOPULMONARY SYNDROME; ENDOTHELIN-B RECEPTOR; NITRIC-OXIDE; ARTERIAL-HYPERTENSION; PORTAL-HYPERTENSION; EXPRESSION; TRANSLOCATION; PATHOGENESIS; OXYGENASE-1; PREVENTION</t>
  </si>
  <si>
    <t>Endothelin; inflammation; macrophages; nitric oxide</t>
  </si>
  <si>
    <t>Cirrhosis ameliorates monocrotaline-induced pulmonary hypertension in rats</t>
  </si>
  <si>
    <t>Le Pavec, J.; Perros, F.; Eddahibi, S.; Decante, B.; Dorfmuller, P.; Sitbon, O.; Lebrec, D.; Humbert, M.; Mazmanian, M.; Herve, P.</t>
  </si>
  <si>
    <t>Le Pavec, J; Perros, F; Eddahibi, S; Decante, B; Dorfmuller, P; Sitbon, O; Lebrec, D; Humbert, M; Mazmanian, M; Herve, P</t>
  </si>
  <si>
    <t>WOS:000272152700005</t>
  </si>
  <si>
    <t>524ON</t>
  </si>
  <si>
    <t>10.1016/S0761-8425(09)73680-0</t>
  </si>
  <si>
    <t>Humbert, Marc/0000-0003-0703-2892; chanez, pascal/0000-0003-4059-0917</t>
  </si>
  <si>
    <t>pascal.chanez@univmed.fr</t>
  </si>
  <si>
    <t>Chanez, P (corresponding author), Univ Mediterranee, CNRS, AP HM, Dept Malad Resp,UMR 6020, 270 Blvd St Marguerite, F-13009 Marseille, France.</t>
  </si>
  <si>
    <t>Aix-Marseille Universite; Centre National de la Recherche Scientifique (CNRS); Assistance Publique-Hopitaux de Marseille; Universite de Lille; CHU Lille; University of Liege; Institut National de la Sante et de la Recherche Medicale (Inserm); Nantes Universite; CHU de Nantes; Assistance Publique Hopitaux Paris (APHP); Hopital Universitaire Antoine-Beclere - APHP; Assistance Publique Hopitaux Paris (APHP); Universite Paris Cite; Hopital Universitaire Necker-Enfants Malades - APHP; Hopital Universitaire Europeen Georges-Pompidou - APHP</t>
  </si>
  <si>
    <t>[Chanez, P.] Univ Mediterranee, CNRS, AP HM, Dept Malad Resp,UMR 6020, F-13009 Marseille, France; [Tillie-Leblond, I.] Hop Albert Calmette, CHRU Lille, Serv Pneumol &amp; Immunoloallergol, Lille, France; [Louis, R.] CHU ND Bruyeres, CHU Liege, Serv Pneumoallergol, Chenee, Belgium; [Magnan, A.] Hop G &amp; Laennec, CHRU Nantes, INSERM, Inst Thorax,U533, Nantes, France; [Humbert, M.] Hop Antoine Beclere, GHU Sud AP HP, Serv Pneumol, UPRES EA 2705,IFR 13, Clamart, France; [de Blic, J.] Hop Necker Enfants Malad, GHU Ouest, Paris, France</t>
  </si>
  <si>
    <t>Inflammation and remodelling are constant features of asthma. They are present throughout the whole bronchial tree, even in the small airways (less than 2 mm). The inflammatory cell infiltrate and structural changes are, in most cases, identical. However, in severe asthma, nocturnal asthma and fatal asthma, the cellular infiltrate in the distal airways is more intense and the number of activated cells is increased. In fatal asthma there are major alterations in the distal airways involving the smooth muscle and the bronchial epithelium, and mucus hypersecretion leading to distal airway plugging. Thus the histopathological changes in the distal airways contribute to the most severe stages of asthma and should be targeted by treatment. Currently the non-invasive tools that reflect inflammation are unable to assess these changes in the distal airways.</t>
  </si>
  <si>
    <t>MESSENGER-RNA EXPRESSION; BRONCHOALVEOLAR LAVAGE; INDUCED SPUTUM; SMALL AIRWAYS; MAST-CELLS; ALVEOLAR MACROPHAGES; SMOOTH-MUSCLE; INFLAMMATION; CHILDREN; PROFILES</t>
  </si>
  <si>
    <t>Distal airways; Inflammation; Remodelling; Severe asthma; Biopsies</t>
  </si>
  <si>
    <t>Asthma: a disease of the whole bronchial tree</t>
  </si>
  <si>
    <t>Tillie-Leblond, I.; Louis, R.; Magnan, A.; Humbert, M.; de Blic, J.; Chanez, P.</t>
  </si>
  <si>
    <t>Tillie-Leblond, I; Louis, R; Magnan, A; Humbert, M; de Blic, J; Chanez, P</t>
  </si>
  <si>
    <t>WOS:000270855500042</t>
  </si>
  <si>
    <t>507LR</t>
  </si>
  <si>
    <t>10.1378/chest.09-0455</t>
  </si>
  <si>
    <t>SITBON, Olivier/0000-0002-1942-1951; Humbert, Marc/0000-0003-0703-2892; Montani, David/0000-0002-9358-6922</t>
  </si>
  <si>
    <t>Humbert, M (corresponding author), Hop Antoine Beclere, AP HP, Serv Pneumol &amp; Reanimat Resp, 157 Rue Porte Trivaux, F-92140 Clamart, France.</t>
  </si>
  <si>
    <t>[Humbert, Marc] Hop Antoine Beclere, AP HP, Serv Pneumol &amp; Reanimat Resp, F-92140 Clamart, France</t>
  </si>
  <si>
    <t>Pulmonary Venoocclusive Disease and Failure of Specific Therapy</t>
  </si>
  <si>
    <t>Montani, David; Achouh, Lara; Sitbon, Olivier; Simonneau, Gerald; Humbert, Marc</t>
  </si>
  <si>
    <t>Montani, D; Achouh, L; Sitbon, O; Simonneau, G; Humbert, M</t>
  </si>
  <si>
    <t>WOS:000270985300023</t>
  </si>
  <si>
    <t>509BF</t>
  </si>
  <si>
    <t>10.1093/eurheartj/ehp297</t>
  </si>
  <si>
    <t>Maggioni, Aldo Pietro/0000-0003-2764-6779; ASTEGGIANO, RICCARDO/0000-0002-2273-7228; Galie, Nazzareno/0000-0003-4271-8670; delcroix, marion/0000-0001-8394-9809; hobbs, richard/0000-0001-7976-7172; Barbera, Joan Albert/0000-0003-1469-4990; Lang, Irene/0000-0003-0485-2692; Gaine, Sean/0000-0002-5941-684X; Humbert, Marc/0000-0003-0703-2892; Howard, Luke/0000-0003-2822-210X; Jondeau, Guillaume/0000-0002-0101-2076; Andreotti, Felicita/0000-0002-1456-6430; Tendera, Michal/0000-0002-0812-6113; Torbicki, Adam/0000-0003-3475-8832; Hoeper, Marius/0000-0001-9086-2293; Ceconi, Claudio/0000-0002-6381-1404; Bonnet, Damien/0000-0002-8722-5805</t>
  </si>
  <si>
    <t>Beghetti, Maurice/HNP-1055-2023; Zellweger, Michael/AAB-4859-2022; Cardoso, Paulo/C-5768-2012; Rubin, Lewis/AEW-1719-2022; Simonneau, Gerald/ABE-6614-2020; Opitz, Christian/L-3438-2019; Hoeper, Marius/Z-1546-2019; Juni, Peter/Q-8700-2016; Vachiery, Jean-Luc/ABC-6631-2021; Maggioni, Aldo Pietro/AAL-5334-2020; Galie, Nazzareno/F-7004-2014; hobbs, richard/LMN-3113-2024; Humbert, Marc/AAC-8459-2019</t>
  </si>
  <si>
    <t>Galie, N (corresponding author), Bologna Univ Hosp, Inst Cardiol, Via Massarenti 9, I-40138 Bologna, Italy.</t>
  </si>
  <si>
    <t>IRCCS Azienda Ospedaliero-Universitaria di Bologna</t>
  </si>
  <si>
    <t>[Galie, Nazzareno] Bologna Univ Hosp, Inst Cardiol, I-40138 Bologna, Italy</t>
  </si>
  <si>
    <t>LONG-TERM TREATMENT; CONTINUOUS INTRAVENOUS EPOPROSTENOL; BRAIN NATRIURETIC PEPTIDE; CALCIUM-CHANNEL BLOCKERS; 6-MINUTE WALK TEST; QUALITY-OF-LIFE; ARTERIAL-HYPERTENSION; HEART-FAILURE; INHALED ILOPROST; BOSENTAN THERAPY</t>
  </si>
  <si>
    <t>Guidelines for the diagnosis and treatment of pulmonary hypertension</t>
  </si>
  <si>
    <t>ISHLT</t>
  </si>
  <si>
    <t>Galie, Nazzareno; Hoeper, Marius M.; Humbert, Marc; Torbicki, Adam; Vachiery, Jean-Luc; Albert Barbera, Joan; Beghetti, Maurice; Corris, Paul; Gaine, Sean; Gibbs, J. Simon; Angel Gomez-Sanchez, Miguel; Jondeau, Guillaume; Klepetko, Walter; Opitz, Christian; Peacock, Andrew; Rubin, Lewis; Zellweger, Michael; Simonneau, Gerald</t>
  </si>
  <si>
    <t>Galiè, N; Hoeper, MM; Humbert, M; Torbicki, A; Vachiery, JL; Barbera, JA; Beghetti, M; Corris, P; Gaine, S; Gibbs, JS; Gomez-Sanchez, MA; Jondeau, G; Klepetko, W; Opitz, C; Peacock, A; Rubin, L; Zellweger, M; Simonneau, G</t>
  </si>
  <si>
    <t>WOS:000271571700031</t>
  </si>
  <si>
    <t>516VP</t>
  </si>
  <si>
    <t>10.1183/09031936.00102609</t>
  </si>
  <si>
    <t>Dorfmuller, Peter/0000-0003-2499-6829; JAIS, XAVIER/0000-0002-4104-7994; SITBON, Olivier/0000-0002-1942-1951; Humbert, Marc/0000-0003-0703-2892; Montani, David/0000-0002-9358-6922</t>
  </si>
  <si>
    <t>David, Montani/I-6885-2019; Simonneau, Gerald/ABE-6614-2020; Sitbon, Olivier/I-3623-2019; Humbert, Marc/AAC-8459-2019</t>
  </si>
  <si>
    <t>Montani, D (corresponding author), Univ Paris 11, Hop Antoine Beclere, Ctr Natl Reference Hypertens Pulm Severe, Serv Pneumol &amp; Reanimat Resp,AP HP, 157 Rue Porte Trivaux, F-92140 Clamart, France.</t>
  </si>
  <si>
    <t>[Montani, D.; Jais, X.; Dorfmuller, P.; Simonneau, G.; Sitbon, O.; Humbert, M.] Univ Paris 11, Hop Antoine Beclere, Ctr Natl Reference Hypertens Pulm Severe, Serv Pneumol &amp; Reanimat Resp,AP HP, F-92140 Clamart, France</t>
  </si>
  <si>
    <t>Goal-oriented therapy in pulmonary veno-occlusive disease: a word of caution</t>
  </si>
  <si>
    <t>Montani, D.; Jais, X.; Dorfmuller, P.; Simonneau, G.; Sitbon, O.; Humbert, M.</t>
  </si>
  <si>
    <t>Montani, D; Jaïs, X; Dorfmuller, P; Simonneau, G; Sitbon, O; Humbert, M</t>
  </si>
  <si>
    <t>WOS:000271916000006</t>
  </si>
  <si>
    <t>521JD</t>
  </si>
  <si>
    <t>10.1378/chest.08-3042</t>
  </si>
  <si>
    <t>This study was supported by a research grant from Actelion Pharmaceutical France.</t>
  </si>
  <si>
    <t>Actelion Pharmaceutical France</t>
  </si>
  <si>
    <t>Launay, David/0000-0003-1840-1817; Humbert, Marc/0000-0003-0703-2892; HACHULLA, ERIC/0000-0001-7432-847X; SITBON, Olivier/0000-0002-1942-1951</t>
  </si>
  <si>
    <t>HACHULLA, ERIC/R-8488-2018; meroni, pier/K-8473-2016; Simonneau, Gerald/ABE-6614-2020; Launay, David/A-5270-2018; Sitbon, Olivier/I-3623-2019; Launay, David/H-1674-2016; Humbert, Marc/AAC-8459-2019</t>
  </si>
  <si>
    <t>Hachulla, E (corresponding author), Univ Lille, Dept Internal Med, Natl Reference Ctr Scleroderma, Claude Huriez Hosp, F-59037 Lille, France.</t>
  </si>
  <si>
    <t>Universite de Lille; CHU Lille; Universite de Lille; Universite Paris Cite; Assistance Publique Hopitaux Paris (APHP); Universite Paris Cite; Hopital Universitaire Cochin - APHP; Universite Paris Saclay; Assistance Publique Hopitaux Paris (APHP); Hopital Universitaire Antoine-Beclere - APHP</t>
  </si>
  <si>
    <t>[Hachulla, Eric] Univ Lille, Dept Internal Med, Natl Reference Ctr Scleroderma, Claude Huriez Hosp, F-59037 Lille, France; [Hachulla, Eric; Launay, David; Hatron, Pierre-Yves] Univ Lille 2, Dept Internal Med, Lille, France; [Mouthon, Luc; Berezne, Alice; Guillevin, Loic] Univ Paris 05, Dept Internal Med, UPRES, EA 4058, Paris, France; [Mouthon, Luc; Berezne, Alice; Guillevin, Loic] Hosp Cochin, AP HP, Natl Reference Ctr Vasculitis &amp; Scleroderma, Paris, France; [Sitbon, Olivier; Simonneau, Gerald; Humbert, Marc] Univ Paris 11, Resp Dept, Paris, France; [Sitbon, Olivier; Simonneau, Gerald; Humbert, Marc] Hop Antoine Beclere, AP HP, Natl Reference Ctr Pulm Hypertens, Clamart, France; [Clerson, Pierre] Orgametrie Biostat, Roubaix, France</t>
  </si>
  <si>
    <t>Background: Pulmonary arterial hypertension (PAH) is a frequent cause of morbidity and mortality in patients with systemic sclerosis (SSc). PAH is generally, considered to be a late complication of limited cutaneous SSc. This study identified and investigated a subset of SSc patients with early-onset PAH. Methods: Clinical and hemodynamic data at the time of diagnosis were collected retrospectively for 78 consecutive patients with PAH associated with SSc. PAH diagnosed within 5 years of the first non-Raynaud phenomenon symptom of SSc was considered to be an early-onset complication. PAH diagnosed &gt; 5 years following SSc diagnosis was considered to be a late complication. Results: PAH occurred a mean (+/- SD) duration of 6.3 +/- 6.6 years after the diagnosis of SSc (median delay, 4.0 years; 95% CI, 2.88 to 6.0 years). Early-onset PAH was diagnosed in 43 patients (55.1%), and late-onset PAH was diagnosed in 35 patients (44.9%). Patients with early-onset PAH were older at SSc diagnosis than patients with late-onset PAH (mean age, 58.0 +/- 12.5 vs 46.6 +/- 12.9 years, respectively; p = 0.0002). No differences in age at the time of PAH diagnosis, or in SSc subtype (limited vs diffuse; anticentromere vs anti-Scl70 antibodies), were observed between onset subgroups. At diagnosis, early-onset PAH was more severe than late-onset PAH, with a lower cardiac index (2.4 +/- 0.6 vs 2.8 +/- 0.6 L/min/m(2), respectively,; p = 0.005) and greater total pulmonary resistance (1,708 +/- 777 vs 1,341 +/- 530 dyne . s . cm(-5)/m(2), respectively; p = 0.02). Mortality at 3 and 5,,cars was comparable between subgroups. Conclusions: In contrast to the expected scenario, early-onset PAH occurred in approximately, half of SSc patients. Early-onset PAH was as frequent among patients with diffuse SSc as those with limited SSc. Annual screening for PAH. should be implemented immediately after SSc diagnosis for all patients. (CHEST 2009; 136:1211-1219)</t>
  </si>
  <si>
    <t>RISK-FACTORS; NATURAL-HISTORY; SURVIVAL; DISEASE</t>
  </si>
  <si>
    <t>Is Pulmonary Arterial Hypertension Really a Late Complication of Systemic Sclerosis?</t>
  </si>
  <si>
    <t>French PAH-SSc Network</t>
  </si>
  <si>
    <t>Hachulla, Eric; Launay, David; Mouthon, Luc; Sitbon, Olivier; Berezne, Alice; Guillevin, Loic; Hatron, Pierre-Yves; Simonneau, Gerald; Clerson, Pierre; Humbert, Marc</t>
  </si>
  <si>
    <t>Hachulla, E; Launay, D; Mouthon, L; Sitbon, O; Berezne, A; Guillevin, L; Hatron, PY; Simonneau, G; Clerson, P; Humbert, M</t>
  </si>
  <si>
    <t>WOS:000274171500001</t>
  </si>
  <si>
    <t>550YR</t>
  </si>
  <si>
    <t>S544</t>
  </si>
  <si>
    <t>S491</t>
  </si>
  <si>
    <t>POLSKIE TOWARZYSTOWO KARDIOLOGICZNE</t>
  </si>
  <si>
    <t>delcroix, marion/0000-0001-8394-9809; Funck-Brentano, Christian/0000-0003-0406-5189; Hoeper, Marius/0000-0001-9086-2293</t>
  </si>
  <si>
    <t>Perrone Filardi, Pasquale/AAC-7590-2022; delcroix, marion/AAE-2712-2022; Widimsky, Petr/P-8088-2016; Vachiery, Jean-Luc/ABC-6631-2021; Simonneau, Gerald/ABE-6614-2020; Hoeper, Marius/Z-1546-2019; Krahn, Andrew/G-3316-2011; Opitz, Christian/L-3438-2019; Kolh, Philippe/AAE-7224-2019; Humbert, Marc/AAC-8459-2019; Andreotti, Felicita/A-9962-2019; Sirnes, Per/AAS-2343-2020; Juni, Peter/Q-8700-2016; Cardoso, Paulo/C-5768-2012; Howard, Luke/HJP-3415-2023; Zellweger, Michael/AAB-4859-2022; Maggioni, Aldo/AAL-5334-2020; Wijns, William/ACQ-0269-2022; Beghetti, Maurice/HNP-1055-2023; Tendera, Michal/AAA-1875-2022; Popescu, Bogdan A./AAA-1319-2022; Asteggiano, Riccardo/ABF-4418-2020; Filippatos, Gerasimos/ABA-4656-2021; Rubin, Lewis/AEW-1719-2022; Sechtem, Udo/ADK-6380-2022; Mora, Josep/A-9355-2013; vardas, panos/ABF-7144-2020; Funck-Brentano, Christian/V-4753-2019; Funck-Brentano, Christian/C-2126-2009</t>
  </si>
  <si>
    <t>Galie, N (corresponding author), Bologna Univ Hosp, Inst Cardiol, Via Massarenti 9, I-40138 Bologna, Wlochy, Italy.</t>
  </si>
  <si>
    <t>[Galie, Nazzareno] Bologna Univ Hosp, Inst Cardiol, I-40138 Bologna, Wlochy, Italy</t>
  </si>
  <si>
    <t>LONG-TERM TREATMENT; BRAIN NATRIURETIC PEPTIDE; INTRAVENOUS EPOPROSTENOL PROSTACYCLIN; CALCIUM-CHANNEL BLOCKERS; 6-MINUTE WALK TEST; QUALITY-OF-LIFE; ARTERIAL-HYPERTENSION; HEART-FAILURE; INHALED ILOPROST; EISENMENGER-SYNDROME</t>
  </si>
  <si>
    <t>Guidelines on the identification and treatment of pulmonary hypertension.</t>
  </si>
  <si>
    <t>Grp Robocza Europejskiego Towarzys</t>
  </si>
  <si>
    <t>Galie, Nazzareno; Hoeper, Marius M.; Humbert, Marc; Torbicki, Adam; Vachiery, Jean-Luc; Barbera, Joan Albert; Beghetti, Maurice; Corris, Paul; Gaine, Sean; Gibbs, J. Simon; Gomez-Sanchez, Miguel Angel; Jondeau, Guillaume; Klepetko, Walter; Opitz, Christian; Peacock, Andrew; Rubin, Lewis; Zellweger, Michael; Simonneau, Gerald; Vahanian, Alec; Auricchio, Angelo; Bax, Jeroen; Ceconi, Claudio; Dean, Veronica; Filippatos, Gerasimos; Funck-Brentano, Christian; Hobbs, Richard; Kearney, Peter; McDonagh, Theresa; McGregor, Keith; Popescu, Bogdan A.; Reiner, Zeljko; Sechtem, Udo; Sirnes, Per Anton; Tendera, Michal; Vardas, Panos; Widimsky, Petr; Sechtem, Udo; Al Attar, Nawwar; Andreotti, Felicita; Aschermann, Michael; Asteggiano, Riccardo; Benza, Ray; Berger, Rolf; Bonnet, Damien; Delcroix, Marion; Howard, Luke; Kitsiou, Anastasia N.; Lang, Irene; Maggioni, Aldo; Nielsen-Kudsk, Jens Erik; Park, Myung; Perrone-Filardi, Pasquale; Price, Suzanna; Domenech, Maria Teresa Subirana; Vonk-Noordegraaf, Anton; Zamorano, Jose Luis</t>
  </si>
  <si>
    <t>Galie, N; Hoeper, MM; Humbert, M; Torbicki, A; Vachiery, JL; Barbera, JA; Beghetti, M; Corris, P; Gaine, S; Gibbs, JS; Gomez-Sanchez, MA; Jondeau, G; Klepetko, W; Opitz, C; Peacock, A; Rubin, L; Zellweger, M; Simonneau, G; Vahanian, A; Auricchio, A; Bax, J; Ceconi, C; Dean, V; Filippatos, G; Funck-Brentano, C; Hobbs, R; Kearney, P; McDonagh, T; McGregor, K; Popescu, BA; Reiner, Z; Sechtem, U; Sirnes, PA; Tendera, M; Vardas, P; Widimsky, P; Sechtem, U; Al Attar, N; Andreotti, F; Aschermann, M; Asteggiano, R; Benza, R; Berger, R; Bonnet, D; Delcroix, M; Howard, L; Kitsiou, AN; Lang, I; Maggioni, A; Nielsen-Kudsk, JE; Park, M; Perrone-Filardi, P; Price, S; Domenech, MTS; Vonk-Noordegraaf, A; Zamorano, JL</t>
  </si>
  <si>
    <t>WOS:000271571700016</t>
  </si>
  <si>
    <t>Green Published, Bronze, Green Accepted</t>
  </si>
  <si>
    <t>10.1183/09031936.00183008</t>
  </si>
  <si>
    <t>This study was Supported by grants from the Institut National de la Sante et de la Recherche Medicale, the Ministere de la Recherche, the Institut des Maladies Rares, the Delegation la Recherche Clinique de I'Assistance Publique - Hopitaux de Paris (all Paris, France), the Belgian Foundation for Cardiac Surgery and from the Fonds de la Recherche Scientifique Medicale (grant no. 3.4551.05; both Brussels, Belgium). This research project received financial support from the European Commission under the 6th Framework Programme (contracts LSHM-CT-2005-018275 and LSHM-CT-2005-018724, PULMOTENSION). This publication reflects only the authors' views, and under no circumstances is the European Community liable for any use that may be made of the information it contains.</t>
  </si>
  <si>
    <t>Institut National de la Sante et de la Recherche Medicale(Institut National de la Sante et de la Recherche Medicale (Inserm)); Ministere de la Recherche(Ministry of Science and Innovation, Spain (MICINN)Ministry of Research, France); Institut des Maladies Rares; Delegation la Recherche Clinique de I'Assistance Publique - Hopitaux de Paris (all Paris, France); Belgian Foundation for Cardiac Surgery; Fonds de la Recherche Scientifique Medicale(Fonds de la Recherche Scientifique - FNRS); European Commission(European Union (EU)European Commission Joint Research Centre)</t>
  </si>
  <si>
    <t>Institut National de la Sante et de la Recherche Medicale; Ministere de la Recherche; Institut des Maladies Rares; Delegation la Recherche Clinique de I'Assistance Publique - Hopitaux de Paris (all Paris, France); Belgian Foundation for Cardiac Surgery; Fonds de la Recherche Scientifique Medicale [3.4551.05]; European Commission [LSHM-CT-2005-018275, LSHM-CT-2005-018724]</t>
  </si>
  <si>
    <t>Simonneau, Gerald/ABE-6614-2020; Humbert, Marc/AAC-8459-2019; TU, Ly/G-4035-2013; GUIGNABERT, Christophe/G-3873-2013</t>
  </si>
  <si>
    <t>Dewachter, L (corresponding author), Free Univ Brussels, Dept Physiol, Fac Med, 808 Lennik Rd, B-1070 Brussels, Belgium.</t>
  </si>
  <si>
    <t>Universite Paris-Est-Creteil-Val-de-Marne (UPEC); Institut National de la Sante et de la Recherche Medicale (Inserm); Hopital Marie Lannelongue; Universite Paris Saclay; Institut National de la Sante et de la Recherche Medicale (Inserm); Universite Paris Saclay; Assistance Publique Hopitaux Paris (APHP); Hopital Universitaire Antoine-Beclere - APHP; Universite Libre de Bruxelles</t>
  </si>
  <si>
    <t>[Dewachter, L.; Adnot, S.; Guignabert, C.; Tu, L.; Marcos, E.; Eddahibi, S.] INSERM, U955, Inst Mondor Rech Biomed, Creteil, France; [Fadel, E.; Dartevelle, P.] Univ Paris 11, UPRES EA2705, Chirurg Expt Lab, Ctr Chirurg Marie Lannelongue, Le Plessis Robinson, France; [Humbert, M.; Simonneau, G.] Univ Paris 11, INSERM, U764,Hop Antoine Beclere,AP HP, UPRES EA2705,Serv Pneumol,Ctr Natl Reference Hype, Clamart, France; [Naeije, R.] Free Univ Brussels, Physiol Lab, Fac Med, B-1070 Brussels, Belgium</t>
  </si>
  <si>
    <t>Mutations in the gene encoding bone morphogenetic protein (BMP) receptor type 2 (BMPR-2) have been reported in pulmonary arterial hypertension (PAH), but their functional relevance remains incompletely understood. BMP receptor expression was evaluated in human lungs and in cultured pulmonary artery smooth muscle cells (PASMCs) isolated from 19 idiopathic PAH patients and nine heritable PAH patients with demonstrated BMPR-2 mutations. BMP4-treated PASMCs were assessed for Smad and p38 mitogen-activated protein kinase (MAPK) signalling associated with mitosis and apoptosis. Lung tissue and PASMCs from heritable PAH patients presented with decreased BMPR-2 expression and variable increases in BMPR-1A and BMPR-1B expression, while a less important decreased BMPR-2 expression was observed in PASMCs from idiopathic PAH patients. Heritable PAH PASMCs showed no increased phosphorylation of Smad1/5/8 in the presence of BMP4, which actually activated the p38MAPK pathway. Individual responses varied from one mutation to another. PASMCs from PAH patients presented with an in vitro proliferative pattern, which could be inhibited by BMP4 in idiopathic PAH but not in heritable PAH. PASMCs from idiopathic PAH and more so from heritable PAH presented an inhibition of BMP4-induced apoptosis. Most heterogeneous BMPR-2 mutations are associated with defective Smad signalling compensated for by an activation of p38MAPK signalling, accounting for PASMC proliferation and deficient apoptosis.</t>
  </si>
  <si>
    <t>SMOOTH-MUSCLE HYPERPLASIA; ARTERIAL-HYPERTENSION; II RECEPTOR; BMPR2 MUTATIONS; CELLS; OVEREXPRESSION; EXPRESSION; GENE</t>
  </si>
  <si>
    <t>Bone morphogenetic protein receptor type 2; intracellular signal transduction; mutation; pulmonary hypertension; smooth muscle cells; vascular remodelling</t>
  </si>
  <si>
    <t>Bone morphogenetic protein signalling in heritable versus idiopathic pulmonary hypertension</t>
  </si>
  <si>
    <t>WOS:000272625000015</t>
  </si>
  <si>
    <t>530XD</t>
  </si>
  <si>
    <t>10.1183/09031936.00017809</t>
  </si>
  <si>
    <t>SITBON, Olivier/0000-0002-1942-1951; JAIS, XAVIER/0000-0002-4104-7994; Degano, Bruno/0000-0003-1644-7264; Montani, David/0000-0002-9358-6922; Mercier, Olaf/0000-0002-4760-6267; Humbert, Marc/0000-0003-0703-2892</t>
  </si>
  <si>
    <t>Degano, Bruno/IAQ-7289-2023; Mussot, S/AAL-7512-2020; Simonneau, Gerald/ABE-6614-2020; Sitbon, Olivier/I-3623-2019; David, Montani/I-6885-2019; Humbert, Marc/AAC-8459-2019</t>
  </si>
  <si>
    <t>Humbert, M (corresponding author), Univ Paris Sud, Fac Med,AP HP,U999, Ctr Natl Reference Hypertens Pulm Severe,INSERM, Serv Pneumol &amp; Reanimat Resp,Hop Antoine Beclere, 157 Rue Porte Trivaux, F-92140 Clamart, France.</t>
  </si>
  <si>
    <t>Institut National de la Sante et de la Recherche Medicale (Inserm); Universite Paris Saclay; Assistance Publique Hopitaux Paris (APHP); Hopital Universitaire Antoine-Beclere - APHP; Hopital Marie Lannelongue; Universite Paris Saclay; Imperial College London</t>
  </si>
  <si>
    <t>[Montani, D.; Jais, X.; Price, L. C.; Achouh, L.; Degano, B.; Sitbon, O.; Simonneau, G.; Humbert, M.] Univ Paris Sud, Fac Med,AP HP,U999, Ctr Natl Reference Hypertens Pulm Severe,INSERM, Serv Pneumol &amp; Reanimat Resp,Hop Antoine Beclere, F-92140 Clamart, France; [Mercier, O.; Mussot, S.; Fadel, E.; Dartevelle, P.] Univ Paris Sud, UPRES EA 2705, Serv Chirurg Thorac, Ctr Chirurg Marie Lannelongue, Le Plessis Robinson, France; [Price, L. C.] Univ London Imperial Coll Sci Technol &amp; Med, Hammersmith Hosp, Natl Pulm Hypertens Serv, London, England</t>
  </si>
  <si>
    <t>Pulmonary veno-occlusive disease (PVOD) carries a poor prognosis and lung transplantation is the only curative treatment. In PVOD, epoprostenol therapy is controversial, as this condition may be refractory to specific therapy with an increased risk of pulmonary oedema. We retrospectively reviewed clinical, functional and haemodynamic data of 12 patients with PVOD (10 with histological confirmation) treated with continuous intravenous epoprostenol and priority listed for lung transplantation after January 1, 2003. All PVOD patients had severe clinical, functional and haemodynamic impairment at presentation. Epoprostenol was used at low dose ranges with slow dose increases and high dose diuretics. Only one patient developed mild reversible pulmonary oedema. After 3-4 months, improvements were seen in the New York Heart Association functional class (class IV to III in seven patients), cardiac index (1.99 +/- 0.68 to 2.94 +/- 0.89 L.min(-1).m(-2)) and indexed pulmonary vascular resistance (28.4 +/- 8.4 to 17 +/- 5.2 Wood units.m(-2); all p&lt;0.01). A nonsignificant improvement in the 6-min walk distance was also observed (+41 m, p=0.11). Two patients died, one patient was alive on the transplantation waiting list on December 1, 2008 and nine patients were transplanted. Cautious use of continuous intravenous epoprostenol improved clinical and haemodynamic parameters in PVOD patients at 3-4 months without commonly causing pulmonary oedema, and may be a useful bridge to urgent lung transplantation.</t>
  </si>
  <si>
    <t>6-MINUTE WALK TEST; INTRAVENOUS EPOPROSTENOL; ARTERIAL-HYPERTENSION; PROSTACYCLIN; SURVIVAL; PATIENT; CALCIUM</t>
  </si>
  <si>
    <t>Epoprostenol; lung transplantation; prostacyclin; pulmonary arterial hypertension; pulmonary oedema; pulmonary veno-occlusive disease</t>
  </si>
  <si>
    <t>Cautious epoprostenol therapy is a safe bridge to lung transplantation in pulmonary veno-occlusive disease</t>
  </si>
  <si>
    <t>Montani, D.; Jais, X.; Price, L. C.; Achouh, L.; Degano, B.; Mercier, O.; Mussot, S.; Fadel, E.; Dartevelle, P.; Sitbon, O.; Simonneau, G.; Humbert, M.</t>
  </si>
  <si>
    <t>Montani, D; Jaïs, X; Price, LC; Achouh, L; Degano, B; Mercier, O; Mussot, S; Fadel, E; Dartevelle, P; Sitbon, O; Simonneau, G; Humbert, M</t>
  </si>
  <si>
    <t>WOS:000272193700010</t>
  </si>
  <si>
    <t>525DL</t>
  </si>
  <si>
    <t>10.1096/fj.09-131664</t>
  </si>
  <si>
    <t>The authors thank Michel Hamon for helpful discussions. This research was supported by grants from the French National Institute for Health and Medical Research (IN-SERM), the Ministere de la Recherche.</t>
  </si>
  <si>
    <t>French National Institute for Health and Medical Research (IN-SERM)(Institut National de la Sante et de la Recherche Medicale (Inserm)); Ministere de la Recherche(Ministry of Science and Innovation, Spain (MICINN)Ministry of Research, France)</t>
  </si>
  <si>
    <t>French National Institute for Health and Medical Research (IN-SERM); Ministere de la Recherche</t>
  </si>
  <si>
    <t>GUIGNABERT, Christophe/0000-0002-8545-4452; TU, Ly/0000-0003-2336-5099; Humbert, Marc/0000-0003-0703-2892</t>
  </si>
  <si>
    <t>GUIGNABERT, Christophe/G-3873-2013; TU, Ly/G-4035-2013; Humbert, Marc/AAC-8459-2019</t>
  </si>
  <si>
    <t>Guignabert, C (corresponding author), Univ Paris 11, Ctr Chirurg Marie Lannelongue, INSERM Unity Pulm Hypertens Pathophysiol &amp; Innova, 133 Ave Resistance, F-92350 Le Plessis Robinson, France.</t>
  </si>
  <si>
    <t>Hopital Marie Lannelongue; Universite Paris Saclay; Institut National de la Sante et de la Recherche Medicale (Inserm); Universite Paris-Est-Creteil-Val-de-Marne (UPEC); Institut National de la Sante et de la Recherche Medicale (Inserm); Hopital Marie Lannelongue; Institut National de la Sante et de la Recherche Medicale (Inserm); Assistance Publique Hopitaux Paris (APHP); Hopital Universitaire Antoine-Beclere - APHP</t>
  </si>
  <si>
    <t>[Guignabert, Christophe; Tu, Ly; Izikki, Mohamed; Dewachter, Laurence; Humbert, Marc; Fadel, Elie; Eddahibi, Saadia] Univ Paris 11, Ctr Chirurg Marie Lannelongue, INSERM Unity Pulm Hypertens Pathophysiol &amp; Innova, F-92350 Le Plessis Robinson, France; [Guignabert, Christophe; Tu, Ly; Izikki, Mohamed; Zadigue, Patricia; Adnot, Serge; Eddahibi, Saadia] Inst Mondor Rech Biomed, INSERM, U955, Creteil, France; [Fadel, Elie] Ctr Chirurg Marie Lannelongue, UPRES, EA2705, Le Plessis Robinson, France; [Humbert, Marc] Hop Antoine Beclere, INSERM, U764, AP HP, Clamart, France</t>
  </si>
  <si>
    <t>Voltage-gated potassium (Kv)1.5 is decreased in pulmonary arteries (PAs) of patients with idiopathic pulmonary arterial hypertension (IPAH) and in experimental models including mice with SM22 alpha-targeted overexpression of the serotonin transporter (5-HTT). The mechanisms underlying these abnormalities, however, remain unknown. Dichloroacetate (DCA) inhibits chronic hypoxia-or monocrotaline-induced PAH by inhibiting nuclear factor of activated T-cells (NFAT) c2 and increasing Kv1.5. Therefore, we hypothesized that DCA could regress established PAH in SM22-5-HTT+ mice. We evaluated pulmonary hemodynamics, vascular remodeling, NFATc2, and Kv1.5 protein in 20-wk-old SM22-5-HTT+ or wild-type mice treated for 1, 7, and 21 d with DCA, cyclosporine-A (NFAT inhibitor), or vehicle. DCA partially reversed PAH in SM22-5-HTT+ mice by decreasing proliferation and increasing apoptosis in muscularized PAs. Furthermore, serotonin (10(-8)-10(-6) M) dose-dependently increased PA-smooth muscle cell (PA-SMC) proliferation in culture (EC50 = 0.97 x 10(-7) M) and DCA (5 x 10(-4) M) vs. PBS markedly reduced the growth of PA-SMC from IPAH and control patients treated with the highest dose of serotonin by 50 and 30%, respectively. Finally, although serotonin induces NFATc2 activation in PA-SMCs, inhibition of NFATc2 alone with cyclosporine-A was not sufficient for reversing PAH in this model. Our results support the possibility that DCA may be an interesting agent for investigation in patients with PAH.-Guignabert, C., Tu, L., Izikki, M., Dewachter, L., Zadigue, P., Humbert, M., Adnot, S., Fadel, E., Eddahibi, S. Dichloroacetate treatment partially regresses established pulmonary hypertension in mice with SM22 alpha-targeted overexpression of the serotonin transporter. FASEB J. 23, 4135-4147 (2009). www.fasebj.org</t>
  </si>
  <si>
    <t>SMOOTH-MUSCLE-CELLS; GATED K+ CURRENTS; ARTERIAL-HYPERTENSION; KINASE ACTIVATION; APOPTOSIS; CHANNELS; GENE; 5-HYDROXYTRYPTAMINE; EXPRESSION; PREVENTS</t>
  </si>
  <si>
    <t>pulmonary vascular remodeling; serotonin pathway; NFAT/Kv1.5 axis; PDK inhibitor; Bcl-2/Bax ratio</t>
  </si>
  <si>
    <t>Dichloroacetate treatment partially regresses established pulmonary hypertension in mice with SM22α-targeted overexpression of the serotonin transporter</t>
  </si>
  <si>
    <t>Guignabert, Christophe; Tu, Ly; Izikki, Mohamed; Dewachter, Laurence; Zadigue, Patricia; Humbert, Marc; Adnot, Serge; Fadel, Elie; Eddahibi, Saadia</t>
  </si>
  <si>
    <t>Guignabert, C; Tu, L; Izikki, M; Dewachter, L; Zadigue, P; Humbert, M; Adnot, S; Fadel, E; Eddahibi, S</t>
  </si>
  <si>
    <t>WOS:000272625000004</t>
  </si>
  <si>
    <t>10.1183/09031936.00139009</t>
  </si>
  <si>
    <t>delcroix, marion/0000-0001-8394-9809; Jondeau, Guillaume/0000-0002-0101-2076; Ceconi, Claudio/0000-0002-6381-1404; ASTEGGIANO, RICCARDO/0000-0002-2273-7228; Hoeper, Marius/0000-0001-9086-2293; Galie, Nazzareno/0000-0003-4271-8670</t>
  </si>
  <si>
    <t>Opitz, Christian/L-3438-2019; Simonneau, Gerald/ABE-6614-2020; Juni, Peter/Q-8700-2016; Hoeper, Marius/Z-1546-2019; Beghetti, Maurice/HNP-1055-2023; Humbert, Marc/AAC-8459-2019; Vachiery, Jean-Luc/ABC-6631-2021; Zellweger, Michael/AAB-4859-2022; Galie, Nazzareno/F-7004-2014</t>
  </si>
  <si>
    <t>Galiè, N (corresponding author), Bologna Univ Hosp, Inst Cardiol, Via Massarenti 9, I-40138 Bologna, Italy.</t>
  </si>
  <si>
    <t>IRCCS Azienda Ospedaliero-Universitaria di Bologna; Hannover Medical School; Assistance Publique Hopitaux Paris (APHP); Hopital Universitaire Antoine-Beclere - APHP; Universite Libre de Bruxelles; University of Barcelona; Hospital Clinic de Barcelona; University of Geneva; Newcastle University - UK; Mater Misericordiae University Hospital; University College Dublin; Imperial College London; Hospital Universitario 12 de Octubre; Assistance Publique Hopitaux Paris (APHP); Universite Paris Cite; Hopital Universitaire Bichat-Claude Bernard - APHP; Medical University of Vienna; University of Glasgow; Assistance Publique Hopitaux Paris (APHP); Hopital Universitaire Antoine-Beclere - APHP; Assistance Publique Hopitaux Paris (APHP); Hopital Universitaire Antoine-Beclere - APHP</t>
  </si>
  <si>
    <t>[Galie, N.] Bologna Univ Hosp, Inst Cardiol, I-40138 Bologna, Italy; [Hoeper, M. M.] Hannover Med Sch, Dept Pulm Med, Hannover, Germany; [Humbert, M.] Hop Antoine Beclere, Serv Pneumol &amp; Reanimat Resp, Clamart, France; [Torbicki, A.] Inst Lung Dis &amp; TB, Dept Chest Med, Warsaw, Poland; [Vachiery, J-L.] Univ Libre Bruxelles, Hop Erasme, Dept Cardiol, Brussels, Belgium; [Barbera, J. A.] Hosp Clin Barcelona, Serv Pneumol, Barcelona, Spain; [Beghetti, M.] Hop Enfants, Unite Cardiopediat, Geneva, Switzerland; [Corris, P.] Newcastle Univ, Inst Cellular Med, Newcastle Upon Tyne NE1 7RU, Tyne &amp; Wear, England; [Gaine, S.] Mater Misericordiae Univ Hosp, Pulm Hypertens Unit, Dublin, Ireland; [Gibbs, J. S.] Hammersmith Hosp, Dept Cardiol, London, England; [Gomez-Sanchez, M. A.] Hosp Doce Octubre, Dept Microbiol, Madrid, Spain; [Jondeau, G.] Hop Bichat Claude Bernard, Serv Cardiol, F-75877 Paris, France; [Klepetko, W.] Med Univ Vienna, Div Cardiothorac Surg, Vienna, Austria; [Opitz, C.] DRK Kliniken Berlin Kopenick, Dept Internal Med Cardiol, Berlin, Germany; [Peacock, A.] Univ Glasgow, Western Infirm, Scottish Pulm Vasc Unit, Glasgow G11 6NT, Lanark, Scotland; [Zellweger, M.] Univ Hosp, Dept Cardiol, Basel, Switzerland; [Simonneau, G.] Hop Antoine Beclere, Dept Pneumol, Clamart, France; [Simonneau, G.] Hop Antoine Beclere, ICU, Clamart, France</t>
  </si>
  <si>
    <t>LONG-TERM TREATMENT; CONTINUOUS INTRAVENOUS EPOPROSTENOL; BRAIN NATRIURETIC PEPTIDE; CALCIUM-CHANNEL BLOCKERS; CHRONIC HEART-FAILURE; 6-MINUTE WALK TEST; QUALITY-OF-LIFE; ARTERIAL-HYPERTENSION; INHALED ILOPROST; BOSENTAN THERAPY</t>
  </si>
  <si>
    <t>Galie, N.; Hoeper, M. M.; Humbert, M.; Torbicki, A.; Vachiery, J-L.; Barbera, J. A.; Beghetti, M.; Corris, P.; Gaine, S.; Gibbs, J. S.; Gomez-Sanchez, M. A.; Jondeau, G.; Klepetko, W.; Opitz, C.; Peacock, A.; Rubin, L.; Zellweger, M.; Simonneau, G.</t>
  </si>
  <si>
    <t>WOS:000208771002450</t>
  </si>
  <si>
    <t>V29TP</t>
  </si>
  <si>
    <t>A3339</t>
  </si>
  <si>
    <t>Impact of pulmonary arterial hypertension specific therapy on portopulmonary hypertension</t>
  </si>
  <si>
    <t>Savale, L.; Magnier, R.; Le Pavec, J.; O'Callaghan, D. S.; Jais, X.; Natali, D.; Humbert, M. J. C.; Simonneau, G.; Sitbon, O.</t>
  </si>
  <si>
    <t>Savale, L; Magnier, R; Le Pavec, J; O'Callaghan, DS; Jaïs, X; Natali, D; Humbert, MJC; Simonneau, G; Sitbon, O</t>
  </si>
  <si>
    <t>WOS:000208771002448</t>
  </si>
  <si>
    <t>A3337</t>
  </si>
  <si>
    <t>Savale, Laurent/AAJ-9781-2020; Humbert, Marc/AAC-8459-2019; Doucet-Populaire, Florence/AAG-8379-2020; Simonneau, Gerald/ABE-6614-2020; Sitbon, Olivier/I-3623-2019</t>
  </si>
  <si>
    <t>Catheter related-infections in pulmonary hypertension patients treated by continuous intravenous epoprostenol: experience of the French Referral Centre</t>
  </si>
  <si>
    <t>O'Callaghan, D. S.; Moutet, A.; Jais, X.; Yaici, A.; Savale, L.; Natali, D.; Parent, F.; Simonneau, G.; Humbert, M. J. C.; Doucet-Populaire, F.; Sitbon, O.</t>
  </si>
  <si>
    <t>O'Callaghan, DS; Moutet, A; Jaïs, X; Yaïci, A; Savale, L; Natali, D; Parent, F; Simonneau, G; Humbert, MJC; Doucet-Populaire, F; Sitbon, O</t>
  </si>
  <si>
    <t>WOS:000274127000018</t>
  </si>
  <si>
    <t>550KP</t>
  </si>
  <si>
    <t>10.1016/j.lpm.2009.09.013</t>
  </si>
  <si>
    <t>Dorfmuller, Peter/0000-0003-2499-6829; Montani, David/0000-0002-9358-6922; Humbert, Marc/0000-0003-0703-2892; SITBON, Olivier/0000-0002-1942-1951; JAIS, XAVIER/0000-0002-4104-7994</t>
  </si>
  <si>
    <t>Montani, D (corresponding author), Univ Paris 11, Ctr Natl Hypertens Pulm Severe, Serv Pneumol, Hop Antoine Beclere,AP HP, 157 Rue Porte Trivaux, F-92140 Clamart, France.</t>
  </si>
  <si>
    <t>Assistance Publique Hopitaux Paris (APHP); Hopital Universitaire Antoine-Beclere - APHP; Universite Paris Saclay; Institut National de la Sante et de la Recherche Medicale (Inserm); Assistance Publique Hopitaux Paris (APHP); Hopital Universitaire Antoine-Beclere - APHP; Universite Paris Saclay</t>
  </si>
  <si>
    <t>[Montani, David; Dorfmuller, Peter; Jais, Xavier; Sitbon, Olivier; Simonneau, Gerald; Humbert, Marc] Hop Antoine Beclere, Ctr Natl Reference Hypertens Pulm Severe, Serv Pneumol &amp; Reanimat Resp, AP HP, F-92140 Clamart, France; [Montani, David; Dorfmuller, Peter; Jais, Xavier; Sitbon, Olivier; Simonneau, Gerald; Humbert, Marc] Univ Paris Sud, Fac Med, F-94276 Le Kremlin Bicetre, France; [Montani, David; Dorfmuller, Peter; Jais, Xavier; Sitbon, Olivier; Simonneau, Gerald; Humbert, Marc] INSERM, U999, Clamart, France; [Maitre, Sophie] Univ Paris 11, Serv Radiol, Hop Antoine Beclere, AP HP, F-92140 Clamart, France</t>
  </si>
  <si>
    <t>The new classification of pulmonary hypertension proposed in the joint European Society of Cardiology (ESC) and European Respiratory Society (ERS) guidelines, combines pulmonary veno-occlusive disease (PVOD) and pulmonary capillary hemangiomatosis (PCH) from separate categories into a single subcategory within pulmonary arterial hypertension (PAH) because of specific similarities in their diagnosis, prognosis, and management. These diseases are characterized histologically by their predominant involvement of small pulmonary veins (PVOD) and capillaries (PCH). Their precise prevalence is not known, but they are thought to account for 5 to 10% of the forms of PAH initially considered idiopathic. They cannot be distinguished from idiopathic PAH by their clinical or hemodynamic presentation. Only pathology examination can confirm the diagnosis, but lung biopsies are high-risk procedures and not recommended. A less invasive approach combining chest CT (centrilobular ground-glass opacities, septal lines, and mediastinal adenopathy), blood gases (resting hypoxemia), lung function tests [collapse in carbon monoxide diffusion (DLCO)] and bronchoalveolar lavage (occult intra-alveolar hemorrhage) makes it possible to screen the patients at risk of PVOD or HCP and thus ovoid a lung biopsy. These patients hove a poor prognosis and are at risk of developing severe pulmonary edema after the initiation of specific treatment for PAR in view of their limited response to specific treatment and poor prognosis, pulmonary transplantation remains the treatment of choice for PVOD and HCP. In patients with the most severe disease, the prudent use of continuous intravenous epoprostenol, con serve as bridge-therapy while awaiting a lung transplant.</t>
  </si>
  <si>
    <t>ARTERIAL-HYPERTENSION; IMMUNOSUPPRESSIVE THERAPY; PROSTACYCLIN; MUTATIONS; DIAGNOSIS; PATIENT; BMPR2</t>
  </si>
  <si>
    <t>Pulmonary veno-occlusive disease and pulmonary capillary hemangiomatosis</t>
  </si>
  <si>
    <t>Montani, David; Dorfmuller, Peter; Maitre, Sophie; Jais, Xavier; Sitbon, Olivier; Simonneau, Gerald; Humbert, Marc</t>
  </si>
  <si>
    <t>Montani, D; Dorfmuller, P; Maitre, S; Jaïs, X; Sitbon, O; Simonneau, G; Humbert, M</t>
  </si>
  <si>
    <t>WOS:000273749900017</t>
  </si>
  <si>
    <t>545PZ</t>
  </si>
  <si>
    <t>10.3899/jrheum.090661</t>
  </si>
  <si>
    <t>J. Rheumatol.</t>
  </si>
  <si>
    <t>J RHEUMATOL</t>
  </si>
  <si>
    <t>1499-2752</t>
  </si>
  <si>
    <t>0315-162X</t>
  </si>
  <si>
    <t>365 BLOOR ST E, STE 901, TORONTO, ONTARIO M4W 3L4, CANADA</t>
  </si>
  <si>
    <t>TORONTO</t>
  </si>
  <si>
    <t>J RHEUMATOL PUBL CO</t>
  </si>
  <si>
    <t>This study was partially supported by unrestricted educational grants from Actelion, Encysive, GSK, Pfizer, Bayer Schering, United Therapeutics. Dr. Kosval-Bielecka has received research funding from Actelion and Encysive via the EPOSS project. Dr. Pittrow has received honoraria for consultancy from Actelion, Encysive, Bayer Schering Healthcare, GSK and Pfizer in the area of pulmonary arterial hypertension and associated diseases. Dr. Huscher has received research funding from Actelion and Encysive via the EPOSS project. Dr. Denton has received consultancy fees or honoraria from Actelion. Encysive, Pfizer, GSK, BioVitrum, Aspreva and Dyax and Genzyme. He has received unrestricted research funding from Encysive, Actelion and Genzyme. Dr. Humbert has relationships with drug companies including AB Science, Actelion, Altair, Asmacure, Astrazeneca, Bayer Schering, Chiesi. GSK, MSD, Novartis. Nycomed, Pfizer, and United Therapeutics. Relationships include consultancy service and membership of scientific advisory boards. Dr. Nash has received research grants, clinical trial funding, given advice, or lectured on behalf of Actelion, Pfizer and Bayer. Prof. Robin has received consulting income froth Actelion and Encysive, and ire has served as an investigator for Actelion and Encysive. Dr. Seibold has consultancy relationships and research funding from Actelion. Pfizer, Encysive, FibroGen. Centocor. Bristol-Myers Squibb, Genzyme, Lilly, Gilead, and United Therapeutics in the area of potential treatments of scleroderma and its complications. He has received lecture honoraria front Actelion, Pfizer, Encysive and United Therapeutics. His spouse is a full-time employee of Acrelion. Dr. Strand has consultancy relationships with Pfizer. FibroGen, and Bristol-Myers Squibb in the area of potential treatments of scleroderma and its complications. Prof. Furst has had a consultancy relationship, has been a member of scientific advisory boards, and/or has received research funding from Abbott, Actelion. Amgen. BMS, Biogenldec, Centocor. Genentech, Gilead, GSK, Merck. Nitec, Novartis. Roche, UCB. Wyeth, and Xoma. He has received lecture honoraria and/or lectured on behalf of Abbott, Actelion. Amgen. BMS, Biogen, Biogenidec. Centocor Genentech, Gilead. Merck. Nitec, and UCB. Dr. Distler has consultancy relationships and/or has received research funding from Actelion. Pfizer. Encysive, FibroGen. Ergonex. NicOx, and Biovitrum in the area of potential treatments of scleroderma and its complications. He has received lecture honoraria from Actelion, Pfizer, Encysive and Ergonex.</t>
  </si>
  <si>
    <t>Actelion; Encysive; GSK(GlaxoSmithKline); Pfizer(Pfizer); Bayer Schering(Bayer AG); United Therapeutics; Genzyme(Sanofi-AventisGenzyme Corporation); Bayer(Bayer AG); FibroGen; Centocor; Bristol-Myers Squibb(Bristol-Myers Squibb); Lilly(Eli Lilly); Gilead(Gilead Sciences); Abbott(Abbott Laboratories); Amgen(Amgen); BMS(Bristol-Myers Squibb); Biogenldec; Genentech(Roche HoldingGenentech); Merck(Merck &amp; Company); Nitec; Novartis(Novartis); Roche(Roche Holding); UCB(UCB Pharma SA); Wyeth(Wyeth); Xoma; Ergonex; NicOx</t>
  </si>
  <si>
    <t>Actelion; Encysive; GSK; Pfizer; Bayer Schering; United Therapeutics; Genzyme; Bayer; FibroGen; Centocor; Bristol-Myers Squibb; Lilly; Gilead; Abbott; Amgen; BMS; Biogenldec; Genentech; Merck; Nitec; Novartis; Roche; UCB; Wyeth; Xoma; Ergonex; NicOx</t>
  </si>
  <si>
    <t>Nash, Peter/0000-0002-2571-788X; Humbert, Marc/0000-0003-0703-2892; Kowal-Bielecka, Otylia/0000-0002-0613-1306; Huscher, Dorte/0000-0001-9070-0761; Avouac, Jerome/0000-0002-2463-218X</t>
  </si>
  <si>
    <t>Rubin, Lewis/AEW-1719-2022; avouac, Jérôme/AAD-2101-2020; Opitz, Christian/L-3438-2019; Pittrow, David/AAY-5042-2021; Behrens, Frank/AAI-8910-2021; furst, daniel/B-7316-2014; MATUCCI CERINIC, MARCO/AAO-2769-2020; Distler, Oliver/AAE-6225-2019; Nash, Peter/D-7392-2013; Humbert, Marc/AAC-8459-2019; Kowal-Bielecka, Otylia/T-3378-2018</t>
  </si>
  <si>
    <t>Distler, O (corresponding author), Univ Zurich Hosp, Dept Rheumatol, Gloriastr 25, CH-8091 Zurich, Switzerland.</t>
  </si>
  <si>
    <t>University of Zurich; University Zurich Hospital; Medical University of Bialystok; Technische Universitat Dresden; Goethe University Frankfurt; Leibniz Association; Deutsches Rheuma-Forschungszentrum (DRFZ); University of London; University College London; UCL Medical School; Universite Paris Saclay; Assistance Publique Hopitaux Paris (APHP); Hopital Universitaire Antoine-Beclere - APHP; University of Florence; University of California System; University of California San Diego; University of Michigan System; University of Michigan; Stanford University; University of California System; University of California Los Angeles; University of California Los Angeles Medical Center; David Geffen School of Medicine at UCLA</t>
  </si>
  <si>
    <t>[Distler, Oliver] Univ Zurich Hosp, Dept Rheumatol, CH-8091 Zurich, Switzerland; [Kowal-Bielecka, Otylia] Med Univ Bialystok, Dept Rheumatol &amp; Internal Med, Bialystok, Poland; [Avouac, Jerome] RDU, Rheumatol Dept A, Paris, France; [Pittrow, David] Tech Univ Dresden, Inst Clin Pharmacol, Fac Med, Dresden, Germany; [Huscher, Doerte] Goethe Univ Frankfurt, Div Rheumatol, ZAFES, Frankfurt, Germany; [Behrens, Frank] German Rheumatism Res Ctr, Berlin, Germany; [Denton, Christopher P.] Royal Free &amp; Univ Coll Med Sch, Sch Med, Ctr Rheumatol, London, England; [Foeldvari, Ivan] Gen Hosp Eilbek, Pediat Rheumatol Clin, Eilbek, Germany; [Humbert, Marc] Univ Paris Sud, Hop Antoine Beclere, Serv Pneumol &amp; Reanimat Resp, Ctr Malad Vasc Pulm, Clamart, France; [Matucci-Cerinic, Marco] Univ Florence, Dept Med, Div Rheumatol, Denothe Ctr, Florence, Italy; [Nash, Peter] Cotton Tree, Rheumatol Res Unit, Sunshine Coast, Qld, Australia; [Opitz, Christian F.] DRK Kliniken Berlin Kopenick, Innere Med Klin, Berlin, Germany; [Rubin, Lewis J.] Univ Calif San Diego, Sch Med, Div Pulm &amp; Crit Care Med, La Jolla, CA 92093 USA; [Seibold, James R.] Univ Michigan, Scleroderma Program, Ann Arbor, MI 48109 USA; [Strand, Vibeke] Stanford Univ, Sch Med, Div Rheumatol &amp; Immunol, Portola Valley, CA USA; [Furst, Daniel E.] Univ Calif Los Angeles, David Geffen Sch Med, Dept Med, Div Rheumatol, Los Angeles, CA 90095 USA</t>
  </si>
  <si>
    <t>Objective. To assess the validation status of echocardiography with continuous Doppler (echo-Doppler) as an outcome measure in pulmonary arterial hypertension associated with systemic sclerosis (PAH-SSc). Methods. Structured literature review on full-text English articles was performed using the PubMed and Cochrane databases. Assessment of validation of echo-Doppler was based on the OMERACT filter criteria with the domains truth (face, content, construct, and criterion validity), discrimination, and feasibility. Results. Out of 35 studies eligible for analysis, only 5 included well defined PAH-SSc subgroups (World Health Organization criteria). Echo was considered as having face validity based on expert opinion and high number of studies using echo for evaluation of patients with SSc. Echo was considered partially validated with respect to criterion validity based on significant correlations between echo measures and right-heart catheterization in patients with SSc at risk of PAH/PH. However, echo was found to lack specificity (lack of content validity), since measurements of echo pulmonary pressure may be influenced by left-heart disease and interstitial lung disease. Data from general populations of patients with scleroderma indicate that evaluation of pulmonary artery pressure by echo might not be available in all PAH-SSc patients because of technical factors. No studies enabling evaluation of the discriminant capacity over time and treatment of echo in PAH-SSc could be identified. Conclusion. Further studies are needed to fully validate echo-Doppler as an outcome measure in PAH-SSc. These studies would include cross-sectional analysis of baseline measures and longitudinal data of placebo and verum groups in randomized controlled trials of patients with PAH-SSc. (First Release Dec 1 2009; J Rheumatol 2010;37:105-15; doi:10.3899/jrheum.090661)</t>
  </si>
  <si>
    <t>CONNECTIVE-TISSUE DISEASES; INTERSTITIAL LUNG-DISEASE; RIGHT-HEART CATHETERIZATION; CLINICAL-TRIALS; DOPPLER-ECHOCARDIOGRAPHY; INTRAVENOUS EPOPROSTENOL; CONSECUTIVE PATIENTS; CARDIAC INVOLVEMENT; PROGNOSTIC-FACTORS; SCLEROSIS</t>
  </si>
  <si>
    <t>SCLERODERMA; HYPERTENSION; ECHO-DOPPLER; EXPERT PANEL ON OUTCOMES MEASURES IN PULMONARY ARTERIAL HYPERTENSION; SYSTEMIC SCLEROSIS; OUTCOMES; CLINICAL TRIALS</t>
  </si>
  <si>
    <t>JOURNAL OF RHEUMATOLOGY</t>
  </si>
  <si>
    <t>Echocardiography as an Outcome Measure in Scleroderma-related Pulmonary Arterial Hypertension: A Systematic Literature Analysis by the EPOSS Group</t>
  </si>
  <si>
    <t>EPOSS Grp</t>
  </si>
  <si>
    <t>Kowal-Bielecka, Otylia; Avouac, Jerome; Pittrow, David; Huscher, Doerte; Behrens, Frank; Denton, Christopher P.; Foeldvari, Ivan; Humbert, Marc; Matucci-Cerinic, Marco; Nash, Peter; Opitz, Christian F.; Rubin, Lewis J.; Seibold, James R.; Strand, Vibeke; Furst, Daniel E.; Distler, Oliver</t>
  </si>
  <si>
    <t>Kowal-Bielecka, O; Avouac, J; Pittrow, D; Huscher, D; Behrens, F; Denton, CP; Foeldvari, I; Humbert, M; Matucci-Cerinic, M; Nash, P; Opitz, CF; Rubin, LJ; Seibold, JR; Strand, V; Furst, DE; Distler, O</t>
  </si>
  <si>
    <t>WOS:000274127000009</t>
  </si>
  <si>
    <t>10.1016/j.lpm.2009.11.001</t>
  </si>
  <si>
    <t>Humbert, M (corresponding author), Univ Paris 11, AP HP, Ctr Malad Vasc Pulm, Serv Pneumol,Hop Antoine Beclere,INSERM,U999, 157 Rue Porte Trivaux, F-92140 Clamart, France.</t>
  </si>
  <si>
    <t>Universite Paris Saclay; Assistance Publique Hopitaux Paris (APHP); Hopital Universitaire Antoine-Beclere - APHP; Hopital Marie Lannelongue; Universite Paris Saclay; Institut National de la Sante et de la Recherche Medicale (Inserm)</t>
  </si>
  <si>
    <t>[Humbert, Marc] Univ Paris 11, Fac Med, F-94276 Le Kremlin Bicetre, France; [Humbert, Marc] Hop Antoine Beclere, AP HP, Ctr Natl Reference Hypertens Pulm Severe, Serv Pneumol &amp; Reanimat Resp, F-92140 Clamart, France; [Humbert, Marc] Ctr Chirurg Marie Lannelongue, INSERM, U999, F-92350 Le Plessis Robinson, France</t>
  </si>
  <si>
    <t>Infiltrative lung diseases</t>
  </si>
  <si>
    <t>WOS:000208771003369</t>
  </si>
  <si>
    <t>A4025</t>
  </si>
  <si>
    <t>Hara, Yannis/0000-0002-2084-971X; Hulot, Jean-Sebastien/0000-0001-5463-6117</t>
  </si>
  <si>
    <t>LOMPRE, Anne-Marie/H-2872-2013; Humbert, Marc/AAC-8459-2019; Hulot, Jean-Sebastien/A-2278-2016</t>
  </si>
  <si>
    <t>The inhibition of MRP4, a new target in pulmonary arterial hypertension, prevents and reverses hypoxia-induced pulmonary hypertension in mice</t>
  </si>
  <si>
    <t>Hara, Y.; Gambaryan, N.; Sassi, Y.; Dorfmuller, P.; Eddahibi, S.; Van Wetering, K.; Soubrier, F.; Lompre, A. -M.; Humbert, M. J. C.; Hulot, J. -S.</t>
  </si>
  <si>
    <t>Hara, Y; Gambaryan, N; Sassi, Y; Dorfmuller, P; Eddahibi, S; Van Wetering, K; Soubrier, F; Lompré, AM; Humbert, MJC; Hulot, JS</t>
  </si>
  <si>
    <t>WOS:000208771000191</t>
  </si>
  <si>
    <t>TU, Ly/G-4035-2013; Humbert, Marc/AAC-8459-2019; GUIGNABERT, Christophe/G-3873-2013</t>
  </si>
  <si>
    <t>Institut National de la Sante et de la Recherche Medicale (Inserm); Universite Paris Saclay; Universite Libre de Bruxelles; Universite Paris-Est-Creteil-Val-de-Marne (UPEC); Assistance Publique Hopitaux Paris (APHP); Hopital Universitaire Henri-Mondor - APHP; Institut National de la Sante et de la Recherche Medicale (Inserm)</t>
  </si>
  <si>
    <t>[Guignabert, C.; Tu, L.; Izikki, M.; Humbert, M.; Fadel, E.; Eddahibi, S.] Univ Paris 11, INSERM, Unit 999, Le Plessis Robinson, France; [Dewachter, L.] Univ Libre Brussels, Brussels, Belgium; [Zadigue, P.; Adnot, S.] Hop Henri Mondor, INSERM, Unit 955, F-94010 Creteil, France</t>
  </si>
  <si>
    <t>Dichloroacetate Treatment Partially Regresses Established Pulmonary Hypertension In Mice With SM22α-Targeted Over-expression Of The Serotonin Transporter</t>
  </si>
  <si>
    <t>Guignabert, C.; Tu, L.; Izikki, M.; Dewachter, L.; Zadigue, P.; Humbert, M.; Adnot, S.; Fadel, E.; Eddahibi, S.</t>
  </si>
  <si>
    <t>WOS:000208771004684</t>
  </si>
  <si>
    <t>A6325</t>
  </si>
  <si>
    <t>Consequences of Alteration in TGF-β/ALK1/endoglin Signaling in the Pathogenesis of Human and Rodent Pulmonary Arterial Hypertension.</t>
  </si>
  <si>
    <t>Gore, B.; Dewachter, L.; Tu, L.; Fadel, E.; Humbert, M.; Lebrin, F.; Guignabert, C.; Eddahibi, S.</t>
  </si>
  <si>
    <t>Gore, B; Dewachter, L; Tu, L; Fadel, E; Humbert, M; Lebrin, F; Guignabert, C; Eddahibi, S</t>
  </si>
  <si>
    <t>WOS:000274091300003</t>
  </si>
  <si>
    <t>549YP</t>
  </si>
  <si>
    <t>10.1183/09031936.00081009</t>
  </si>
  <si>
    <t>Montani, David/0000-0002-9358-6922; Humbert, Marc/0000-0003-0703-2892; Dorfmuller, Peter/0000-0003-2499-6829</t>
  </si>
  <si>
    <t>peter.dortmuller@u-psud.fr</t>
  </si>
  <si>
    <t>Dorfmüller, P (corresponding author), Univ Paris Sud, Ctr Natl Reference Hypertens Arterielle Pulm, INSERM U999, Serv Anant &amp; Cytol Pathol,Hop Marie Lannelongue, 133 Ave Resistance, F-92350 Le Plessis Robinson, France.</t>
  </si>
  <si>
    <t>[Dorfmuller, P.; Montani, D.; Humbert, M.] Univ Paris Sud, Fac Med, Le Kremlin Bicetre, France; [Dorfmuller, P.; Montani, D.; Humbert, M.] Hop Antoine Beclere, AP HP, Ctr Natl Reference Hypertens Pulm Severe, Serv Pneumol &amp; Reanimat Resp, Clamart, France; [Dorfmuller, P.; Montani, D.; Humbert, M.] INSERM U999, Clamart, France</t>
  </si>
  <si>
    <t>BRAIN NATRIURETIC PEPTIDE; CONNECTIVE-TISSUE DISEASES; GROWTH-FACTOR-BETA; VENOOCCLUSIVE DISEASE; IMMUNOSUPPRESSIVE THERAPY; EPOPROSTENOL; INFLAMMATION; SECONDARY</t>
  </si>
  <si>
    <t>Beyond arterial remodelling: pulmonary venous and cardiac involvement in patients with systemic sclerosis associated pulmonary arterial hypertension</t>
  </si>
  <si>
    <t>Dorfmuller, P.; Montani, D.; Humbert, M.</t>
  </si>
  <si>
    <t>Dorfmüller, P; Montani, D; Humbert, M</t>
  </si>
  <si>
    <t>WOS:000208771002475</t>
  </si>
  <si>
    <t>Degano, Bruno/IAQ-7289-2023; Humbert, Marc/AAC-8459-2019; David, Montani/I-6885-2019; Simonneau, Gerald/ABE-6614-2020</t>
  </si>
  <si>
    <t>Absence of gamma-herpesvirus infection in patients with pulmonary arterial hypertension</t>
  </si>
  <si>
    <t>Degano, B.; Valmary, S.; Dorfmuller, P.; Montani, D.; Simonneau, G.; Brousset, P.; Humbert, M.</t>
  </si>
  <si>
    <t>Degano, B; Valmary, S; Dorfmuller, P; Montani, D; Simonneau, G; Brousset, P; Humbert, M</t>
  </si>
  <si>
    <t>WOS:000274091300017</t>
  </si>
  <si>
    <t>10.1183/09031936.00038709</t>
  </si>
  <si>
    <t>Financial support was provided by Hospices Civils de Lyon, Lyon, France (PHRC regional 2005; PHRC 2009).</t>
  </si>
  <si>
    <t>Hospices Civils de Lyon, Lyon, France</t>
  </si>
  <si>
    <t>ISRAEL-BIET, Dominique/0000-0003-4308-4411; Le Pavec, Jerome/0000-0003-4426-9645; Marchand, Eric/0000-0002-3502-485X; Humbert, Marc/0000-0003-0703-2892</t>
  </si>
  <si>
    <t>jean-francois.cordier@chu-lyon.ir</t>
  </si>
  <si>
    <t>Cordier, JF (corresponding author), Univ Lyon 1, Hosp Civils Lyon,IFR128, Hop Louis Pradel,UCBL,INRA,ENVL,EPHE,UMR754, Serv Pneumol,Ctr Reference Malad Pulm Rares, F-69677 Lyon, France.</t>
  </si>
  <si>
    <t>Universite PSL; Ecole Pratique des Hautes Etudes (EPHE); INRAE; CHU Lyon; Universite Claude Bernard Lyon 1; VetAgro Sup; Assistance Publique Hopitaux Paris (APHP); Hopital Universitaire Antoine-Beclere - APHP; Universite Paris Saclay; CHU de Toulouse; Assistance Publique Hopitaux Paris (APHP); Universite Paris Cite; Hopital Universitaire Bichat-Claude Bernard - APHP</t>
  </si>
  <si>
    <t>[Cottin, V.; Cordier, J-F.] Univ Lyon 1, Hosp Civils Lyon,IFR128, Hop Louis Pradel,UCBL,INRA,ENVL,EPHE,UMR754, Serv Pneumol,Ctr Reference Malad Pulm Rares, F-69677 Lyon, France; [Le Pavec, J.; Humbert, M.; Simonneau, G.] Univ Paris 11, AP HP,Ctr Reference Hypertens Arterielle Pulm, Hop Antoine Beclere, Serv Pneumol &amp; Reanimat, Clamart, France; [Prevot, G.] Hop Larrey, Serv Pneumol, Toulouse, France; [Mal, H.] CHU Bichat, Paris, France</t>
  </si>
  <si>
    <t>This study aims to describe the haemodynamic and survival characteristics of patients with pulmonary hypertension in the recently individualised syndrome of combined pulmonary fibrosis and emphysema. A retrospective multicentre study was conducted in 40 patients (38 males; age 68 +/- 9 yrs; 39 smokers) with combined pulmonary fibrosis and emphysema, and pulmonary hypertension at right heart catheterisation. Dyspnoea was functional class II in 15%, III in 55% and IV in 30%. 6-min walk distance was 244 +/- 126 m. Forced vital capacity was 86 +/- 18%, forced expiratory volume in 1 s 78 +/- 19%, and carbon monoxide diffusion transfer coefficient 28 +/- 16% of predicted. Room air arterial oxygen tension was 7.5 +/- 1.6 kPa (56 +/- 12 mmHg). Mean pulmonary artery pressure was 40 +/- 9 mmHg cardiac index 2.5 +/- 0.7 L.min(-1).m(-2) and pulmonary vascular resistance 521 +/- 205 dyn.s.cm(-5). 1-yr survival was 60%. Higher pulmonary vascular resistance, higher heart rate, lower cardiac index and lower carbon monoxide diffusion transfer were associated with shorter survival. Patients with combined pulmonary fibrosis and emphysema syndrome and pulmonary hypertension confirmed by right heart catheterisation have a dismal prognosis despite moderately altered lung volumes and flows and moderately severe haemodynamic parameters.</t>
  </si>
  <si>
    <t>ARTERIAL-HYPERTENSION; DIFFUSION CAPACITY; LUNG; ALVEOLITIS; ECHOCARDIOGRAPHY; REDUCTION; DIAGNOSIS; SURVIVAL; PRESSURE; DISEASE</t>
  </si>
  <si>
    <t>Chronic obstructive pulmonary disease; disproportionate; emphysema; pulmonary fibrosis; pulmonary hypertension; tobacco smoking</t>
  </si>
  <si>
    <t>Pulmonary hypertension in patients with combined pulmonary fibrosis and emphysema syndrome</t>
  </si>
  <si>
    <t>Cottin, V.; Le Pavec, J.; Prevot, G.; Mal, H.; Humbert, M.; Simonneau, G.; Cordier, J-F.</t>
  </si>
  <si>
    <t>Cottin, V; Le Pavec, J; Prévot, G; Mal, H; Humbert, M; Simonneau, G; Cordier, JF</t>
  </si>
  <si>
    <t>WOS:000208771004669</t>
  </si>
  <si>
    <t>A6310</t>
  </si>
  <si>
    <t>Oxidative stress contributes to pulmonary hypertension in rats exposed to monocrotaline</t>
  </si>
  <si>
    <t>Chaumais, M. -C.; Dorfmueller, P.; Montani, D.; Perros, F.; Humbert, M. J. C.</t>
  </si>
  <si>
    <t>Chaumais, MC; Dorfmüller, P; Montani, D; Perros, F; Humbert, MJC</t>
  </si>
  <si>
    <t>WOS:000272917900009</t>
  </si>
  <si>
    <t>534SP</t>
  </si>
  <si>
    <t>10.1097/QAD.0b013e328331c65e</t>
  </si>
  <si>
    <t>JAN 2</t>
  </si>
  <si>
    <t>All authors participated in the design of the study. B.D. and M.G. performed data collection. B.D., M.G., D.M., G.S., M.H. and O.S. participated in data analysis and interpretation. B.D. prepared the article, which was circulated among all co-authors. A final draft was prepared incorporating the suggestions from all authors. The authors thank Dr Mohammed Bennaceur and Ms Laurence Rottat from the Department of Clinical Research of the Antoine Beclere Hospital for technical assistance. Editorial Support was provided by Elements Communication Ltd, funded by Actelion Pharmaceuticals, France.</t>
  </si>
  <si>
    <t>Actelion Pharmaceuticals, France</t>
  </si>
  <si>
    <t>Humbert, Marc/0000-0003-0703-2892; Montani, David/0000-0002-9358-6922; Degano, Bruno/0000-0003-1644-7264; JAIS, XAVIER/0000-0002-4104-7994; SITBON, Olivier/0000-0002-1942-1951; Le Pavec, Jerome/0000-0003-4426-9645</t>
  </si>
  <si>
    <t>Degano, Bruno/IAQ-7289-2023; Sitbon, Olivier/I-3623-2019; David, Montani/I-6885-2019; Simonneau, Gerald/ABE-6614-2020; Savale, Laurent/AAJ-9781-2020; Humbert, Marc/AAC-8459-2019</t>
  </si>
  <si>
    <t>Degano, B (corresponding author), Univ Paris 11, Ctr Natl Reference Hypertens Arterielle Pulmonair, Serv Pneumol, Hop Antoine Beclere,AP HP, 157 Rue Porte Trivaux, F-92141 Clamart, France.</t>
  </si>
  <si>
    <t>Universite Paris Saclay; Assistance Publique Hopitaux Paris (APHP); Hopital Universitaire Antoine-Beclere - APHP; Communaute Universite Grenoble Alpes; Universite Grenoble Alpes (UGA); CHU Grenoble Alpes</t>
  </si>
  <si>
    <t>[Degano, Bruno; Savale, Laurent; Montani, David; Jais, Xavier; Yaici, Azzedine; Le Pavec, Jerome; Humbert, Marc; Simonneau, Gerald; Sitbon, Olivier] Univ Paris 11, Ctr Natl Reference Hypertens Arterielle Pulmonair, Serv Pneumol, Hop Antoine Beclere,AP HP, F-92141 Clamart, France; [Guillaume, Mathilde] CHU Grenoble, Serv Malad Infect, F-38043 Grenoble, France</t>
  </si>
  <si>
    <t>Objectives: To examine baseline characteristics and outcome, and to determine variables affecting survival in patients with pulmonary arterial hypertension (PAH) associated with HIV infection (PAH-HIV) in the modern era of highly-active antiretroviral therapy (HAART) and specific PAH therapy. Design: Retrospective review of data from PAH-HIV patients without other associated risk factors for PAH, and comparison with previous series. Methods: Data were reviewed for 77 consecutive patients treated at the French Reference Centre for Pulmonary Hypertension between October 2000 and January 2008. Results were expressed as median [1st-3rd quartile] values. Results: At diagnosis of PAH, 81% patients were on HAART, 79% had a CD4(+) Count more than 200 cells/mu l and 49% had undetectable HIV load. New York Heart Association functional class assessment was II (22%), III (69%), and IV (9%). Six-minute walk distance (6MWD) was 375 [288-421] m, and pulmonary vascular resistance was 689 [524-852] dyns/cm(5). All patients received HAART irrespective of HIV disease stage. Specific PAH therapy was started in 50 patients and led to improvements in 6MWD and haemodynamic parameters. In patients who did not receive specific PAH therapy, 6MWD improved but haemodynamics did not change. Overall survival rate was 88% at I year and 72% at 3 years. On multivariate analysis, cardiac index more than 2.8 l/min per m(2) and CD4(+) lymphocyte count more than 200 cells/mu l were independent predictors of survival. Conclusion: In patients with PAH-HIV, HAART seems unable to improve haemodynamic parameters. Prognosis in PAH-HIV is mainly related to CD4(+) lymphocyte Count and cardiac function. (C) 2010 Wolters Kluwer Health vertical bar Lippincott Williams &amp; Wilkins</t>
  </si>
  <si>
    <t>HUMAN-IMMUNODEFICIENCY-VIRUS; ACTIVE ANTIRETROVIRAL THERAPY; INFECTION; BOSENTAN; GUIDELINES; SILDENAFIL; HAART</t>
  </si>
  <si>
    <t>antiretroviral therapy; highly active; HIV; hypertension; prognosis; pulmonary; survival; therapeutics</t>
  </si>
  <si>
    <t>HIV-associated pulmonary arterial hypertension: survival and prognostic factors in the modern therapeutic era</t>
  </si>
  <si>
    <t>Degano, Bruno; Guillaume, Mathilde; Savale, Laurent; Montani, David; Jais, Xavier; Yaici, Azzedine; Le Pavec, Jerome; Humbert, Marc; Simonneau, Gerald; Sitbon, Olivier</t>
  </si>
  <si>
    <t>Degano, B; Guillaume, M; Savale, L; Montani, D; Jaïs, X; Yaici, A; Le Pavec, J; Humbert, M; Simonneau, G; Sitbon, O</t>
  </si>
  <si>
    <t>WOS:000274047300022</t>
  </si>
  <si>
    <t>549KK</t>
  </si>
  <si>
    <t>10.1136/ard.2008.104299</t>
  </si>
  <si>
    <t>This work was supported by grants from the Association des Sclerodermiques de France (ASF), the Legs Poix, Chancellerie des Universites, Academie de Paris, France, Actelion Pharmaceuticals France and a Contrat d'Investigation et de Recherche Clinique'' (CIRC 05066) from the Assistance Publique-Hopitaux de Paris. BT received financial support from the Direction Regionale de l'Action Sanitaire et Sociale (DRASS) d'Ile de France. MCT is a recipient of grants from Avenir Mutualiste des Professions Liberales and Independantes, ASF and Actelion Pharmaceuticals.</t>
  </si>
  <si>
    <t>Association des Sclerodermiques de France (ASF); Legs Poix; Chancellerie des Universites; Academie de Paris, France; Actelion Pharmaceuticals France; Assistance Publique-Hopitaux de Paris; Direction Regionale de l'Action Sanitaire et Sociale (DRASS) d'Ile de France; Avenir Mutualiste des Professions Liberales and Independantes; ASF; Actelion Pharmaceuticals</t>
  </si>
  <si>
    <t>Association des Sclerodermiques de France (ASF); Legs Poix; Chancellerie des Universites; Academie de Paris, France; Actelion Pharmaceuticals France; Assistance Publique-Hopitaux de Paris [CIRC 05066]; Direction Regionale de l'Action Sanitaire et Sociale (DRASS) d'Ile de France; Avenir Mutualiste des Professions Liberales and Independantes; ASF; Actelion Pharmaceuticals</t>
  </si>
  <si>
    <t>Camoin, Luc/AAB-3856-2019; Simonneau, Gerald/ABE-6614-2020; Tamby, Mathieu/B-1277-2011; Humbert, Marc/AAC-8459-2019</t>
  </si>
  <si>
    <t>Mouthon, L (corresponding author), Univ Paris 05, Immunol Lab, UPRES EA 4058, Fac Med, Pavillon Gustave Roussy,4E Etage,8 Rue Mechain, F-75014 Paris, France.</t>
  </si>
  <si>
    <t>Universite Paris Cite; Universite Paris Cite; Assistance Publique Hopitaux Paris (APHP); Centre National de la Recherche Scientifique (CNRS); CNRS - National Institute for Biology (INSB); Institut National de la Sante et de la Recherche Medicale (Inserm); Universite Paris Cite; Institut National de la Sante et de la Recherche Medicale (Inserm); Universite Paris Cite; Universite Paris Saclay; Assistance Publique Hopitaux Paris (APHP); Hopital Universitaire Antoine-Beclere - APHP</t>
  </si>
  <si>
    <t>[Mouthon, L.] Univ Paris 05, Immunol Lab, UPRES EA 4058, Fac Med, F-75014 Paris, France; [Guilpain, P.; Berezne, A.; Guillevin, L.; Mouthon, L.] Univ Paris 05, Fac Med, Dept Internal Med &amp; Reference,AP HP, Ctr Necrotizing Vasculitis &amp; System Sclerosis,Coc, F-75014 Paris, France; [Camoin, L.; Broussard, C.; Hotellier, F.] Univ Paris 05, Cochin Inst, CNRS, UMR 8104, F-75014 Paris, France; [Camoin, L.; Broussard, C.; Hotellier, F.] INSERM, U567, Paris, France; [Humbert, M.; Simonneau, G.] Univ Paris Sud, Fac Med, Dept Pneumol, Clamart, France; [Humbert, M.; Simonneau, G.] Antoine Beclere Hosp, AP HP, French Reference Ctr Pulm Arterial Hypertens, Clamart, France</t>
  </si>
  <si>
    <t>Objective: To identify target antigens of antifibroblast antibodies (AFA) in systemic sclerosis (SSc) patients. Patients and Methods: In the first part, sera from 24 SSc patients (12 with pulmonary arterial hypertension (PAH) and 12 without) and 36 idiopathic PAH patients, tested in pooled sera for groups of three, were compared with a sera pool from 14 healthy controls (HC). Serum IgG reactivity was analysed by the use of a two-dimensional electrophoresis and immunoblotting technique with normal human fibroblasts antigens. In the second part, serum IgG reactivity for two groups: 158 SSc, 67 idiopathic PAH and 100 HC; and 35 SSc and 50 HC was tested against alpha-enolase from Saccharomyces cerevisiae and recombinant human (rHu) alpha-enolase, respectively, on ELISA. Results: In the first part, alpha-enolase was identified as a main target antigen of AFA from SSc patients. In the second part, 37/158 (23%) SSc patients, 6/67 (9%) idiopathic PAH patients and 4/100 (4%) HC (p&lt;0.001) had anti-S cerevisiae alpha-enolase antibodies; 12/35 (34%) SSc patients and 3/50 (6%) HC had anti-rHu alpha-enolase antibodies (p = 0.001). In SSc, the presence of anti-S cerevisiae alpha-enolase antibodies was associated with interstitial lung disease (ILD), decreased total lung capacity (73.2% vs 89.7%; p&lt;0.001) and diffusion capacity for carbon monoxide (47.4% vs 62.3%; p&lt;0.001), and antitopoisomerase 1 antibodies (46% vs 21%; p = 0.005) but not anticentromere antibodies (11% vs 34%; p = 0.006). Results were similar with rHu alpha-enolase testing. Conclusion: In SSc, AFA recognise alpha-enolase and are associated with ILD and antitopoisomerase antibodies.</t>
  </si>
  <si>
    <t>ANTIENDOTHELIAL CELL ANTIBODIES; GROWTH-FACTOR RECEPTOR; STIMULATORY AUTOANTIBODIES; PLASMINOGEN BINDING; HEALTHY-INDIVIDUALS; ENDOTHELIAL-CELLS; TARGET ANTIGENS; FIBROBLASTS; IDENTIFICATION; REACT</t>
  </si>
  <si>
    <t>Antifibroblast antibodies from systemic sclerosis patients bind to α-enolase and are associated with interstitial lung disease</t>
  </si>
  <si>
    <t>Terrier, B.; Tamby, M. C.; Camoin, L.; Guilpain, P.; Berezne, A.; Tamas, N.; Broussard, C.; Hotellier, F.; Humbert, M.; Simonneau, G.; Guillevin, L.; Mouthon, L.</t>
  </si>
  <si>
    <t>WOS:000275869200007</t>
  </si>
  <si>
    <t>572XE</t>
  </si>
  <si>
    <t>10.1016/j.rmr.2009.11.013</t>
  </si>
  <si>
    <t>SANCHEZ, Olivier/0000-0003-1633-8391; JAIS, XAVIER/0000-0002-4104-7994; SITBON, Olivier/0000-0002-1942-1951; Humbert, Marc/0000-0003-0703-2892</t>
  </si>
  <si>
    <t>Olivier.Sanchez@egp.aphp.fr</t>
  </si>
  <si>
    <t>Sanchez, O (corresponding author), Univ Paris 05, Fac Med, Hop Europeen Georges Pompidou, AP HP,Serv Pneumol &amp; Soins Intensifs, 20 Rue Leblanc, F-75015 Paris, France.</t>
  </si>
  <si>
    <t>Universite Paris Cite; Assistance Publique Hopitaux Paris (APHP); Hopital Universitaire Europeen Georges-Pompidou - APHP; Universite Paris Saclay; Assistance Publique Hopitaux Paris (APHP); Hopital Universitaire Antoine-Beclere - APHP</t>
  </si>
  <si>
    <t>[Sanchez, O.] Univ Paris 05, Fac Med, Hop Europeen Georges Pompidou, AP HP,Serv Pneumol &amp; Soins Intensifs, F-75015 Paris, France; [Humbert, M.; Sitbon, O.; Jais, X.; Simonneau, G.] Univ Paris 11, Hop Antoine Beclere, AP HP, Ctr Natl Reference HTAP,Serv Pneumol, Paris, France</t>
  </si>
  <si>
    <t>Introduction. - A joint Task Force of the ESC and of the ERS has developed guidelines on the diagnosis and treatment of pulmonary hypertension (PH) to provide updated information on the management of patients with this condition. State of the art. - The term pulmonary hypertension (PH) describes a group of devastating and life-limiting diseases, defined by mean pulmonary artery pressure &gt; 25 mmHg at rest. The diagnosis of PH requires a series of investigations intended to confirm the diagnosis, clarify the clinical group and the specific aetiology and an algorithm for this is proposed. Several drugs are currently approved to try to correct endothelial dysfunction. They lead to a significant improvement in the prognosis of patients who are in NYHA functional class II, III or IV. The evaluation of the severity of PH has a pivotal role in the choice of initial treatment and evaluation of the response to therapy in individual patients. Perspective. - These guidelines should be widely disseminated and implemented in order to improve the management of patients with PH. Conclusion. - These guidelines summarise recent advances in the understanding and management of PH. (C) 2010 SPLF. Published by Elsevier Masson SAS. All rights reserved.</t>
  </si>
  <si>
    <t>BRAIN NATRIURETIC PEPTIDE; CALCIUM-CHANNEL BLOCKERS; ARTERIAL-HYPERTENSION; DOUBLE-BLIND; EPOPROSTENOL THERAPY; INHALED ILOPROST; BOSENTAN THERAPY; SURVIVAL; EXERCISE; PROSTACYCLIN</t>
  </si>
  <si>
    <t>Pulmonary hypertension; Treatment; Prognosis; Diagnosis</t>
  </si>
  <si>
    <t>Sanchez, O.; Humbert, M.; Sitbon, O.; Jais, X.; Simonneau, G.</t>
  </si>
  <si>
    <t>Sanchez, O; Humbert, M; Sitbon, O; Jais, X; Simonneau, G</t>
  </si>
  <si>
    <t>WOS:000275869200001</t>
  </si>
  <si>
    <t>10.1016/j.rmr.2009.12.007</t>
  </si>
  <si>
    <t>Montani, D (corresponding author), Univ Paris 11, Hop Antoine Beclere, Assistance Publ Hop Paris, Ctr Malad Vasc Pulm,Serv Pneumol, 157 Rue Porte de Trivaux, F-92140 Clamart, France.</t>
  </si>
  <si>
    <t>Universite Paris Saclay; Assistance Publique Hopitaux Paris (APHP); Hopital Universitaire Antoine-Beclere - APHP; Hopital Marie Lannelongue; Institut National de la Sante et de la Recherche Medicale (Inserm); Universite Paris Saclay</t>
  </si>
  <si>
    <t>[Montani, D.; Humbert, M.] Univ Paris 11, Fac Med, F-94276 Le Kremlin Bicetre, France; [Montani, D.; Humbert, M.] Hop Antoine Beclere, AP HP, Ctr Natl Reference Hypertens Pulm Severe, Serv Pneumol &amp; Reanimat Resp, F-92140 Clamart, France; [Montani, D.; Humbert, M.] Ctr Chirurg Marie Lannelongue, INSERM, U999, Le Plessis Robinson, France</t>
  </si>
  <si>
    <t>COMBINATION; BOSENTAN; THERAPY</t>
  </si>
  <si>
    <t>Endothelin receptor antagonists in the new European guidelines on pulmonary hypertension</t>
  </si>
  <si>
    <t>Montani, D.; Humbert, M.</t>
  </si>
  <si>
    <t>Montani, D; Humbert, M</t>
  </si>
  <si>
    <t>WOS:000273956600002</t>
  </si>
  <si>
    <t>548JC</t>
  </si>
  <si>
    <t>10.1164/rccm.200911-1723ED</t>
  </si>
  <si>
    <t>Humbert, M (corresponding author), Univ Paris 11, Orsay, France.</t>
  </si>
  <si>
    <t>Universite Paris Saclay; Assistance Publique Hopitaux Paris (APHP); Hopital Universitaire Antoine-Beclere - APHP; Institut National de la Sante et de la Recherche Medicale (Inserm); Universite Paris Saclay</t>
  </si>
  <si>
    <t>[Humbert, Marc] Univ Paris 11, Orsay, France; Hop Antoine Beclere, Clamart, France; INSERM, U999, Le Plessis Robinson, France</t>
  </si>
  <si>
    <t>GUIDELINES; DIAGNOSIS; FIBROSIS</t>
  </si>
  <si>
    <t>Vasodilators in Patients with Chronic Obstructive Pulmonary Disease and Pulmonary Hypertension Not Ready for Prime Time!</t>
  </si>
  <si>
    <t>WOS:000274487000012</t>
  </si>
  <si>
    <t>555DG</t>
  </si>
  <si>
    <t>10.1093/rheumatology/kep398</t>
  </si>
  <si>
    <t>JAIS, XAVIER/0000-0002-4104-7994; Le Pavec, Jerome/0000-0003-4426-9645; SITBON, Olivier/0000-0002-1942-1951; Humbert, Marc/0000-0003-0703-2892; Launay, David/0000-0003-1840-1817</t>
  </si>
  <si>
    <t>Savale, Laurent/AAJ-9781-2020; Simonneau, Gerald/ABE-6614-2020; Launay, David/A-5270-2018; Sitbon, Olivier/I-3623-2019; Tcherakian, Colas/D-8813-2016; Humbert, Marc/AAC-8459-2019; Launay, David/H-1674-2016</t>
  </si>
  <si>
    <t>Sitbon, O (corresponding author), Hop Antoine Beclere, AP HP, Serv Pneumol &amp; Reanimat Resp, Ctr Natl Reference Hypertens Pulm Severe, 157 Rue Porte Trivaux, F-92140 Clamart, France.</t>
  </si>
  <si>
    <t>Assistance Publique Hopitaux Paris (APHP); Hopital Universitaire Antoine-Beclere - APHP; Universite Paris Saclay; Hopital Marie Lannelongue; Institut National de la Sante et de la Recherche Medicale (Inserm); Universite Paris Saclay; Universite de Lille; CHU Lille</t>
  </si>
  <si>
    <t>[Launay, David; Sitbon, Olivier; Le Pavec, Jerome; Savale, Laurent; Tcherakian, Colas; Yaici, Azzedine; Achouh, Lara; Parent, Florence; Jais, Xavier; Simonneau, Gerald; Humbert, Marc] Hop Antoine Beclere, AP HP, Serv Pneumol &amp; Reanimat Resp, Ctr Natl Reference Hypertens Pulm Severe, F-92140 Clamart, France; [Launay, David; Sitbon, Olivier; Le Pavec, Jerome; Savale, Laurent; Tcherakian, Colas; Yaici, Azzedine; Achouh, Lara; Parent, Florence; Jais, Xavier; Simonneau, Gerald; Humbert, Marc] Univ Paris Sud, Fac Med, Le Kremlin Bicetre, France; [Launay, David; Sitbon, Olivier; Le Pavec, Jerome; Savale, Laurent; Tcherakian, Colas; Yaici, Azzedine; Achouh, Lara; Parent, Florence; Jais, Xavier; Simonneau, Gerald; Humbert, Marc] Ctr Chirurg Marie Lannelongue, INSERM, U999, Le Plessis Robinson, France; [Launay, David] Univ Lille 2, Hop Claude Huriez, Serv Med Interne, Ctr Reference Sclerodermie Syst, Lille, France</t>
  </si>
  <si>
    <t>Objective. Data on long-term efficacy of bosentan, an oral dual ET receptor antagonist, in SSc-associated pulmonary arterial hypertension (SSc-PAH) are lacking. We aimed to describe the long-term outcome of SSc-PAH treated with first-line monotherapy bosentan followed or not by the addition of prostanoids or sildenafil. Methods. A prospective analysis of 49 consecutive SSc-PAH patients treated with first-line bosentan was performed. New York Heart Association (NYHA) functional class, 6-min walk distance (6MWD) and haemodynamics were assessed at baseline and after 4 and 12 months. Results. At 4 months, significant improvements in NYHA functional class and haemodynamics were observed with stabilization at 1 year. There was no significant improvement in 6MWD. Overall survival estimates were 80, 56 and 51% at 1, 2 and 3 years, respectively, and were significantly worse than those in a cohort of patients with idiopathic PAH (92, 89 and 79% at 1, 2 and 3 years, respectively; P &lt; 0.0001). Twenty-three patients (47%) died after a mean follow-up of 23 (18) months. In multivariate analysis, baseline and 4-month NYHA functional class and 4-month cardiac index were independent factors associated with overall survival. Conclusions. In our cohort of consecutive SSc-PAH patients treated with first-line bosentan, improvement in NYHA functional class and haemodynamics was significant after 4 months of treatment and stabilized afterwards. One-year overall survival rate was higher than previously reported in historical series. However, long-term prognosis remains poor. Our study underlines the importance of haemodynamic evaluation 4 months after the start of treatment to provide strong parameters associated with survival-like cardiac index.</t>
  </si>
  <si>
    <t>CONNECTIVE-TISSUE DISEASE; SCLERODERMA SPECTRUM; SURVIVAL; THERAPY; MULTICENTER; PREVALENCE; CAPACITY; ILOPROST; DEATH</t>
  </si>
  <si>
    <t>Pulmonary hypertension; Systemic sclerosis; Endothelin receptor antagonist; Survival; Haemodynamics</t>
  </si>
  <si>
    <t>Long-term outcome of systemic sclerosis-associated pulmonary arterial hypertension treated with bosentan as first-line monotherapy followed or not by the addition of prostanoids or sildenafil</t>
  </si>
  <si>
    <t>Launay, David; Sitbon, Olivier; Le Pavec, Jerome; Savale, Laurent; Tcherakian, Colas; Yaici, Azzedine; Achouh, Lara; Parent, Florence; Jais, Xavier; Simonneau, Gerald; Humbert, Marc</t>
  </si>
  <si>
    <t>Launay, D; Sitbon, O; Le Pavec, J; Savale, L; Tchérakian, C; Yaïci, A; Achouh, L; Parent, F; Jais, X; Simonneau, G; Humbert, M</t>
  </si>
  <si>
    <t>WOS:000279203200070</t>
  </si>
  <si>
    <t>616IT</t>
  </si>
  <si>
    <t>Universite de Lille; CHU Lille; Assistance Publique Hopitaux Paris (APHP); Universite Paris Cite; Hopital Universitaire Cochin - APHP; Assistance Publique Hopitaux Paris (APHP); Universite Paris Cite; Hopital Universitaire Cochin - APHP; Hospital Foch</t>
  </si>
  <si>
    <t>[Launay, D.; Hatron, Py.; Hachulla, E.] CHRU Lille, Hop Claude Huriez, Ctr Reference Sclerodermie, Serv Med Interne, Lille, France; [Humbert, M.; Yaici, A.] Ctr Reference Hypertens Arterielle Pulmonaire, Serv Pneumol &amp; Reanimat, Clamart, France; [Berezne, A.] Hop Cochin, Ctr Reference Vascularites &amp; Sclerodermie, Serv Med Interne, F-75674 Paris, France; [Cottin, V.] Ctr Reference Malad Pulmonaires Rares, Serv Pneumol, Lyon, France; [Allanore, Y.] Hop Cochin, Serv Rhumatol, F-75674 Paris, France; [Coudere, Lj] Hop Foch, Serv Pneumol, Suresnes, France; [Bletry, O.] Serv Med Interne, Suresnes, France; [Clerson, P.] Orgametrie, Roubaix, France</t>
  </si>
  <si>
    <t>CHARACTERISTICS, SURVIVALAND PROGNOSIS FACTORS IN INTERSTITIAL LUNG DISEASE-ASSOCIATED PULMONARY HYPERTENSION IN SYSTEMIC SCLEROSIS</t>
  </si>
  <si>
    <t>Launay, D.; Humbert, M.; Berezne, A.; Cottin, V.; Allanore, Y.; Coudere, Lj; Bletry, O.; Yaici, A.; Hatron, Py.; Mouthon, L.; Clerson, P.; Hachulla, E.</t>
  </si>
  <si>
    <t>Launay, D; Humbert, M; Berezne, A; Cottin, V; Allanore, Y; Coudere, L; Bletry, O; Yaici, A; Hatron, P; Mouthon, L; Clerson, P; Hachulla, E</t>
  </si>
  <si>
    <t>WOS:000279203200308</t>
  </si>
  <si>
    <t>S159</t>
  </si>
  <si>
    <t>Savale, Laurent/AAJ-9781-2020; Launay, David/A-5270-2018; Simonneau, Gerald/ABE-6614-2020; Sitbon, Olivier/I-3623-2019; Humbert, Marc/AAC-8459-2019; Tcherakian, Colas/D-8813-2016; Launay, David/H-1674-2016</t>
  </si>
  <si>
    <t>[Launay, D.] Univ Lille, Hop Claude Huriez, Serv Med Interne, Ctr Reference Sclerodermie Syst, Lille, France; [Sitbon, O.; Le Pavec, J.; Savale, L.; Tcherakian, C.; Yaici, A.; Achouh, L.; Parent, F.; Jais, X.; Simonneau, G.; Humbert, M.] Serv Pneumol &amp; Reanimat Resp, Ctr Natl Reference Hypertens Arterielle Pulmonair, Clamart, France</t>
  </si>
  <si>
    <t>LONG-TERM OUTCOME WITH FIRST-LINE BOSENTAN THERAPY IN SYSTEMIC SCLEROSIS ASSOCIATED PULMONARY ARTERIAL HYPERTENSION</t>
  </si>
  <si>
    <t>Launay, D.; Sitbon, O.; Le Pavec, J.; Savale, L.; Tcherakian, C.; Yaici, A.; Achouh, L.; Parent, F.; Jais, X.; Simonneau, G.; Humbert, M.</t>
  </si>
  <si>
    <t>Launay, D; Sitbon, O; Le Pavec, J; Savale, L; Tcherakian, C; Yaici, A; Achouh, L; Parent, F; Jaïs, X; Simonneau, G; Humbert, M</t>
  </si>
  <si>
    <t>WOS:000279203200009</t>
  </si>
  <si>
    <t>S52</t>
  </si>
  <si>
    <t>1593-098X</t>
  </si>
  <si>
    <t>The study was supported with a joint unrestricted educational grant from Actelion Pharmaceuticals, Allschwil, Switzerland; Pfizer Pharmaceuticals Ltd., London, UK; United Therapeutics; and Bayer Schering Pharma, Germany.Dr Distler has a consultancy relationship and/or has received research funding from Actelion, Pfizer, Encysive, FibroGen, Ergonex, NicOx, BMS and Biovitrum in the area of potential treatments of scleroderma and its complications. He has also received lecture honoraria from Actelion, Pfizer; Encysive and Ergonex; Dr Demon has received research grants and lecture fees or acted as a consultant to Actelion, Pfizer, GSK and United Therapeutics; Dr Seibold has funded research and/or consultancy relationships with Actelion, Gilead Pfizer and United Therapeutics; Dr Strand is a consultant and serves on the advisory boards of the following companies from whom she has received only consulting fees and/or honoraria (she does not participate in Speakers' Bureaus, nor holds stock): Abbott Immunology, Aldo; Amgen Corporation, AstraZeneca, Biogenldec, BMS, CBio, CanFite, Centocor, Chelsea, Crescendo, Cypress Biosciences Inc., Eurodiagnostica, FibroGen, Forest Laboratories, Genentech, GlaxoSmithKline, Human Genome Sciences, Idera, Incyte, Jazz Pharmaceuticals, Lexicon Genetics, Lilly, Logical Therapeutics, Lux Biosciences, Medimmune, MerckSerono, Nicox, Novartis, NovoNordisk, Noon, Ono Pharmaceuticals, Pfizer, Rigel, Roche, Sanofi-Aventis, Savient, Schering-Plough, SKK, UCB, Xdx; Dr Furst has received consultancy fees and grant support from Actelion and Gilead, and honoraria from Actelion; the other co-authors have declared no competing interests.</t>
  </si>
  <si>
    <t>Actelion Pharmaceuticals, Allschwil, Switzerland; Pfizer Pharmaceuticals Ltd., London, UK; United Therapeutics; Bayer Schering Pharma, Germany(Bayer AG); Actelion; Pfizer(Pfizer); Encysive; FibroGen; Ergonex; NicOx; BMS(Bristol-Myers Squibb); Biovitrum; GSK(GlaxoSmithKline); Abbott Immunology, Aldo; Amgen Corporation(Amgen); AstraZeneca(AstraZeneca); Biogenldec; CBio; CanFite; Centocor; Chelsea; Crescendo(European Union (EU)); Cypress Biosciences Inc.; Eurodiagnostica; Forest Laboratories; Genentech(Roche HoldingGenentech); GlaxoSmithKline(GlaxoSmithKline); Human Genome Sciences(GlaxoSmithKline); Idera; Incyte; Jazz Pharmaceuticals(Jazz Pharmaceuticals); Lexicon Genetics; Lilly(Eli Lilly); Logical Therapeutics; Lux Biosciences; Medimmune(AstraZenecaMedimmune); MerckSerono(Merck &amp; Company); Novartis(Novartis); NovoNordisk(Novo NordiskNovo Nordisk Foundation); Noon; Ono Pharmaceuticals; Rigel; Roche(Roche Holding); Sanofi-Aventis(Sanofi-Aventis); Savient; Schering-Plough(Merck &amp; CompanySchering Plough Corporation); SKK; UCB(UCB Pharma SA); Xdx; Gilead(Gilead Sciences)</t>
  </si>
  <si>
    <t>Actelion Pharmaceuticals, Allschwil, Switzerland; Pfizer Pharmaceuticals Ltd., London, UK; United Therapeutics; Bayer Schering Pharma, Germany; Actelion; Pfizer; Encysive; FibroGen; Ergonex; NicOx; BMS; Biovitrum; GSK; Abbott Immunology, Aldo; Amgen Corporation; AstraZeneca; Biogenldec; CBio; CanFite; Centocor; Chelsea; Crescendo; Cypress Biosciences Inc.; Eurodiagnostica; Forest Laboratories; Genentech; GlaxoSmithKline; Human Genome Sciences; Idera; Incyte; Jazz Pharmaceuticals; Lexicon Genetics; Lilly; Logical Therapeutics; Lux Biosciences; Medimmune; MerckSerono; Novartis; NovoNordisk; Noon; Ono Pharmaceuticals; Rigel; Roche; Sanofi-Aventis; Savient; Schering-Plough; SKK; UCB; Xdx; Gilead</t>
  </si>
  <si>
    <t>Huscher, Dorte/0000-0001-9070-0761; Humbert, Marc/0000-0003-0703-2892; Nash, Peter/0000-0002-2571-788X; Kowal-Bielecka, Otylia/0000-0002-0613-1306; Avouac, Jerome/0000-0002-2463-218X</t>
  </si>
  <si>
    <t>avouac, Jérôme/AAD-2101-2020; Pittrow, David/AAY-5042-2021; Opitz, Christian/L-3438-2019; Rubin, Lewis/AEW-1719-2022; Distler, Oliver/AAE-6225-2019; furst, daniel/B-7316-2014; Behrens, Frank/AAI-8910-2021; MATUCCI CERINIC, MARCO/AAO-2769-2020; Humbert, Marc/AAC-8459-2019; Nash, Peter/D-7392-2013; Kowal-Bielecka, Otylia/T-3378-2018</t>
  </si>
  <si>
    <t>Furst, DE (corresponding author), 1000 Vet Ave,Rm 32-59, Los Angeles, CA 90025 USA.</t>
  </si>
  <si>
    <t>Leibniz Association; Deutsches Rheuma-Forschungszentrum (DRFZ); Technische Universitat Dresden; University of Zurich; University Zurich Hospital; University of London; University College London; Universite Paris Saclay; Assistance Publique Hopitaux Paris (APHP); Hopital Universitaire Antoine-Beclere - APHP; University of Florence; Medical University of Bialystok; Goethe University Frankfurt; University of Queensland; University of California System; University of California San Diego; University of Michigan System; University of Michigan; Stanford University; University of California System; University of California Los Angeles; University of California Los Angeles Medical Center; David Geffen School of Medicine at UCLA</t>
  </si>
  <si>
    <t>[Huscher, D.] German Rheumatism Res Ctr, Berlin, Germany; [Pittrow, D.] Tech Univ Dresden, Fac Med, Inst Clin Pharmacol, Dresden, Germany; [Distler, O.] Univ Zurich Hosp, Dept Rheumatol, Zurich, Switzerland; [Denton, C. P.] Royal Free &amp; Univ Coll Med Sch, Ctr Rheumatol, London WC1E 6BT, England; [Foeldvari, I.] Gen Hosp Eilbek, Hamburger Zentrum Kinder &amp; Jugendrheumatol, Hamburg, Germany; [Humbert, M.] Univ Paris Sud, Hop Antoine Beclere, Ctr Malad Vasc Pulm, Serv Pneumol &amp; Reanimat Resp, Clamart, France; [Matucci-Cerinic, M.] Univ Florence, Denothe Ctr, Dept Med, Div Rheumatol, I-50121 Florence, Italy; [Kowal-Bielecka, O.] Med Univ Bialystok, Dept Rheumatol &amp; Internal Med, Bialystok, Poland; [Avouac, J.] RDU, Rheumatol Dept A, Paris, France; [Behrens, F.] Goethe Univ Frankfurt, ZAFES, Div Rheumatol, Frankfurt, Germany; [Nash, P.] Univ Queensland, Dept Med, Brisbane, Qld 4072, Australia; [Opitz, C. F.] DRK Kliniken Berlin, Med Klin 2, Berlin, Germany; [Rubin, L. J.] Univ Calif San Diego, Sch Med, Div Pulm &amp; Crit Care Med, La Jolla, CA 92093 USA; [Seibold, J. R.] Univ Michigan, Scleroderma Program, Ann Arbor, MI 48109 USA; [Strand, V.] Stanford Univ, Div Rheumatol, Portola Valley, CA USA; [Furst, D. E.] Univ Calif Los Angeles, David Geffen Sch Med, Dept Med, Div Rheumatol, Los Angeles, CA 90095 USA</t>
  </si>
  <si>
    <t>Objective. Pulmonary arterial hypertension in patients with systemic sclerosis is a disease involving multiple organ systems. We investigated the differences in perceptions of how to measure PAH-SSc among cardiologists, pulmonologists and rheumatologists. We also examined how a Delphi exercise can improve agreement among these subspecialties. Methods. The outcome measures derived from the recent Delphi survey were used for a detailed analysis of the contribution of the various specialties contributing to it. We compared rheumatolgists and cardiologist/pulmonologists with regards to preferences and ratings of various endpoints and the actual use of tools to measure these outcomes. We also examined the effects of the Delphi process among these groups. Results. We could show that the different expert groups each tended to contribute differently to the development of the core set of measures and that interactions in the Delphi process resulted in convergence of rankings. Despite agreement on the high importance of the domains in the Delphi, the use of tools within those domains was sometimes divergent and dependent on specialty. Conclusion. Based on these results, use of differing tools in the diagnosis and treatment of PAH-SSc can be anticipated. Further; the convergence of results provides evidence, for the first time, for the ability of various approaches in these disciplines to reach harmonious endpoints of care for PAH-SSc patients. A collaborative, interdisciplinary approach is advantageous for PAH-SSc patients.</t>
  </si>
  <si>
    <t>END-POINTS; TRIALS</t>
  </si>
  <si>
    <t>Systemic sclerosis; pulmonary arterial hypertension; outcome measures; Delphi</t>
  </si>
  <si>
    <t>Interactions between rheumatologists and cardio-/pulmonologists in the assessment and use of outcome measures in pulmonary arterial hypertension related to systemic sclerosis</t>
  </si>
  <si>
    <t>EPOSS OMERACT Grp</t>
  </si>
  <si>
    <t>Huscher, D.; Pittrow, D.; Distler, O.; Denton, C. P.; Foeldvari, I.; Humbert, M.; Matucci-Cerinic, M.; Kowal-Bielecka, O.; Avouac, J.; Behrens, F.; Nash, P.; Opitz, C. F.; Rubin, L. J.; Seibold, J. R.; Strand, V.; Furst, D. E.</t>
  </si>
  <si>
    <t>Huscher, D; Pittrow, D; Distler, O; Denton, CP; Foeldvari, I; Humbert, M; Matucci-Cerinic, M; Kowal-Bielecka, O; Avouac, J; Behrens, F; Nash, P; Opitz, CF; Rubin, LJ; Seibold, JR; Strand, V; Furst, DE</t>
  </si>
  <si>
    <t>WOS:000279203200034</t>
  </si>
  <si>
    <t>[Humbert, Marc] Univ Paris Sud, Fac Med, F-94276 Le Kremlin Bicetre, France; [Humbert, Marc] Hop Antoine Beclere, AP PH, Ctr Natl Reference Hypertens Pulmonaire Severe, Serv Pneumol &amp; Reanimat Respiratoire, F-92140 Clamart, France; [Humbert, Marc] Ctr Chirurg Marie Lannelongue, Le Plessis Robinson, France</t>
  </si>
  <si>
    <t>PULMONARY HYPERTENSION IN SYSTEMIC SCLEROSIS</t>
  </si>
  <si>
    <t>WOS:000279203200206</t>
  </si>
  <si>
    <t>S128</t>
  </si>
  <si>
    <t>Humbert, Marc/AAC-8459-2019; Sitbon, Olivier/I-3623-2019; DE GROOTE, Pascal/LLL-9444-2024; Simonneau, Gerald/ABE-6614-2020; Launay, David/A-5270-2018; HACHULLA, ERIC/R-8488-2018; Launay, David/H-1674-2016</t>
  </si>
  <si>
    <t>Universite de Lille; CHU Lille; Assistance Publique Hopitaux Paris (APHP); Hopital Universitaire Antoine-Beclere - APHP; Assistance Publique Hopitaux Paris (APHP); Universite Paris Cite; Hopital Universitaire Cochin - APHP; Universite de Lille; CHU Lille; Assistance Publique Hopitaux Paris (APHP); Universite Paris Cite; Hopital Universitaire Cochin - APHP</t>
  </si>
  <si>
    <t>[Hachulla, E.; Launay, D.] Hop Claude Huriez, Natl Reference Ctr Scleroderma, Dept Internal Med, Lille, France; [Yaier, A.; Sitbon, O.; Simonneau, G.] Hop Antoine Beclere, Natl Reference Ctr Pulm, Resp Dept, Clamart, France; [Berezne, A.; Mouthon, L.; Guillevin, L.] Hop Cochin, Natl Reference Ctr Vasculitis &amp; Scleroderma, Dept Internal Med, F-75674 Paris, France; [de Groote, P.] Hop Cardiol, Reference Ctr Pulm Hypertens, Dept Cardiol, F-59037 Lille, France; [Hatron, P. Y.] Hop Cochin, Natl Reference Ctr Vasculitis &amp; Scleroderma, Dept Internal Med, Lille, France</t>
  </si>
  <si>
    <t>PULMONARY ARTERIAL HYPERTENSION ASSOCIATED WITH SYSTEMIC SCLEROSIS IN PATIENTS WITH FUNCTIONAL CLASS II DYSPNOEA: MILD SYMPTOMS BUT SEVERE OUTCOME</t>
  </si>
  <si>
    <t>Hachulla, E.; Launay, D.; Yaier, A.; Berezne, A.; de Groote, P.; Sitbon, O.; Mouthon, L.; Guillevin, L.; Hatron, P. Y.; Simonneau, G.; Clerson, P.; Humbert, M.</t>
  </si>
  <si>
    <t>Hachulla, E; Launay, D; Yaier, A; Berezne, A; de Groote, P; Sitbon, O; Mouthon, L; Guillevin, L; Hatron, PY; Simonneau, G; Clerson, P; Humbert, M</t>
  </si>
  <si>
    <t>WOS:000279203200217</t>
  </si>
  <si>
    <t>S131</t>
  </si>
  <si>
    <t>[Calzas, C.; Sahbatou, Y.; Bussone, G.; Broussard, C.; Dib, H.; Guillevini, L.; Mouthon, J.] Paris Descartes, Paris, France; [Weksler, B.] Cornell Univ, Paris, France; [Yaici, A.; Humbert, M.] Univ Paris 11, Clamart, France</t>
  </si>
  <si>
    <t>ANTI-VASCULAR SMOOTH MUSCLE CELLS ANTIBODIES ARE PRESENT IN THE SERUM OF PATIENTS WITH SYSTEMIC SCLEROSIS WITH OR WITHOUT PULMONARY ARTERIAL HYPERTENSION (PAH) AND IDIOPATHIC PAH PATIENTS</t>
  </si>
  <si>
    <t>Calzas, C.; Sahbatou, Y.; Bussone, G.; Broussard, C.; Weksler, B.; Yaici, A.; Dib, H.; Guillevini, L.; Humbert, M.; Mouthon, J.</t>
  </si>
  <si>
    <t>Calzas, C; Sahbatou, Y; Bussone, G; Broussard, C; Weksler, B; Yaici, A; Dib, H; Guillevini, L; Humbert, M; Mouthon, J</t>
  </si>
  <si>
    <t>WOS:000275883200014</t>
  </si>
  <si>
    <t>573BK</t>
  </si>
  <si>
    <t>10.1016/j.jaci.2009.11.033</t>
  </si>
  <si>
    <t>Supported by AstraZeneca AB, Lund, Sweden. Disclosure of potential conflict of interest: E. D. Bateman is on advisory boards for and has received speakers' honoraria from AstraZeneca, GlaxoSmithKline, and Boehringer Ingelheim; is on advisory boards for Nycomed, Merck, ALK-Abello, Hoffmann la Roche (Data Safety Board), and Almirall/Forest Pharmaceuticals; and has received research support from AstraZeneca, GlaxoSmithKline, Merck, Morris Pharmaceuticals, Pfizer, Replidyne Inc. Almirall, Aeras, and Eumedic Inc. P. M. O'Byrne is on advisory boards for and has received speakers' honoraria from AstraZeneca and GlaxoSmithKline; is on advisory boards for Topigen. Wyeth, and Schering; and has received research support from AstraZeneca, GlaxoSmithKline, Merck, Wyeth. Schering, and Alexion. M. R. Sears holds a chair endowed by AstraZeneca; has received consultation fees from AstraZeneca, Merck Frosst, and Schering-Plough; and has received research support from GlaxoSmithKline. T. W. Harrison has received honoraria from AstraZeneca and has received research support from GlaxoSmithKline and Boehringer Ingelheim. R. Buhl has received speakers' fees and consultants' fees, as well as reimbursement for attending scientific conferences from AstraZeneca, and his department has received research support from the Deutsche Forschungsgemeinschaft, Almirall, AstraZeneca, Boehringer Ingelheim. Chiesi, GlaxoSmithKline, and Novartis. S. Quirce is on advisory boards for and has received speakers' honoraria from AstraZeneca and has received research support from Ciber de Enfermedades Respiratorias (CIBERES), Madrid. G. Eriksson, S. Peterson, and O. Ostlund are employed by AstraZeneca. M. Humbert has consulted for Actelion, AstraZeneca, Amgen, Chiesi, GlaxoSmithKline, MSD, Novartis, and Pfizer. C. Jenkins has received speakers' honoraria from GlaxoSmithKline. Novartis, and AstraZeneca and has received research support from GlaxoSmithKline and AstraZeneca. H. K. Reddel is on advisory boards for and has received research support front AstraZeneca and GlaxoSmithKline and has received speakers' honoraria from AstraZeneca, Getz Pharma, and MerckSharp &amp; Dohme.</t>
  </si>
  <si>
    <t>AstraZeneca AB, Lund, Sweden(AstraZeneca); GlaxoSmithKline(GlaxoSmithKline); Merck(Merck &amp; Company); Morris Pharmaceuticals; Pfizer(Pfizer); Replidyne Inc; Almirall(Almirall); Aeras; Eumedic Inc; Wyeth(Wyeth); Boehringer Ingelheim(Boehringer Ingelheim); Deutsche Forschungsgemeinschaft(German Research Foundation (DFG)); Chiesi(Chiesi Pharmaceuticals Inc); Novartis(Novartis); Ciber de Enfermedades Respiratorias (CIBERES)</t>
  </si>
  <si>
    <t>AstraZeneca AB, Lund, Sweden; GlaxoSmithKline; Merck; Morris Pharmaceuticals; Pfizer; Replidyne Inc; Almirall; Aeras; Eumedic Inc; Wyeth; Boehringer Ingelheim; Deutsche Forschungsgemeinschaft; Chiesi; Novartis; Ciber de Enfermedades Respiratorias (CIBERES)</t>
  </si>
  <si>
    <t>Ostlund, Ollie/0000-0001-8028-2308; Humbert, Marc/0000-0003-0703-2892; O'Byrne, Paul/0000-0003-0979-281X; Reddel, Helen/0000-0002-6695-6350</t>
  </si>
  <si>
    <t>Östlund, Ollie/ISB-1645-2023; s, q/AAD-7171-2020; Bateman, Eric/B-7042-2011; Reddel, Helen/IZD-8890-2023; Humbert, Marc/AAC-8459-2019</t>
  </si>
  <si>
    <t>University of Cape Town; University of Sydney; Woolcock Institute of Medical Research; AstraZeneca; Lund University; Skane University Hospital; McMaster University; McMaster University; Universite Paris Saclay; Assistance Publique Hopitaux Paris (APHP); Hopital Universitaire Antoine-Beclere - APHP; Hopital Universitaire Ambroise-Pare - APHP; University Hospital Mainz; University of Nottingham</t>
  </si>
  <si>
    <t>[Bateman, Eric D.] Univ Cape Town, Dept Med, Div Pulmonol, ZA-7700 Cape Town, South Africa; [Reddel, Helen K.; Jenkins, Christine] Woolcock Inst Med Res, Clin Management Grp, Sydney, NSW, Australia; [Eriksson, Goran; Peterson, Stefan; Ostlund, Ollie] AstraZeneca Res &amp; Dev, Lund, Sweden; [Eriksson, Goran] Univ Lund Hosp, Dept Resp Med &amp; Allergol, S-22185 Lund, Sweden; [Sears, Malcolm R.] McMaster Univ, Fac Hlth Sci, Dept Med, Hamilton, ON L8S 4L8, Canada; [O'Byrne, Paul M.] McMaster Univ, Fac Hlth Sci, Michael G DeGroote Sch Med, Hamilton, ON L8S 4L8, Canada; [Humbert, Marc] Univ Paris 11, Hop Antoine Beclere, APHP, Serv Pneumol &amp; Reanimat Resp, Clamart, France; [Buhl, Roland] Mainz Univ Hosp, Dept Pulm, Mainz, Germany; [Harrison, Tim W.] Univ Nottingham, Resp Biomed Res Unit, Nottingham NG7 2RD, England; [Quirce, Santiago] Hosp La Paz Comunidad Autonoma Madrid, Dept Allergy, Madrid, Spain</t>
  </si>
  <si>
    <t>Background: Asthma guidelines emphasize both maintaining current control and reducing future risk, but the relationship between these 2 targets is not well understood. Objective: This retrospective analysis of 5 budesonide/formoterol maintenance and reliever therapy (Symbicort SMART Turbuhaler*) studies assessed the relationship between asthma control questionnaire (ACQ-5) and Global Initiative for Asthma-defined clinical asthma control and future risk of instability and exacerbations. Methods: The percentage of patients with Global Initiative for Asthma defined controlled asthma over time was assessed for budesonide/formoterol maintenance and reliever therapy versus the 3 maintenance therapies; higher dose inhaled corticosteroid (ICS), same dose ICS/long-acting beta(2)-agonist (LABA), and higher dose ICS/LABA plus short-acting beta(2)-agonist. The relationship between baseline ACQ-5 and exacerbations was investigated. A Markov analysis examined the transitional probability of change in control status throughout the studies. Results: The percentage of patients achieving asthma control increased with time, irrespective of treatment; the percentage Controlled/Partly Controlled at study end was at least similar to budesonide/formoterol maintenance and reliever therapy versus the 3 maintenance therapies: higher dose ICS (56% vs 45%), same dose ICS/LABA (56% vs 53%), and higher dose ICS/LABA (54% vs 54%). Baseline ACQ-5 score correlated positively with exacerbation rates. A Controlled or Partly Controlled week predicted at least Partly Controlled asthma the following week (&gt;= 80% probability). The better the control, the lower the risk of an Uncontrolled week. The probability of an exacerbation was related to current state and was lower with budesonide/formoterol maintenance and reliever therapy. Conclusions: Current control predicts future risk of instability and exacerbations. Budesonide/formoterol maintenance and reliever therapy reduces exacerbations versus comparators and achieves at least similar control. (J Allergy Clin Immunol 2010;125:600-8.)</t>
  </si>
  <si>
    <t>HEALTH-CARE UTILIZATION; RANDOMIZED CONTROLLED TRIAL; CONTROL QUESTIONNAIRE; ADULT ASTHMATICS; RELIEVER THERAPY; EXACERBATIONS; MAINTENANCE; BUDESONIDE/FORMOTEROL; BUDESONIDE; ASSOCIATION</t>
  </si>
  <si>
    <t>Asthma control; ACQ; exacerbations; GINA</t>
  </si>
  <si>
    <t>Overall asthma control: The relationship between current control and future risk</t>
  </si>
  <si>
    <t>Bateman, Eric D.; Reddel, Helen K.; Eriksson, Goran; Peterson, Stefan; Ostlund, Ollie; Sears, Malcolm R.; Jenkins, Christine; Humbert, Marc; Buhl, Roland; Harrison, Tim W.; Quirce, Santiago; O'Byrne, Paul M.</t>
  </si>
  <si>
    <t>Bateman, ED; Reddel, HK; Eriksson, G; Peterson, S; Östlund, O; Sears, MR; Jenkins, C; Humbert, M; Buhl, R; Harrison, TW; Quirce, S; O'Byrne, PM</t>
  </si>
  <si>
    <t>WOS:000276156800494</t>
  </si>
  <si>
    <t>576PH</t>
  </si>
  <si>
    <t>Humbert, Marc/AAC-8459-2019; David, Montani/I-6885-2019; Degano, Bruno/IAQ-7289-2023; Sitbon, Olivier/I-3623-2019</t>
  </si>
  <si>
    <t>Universite de Franche-Comte; Institut National de la Sante et de la Recherche Medicale (Inserm); Universite de Toulouse; Universite Toulouse III - Paul Sabatier; Institut National de la Sante et de la Recherche Medicale (Inserm)</t>
  </si>
  <si>
    <t>[Degano, B.] IFR 133, EA 3920, Besancon, France; [Valmary, S.; Brousset, P.] Fac Med Toulouse, INSERM, F-31073 Toulouse, France; [Dorfmueller, P.; Montani, D.; Sitbon, O.; Simmonneau, G.; Dartevelle, P.; Humbert, M.] INSERM, U999, Clamart, France</t>
  </si>
  <si>
    <t>Degano, B.; Valmary, S.; Dorfmueller, P.; Montani, D.; Sitbon, O.; Simmonneau, G.; Dartevelle, P.; Brousset, P.; Humbert, M.</t>
  </si>
  <si>
    <t>Degano, B; Valmary, S; Dorfmüller, P; Montani, D; Sitbon, O; Simmonneau, G; Dartevelle, P; Brousset, P; Humbert, M</t>
  </si>
  <si>
    <t>WOS:000276705900012</t>
  </si>
  <si>
    <t>583UR</t>
  </si>
  <si>
    <t>10.1371/journal.pone.0010128</t>
  </si>
  <si>
    <t>e10128</t>
  </si>
  <si>
    <t>185 BERRY ST, STE 1300, SAN FRANCISCO, CA 94107 USA</t>
  </si>
  <si>
    <t>This study was funded by the authors' institution (GETBO EA3878 Brest). The funders had no role in study design, data collection and analysis, decision to publish, or preparation of the manuscript.</t>
  </si>
  <si>
    <t>[GETBO EA3878 Brest]</t>
  </si>
  <si>
    <t>LE GAL, Gregoire/0000-0002-9253-248X; Humbert, Marc/0000-0003-0703-2892; Frachon, Irene/0000-0001-6666-9709; leroyer, christophe/0000-0002-7601-1692</t>
  </si>
  <si>
    <t>leroyer, christophe/HTT-3905-2023; LE GAL, Gregoire/K-1077-2012; Humbert, Marc/AAC-8459-2019</t>
  </si>
  <si>
    <t>irene.frachon@chu-brest.fr</t>
  </si>
  <si>
    <t>Frachon, I (corresponding author), Univ Europeenne Bretagne, Brest, France.</t>
  </si>
  <si>
    <t>Universite de Bretagne Occidentale; Universite de Bretagne Occidentale; Institut National de la Sante et de la Recherche Medicale (Inserm); CHU Brest; CHU Brest; Institut National de la Sante et de la Recherche Medicale (Inserm); Universite de Bretagne Occidentale; Universite Paris Saclay; Assistance Publique Hopitaux Paris (APHP); Hopital Universitaire Antoine-Beclere - APHP; Universite Paris Saclay; Institut National de la Sante et de la Recherche Medicale (Inserm)</t>
  </si>
  <si>
    <t>[Frachon, Irene; Le Gal, Gregoire; Leroyer, Christophe] Univ Europeenne Bretagne, Brest, France; [Frachon, Irene; Leroyer, Christophe] Univ Brest, EA3878, IFR 148, GETBO, Brest, France; [Frachon, Irene; Leroyer, Christophe] CHU Cavale Blanche, Grp HTAP Bretagne Occidentale, Dept Med Interne &amp; Pneumol, Brest, France; [Etienne, Yves; Jobic, Yannick] CHU Cavale Blanche, Dept Cardiol, Grp HTAP Bretagne Occidentale, Brest, France; [Le Gal, Gregoire] Univ Brest, INSERM, CIC 05 02, IFR148, Brest, France; [Humbert, Marc] Univ Paris Sud, Fac Med, Le Kremlin Bicetre, France; [Humbert, Marc] Hop Antoine Beclere, AP HP, Ctr Natl Reference Hypertens Pulm Severe, Serv Pneumol &amp; Reanimat Resp, Clamart, France; [Humbert, Marc] INSERM, U999, Le Plessis Robinson, France</t>
  </si>
  <si>
    <t>Background: Recent case reports suggest that benfluorex, a fenfluramine derivative used in the management of overweight diabetic patients and dyslipidemia, is associated with cardiac valve regurgitation. Methods: We conducted a case-control study. Eligible patients were those admitted in the cardiology or the cardiac surgery units of our hospital between January, 1(st) 2003 and June 30(th) 2009, with mitral insufficiency diagnostic codes (ICD-10 I340 and I051). Patients with either a primary cause ( degenerative, known rheumatic heart disease, infectious endocarditis, congenital, radiation-induced valvular disease, associated connective and/or vasculitis disease, trauma, tumor) or a secondary ( functional) cause were considered as having an explained'' mitral regurgitation. Other patients were considered as having an unexplained'' mitral regurgitation and were included as cases. For each case, two controls were matched for gender and for the closest date of birth, among a list of patients with an explained'' mitral regurgitation. Drug exposures were assessed blindly regarding the case or control status, through contacts with patients, their family and/or their physicians. Results: Out of the 682 eligible patients, 27 cases and 54 matched controls were identified. The use of benfluorex was reported in 22 patients: 19 of the 27 cases, versus 3 of the 54 controls, odds-ratio 17.1 (3.5 to 83), adjusted for body mass index, diabetes and dexfenfluramine use. Conclusion: The use of benfluorex is associated with unexplained mitral regurgitation.</t>
  </si>
  <si>
    <t>APPETITE-SUPPRESSANT DRUGS; CARDIAC-VALVE REGURGITATION; DOPAMINE AGONISTS; OBESE-PATIENTS; FENFLURAMINE; RISK; PREVALENCE</t>
  </si>
  <si>
    <t>Benfluorex and Unexplained Valvular Heart Disease: A Case-Control Study</t>
  </si>
  <si>
    <t>Frachon, Irene; Etienne, Yves; Jobic, Yannick; Le Gal, Gregoire; Humbert, Marc; Leroyer, Christophe</t>
  </si>
  <si>
    <t>Frachon, I; Etienne, Y; Jobic, Y; Le Gal, G; Humbert, M; Leroyer, C</t>
  </si>
  <si>
    <t>WOS:000280446800012</t>
  </si>
  <si>
    <t>632SA</t>
  </si>
  <si>
    <t>10.1164/rccm.200908-1284OC</t>
  </si>
  <si>
    <t>Supported by grants from the Ministere de l'Enseignement Superieur et de la Recherche and the Universite Paris-Sud. B.G. does not have a financial relationship with a commercial entity that has an interest in the subject of this manuscript. D.M. received lecture fees from Actelion ($1,001-$5,000), Pfizer (up to $1,000), and GlaxoSmithKline (GSK) ($1,001-$5,000). F.C. does not have a financial relationship with a commercial entity that has an interest in the subject of this manuscript. B.S. does not have a financial relationship with a commercial entity that has an interest in the subject of this manuscript. A.Y. does not have a financial relationship with a commercial entity that has an interest in the subject of this manuscript. X.J. served on the board or advisory board for Actelion and Pfizer ($1,001-$5,000), and received lecture fees from Actelion ($5,001-$10,000), Pfizer (up to $1,000), and GSK ($1,001-$5000). D.T. does not have a financial relationship with a commercial entity that has an interest in the subject of this manuscript. A.R. served on the board or advisory board for Sanofi Aventis ($5,001 -$10,000) and for Actelion ($1,001-$5,000). He received lecture fees from Bayer Schering Pharma ($1,001-$5,000), Actelion ($5,001-$10,000), and Praxis ($1,001-$5,000). V.D.-G. does not have a financial relationship with a commercial entity that has an interest in the subject of this manuscript. A.F. received lecture fees and grant support from Actelion ($1,001-$5,000). O.S. served on the board or advisory board for Actelion ($5,001-$10,000) and for GSK and Pfizer ($1,001-$5,000). He received lecture fees from Actelion ($5,001-$10,000), Bayer Schering ($1,001-$5,000), GSK and Pfizer ($1,001-$5,000), and United Therapeutics (up to $1,000). D.S.O. does not have a financial relationship with a commercial entity that has an interest in the subject of this manuscript. G.S. served on the board or advisory board for Actelion ($5,001- $10,000), Merck Sharp &amp; Dohme (MSD), and GSK ($1,001-$5,000). He received lecture fees from Actelion ($5,001-$10,000), Bayer Schering, GSK, and Pfizer ($1,001-$5,000), and United Therapeutics (up to $1,000). F.S. received lecture fees from Actelion Pharmaceuticals (up to $1,000). M.H. served on the board or advisory board for Actelion ($5,001-$10,000) and Novartis, GSK, and MSD ($1,001-$5,000). He received lecture fees from Actelion ($5,001 $10,000), Bayer Schering and GSK ($1,001-$5,000), Pfizer ($1,001-$5,000), and United Therapeutics (up to $1,000).</t>
  </si>
  <si>
    <t>Ministere de l'Enseignement Superieur et de la Recherche(Estonian Research CouncilMinistry of Higher Education &amp; Scientific Research of TunisiaMinistry of Higher Education &amp; Scientific Research, Algeria); Universite Paris-Sud; Actelion; Pfizer(Pfizer); GlaxoSmithKline (GSK)(GlaxoSmithKline); Bayer Schering Pharma(Bayer AG); Praxis; Bayer Schering(Bayer AG); United Therapeutics; Merck Sharp Dohme (MSD)(Merck &amp; Company); Actelion Pharmaceuticals; Novartis(Novartis)</t>
  </si>
  <si>
    <t>Ministere de l'Enseignement Superieur et de la Recherche; Universite Paris-Sud; Actelion; Pfizer; GlaxoSmithKline (GSK); Bayer Schering Pharma; Praxis; Bayer Schering; United Therapeutics; Merck Sharp Dohme (MSD); Actelion Pharmaceuticals; Novartis</t>
  </si>
  <si>
    <t>JAIS, XAVIER/0000-0002-4104-7994; O'Callaghan, Dermot/0000-0002-0561-5800; Humbert, Marc/0000-0003-0703-2892; Reis, Abilio/0000-0002-9932-3736; SITBON, Olivier/0000-0002-1942-1951; Tregouet, David-Alexandre/0000-0001-9084-7800; Montani, David/0000-0002-9358-6922</t>
  </si>
  <si>
    <t>Sitbon, Olivier/I-3623-2019; Reis, Ana Claudia/N-3124-2016; Simonneau, Gerald/ABE-6614-2020; Tregouet, David-Alexandre/E-3961-2016; David, Montani/I-6885-2019; Humbert, Marc/AAC-8459-2019</t>
  </si>
  <si>
    <t>Montani, D (corresponding author), Univ Paris 11, Hop Antoine Beclere, Ctr Natl Reference Hypertens Pulm Severe, Serv Pneumol &amp; Reanimat Resp,AP HP, 157 Rue Porte de Trivaux, F-92140 Clamart, France.</t>
  </si>
  <si>
    <t>Assistance Publique Hopitaux Paris (APHP); Hopital Universitaire Antoine-Beclere - APHP; Universite Paris Saclay; Universite Paris Saclay; Hopital Marie Lannelongue; Institut National de la Sante et de la Recherche Medicale (Inserm); Universite Paris-Est-Creteil-Val-de-Marne (UPEC); Sorbonne Universite; Institut National de la Sante et de la Recherche Medicale (Inserm); Assistance Publique Hopitaux Paris (APHP); Hopital Universitaire Pitie-Salpetriere - APHP; Sorbonne Universite; Institut National de la Sante et de la Recherche Medicale (Inserm); Universite de Rouen Normandie; CHU de Rouen; Aix-Marseille Universite; Assistance Publique-Hopitaux de Marseille</t>
  </si>
  <si>
    <t>[Montani, David] Univ Paris 11, Hop Antoine Beclere, Ctr Natl Reference Hypertens Pulm Severe, Serv Pneumol &amp; Reanimat Resp,AP HP, F-92140 Clamart, France; [Girerd, Barbara; Montani, David; Sitbon, Olivier; O'Callaghan, Dermot S.; Simonneau, Gerald; Humbert, Marc] Univ Paris 11, Fac Med, Le Kremlin Bicetre, France; [Girerd, Barbara; Montani, David; Sitbon, Olivier; O'Callaghan, Dermot S.; Simonneau, Gerald; Humbert, Marc] Ctr Chirurg Marie Lannelongue, INSERM, U99, Le Plessis Robinson, France; [Coulet, Florence; Soubrier, Florent] Univ Paris 06, Grp Hosp Pitie Salpetriere, Lab Oncogenet &amp; Angiogenet Mol, INSERM,Unite Mixte Rech Sante 956, Paris, France; [Tregouet, David] Univ Paris 06, INSERM, Unite Mixte Rech Sante 937, Paris, France; [Reis, Abilio] Ctr Hosp Porto, Hosp Santo Antonio, Unidade Doencas Resp, Oporto, Portugal; [Drouin-Garraud, Valerie] Hop Charles Nicolle, Unite Genet Clin, Rouen, France; [Fraisse, Alain] Univ Mediterranee, Fac Med Marseille, Hop Enfants La Timone, Unite Cardiol Pediat, Marseille, France</t>
  </si>
  <si>
    <t>Rationale: Activin A receptor type II-like kinase-1 (ACVRL1, also known as ALK1) mutation is a cause of hereditary hemorrhagic telangiectasia (HHT) and/or heritable pulmonary arterial hypertension (PAH). Objectives: To describe the characteristics of patients with PAH carrying an ACVRL1 mutation. Methods: We reviewed clinical, functional, and hemodynamic characteristics of 32 patients with PAH carrying an ACVRL1 mutation, corresponding to 9 patients from the French PAH Network and 23 from literature analysis. These cases were compared with 370 patients from the French PAH Network (93 with a bone morphogenetic protein receptor type 2 [BMPR2] mutation and 277 considered as idiopathic cases without identified mutation). Distribution of mutations in the ACVRL1 gene in patients with PAH was compared with the HHT Mutation Database. Measurements and Main Results: At diagnosis, ACVRL1 mutation carriers were significantly younger (21.8 +/- 16.7 yr) than BMPR2 mutation carriers and noncarriers (35.7 +/- 14.9 and 47.6 +/- 16.3 yr, respectively; P &lt; 0.0001). In seven of the nine patients from the French PAH Network, PAH diagnosis preceded manifestations of HHT. ACVRL1 mutation carriers had better hemodynamic status at diagnosis, but none responded to acute vasodilator challenge and they had shorter survival when compared with other patients with PAH despite similar use of specific therapies. ACVRL1 mutations in exon 10 were more frequently observed in patients with PAH, as compared with what was observed in the HHT Mutation Database (33.3 vs. 5%; P &lt;0.0001). Conclusions: ACVRL1 mutation carriers were characterized by a younger age at PAH diagnosis. Despite less severe initial hemodynamics and similar management, these patients had worse prognosis compared with other patients with PAH, suggesting more rapid disease progression.</t>
  </si>
  <si>
    <t>HEREDITARY HEMORRHAGIC TELANGIECTASIA; FACTOR-BETA-RECEPTOR; ARTERIOVENOUS-MALFORMATIONS; BMPR2; GUIDELINES; DIAGNOSIS; CHILDREN; FEATURES; LOCUS</t>
  </si>
  <si>
    <t>bone morphogenetic protein receptor type 2; BMPR2; hemodynamic; hereditary hemorrhagic telangiectasia; pulmonary hypertension</t>
  </si>
  <si>
    <t>Clinical Outcomes of Pulmonary Arterial Hypertension in Patients Carrying an ACVRL1 (ALK1) Mutation</t>
  </si>
  <si>
    <t>Girerd, Barbara; Montani, David; Coulet, Florence; Sztrymf, Benjamin; Yaici, Azzeddine; Jais, Xavier; Tregouet, David; Reis, Abilio; Drouin-Garraud, Valerie; Fraisse, Alain; Sitbon, Olivier; O'Callaghan, Dermot S.; Simonneau, Gerald; Soubrier, Florent; Humbert, Marc</t>
  </si>
  <si>
    <t>Girerd, B; Montani, D; Coulet, F; Sztrymf, B; Yaici, A; Jaïs, X; Tregouet, D; Reis, A; Drouin-Garraud, V; Fraisse, A; Sitbon, O; O'Callaghan, DS; Simonneau, G; Soubrier, F; Humbert, M</t>
  </si>
  <si>
    <t>WOS:000276953600001</t>
  </si>
  <si>
    <t>586ZA</t>
  </si>
  <si>
    <t>10.1097/01.mcp.0000370205.22885.98</t>
  </si>
  <si>
    <t>S9</t>
  </si>
  <si>
    <t>The authors thank Tom Newton, PhD, associated with Elements Communications for providing medical writing assistance supported by Actelion Pharmaceuticals Ltd. Andrew Peacock is supported by the National Services Division of Scotland.</t>
  </si>
  <si>
    <t>Actelion Pharmaceuticals Ltd; National Services Division of Scotland</t>
  </si>
  <si>
    <t>apeacock@udcf.gla.ac.uk</t>
  </si>
  <si>
    <t>Peacock, A (corresponding author), Univ Glasgow, Western Infirm, Scottish Pulm Vasc Unit, Level 8, Glasgow G11 6NT, Lanark, Scotland.</t>
  </si>
  <si>
    <t>University of Glasgow; NSW Health; St Vincents Hospital Sydney; Assistance Publique Hopitaux Paris (APHP); Hopital Universitaire Antoine-Beclere - APHP</t>
  </si>
  <si>
    <t>[Peacock, Andrew] Univ Glasgow, Western Infirm, Scottish Pulm Vasc Unit, Glasgow G11 6NT, Lanark, Scotland; [Keogh, Anne] St Vincents Hosp, Sydney, NSW 2010, Australia; [Humbert, Marc] Hop Antoine Beclere, Paris, France</t>
  </si>
  <si>
    <t>Purpose of review Design and selection of endpoints used in clinical trials is a complex and compelling topic; the diverse needs of clinicians, patients and regulatory authorities represent a challenge in devising the most relevant, meaningful yet practical measures. In trials of therapies for pulmonary arterial hypertension (PAH), a variety of endpoints have been used, including assessments of exercise capacity (6-min walk distance [6MWD]), functional class, hemodynamics, and time to clinical worsening. Most have relied upon 6MWD as the primary endpoint. Recent findings Accumulating experience and expertise suggests that the relevance of the 6-min walk test as a stand-alone measure of efficacy is now a topic for consideration. Furthermore, 6MWD tends to correlate poorly with other endpoints and, most importantly, there is no linear relationship between 6MWD and morbidity/mortality. Although no linear relationship has been identified with other endpoints, time to clinical worsening may be considered a better endpoint for assessing the effectiveness of PAH therapies, in particular the impact of treatment on disease progression, because it is very relevant to the clinical outcome of patients. Treatment of mildly symptomatic patients, for example, has demonstrated a clear delay in time to clinical worsening and the endpoint might be better suited than others to demonstrate the efficacy of combination therapy. Summary As the field of PAH develops and progresses, time to clinical worsening may be the best way currently of distinguishing between the increasing number of treatment options available. A clear definition must, therefore, be established, with adjudication by an expert panel; the needs of clinicians, patients, and regulators should be balanced when selecting the most appropriate endpoints.</t>
  </si>
  <si>
    <t>6-MINUTE WALK TEST; QUALITY-OF-LIFE; BRAIN NATRIURETIC PEPTIDE; INTRAVENOUS EPOPROSTENOL; 1ST-LINE BOSENTAN; HEART-FAILURE; DOUBLE-BLIND; THERAPY; SURVIVAL; SITAXSENTAN</t>
  </si>
  <si>
    <t>clinical worsening; morbidity; mortality; survival; time to clinical worsening</t>
  </si>
  <si>
    <t>Endpoints in pulmonary arterial hypertension: the role of clinical worsening</t>
  </si>
  <si>
    <t>Peacock, Andrew; Keogh, Anne; Humbert, Marc</t>
  </si>
  <si>
    <t>Peacock, A; Keogh, A; Humbert, M</t>
  </si>
  <si>
    <t>WOS:000276736400016</t>
  </si>
  <si>
    <t>584FM</t>
  </si>
  <si>
    <t>10.1093/rheumatology/kep449</t>
  </si>
  <si>
    <t>The authors would like to thank E. H., D. L., P. C. and M. H. for the study design; E. H., D. L., P.deG., L. M., A. B., L. G., P.-Y.H., A.Y., O.S., G. S. and M. H. for acquisition of data; E. H., D. L., P.deG., P. C. and M. H. for the analysis and interpretation of data; E. H., D. L., P. C. and M. H. for manuscript preparation; and P. C. for statistical analysis. The authors wish to gratefully acknowledge the contribution of all investigators who participated in the study (Appendix 1). The authors also thank Elements Communications Ltd for providing medical writing assistance supported by Actelion Pharmaceuticals, France.</t>
  </si>
  <si>
    <t>SITBON, Olivier/0000-0002-1942-1951; LAMBLIN, NICOLAS/0000-0003-3754-1241; Launay, David/0000-0003-1840-1817; HACHULLA, ERIC/0000-0001-7432-847X; Humbert, Marc/0000-0003-0703-2892; de Groote, Pascal/0000-0002-6211-0147; lambert, marc/0000-0002-3485-8238; JAIS, XAVIER/0000-0002-4104-7994</t>
  </si>
  <si>
    <t>Sitbon, Olivier/I-3623-2019; Launay, David/JDM-2536-2023; Simonneau, Gerald/ABE-6614-2020; meroni, pier/K-8473-2016; DE GROOTE, Pascal/LLL-9444-2024; HACHULLA, ERIC/R-8488-2018; Launay, David/H-1674-2016; Humbert, Marc/AAC-8459-2019; lambert, marc/V-7380-2017</t>
  </si>
  <si>
    <t>Hachulla, E (corresponding author), Univ Lille, Claude Huriez Hosp, Natl Reference Ctr Scleroderma, Dept Internal Med, F-59037 Lille, France.</t>
  </si>
  <si>
    <t>Universite de Lille; CHU Lille; Assistance Publique Hopitaux Paris (APHP); Hopital Universitaire Antoine-Beclere - APHP; Universite Paris Saclay; Universite Paris Saclay; Institut National de la Sante et de la Recherche Medicale (Inserm); Hopital Marie Lannelongue; Universite Paris Cite; Assistance Publique Hopitaux Paris (APHP); Universite de Lille; CHU Lille</t>
  </si>
  <si>
    <t>[Hachulla, Eric; Launay, David; Hatron, Pierre-Yves] Univ Lille 2, Claude Huriez Hosp, Natl Reference Ctr Scleroderma, Dept Internal Med, Lille, France; [Yaici, Azzedine; Sitbon, Olivier; Simonneau, Gerald; Humbert, Marc] Hop Antoine Beclere, Resp Dept, AP HP, Natl Reference Ctr Pulm Hypertens, Clamart, France; [Yaici, Azzedine; Sitbon, Olivier; Simonneau, Gerald; Humbert, Marc] Univ Paris 11, Fac Med, Le Kremlin Bicetre, France; [Yaici, Azzedine; de Groote, Pascal; Sitbon, Olivier; Simonneau, Gerald; Humbert, Marc] INSERM, U999, Ctr Chirurg Marie Lannelongue, Le Plessis Robinson, France; [Berezne, Alice; Mouthon, Luc; Guillevin, Loic] Univ Paris 05, UPRES EA 4058, Dept Internal Med,AP HP, Natl Reference Ctr Vasculitis &amp; Scleroderma,Hop C, Paris, France; [de Groote, Pascal] Univ Lille 2, Dept Cardiol, Reference Ctr Pulm Hypertens, Hop Cardiol, Lille, France; [Clerson, Pierre] Orgametrie Biostat, Roubaix, France</t>
  </si>
  <si>
    <t>Objective. To describe the history of SSc-associated pulmonary arterial hypertension (SSc-PAH) in patients with New York Heart Association (NYHA) functional class (FC) II dyspnoea at diagnosis. Methods. Data at the time of diagnosis were collected and analysed retrospectively for 77 consecutive patients with SSc-PAH. Results. Twelve patients (15.6%) presented with PAH and NYHA FC II dyspnoea. After a mean follow-up of 44 months, only 4 out of the 12 PAH patients remained stable in FC II, while 8 showed worsening to FC III or IV. Three patients died during the observation period; two from PAH and one from rectal cancer. Survival in patients in FC II at diagnosis was 100, 91 and 80% at 1, 2 and 3 years, respectively. Conclusions. A majority of patients with mildly symptomatic SSc-PAH in NYHA FC II at diagnosis have a severe disease with poor prognosis.</t>
  </si>
  <si>
    <t>Pulmonary arterial hypertension; Systemic sclerosis</t>
  </si>
  <si>
    <t>Pulmonary arterial hypertension associated with systemic sclerosis in patients with functional class II dyspnoea: mild symptoms but severe outcome</t>
  </si>
  <si>
    <t>Hachulla, Eric; Launay, David; Yaici, Azzedine; Berezne, Alice; de Groote, Pascal; Sitbon, Olivier; Mouthon, Luc; Guillevin, Loic; Hatron, Pierre-Yves; Simonneau, Gerald; Clerson, Pierre; Humbert, Marc</t>
  </si>
  <si>
    <t>Hachulla, E; Launay, D; Yaici, A; Berezne, A; de Groote, P; Sitbon, O; Mouthon, L; Guillevin, L; Hatron, PY; Simonneau, G; Clerson, P; Humbert, M</t>
  </si>
  <si>
    <t>WOS:000277334800001</t>
  </si>
  <si>
    <t>591WB</t>
  </si>
  <si>
    <t>10.1183/09031936.00035310</t>
  </si>
  <si>
    <t>Humbert, Marc/0000-0003-0703-2892; Puente-Maestu, Luis/0000-0001-8501-0117</t>
  </si>
  <si>
    <t>Andrea, Aliverti/A-3901-2015; Humbert, Marc/AAC-8459-2019</t>
  </si>
  <si>
    <t>pmacal@liverpool.ac.uk</t>
  </si>
  <si>
    <t>Calverley, P (corresponding author), Aintree Univ Hosp NHS Fdn Trust, Dept Med, Ctr Clin Sci, Longmoor Lane, Liverpool L9 7AL, Merseyside, England.</t>
  </si>
  <si>
    <t>University of Liverpool; Aintree University Hospitals NHS Foundation Trust; University of Milano-Bicocca; Polytechnic University of Milan; General University Gregorio Maranon Hospital; University of Antwerp; Assistance Publique Hopitaux Paris (APHP); Hopital Universitaire Antoine-Beclere - APHP; Universite Paris Saclay</t>
  </si>
  <si>
    <t>[Calverley, P.] Aintree Univ Hosp NHS Fdn Trust, Dept Med, Ctr Clin Sci, Liverpool L9 7AL, Merseyside, England; [Miserocchi, G.] Univ Milano Bicocca, Dept Expt Med, Monza, Italy; [Aliverti, A.] Politecn Milan, Dipartimento Bioingn, I-20133 Milan, Italy; [Puente Maestu, L.] Hosp Gen Univ Gregorio Maranon, Madrid, Spain; [De Backer, W.] Univ Antwerp Hosp, Dept Pneumol, Edegem, Belgium; [Andrease, S.] Lungenfachklin Immenhausen, Immenhausen, Germany; [Humbert, M.] Univ Paris 11, Hop Antoine Beclere, Clamart, France</t>
  </si>
  <si>
    <t>PULMONARY VENOOCCLUSIVE DISEASE; OBSTRUCTIVE SLEEP-APNEA; EXERCISE TOLERANCE; PHYSICAL-ACTIVITY; HEART-FAILURE; UPPER AIRWAY; LUNG EDEMA; COPD; HYPERINFLATION; LIMITATION</t>
  </si>
  <si>
    <t>The changing face of respiratory physiology: 20 years of progress within the ERS Clinical Physiology and Integrative Biology Assembly contribution to the celebration of 20 years of the ERS</t>
  </si>
  <si>
    <t>Calverley, P.; Miserocchi, G.; Puente Maestu, L.; Aliverti, A.; De Backer, W.; Andrease, S.; Humbert, M.</t>
  </si>
  <si>
    <t>Calverley, P; Miserocchi, G; Maestu, LP; Aliverti, A; De Backer, W; Andrease, S; Humbert, M</t>
  </si>
  <si>
    <t>WOS:000278194000016</t>
  </si>
  <si>
    <t>603FL</t>
  </si>
  <si>
    <t>10.1183/09031936.00070209</t>
  </si>
  <si>
    <t>JAIS, XAVIER/0000-0002-4104-7994; SITBON, Olivier/0000-0002-1942-1951; BERTOLETTI, Laurent/0000-0001-8214-3010; Souza, Rogerio/0000-0003-2789-9143; Humbert, Marc/0000-0003-0703-2892</t>
  </si>
  <si>
    <t>Sitbon, Olivier/I-3623-2019; Bertoletti, Laurent/X-1319-2019; Simonneau, Gerald/ABE-6614-2020; Souza, Rogerio/I-3584-2013; Humbert, Marc/AAC-8459-2019</t>
  </si>
  <si>
    <t>Sztrymf, B (corresponding author), Hop Antoine Beclere, Serv Pneumol &amp; Reanimat Resp, UPRES EA 2705, Ctr Malad Vasc Pulm,AP HP, 157 Rue Porte de Trivaux, F-92140 Clamart, France.</t>
  </si>
  <si>
    <t>[Sztrymf, B.] Hop Antoine Beclere, Serv Pneumol &amp; Reanimat Resp, UPRES EA 2705, Ctr Malad Vasc Pulm,AP HP, F-92140 Clamart, France; Univ Paris 11, Clamart, France</t>
  </si>
  <si>
    <t>Acute right ventricular failure in the setting of pulmonary arterial hypertension (PAH) often requires hospitalisation in intensive care units (ICU) to manage the subsequent low cardiac output and its consequences. There are very few data on these acute events. We recorded demographic, clinical and biological data and therapy in consecutive patients suffering from acute right heart failure requiring catecholamine treatment in the ICU of the French referral centre for pulmonary hypertension. These variables were analysed according to the survival status in ICU. 46 patients were included, the mean age was 50.3 yrs. ICU mortality was 41%. We found no difference in terms of demographics, clinical data, last haemodynamic measurements at admission. Systemic arterial pressure was significantly lower in the subgroup of patients whose clinical course was fatal. Plasma brain natriuretic peptide (BNP), C-reactive protein (CRP), serum sodium and creatinine at admission correlated with survival. Demonstration of an infection during the ICU stay was associated with a worse prognosis. These preliminary results underline the importance of some simple clinical and biological parameters in the prognostic evaluation of acute heart failure in the setting of PAH. Whether these parameters can guide therapy needs to be further investigated.</t>
  </si>
  <si>
    <t>BRAIN NATRIURETIC PEPTIDE; RIGHT-VENTRICULAR FAILURE; CARDIAC-OUTPUT; DYSFUNCTION; EMBOLISM; DOBUTAMINE; ASSOCIATION; VASOPRESSIN; MANAGEMENT; TOLVAPTAN</t>
  </si>
  <si>
    <t>Brain natriuretic peptide; heart failure; intensive care unit; pulmonary arterial hypertension; survival</t>
  </si>
  <si>
    <t>Prognostic factors of acute heart failure in patients with pulmonary arterial hypertension</t>
  </si>
  <si>
    <t>Sztrymf, B.; Souza, R.; Bertoletti, L.; Jais, X.; Sitbon, O.; Price, L. C.; Simonneau, G.; Humbert, M.</t>
  </si>
  <si>
    <t>Sztrymf, B; Souza, R; Bertoletti, L; Jaïs, X; Sitbon, O; Price, LC; Simonneau, G; Humbert, M</t>
  </si>
  <si>
    <t>WOS:000278194000017</t>
  </si>
  <si>
    <t>10.1183/09031936.00113009</t>
  </si>
  <si>
    <t>This study was supported, in part, by grants from the Ministry of Higher Education and Research and the University of Paris-South 11 (both Paris, France) to D. Montani. L.C. Price was supported by a European Respiratory Society (ERS) Long-term Research Fellowship (no. 139).</t>
  </si>
  <si>
    <t>Ministry of Higher Education and Research(Ministry of Higher Education &amp; Scientific Research (MHESR)); University of Paris-South 11 (both Paris, France); European Respiratory Society (ERS)</t>
  </si>
  <si>
    <t>Ministry of Higher Education and Research; University of Paris-South 11 (both Paris, France); European Respiratory Society (ERS) [139]</t>
  </si>
  <si>
    <t>Montani, David/0000-0002-9358-6922; Humbert, Marc/0000-0003-0703-2892; JAIS, XAVIER/0000-0002-4104-7994; SITBON, Olivier/0000-0002-1942-1951; MERCIER, Frederic/0000-0002-1289-2849</t>
  </si>
  <si>
    <t>Sitbon, Olivier/I-3623-2019; MERCIER, Frederic/HWQ-3001-2023; David, Montani/I-6885-2019; Simonneau, Gerald/ABE-6614-2020; Humbert, Marc/AAC-8459-2019</t>
  </si>
  <si>
    <t>Humbert, M (corresponding author), Univ Paris 11, Hop Antoine Beclere, Ctr Natl Reference Hypertens Arterielle Pulm, Serv Pneumol,AP HP, 157 Rue Porte de Trivaux, F-92140 Clamart, France.</t>
  </si>
  <si>
    <t>Universite Paris Saclay; Assistance Publique Hopitaux Paris (APHP); Hopital Universitaire Antoine-Beclere - APHP; Universite Paris Saclay; Assistance Publique Hopitaux Paris (APHP); Hopital Universitaire Antoine-Beclere - APHP; Hopital Marie Lannelongue; Institut National de la Sante et de la Recherche Medicale (Inserm); Universite Paris Saclay</t>
  </si>
  <si>
    <t>[Price, L. C.; Montani, D.; Jais, X.; Simonneau, G.; Sitbon, O.; Humbert, M.] Univ Paris 11, Fac Med, Le Kremlin Bicetre, France; [Price, L. C.; Montani, D.; Jais, X.; Simonneau, G.; Sitbon, O.; Humbert, M.] Hop Antoine Beclere, Serv Pneumol &amp; Reanimat Resp, Ctr Natl Reference Hypertens Pulm Severe, Clamart, France; [Dick, J. R.; Mercier, F. J.] Univ Paris 11, Hop Antoine Beclere, AP HP, Dept Anesthesie Reanimat, F-92140 Clamart, France; [Price, L. C.; Montani, D.; Jais, X.; Simonneau, G.; Sitbon, O.; Humbert, M.] Ctr Chirurg Marie Lannelongue, Inst Paris Sud Innovat Therapeut, INSERM, U999, Le Plessis Robinson, France</t>
  </si>
  <si>
    <t>The anaesthetic management and follow-up of well-characterised patients with pulmonary arterial hypertension presenting for noncardiothoracic nonobstetric surgery has rarely been described. The details of consecutive patients and perioperative complications during the period January 2000 to December 2007 were reviewed. Repeat procedures in duplicate patients were excluded. Longer term outcomes included New York Heart Association (NYHA) functional class, 6-min walking distance and invasive haemodynamics. A total of 28 patients were identified as having undergone major (57%) or minor surgery under general (50%) and regional anaesthesia. At the time of surgery, 75% of patients were in NYHA functional class I-II. Perioperative deaths occurred in 7%. Perioperative complications, all related to pulmonary hypertension, occurred in 29% of all patients and in 17% of those with no deaths during scheduled procedures. Most (n=11, 92%) of the complications occurred in the first 48 h following surgery. In emergencies (n=4), perioperative complication and death rates were higher (100 and 50%, respectively; p&lt;0.005). Risk factors for complications were greater for emergency surgery (p&lt;0.001), major surgery (p=0.008) and a long operative time (193 versus 112 min; p=0.003). No significant clinical or haemodynamic deterioration was seen in survivors at 3-6 or 12 months of post-operative follow-up. Despite optimal management in this mostly nonsevere pulmonary hypertension population, perioperative complications were common, although survivors remained stable.</t>
  </si>
  <si>
    <t>RIGHT-VENTRICULAR FAILURE; CONGENITAL HEART-DISEASE; ARTERIAL-HYPERTENSION; NITROUS-OXIDE; NONCARDIAC SURGERY; MAJOR SURGERY; ANESTHESIA; PREGNANCY; ISOFLURANE; MANAGEMENT</t>
  </si>
  <si>
    <t>Anaesthesia; perioperative complications; perioperative mortality; pulmonary hypertension; pulmonary hypertensive crisis; right ventricular failure</t>
  </si>
  <si>
    <t>Noncardiothoracic nonobstetric surgery in mild-to-moderate pulmonary hypertension</t>
  </si>
  <si>
    <t>Price, L. C.; Montani, D.; Jais, X.; Dick, J. R.; Simonneau, G.; Sitbon, O.; Mercier, F. J.; Humbert, M.</t>
  </si>
  <si>
    <t>Price, LC; Montani, D; Jaïs, X; Dick, JR; Simonneau, G; Sitbon, O; Mercier, FJ; Humbert, M</t>
  </si>
  <si>
    <t>WOS:000280132100006</t>
  </si>
  <si>
    <t>628PH</t>
  </si>
  <si>
    <t>10.1016/S0755-4982(10)70006-3</t>
  </si>
  <si>
    <t>1S45</t>
  </si>
  <si>
    <t>1S41</t>
  </si>
  <si>
    <t>Humbert, M (corresponding author), Hop Antoine Beclere, AP HP, Serv Pneumol &amp; Reanimat Resp, Ctr Reference Natl Hypertens Pulm Severe, F-92140 Clamart, France.</t>
  </si>
  <si>
    <t>Assistance Publique Hopitaux Paris (APHP); Hopital Universitaire Antoine-Beclere - APHP; Universite Paris Saclay; Hopital Marie Lannelongue; Universite Paris Saclay; Institut National de la Sante et de la Recherche Medicale (Inserm)</t>
  </si>
  <si>
    <t>[Humbert, Marc] Hop Antoine Beclere, AP HP, Serv Pneumol &amp; Reanimat Resp, Ctr Reference Natl Hypertens Pulm Severe, F-92140 Clamart, France; [Humbert, Marc] Univ Paris 11, F-91405 Orsay, France; [Humbert, Marc] Ctr Chirurg Marie Lannelongue, IPSIT, INSERM, U999, F-92350 Le Plessis Robinson, France</t>
  </si>
  <si>
    <t>Idiopathic pulmonary arterial hypertension (PAH) is a rare disease characterized by a progressive increase in pulmonary vascular resistance leading to right heart failure and death. Recent survival data in PAH cohorts have been biased by the inclusion of prevalent patients (survivors) who have a better prognosis than incident cases. Nevertheless, a critical analysis of recent multicenter incident cohorts has shown survival improvements in the current management era, thanks to better management. However idiopathic PAH remains a severe disease with a poor prognosis. Current recommendations emphasize the necessity of an aggressive goal-oriented management of symptomatic PAH. Modern survival figures also highlight the relevance of lung transplantation in eligible PAH patients refractory to current best standard of care.</t>
  </si>
  <si>
    <t>A critical analysis of survival in idiopathic pulmonary arterial hypertension</t>
  </si>
  <si>
    <t>WOS:000280132100007</t>
  </si>
  <si>
    <t>10.1016/S0755-4982(10)70007-5</t>
  </si>
  <si>
    <t>1S50</t>
  </si>
  <si>
    <t>1S46</t>
  </si>
  <si>
    <t>JAIS, XAVIER/0000-0002-4104-7994; Frachon, Irene/0000-0001-6666-9709; Gut Gobert, christophe/0000-0002-2253-7568; Humbert, Marc/0000-0003-0703-2892; leroyer, christophe/0000-0002-7601-1692</t>
  </si>
  <si>
    <t>leroyer, christophe/HTT-3905-2023; Humbert, Marc/AAC-8459-2019</t>
  </si>
  <si>
    <t>Frachon, I (corresponding author), Univ Europeenne Bretagne, Rennes, France.</t>
  </si>
  <si>
    <t>Universite de Bretagne Occidentale; Institut National de la Sante et de la Recherche Medicale (Inserm); Universite de Bretagne Occidentale; CHU Brest; Universite de Bretagne Occidentale; Assistance Publique Hopitaux Paris (APHP); Hopital Universitaire Antoine-Beclere - APHP; CHU Brest; Universite de Bretagne Occidentale; Universite Paris Saclay; Assistance Publique Hopitaux Paris (APHP); Hopital Universitaire Antoine-Beclere - APHP; Assistance Publique Hopitaux Paris (APHP); Hopital Universitaire Antoine-Beclere - APHP</t>
  </si>
  <si>
    <t>[Frachon, Irene; Gut-Gobert, Christophe; Leroyer, Christophe] Univ Europeenne Bretagne, Rennes, France; [Frachon, Irene; Gut-Gobert, Christophe; Leroyer, Christophe] Univ Brest, GETBO EA3878, IFR 148, Brest, France; [Frachon, Irene; Gut-Gobert, Christophe; Leroyer, Christophe] CHRU Brest, Dept Med Interne &amp; Pneumol, Grp HTAP Bretagne Occidentale, F-29609 Brest, France; [Gaudin, Stephanie Pozzi] Hop Antoine Beclere, Serv Gynecol Obstet &amp; Med Reprod, F-92140 Clamart, France; [Jezequel, Catherine] CHRU Brest, Dept Obstet Gynecol, F-29609 Brest, France; [Jais, Xavier; Humbert, Marc] Univ Paris 11, F-91405 Orsay, France; [Jais, Xavier; Humbert, Marc] Hop Antoine Beclere, Serv Pneumol &amp; Reanimat Resp, Ctr Reference Natl Hypertens Pulm Severe, F-92140 Clamart, France; [Christophe, Sandrine Roger] Hop Antoine Beclere, Dept Anesthesie Reanimat, F-92140 Clamart, France</t>
  </si>
  <si>
    <t>Despite therapeutic advances, maternal mortality is high in pulmonary arterial hypertension (PAH). PAH treatment may interfere with the proposed method of contraception. Moreover, some treatments (endothelin receptor antagonists, anti-vitamin K) are teratogenic. If pregnancy is strictly not recommended in PAH, few specific contraceptive guidelines ore available. The contraceptive method must be discussed on a case by case basis with the patient, the reference team for PAH, and the gynecology department. The advantages of the intrauterine device (IUD) with progesterone (reliability, simplicity, compliance, few contraindications and interactions, possibility of use in the nulliparous patient, reimbursement by the healthcare system) make it a good contraceptive choice in these circumstances. Therapeutic abortion is a situation of contraceptive failure, it must always be performed in hospitals. It must lead to effective contraceptive advice.</t>
  </si>
  <si>
    <t>HEART-DISEASE; WOMEN; PREGNANCY</t>
  </si>
  <si>
    <t>Contraception, abortion, and pulmonary arterial hypertension</t>
  </si>
  <si>
    <t>Frachon, Irene; Gaudin, Stephanie Pozzi; Jezequel, Catherine; Jais, Xavier; Gut-Gobert, Christophe; Christophe, Sandrine Roger; Humbert, Marc; Leroyer, Christophe</t>
  </si>
  <si>
    <t>Frachon, I; Gaudin, SP; Jezequel, C; Jaïs, X; Gut-Gobert, C; Christophe, SR; Humbert, M; Leroyer, C</t>
  </si>
  <si>
    <t>WOS:000278561400010</t>
  </si>
  <si>
    <t>608DB</t>
  </si>
  <si>
    <t>10.1378/chest.09-2060</t>
  </si>
  <si>
    <t>O'Callaghan, Dermot/0000-0002-0561-5800; SITBON, Olivier/0000-0002-1942-1951; Humbert, Marc/0000-0003-0703-2892; JAIS, XAVIER/0000-0002-4104-7994; Degano, Bruno/0000-0003-1644-7264</t>
  </si>
  <si>
    <t>Savale, Laurent/AAJ-9781-2020; Degano, Bruno/IAQ-7289-2023; Sitbon, Olivier/I-3623-2019; Simonneau, Gerald/ABE-6614-2020; Humbert, Marc/AAC-8459-2019</t>
  </si>
  <si>
    <t>Degano, B (corresponding author), Hop Antoine Beclere, Serv Pneumol, 157 Rue Porte Trivaux, F-92141 Clamart, France.</t>
  </si>
  <si>
    <t>Universite Paris Saclay; Assistance Publique Hopitaux Paris (APHP); Hopital Universitaire Antoine-Beclere - APHP; Universite Paris Saclay; Hopital Marie Lannelongue; Institut National de la Sante et de la Recherche Medicale (Inserm)</t>
  </si>
  <si>
    <t>Univ Paris Sud, Fac Med, Le Kremlin Bicetre, France; Hop Antoine Beclere, AP HP, Ctr Natl Reference Hypertens Pulm Severe, Serv Pneumol &amp; Reanimat Resp, F-92141 Clamart, France; Ctr Chirurg Marie Lannelongue, INSERM, U999, Le Plessis Robinson, France</t>
  </si>
  <si>
    <t>Background: At diagnosis of pulmonary, arterial hypertension (PAH), some patients are considered to have a near-normal 6-min walk distance (6MWD) (ie, &gt;450 m). Because they are generally excluded from randomized controlled trials, little is known about these patients. Methods: NW analyzed the baseline characteristics and treatment responses of 49 consecutive patients with a 6MWD &gt;450 m at the time of newly diagnosed PAH. Data from this cohort were then compared with data from hemodynamically matched patients with a 6MWD &lt;= 450 m. Results: Patients with a 6MWD &gt;450 in were either in World Health Organization (WHO) functional class (FC) II (n = 23) or III (n = 26) at baseline. Compared with patients in FC II, those in FC III had more severe hemodynamic impairment (ie, a lower cardiac index and higher pulmonary vascular pressures and resistance) but similar 6MWD. At first evaluation after initiation of PAH-specific treatment (3-6 months), FC improved (FC I-II; n = 38; FC III; n = 11, P &lt; .005) and cardiac index increased. However, 6MWD remained unchanged. Compared with matched patients with a 6MWD 450 m (n = 98), individuals with a 6MWD &gt;450 m were approximately 9 years younger (P = .0006) and had a lower BMI (P = .0009). Conclusions: Anthropometric characteristics such as younger age and lower BMI may explain higher 6MWD in some PAH patients. In the cohort of patients with a 6MWD &gt;450 m, hemodynamic indices and WHO FC were more sensitive than 6MWD in detecting changes secondary to PAH-specific treatments. CHEST 2010; 137(6):1297-1303</t>
  </si>
  <si>
    <t>6-MINUTE WALK; BOSENTAN THERAPY; CONTROLLED-TRIAL; CLINICAL-TRIALS; DOUBLE-BLIND; GUIDELINES; ADULTS</t>
  </si>
  <si>
    <t>Characterization of Pulmonary Arterial Hypertension Patients Walking More Than 450 m in 6 Min at Diagnosis</t>
  </si>
  <si>
    <t>Degano, Bruno; Sitbon, Olivier; Savale, Laurent; Garcia, Gilles; O'Callaghan, Dermot S.; Jais, Xavier; Humbert, Marc; Simonneau, Gerald</t>
  </si>
  <si>
    <t>Degano, B; Sitbon, O; Savale, L; Garcia, G; O'Callaghan, DS; Jaïs, X; Humbert, M; Simonneau, G</t>
  </si>
  <si>
    <t>WOS:000278194000029</t>
  </si>
  <si>
    <t>10.1183/09031936.00175909</t>
  </si>
  <si>
    <t>Adir, Y (corresponding author), Technion Israel Inst Technol, Fac Med, Div Pulm, Carmel Med Ctr, 7 Michal St, Haifa, Israel.</t>
  </si>
  <si>
    <t>Clalit Health Services; Carmel Medical Center; Technion Israel Institute of Technology; Rappaport Faculty of Medicine; Universite Paris Saclay; Assistance Publique Hopitaux Paris (APHP); Hopital Universitaire Antoine-Beclere - APHP</t>
  </si>
  <si>
    <t>[Adir, Y.] Technion Israel Inst Technol, Fac Med, Div Pulm, Carmel Med Ctr, Haifa, Israel; [Humbert, M.] Univ Paris 11, Vasc Pulm Dis Ctr, Dept Pulm Dis, Hop Paris, Clamart, France</t>
  </si>
  <si>
    <t>Pulmonary hypertension (PH) is a severe haemodynamic disorder in which the pulmonary artery pressure is persistently elevated, leading to right-sided heart failure and death. Recently, chronic myeloproliferative diseases associated with pulmonary hypertension were included in the group 5 category, corresponding to PH for which the aetiology is unclear and/or multifactorial. In this review we will describe the distinct forms of PH in the context of the myeloproliferative diseases chronic thromboembolic pulmonary hypertension and pre-capillary PH mimicking pulmonary arterial hypertension. The epidemiology, mechanisms and treatment approaches will be discussed.</t>
  </si>
  <si>
    <t>AGNOGENIC MYELOID METAPLASIA; ERYTHROID COLONY FORMATION; ESSENTIAL THROMBOCYTHEMIA; POLYCYTHEMIA-VERA; VEIN-THROMBOSIS; RISK-FACTORS; ARTERIAL-HYPERTENSION; FACTOR EXPRESSION; CLINICAL-COURSE; IN-VITRO</t>
  </si>
  <si>
    <t>Chronic thromboembolic pulmonary hypertension; essential thrombocytosis; myeloproliferative disorders; polycythaemia vera; pulmonary hypertension; pulmonary veno-occlusive disease</t>
  </si>
  <si>
    <t>Pulmonary hypertension in patients with chronic myeloproliferative disorders</t>
  </si>
  <si>
    <t>Adir, Y.; Humbert, M.</t>
  </si>
  <si>
    <t>Adir, Y; Humbert, M</t>
  </si>
  <si>
    <t>WOS:000280286900001</t>
  </si>
  <si>
    <t>630QA</t>
  </si>
  <si>
    <t>10.1186/1465-9921-11-73</t>
  </si>
  <si>
    <t>JUN 10</t>
  </si>
  <si>
    <t>Sitbon, Olivier/I-3623-2019; EYRIES, melanie/ABF-1034-2020; Simonneau, Gerald/ABE-6614-2020; David, Montani/I-6885-2019; Humbert, Marc/AAC-8459-2019</t>
  </si>
  <si>
    <t>Montani, D (corresponding author), Univ Paris 11, Fac Med, F-94276 Le Kremlin Bicetre, France.</t>
  </si>
  <si>
    <t>Universite Paris Saclay; Assistance Publique Hopitaux Paris (APHP); Hopital Universitaire Antoine-Beclere - APHP; Hopital Marie Lannelongue; Institut National de la Sante et de la Recherche Medicale (Inserm); Universite Paris Saclay; Assistance Publique Hopitaux Paris (APHP); Hopital Universitaire Pitie-Salpetriere - APHP; Sorbonne Universite; Institut National de la Sante et de la Recherche Medicale (Inserm)</t>
  </si>
  <si>
    <t>[Girerd, Barbara; Montani, David; Yaici, Azzedine; Sztrymf, Benjamin; Sitbon, Olivier; Simonneau, Gerald; Humbert, Marc] Univ Paris 11, Fac Med, F-94276 Le Kremlin Bicetre, France; [Girerd, Barbara; Montani, David; Yaici, Azzedine; Sztrymf, Benjamin; Sitbon, Olivier; Simonneau, Gerald; Humbert, Marc] Hop Antoine Beclere, AP HP, Ctr Natl Reference Hypertens Pulm Severe, Serv Pneumol &amp; Reanimat Resp, F-92140 Clamart, France; [Girerd, Barbara; Montani, David; Yaici, Azzedine; Sztrymf, Benjamin; Sitbon, Olivier; Simonneau, Gerald; Humbert, Marc] INSERM, U999, Ctr Chirurg Marie Lannelongue, F-92350 Le Plessis Robinson, France; [Eyries, Melanie; Coulet, Florence; Soubrier, Florent] Univ Paris 06, INSERM, Lab Oncogenet &amp; Angiogenet Mol,UMRS 956, Grp Hosp Pitie Salpetriere, F-75651 Paris, France</t>
  </si>
  <si>
    <t>Background: Previous studies indicate that patients with pulmonary arterial hypertension (PAH) carrying a mutation in the bone morphogenetic protein receptor type 2 (BMPR2) gene, develop the disease 10 years earlier than non-carriers, and have a more severe hemodynamic compromise at diagnosis. A recent report has suggested that this may only be the case for females and that patients with missense mutations in BMPR2 gene have more severe disease than patients with truncating mutations. Methods: We reviewed data from all patients with PAH considered as idiopathic and patients with a family history of PAH, who underwent genetic counselling in the French PAH network between January, 1(st) 2004 and April, 1(st) 2010. We compared clinical, functional, and hemodynamic characteristics between carriers and non-carriers of a BMPR2 mutation, according to gender or BMPR2 mutation type. Results: PAH patients carrying a BMPR2 mutation (n = 115) were significantly younger at diagnosis than non-carriers (n = 267) (35.8 +/- 15.4 and 47.5 +/- 16.2 respectively, p &lt; 0.0001). The presence of a BMPR2 mutation was associated with a younger age at diagnosis in females (36.4 +/- 14.9 in BMPR2 mutation carriers and 47.4 +/- 15.8 in non-carriers, p &lt; 0.0001), and males (34.6 +/- 16.8 in BMPR2 mutation carriers and 47.8 +/- 17.1 in non-carriers, p &lt; 0.0001). BMPR2 mutation carriers had a more severe hemodynamic compromise at diagnosis, but this was not influenced by gender. No differences in survival and time to death or lung transplantation were found in male and female PAH patients carrying a BMPR2 mutation. No differences were observed in clinical outcomes according to the type of BMPR2 mutations (missense, truncating, large rearrangement or splice defect). Conclusion: When compared to non-carriers, BMPR2 mutation carriers from the French PAH network are younger at diagnosis and present with a more severe hemodynamic compromise, irrespective of gender. Moreover, BMPR2 mutation type had no influence on clinical phenotypes in our patient population.</t>
  </si>
  <si>
    <t>HEREDITARY HEMORRHAGIC TELANGIECTASIA; RECEPTOR MUTATIONS; PENETRANCE; GUIDELINES; EXPRESSION; DIAGNOSIS; CARRIERS; DECAY</t>
  </si>
  <si>
    <t>Absence of influence of gender and BMPR2 mutation type on clinical phenotypes of pulmonary arterial hypertension</t>
  </si>
  <si>
    <t>Girerd, Barbara; Montani, David; Eyries, Melanie; Yaici, Azzedine; Sztrymf, Benjamin; Coulet, Florence; Sitbon, Olivier; Simonneau, Gerald; Soubrier, Florent; Humbert, Marc</t>
  </si>
  <si>
    <t>Girerd, B; Montani, D; Eyries, M; Yaici, A; Sztrymf, B; Coulet, F; Sitbon, O; Simonneau, G; Soubrier, F; Humbert, M</t>
  </si>
  <si>
    <t>WOS:000279162000005</t>
  </si>
  <si>
    <t>615UB</t>
  </si>
  <si>
    <t>10.1164/rccm.200909-1331PP</t>
  </si>
  <si>
    <t>Supported by National Institutes of Health grant NHLBI P50 award no. HL084946 (P.M.H.).</t>
  </si>
  <si>
    <t>National Institutes of Health(United States Department of Health &amp; Human ServicesNational Institutes of Health (NIH) - USA)</t>
  </si>
  <si>
    <t>National Institutes of Health [HL084946]</t>
  </si>
  <si>
    <t>Humbert, Marc/0000-0003-0703-2892; Le Pavec, Jerome/0000-0003-4426-9645</t>
  </si>
  <si>
    <t>meroni, pier/K-8473-2016; Humbert, Marc/AAC-8459-2019</t>
  </si>
  <si>
    <t>Hassoun, PM (corresponding author), Johns Hopkins Univ, Sch Med, Div Pulm &amp; Crit Care Med, Dept Med, 1830 E Monument St,Room 530, Baltimore, MD 21287 USA.</t>
  </si>
  <si>
    <t>Johns Hopkins University; Assistance Publique Hopitaux Paris (APHP); Hopital Universitaire Antoine-Beclere - APHP; Universite Paris Saclay; Universite Paris Cite; Assistance Publique Hopitaux Paris (APHP); Hopital Universitaire Cochin - APHP</t>
  </si>
  <si>
    <t>[Hassoun, Paul M.] Johns Hopkins Univ, Sch Med, Div Pulm &amp; Crit Care Med, Dept Med, Baltimore, MD 21287 USA; [Le Payec, Jerome; Humbert, Marc] Univ Paris 11, Hop Antoine Beclere, AP HP, Serv Pneumol &amp; Reanimat Resp, Clamart, France; [Mouthon, Luc] Univ Paris 05, Hop Cochin, AP HP, Dept Internal Med, Paris, France</t>
  </si>
  <si>
    <t>Pulmonary arterial hypertension (PAH) is a devastating vascular complication of a number of connective tissue diseases, including systemic sclerosis (SSc), where it has a dramatic impact on the clinical course and overall survival and is the single most common cause of death in patients afflicted with this syndrome. Although remarkable advances have been achieved in elucidating the pathogenesis of PAH over the past 2 decades, leading to the development of disease-targeted therapies for the idiopathic form of this condition (IPAH), the response to therapy is suboptimal in SSc-related PAH (SSc-PAH), and survival remains very poor. Factors accounting for striking clinical and prognostic differences between these two syndromes are unclear but may include a more pronounced autoimmune, cellular, and inflammatory response, and a higher prevalence of comorbidities in SSc-PAH, including cardiac and pulmonary venous and parenchymal involvement. Furthermore, currently available markers of disease severity and clinical tools to assess response to therapy, which may be reliable in IPAH, are either limited or lacking in SSc-PAH. Thus, a more focused approach, including a better understanding of the pathogenesis and genetic factors underlying the development of SSc-PAH, a search for more specific and reliable tools to adequately assess functional impairment and monitor therapy, as well as the design of novel targeted therapies, are all urgently required to alter the dismal course of this syndrome.</t>
  </si>
  <si>
    <t>BRAIN NATRIURETIC PEPTIDE; CONNECTIVE-TISSUE DISEASE; ENDOTHELIAL GROWTH-FACTOR; 6-MINUTE WALK TEST; SCLERODERMA SPECTRUM; LUNG TRANSPLANTATION; BOSENTAN TREATMENT; HEART-FAILURE; RISK-FACTORS; SURVIVAL</t>
  </si>
  <si>
    <t>scleroderma; pulmonary hypertension; prognostic factors</t>
  </si>
  <si>
    <t>Systemic Sclerosis-associated Pulmonary Arterial Hypertension</t>
  </si>
  <si>
    <t>Le Payec, Jerome; Humbert, Marc; Mouthon, Luc; Hassoun, Paul M.</t>
  </si>
  <si>
    <t>Le Payec, J; Humbert, M; Mouthon, L; Hassoun, PM</t>
  </si>
  <si>
    <t>WOS:000280179100010</t>
  </si>
  <si>
    <t>629EZ</t>
  </si>
  <si>
    <t>10.1016/j.rmed.2010.03.020</t>
  </si>
  <si>
    <t>S80</t>
  </si>
  <si>
    <t>S74</t>
  </si>
  <si>
    <t>Humbert, Marc/0000-0003-0703-2892; Montani, David/0000-0002-9358-6922; JAIS, XAVIER/0000-0002-4104-7994; SITBON, Olivier/0000-0002-1942-1951; O'Callaghan, Dermot/0000-0002-0561-5800</t>
  </si>
  <si>
    <t>Simonneau, Gerald/ABE-6614-2020; Sitbon, Olivier/I-3623-2019; Savale, Laurent/AAJ-9781-2020; David, Montani/I-6885-2019; Humbert, Marc/AAC-8459-2019</t>
  </si>
  <si>
    <t>dsocallaghan@yahoo.com</t>
  </si>
  <si>
    <t>O'Callaghan, DS (corresponding author), Hop Antoine Beclere, Serv Pneumol, 157 Rue Porte Trivaux, F-92140 Clamart, France.</t>
  </si>
  <si>
    <t>Universite Paris Saclay; Assistance Publique Hopitaux Paris (APHP); Hopital Universitaire Antoine-Beclere - APHP; Universite Paris Saclay; Institut National de la Sante et de la Recherche Medicale (Inserm); Hopital Marie Lannelongue</t>
  </si>
  <si>
    <t>[O'Callaghan, Dermot S.; Savale, Laurent; Jais, Xavier; Natali, Delphine; Montani, David; Humbert, Marc; Simonneau, Gerald; Sitbon, Olivier] Univ Paris Sud, Fac Med, F-94276 Le Kremlin Bicetre, France; [O'Callaghan, Dermot S.; Savale, Laurent; Jais, Xavier; Natali, Delphine; Montani, David; Humbert, Marc; Simonneau, Gerald; Sitbon, Olivier] Hop Antoine Beclere, AP HP, Ctr Natl Reference Hypertens Pulm Severe, Serv Pneumol &amp; Reanimat Resp, F-92140 Clamart, France; [O'Callaghan, Dermot S.; Savale, Laurent; Jais, Xavier; Natali, Delphine; Montani, David; Humbert, Marc; Simonneau, Gerald; Sitbon, Olivier] Ctr Chirurg Marie Lannelongue, INSERM, U999, Le Plessis Robinson, France</t>
  </si>
  <si>
    <t>The last decade has witnessed a remarkable increase in the number of effective treatment options available for the management of patients with pulmonary arterial hypertension. In this regard, agents belonging to the therapeutic classes that specifically target the prostacyclin, endothelin and nitric oxide pathways have shown the greatest efficacy in clinical studies to date. These various drug treatments have individually been shown to confer improvements in symptoms, exercise capacity, pulmonary haemodynamics and possibly survival in different patient subgroups. However, pulmonary arterial hypertension is characterised by dysregulation of a variety of pathways. In addition, disease worsening is inevitable for the majority of patients receiving monotherapy. As a consequence, there is increasing interest in the use of treatment combinations in order to target multiple targets with the aim of restoring normal pulmonary vascular function in order to improve clinical status. Indeed, use of multiple specific-treatment regimens is now part of routine clinical practice and is emphasized in recently published therapeutic guidelines. This review details the rationale for the different combination strategies and examines the clinical evidence in favour of some of the approaches that have been evaluated. (C) 2010 Elsevier Ltd. All rights reserved.</t>
  </si>
  <si>
    <t>CONTINUOUS INTRAVENOUS EPOPROSTENOL; INHALED ILOPROST; ORAL SILDENAFIL; CONTROLLED-TRIAL; DOUBLE-BLIND; BOSENTAN; PROSTACYCLIN; SURVIVAL; EFFICACY</t>
  </si>
  <si>
    <t>Pulmonary arterial hypertension; Prostacyclin; Endothelin receptor antagonists; Phosphodiesterase type-5 inhibitors; Combination therapy</t>
  </si>
  <si>
    <t>MAR 20-21, 2009</t>
  </si>
  <si>
    <t>3rd International Congress on Rare Pulmonary Diseases and Orphan Drugs in Respiratory Medicine</t>
  </si>
  <si>
    <t>Evidence for the use of combination targeted therapeutic approaches for the management of pulmonary arterial hypertension</t>
  </si>
  <si>
    <t>O'Callaghan, Dermot S.; Savale, Laurent; Jais, Xavier; Natali, Delphine; Montani, David; Humbert, Marc; Simonneau, Gerald; Sitbon, Olivier</t>
  </si>
  <si>
    <t>O'Callaghan, DS; Savale, L; Jaïs, X; Natali, D; Montani, D; Humbert, M; Simonneau, G; Sitbon, O</t>
  </si>
  <si>
    <t>WOS:000280179100004</t>
  </si>
  <si>
    <t>10.1016/j.rmed.2010.03.014</t>
  </si>
  <si>
    <t>S23</t>
  </si>
  <si>
    <t>SITBON, Olivier/0000-0002-1942-1951; Montani, David/0000-0002-9358-6922; Humbert, Marc/0000-0003-0703-2892; O'Callaghan, Dermot/0000-0002-0561-5800; Dorfmuller, Peter/0000-0003-2499-6829; JAIS, XAVIER/0000-0002-4104-7994</t>
  </si>
  <si>
    <t>Humbert, M (corresponding author), Univ Paris Sud 11, Hop Antoine Beclere, AP HP,Ctr Natl Reference Hypertens Pulm Severe, INSERM,Serv Pneumol &amp; Reanimat Resp,U999, 157 Rue Porte Trivaux, F-92140 Clamart, France.</t>
  </si>
  <si>
    <t>Universite Paris Saclay; Institut National de la Sante et de la Recherche Medicale (Inserm); Assistance Publique Hopitaux Paris (APHP); Hopital Universitaire Antoine-Beclere - APHP; Universite Paris Saclay; Assistance Publique Hopitaux Paris (APHP); Hopital Universitaire Antoine-Beclere - APHP</t>
  </si>
  <si>
    <t>[Montani, David; O'Callaghan, Dermot S.; Savale, Laurent; Jais, Xavier; Yaici, Azzedine; Dorfmuller, Peter; Sitbon, Olivier; Simonneau, Gerald; Humbert, Marc] Univ Paris Sud 11, Hop Antoine Beclere, AP HP,Ctr Natl Reference Hypertens Pulm Severe, INSERM,Serv Pneumol &amp; Reanimat Resp,U999, F-92140 Clamart, France; [Maitre, Sophie] Univ Paris Sud 11, Hop Antoine Beclere, AP HP, Serv Radiol, F-92140 Clamart, France</t>
  </si>
  <si>
    <t>Pulmonary veno-occlusive disease (PVOD) is an uncommon form of pulmonary arterial hypertension characterised by a progressive obstruction of small pulmonary veins that leads to elevation in pulmonary vascular resistance and right ventricular failure. Despite improved understanding and more efficacious treatment options for PAR overall, the prognosis of PVOD remains dismal. Without therapeutic intervention few patients would be expected to survive more than two years. PVOD may occur in both idiopathic and heritable forms, or develop in association with connective tissue disease, chronic respiratory disease, malignancy or bone marrow transplantation, among other causes. A widespread fibrous intimal proliferation that predominantly involves the pulmonary venules and small veins is the key histopathological hallmark. Surgical lung biopsy is considered the definitive diagnostic test but is associated with significant risk and is not recommended. Distinguishing PVOD from PAH on clinical grounds alone is generally not possible, although PVOD is characterised by a higher male/female ratio and higher tobacco exposure. Instead, non-invasive tests may be helpful and the diagnosis is usually based on an integrated assessment that incorporates high resolution computed tomography (septal lines, ground-glass opacities and lymph node enlargement), pulmonary function testing (lower DLCO), arterial blood gas analysis (lower PaO2 at rest) and bronchoalveolar lavage (occult alveolar haemorrhage). Treatment of PVOD remains challenging as exposure to pulmonary vasodilators and PAH-specific agents may precipitate acute pulmonary oedema. Nonetheless, a number of successful outcomes describing cautious use of prostanoids, endothelin antagonists and phosphodiesterase type-5 inhibitors have been described. Unfortunately, the long term effects of these agents are variable and lung transplantation remains the treatment of choice. (C) 2010 Published by Elsevier Ltd.</t>
  </si>
  <si>
    <t>CONTINUOUS INTRAVENOUS EPOPROSTENOL; VENO-OCCLUSIVE DISEASE; ARTERIAL-HYPERTENSION; IMMUNOSUPPRESSIVE THERAPY; ALVEOLAR HEMORRHAGE; NITRIC-OXIDE; TASK-FORCE; DIAGNOSIS; TRANSPLANTATION; MUTATIONS</t>
  </si>
  <si>
    <t>Pulmonary arterial hypertension; Pulmonary veno-occlusive disease; BMPR2; Carbon monoxide diffusing capacity; Computed tomography; Alveolar haemorrhage</t>
  </si>
  <si>
    <t>Pulmonary veno-occlusive disease: Recent progress and current challenges</t>
  </si>
  <si>
    <t>Montani, David; O'Callaghan, Dermot S.; Savale, Laurent; Jais, Xavier; Yaici, Azzedine; Maitre, Sophie; Dorfmuller, Peter; Sitbon, Olivier; Simonneau, Gerald; Humbert, Marc</t>
  </si>
  <si>
    <t>Montani, D; O'Callaghan, DS; Savale, L; Jaïs, X; Yaïci, A; Maitre, S; Dorfmuller, P; Sitbon, O; Simonneau, G; Humbert, M</t>
  </si>
  <si>
    <t>WOS:000279394100031</t>
  </si>
  <si>
    <t>618YY</t>
  </si>
  <si>
    <t>10.1183/09031936.00004810</t>
  </si>
  <si>
    <t>Cottin, V (corresponding author), Univ Lyon 1, Dept Resp Med, Ctr Rare Lung Disorders, Louis Pradel Hosp, 28 Ave Doyen Lepine, F-69677 Bron, France.</t>
  </si>
  <si>
    <t>CHU Lyon; VetAgro Sup; Universite Claude Bernard Lyon 1; INRAE; Universite PSL; Ecole Pratique des Hautes Etudes (EPHE); Universite Paris Saclay; Assistance Publique Hopitaux Paris (APHP); Hopital Universitaire Antoine-Beclere - APHP</t>
  </si>
  <si>
    <t>[Kiakouama, L.; Cottin, V.; Etienne-Mastroianni, B.; Khouatra, C.; Cordier, J. F.] Hop Louis Pradel, Hosp Civils Lyon, Serv Pneumol, Ctr Reference Malad Pulm Rares, Lyon, France; [Cottin, V.; Cordier, J. F.] Univ Lyon 1, UCBL, INRA, ENVL,EPHE,UMR754,IFR128, F-69365 Lyon, France; [Humbert, M.] Univ Paris Sud, Fac Med, Le Kremlin Bicetre, France; [Humbert, M.] Hop Antoine Beclere, AP HP, Ctr Natl Reference Hypertens Pulm Severe, Serv Pneumol &amp; Reanimat Resp, Clamart, France</t>
  </si>
  <si>
    <t>LANGERHANS CELL HISTIOCYTOSIS; INTERSTITIAL LUNG-DISEASE; TRANSPLANTATION</t>
  </si>
  <si>
    <t>Severe pulmonary hypertension in histiocytosis X: long-term improvement with bosentan</t>
  </si>
  <si>
    <t>Kiakouama, L.; Cottin, V.; Etienne-Mastroianni, B.; Khouatra, C.; Humbert, M.; Cordier, J. F.</t>
  </si>
  <si>
    <t>Kiakouama, L; Cottin, V; Etienne-Mastroïanni, B; Khouatra, C; Humbert, M; Cordier, JF</t>
  </si>
  <si>
    <t>WOS:000279667000023</t>
  </si>
  <si>
    <t>622MD</t>
  </si>
  <si>
    <t>10.1136/ard.2009.120303</t>
  </si>
  <si>
    <t>Huscher, Dorte/0000-0001-9070-0761; Nash, Peter/0000-0002-2571-788X; Kowal-Bielecka, Otylia/0000-0002-0613-1306; Avouac, Jerome/0000-0002-2463-218X; Humbert, Marc/0000-0003-0703-2892</t>
  </si>
  <si>
    <t>Opitz, Christian/L-3438-2019; Pittrow, David/AAY-5042-2021; furst, daniel/B-7316-2014; Rubin, Lewis/AEW-1719-2022; Behrens, Frank/AAI-8910-2021; Distler, Oliver/AAE-6225-2019; avouac, Jérôme/AAD-2101-2020; MATUCCI CERINIC, MARCO/AAO-2769-2020; Nash, Peter/D-7392-2013; Kowal-Bielecka, Otylia/T-3378-2018; Humbert, Marc/AAC-8459-2019</t>
  </si>
  <si>
    <t>Furst, DE (corresponding author), Univ Calif Los Angeles, David Geffen Sch Med, Div Rheumatol, Dept Med, 1000 Vet Ave,Room 32-59, Los Angeles, CA 90095 USA.</t>
  </si>
  <si>
    <t>University of California System; University of California Los Angeles; University of California Los Angeles Medical Center; David Geffen School of Medicine at UCLA; University of Zurich; University Zurich Hospital; University of Michigan System; University of Michigan; University of California System; University of California San Diego; University of Florence; Universite Paris Saclay; Assistance Publique Hopitaux Paris (APHP); Hopital Universitaire Antoine-Beclere - APHP; University of London; University College London; Goethe University Frankfurt; Leibniz Association; Deutsches Rheuma-Forschungszentrum (DRFZ); Technische Universitat Dresden; Medical University of Bialystok; Assistance Publique Hopitaux Paris (APHP); Universite Paris Cite; Hopital Universitaire Cochin - APHP; Hopital Universitaire Ambroise-Pare - APHP; Hopital Universitaire Hotel-Dieu - APHP</t>
  </si>
  <si>
    <t>[Furst, Daniel E.] Univ Calif Los Angeles, David Geffen Sch Med, Div Rheumatol, Dept Med, Los Angeles, CA 90095 USA; [Distler, Oliver] Univ Zurich Hosp, Dept Rheumatol, CH-8091 Zurich, Switzerland; [Seibold, James R.] Univ Michigan, Scleroderma Program, Ann Arbor, MI 48109 USA; [Rubin, Lewis J.] Univ Calif San Diego, Sch Med, Div Pulm &amp; Crit Care Med, La Jolla, CA 92093 USA; [Opitz, Christian F.] DRK Kliniken Berlin, Med Klin 2, Berlin, Germany; [Nash, Peter] Rheumatol Res Unit, Sunshine Coast, Qld, Australia; [Matucci-Cerinic, Marco] Univ Florence, Div Rheumatol, Dept Med, Denothe Ctr, Florence, Italy; [Humbert, Marc] Univ Paris 11, Serv Pneumol &amp; Reanimat Resp, Ctr Malad Vasc Pulm, Hop Antoine Beclere, Clamart, France; [Foeldvari, Ivan] Klinikum Eilbek, Hamburger Zentrum Kinder &amp; Jugendrheumatol Kompet, Zentrum Sklerodermie Kindesalter, Hamburg, Germany; [Denton, Christopher P.] Royal Free &amp; Univ Coll Med Sch, Ctr Rheumatol, London WC1E 6BT, England; [Behrens, Frank] Goethe Univ Frankfurt, Div Rheumatol ZAFES, Frankfurt, Germany; [Huscher, Doerte] German Rheumatism Res Ctr, Berlin, Germany; [Pittrow, David] Tech Univ, Inst Clin Pharmacol, Dresden, Germany; [Kowal-Bielecka, Otylia] Med Univ Bialystok, Dept Rheumatol &amp; Internal Med, Bialystok, Poland; [Avouac, Jerome] Paris Descartes Univ, Rheumatol Dept A, Cochin Hosp, APHP, Paris, France</t>
  </si>
  <si>
    <t>Objective To assess the validity of the 6 min walk test (6MWT) in pulmonary arterial hypertension secondary to systemic sclerosis (PAH-SSc) according to the OMERACT filter. Methods A systematic literature search was conducted from 1966 through June 2009. The assessment of validation of the 6MWT was based on the OMERACT filter criteria with the domains 'truth', 'discrimination' and 'feasibility'. Results From the 57 articles identified, 9 (16%) were analysed. The 6MWT had face validity as it has been accepted by the registration agencies as a surrogate of PAH-SSc. It was sensitive to change in response to therapy, with effect sizes ranging from 0.30 to 1.37 with a parallel variation of haemodynamic parameters measured by right heart catheterisation. Feasibility was also validated. Content validity was not confirmed as this test was not specific for PAH-SSc. There was some evidence that 6MWT might meet criterion/construct validity, reproducibility and sensitivity to change over time, but insufficient data were provided to fully validate these components. Conclusions Current evidence suggests partial validation of the 6MWT in PAH-SSc according to the OMERACT filter. Further dedicated studies are needed to validate completely the 6MWT in PAH-SSc, taking into account the comorbidities interfering with the 6MWT.</t>
  </si>
  <si>
    <t>INTERSTITIAL LUNG-DISEASE; PULMONARY-HYPERTENSION; CLINICAL-TRIALS; OUTCOME MEASURES; SCLEROSIS</t>
  </si>
  <si>
    <t>Validation of the 6 min walk test according to the OMERACT filter: a systematic literature review by the EPOSS-OMERACT group</t>
  </si>
  <si>
    <t>Avouac, Jerome; Kowal-Bielecka, Otylia; Pittrow, David; Huscher, Doerte; Behrens, Frank; Denton, Christopher P.; Foeldvari, Ivan; Humbert, Marc; Matucci-Cerinic, Marco; Nash, Peter; Opitz, Christian F.; Rubin, Lewis J.; Seibold, James R.; Distler, Oliver; Furst, Daniel E.</t>
  </si>
  <si>
    <t>Avouac, J; Kowal-Bielecka, O; Pittrow, D; Huscher, D; Behrens, F; Denton, CP; Foeldvari, I; Humbert, M; Matucci-Cerinic, M; Nash, P; Opitz, CF; Rubin, LJ; Seibold, JR; Distler, O; Furst, DE</t>
  </si>
  <si>
    <t>WOS:000279801700008</t>
  </si>
  <si>
    <t>624FI</t>
  </si>
  <si>
    <t>10.1161/CIRCULATIONAHA.109.911818</t>
  </si>
  <si>
    <t>JUL 13</t>
  </si>
  <si>
    <t>A research grant from Actelion Pharmaceuticals France was obtained for the logistical support, monitoring, project management, data management, statistical analysis, and reporting of this study. Funding for medical writing was provided by Actelion Pharmaceuticals Ltd.</t>
  </si>
  <si>
    <t>Actelion Pharmaceuticals France; Actelion Pharmaceuticals Ltd.</t>
  </si>
  <si>
    <t>JAIS, XAVIER/0000-0002-4104-7994; HACHULLA, ERIC/0000-0001-7432-847X; Souza, Rogerio/0000-0003-2789-9143; Humbert, Marc/0000-0003-0703-2892; Montani, David/0000-0002-9358-6922; SITBON, Olivier/0000-0002-1942-1951; Degano, Bruno/0000-0003-1644-7264</t>
  </si>
  <si>
    <t>Chaouat, Ari/AAP-6784-2021; David, Montani/I-6885-2019; Reynaud-Gaubert, Martine/P-6958-2016; HACHULLA, ERIC/R-8488-2018; Sitbon, Olivier/I-3623-2019; Degano, Bruno/IAQ-7289-2023; Simonneau, Gerald/ABE-6614-2020; Souza, Rogerio/I-3584-2013; Humbert, Marc/AAC-8459-2019</t>
  </si>
  <si>
    <t>Humbert, M (corresponding author), Univ Paris 11, Ctr Natl Reference Hypertens Pulm Severe, Hop Antoine Beclere, Serv Pneumol &amp; Reanimat Resp,AP HP, 157 Rue Porte Trivaux, F-92140 Clamart, France.</t>
  </si>
  <si>
    <t>Universite Paris Saclay; Assistance Publique Hopitaux Paris (APHP); Hopital Universitaire Antoine-Beclere - APHP; Universite Paris Saclay; Institut National de la Sante et de la Recherche Medicale (Inserm); Hopital Marie Lannelongue; Universite Paris Saclay; Universites de Strasbourg Etablissements Associes; Universite de Strasbourg; CHU Strasbourg; CHU de Nancy; CHU Lyon; Aix-Marseille Universite; Assistance Publique-Hopitaux de Marseille; CHU Bordeaux; CHU Grenoble Alpes; Aix-Marseille Universite; Assistance Publique-Hopitaux de Marseille; Nantes Universite; CHU de Nantes; CHU Rennes; Universite de Rennes; Universite de Lille; CHU Lille; Universite de Toulouse; Universite Toulouse III - Paul Sabatier; CHU de Toulouse; Universidade de Sao Paulo</t>
  </si>
  <si>
    <t>[Humbert, Marc; Sitbon, Olivier; Yaici, Azzedine; Degano, Bruno; Jais, Xavier; Montani, David; Souza, Rogerio; Simonneau, Gerald] Univ Paris 11, Fac Med, Le Kremlin Bicetre, France; [Humbert, Marc] Univ Paris 11, Ctr Natl Reference Hypertens Pulm Severe, Hop Antoine Beclere, Serv Pneumol &amp; Reanimat Resp,AP HP, F-92140 Clamart, France; [Humbert, Marc; Sitbon, Olivier; Yaici, Azzedine; Degano, Bruno; Jais, Xavier; Montani, David; Souza, Rogerio; Simonneau, Gerald] INSERM, U999, IPSIT, Ctr Chirurg Marie Lannelongue, Le Plessis Robinson, France; [Chaouat, Ari; Weitzenblum, Emmanuel] Hop Hautepierre, Serv Pneumol, Strasbourg, France; [Chaouat, Ari; Chabot, Francois] Hop Brabois, Serv Pneumol, Vandoeuvre Les Nancy, France; [Bertocchi, Michele; Cordier, Jean-Francois; Cottin, Vincent] Hop Louis Pradel, Serv Pneumol, Lyon, France; [Habib, Gilbert] Hop La Timone, Serv Cardiol, Marseille, France; [Gressin, Virginie] Actel Pharmaceut France, Paris, France; [Dromer, Claire] Hop Haut Levesque, Serv Chirurg Thorac, Bordeaux, France; [Pison, Christophe] Hop Michallon, Dept Med Aigue Specialisee, Grenoble, France; [Reynaud-Gaubert, Martine] Hop St Marguerite, Serv Pneumol, UPRES EA3287, Marseille, France; [Haloun, Alain] Hop Laennec, Serv Pneumol, Nantes, France; [Laurent, Marcel] Hop Pontchaillou, Serv Cardiol, Rennes, France; [Hachulla, Eric] Hop Claude Huriez, Serv Med Interne, Lille, France; [Degano, Bruno] CHU Toulouse, Serv Pneumol, Toulouse, France; [Souza, Rogerio] Univ Sao Paulo, Sch Med, Inst Heart, Dept Pulm, Sao Paulo, Brazil</t>
  </si>
  <si>
    <t>Background-Novel therapies have recently become available for pulmonary arterial hypertension. We conducted a study to characterize mortality in a multicenter prospective cohort of patients diagnosed with idiopathic, familial, or anorexigen-associated pulmonary arterial hypertension in the modern management era. Methods and Results-Between October 2002 and October 2003, 354 consecutive adult patients with idiopathic, familial, or anorexigen-associated pulmonary arterial hypertension (56 incident and 298 prevalent cases) were prospectively enrolled. Patients were followed up for 3 years, and survival rates were analyzed. For incident cases, estimated survival (95% confidence intervals [CIs]) at 1, 2, and 3 years was 85.7% (95% CI, 76.5 to 94.9), 69.6% (95% CI, 57.6 to 81.6), and 54.9% (95% CI, 41.8 to 68.0), respectively. In a combined analysis population (incident patients and prevalent patients diagnosed within 3 years before study entry; n = 190), 1-, 2-, and 3-year survival estimates were 82.9% (95% CI, 72.4 to 95.0), 67.1% (95% CI, 57.1 to 78.8), and 58.2% (95% CI, 49.0 to 69.3), respectively. Individual survival analysis identified the following as significantly and positively associated with survival: female gender, New York Heart Association functional class I/II, greater 6-minute walk distance, lower right atrial pressure, and higher cardiac output. Multivariable analysis showed that being female, having a greater 6-minute walk distance, and exhibiting higher cardiac output were jointly significantly associated with improved survival. Conclusions-In the modern management era, idiopathic, familial, and anorexigen-associated pulmonary arterial hypertension remains a progressive, fatal disease. Mortality is most closely associated with male gender, right ventricular hemodynamic function, and exercise limitation. (Circulation. 2010; 122: 156-163.)</t>
  </si>
  <si>
    <t>GERMLINE MUTATIONS; PROGNOSTIC-FACTORS; 1ST-LINE BOSENTAN; THERAPY; EPOPROSTENOL; COMBINATION; DIAGNOSIS</t>
  </si>
  <si>
    <t>exercise; hypertension, pulmonary; mortality; risk factors; sex</t>
  </si>
  <si>
    <t>Survival in Patients With Idiopathic, Familial, and Anorexigen-Associated Pulmonary Arterial Hypertension in the Modern Management Era</t>
  </si>
  <si>
    <t>Humbert, Marc; Sitbon, Olivier; Chaouat, Ari; Bertocchi, Michele; Habib, Gilbert; Gressin, Virginie; Yaici, Azzedine; Weitzenblum, Emmanuel; Cordier, Jean-Francois; Chabot, Francois; Dromer, Claire; Pison, Christophe; Reynaud-Gaubert, Martine; Haloun, Alain; Laurent, Marcel; Hachulla, Eric; Cottin, Vincent; Degano, Bruno; Jais, Xavier; Montani, David; Souza, Rogerio; Simonneau, Gerald</t>
  </si>
  <si>
    <t>Humbert, M; Sitbon, O; Chaouat, A; Bertocchi, M; Habib, G; Gressin, V; Yaïci, A; Weitzenblum, E; Cordier, JF; Chabot, F; Dromer, C; Pison, C; Reynaud-Gaubert, M; Haloun, A; Laurent, M; Hachulla, E; Cottin, V; Degano, B; Jaïs, X; Montani, D; Souza, R; Simonneau, G</t>
  </si>
  <si>
    <t>WOS:000281601800010</t>
  </si>
  <si>
    <t>647EY</t>
  </si>
  <si>
    <t>10.1183/09031936.00124009</t>
  </si>
  <si>
    <t>This study was funded by AstraZeneca (Lund, Sweden).</t>
  </si>
  <si>
    <t>AstraZeneca (Lund, Sweden)(AstraZeneca)</t>
  </si>
  <si>
    <t>AstraZeneca (Lund, Sweden)</t>
  </si>
  <si>
    <t>Reddel, Helen/0000-0002-6695-6350; Humbert, Marc/0000-0003-0703-2892; O'Byrne, Paul/0000-0003-0979-281X; Ostlund, Ollie/0000-0001-8028-2308; Peterson, Stefan/0000-0001-7203-3096</t>
  </si>
  <si>
    <t>s, q/AAD-7171-2020; Östlund, Ollie/ISB-1645-2023; Bateman, Eric/B-7042-2011; Reddel, Helen/IZD-8890-2023; Humbert, Marc/AAC-8459-2019</t>
  </si>
  <si>
    <t>obyrnep@mcmaster.ca</t>
  </si>
  <si>
    <t>O'Byrne, PM (corresponding author), McMaster Univ, Michael G DeGroote Sch Med, Fac Hlth Sci, Hamilton, ON L8S 4L8, Canada.</t>
  </si>
  <si>
    <t>McMaster University; McMaster University; University of Sydney; Woolcock Institute of Medical Research; Lund University; Skane University Hospital; Assistance Publique Hopitaux Paris (APHP); Hopital Universitaire Ambroise-Pare - APHP; Hopital Universitaire Antoine-Beclere - APHP; Universite Paris Saclay; Hospital Universitario La Paz; University of Nottingham; University Hospital Mainz; University of Cape Town</t>
  </si>
  <si>
    <t>[O'Byrne, P. M.] McMaster Univ, Michael G DeGroote Sch Med, Fac Hlth Sci, Hamilton, ON L8S 4L8, Canada; [O'Byrne, P. M.] McMaster Univ, Dept Med, Hamilton, ON L8S 4L8, Canada; [Reddel, H. K.; Jenkins, C.] Woolcock Inst Med Res, Clin Management Grp, Camperdown, NSW, Australia; [Eriksson, G.] Univ Lund Hosp, Dept Resp Med &amp; Allergol, S-22185 Lund, Sweden; [Humbert, M.] Univ Paris 11, Hop Antoine Beclere, APHP, Serv Pneumol &amp; Reanimat Resp, Clamart, France; [Quirce, S.] Hosp La Paz, Dept Allergy, Madrid, Spain; [Harrison, T. W.] Univ Nottingham, Resp Biomed Res Unit, Nottingham NG7 2RD, England; [Buhl, R.] Mainz Univ Hosp, Dept Pulm, Mainz, Germany; [Bateman, E. D.] Univ Cape Town, Dept Med, Div Pulmonol, ZA-7925 Cape Town, South Africa</t>
  </si>
  <si>
    <t>There are various ways to classify asthma control; however, no classification is universally accepted. This retrospective analysis compared asthma control as assessed by the Asthma Control Questionnaire (5-item version; ACQ-5), Global Initiative for Asthma (GINA) or Gaining Optimal Asthma Control (GOAL) study criteria. Pooled data at the final study week (n=8,188) from three budesonide/formoterol maintenance and reliever therapy studies which measured ACQ-5 were stratified according to GINA or GOAL criteria and ACQ-5 score distribution. The percentages of patients with a controlled/partly controlled week (GINA), totally/well-controlled week (GOAL) and range of ACQ-5 cut-off points were compared. Patients with GINA controlled, partly controlled and uncontrolled asthma had mean ACQ-5 scores of 0.43, 0.75 and 1.62, respectively. Patients with GOAL totally controlled, well-controlled and uncontrolled asthma had ACQ-5 scores of 0.39, 0.78 and 1.63. The kappa measure of agreement was 0.80 for GINA and GOAL criteria, and 0.63 for GINA controlled/partly controlled and ACQ-5 &lt;1.00. ACQ-5 detected clinically important improvements in 49% of patients who, according to GINA criteria, remained uncontrolled at the end of the study. Asthma control measured by GINA or GOAL criteria provides similar results. GINA Controlled/Partly Controlled and GOAL Totally Controlled/Well-Controlled correspond to ACQ-5 &lt;1.00. The ACQ-5 is more responsive to change in a clinical trial setting than a categorical scale.</t>
  </si>
  <si>
    <t>RELIEVER THERAPY; BUDESONIDE/FORMOTEROL; MAINTENANCE</t>
  </si>
  <si>
    <t>Asthma control; Asthma Control Questionnaire; Gaining Optimal Asthma Control; Global Initiative for Asthma</t>
  </si>
  <si>
    <t>Measuring asthma control: a comparison of three classification systems</t>
  </si>
  <si>
    <t>O'Byrne, P. M.; Reddel, H. K.; Eriksson, G.; Ostlund, O.; Peterson, S.; Sears, M. R.; Jenkins, C.; Humbert, M.; Buhl, R.; Harrison, T. W.; Quirce, S.; Bateman, E. D.</t>
  </si>
  <si>
    <t>O'Byrne, PM; Reddel, HK; Eriksson, G; Ostlund, O; Peterson, S; Sears, MR; Jenkins, C; Humbert, M; Buhl, R; Harrison, TW; Quirce, S; Bateman, ED</t>
  </si>
  <si>
    <t>WOS:000280704300017</t>
  </si>
  <si>
    <t>636CA</t>
  </si>
  <si>
    <t>10.1093/eurheartj/ehq170</t>
  </si>
  <si>
    <t>Montani, David/0000-0002-9358-6922; Humbert, Marc/0000-0003-0703-2892; SITBON, Olivier/0000-0002-1942-1951; JAIS, XAVIER/0000-0002-4104-7994</t>
  </si>
  <si>
    <t>David, Montani/I-6885-2019; Savale, Laurent/AAJ-9781-2020; Sitbon, Olivier/I-3623-2019; Simonneau, Gerald/ABE-6614-2020; Humbert, Marc/AAC-8459-2019</t>
  </si>
  <si>
    <t>Universite Paris Saclay; Assistance Publique Hopitaux Paris (APHP); Hopital Universitaire Antoine-Beclere - APHP; Institut National de la Sante et de la Recherche Medicale (Inserm); Universite Paris Saclay; Hopital Marie Lannelongue</t>
  </si>
  <si>
    <t>[Montani, David; Savale, Laurent; Natali, Delphine; Jais, Xavier; Herve, Philippe; Garcia, Gilles; Humbert, Marc; Simonneau, Gerald; Sitbon, Olivier] Univ Paris 11, Fac Med, F-94276 Le Kremlin Bicetre, France; [Montani, David; Savale, Laurent; Natali, Delphine; Jais, Xavier; Herve, Philippe; Garcia, Gilles; Humbert, Marc; Simonneau, Gerald; Sitbon, Olivier] Hop Antoine Beclere, AP HP, Ctr Natl Reference Hypertens Pulm Severe, Serv Pneumol &amp; Reanimat Resp, F-92140 Clamart, France; [Montani, David; Savale, Laurent; Natali, Delphine; Jais, Xavier; Herve, Philippe; Garcia, Gilles; Humbert, Marc; Simonneau, Gerald; Sitbon, Olivier] INSERM, U999, F-92350 Le Plessis Robinson, France; [Herve, Philippe] Ctr Chirurg Marie Lannelongue, F-92350 Le Plessis Robinson, France</t>
  </si>
  <si>
    <t>To assess the acute vasodilator response and long-term response to calcium-channel blockers (CCB) in pulmonary arterial hypertension (PAH) with associated conditions. The response to acute vasodilator testing [&gt; 20% decrease in mean pulmonary artery pressure (mPAP) and total pulmonary resistance] was assessed in 663 consecutive PAH patients with connective tissue disease (CTD; n = 168), portal hypertension (PoPH; n = 153), anorexigen use (n = 127), human immunodeficiency virus infection (HIV; n = 124), congenital heart disease (CHD; n = 50), and pulmonary veno-occlusive disease or capillary haemangiomatosis (PVOD/PCH; n = 41). An acute vasodilator response was observed in 13.4% of PAH-anorexigen patients, 12.2% of PVOD/PCH, 10.1% of CTD, 1.6% of HIV, 1.3% of PoPH, and was absent in CHD. A long-term response to CCB (marked haemodynamic improvement at 3-4 months and New York Heart Association functional class I or II after 1 year) was reported in 9.4% of PAH-anorexigen patients but was rare in HIV, PoPH, CTD (1.6, 0.7, and 0.6%, respectively) and absent in PVOD/PCH. All patients with a long-term CCB response were alive after 5 years; two deaths not related to PAH occurred after this time. Recent criteria for acute response based on the fall in mPAP to &lt; 40 mmHg are more specific to detect long-term responders to CCB. A long-term CCB response was reported in patients with PAH associated with anorexigen use, but was rare in patients with PoPH or HIV and absent in PVOD/PCH, CHD, and the vast majority of CTD. The prognosis of long-term responders was favourable and related to the underlying cause of PAH.</t>
  </si>
  <si>
    <t>VENOOCCLUSIVE DISEASE; BMPR2 MUTATION; THERAPY; GUIDELINES; DIAGNOSIS; CHILDREN</t>
  </si>
  <si>
    <t>Acute vasodilator testing; Calcium-channel blockers; Haemodynamics; Pulmonary hypertension; Nitric oxide; Pulmonary arterial hypertension</t>
  </si>
  <si>
    <t>Long-term response to calcium-channel blockers in non-idiopathic pulmonary arterial hypertension</t>
  </si>
  <si>
    <t>Montani, David; Savale, Laurent; Natali, Delphine; Jais, Xavier; Herve, Philippe; Garcia, Gilles; Humbert, Marc; Simonneau, Gerald; Sitbon, Olivier</t>
  </si>
  <si>
    <t>Montani, D; Savale, L; Natali, D; Jaïs, X; Herve, P; Garcia, G; Humbert, M; Simonneau, G; Sitbon, O</t>
  </si>
  <si>
    <t>WOS:000280743600043</t>
  </si>
  <si>
    <t>636NI</t>
  </si>
  <si>
    <t>10.1378/chest.10-0799</t>
  </si>
  <si>
    <t>HACHULLA, ERIC/0000-0001-7432-847X; Launay, David/0000-0003-1840-1817</t>
  </si>
  <si>
    <t>Hachulla, E (corresponding author), Univ Lille 2, Dept Internal Med, Natl Reference Ctr Seleroderma, Hop Claude Huriez, F-59037 Lille, France.</t>
  </si>
  <si>
    <t>Universite de Lille; CHU Lille; Universite Paris Saclay; Assistance Publique Hopitaux Paris (APHP); Hopital Universitaire Antoine-Beclere - APHP; Universite Paris Saclay; Assistance Publique Hopitaux Paris (APHP); Hopital Universitaire Antoine-Beclere - APHP</t>
  </si>
  <si>
    <t>[Hachulla, Eric; Launay, David] Univ Lille 2, Dept Internal Med, Natl Reference Ctr Seleroderma, Hop Claude Huriez, F-59037 Lille, France; [Humbert, Marc] Univ Paris 11, AP HP, Natl Reference Ctr Pulm Hypertens, Hop Antoine Beclere,Resp Dept, Clamart, France; [Clerson, Pierre] Univ Paris 11, AP HP, Natl Reference Ctr Pulm Hypertens, Hop Antoine Beclere, Rouban, France</t>
  </si>
  <si>
    <t>Is Pulmonary Arterial Hypertension Really a Late Complication of Systemic Sclerosis? Response</t>
  </si>
  <si>
    <t>Hachulla, Eric; Launay, David; Clerson, Pierre; Humbert, Marc</t>
  </si>
  <si>
    <t>Hachulla, E; Launay, D; Clerson, P; Humbert, M</t>
  </si>
  <si>
    <t>WOS:000280999600007</t>
  </si>
  <si>
    <t>639UI</t>
  </si>
  <si>
    <t>10.1016/j.jacc.2010.03.065</t>
  </si>
  <si>
    <t>AUG 24</t>
  </si>
  <si>
    <t>From the *Pulmonary Department, Heart Institute, University of Sao Paulo Medical School, Sao Paulo, Brazil; and the dagger Hopital Antoine Beclere, Universite Paris-Sud, Clamart, France. Drs. dos Santos Fernandes, Jardim, and Hovnanian has received lecture fees from Actelion and Pfizer. Drs. Hoette and Silvia Souza report that they have no relationships to disclose. Dr. Dias has received lecture fees from Actelion. Dr. Humbert is an investigator and a member of the scientific advisory board with Actelion, Bayer Schering, GlaxoSmithKline, Novartis, Pfizer, and United Therapeutics. Dr. Rogerio Souza has received consultancy and/or lecture fees from Actelion, Pfizer, and GlaxoSmithKline.</t>
  </si>
  <si>
    <t>Actelion; Pfizer(Pfizer); GlaxoSmithKline(GlaxoSmithKline)</t>
  </si>
  <si>
    <t>Actelion; Pfizer; GlaxoSmithKline</t>
  </si>
  <si>
    <t>Souza, Rogerio/0000-0003-2789-9143; Fernandes, Caio/0000-0002-4912-021X; Humbert, Marc/0000-0003-0703-2892; Jardim, Carlos/0000-0003-0425-5548</t>
  </si>
  <si>
    <t>Fernandes, Caio/W-8676-2019; Silva, Israel/N-3858-2014; Souza, Rogerio/I-3584-2013; Fernandes, Caio/K-9194-2016; Humbert, Marc/AAC-8459-2019; Jardim, Carlos/N-8061-2017</t>
  </si>
  <si>
    <t>Souza, R (corresponding author), Univ Sao Paulo, Sch Med, Dept Pulm, Inst Heart, Av Dr Eneas de Carvalho Aguiar 44, BR-05403000 Sao Paulo, Brazil.</t>
  </si>
  <si>
    <t>[Cesar dos Santos Fernandes, Caio Julio; Poyares Jardim, Carlos Vianna; Hovnanian, Andre; Hoette, Susana; Dias, Bruno Arantes; Souza, Silvia; Souza, Rogerio] Univ Sao Paulo, Sch Med, Dept Pulm, Inst Heart, BR-05403000 Sao Paulo, Brazil; [Hoette, Susana; Humbert, Marc; Souza, Rogerio] Univ Paris Sud, Hop Antoine Beclere, Clamart, France</t>
  </si>
  <si>
    <t>Objectives The objective of this study was to evaluate the natural history of untreated schistosomiasis-associated pulmonary arterial hypertension (Sch-PAH) patients as compared to idiopathic pulmonary arterial hypertension (IPAH) with respect to hemodynamics recorded at presentation and 36 months survival. Background Schistossomiasis (Sch) is one of the most prevalent chronic infectious diseases in the world. Nevertheless data regarding one of its most severe clinical complications, pulmonary arterial hypertension (PAH), is scarce. Methods We retrospectively analyzed case notes of all consecutive patients diagnosed of Sch-PAH and IPAH referred to the Heart Institute in Sao Paulo, Brazil, between 2004 and 2008. None of the Sch-PAH received PAH specific treatment whereas all IPAH patients did. Results Sch-PH patients (n = 54) had less severe pulmonary hypertension as evidenced by lower levels of pulmonary vascular resistance (11.3 +/- 11.3 W vs. 16.7 +/- 10.6 W; p = 0.002) and mean pulmonary artery pressure (56.7 +/- 18.7 mm Hg vs. 64.6 +/- 17.4 mm Hg; p = 0.01) and higher cardiac output (4.62 +/- 1.5 l/min vs. 3.87 +/- 1.5 l/min; p = 0.009) at presentation than IPAH patients (n = 95). None of the Sch-PAH patients demonstrated a positive response to acute vasodilator testing, whereas 16.2% of IPAH patients did (p = 0.015). Survival rates at 1, 2, and 3 years were 95.1%, 95.1%, and 85.9% and 95%, 86%, and 82%, for Sch-PAH and IPAH, respectively (p = 0.49). Both groups had a higher survival rate when compared to IPAH survival as estimated by the NIH equation (71%, 61%, and 52%, respectively). Conclusions Sch-PAH has a more benign clinical course than IPAH despite a lack of demonstrable acute vasoreactivity at hemodynamic evaluation. (J Am Coll Cardiol 2010; 56: 715-20) (C) 2010 by the American College of Cardiology Foundation</t>
  </si>
  <si>
    <t>PORTOPULMONARY HYPERTENSION; DIAGNOSIS; PATHOLOGY; SOCIETY; DISEASE</t>
  </si>
  <si>
    <t>schistosomiasis; pulmonary hypertension; survival</t>
  </si>
  <si>
    <t>Survival in Schistosomiasis-Associated Pulmonary Arterial Hypertension</t>
  </si>
  <si>
    <t>Cesar dos Santos Fernandes, Caio Julio; Poyares Jardim, Carlos Vianna; Hovnanian, Andre; Hoette, Susana; Dias, Bruno Arantes; Souza, Silvia; Humbert, Marc; Souza, Rogerio</t>
  </si>
  <si>
    <t>Fernandes, CJCD; Jardim, CVP; Hovnanian, A; Hoette, S; Dias, BA; Souza, S; Humbert, M; Souza, R</t>
  </si>
  <si>
    <t>WOS:000281116000027</t>
  </si>
  <si>
    <t>641HS</t>
  </si>
  <si>
    <t>10.1016/j.jtcvs.2010.01.004</t>
  </si>
  <si>
    <t>This work was supported by a grant from Pneumologie Developpement, France.</t>
  </si>
  <si>
    <t>Pneumologie Developpement, France</t>
  </si>
  <si>
    <t>Humbert, Marc/0000-0003-0703-2892; Mercier, Olaf/0000-0002-4760-6267</t>
  </si>
  <si>
    <t>Mercier, O (corresponding author), Univ Paris 11, Hop Marie Lannelongue, INSERM, U999, 133 Ave Resistance, F-92350 Le Plessis Robinson, France.</t>
  </si>
  <si>
    <t>Hopital Marie Lannelongue; Universite Paris Saclay; Institut National de la Sante et de la Recherche Medicale (Inserm); Hopital Marie Lannelongue; Universite Paris Saclay</t>
  </si>
  <si>
    <t>[Mercier, Olaf] Univ Paris 11, Hop Marie Lannelongue, INSERM, U999, F-92350 Le Plessis Robinson, France; [Sage, Edouard; Izziki, Mohammed; Humbert, Marc; Dartevelle, Philippe; Eddahibi, Saadia; Fadel, Elie] Univ Paris 11, Hop Marie Lannelongue, Chirurg Expt Lab, UPRES EA 2705, F-92350 Le Plessis Robinson, France</t>
  </si>
  <si>
    <t>Objectives: In patients with chronic thromboembolic pulmonary hypertension, high flow in unobstructed lung regions may induce small-vessel damage responsible for persistent pulmonary hypertension after pulmonary thromboendarterectomy. In piglets, closure of an experimental aortopulmonary shunt reverses the flow-induced vascular lesions and diminishes the elevated levels of messenger RNA (mRNA) expression for endothelin-1 and endothelin receptor A (ETA). We wanted to study the effect of the ETA antagonist TBC 3711 on reversal of flow-induced pulmonary vascular lesions. Methods: Twenty piglets were studied. In 15 piglets, pulmonary vasculopathy was induced by creating an aortopulmonary shunt. After 5 weeks of shunting, some animals were studied (n = 5); others underwent shunt closure for 1 week with (n = 5) or without (n = 5) TBC3711 treatment. Anti-ETA treatment started 1 week before and ended 1 week after the shunt closure. The controls were sham-operated animals (n = 5). Results: High blood flow led to medial hypertrophy of the distal pulmonary arteries (54.9% +/- 1.3% vs 35.3% +/- 0.9%; P &lt; .0001) by stimulating smooth muscle cell proliferation (proliferating cell nuclear antigen) and increased the expression of endothelin-1, ETA or endothelin receptor type A or endothelin receptor A, angiopoietin 1, and Tie2 (real-time polymerase chain reaction). One week after shunt closure, gene expression levels were normal and smooth muscle cells showed increased apoptosis (terminal deoxynucleotidyl transferase-mediated dUTP nick end labeling) without proliferation. However, pulmonary artery wall thickness returned to control values only in the group given TBC3711 (33.2% +/- 8% with and 50.3% +/- 1.3% without; P &lt; .05). Conclusions: Anti-ETA therapy accelerated the reversal of flow-induced pulmonary arterial disease after flow correction. In patients with chronic thromboembolic pulmonary hypertension and severe distal pulmonary vasculopathy, anti-ETA agents may prove useful for preventing persistent pulmonary hypertension after pulmonary thromboendarterectomy. (J Thorac Cardiovasc Surg 2010;140:677-83)</t>
  </si>
  <si>
    <t>BOSENTAN THERAPY; BLOOD-FLOW; FOLLOW-UP; HYPERTENSION; ENDARTERECTOMY; ANTAGONIST; EMBOLISM; DISEASE; TBC3711; LESIONS</t>
  </si>
  <si>
    <t>Endothelin A receptor blockade improves regression of flow-induced pulmonary vasculopathy in piglets</t>
  </si>
  <si>
    <t>Mercier, Olaf; Sage, Edouard; Izziki, Mohammed; Humbert, Marc; Dartevelle, Philippe; Eddahibi, Saadia; Fadel, Elie</t>
  </si>
  <si>
    <t>Mercier, O; Sage, E; Izziki, M; Humbert, M; Dartevelle, P; Eddahibi, S; Fadel, E</t>
  </si>
  <si>
    <t>WOS:000282470000016</t>
  </si>
  <si>
    <t>658DI</t>
  </si>
  <si>
    <t>10.1183/09031936.00057010</t>
  </si>
  <si>
    <t>D. S. O'Callaghan is the recipient of a European Respiratory Society Fellowship number 67.</t>
  </si>
  <si>
    <t>European Respiratory Society [67]</t>
  </si>
  <si>
    <t>Jing, Zhi-Cheng/0000-0003-0493-0929; O'Callaghan, Dermot/0000-0002-0561-5800; HACHULLA, ERIC/0000-0001-7432-847X; SITBON, Olivier/0000-0002-1942-1951; JAIS, XAVIER/0000-0002-4104-7994; GUNTHER, Sven/0000-0001-8388-6131; Degano, Bruno/0000-0003-1644-7264; Frachon, Irene/0000-0001-6666-9709; Souza, Rogerio/0000-0003-2789-9143; Humbert, Marc/0000-0003-0703-2892; Montani, David/0000-0002-9358-6922</t>
  </si>
  <si>
    <t>Savale, Laurent/AAJ-9781-2020; Sitbon, Olivier/I-3623-2019; Günther, Sven/ACV-7191-2022; Simonneau, Gerald/ABE-6614-2020; David, Montani/I-6885-2019; Chaouat, Ari/AAP-6784-2021; Jing, Zhi-Cheng/AAT-9081-2021; GUNTHER, Sven/P-4177-2017; Souza, Rogerio/I-3584-2013; Humbert, Marc/AAC-8459-2019</t>
  </si>
  <si>
    <t>Universite Paris Saclay; Assistance Publique Hopitaux Paris (APHP); Hopital Universitaire Antoine-Beclere - APHP; Institut National de la Sante et de la Recherche Medicale (Inserm); Hopital Marie Lannelongue; Universite Paris Saclay; Universites de Strasbourg Etablissements Associes; Universite de Strasbourg; CHU Strasbourg; CHU de Nancy; CHU Lyon; Aix-Marseille Universite; Assistance Publique-Hopitaux de Marseille; Tongji University; Universidade de Sao Paulo</t>
  </si>
  <si>
    <t>[Humbert, M.; Sitbon, O.; Yaici, A.; Montani, D.; O'Callaghan, D. S.; Jais, X.; Parent, F.; Savale, L.; Natali, D.; Guenther, S.; Jing, Z-C.; Souza, R.; Simonneau, G.] Univ Paris 11, Fac Med, F-92140 Clamart, France; [Humbert, M.; Sitbon, O.; Yaici, A.; Montani, D.; O'Callaghan, D. S.; Jais, X.; Parent, F.; Savale, L.; Natali, D.; Jing, Z-C.; Souza, R.; Simonneau, G.] Hop Antoine Beclere, AP HP, Serv Pneumol &amp; Reanimat Resp, Ctr Natl Reference Hypertens Pulm Severe, Clamart, France; [Humbert, M.; Sitbon, O.; Yaici, A.; Montani, D.; O'Callaghan, D. S.; Jais, X.; Parent, F.; Savale, L.; Natali, D.; Guenther, S.; Jing, Z-C.; Souza, R.; Simonneau, G.] INSERM, IPSIT, Ctr Chirurg Marie Lannelongue, U999, Le Plessis Robinson, France; [Chaouat, A.] Hop Hautepierre, Serv Pneumol, Strasbourg, France; [Chaouat, A.; Chabot, F.] Hop Brabois, Serv Pneumol, Vandoeuvre Les Nancy, France; [Cordier, J-F.] Hop Louis Pradel, Serv Pneumol, Lyon, France; [Habib, G.] Hop Enfants La Timone, Serv Cardiol, Marseille, France; [Gressin, V.] Actel Pharmaceut France, Paris, France; [Jing, Z-C.] Tongji Univ, Shanghai Pulm Hosp, Sch Med, Dept Pulm Circulat, Shanghai 200092, Peoples R China; [Souza, R.] Univ Sao Paulo, Sch Med, Dept Pulm, Inst Heart, Sao Paulo, Brazil</t>
  </si>
  <si>
    <t>Pulmonary arterial hypertension (PAH) is a progressive, fatal disease. We studied 674 consecutive adult patients who were prospectively enrolled in the French PAH registry (121 incident and 553 prevalent cases). Two survival analyses were performed. First, the cohort of 674 patients was followed for 3 yrs after study entry and survival rates described. Then, we focused on the subset with incident idiopathic, familial and anorexigen-associated PAH (n=56) combined with prevalent patients who were diagnosed,3 yrs prior to study entry (n=134). In the cohort of 674 patients, 1-, 2-, and 3-yr survival rates were 87% (95% CI 84-90), 76% (95% CI 73-80), and 67% (95% CI 63-71), respectively. In prevalent idiopathic, familial and anorexigen-associated PAH, 1-, 2-, and 3-yr survival rates were higher than in incident patients (p=0.037). In the combined cohort of patients with idiopathic, familial and anorexigen-associated PAH, multivariable analysis showed that survival could be estimated by means of a novel risk-prediction equation using patient sex, 6-min walk distance, and cardiac output at diagnosis. This study highlights survivor bias in prevalent cohorts of PAH patients. Survival of idiopathic, familial and anorexigen-associated PAH can be characterised by means of a novel risk-prediction equation using patients' characteristics at diagnosis.</t>
  </si>
  <si>
    <t>PROGNOSTIC-FACTORS; CLINICAL-OUTCOMES</t>
  </si>
  <si>
    <t>Exercise; mortality; pulmonary arterial hypertension; risk factors; sex</t>
  </si>
  <si>
    <t>Survival in incident and prevalent cohorts of patients with pulmonary arterial hypertension</t>
  </si>
  <si>
    <t>French Pulm Arterial</t>
  </si>
  <si>
    <t>Humbert, M.; Sitbon, O.; Yaici, A.; Montani, D.; O'Callaghan, D. S.; Jais, X.; Parent, F.; Savale, L.; Natali, D.; Guenther, S.; Chaouat, A.; Chabot, F.; Cordier, J-F.; Habib, G.; Gressin, V.; Jing, Z-C.; Souza, R.; Simonneau, G.</t>
  </si>
  <si>
    <t>Humbert, M; Sitbon, O; Yaïci, A; Montani, D; O'Callaghan, DS; Jaïs, X; Parent, F; Savale, L; Natali, D; Günther, S; Chaouat, A; Chabot, F; Cordier, JF; Habib, G; Gressin, V; Jing, ZC; Souza, R; Simonneau, G</t>
  </si>
  <si>
    <t>WOS:000284028600041</t>
  </si>
  <si>
    <t>677XJ</t>
  </si>
  <si>
    <t>S66</t>
  </si>
  <si>
    <t>Humbert, Marc/AAC-8459-2019; Tamby, Mathieu/B-1277-2011; Simonneau, Gerald/ABE-6614-2020; meroni, pier/K-8473-2016</t>
  </si>
  <si>
    <t>Universite Paris Cite; Institut National de la Sante et de la Recherche Medicale (Inserm); Centre National de la Recherche Scientifique (CNRS); CNRS - National Institute for Biology (INSB); Assistance Publique Hopitaux Paris (APHP); Universite Paris Cite; Hopital Universitaire Cochin - APHP; Assistance Publique Hopitaux Paris (APHP); Hopital Universitaire Antoine-Beclere - APHP</t>
  </si>
  <si>
    <t>[Dib, Hanadi; Bussone, Guillaume; Tamby, Mathieu C.; Mouthon, Luc] Paris Descartes Univ, Fac Med, INSERM U1016, Cochin Inst,CNRS UMR 8104, Paris, France; [Berezne, Alice; Guillevin, Loic; Mouthon, Luc] Cochin Hosp, Dept Internal Med, Paris, France; [Simonneau, Gerard; Humbert, Marc] Antoine Beclere Hosp, Dept Pneumol, Clamart, France; [Broussard, Cedric] Platform Prote Paris Descartes 3P5, Paris, France</t>
  </si>
  <si>
    <t>Dib, Hanadi; Bussone, Guillaume; Tamby, Mathieu C.; Berezne, Alice; Simonneau, Gerard; Broussard, Cedric; Guillevin, Loic; Humbert, Marc; Mouthon, Luc</t>
  </si>
  <si>
    <t>Dib, H; Bussone, G; Tamby, MC; Berezne, A; Simonneau, G; Broussard, C; Guillevin, L; Humbert, M; Mouthon, L</t>
  </si>
  <si>
    <t>WOS:000284028600023</t>
  </si>
  <si>
    <t>S61</t>
  </si>
  <si>
    <t>S60</t>
  </si>
  <si>
    <t>Universite Paris Cite; Centre National de la Recherche Scientifique (CNRS); CNRS - National Institute for Biology (INSB); Institut National de la Sante et de la Recherche Medicale (Inserm); Cornell University; Weill Cornell Medicine; Universite Paris Saclay; Assistance Publique Hopitaux Paris (APHP); Hopital Universitaire Antoine-Beclere - APHP; Universite Paris Cite; Assistance Publique Hopitaux Paris (APHP); Universite Paris Cite; Hopital Universitaire Cochin - APHP</t>
  </si>
  <si>
    <t>[Calzas, C.; Tamby, M. C.; Bussone, G.; Sahbatou, Y.; Sanson, C.; Broussard, C.; Mouthon, L.] Univ Paris 05, Cochin Inst, INSERM U1016, CNRS UMR 8104, Paris, France; [Weksler, B. B.] Cornell Univ, Weill Med Coll, New York, NY 10021 USA; [Yaici, A.; Simonneau, G.; Humbert, M.] Univ Paris Sud, Dept Pneumol, Clamart, France; [Yaici, A.; Simonneau, G.; Humbert, M.] Antoine Beclere Hosp, AP HP, French Reference Ctr Pulm Arterial Hypertens, Clamart, France; [Guillevin, L.; Mouthon, L.] Univ Paris 05, Dept Internal Med, Paris, France; [Guillevin, L.; Mouthon, L.] Cochin Hosp, AP HP, French Reference Ctr Necrotizing Vasculitides &amp; S, Paris, France</t>
  </si>
  <si>
    <t>Antibodies to vascular smooth muscle cells in idiopathic and systemic sclerosis-associated pulmonary arterial hypertension</t>
  </si>
  <si>
    <t>Calzas, C.; Tamby, M. C.; Bussone, G.; Sahbatou, Y.; Sanson, C.; Weksler, B. B.; Broussard, C.; Yaici, A.; Simonneau, G.; Guillevin, L.; Humbert, M.; Mouthon, L.</t>
  </si>
  <si>
    <t>Calzas, C; Tamby, MC; Bussone, G; Sahbatou, Y; Sanson, C; Weksler, BB; Broussard, C; Yaici, A; Simonneau, G; Guillevin, L; Humbert, M; Mouthon, L</t>
  </si>
  <si>
    <t>WOS:000283060900028</t>
  </si>
  <si>
    <t>665UL</t>
  </si>
  <si>
    <t>10.1002/art.27607</t>
  </si>
  <si>
    <t>Supported by the Association des Sclerodermiques de France, INSERM, the Agence Nationale pour la Recherche (grant R07094KS), the Societe Francaise de Rhumatologie, and the Groupe Francais de Recherche sur la Sclerodermie. The German Network for Systemic Sclerosis was funded by the German Federal Ministry for Education and Research (grants 01 GM 0310 and 01 GM 0634 to Drs. Riemekasten, Melchers, Hunzelmann, and Tarner).</t>
  </si>
  <si>
    <t>Association des Sclerodermiques de France; INSERM(Institut National de la Sante et de la Recherche Medicale (Inserm)); Agence Nationale pour la Recherche(Agence Nationale de la Recherche (ANR)); Societe Francaise de Rhumatologie; Groupe Francais de Recherche sur la Sclerodermie; German Federal Ministry for Education and Research(Federal Ministry of Education &amp; Research (BMBF))</t>
  </si>
  <si>
    <t>Association des Sclerodermiques de France; INSERM; Agence Nationale pour la Recherche [R07094KS]; Societe Francaise de Rhumatologie; Groupe Francais de Recherche sur la Sclerodermie; German Federal Ministry for Education and Research [01 GM 0310, 01 GM 0634]</t>
  </si>
  <si>
    <t>VALENTINI, Gabriele/0000-0002-7852-9137; Sibilia, Jean/0000-0002-1601-4795; boileau, catherine/0000-0002-0371-7539; Degano, Bruno/0000-0003-1644-7264; Dieude, Philippe/0000-0002-4814-0307; Avouac, Jerome/0000-0002-2463-218X; Cracowski, Claire/0000-0001-9911-4478; RICCIERI, Valeria/0000-0002-7507-5483; HACHULLA, ERIC/0000-0001-7432-847X; Humbert, Marc/0000-0003-0703-2892</t>
  </si>
  <si>
    <t>HACHULLA, ERIC/R-8488-2018; avouac, Jérôme/AAD-2101-2020; Degano, Bruno/IAQ-7289-2023; Riemekasten, Gabriela/B-5019-2017; , CRACOWSKI/M-6946-2014; AMOURA, Zahir/P-5324-2017; MATUCCI CERINIC, MARCO/AAO-2769-2020; boileau, catherine/M-4482-2017; RICCIERI, Valeria/AAC-6079-2022; Humbert, Marc/AAC-8459-2019</t>
  </si>
  <si>
    <t>Allanore, Y (corresponding author), Hop Cochin, Serv Rhumatol A, 27 Rue Faubourg St Jacques, F-75014 Paris, France.</t>
  </si>
  <si>
    <t>Assistance Publique Hopitaux Paris (APHP); Universite Paris Cite; Hopital Universitaire Cochin - APHP; Universite Paris Cite; Institut National de la Sante et de la Recherche Medicale (Inserm); Assistance Publique Hopitaux Paris (APHP); Hopital Universitaire Necker-Enfants Malades - APHP; Universite Paris Cite; Assistance Publique Hopitaux Paris (APHP); Hopital Universitaire Bichat-Claude Bernard - APHP; Universite Paris Saclay; INRAE; Centre National de la Recherche Scientifique (CNRS); CNRS - National Institute for Mathematical Sciences (INSMI); Berlin Institute of Health; Free University of Berlin; Humboldt University of Berlin; Charite Universitatsmedizin Berlin; Institut National de la Sante et de la Recherche Medicale (Inserm); CHU Grenoble Alpes; Communaute Universite Grenoble Alpes; Universite Grenoble Alpes (UGA); University of Florence; University of Freiburg; Assistance Publique Hopitaux Paris (APHP); Hopital Universitaire Antoine-Beclere - APHP; Universite Paris Saclay; Institut National de la Sante et de la Recherche Medicale (Inserm); Assistance Publique Hopitaux Paris (APHP); Hopital Universitaire Antoine-Beclere - APHP; Universite de Lille; Hospital Spedali Civili Brescia; Institut National de la Sante et de la Recherche Medicale (Inserm); CHU Tours; University of Cologne; University of Verona; Universites de Strasbourg Etablissements Associes; Universite de Strasbourg; CHU Strasbourg; Universites de Strasbourg Etablissements Associes; Universite de Strasbourg; Universita della Campania Vanvitelli; Sorbonne Universite; Assistance Publique Hopitaux Paris (APHP); Hopital Universitaire Saint-Antoine - APHP; Assistance Publique Hopitaux Paris (APHP); Universite Paris Cite; Hopital Universitaire Cochin - APHP; Sapienza University Rome; University of Erlangen Nuremberg; Sorbonne Universite; Assistance Publique Hopitaux Paris (APHP); Hopital Universitaire Pitie-Salpetriere - APHP; Justus Liebig University Giessen; Kerckhoff Clinic; Universite de Franche-Comte; CHU Besancon; Assistance Publique Hopitaux Paris (APHP); Assistance Publique Hopitaux Paris (APHP); Universite Paris Cite; Hopital Universitaire Bichat-Claude Bernard - APHP; Hopital Universitaire Cochin - APHP; Universite Paris Saclay; Assistance Publique Hopitaux Paris (APHP); Hopital Universitaire Ambroise-Pare - APHP; Assistance Publique Hopitaux Paris (APHP); Hopital Universitaire Ambroise-Pare - APHP</t>
  </si>
  <si>
    <t>[Allanore, Y.] Hop Cochin, Serv Rhumatol A, F-75014 Paris, France; [Wipff, J.; Allanore, Y.] Univ Paris 05, Hop Necker, INSERM, U781, Paris, France; [Dieude, P.; Meyer, O.] Univ Paris Diderot, Hop Bichat Claude Bernard, Paris, France; [Guedj, M.] Univ Evry Val Essonne, CNRS, INRA 1152, UMR 8071, Evry, France; [Riemekasten, G.] Charite, Berlin, Germany; [Cracowski, J. L.] Ctr Hosp Univ Grenoble, INSERM CIC3, Grenoble, France; [Matucci-Cerinic, M.] Univ Florence, Florence, Italy; [Melchers, I.] Univ Med Ctr, Freiburg, Germany; [Humbert, M.; Girerd, B.] Univ Paris Sud, Hop Antoine Beclere, INSERM, U999, Clamart, France; [Humbert, M.; Girerd, B.] AP HP, Clamart, France; [Hachulla, E.] Univ Lille 2, Lille, France; [Airo, P.] Spedali Civil Brescia, I-25125 Brescia, Italy; [Diot, E.] INSERM, U618, IFR 135, Tours, France; [Diot, E.] Ctr Hosp Univ Bretonneau, Tours, France; [Hunzelmann, N.] Univ Cologne, Cologne, Germany; [Caramaschi, P.] Univ Verona, I-37100 Verona, Italy; [Sibilia, J.] Univ Strasbourg, Strasbourg, France; [Sibilia, J.] Hop Hautepierre, Strasbourg, France; [Valentini, G.] Univ Naples 2, Naples, Italy; [Tiev, K.] Univ Paris 06, Hop St Antoine, Paris, France; [Mouthon, L.; Kahan, A.] Univ Paris 05, Hop Cochin, Paris, France; [Riccieri, V.] Univ Roma La Sapienza, Rome, Italy; [Distler, J.] Univ Erlangen Nurnberg, Erlangen, Germany; [Amoura, Z.] Univ Paris 06, Hop La Pitie Salpetriere, Paris, France; [Tarner, I.] Univ Giessen, Bad Nauheim, Germany; [Tarner, I.] Kerckhoff Clin, Bad Nauheim, Germany; [Degano, B.] Ctr Hosp Univ J Minjoz, Besancon, France; [Dieude, P.; Tiev, K.; Mouthon, L.; Amoura, Z.; Avouac, J.] AP HP, Paris, France; [Avouac, J.] Univ Paris Diderot, Univ Paris Descartes, Hop Bichat Claude Bernard, Hop Cochin, Paris, France; [Boileau, C.] Univ Versailles St Quentin Yvelines, Hop Ambroise Pare, Boulogne, France; [Boileau, C.] AP HP, Boulogne, France</t>
  </si>
  <si>
    <t>Objective. Pulmonary arterial hypertension (PAH) has emerged as a leading cause of death in systemic sclerosis (SSc). The genetic basis of PAH has been unraveled in recent years, with a major role played by transforming growth factor beta receptors; however, some other candidate genes have also been advocated, including potassium voltage-gated channel, shaker-related subfamily, member 5 (KCNA5). We undertook this study to determine whether KCNA5 polymorphisms confer susceptibility to SSc and its vascular phenotype, including PAH. Methods. Four KCNA5 single-nucleotide polymorphisms (SNPs), rs10744676, rs1860420, rs3741930, and rs2284136, were genotyped in a discovery set of 638 SSc patients and 469 controls. In addition, rs10744676 was genotyped in an independent replication sample (938 SSc patients and 564 controls) and in a cohort of 168 patients with different PAH subtypes. Results. The KCNA5 rs10744676 variant was found to be associated with SSc in the discovery sample, with an odds ratio (OR) of 0.62 (95% confidence interval [95% CI] 0.48-0.79, adjusted P = 0.0003) in comparison with controls (C allele frequency 11.4% versus 17.2%). When subphenotypes were investigated, an association was found solely for PAH associated with SSc (OR 0.31 [95% CI 0.13-0.71], adjusted P = 0.04). The other KCNA5 SNPs tested were not associated with any SSc subset. The above association with PAH associated with SSc was replicated in the second set. In the combined population, rs10744676 was strongly associated with PAH associated with SSc in comparison with controls (OR 0.36 [95% CI 0.21-0.63], P = 0.0002). In the independent cohort of patients with PAH, after investigating PAH subtypes, only rs10744676 showed an association with PAH associated with SSc. Conclusion. Our results provide the first evidence for an association between the KCNA5 rs10744676 variant and PAH associated with SSc.</t>
  </si>
  <si>
    <t>RISK-FACTOR; SUSCEPTIBILITY; SCLERODERMA; IRF5; PREDICTORS; MUTATIONS; CAPACITY; CHANNELS; OUTCOMES; SUBSETS</t>
  </si>
  <si>
    <t>Association of a KCNA5 Gene Polymorphism With Systemic Sclerosis-Associated Pulmonary Arterial Hypertension in the European Caucasian Population</t>
  </si>
  <si>
    <t>Wipff, J.; Dieude, P.; Guedj, M.; Ruiz, B.; Riemekasten, G.; Cracowski, J. L.; Matucci-Cerinic, M.; Melchers, I.; Humbert, M.; Hachulla, E.; Airo, P.; Diot, E.; Hunzelmann, N.; Caramaschi, P.; Sibilia, J.; Valentini, G.; Tiev, K.; Girerd, B.; Mouthon, L.; Riccieri, V.; Carpentier, P. H.; Distler, J.; Amoura, Z.; Tarner, I.; Degano, B.; Avouac, J.; Meyer, O.; Kahan, A.; Boileau, C.; Allanore, Y.</t>
  </si>
  <si>
    <t>Wipff, J; Dieudé, P; Guedj, M; Ruiz, B; Riemekasten, G; Cracowski, JL; Matucci-Cerinic, M; Melchers, I; Humbert, M; Hachulla, E; Airo, P; Diot, E; Hunzelmann, N; Caramaschi, P; Sibilia, J; Valentini, G; Tiev, K; Girerd, B; Mouthon, L; Riccieri, V; Carpentier, PH; Distler, J; Amoura, Z; Tarner, I; Degano, B; Avouac, J; Meyer, O; Kahan, A; Boileau, C; Allanore, Y</t>
  </si>
  <si>
    <t>WOS:000281631500002</t>
  </si>
  <si>
    <t>647PQ</t>
  </si>
  <si>
    <t>10.1111/j.1398-9995.2010.02439.x</t>
  </si>
  <si>
    <t>Members of GA2LEN (Global Allergy and Asthma European Network), supported by the Sixth EU Framework program for research, contract no FOOD-CT-2004-506378.</t>
  </si>
  <si>
    <t>EU(European Union (EU))</t>
  </si>
  <si>
    <t>EU [FOOD-CT-2004-506378]</t>
  </si>
  <si>
    <t>Ryan, Dermot/0000-0002-4115-7376; Kuna, Piotr/0000-0003-2401-0070; Papadopoulos, Nikolaos/0000-0002-2508-3872; mohammad, yousser/0009-0003-0403-2747; Bonini, Sergio/0000-0003-0079-3031; Price, David/0000-0002-9728-9992; Cucalin, Aleksandr/0000-0002-6808-5528; CANONICA, GIORGIO WALTER/0000-0001-8467-2557; O'Byrne, Paul/0000-0003-0979-281X; Bousquet, Philippe Jean/0000-0002-0217-5483; Zar, Heather/0000-0002-9046-759X; Casale, Thomas/0000-0002-3149-7377; Demoly, Pascal/0000-0001-7827-7964; O'Hehir, Robyn/0000-0002-3489-7595; Delgado, Luis/0000-0003-2375-9071; Rabe, Klaus F./0000-0002-7020-1401; Papadopoulos, Nikolaos/0000-0002-4448-3468; Lotvall, Jan/0000-0001-9195-9249; yorgancioglu, arzu/0000-0002-4032-0944; Custovic, Adnan/0000-0001-5218-7071; van Weel, Chris/0000-0003-3653-4701; Johnston, Sebastian/0000-0003-3009-9200; Popov, Todor/0000-0001-5052-5866; Fonseca, Joao/0000-0002-0887-8796; Burney, Peter/0000-0001-8635-5678; Yusuf, Osman/0000-0002-8067-1204; Humbert, Marc/0000-0003-0703-2892; Larenas Linnemann, Desiree/0000-0002-5713-5331; Chavannes, Niels Henrik/0000-0002-8607-9199; Schunemann, Holger/0000-0003-3211-8479</t>
  </si>
  <si>
    <t>Zar, Heather/GZL-5350-2022; Cruz, Alvaro/I-1676-2012; Bonniaud, Philippe/ITT-4660-2023; Fokkens, Wytske/ABF-2185-2020; jackson, cathy/H-4869-2013; Dahl, Ronahl/F-8170-2013; Oliver, Brian/E-7939-2010; Bousquet, Jean/O-4221-2019; Marshall, Gailen/R-7459-2019; costa, david/AAA-1971-2020; Price, David/H-2837-2019; MAGNAN, ANTOINE/GVT-4308-2022; Bachert, Claus/J-8825-2012; Busse, William/AFR-0848-2022; Ryan, Dermot/AAJ-2329-2021; Mohammad, Yousser/LTD-1984-2024; Annesi-Maesano, Isabella/D-9173-2016; Bateman, Eric/B-7042-2011; Zuberbier, Torsten/AFM-9173-2022; Johnston, Sebastian/I-2423-2012; Rabe, Klaus/AAW-6296-2021; Popov, Todor/Q-9928-2016; KIM, JOO YEOL/HRC-8018-2023; Viegi, Giovanni/K-2746-2016; Lötvall, Jan/ADD-3802-2022; Agache, Ioana/AAP-7403-2020; Brozek, Jan/ADG-1130-2022; Yorgancioglu, Arzu/AAC-7548-2020; Bonini, Sergio/T-6594-2019; Cucalin, Aleksandr/P-5678-2018; CANONICA, GIORGIO WALTER/ABF-2037-2020; Casale, Thomas/K-4334-2013; Demoly, Pascal/Y-9938-2019; O'Hehir, Robyn/H-3627-2011; Delgado, Luis/L-8035-2013; Papadopoulos, Nikolaos/L-8670-2013; Custovic, Adnan/A-2435-2012; van Weel, Chris/D-4375-2009; Fonseca, Joao/B-7562-2008; Yusuf, Osman/AAI-1142-2020; Humbert, Marc/AAC-8459-2019; Chavannes, Niels Henrik/F-1148-2011; Schunemann, Holger/LRB-7016-2024</t>
  </si>
  <si>
    <t>Bousquet, J (corresponding author), Hop Arnaud Villeneuve, Serv Malad Resp, Univ Hosp, 371 Ave Doyen Gaston Giraud, F-34295 Montpellier 5, France.</t>
  </si>
  <si>
    <t>Universite de Montpellier; CHU de Montpellier; Universite Paris Saclay; Institut National de la Sante et de la Recherche Medicale (Inserm); McMaster University; McMaster University; Berlin Institute of Health; Free University of Berlin; Humboldt University of Berlin; Charite Universitatsmedizin Berlin; Ghent University; Catholic University of Cordoba; University of Genoa; Universite de Montpellier; CHU de Nimes; University of Genoa; Creighton University; Institut National de la Sante et de la Recherche Medicale (Inserm); Universite de Montpellier; CHU de Montpellier; Erasmus University Rotterdam; Erasmus MC; Teikyo University; University of Cape Town; Imperial College London; Universidade Federal da Bahia; University System of Georgia; Augusta University; University of Aberdeen; State University System of Florida; University of South Florida; University of Gothenburg; National Institutes of Health (NIH) - USA; NIH National Institute of Allergy &amp; Infectious Diseases (NIAID); Universita della Campania Vanvitelli; Laval University; Laval University; Laval University Hospital; Universidade Federal de Minas Gerais; University of Oslo; University of Oslo; Leiden University; Leiden University Medical Center (LUMC); Leiden University - Excl LUMC; Universidade do Porto; Imperial College London; University of Amsterdam; Academic Medical Center Amsterdam; Universidade do Porto; Sao Joao Hospital; University of Helsinki; Helsinki University Central Hospital; Hacettepe University; Medical University Lodz; Tishreen University; CIBER - Centro de Investigacion Biomedica en Red; CIBERES; University of Barcelona; Hospital Clinic de Barcelona; IDIBAPS; University of Chicago; Monash University; Florey Institute of Neuroscience &amp; Mental Health; Howard Florey Institute Affiliates; National &amp; Kapodistrian University of Athens; Leiden University - Excl LUMC; Leiden University; Leiden University Medical Center (LUMC); Nippon Medical School; Medical University of Warsaw; University of Manitoba; Celal Bayar University; Transylvania University of Brasov; Institut National de la Sante et de la Recherche Medicale (Inserm); Sorbonne Universite; Universita di Modena e Reggio Emilia; Universite de Tunis-El-Manar; Hopital Abderrahmene Mami; University of Tennessee System; University of Tennessee Health Science Center; University of Ghana; University of Wisconsin System; University of Wisconsin Madison; University of British Columbia; Capital Institute of Pediatrics (CIP); Universite de Montpellier; University of Manchester; Aarhus University; McMaster University; Vilnius University; University of Washington; University of Washington Seattle; Universite Paris Saclay; Assistance Publique Hopitaux Paris (APHP); Hopital Universitaire Antoine-Beclere - APHP; University of St Andrews; George Washington University; Seoul National University (SNU); Seoul National University Hospital; Universite de Poitiers; Medical University Lodz; Hochiminh City University of Medicine &amp; Pharmacy; Universite de Montreal; Universite de Montreal; University of Dundee; University of Sharjah; University of Mississippi; University of California System; University of California San Diego; Allergy &amp; Asthma Medical Group &amp; Research Center; University of California System; University of California San Diego; University of Cape Town; Universidade Federal de Sao Paulo (UNIFESP); Jagiellonian University; Chiba University; Medical University Sofia; University College London Hospitals NHS Foundation Trust; Royal National Throat, Nose &amp; Ear Hospital; University of London; University College London; Ministry of Health - Kyrgyzstan; Nevada System of Higher Education (NSHE); University of Nevada Reno; Finnish Institute of Occupational Health; Universite Catholique Louvain; Universite Catholique Louvain Hospital; Radboud University Nijmegen; Consiglio Nazionale delle Ricerche (CNR); Istituto di Biomedicina e di Immunologia Molecolare Alberto Monroy (IBIM-CNR); Consiglio Nazionale delle Ricerche (CNR); Istituto di Fisiologia Clinica (IFC-CNR); University of Rostock; National University of Singapore; Karolinska Institutet; Karolinska Institutet; University of North Carolina; University of North Carolina Chapel Hill; University of Minnesota System; University of Minnesota Rochester; Olmsted Medical Center; University of Cape Town</t>
  </si>
  <si>
    <t>[Bousquet, J.] Hop Arnaud Villeneuve, Serv Malad Resp, Univ Hosp, F-34295 Montpellier 5, France; [Bousquet, J.] INSERM, CESP Ctr Res Epidemiol &amp; Populat Hlth, U1018, Villejuif, France; [Schunemann, H. J.; Brozek, J.] McMaster Univ, Dept Clin Epidemiol &amp; Biostat, Hamilton, ON, Canada; [Schunemann, H. J.; Brozek, J.] McMaster Univ, Dept Med, Hamilton, ON, Canada; [Zuberbier, T.] Charite, Allergy Ctr Charite, D-13353 Berlin, Germany; [Bachert, C.; van Cauwenberge, P.] Univ Ghent, B-9000 Ghent, Belgium; [Baena-Cagnani, C. E.; Zernotti, M.] Catholic Univ Cordoba, Fac Med, Cordoba, Argentina; [Baena-Cagnani, C. E.] Univ Genoa, Fac Specializat Resp Med, Genoa, Italy; [Bousquet, P. J.] Univ Nimes Hosp, F-30006 Nimes, France; [Canonica, G. W.; Passalacqua, G.] Univ Genoa, Allergy &amp; Resp Dis Clin, Genoa, Italy; [Casale, T. B.] Creighton Univ, Omaha, NE 68178 USA; [Demoly, P.] Univ Hosp Montpellier, INSERM, U657, Hop Arnaud Villeneuve, Montpellier, France; [Gerth van Wijk, R.] Erasmus MC, Dept Internal Med, Sect Allergol, Rotterdam, Netherlands; [Ohta, K.] Teikyo Univ, Sch Med, Tokyo 173, Japan; [Bateman, E. D.] Univ Cape Town, Fac Hlth Sci, ZA-7925 Cape Town, South Africa; [Calderon, M.] Univ London Imperial Coll Sci Technol &amp; Med, Allergy Unit, London, England; [Cruz, A. A.] Univ Fed Bahia, Fac Med Bahia, Salvador, Brazil; [Cruz, A. A.] CNPq, Salvador, Brazil; [Dolen, W. K.] Med Coll Georgia, Augusta, GA 30912 USA; [Haughney, J.; Ryan, D.; Price, D.] Univ Aberdeen, Aberdeen, Scotland; [Lockey, R. F.] Univ S Florida, Coll Med, Div Allergy &amp; Immunol, Tampa, FL USA; [Lotvall, J.] Univ Gothenburg, Gothenburg, Sweden; [Spranger, O.; Palkonen, S.] EFA European Federat Allergy &amp; Airways Dis Patien, Brussels, Belgium; [Togias, A.] NIAID, Bethesda, MD USA; [Bonini, S.] Univ Naples 2, INMM CNR, Rome, Italy; [Boulet, L. P.; Bouchard, J.] Univ Laval, Laval, PQ, Canada; [Boulet, L. P.] Hop Laval, Inst Cardiol &amp; Pneumol, Laval, PQ, Canada; [Camargos, P.] Univ Fed Minas Gerais, Univ Hosp, Sch Med, Belo Horizonte, MG, Brazil; [Carlsen, K. H.] Ullevaal Univ Hosp, Dept Paediat, Oslo, Norway; [Carlsen, K. H.] Univ Oslo, Fac Med, Oslo, Norway; [Chavannes, N. H.] Leiden Univ, Med Ctr, Dept Publ Hlth &amp; Primary Care, Leiden, Netherlands; [Delgado, L.] Univ Porto, Fac Med, P-4100 Porto, Portugal; [Durham, S. R.; Burney, P. G.; Johnston, S. L.] Univ London Imperial Coll Sci Technol &amp; Med, Natl Heart &amp; Lung Inst, London, England; [Fokkens, W. J.] Univ Amsterdam, Acad Med Ctr, NL-1105 AZ Amsterdam, Netherlands; [Fonseca, J.] Univ Porto, Sch Med, CUF CINTESIS, Hosp S Joao &amp; Inst, P-4100 Porto, Portugal; [Haahtela, T.] Helsinki Univ Hosp, Skin &amp; Allergy Hosp, Helsinki, Finland; [Kalayci, O.] Hacettepe, Pediat Allergy &amp; Asthma Unit, Ankara, Turkey; [Kowalski, M. L.] Med Univ Lodz, Dept Immunol Rheumatol &amp; Allergy, Lodz, Poland; [Larenas-Linnemann, D.] Hosp Med Sur, Dept Allergy, Mexico City, DF, Mexico; [Li, J.] Guangzhou Med Sch, Affiliated Hosp 1, Guangzhou Inst Resp Dis, Guangzhou, Guangdong, Peoples R China; [Mohammad, Y.] Tishreen Univ, Sch Med, Latakia, Syria; [Mullol, J.] Hosp Clin Univ, IDIBAPS, CIBERES, Barcelona, Catalonia, Spain; [Naclerio, R.] Univ Chicago, Chicago, IL 60637 USA; [O'Hehir, R. E.] Monash Univ, Melbourne, Vic 3004, Australia; [O'Hehir, R. E.] Alfred Hosp, Melbourne, Vic 3004, Australia; [Papadopoulos, N.] Univ Athens, Allergy Res Ctr, Athens, Greece; [Rabe, K. F.] Leiden Univ, Med Ctr, Dept Pulmonol, Leiden, Netherlands; [Pawankar, R.] Nippon Med Sch, Bunkyo Ku, Tokyo 113, Japan; [Ryan, D.] Woodbrook Med Ctr, Loughborough, Leics, England; [Samolinski, B.] Med Univ Warsaw, Warsaw, Poland; [Simons, F. E. R.] Univ Manitoba, Winnipeg, MB, Canada; [Valovirta, E.] Terveystalo Turku, Turku, Finland; [Yorgancioglu, A.] Celal Bayar Univ, Sch Med, Dept Pulmonol, Manisa, Turkey; [Yusuf, O. M.] Allergy &amp; Asthma Inst, Islamabad, Pakistan; [Agache, I.] Transylvania Univ, Brasov, Romania; [Ait-Khaled, N.] The Union, Paris, France; [Annesi-Maesano, I.] INSERM, EPAR, U707, Paris, France; [Annesi-Maesano, I.] UPMC, UMR S, EPAR, Paris, France; [Beghe, B.] Univ Modena &amp; Reggio Emilia, Dept Oncol Haematol &amp; Resp Dis, Modena, Italy; [Ben Kheder, A.] Hop Mami Ariana, Ariana, Tunisia; [Blaiss, M. S.] Univ Tennessee, Ctr Hlth Sci, Memphis, TN 38163 USA; [Boakye, D. A.] Univ Ghana, Coll Hlth Sci, Noguchi Mem Inst Med Res, Legon, Accra, Ghana; [Bouchard, J.] Hop Malbaie, Malbaie, PQ, Canada; [Busse, W. W.] Univ Wisconsin, Sch Med &amp; Publ Hlth, Madison, WI USA; [Chan-Yeung, M.] Univ British Columbia, Vancouver, BC V5Z 1M9, Canada; [Chen, Y.] Natl Cooperat Grp Pediat Res Asthma, Asthma Clin &amp; Educ Ctr Capital Inst Pediat, Beijing, Peoples R China; [Chuchalin, A. G.] Russian Resp Soc, Moscow, Russia; [Chuchalin, A. G.] Pulmonol Res Inst, Moscow, Russia; [Costa, D. J.] Univ Montpellier, Primary Care Dept, F-34059 Montpellier, France; [Custovic, A.] Univ Manchester, Manchester, Lancs, England; [Dahl, R.] Aarhus Univ Hosp, DK-8000 Aarhus, Denmark; [Denburg, J.] McMaster Univ, AllerGen NCE, Hamilton, ON, Canada; [Douagui, H.] Univ Beni Messous, Ctr Hosp Univ, Algiers, Algeria; [Emuzyte, R.] Vilnius State Univ, Fac Med, Vilnius, Lithuania; [Grouse, L.] Univ Washington, Sch Med, Seattle, WA USA; [Humbert, M.] Univ Paris Sud, Hop Antoine Beclere, Clamart, France; [Jackson, C.] Univ St Andrews, Bute Med Sch, St Andrews, Fife, Scotland; [Kaliner, M. A.] George Washington Univ, Sch Med, Washington, DC USA; [Kaliner, M. A.] Inst Asthma &amp; Allergy, Chevy Chase, MD USA; [Kim, Y. Y.] Seoul Natl Univ Hosp, Seoul 110744, South Korea; [Klossek, J. M.] Univ Poitiers, Poitiers, France; [Kuna, P.] Med Univ Lodz, Barlicki Univ Hosp, Lodz, Poland; [Le, L. T.] Univ Med &amp; Pharm, Ho Chi Minh City, Vietnam; [Lemiere, C.; Malo, J. L.] Univ Montreal, Montreal, PQ, Canada; [Lemiere, C.; Malo, J. L.] Hop Sacre Coeur Montreal, Montreal, PQ, Canada; [Lipworth, B.] Univ Dundee, Dundee, Scotland; [Mahboub, B.] Univ Sharjah, Sharjah, U Arab Emirates; [Marshall, G. D.] Univ Mississippi, Jackson, MS 39216 USA; [Mavale-Manuel, S.] Childrens Hosp, Maputo, Mozambique; [Meltzer, E. O.] Univ Calif San Diego, Allergy &amp; Asthma Med Grp, San Diego, CA 92103 USA; [Meltzer, E. O.] Univ Calif San Diego, Res Ctr, San Diego, CA 92103 USA; [Morais-Almeida, M.] CUF Descobertas Hosp, Immunoallergy Dept, Lisbon, Portugal; [Motala, C.] Red Cross War Mem Childrens Hosp, Cape Town, South Africa; [Motala, C.] UCT, Sch Child &amp; Adolescent Hlth, Cape Town, South Africa; [Naspitz, C.] Univ Fed Sao Paulo, Sao Paulo, Brazil; [Nekam, K.] Hosp Hospitaller Bros Buda, Budapest, Hungary; [Niggemann, B.] German Red Cross Hosp Berlin, Berlin, Germany; [Nizankowska-Mogilnicka, E.] Jagiellonian Univ, Sch Med, Krakow, Poland; [Okamoto, Y.] Chiba Univ, Chiba, Japan; [Popov, T. A.] Med Univ Sofia, Clin Allergy &amp; Asthma, Sofia, Bulgaria; [Rosado-Pinto, J.] Hosp Luz, Immunoallergy Dept, Lisbon, Portugal; [Scadding, G. K.] Royal Natl Throat Nose &amp; Ear Hosp, London, England; [Sooronbaev, T. M.] Natl Ctr Cardiol &amp; Internal Med, Bishkek, Kyrgyzstan; [Stoloff, S. W.] Univ Nevada, Sch Med, Reno, NV 89557 USA; [Toskala, E.] Finnish Inst Occupat Hlth, Helsinki, Finland; [Vandenplas, O.] Catholic Univ Louvain, Univ Hosp Mont Godinne, Yvoir, Belgium; [van Weel, C.] Radboud Univ Nijmegen, Med Ctr, Dept Primary &amp; Community Care, NL-6525 ED Nijmegen, Netherlands; [Viegi, G.] CNR Inst Biomed &amp; Mol Immunol IBIM, Palermo, Italy; [Viegi, G.] Clin Physiol IFC, Pisa, Italy; [Virchow, J. C.] Univ Rostock, Rostock, Germany; [Wang, D. Y.] Natl Univ Singapore, Yong Loo Lin Sch Med, Singapore, Singapore; [Wickman, M.] Karolinska Inst, Sachs Childrens Hosp, Stockholm, Sweden; [Wickman, M.] Karolinska Inst, Inst Environm Med, S-10401 Stockholm, Sweden; [Williams, D.] Univ N Carolina, Sch Pharm, Chapel Hill, NC USA; [Yawn, B. P.] Univ Minnesota, Olmsted Med Ctr, Rochester, MN USA; [Zar, H. J.] Univ Cape Town, Dept Paediat &amp; Child Hlth, Cape Town, South Africa</t>
  </si>
  <si>
    <t>P&gt;The links between asthma and rhinitis are well characterized. The Allergic Rhinitis and its Impact on Asthma (ARIA) guidelines stress the importance of these links and provide guidance for their prevention and treatment. Despite effective treatments being available, too few patients receive appropriate medical care for both diseases. Most patients with rhinitis and asthma consult primary care physicians and therefore these physicians are encouraged to understand and use ARIA guidelines. Patients should also be informed about these guidelines to raise their awareness of optimal care and increase control of the two related diseases. To apply these guidelines, clinicians and patients need to understand how and why the recommendations were made. The goal of the ARIA guidelines is to provide recommendations about the best management options for most patients in most situations. These recommendations should be based on the best available evidence. Making recommendations requires the assessment of the quality of available evidence, deciding on the balance between benefits and downsides, consideration of patients' values and preferences, and, if applicable, resource implications. Guidelines must be updated as new management options become available or important new evidence emerges. Transparent reporting of guidelines facilitates understanding and acceptance, but implementation strategies need to be improved.</t>
  </si>
  <si>
    <t>NONALLERGIC RHINITIS; GRADING QUALITY; SEVERE ASTHMA; PRIMARY-CARE; PREVALENCE; STRENGTH; CLASSIFICATION; MANAGEMENT; STATEMENT; DIAGNOSIS</t>
  </si>
  <si>
    <t>ARIA; asthma; EAACI; EFA; GA2LEN; IPCRG; rhinitis</t>
  </si>
  <si>
    <t>Development and implementation of guidelines in allergic rhinitis - an ARIA-GA2LEN paper</t>
  </si>
  <si>
    <t>WHO Collaborating Ctr Asthma Rhini</t>
  </si>
  <si>
    <t>Bousquet, J.; Schunemann, H. J.; Zuberbier, T.; Bachert, C.; Baena-Cagnani, C. E.; Bousquet, P. J.; Brozek, J.; Canonica, G. W.; Casale, T. B.; Demoly, P.; Gerth van Wijk, R.; Ohta, K.; Bateman, E. D.; Calderon, M.; Cruz, A. A.; Dolen, W. K.; Haughney, J.; Lockey, R. F.; Lotvall, J.; O'Byrne, P.; Spranger, O.; Togias, A.; Bonini, S.; Boulet, L. P.; Camargos, P.; Carlsen, K. H.; Chavannes, N. H.; Delgado, L.; Durham, S. R.; Fokkens, W. J.; Fonseca, J.; Haahtela, T.; Kalayci, O.; Kowalski, M. L.; Larenas-Linnemann, D.; Li, J.; Mohammad, Y.; Mullol, J.; Naclerio, R.; O'Hehir, R. E.; Papadopoulos, N.; Passalacqua, G.; Rabe, K. F.; Pawankar, R.; Ryan, D.; Samolinski, B.; Simons, F. E. R.; Valovirta, E.; Yorgancioglu, A.; Yusuf, O. M.; Agache, I.; Ait-Khaled, N.; Annesi-Maesano, I.; Beghe, B.; Ben Kheder, A.; Blaiss, M. S.; Boakye, D. A.; Bouchard, J.; Burney, P. G.; Busse, W. W.; Chan-Yeung, M.; Chen, Y.; Chuchalin, A. G.; Costa, D. J.; Custovic, A.; Dahl, R.; Denburg, J.; Douagui, H.; Emuzyte, R.; Grouse, L.; Humbert, M.; Jackson, C.; Johnston, S. L.; Kaliner, M. A.; Keith, P. K.; Kim, Y. Y.; Klossek, J. M.; Kuna, P.; Le, L. T.; Lemiere, C.; Lipworth, B.; Mahboub, B.; Malo, J. L.; Marshall, G. D.; Mavale-Manuel, S.; Meltzer, E. O.; Morais-Almeida, M.; Motala, C.; Naspitz, C.; Nekam, K.; Niggemann, B.; Nizankowska-Mogilnicka, E.; Okamoto, Y.; Orru, M. P.; Ouedraogo, S.; Palkonen, S.; Popov, T. A.; Price, D.; Rosado-Pinto, J.; Scadding, G. K.; Sooronbaev, T. M.; Stoloff, S. W.; Toskala, E.; van Cauwenberge, P.; Vandenplas, O.; van Weel, C.; Viegi, G.; Virchow, J. C.; Wang, D. Y.; Wickman, M.; Williams, D.; Yawn, B. P.; Zar, H. J.; Zernotti, M.; Zhong, N.</t>
  </si>
  <si>
    <t>Bousquet, J; Schunemann, HJ; Zuberbier, T; Bachert, C; Baena-Cagnani, CE; Bousquet, PJ; Brozek, J; Canonica, GW; Casale, TB; Demoly, P; Gerth van Wijk, R; Ohta, K; Bateman, ED; Calderon, M; Cruz, AA; Dolen, WK; Haughney, J; Lockey, RF; Lotvall, J; O'Byrne, P; Spranger, O; Togias, A; Bonini, S; Boulet, LP; Camargos, P; Carlsen, KH; Chavannes, NH; Delgado, L; Durham, SR; Fokkens, WJ; Fonseca, J; Haahtela, T; Kalayci, O; Kowalski, ML; Larenas-Linnemann, D; Li, J; Mohammad, Y; Mullol, J; Naclerio, R; O'Hehir, RE; Papadopoulos, N; Passalacqua, G; Rabe, KF; Pawankar, R; Ryan, D; Samolinski, B; Simons, FER; Valovirta, E; Yorgancioglu, A; Yusuf, OM; Agache, I; Ait-Khaled, N; Annesi-Maesano, I; Beghe, B; Ben Kheder, A; Blaiss, MS; Boakye, DA; Bouchard, J; Burney, PG; Busse, WW; Chan-Yeung, M; Chen, Y; Chuchalin, AG; Costa, DJ; Custovic, A; Dahl, R; Denburg, J; Douagui, H; Emuzyte, R; Grouse, L; Humbert, M; Jackson, C; Johnston, SL; Kaliner, MA; Keith, PK; Kim, YY; Klossek, JM; Kuna, P; Le, LT; Lemiere, C; Lipworth, B; Mahboub, B; Malo, JL; Marshall, GD; Mavale-Manuel, S; Meltzer, EO; Morais-Almeida, M; Motala, C; Naspitz, C; Nekam, K; Niggemann, B; Nizankowska-Mogilnicka, E; Okamoto, Y; Orru, MP; Ouedraogo, S; Palkonen, S; Popov, TA; Price, D; Rosado-Pinto, J; Scadding, GK; Sooronbaev, TM; Stoloff, SW; Toskala, E; van Cauwenberge, P; Vandenplas, O; van Weel, C; Viegi, G; Virchow, JC; Wang, DY; Wickman, M; Williams, D; Yawn, BP; Zar, HJ; Zernotti, M; Zhong, N</t>
  </si>
  <si>
    <t>WOS:000283669700006</t>
  </si>
  <si>
    <t>673NH</t>
  </si>
  <si>
    <t>10.1183/09031936.00134210</t>
  </si>
  <si>
    <t>Humbert, M (corresponding author), Univ Paris 11, Serv Pneumol &amp; Reanimat Resp, Hop Antoine Beclere, AP HP,Fac Med,Ctr Natl Reference Hypertens Pulm S, 157 Rue Porte Trivaux, F-92140 Clamart, France.</t>
  </si>
  <si>
    <t>[Humbert, M.] Univ Paris 11, Serv Pneumol &amp; Reanimat Resp, Hop Antoine Beclere, AP HP,Fac Med,Ctr Natl Reference Hypertens Pulm S, F-92140 Clamart, France; [Humbert, M.] Ctr Chirurg Marie Lannelongue, IPSIT, INSERM, U999, Le Plessis Robinson, France</t>
  </si>
  <si>
    <t>Update on the European Respiratory Review</t>
  </si>
  <si>
    <t>WOS:000283669700031</t>
  </si>
  <si>
    <t>10.1183/09031936.00052210</t>
  </si>
  <si>
    <t>Humbert, Marc/0000-0003-0703-2892; Perros, Frederic/0000-0001-7730-2427; Cohen-Kaminsky, Sylvia/0000-0002-6341-7482; Montani, David/0000-0002-9358-6922</t>
  </si>
  <si>
    <t>David, Montani/I-6885-2019; Humbert, Marc/AAC-8459-2019; Perros, Frederic/N-6921-2017; Cohen-Kaminsky, Sylvia/E-4837-2014</t>
  </si>
  <si>
    <t>Humbert, M (corresponding author), Hop Antoine Beclere, Serv Pneumol &amp; Reanimat, 157 Rue Porte Trivaux, F-92140 Clamart, France.</t>
  </si>
  <si>
    <t>Universite Paris Saclay; Assistance Publique Hopitaux Paris (APHP); Hopital Universitaire Antoine-Beclere - APHP; Hopital Marie Lannelongue; Institut National de la Sante et de la Recherche Medicale (Inserm); Universite Paris Saclay; Hopital Marie Lannelongue</t>
  </si>
  <si>
    <t>[Gambaryan, N.; Perros, F.; Montani, D.; Cohen-Kaminsky, S.; Mazmanian, G. M.; Humbert, M.] Univ Paris 11, Fac Med, Clamart, France; [Gambaryan, N.; Perros, F.; Montani, D.; Cohen-Kaminsky, S.; Humbert, M.] Hop Antoine Beclere, Serv Pneumol &amp; Reanimat Resp, Ctr Natl Reference Hypertens Pulm Severe, F-92140 Clamart, France; [Gambaryan, N.; Perros, F.; Montani, D.; Cohen-Kaminsky, S.; Mazmanian, G. M.; Humbert, M.] INSERM, U999, Ctr Chirurg Marie Lannelongue, Le Plessis Robinson, France; [Mazmanian, G. M.] Ctr Chirurg Marie Lannelongue, Chirurg Expt Lab, Le Plessis Robinson, France</t>
  </si>
  <si>
    <t>HEMATOPOIETIC PROGENITOR CELLS; ARTERIAL-HYPERTENSION; EXPRESSION</t>
  </si>
  <si>
    <t>Imatinib inhibits bone marrow-derived c-kit+ cell mobilisation in hypoxic pulmonary hypertension</t>
  </si>
  <si>
    <t>Gambaryan, N.; Perros, F.; Montani, D.; Cohen-Kaminsky, S.; Mazmanian, G. M.; Humbert, M.</t>
  </si>
  <si>
    <t>Gambaryan, N; Perros, F; Montani, D; Cohen-Kaminsky, S; Mazmanian, GM; Humbert, M</t>
  </si>
  <si>
    <t>WOS:000286918800006</t>
  </si>
  <si>
    <t>715VS</t>
  </si>
  <si>
    <t>Guillevin, L (corresponding author), Univ Paris 05, Serv Med Interne, Hop Cochin, Dept Internal Med, 27 Rue Faubourg St Jacques, F-75679 Paris 14, France.</t>
  </si>
  <si>
    <t>Universite Paris Cite; Assistance Publique Hopitaux Paris (APHP); Hopital Universitaire Cochin - APHP; Assistance Publique Hopitaux Paris (APHP); Universite Paris Cite; Hopital Universitaire Cochin - APHP; Assistance Publique Hopitaux Paris (APHP); Universite Paris Cite; Hopital Universitaire Saint-Louis - APHP; Universite Paris Saclay; Assistance Publique Hopitaux Paris (APHP); Hopital Universitaire Antoine-Beclere - APHP; Assistance Publique Hopitaux Paris (APHP); Hopital Universitaire Antoine-Beclere - APHP; Universite Paris Saclay</t>
  </si>
  <si>
    <t>[Guillevin, L.] Univ Paris 05, Serv Med Interne, Hop Cochin, Dept Internal Med, F-75679 Paris 14, France; [Fois, E.; Le Guern, V.; Mouthon, L.; Guillevin, L.] Univ Paris 05, Hop Cochin, French Referral Ctr Necrotising Vasculitides &amp; Sy, F-75679 Paris 14, France; [Dupuy, A.] Univ Paris Diderot, Hop St Louis, Dept Dermatol, Paris, France; [Humbert, M.] Univ Paris 11, Hop Antoine Beclere, Dept Pneumol, Clamart, France; [Humbert, M.] Univ Paris 11, Hop Antoine Beclere, French Referral Ctr Pulm Arterial Hypertens, Clamart, France</t>
  </si>
  <si>
    <t>Objective To describe the frequency of patients with an elevated systolic pulmonary artery pressure (sPAP) estimated by Doppler echocardiography in a population of SLE patients followed in a tertiary reference centre. Methods A search of our Internal Medicine Department database identified 93 SLE patients followed between 1995 and 2005. Their medical records were reviewed retrospectively. The PH threshold was defined as sPAP &gt;= 35mmHg. Characteristics of PH and non-PH SLE patients were compared using Fisher's, chi-square or Wilcoxon's exact test. Results Elevated sPAP was detected in 12/93 (13%) patients. When analysing the mechanisms of PH, it was considered as secondary to specific lung involvement in 2 cases, due to severe left ventricular dysfunction in 1 patient and probably corresponding to SLE-associated PAH in the 9 remaining subjects. Univariate analyses showed that sPAP &gt;= 35mmHg was more common in Black subjects (50 vs. 20%, p=0.03), in patients with longer disease duration (14+/-8 vs. 9.5+/-8 years, p=0.049), and in patients with a history of peripheral nervous system involvement (25 vs. 4%, p=0.02), pericarditis (58 vs. 27%, p=0.04), anti-Sin (42 vs. 11%, p=0.01), and anticardiolipin antibodies (75 vs. 31% p=0.007). Conclusion PH is a relatively common complication of SLE patients managed in tertiary care centres. Doppler echocardiography allows non-invasive detection of elevated sPAP in this population that should then benefit from gold-standard techniques including right-heart catheterisation in order to confirm the diagnosis, as well as the cause and severity of PH.</t>
  </si>
  <si>
    <t>IMMUNOSUPPRESSIVE THERAPY; HYPERTENSION; SCLEROSIS; CLASSIFICATION; PREVALENCE; SURVIVAL; REGISTRY; DEATH</t>
  </si>
  <si>
    <t>pulmonary arterial hypertension; pulmonary hypertension; systemic lupus erythematosus; prognosis</t>
  </si>
  <si>
    <t>Noninvasive assessment of systolic pulmonary artery pressure in systemic lupus erythematosus: retrospective analysis of 93 patients</t>
  </si>
  <si>
    <t>Fois, E.; Le Guern, V.; Dupuy, A.; Humbert, M.; Mouthon, L.; Guillevin, L.</t>
  </si>
  <si>
    <t>Foïs, E; Le Guern, V; Dupuy, A; Humbert, M; Mouthon, L; Guillevin, L</t>
  </si>
  <si>
    <t>WOS:000283900400003</t>
  </si>
  <si>
    <t>676HA</t>
  </si>
  <si>
    <t>10.1016/j.rmed.2010.07.011</t>
  </si>
  <si>
    <t>This work was supported by Novartis Pharma SAS, who had direct role in study design, in the collection, analysis and interpretation of data; in the writing of the manuscript; and in the decision to submit the manuscript for publication.</t>
  </si>
  <si>
    <t>Novartis Pharma SAS</t>
  </si>
  <si>
    <t>chanez, pascal/0000-0003-4059-0917; Molimard, Mathieu/0000-0002-4346-8346; Humbert, Marc/0000-0003-0703-2892</t>
  </si>
  <si>
    <t>contin-bordes, cecile/KCZ-2603-2024; molimard, mathieu/T-2762-2019; Humbert, Marc/AAC-8459-2019</t>
  </si>
  <si>
    <t>mathieu.molimard@pharmaco.u-bordeaux2.fr</t>
  </si>
  <si>
    <t>Molimard, M (corresponding author), Univ Bordeaux, INSERM, U657, Dept Pharmacol,CHU Bordeaux,IFR 99, F-33076 Bordeaux, France.</t>
  </si>
  <si>
    <t>Institut National de la Sante et de la Recherche Medicale (Inserm); CHU Bordeaux; Universite de Bordeaux; Institut National de la Sante et de la Recherche Medicale (Inserm); Centre National de la Recherche Scientifique (CNRS); Aix-Marseille Universite; Aix-Marseille Universite; Assistance Publique-Hopitaux de Marseille; Universite de Bordeaux; Centre National de la Recherche Scientifique (CNRS); CNRS - National Institute for Biology (INSB); Universite de Bordeaux; CHU Bordeaux; Universite de Bordeaux; Universite Paris Saclay; Assistance Publique Hopitaux Paris (APHP); Hopital Universitaire Antoine-Beclere - APHP; Universite de Toulouse; Universite Toulouse III - Paul Sabatier; CHU de Toulouse; Universites de Strasbourg Etablissements Associes; Universite de Strasbourg; CHU Strasbourg; Universites de Strasbourg Etablissements Associes; Universite de Strasbourg; Institut National de la Sante et de la Recherche Medicale (Inserm); Institut National de la Sante et de la Recherche Medicale (Inserm); Novartis</t>
  </si>
  <si>
    <t>[Molimard, Mathieu] Univ Bordeaux, INSERM, U657, Dept Pharmacol,CHU Bordeaux,IFR 99, F-33076 Bordeaux, France; [Chanez, Pascal] Univ Mediterranee, INSERM, U600, CNRS,UMR 6212, F-13009 Marseille, France; [Chanez, Pascal] Assistance Publ Hop Marseille, Dept Malad Resp, F-13009 Marseille, France; [Contin-Bordes, Cecile; de Lara, Manuel Tunon; Blanco, Patrick; Moreau, Jean-Francois; Molimard, Mathieu] Univ Bordeaux, F-33000 Bordeaux, France; [Contin-Bordes, Cecile; Blanco, Patrick; Moreau, Jean-Francois] CNRS, IFR 66, UMR 5164, F-33000 Bordeaux, France; [Contin-Bordes, Cecile; Blanco, Patrick; Moreau, Jean-Francois; Molimard, Mathieu] Ctr Hosp Univ Bordeaux, F-33000 Bordeaux, France; [Garcia, Gilles; Humbert, Marc] Univ Paris 11, F-92000 Clamart, France; [Garcia, Gilles; Humbert, Marc] Hop Antoine Beclere, AP HP, Serv Pneumol &amp; Reanimat Resp, F-92000 Clamart, France; [Verkindre, Christophe] Ctr Hosp Bethune, F-62400 Bethune, France; [Didier, Alain] Hop Larrey, Ctr Hosp Univ Toulouse, F-31059 Toulouse, France; [De Blay, Frederic] Hop Univ Strasbourg, F-67000 Strasbourg, France; [De Blay, Frederic] Univ Strasbourg, F-67000 Strasbourg, France; [de Lara, Manuel Tunon] INSERM, U855, F-33000 Bordeaux, France; [Robinson, Philip] INSERM, CIC0005, F-33000 Bordeaux, France; [Bourdeix, Isabelle; Trunet, Patrick; Le Gros, Vincent] Novartis Pharma SAS, F-92506 Rueil Malmaison, France</t>
  </si>
  <si>
    <t>Background: It is documented that omalizumab treatment reduces the cell surface expression of immunoglobulin E high-affinity receptor (Fc epsilon RI) on several cell types. This has not been investigated in patients with uncontrolled severe persistent allergic asthma. Methods: In a double-blind, randomized, placebo-controlled study, patients with severe allergic asthma uncontrolled by high dose inhaled corticosteroids and long-acting beta(2)-agonist received either omalizumab (n = 20) or placebo (n = 11) over 16 weeks at appropriate doses and frequencies. Baseline and end of study (week 16) Fc epsilon RI expression on basophils and plasmacytoid dendritic cells was determined by flow cytometry for the primary endpoint. Secondary efficacy endpoints included asthma control and lung function as part of an initial investigation into the use of Fc epsilon RI expression as a marker of response. Results: In the omalizumab group, and with respect to placebo, Fc epsilon RI expression was significantly reduced at end of study on basophils (-82.6%, p&lt;0.01) and plasmacytoid dendritic cells (-44.2%, p=0.029). Fc epsilon RI expression reduction was not found to be correlated with clinical response. Conclusions: Long-term omalizumab treatment induced reduction of Fc epsilon RI expression on circulating basophils and plasmacytoid dendritic cells. These changes were not associated with those of clinical features related to severe asthma, which does not support further investigation into its use as a predictive marker of response. Trial registration: The study was registered with Clinical Trials.gov (identifier: NCT00454051) and the European Clinical Trials Database, EudraCT (identifier: 2006-003591-35) (C) 2010 Published by Elsevier Ltd.</t>
  </si>
  <si>
    <t>ANTIBODY OMALIZUMAB; HUMAN BASOPHILS; SERUM IGE; PHENOTYPE</t>
  </si>
  <si>
    <t>Basophils; Fc epsilon RI; Omalizumab; Plasmacytoid dendritic cells; Uncontrolled severe allergic asthma</t>
  </si>
  <si>
    <t>Omalizumab-induced decrease of FcεRI expression in patients with severe allergic asthma</t>
  </si>
  <si>
    <t>Chanez, Pascal; Contin-Bordes, Cecile; Garcia, Gilles; Verkindre, Christophe; Didier, Alain; De Blay, Frederic; de Lara, Manuel Tunon; Blanco, Patrick; Moreau, Jean-Francois; Robinson, Philip; Bourdeix, Isabelle; Trunet, Patrick; Le Gros, Vincent; Humbert, Marc; Molimard, Mathieu</t>
  </si>
  <si>
    <t>Chanez, P; Contin-Bordes, C; Garcia, G; Verkindre, C; Didier, A; De Blay, F; de Lara, MT; Blanco, P; Moreau, JF; Robinson, P; Bourdeix, I; Trunet, P; Le Gros, V; Humbert, M; Molimard, M</t>
  </si>
  <si>
    <t>WOS:000283669700007</t>
  </si>
  <si>
    <t>10.1183/09031936.00012610</t>
  </si>
  <si>
    <t>Masjedi, Mohammadreza/0000-0003-4964-3851; Chavannes, Niels Henrik/0000-0002-8607-9199; CANONICA, GIORGIO WALTER/0000-0001-8467-2557; Cucalin, Aleksandr/0000-0002-6808-5528; Masjedi, Mohammad Reza/0000-0002-6871-382X; Billo, Nils Eric/0000-0002-5735-5107; Yusuf, Osman/0000-0002-8067-1204; Humbert, Marc/0000-0003-0703-2892; L. Barreto, Mauricio/0000-0002-0215-4930; Rabe, Klaus F./0000-0002-7020-1401; Fabbri, Leonardo/0000-0001-8894-1689</t>
  </si>
  <si>
    <t>Viegi, Giovanni/K-2746-2016; Cruz, Alvaro/I-1676-2012; Bateman, Eric/B-7042-2011; Rabe, Klaus/AAW-6296-2021; Bousquet, Jean/O-4221-2019; Drazen, Jeffrey/E-5841-2012; Chavannes, Niels Henrik/F-1148-2011; CANONICA, GIORGIO WALTER/ABF-2037-2020; Cucalin, Aleksandr/P-5678-2018; Masjedi, Mohammad Reza/J-9776-2017; Yusuf, Osman/AAI-1142-2020; Humbert, Marc/AAC-8459-2019; L. Barreto, Mauricio/B-1752-2008; Fabbri, Leonardo/I-4055-2012</t>
  </si>
  <si>
    <t>Bousquet, J (corresponding author), Hop Arnaud De Villeneuve, Serv Malad Resp, F-34295 Montpellier 5, France.</t>
  </si>
  <si>
    <t>Universite de Montpellier; CHU de Montpellier; Institut National de la Sante et de la Recherche Medicale (Inserm); Universite de Montpellier; National Institutes of Health (NIH) - USA; NIH National Heart Lung &amp; Blood Institute (NHLBI); University of Cape Town; Consiglio Nazionale delle Ricerche (CNR); Istituto di Fisiologia Clinica (IFC-CNR); Universidade Federal da Bahia; Catholic University of Cordoba; Universidade Federal da Bahia; University of Genoa; University of Oslo; Leiden University; Leiden University Medical Center (LUMC); Leiden University - Excl LUMC; Harvard University; Harvard University Medical Affiliates; Brigham &amp; Women's Hospital; Harvard Medical School; Universita di Modena e Reggio Emilia; University of Geneva; Universite Paris Saclay; Assistance Publique Hopitaux Paris (APHP); Hopital Universitaire Antoine-Beclere - APHP; Ghent University; Ghent University Hospital; Shahid Beheshti University Medical Sciences; Dokkyo Medical University; University of Toronto; Hospital for Sick Children (SickKids)</t>
  </si>
  <si>
    <t>[Bousquet, J.] Hop Arnaud De Villeneuve, Serv Malad Resp, F-34295 Montpellier 5, France; [Bousquet, J.] INSERM, Montpellier, France; [Kiley, J.] NHLBI, NIH, US Dept Hlth &amp; Human Serv, Bethesda, MD 20892 USA; [Bateman, E. D.] Univ Cape Town, Fac Hlth Sci, ZA-7700 Rondebosch, South Africa; [Viegi, G.] CNR, Inst Clin Physiol, I-56100 Pisa, Italy; [Cruz, A. A.] Univ Fed Bahia, Fac Med Bahia, BR-41170290 Salvador, BA, Brazil; [Khaled, N. Ait; Billo, N.] Int Union TB &amp; Lung Dis, Paris, France; [Baena-Cagnani, C. E.] Catholic Univ, Cordoba, Argentina; [Barreto, M. L.] Univ Fed Bahia, Inst Saude Coletiva, Salvador, BA, Brazil; [Canonica, G. W.] Univ Genoa, Dept Internal Med, I-16126 Genoa, Italy; [Carlsen, K-H] Univ Oslo, Fac Med, Oslo, Norway; [Chavannes, N.; Rabe, K.] Leiden Univ, Med Ctr, Leiden, Netherlands; [Chuchalin, A.] Pulmonol Res Inst, Moscow, Russia; [Chuchalin, A.] Russian Resp Soc, Moscow, Russia; [Drazen, J.] Harvard Univ, Brigham &amp; Womens Hosp, Sch Med, Boston, MA 02115 USA; [Fabbri, L. M.] Univ Modena &amp; Reggio Emilia, Modena, Italy; [Gerbase, M. W.] Univ Hosp Geneva, Geneva, Switzerland; [Humbert, M.] Univ Paris 11, Serv Pneumol, Hop Antoine Beclere, Clamart, France; [Joos, G.] Ghent Univ Hosp, B-9000 Ghent, Belgium; [Masjedi, M. R.] Shahid Beheshti Univ Med Sci, Tehran, Iran; [Makino, S.] Dokkyo Univ, Sch Med, Soka, Saitama, Japan; [To, T.] Hosp Sick Children, Res Inst, Toronto, ON M5G 1X8, Canada; [Zhi, L.] Chinese Med Assoc, Beijing, Peoples R China; [Khaltaev, N.] Allerg Rhinitis &amp; Its Impact Asthma ARIA, Global Alliance Chron Resp Dis GARD, Geneva, Switzerland</t>
  </si>
  <si>
    <t>The 2008-2013 World Health Organization (WHO) action plan on noncommunicable diseases (NCDs) includes chronic respiratory diseases as one of its four priorities. Major chronic respiratory diseases (CRDs) include asthma and rhinitis, chronic obstructive pulmonary disease, occupational lung diseases, sleep-disordered breathing, pulmonary hypertension, bronchiectiasis and pulmonary interstitial diseases. A billion people suffer from chronic respiratory diseases, the majority being in developing countries. CRDs have major adverse effects on the life and disability of patients. Effective intervention plans can prevent and control CRDs, thus reducing morbidity and mortality. A prioritised research agenda should encapsulate all of these considerations in the frame of the global fight against NCDs. This requires both CRD-targeted interventions and transverse NCD programmes which include CRDs, with emphasis on health promotion and disease prevention.</t>
  </si>
  <si>
    <t>OBSTRUCTIVE PULMONARY-DISEASE; POSITIVE AIRWAY PRESSURE; PRACTICAL APPROACH; SMOKING-CESSATION; GLOBAL STRATEGY; LUNG-FUNCTION; SLEEP-APNEA; ASTHMA; HEALTH; MANAGEMENT</t>
  </si>
  <si>
    <t>Asthma; chronic obstructive pulmonary disease; chronic respiratory diseases; noncommunicable diseases; prevention; research</t>
  </si>
  <si>
    <t>Prioritised research agenda for prevention and control of chronic respiratory diseases</t>
  </si>
  <si>
    <t>Bousquet, J.; Kiley, J.; Bateman, E. D.; Viegi, G.; Cruz, A. A.; Khaltaev, N.; Khaled, N. Ait; Baena-Cagnani, C. E.; Barreto, M. L.; Billo, N.; Canonica, G. W.; Carlsen, K-H; Chavannes, N.; Chuchalin, A.; Drazen, J.; Fabbri, L. M.; Gerbase, M. W.; Humbert, M.; Joos, G.; Masjedi, M. R.; Makino, S.; Rabe, K.; To, T.; Zhi, L.</t>
  </si>
  <si>
    <t>Bousquet, J; Kiley, J; Bateman, ED; Viegi, G; Cruz, AA; Khaltaev, N; Khaled, NA; Baena-Cagnani, CE; Barreto, ML; Billo, N; Canonica, GW; Carlsen, KH; Chavannes, N; Chuchalin, A; Drazen, J; Fabbri, LM; Gerbase, MW; Humbert, M; Joos, G; Masjedi, MR; Makino, S; Rabe, K; To, T; Zhi, L</t>
  </si>
  <si>
    <t>WOS:000285483400160</t>
  </si>
  <si>
    <t>697AK</t>
  </si>
  <si>
    <t>10.1136/thx.2010.150953.5</t>
  </si>
  <si>
    <t>A70</t>
  </si>
  <si>
    <t>Caramori, Gaetano/AAS-8611-2020; Humbert, Marc/AAC-8459-2019; Perros, Frederic/N-6921-2017</t>
  </si>
  <si>
    <t>Imperial College London; Universite Paris Saclay; Imperial College London</t>
  </si>
  <si>
    <t>[Shao, D.; Price, L.; Wort, S.] Natl Heart &amp; Lung Inst, Unit Thorac Crit Care, London, England; [Perros, F.; Humbert, M.] Univ Paris Sud, Fac Med, Paris, France; [Caramori, G.] Ctr RicercasuAsma &amp; BPCO, Dipartimento MedClin &amp; Sperimentale, Ferrara, Italy; [Addcock, I.] Univ London Imperial Coll Sci Technol &amp; Med, Fac Med, Natl Heart &amp; Lung Inst, Dept Cell &amp; Mol Biol,Airways Dis Sect, London, England</t>
  </si>
  <si>
    <t>DEC 01-03, 2010</t>
  </si>
  <si>
    <t>British-Thoracic-Society-Winter-Meeting 2010</t>
  </si>
  <si>
    <t>IS THERE A ROLE FOR IL-33 IN THE PATHOGENESIS OF PULMONARY ARTERIAL HYPERTENSION?</t>
  </si>
  <si>
    <t>Shao, D.; Perros, F.; Humbert, M.; Caramori, G.; Price, L.; Addcock, I.; Wort, S.</t>
  </si>
  <si>
    <t>Shao, D; Perros, F; Humbert, M; Caramori, G; Price, L; Addcock, I; Wort, S</t>
  </si>
  <si>
    <t>WOS:000285483400203</t>
  </si>
  <si>
    <t>10.1136/thx.2010.150961.29</t>
  </si>
  <si>
    <t>A89</t>
  </si>
  <si>
    <t>A88</t>
  </si>
  <si>
    <t>Imperial College London; Royal Brompton Hospital; University of Ferrara; Universite Paris Saclay; Assistance Publique Hopitaux Paris (APHP); Hopital Universitaire Antoine-Beclere - APHP; Royal Brompton Hospital; Imperial College London; Imperial College London</t>
  </si>
  <si>
    <t>[Price, L. C.; Shao, D.; Wort, S. J.] Royal Brompton Hosp, Natl Heart &amp; Lung Inst, London SW3 6LY, England; [Caramori, G.] Univ Ferrara, I-44100 Ferrara, Italy; [Dorfmuller, P.; Perros, F.; Humbert, M.] Univ Paris Sud, Fac Med, F-94276 Le Kremlin Bicetre, France; [Dorfmuller, P.; Perros, F.; Humbert, M.] Hop Antoine Beclere, AP HP, Ctr Natl Reference Hypertens Pulm Severe, Serv Pneumol &amp; Reanimat Resp, F-92140 Paris, France; [Zhu, J.] Univ London Imperial Coll Sci Technol &amp; Med, Royal Brompton Hosp, Lung Pathol Unit, London, England; [Adcock, I.] Univ London Imperial Coll Sci Technol &amp; Med, Fac Med, Natl Heart &amp; Lung Inst, Dept Cell &amp; Mol Biol,Airways Dis Sect, London, England</t>
  </si>
  <si>
    <t>ENDOTHELIAL CELL NF-KB ACTIVATION IS INCREASED IN HUMAN IDIOPATHIC PAH</t>
  </si>
  <si>
    <t>Price, L. C.; Caramori, G.; Dorfmuller, P.; Perros, F.; Zhu, J.; Shao, D.; Humbert, M.; Adcock, I.; Wort, S. J.</t>
  </si>
  <si>
    <t>Price, LC; Caramori, G; Dorfmuller, P; Perros, F; Zhu, J; Shao, D; Humbert, M; Adcock, I; Wort, SJ</t>
  </si>
  <si>
    <t>WOS:000285483400158</t>
  </si>
  <si>
    <t>10.1136/thx.2010.150953.3</t>
  </si>
  <si>
    <t>A69</t>
  </si>
  <si>
    <t>A68</t>
  </si>
  <si>
    <t>Souza, Rogerio/0000-0003-2789-9143; Adcock, Ian/0000-0003-2101-8843; Perros, Frederic/0000-0001-7730-2427; Montani, David/0000-0002-9358-6922</t>
  </si>
  <si>
    <t>Humbert, Marc/AAC-8459-2019; Howard, Luke/HJP-3415-2023; Tcherakian, Colas/D-8813-2016; Adcock, Ian/L-3217-2019; Simonneau, Gerald/ABE-6614-2020; David, Montani/I-6885-2019; Souza, Rogerio/I-3584-2013; Perros, Frederic/N-6921-2017</t>
  </si>
  <si>
    <t>Royal Brompton Hospital; Imperial College London; Assistance Publique Hopitaux Paris (APHP); Hopital Universitaire Antoine-Beclere - APHP; Imperial College London</t>
  </si>
  <si>
    <t>[Price, L. C.; Wort, S. J.; Shao, D.; Adcock, I.] Royal Brompton Hosp, Natl Heart &amp; Lung Inst, London SW3 6LY, England; [Montani, D.; Tcherakian, C.; Dorfmuller, P.; Souza, R.; Simonneau, G.; Humbert, M.; Perros, F.] Hop Antoine Beclere, Ctr Natl Reference Hypertens Pulm Severe, F-92140 Clamart, France; [Howard, L. S.] Imperial Coll Hlthcare NHS Trust, Hammersmith Hosp, London, England</t>
  </si>
  <si>
    <t>DEXAMETHASONE REVERSES ESTABLISHED MONOCROTALINE-INDUCED PULMONARY HYPERTENSION IN RATS AND INCREASES PULMONARY BMPR2 EXPRESSION</t>
  </si>
  <si>
    <t>Price, L. C.; Wort, S. J.; Montani, D.; Tcherakian, C.; Dorfmuller, P.; Souza, R.; Shao, D.; Simonneau, G.; Howard, L. S.; Adcock, I.; Humbert, M.; Perros, F.</t>
  </si>
  <si>
    <t>Price, LC; Wort, SJ; Montani, D; Tcherakian, C; Dorfmuller, P; Souza, R; Shao, D; Simonneau, G; Howard, LS; Adcock, I; Humbert, M; Perros, F</t>
  </si>
  <si>
    <t>WOS:000286044700010</t>
  </si>
  <si>
    <t>704IL</t>
  </si>
  <si>
    <t>10.1016/j.rmr.2010.10.005</t>
  </si>
  <si>
    <t>marchand-adam, sylvain/0000-0002-9522-3738; Humbert, Marc/0000-0003-0703-2892; Cortot, Alexis/0000-0003-0098-2238; Montani, David/0000-0002-9358-6922; chouaid, christos/0000-0002-4290-5524; BERTOLETTI, Laurent/0000-0001-8214-3010; chanez, pascal/0000-0003-4059-0917</t>
  </si>
  <si>
    <t>Bertoletti, Laurent/X-1319-2019; MAGNAN, ANTOINE/GVT-4308-2022; David, Montani/I-6885-2019; marchand-adam, sylvain/MTA-8367-2025; Humbert, Marc/AAC-8459-2019; Cortot, Alexis/F-7006-2019; chouaid, christos/R-4477-2018</t>
  </si>
  <si>
    <t>Montani, D (corresponding author), Univ Paris 11, Hop Antoine Beclere, AP HP, Serv Pneumol &amp; Reanimat Resp, 157 Rue Porte de Trivaux, F-92140 Clamart, France.</t>
  </si>
  <si>
    <t>Assistance Publique Hopitaux Paris (APHP); Hopital Universitaire Antoine-Beclere - APHP; Universite Paris Saclay; Nantes Universite; CHU de Nantes; Institut National de la Sante et de la Recherche Medicale (Inserm); CHU de St Etienne; Universite de Lille; CHU Lille; Universite Claude Bernard Lyon 1; CHU Lyon; Assistance Publique Hopitaux Paris (APHP); Universite Paris Cite; Hopital Universitaire Bichat-Claude Bernard - APHP; CHU Tours; Aix-Marseille Universite; Assistance Publique-Hopitaux de Marseille; Assistance Publique Hopitaux Paris (APHP); Sorbonne Universite; Hopital Universitaire Saint-Antoine - APHP; Assistance Publique Hopitaux Paris (APHP); Hopital Universitaire Antoine-Beclere - APHP; Universite de Lille; CHU Lille; Aix-Marseille Universite; Assistance Publique-Hopitaux de Marseille; Universite Jean Monnet; Universite de Tours; Institut National de la Sante et de la Recherche Medicale (Inserm); Institut National de la Sante et de la Recherche Medicale (Inserm); Aix-Marseille Universite</t>
  </si>
  <si>
    <t>[Montani, D.] Univ Paris 11, Hop Antoine Beclere, AP HP, Serv Pneumol &amp; Reanimat Resp, F-92140 Clamart, France; [Cavailles, A.; Magnan, A.] INSERM, U915, Inst Thorax, F-44000 Nantes, France; [Bertoletti, L.] CHU St Etienne, Hop Nord, Serv Pneumol &amp; Oncol Thorac, F-42000 St Etienne, France; [Botelho, A.] CHRU, Hop Albert Calmette, Serv Pneumol &amp; Immunoallergol, F-59000 Lille, France; [Cortot, A.] Univ Lyon 1, Ctr Hosp Lyon Sud, Serv Pneumol, F-69000 Lyon, France; [Taille, C.; Crestani, B.] Grp Hosp Bichat Claude Bernard, AP HP, Serv Pneumol, F-75018 Paris, France; [Marchand-Adam, S.] CHRU, Hop Bretonneau, Serv Pneumol &amp; Explorat Fonct Resp, F-37000 Tours, France; [Pinot, D.] CHU St Marguerite, Serv Pneumol, F-13000 Marseille, France; [Chouaid, C.] Hop St Antoine, AP HP, Serv Pneumol, F-75012 Paris, France; [Garcia, G.; Humbert, M.] Hop Antoine Beclere, AP HP, Serv Explorat Fonct Multidisciplinaires, F-92140 Clamart, France; [L'huillier, J. -P.] Cabinet Pneumol, F-94210 La Varenne St Hilaire, France; [Tillie-Leblond, I.] Hop Albert Calmette, Serv Malad Resp, F-59000 Lille, France; [Chanez, P.] AP HM, Dept Malad Resp, F-13000 Marseille, France; [Bertoletti, L.] Univ St Etienne, Grp Rech Thrombose, EA 3065, F-42000 St Etienne, France; [Marchand-Adam, S.] Univ Tours, Fac Med, Inserm U618, F-37000 Tours, France; [Chanez, P.] Univ Mediterranee, UMR6212, Lab Immunol Inserm CNRS U600, F-13000 Marseille, France</t>
  </si>
  <si>
    <t>In this article a French working party critically review the international literature to revise the definition, pathophysiology, treatment and cost of exacerbations of adult asthma. The various guidelines do not always provide a consistent definition of exacerbations of asthma. An exacerbation can be defined as deterioration of clinical and/or functional parameters lasting more than 24 hours, without return to baseline, requiring a change of treatment. No single clinical or functional criterion can be used as an early marker of an exacerbation. Innate and acquired immune mechanisms, modified by contact with infectious, irritant or allergenic agents, participate in the pathogenesis of exacerbations, which are accompanied by bronchial inflammation. In 2010, mortality is related to progression of exacerbations, often occurring before the patient seeks medical attention. The objective of treatment is to control asthma and prevent exacerbations. However, many factors can trigger exacerbations and often cannot be controlled. The efficacy of inhaled corticosteroids has been demonstrated on reduction of the number of exacerbations and the number of asthma-related deaths. This treatment is cost-effective, especially in terms of reduction of exacerbations. (C) 2010 Published by Elsevier Masson SAS on behalf of SPLF.</t>
  </si>
  <si>
    <t>EXHALED NITRIC-OXIDE; T-CELL-ACTIVATION; ADD-ON THERAPY; INHALED CORTICOSTEROIDS; PULMONARY-FUNCTION; EDUCATION-PROGRAM; SELF-MANAGEMENT; DIESEL EXHAUST; PEAK FLOW; AIRWAY INFLAMMATION</t>
  </si>
  <si>
    <t>Asthma; Definition; Exacerbation; Pathophysiology; Treatment</t>
  </si>
  <si>
    <t>Adult asthma exacerbations in questions</t>
  </si>
  <si>
    <t>Montani, D.; Cavailles, A.; Bertoletti, L.; Botelho, A.; Cortot, A.; Taille, C.; Marchand-Adam, S.; Pinot, D.; Chouaid, C.; Crestani, B.; Garcia, G.; Humbert, M.; L'huillier, J. -P.; Magnan, A.; Tillie-Leblond, I.; Chanez, P.</t>
  </si>
  <si>
    <t>Montani, D; Cavailles, A; Bertoletti, L; Botelho, A; Cortot, A; Taillé, C; Marchand-Adam, S; Pinot, D; Chouaid, C; Crestani, B; Garcia, G; Humbert, M; L'huillier, JP; Magnan, A; Tillie-Leblond, I; Chanez, P</t>
  </si>
  <si>
    <t>WOS:000284267600011</t>
  </si>
  <si>
    <t>680WG</t>
  </si>
  <si>
    <t>Biochemistry &amp; Molecular Biology; Pharmacology &amp; Pharmacy; Toxicology</t>
  </si>
  <si>
    <t>10.1517/17425255.2010.534458</t>
  </si>
  <si>
    <t>Expert Opin. Drug Metab. Toxicol.</t>
  </si>
  <si>
    <t>EXPERT OPIN DRUG MET</t>
  </si>
  <si>
    <t>1744-7607</t>
  </si>
  <si>
    <t>1742-5255</t>
  </si>
  <si>
    <t>M-C Chaumais, M Jobard, C Vignand-Courtin, M Humbert, O Sitbon, A Rieutord and D Montani all have relationships with Bayer Schering, GlaxoSmithKline, Novartis, Pfizer, Eli Lilly &amp; Co. and United Therapeutics. D Montani, M Humbert and O Sitbon also offer consultancy in addition to being on scientific advisory boards of these companies. M-C Chaumais, M Jobard, C Vignand-Courtin and A Rieutord also receive research grants from non-profit Association SPACE ABC allocated to them for their therapeutic education program. A Huertas has no conflicts of interest in the preparation of this manuscript.</t>
  </si>
  <si>
    <t>Association SPACE ABC</t>
  </si>
  <si>
    <t>SITBON, Olivier/0000-0002-1942-1951; Huertas, Alice/0000-0001-8545-747X; Montani, David/0000-0002-9358-6922; Chaumais, Marie-Camille/0000-0002-1217-8442; Humbert, Marc/0000-0003-0703-2892</t>
  </si>
  <si>
    <t>Sitbon, Olivier/I-3623-2019; David, Montani/I-6885-2019; Huertas, Alice/E-8244-2017; Humbert, Marc/AAC-8459-2019</t>
  </si>
  <si>
    <t>Montani, D (corresponding author), Hop Antoine Beclere, AP HP, Serv Pneumol &amp; Reanimat Resp, Ctr Natl Reference Hypertens Pulm Severe, 157 Rue Porte Trivaux, F-92140 Clamart, France.</t>
  </si>
  <si>
    <t>Assistance Publique Hopitaux Paris (APHP); Hopital Universitaire Antoine-Beclere - APHP; Universite Paris Saclay; Hopital Marie Lannelongue; Institut National de la Sante et de la Recherche Medicale (Inserm); Universite Paris Saclay; Assistance Publique Hopitaux Paris (APHP); Hopital Universitaire Antoine-Beclere - APHP</t>
  </si>
  <si>
    <t>[Huertas, Alice; Humbert, Marc; Sitbon, Olivier; Montani, David] Hop Antoine Beclere, AP HP, Serv Pneumol &amp; Reanimat Resp, Ctr Natl Reference Hypertens Pulm Severe, F-92140 Clamart, France; [Chaumais, Marie-Camille; Jobard, Marion; Huertas, Alice; Vignand-Courtin, Claire; Humbert, Marc; Sitbon, Olivier; Rieutord, Andre; Montani, David] Univ Paris Sud, Fac Med, F-94276 Le Kremlin Bicetre, France; [Chaumais, Marie-Camille; Huertas, Alice; Humbert, Marc; Sitbon, Olivier; Montani, David] Ctr Chirurg Marie Lannelongue, INSERM, U999, F-92350 Le Plessis Robinson, France; [Chaumais, Marie-Camille; Jobard, Marion; Vignand-Courtin, Claire; Rieutord, Andre] Hop Antoine Beclere, AP HP, Serv Pharm, F-92140 Clamart, France</t>
  </si>
  <si>
    <t>Importance of the field: Prostacyclin is the main arachidonic acid metabolite and its decrease has been proven to be important in the pathophysiology of the pulmonary arterial hypertension (PAH). Epoprostenol has been the first analog of prostacyclin to be approved for the treatment of PAH and despite the development of therapeutic options, the last recommendations of European Societies of Cardiology and Pulmonology maintain it as the first choice therapy for severe patients in the WHO functional class IV. In this review, we focus on pharmacokinetics of epoprostenol characterized by its instability in aqueous biological fluids and compare its pharmacokinetics with other stable analogs of prostacyclin. Moreover, pharmacodynamics, clinical efficacy and safety of epoprostenol were studied. Areas covered in this review: A literature search and review of the studies published on epoprostenol were carried out using the MEDLINE database. What the reader will gain: The paper provides the reader with information on epoprostenol pharmacokinetics and comparison with other analogs of prostacyclin. This paper also provides data on pharmacodynamics, clinical efficacy, safety and tolerability of epoprostenol. Take home message: Despite epoprostenol's short half-life and complicated delivery system, this treatment remains the first choice therapy for severe PAH patients.</t>
  </si>
  <si>
    <t>PULMONARY ARTERIAL-HYPERTENSION; SMOOTH-MUSCLE-CELLS; INHIBITS PLATELET-AGGREGATION; BLOOD-STREAM INFECTIONS; LONG-TERM TREATMENT; PROSTANOID RECEPTORS; VENOOCCLUSIVE DISEASE; PROSTACYCLIN THERAPY; PROSTAGLANDIN ENDOPEROXIDES; CONTINUOUS-INFUSION</t>
  </si>
  <si>
    <t>epoprostenol; pharmacokinetics; prostacyclin; pulmonary arterial hypertension</t>
  </si>
  <si>
    <t>EXPERT OPINION ON DRUG METABOLISM &amp; TOXICOLOGY</t>
  </si>
  <si>
    <t>Pharmacokinetic evaluation of continuous intravenous epoprostenol</t>
  </si>
  <si>
    <t>Chaumais, Marie-Camille; Jobard, Marion; Huertas, Alice; Vignand-Courtin, Claire; Humbert, Marc; Sitbon, Olivier; Rieutord, Andre; Montani, David</t>
  </si>
  <si>
    <t>Chaumais, MC; Jobard, M; Huertas, A; Vignand-Courtin, C; Humbert, M; Sitbon, O; Rieutord, A; Montani, D</t>
  </si>
  <si>
    <t>WOS:000285534600016</t>
  </si>
  <si>
    <t>697RU</t>
  </si>
  <si>
    <t>10.1164/rccm.201006-0869WS</t>
  </si>
  <si>
    <t>Supported by the Division of Lung Diseases, National Heart, Lung, and Blood Institute, NIH, Office of Rare Diseases Research, Office of the Director, NIH.</t>
  </si>
  <si>
    <t>Division of Lung Diseases, National Heart, Lung, and Blood Institute, NIH, Office of Rare Diseases Research, Office of the Director, NIH(United States Department of Health &amp; Human ServicesNational Institutes of Health (NIH) - USANIH National Heart Lung &amp; Blood Institute (NHLBI))</t>
  </si>
  <si>
    <t>Division of Lung Diseases, National Heart, Lung, and Blood Institute, NIH, Office of Rare Diseases Research, Office of the Director, NIH</t>
  </si>
  <si>
    <t>Bogaard, Harm Jan/0000-0001-5371-0346; Humbert, Marc/0000-0003-0703-2892; Kaminski, Naftali/0000-0001-5917-4601; Polgar, Peter/0000-0002-9112-1101; Choudhary, Gaurav/0000-0001-9343-5481; Yoder, Mervin/0000-0003-4354-7631; Schumacker, Paul T/0000-0001-9591-2034</t>
  </si>
  <si>
    <t>Archer, Stephen/C-3621-2013; Choudhary, Gaurav/M-1643-2019; stenmark, kurt/AFI-6776-2022; Loscalzo, Joseph/ABD-8980-2021; Rounds, Sharon/AAF-7380-2020; Duggal, Abhijit/J-2921-2016; Nicolls, Mark/K-6085-2019; Humbert, Marc/AAC-8459-2019</t>
  </si>
  <si>
    <t>mooretm@mail.nih.gov</t>
  </si>
  <si>
    <t>Moore, TM (corresponding author), NHLBI, Div Lung Dis, NIH, 6701 Rockledge Dr,Rockledge Ctr 2,Room 10182, Bethesda, MD 20892 USA.</t>
  </si>
  <si>
    <t>National Institutes of Health (NIH) - USA; NIH National Heart Lung &amp; Blood Institute (NHLBI); Division of Lung Diseases (DLD); Cleveland Clinic Foundation; Brown University; US Department of Veterans Affairs; Veterans Health Administration (VHA); Providence VA Medical Center; University of South Alabama; Brown University; University of Chicago; National Institutes of Health (NIH) - USA; NIH National Heart Lung &amp; Blood Institute (NHLBI); Columbia University; Columbia University; Virginia Commonwealth University; Washington University (WUSTL); Washington University (WUSTL); University of Texas System; University of Texas Health Science Center Houston; National Institutes of Health (NIH) - USA; NIH National Heart Lung &amp; Blood Institute (NHLBI); University of Colorado System; University of Colorado Anschutz Medical Campus; University of Colorado Denver; Pennsylvania Commonwealth System of Higher Education (PCSHE); University of Pittsburgh; Pennsylvania Commonwealth System of Higher Education (PCSHE); University of Pittsburgh; Johns Hopkins University; Universite Paris Saclay; Assistance Publique Hopitaux Paris (APHP); Hopital Universitaire Antoine-Beclere - APHP; University of Pennsylvania; Harvard University; Harvard University Medical Affiliates; Brigham &amp; Women's Hospital; Harvard Medical School; University of California System; University of California San Francisco; Vanderbilt University; Stanford University; Stanford University; Stanford University; Boston University; Novartis; Novartis USA; Northwestern University; University of Colorado System; University of Colorado Denver; Mayo Clinic; Indiana University System; Indiana University Bloomington; University of Chicago</t>
  </si>
  <si>
    <t>[Moore, Timothy M.] NHLBI, Div Lung Dis, NIH, Bethesda, MD 20892 USA; [Erzurum, Serpil; Asosingh, Kewal; Dweik, Raed] Cleveland Clin, Dept Pathobiol, Cleveland, OH 44106 USA; [Rounds, Sharon I.; Choudhary, Gaurav] Brown Univ, Dept Med, Providence Vet Affairs Med Ctr, Warren Alpert Med Sch, Providence, RI 02912 USA; [Stevens, Troy; Bauer, Natalie; Fagan, Karen; McMurtry, Ivan F.; Oka, Masahiko] Univ S Alabama, Ctr Lung Biol, Mobile, AL 36688 USA; [Aliotta, Jason] Brown Univ, Dept Med, Div Pulm Sleep &amp; Crit Care Med, Warren Alpert Med Sch, Providence, RI 02912 USA; [Archer, Stephen L.] Univ Chicago, Dept Med, Cardiol Sect, Chicago, IL 60637 USA; [Balaban, Robert] NHLBI, Cardiac Energet Lab, Bethesda, MD 20892 USA; [Bhattacharya, Jahar] Columbia Univ Coll Phys &amp; Surg, Dept Med, New York, NY 10032 USA; [Bhattacharya, Jahar] Columbia Univ Coll Phys &amp; Surg, Dept Physiol &amp; Cellular Biophys, New York, NY 10032 USA; [Bogaard, Harm; Voelkel, Norbert] Virginia Commonwealth Univ, Dept Med, Div Pulm &amp; Crit Care Med, Richmond, VA 23298 USA; [Dorn, Gerald W., II] Washington Univ, Sch Med, Dept Internal Med, St Louis, MO 63110 USA; [Dorn, Gerald W., II] Washington Univ, Sch Med, Ctr Pharmacogenom, St Louis, MO USA; [Fallon, Michael] Univ Texas Hlth Sci Ctr Houston, Sch Med, Dept Med, Div Gastroenterol Hepatol &amp; Nutr, Houston, TX USA; [Finkel, Toren] NHLBI, Translat Med Branch, Bethesda, MD 20892 USA; [Geraci, Mark; Tuder, Rubin] Univ Colorado, Dept Med, Denver, CO USA; [Gladwin, Mark T.; Kaminski, Naftali] Univ Pittsburgh, Sch Med, Dept Med, Div Pulm Allergy &amp; Crit Care Med, Pittsburgh, PA USA; [Gladwin, Mark T.; Kaminski, Naftali] Univ Pittsburgh, Sch Med, Vasc Med Inst, Pittsburgh, PA USA; [Hassoun, Paul M.] Johns Hopkins Univ, Div Pulm &amp; Crit Care Med, Dept Med, Baltimore, MD USA; [Humbert, Marc] Univ Paris 11, Hop Antoine Beclere, Paris, France; [Kawut, Steven M.] Univ Penn, Sch Med, Dept Med, Philadelphia, PA 19104 USA; [Loscalzo, Joseph] Harvard Univ, Brigham &amp; Womens Hosp, Sch Med, Dept Med, Boston, MA 02115 USA; [McDonald, Donald] Univ Calif San Francisco, Dept Anat, San Francisco, CA 94143 USA; [Newman, John] Vanderbilt Univ Sch Med, Dept Allergy Pulm &amp; Crit Med, Nashville, TN USA; [Nicolls, Mark] Stanford Univ, Dept Med, Sch Med, Div Pulm &amp; Crit Care, Stanford, CA 94305 USA; [Rabinovitch, Marlene] Stanford Univ, Vera Moulton Wall Ctr Pulm Vasc Dis, Sch Med, Stanford, CA 94305 USA; [Shizuru, Judy] Stanford Univ, Dept Med Blood &amp; Marrow Transplantat, Sch Med, Stanford, CA 94305 USA; [Polgar, Peter] Boston Univ, Sch Med, Dept Biochem, Boston, MA 02118 USA; [Rodman, David] Novartis Inst Biomed Res, Cambridge, MA USA; [Schumacker, Paul] Northwestern Univ, Dept Pediat, Chicago, IL 60611 USA; [Stenmark, Kurt] Univ Colorado, Dept Pediat, Denver, CO 80202 USA; [Sullivan, Eugene] United Therapeut, Silver Spring, MD USA; [Weinshilboum, Richard] Mayo Clin, Mayo Med Sch, Dept Mol Pharmacol &amp; Expt Therapeut &amp; Med, Rochester, MN USA; [Yoder, Mervin C.] Indiana Univ Sch Med, Dept Pediat, Indianapolis, IN USA; [Zhao, Yingming] Univ Chicago, Ben May Dept Canc Res, Chicago, IL 60637 USA</t>
  </si>
  <si>
    <t>The Division of Lung Diseases of the National Heart, Lung, and Blood Institute, with the Office of Rare Diseases Research, held a workshop to identify priority areas and strategic goals to enhance and accelerate research that will result in improved understanding of the lung vasculature, translational research needs, and ultimately the care of patients with pulmonary vascular diseases. Multidisciplinary experts with diverse experience in laboratory, translational, and clinical studies identified seven priority areas and discussed limitations in our current knowledge, technologies, and approaches. The focus for future research efforts include the following: (1) better characterizing vascular genotype phenotype relationships and incorporating systems biology approaches when appropriate; (2) advancing our understanding of pulmonary vascular metabolic regulatory signaling in health and disease; (3) expanding our knowledge of the biologic relationships between the lung circulation and circulating elements, systemic vascular function, and right heart function and disease; (4) improving translational research for identifying disease-modifying therapies for the pulmonary hypertensive diseases; (5) establishing an appropriate and effective platform for advancing translational findings into clinical studies testing; and (6) developing the specific technologies and tools that will be enabling for these goals, such as question-guided imaging techniques and lung vascular investigator training programs. Recommendations from this workshop will be used within the Lung Vascular Biology and Disease Extramural Research Program for planning and strategic implementation purposes.</t>
  </si>
  <si>
    <t>PULMONARY ARTERIAL-HYPERTENSION; RIGHT-VENTRICULAR FUNCTION; RIGHT-HEART; MOLECULAR-MECHANISMS; PROGENITOR CELLS; END-POINTS; FAILURE; GENE; HETEROGENEITY; ENDOTHELIUM</t>
  </si>
  <si>
    <t>right ventricle; pulmonary hypertension; metabolism; genomics; phenotyping</t>
  </si>
  <si>
    <t>Strategic Plan for Lung Vascular Research An NHLBI-ORDR Workshop Report</t>
  </si>
  <si>
    <t>Erzurum, Serpil; Rounds, Sharon I.; Stevens, Troy; Aldred, Micheala; Aliotta, Jason; Archer, Stephen L.; Asosingh, Kewal; Balaban, Robert; Bauer, Natalie; Bhattacharya, Jahar; Bogaard, Harm; Choudhary, Gaurav; Dorn, Gerald W., II; Dweik, Raed; Fagan, Karen; Fallon, Michael; Finkel, Toren; Geraci, Mark; Gladwin, Mark T.; Hassoun, Paul M.; Humbert, Marc; Kaminski, Naftali; Kawut, Steven M.; Loscalzo, Joseph; McDonald, Donald; McMurtry, Ivan F.; Newman, John; Nicolls, Mark; Rabinovitch, Marlene; Shizuru, Judy; Oka, Masahiko; Polgar, Peter; Rodman, David; Schumacker, Paul; Stenmark, Kurt; Tuder, Rubin; Voelkel, Norbert; Sullivan, Eugene; Weinshilboum, Richard; Yoder, Mervin C.; Zhao, Yingming; Gail, Dorothy; Moore, Timothy M.</t>
  </si>
  <si>
    <t>Erzurum, S; Rounds, SI; Stevens, T; Aldred, M; Aliotta, J; Archer, SL; Asosingh, K; Balaban, R; Bauer, N; Bhattacharya, J; Bogaard, H; Choudhary, G; Dorn, GW; Dweik, R; Fagan, K; Fallon, M; Finkel, T; Geraci, M; Gladwin, MT; Hassoun, PM; Humbert, M; Kaminski, N; Kawut, SM; Loscalzo, J; McDonald, D; McMurtry, IF; Newman, J; Nicolls, M; Rabinovitch, M; Shizuru, J; Oka, M; Polgar, P; Rodman, D; Schumacker, P; Stenmark, K; Tuder, R; Voelkel, N; Sullivan, E; Weinshilboum, R; Yoder, MC; Zhao, YM; Gail, D; Moore, TM</t>
  </si>
  <si>
    <t>WOS:000208770306042</t>
  </si>
  <si>
    <t>V29TI</t>
  </si>
  <si>
    <t>A5910</t>
  </si>
  <si>
    <t>Humbert, Marc/AAC-8459-2019; Savale, Laurent/AAJ-9781-2020; David, Montani/I-6885-2019; Simonneau, Gerald/ABE-6614-2020; Sitbon, Olivier/I-3623-2019</t>
  </si>
  <si>
    <t>Upfront Triple Combination Therapy Of IV Epoprostenol With Oral Bosentan And Sildenafil In Idiopathic And Heritable Pulmonary Arterial Hypertension</t>
  </si>
  <si>
    <t>Sitbon, O.; Jais, X.; Savale, L.; Dauphin, C.; Natali, D.; O'Callaghan, D.; Montani, D.; Humbert, M.; Simonneau, G.</t>
  </si>
  <si>
    <t>Sitbon, O; Jais, X; Savale, L; Dauphin, C; Natali, D; O'Callaghan, D; Montani, D; Humbert, M; Simonneau, G</t>
  </si>
  <si>
    <t>WOS:000208770305151</t>
  </si>
  <si>
    <t>Assistance Publique Hopitaux Paris (APHP); Hopital Universitaire Antoine-Beclere - APHP; Hopital Universitaire Ambroise-Pare - APHP; CHU Lyon; Universite de Caen Normandie; CHU de Caen NORMANDIE; Universite de Toulouse; Universite Toulouse III - Paul Sabatier; CHU de Toulouse</t>
  </si>
  <si>
    <t>[Sitbon, O.; Yaici, A.; Rottat, L.; Humbert, M.; Simonneau, G.] Hop Antoine Beclere, APHP, Ctr Reference Hypertens Pulmonaire Severe, Serv Pneumol, Clamart, France; [Cottin, V.] CHU, Hop L Pradel, Serv Pneumol, Lyon, France; [Bergot, E.] CHU Caen, Serv Pneumol, F-14000 Caen, France; [Prevot, G.] CHU, Hop Larrey, Serv Pneumol, Toulouse, France; [Gressin, V.] Actel Pharmaceut France, Paris, France</t>
  </si>
  <si>
    <t>The changing picture of patients with pulmonary arterial hypertension in France</t>
  </si>
  <si>
    <t>Sitbon, O.; Yaici, A.; Cottin, V.; Bergot, E.; Prevot, G.; Rottat, L.; Gressin, V.; Humbert, M.; Simonneau, G.</t>
  </si>
  <si>
    <t>Sitbon, O; Yaici, A; Cottin, V; Bergot, E; Prevot, G; Rottat, L; Gressin, V; Humbert, M; Simonneau, G</t>
  </si>
  <si>
    <t>WOS:000208770302775</t>
  </si>
  <si>
    <t>A3408</t>
  </si>
  <si>
    <t>Adcock, Ian/L-3217-2019; Humbert, Marc/AAC-8459-2019; Caramori, Gaetano/AAS-8611-2020; Perros, Frederic/N-6921-2017</t>
  </si>
  <si>
    <t>A Potential Role For Endothelial Cell Derived IL-33 In The Pathogenesis Of Pulmonary Arterial Hypertension</t>
  </si>
  <si>
    <t>Shao, D.; Perros, F.; Humbert, M.; Caramori, G.; Price, L. C.; Adcock, I. M.; Wort, S. J.</t>
  </si>
  <si>
    <t>Shao, D; Perros, F; Humbert, M; Caramori, G; Price, LC; Adcock, IM; Wort, SJ</t>
  </si>
  <si>
    <t>WOS:000285752200004</t>
  </si>
  <si>
    <t>700NZ</t>
  </si>
  <si>
    <t>General &amp; Internal Medicine; Pharmacology &amp; Pharmacy</t>
  </si>
  <si>
    <t>Medicine, General &amp; Internal; Pharmacology &amp; Pharmacy</t>
  </si>
  <si>
    <t>10.1111/j.1742-1241.2010.02600.x</t>
  </si>
  <si>
    <t>Int. J. Clin. Pract.</t>
  </si>
  <si>
    <t>INT J CLIN PRACT</t>
  </si>
  <si>
    <t>1742-1241</t>
  </si>
  <si>
    <t>1368-5031</t>
  </si>
  <si>
    <t>Dermot S. O'Callaghan is supported by a European Respiratory Society Long Term Research Fellowship.</t>
  </si>
  <si>
    <t>Humbert, Marc/0000-0003-0703-2892; SITBON, Olivier/0000-0002-1942-1951; Le Pavec, Jerome/0000-0003-4426-9645; Seferian, Andrei/0000-0003-1007-433X; JAIS, XAVIER/0000-0002-4104-7994; O'Callaghan, Dermot/0000-0002-0561-5800</t>
  </si>
  <si>
    <t>Savale, Laurent/AAJ-9781-2020; Sitbon, Olivier/I-3623-2019; Simonneau, Gerald/ABE-6614-2020; Humbert, Marc/AAC-8459-2019</t>
  </si>
  <si>
    <t>laurent.savale@abc.aphp.fr</t>
  </si>
  <si>
    <t>Savale, L (corresponding author), Hop Antoine Beclere, AP HP, Ctr Reference Hypertens Pulm Severe, Serv Pneumol, 157 Rue Porte de Trivaux, F-92140 Clamart, France.</t>
  </si>
  <si>
    <t>Assistance Publique Hopitaux Paris (APHP); Hopital Universitaire Antoine-Beclere - APHP; Universite Paris Saclay; Institut National de la Sante et de la Recherche Medicale (Inserm); Universite Paris Saclay; CHU de Caen NORMANDIE; CHU de Toulouse; Universite Paris Cite; Assistance Publique Hopitaux Paris (APHP); Hopital Universitaire Saint-Louis - APHP; Hopital Marie Lannelongue</t>
  </si>
  <si>
    <t>[Savale, L.; O'Callaghan, D. S.; Herve, P.; Jais, X.; Seferian, A.; Humbert, M.; Simonneau, G.; Sitbon, O.] Hop Antoine Beclere, AP HP, Ctr Reference Hypertens Pulm Severe, Serv Pneumol, F-92140 Clamart, France; [Savale, L.; O'Callaghan, D. S.; Herve, P.; Jais, X.; Seferian, A.; Humbert, M.; Simonneau, G.; Sitbon, O.] Univ Paris Sud, Fac Med, Le Kremlin Bicetre, France; [Savale, L.; O'Callaghan, D. S.; Herve, P.; Jais, X.; Humbert, M.; Simonneau, G.; Sitbon, O.] INSERM, U999, Le Plessis Robinson, France; [Magnier, R.] Ctr Hosp Univ, Serv Pneumol, Caen, France; [Le Pavec, J.] Hop St Louis, Serv Pneumol, Paris, France; [Herve, P.] Ctr Chirurg Marie Lannelongue, Le Plessis Robinson, France</t>
  </si>
  <si>
    <t>P&gt;Portopulmonary hypertension (PoPH) is a rare but life-threatening complication of portal hypertension that is characterised by proliferative changes in the pulmonary microvasculature indistinguishable from other forms of pulmonary arterial hypertension (PAH). Although PoPH is most commonly observed in the setting of cirrhosis, patients with non-cirrhotic portal hypertension are also at risk of developing the disorder. A definitive diagnosis requires invasive haemodynamic confirmation by right heart catheterisation and screening for PoPH should be routinely performed in all patients being considered for liver transplantation. Although severe PoPH is considered a contraindication to liver transplantation, there is now compelling data supporting the use of PAH-specific therapies with the aim of improving pulmonary haemodynamics to allow transplantation to be successfully performed. This review explores possible relevant aetiological factors and summarises current diagnostic and therapeutic approaches for PoPH patients.</t>
  </si>
  <si>
    <t>INTRAVENOUS EPOPROSTENOL PROSTACYCLIN; PULMONARY ARTERIAL-HYPERTENSION; ENDOTHELIN-RECEPTOR ANTAGONIST; LIVER-TRANSPLANTATION; PORTAL-HYPERTENSION; INHALED ILOPROST; VASCULAR DISORDERS; RISK-FACTORS; BOSENTAN; HEMODYNAMICS</t>
  </si>
  <si>
    <t>INTERNATIONAL JOURNAL OF CLINICAL PRACTICE</t>
  </si>
  <si>
    <t>Current management approaches to portopulmonary hypertension</t>
  </si>
  <si>
    <t>Savale, L.; O'Callaghan, D. S.; Magnier, R.; Le Pavec, J.; Herve, P.; Jais, X.; Seferian, A.; Humbert, M.; Simonneau, G.; Sitbon, O.</t>
  </si>
  <si>
    <t>Savale, L; O'Callaghan, DS; Magnier, R; Le Pavec, J; Hervé, P; Jaïs, X; Seferian, A; Humbert, M; Simonneau, G; Sitbon, O</t>
  </si>
  <si>
    <t>WOS:000208770304739</t>
  </si>
  <si>
    <t>A5012</t>
  </si>
  <si>
    <t>Endothelial Cell Nf-Kb Activation Is Increased In Human Idiopathic Pulmonary Arterial Hypertension</t>
  </si>
  <si>
    <t>Price, L. C.; Caramori, G.; Dorfmueller, P.; Perros, F.; Zhu, J.; Shao, D.; Humbert, M.; Adcock, I. M.; Wort, S. J.</t>
  </si>
  <si>
    <t>Price, LC; Caramori, G; Dorfmüller, P; Perros, F; Zhu, J; Shao, D; Humbert, M; Adcock, IM; Wort, SJ</t>
  </si>
  <si>
    <t>WOS:000208770306079</t>
  </si>
  <si>
    <t>A5947</t>
  </si>
  <si>
    <t>Hoeper, Marius/0000-0001-9086-2293; vizza, carmine dario/0000-0002-3540-4983</t>
  </si>
  <si>
    <t>Hoeper, Marius/Z-1546-2019; Humbert, Marc/AAC-8459-2019; vizza, carmine dario/AAC-5540-2020</t>
  </si>
  <si>
    <t>Outcome Of Pregnancies In Women With Pulmonary Arterial Hypertension In The Modern Management Era</t>
  </si>
  <si>
    <t>Olsson, K. M.; Jais, X.; Barbera, J. A.; Blanco, I.; Torbicki, A.; Peacock, A.; Vizza, C. D.; MacDonald, P.; Humbert, M.; Hoeper, M. M.</t>
  </si>
  <si>
    <t>Olsson, KM; Jais, X; Barbera, JA; Blanco, I; Torbicki, A; Peacock, A; Vizza, CD; MacDonald, P; Humbert, M; Hoeper, MM</t>
  </si>
  <si>
    <t>WOS:000208770301599</t>
  </si>
  <si>
    <t>A2409</t>
  </si>
  <si>
    <t>Savale, Laurent/AAJ-9781-2020; David, Montani/I-6885-2019; Simonneau, Gerald/ABE-6614-2020; Sitbon, Olivier/I-3623-2019; Humbert, Marc/AAC-8459-2019</t>
  </si>
  <si>
    <t>Chronic Thromboembolic Pulmonary Hypertension Associated With Indwelling Port-A-Cath® Central Venous Access Systems</t>
  </si>
  <si>
    <t>Natali, D.; Jais, X.; Abraham, M.; Savale, L.; O'Callaghan, D.; Montani, D.; Yaici, A.; Parent, F.; Humbert, M. J. C.; Sitbon, O.; Simonneau, G.</t>
  </si>
  <si>
    <t>Natali, D; Jais, X; Abraham, M; Savale, L; O'Callaghan, D; Montani, D; Yaici, A; Parent, F; Humbert, MJC; Sitbon, O; Simonneau, G</t>
  </si>
  <si>
    <t>WOS:000307361100021</t>
  </si>
  <si>
    <t>BBM38</t>
  </si>
  <si>
    <t>10.1183/1025448x.10008910</t>
  </si>
  <si>
    <t>EUR RESPIR MONOGR</t>
  </si>
  <si>
    <t>978-1-84984-014-9; 978-1-84984-013-2</t>
  </si>
  <si>
    <t>2075-6674</t>
  </si>
  <si>
    <t>Simonneau, Gerald/ABE-6614-2020; Bertoletti, Laurent/X-1319-2019; David, Montani/I-6885-2019; Humbert, Marc/AAC-8459-2019; Sitbon, Olivier/I-3623-2019</t>
  </si>
  <si>
    <t>Montani, D (corresponding author), Univ Paris 11, Hop Antoine Beclere, AP HP, Ctr Reference Hypertens Pulm Severe,Serv Pneumol, 157 Rue Porte Trivaux, F-92140 Clamart, France.</t>
  </si>
  <si>
    <t>Universite Paris Saclay; Assistance Publique Hopitaux Paris (APHP); Hopital Universitaire Antoine-Beclere - APHP; Universite Paris Saclay; Institut National de la Sante et de la Recherche Medicale (Inserm); Hopital Marie Lannelongue; Universite Jean Monnet; CHU de St Etienne; Royal Brompton Hospital</t>
  </si>
  <si>
    <t>[Montani, D.; Jais, X.; Dorfmuller, P.; Girerd, B.; Sitbon, O.; Humbert, M.; Simonneau, G.] Univ Paris 11, Fac Med, Le Kremlin Bicetre, France; [Montani, D.; Jais, X.; Dorfmuller, P.; Girerd, B.; Sitbon, O.; Humbert, M.; Simonneau, G.] Hop Antoine Beclere, AP HP, Serv Pneumol &amp; Reanimat Resp, Ctr Natl Ref Hypertens Pulm Severe, Clamart, France; [Montani, D.; Jais, X.; Dorfmuller, P.; Price, L.; Girerd, B.; Sitbon, O.; Humbert, M.; Simonneau, G.] Ctr Chirurg Marie Lannelongue, INSERM, U999, Le Plessis Robinson, France; [Bertoletti, L.] Univ St Etienne, Grp Rech Thrombose, St Etienne, France; [Bertoletti, L.] CHU St Etienne, Hop Nord, Serv Med &amp; Therapeut, St Etienne, France; [Price, L.] Royal Brompton Hosp, London SW3 6LY, England</t>
  </si>
  <si>
    <t>Pulmonary hypertension (PH) may occur in patients presenting with orphan lung diseases, and is associated with a decreased survival. Development of PH is usually related to chronic respiratory failure, but its mechanisms may vary profoundly between diseases. Of note, some patients may develop disproportionate pulmonary vascular involvement, affecting possibly the venous compartment particularly in the case of sarcoidosis and histiocytosis. In sarcoidosis, PH is usually caused by the fibrotic destruction of the pulmonary vascular bed or by chronic hypoxaemia. PH may also be induced by distal vasculopathy or extrinsic compression of pulmonary arteries. In pulmonary Langerhans' cell histiocytosis, PH is frequently reported in patients with advanced lung impairment, but is regularly unrelated to lung parenchymal injury, affecting the venous compartment. Severe PH is frequently reported in patients with combined pulmonary fibrosis and emphysema syndrome. PH was initially described in neurofibromatosis type 1 (NF1) patients with advaned parenchymal lung disease, but cases of NF1-associated PH were recently reported. Lymphangioleiomyomatosis patients may rarely develop a mild or moderate PH related to the severity of pulmonary involvement.</t>
  </si>
  <si>
    <t>VENOOCCLUSIVE-DISEASE; ARTERY SARCOMA; SURGICAL-TREATMENT; CARBON-MONOXIDE; NITRIC-OXIDE; SARCOIDOSIS; FIBROSIS; NEUROFIBROMATOSIS; EMPHYSEMA; HISTIOCYTOSIS</t>
  </si>
  <si>
    <t>Lymphangioleiomyomatosis; neurofibromatosis; pulmonary Langerhans' cell histiocytosis; pulmonary venoocclusive disease; sarcoidosis; sarcoma</t>
  </si>
  <si>
    <t>European Respiratory Monograph</t>
  </si>
  <si>
    <t>ORPHAN LUNG DISEASES</t>
  </si>
  <si>
    <t>Pulmonary hypertension in orphan lung diseases</t>
  </si>
  <si>
    <t>Montani, D.; Bertoletti, L.; Jais, X.; Dorfmuller, P.; Price, L.; Girerd, B.; Sitbon, O.; Humbert, M.; Simonneau, G.</t>
  </si>
  <si>
    <t>Cordier, JF</t>
  </si>
  <si>
    <t>Montani, D; Bertoletti, L; Jais, X; Dorfmuller, P; Price, L; Girerd, B; Sitbon, O; Humbert, M; Simonneau, G</t>
  </si>
  <si>
    <t>WOS:000208770301119</t>
  </si>
  <si>
    <t>A1925</t>
  </si>
  <si>
    <t>Ventilation Perfusion Lung Scan In Pulmonary Veno-Occlusive Disease</t>
  </si>
  <si>
    <t>Montani, D.; Seferian, A.; Girerd, B.; Price, L. C.; Jais, X.; Sitbon, O.; Helal, B.; Humbert, M. J. C.; Simonneau, G.</t>
  </si>
  <si>
    <t>Montani, D; Seferian, A; Girerd, B; Price, LC; Jais, X; Sitbon, O; Helal, B; Humbert, MJC; Simonneau, G</t>
  </si>
  <si>
    <t>WOS:000294697100013</t>
  </si>
  <si>
    <t>BWS03</t>
  </si>
  <si>
    <t>10.1007/978-0-85729-641-2</t>
  </si>
  <si>
    <t>10.1007/978-0-85729-641-2_13</t>
  </si>
  <si>
    <t>978-0-85729-640-5</t>
  </si>
  <si>
    <t>SWEETAPPLE HOUSE CATTESHALL RD FARNCOMBE, GODALMING GU7 1NH, SURREY, ENGLAND</t>
  </si>
  <si>
    <t>GODALMING</t>
  </si>
  <si>
    <t>SPRINGER-VERLAG LONDON LTD</t>
  </si>
  <si>
    <t>Humbert, M (corresponding author), Antoine Beclere Assistance Publ Hop Paris, Dept Resp Med, 157 Rue de la Porte de Trivaux, F-92140 Clamart, France.</t>
  </si>
  <si>
    <t>[Humbert, Marc] Antoine Beclere Assistance Publ Hop Paris, Dept Resp Med, F-92140 Clamart, France; [Le Pavee, Jerome] Hop St Louis, AH HP, Dept Serv Pneumol, Ctr Natl Reference Hist Langerhansienne, Paris, France</t>
  </si>
  <si>
    <t>PULMONARY ARTERIAL-HYPERTENSION; CONTINUOUS INTRAVENOUS EPOPROSTENOL; BRAIN NATRIURETIC PEPTIDE; CONNECTIVE-TISSUE DISEASE; CALCIUM-CHANNEL BLOCKERS; LONG-TERM RESPONSE; 6-MINUTE WALK TEST; LUNG TRANSPLANTATION; SCLERODERMA SPECTRUM; BOSENTAN TREATMENT</t>
  </si>
  <si>
    <t>Systemic sclerosis; Pulmonary arterial hypertension; Systemic sclerosis-related pulmonary arterial hypertension</t>
  </si>
  <si>
    <t>CASE STUDIES IN SYSTEMIC SCLEROSIS</t>
  </si>
  <si>
    <t>Late Limited Systemic Sclerosis Patient Who Develops Shortness of Breath on Exertion</t>
  </si>
  <si>
    <t>Le Pavee, Jerome; Humbert, Marc</t>
  </si>
  <si>
    <t>Silver, RM; Denton, CP</t>
  </si>
  <si>
    <t>Le Pavee, J; Humbert, M</t>
  </si>
  <si>
    <t>WOS:000208770306048</t>
  </si>
  <si>
    <t>A5916</t>
  </si>
  <si>
    <t>Simonneau, Gerald/ABE-6614-2020; Tcherakian, Colas/D-8813-2016; Humbert, Marc/AAC-8459-2019</t>
  </si>
  <si>
    <t>Pulmonary Arterial Hypertension Associated With Pulmonary Langerhans Cell Histiocytosis: Impact Of Pulmonary Hypertension Therapy</t>
  </si>
  <si>
    <t>Le Pavec, J.; Lorillon, G.; Jais, X.; Tcherakian, C.; Feuillet, S.; Simonneau, G.; Humbert, M.; Tazi, A.</t>
  </si>
  <si>
    <t>Le Pavec, J; Lorillon, G; Jais, X; Tcherakian, C; Feuillet, S; Simonneau, G; Humbert, M; Tazi, A</t>
  </si>
  <si>
    <t>WOS:000208770306085</t>
  </si>
  <si>
    <t>A5953</t>
  </si>
  <si>
    <t>de Groote, Pascal/0000-0002-6211-0147; Montani, David/0000-0002-9358-6922; Launay, David/0000-0003-1840-1817</t>
  </si>
  <si>
    <t>Launay, David/A-5270-2018; HACHULLA, ERIC/R-8488-2018; David, Montani/I-6885-2019; Sitbon, Olivier/I-3623-2019; DE GROOTE, Pascal/LLL-9444-2024; Humbert, Marc/AAC-8459-2019; Simonneau, Gerald/ABE-6614-2020; Launay, David/H-1674-2016</t>
  </si>
  <si>
    <t>Clinical Characteristics And Survival Of Systemic Sclerosis-Associated Pulmonary Arterial Hypertension Diagnosed By A Systematic Detection Program</t>
  </si>
  <si>
    <t>Humbert, M. J. C.; Yaici, A.; De Groote, P.; Montani, D.; Sitbon, O.; Launay, D.; Gressin, V.; Guillevin, L.; Clerson, P.; Simonneau, G.; Hachulla, E.</t>
  </si>
  <si>
    <t>Humbert, MJC; Yaici, A; De Groote, P; Montani, D; Sitbon, O; Launay, D; Gressin, V; Guillevin, L; Clerson, P; Simonneau, G; Hachulla, E</t>
  </si>
  <si>
    <t>WOS:000208770304718</t>
  </si>
  <si>
    <t>A4992</t>
  </si>
  <si>
    <t>Montani, David/0000-0002-9358-6922; Souza, Rogerio/0000-0003-2789-9143</t>
  </si>
  <si>
    <t>The Angle Between The Interventricular Septum And The Left Ventricular Free Wall As A New Index Of Right Ventricular Overload In Pulmonary Hypertension Patients: A Cardiac Magnetic Resonance Study</t>
  </si>
  <si>
    <t>Hoette, S.; Creuze, N.; Musset, D.; Montani, D.; Jais, X.; Parent, F.; Sitbon, O.; Simonneau, G.; Humbert, M.; Souza, R.; Chemla, D.</t>
  </si>
  <si>
    <t>Hoette, S; Creuzé, N; Musset, D; Montani, D; Jais, X; Parent, F; Sitbon, O; Simonneau, G; Humbert, M; Souza, R; Chemla, D</t>
  </si>
  <si>
    <t>WOS:000208770304729</t>
  </si>
  <si>
    <t>A5002</t>
  </si>
  <si>
    <t>Humbert, Marc/AAC-8459-2019; David, Montani/I-6885-2019; Sitbon, Olivier/I-3623-2019; Souza, Rogerio/I-3584-2013</t>
  </si>
  <si>
    <t>Correcting For Age And Sex Unmasks Decreased Right Ventricular Ejection Fraction In Pulmonary Hypertension</t>
  </si>
  <si>
    <t>Hoette, S.; Creuze, N.; Musset, D.; Montani, D.; Jais, X.; Parent, F.; Souza, R.; Sitbon, O.; Humbert, M.; Simonneau, G.; Chemla, D.</t>
  </si>
  <si>
    <t>Hoette, S; Creuzé, N; Musset, D; Montani, D; Jais, X; Parent, F; Souza, R; Sitbon, O; Humbert, M; Simonneau, G; Chemla, D</t>
  </si>
  <si>
    <t>WOS:000208770306255</t>
  </si>
  <si>
    <t>A6129</t>
  </si>
  <si>
    <t>David, Montani/I-6885-2019; Sitbon, Olivier/I-3623-2019; Humbert, Marc/AAC-8459-2019; EYRIES, melanie/ABF-1034-2020; Simonneau, Gerald/ABE-6614-2020</t>
  </si>
  <si>
    <t>Absence Of Influence Of Gender And BMPR2 Mutation Type On Clinical Phenotypes Of Pulmonary Arterial Hypertension</t>
  </si>
  <si>
    <t>Girerd, B.; Montani, D.; Eyries, M.; Yaici, A.; Sztrymf, B.; Coulet, F.; Sitbon, O.; Simonneau, G.; Soubrier, F.; Humbert, M.</t>
  </si>
  <si>
    <t>WOS:000297149700042</t>
  </si>
  <si>
    <t>849UB</t>
  </si>
  <si>
    <t>10.1186/ar3346</t>
  </si>
  <si>
    <t>Kowal-Bielecka, Otylia/0000-0002-0613-1306; Avouac, Jerome/0000-0002-2463-218X; Huscher, Dorte/0000-0001-9070-0761; Nash, Peter/0000-0002-2571-788X; Humbert, Marc/0000-0003-0703-2892</t>
  </si>
  <si>
    <t>avouac, Jérôme/AAD-2101-2020; Behrens, Frank/AAI-8910-2021; Pittrow, David/AAY-5042-2021; Distler, Oliver/AAE-6225-2019; MATUCCI CERINIC, MARCO/AAO-2769-2020; Opitz, Christian/L-3438-2019; furst, daniel/B-7316-2014; Rubin, Lewis/AEW-1719-2022; Kowal-Bielecka, Otylia/T-3378-2018; Nash, Peter/D-7392-2013; Humbert, Marc/AAC-8459-2019</t>
  </si>
  <si>
    <t>c.denton@medsch.ucl.ac.uk</t>
  </si>
  <si>
    <t>Denton, CP (corresponding author), Univ Coll Med Sch, Ctr Rheumatol, Royal Free Campus, London NW3 2PF, England.</t>
  </si>
  <si>
    <t>University of London; University College London; Leibniz Association; Deutsches Rheuma-Forschungszentrum (DRFZ); University of California System; University of California Los Angeles; University of California Los Angeles Medical Center; David Geffen School of Medicine at UCLA; Universite Paris Saclay; Assistance Publique Hopitaux Paris (APHP); Hopital Universitaire Antoine-Beclere - APHP; Goethe University Frankfurt; Medical University of Bialystok; University of Florence; Technische Universitat Dresden; University of California System; University of California San Diego; University of Zurich; University Zurich Hospital</t>
  </si>
  <si>
    <t>[Denton, Christopher P.] Univ Coll Med Sch, Ctr Rheumatol, London NW3 2PF, England; [Avouac, Jerome] RDU, Rheumatol Dept A, F-75006 Paris, France; [Behrens, Frank] German Rheumatism Res Ctr, D-10117 Berlin, Germany; [Furst, Daniel E.] Univ Calif Los Angeles, Div Rheumatol, Dept Med, David Geffen Sch, Los Angeles, CA 90095 USA; [Humbert, Marc] Univ Paris 11, Hop Antoine Beclere, Ctr Malad Vasc Pulm, Serv Pneumol &amp; Reanimat Resp, F-92140 Clamart, France; [Huscher, Doerte] Goethe Univ Frankfurt, Div Rheumatol ZAFES, D-60325 Frankfurt, Germany; [Kowal-Bielecka, Otylia] Med Univ Bialystok, Dept Rheumatol &amp; Internal Med, PL-15089 Bialystok, Poland; [Matucci-Cerinic, Marco] Univ Florence, Div Rheumatol, Denothe Ctr, Dept Med, I-50134 Florence, Italy; [Nash, Peter] Cotton Tree, Rheumatol Res Unit, Sunshine Coast, Qld 4558, Australia; [Opitz, Christian F.] DRK Kliniken Berlin Kopenick, Innere Med Klin, D-12559 Berlin, Germany; [Pittrow, David] Tech Univ Dresden, Fac Med, Inst Clin Pharmacol, D-01187 Dresden, Germany; [Rubin, Lewis J.] Univ Calif San Diego, Sch Med, Div Pulm &amp; Crit Care Med, La Jolla, CA 92093 USA; [Distler, Oliver] Univ Zurich Hosp, Dept Rheumatol, CH-8091 Zurich, Switzerland</t>
  </si>
  <si>
    <t>Pulmonary arterial hypertension (PAH) is a serious complication of systemic sclerosis (SSc). In clinical trials PAH-SSc has been grouped with other forms, including idiopathic PAH. The primary endpoint for most pivotal studies was improvement in exercise capacity. However, composite clinical endpoints that better reflect long-term outcome may be more meaningful. We discuss potential endpoints and consider why the same measures may not be appropriate for both idiopathic PAH and PAH-SSc due to inherent differences in clinical outcome and management strategies of these two forms of PAH. Failure to take this into account may compromise progress in managing PAH in SSc.</t>
  </si>
  <si>
    <t>OUTCOME MEASURES; TRIALS</t>
  </si>
  <si>
    <t>Systemic sclerosis-associated pulmonary hypertension: why disease-specific composite endpoints are needed</t>
  </si>
  <si>
    <t>Denton, Christopher P.; Avouac, Jerome; Behrens, Frank; Furst, Daniel E.; Foeldvari, Ivan; Humbert, Marc; Huscher, Doerte; Kowal-Bielecka, Otylia; Matucci-Cerinic, Marco; Nash, Peter; Opitz, Christian F.; Pittrow, David; Rubin, Lewis J.; Seibold, James R.; Distler, Oliver</t>
  </si>
  <si>
    <t>Denton, CP; Avouac, J; Behrens, F; Furst, DE; Foeldvari, I; Humbert, M; Huscher, D; Kowal-Bielecka, O; Matucci-Cerinic, M; Nash, P; Opitz, CF; Pittrow, D; Rubin, LJ; Seibold, JR; Distler, O</t>
  </si>
  <si>
    <t>WOS:000208770305058</t>
  </si>
  <si>
    <t>Simonneau, Gerald/ABE-6614-2020; Humbert, Marc/AAC-8459-2019; Baruteau, Alban-Elouen/LDF-8902-2024</t>
  </si>
  <si>
    <t>Assistance Publique Hopitaux Paris (APHP); Universite Paris Cite; Hopital Universitaire Necker-Enfants Malades - APHP; Assistance Publique Hopitaux Paris (APHP); Hopital Universitaire Antoine-Beclere - APHP; Universite Paris Saclay</t>
  </si>
  <si>
    <t>[Baruteau, A. -E.; Petit, J.; Serraf, A. -E.; Belli, E.] Surg Ctr Marie Lannelongue, Le Plessis Robinson, France; [Bonnet, D.; Levy, M.; Vouhe, P.] Hop Necker Enfants Malad, AP HP, Paris, France; [Humbert, M.; Jais, X.; Simonneau, G.] Univ Paris Sud, Hosp Antoine Beclere, AP HP, Clamart, France</t>
  </si>
  <si>
    <t>Palliative Potts shunt in children with idiopathic pulmonary arterial hypertension: short and mid -term results</t>
  </si>
  <si>
    <t>Baruteau, A. -E.; Bonnet, D.; Humbert, M.; Petit, J.; Levy, M.; Jais, X.; Serraf, A. -E.; Vouhe, P.; Simonneau, G.; Belli, E.</t>
  </si>
  <si>
    <t>Baruteau, AE; Bonnet, D; Humbert, M; Petit, J; Levy, M; Jais, X; Serraf, AE; Vouhe, P; Simonneau, G; Belli, E</t>
  </si>
  <si>
    <t>WOS:000289613900006</t>
  </si>
  <si>
    <t>751JR</t>
  </si>
  <si>
    <t>10.1016/j.rmr.2010.09.024</t>
  </si>
  <si>
    <t>Mussot, S/AAL-7512-2020; Simonneau, Gerald/ABE-6614-2020; Humbert, Marc/AAC-8459-2019</t>
  </si>
  <si>
    <t>Hopital Marie Lannelongue; Assistance Publique Hopitaux Paris (APHP); Hopital Universitaire Antoine-Beclere - APHP</t>
  </si>
  <si>
    <t>[Fadel, E.; Mercier, O.; Mussot, S.; Fabre, D.; Dartevelle, P.] Ctr Chirurg Marie Lannelongue, Serv Chirurg Thorac Vasc &amp; Transplantat Cardiopul, F-92350 Le Plessis Robinson, France; [Humbert, M.; Simonneau, G.] Hop Antoine Beclere, Serv Pneumol, F-92140 Clamart, France</t>
  </si>
  <si>
    <t>Introduction. - Pulmonary arterial hypertension (PAH) is a severe disease that has undergone a dramatic improvement in therapeutic management over the past 20 years. Among the new therapeutic options, surgery has the potential to dramatically improve or, in some cases, cure PAH. Background. - Surgical treatment of PAH includes pulmonary endarterectomy which can cure PAH when the cause is obstruction of the pulmonary arteries by fibrous tissue resulting from pulmonary embolism, by tumours as angiosarcomas, and ecchinococcus cysts. Transplantation is required in end-stage PAH after failure of medical treatment. Atrial septostomy and Potts procedure are palliative surgical procedures that can delay transplantation. Viewpoint. - Extracorporeal cardiopulmonary support is the latest surgical improvement, not only as a bridge to transplantation in end-stage PAH but also during recovery after transplantation or pulmonary endarterectomy. Conclusions. - Surgery is part of the therapeutic management of PAH. Dialogue between physicians and surgeons is a prerequisite for any reasoned therapeutic decision. (C) 2011 SPLF. Published by Elsevier Masson SAS. All rights reserved.</t>
  </si>
  <si>
    <t>HEART-LUNG TRANSPLANTATION; EXTRACORPOREAL LIFE-SUPPORT; ATRIAL SEPTOSTOMY; INTRAVENOUS EPOPROSTENOL; INTERNATIONAL-SOCIETY; ENDARTERECTOMY; SINGLE; SURVIVAL; EXPERIENCE; OUTCOMES</t>
  </si>
  <si>
    <t>Pulmonary arterial hypertension; Heart-lung transplantation; Chronic thromboembolic pulmonary hypertension; Pulmonary endarterectomy; Extracorporeal cardiopulmonary support</t>
  </si>
  <si>
    <t>Surgical treatment of pulmonary arterial hypertension</t>
  </si>
  <si>
    <t>Fadel, E.; Mercier, O.; Mussot, S.; Fabre, D.; Humbert, M.; Simonneau, G.; Dartevelle, P.</t>
  </si>
  <si>
    <t>Fadel, E; Mercier, O; Mussot, S; Fabre, D; Humbert, M; Simonneau, G; Dartevelle, P</t>
  </si>
  <si>
    <t>WOS:000290647500008</t>
  </si>
  <si>
    <t>764QP</t>
  </si>
  <si>
    <t>Humbert, Marc/AAC-8459-2019; Sitbon, Olivier/I-3623-2019; David, Montani/I-6885-2019; Simonneau, Gerald/ABE-6614-2020; Savale, Laurent/AAJ-9781-2020</t>
  </si>
  <si>
    <t>Savale, L (corresponding author), Hop Antoine Beclere, AP HP, Serv Pneumol &amp; Reanimat Resp, Ctr Natl Reference Hypertens Pulm Severe, 157 Rue Porte Trivaux, F-92141 Clamart, France.</t>
  </si>
  <si>
    <t>Assistance Publique Hopitaux Paris (APHP); Hopital Universitaire Antoine-Beclere - APHP; Universite Paris Saclay; Universite Paris Saclay; Hopital Marie Lannelongue; Institut National de la Sante et de la Recherche Medicale (Inserm)</t>
  </si>
  <si>
    <t>[Savale, Laurent; Jais, Xavier; Montani, David; Sitbon, Olivier; Simonneau, Gerald; Humbert, Marc] Hop Antoine Beclere, AP HP, Serv Pneumol &amp; Reanimat Resp, Ctr Natl Reference Hypertens Pulm Severe, F-92141 Clamart, France; [Savale, Laurent; Jais, Xavier; Montani, David; Sitbon, Olivier; Simonneau, Gerald; Humbert, Marc] Univ Paris 11, Fac Med, F-94276 Le Kremlin Bicetre, France; [Savale, Laurent; Jais, Xavier; Montani, David; Sitbon, Olivier; Simonneau, Gerald; Humbert, Marc] Ctr Chirurg Marie Lannelongue, INSERM, U999, F-92350 Le Plessis Robinson, France</t>
  </si>
  <si>
    <t>Treatment of pulmonary arterial hypertension in 2011: what's new since the 2009 ERS/ESC guidelines? The current treatment strategies for pulmonary arterial hypertension, outlined in the ERS/ESC guidelines pulished in 2009, have led to improvements in life expectancy and patient quality of life. However, a cure for the disease remains elusive. In order to improve the prognosis for patients with PAH, future research will focus on development of new therapeutic agents, identification of novel targets and studies involving combinations of existing treatments An important goal is to refine the efficacy and tolerability of agents that target NO, endothelin and prostacyclin signaling pathways. Novel targeted therapies, such as tyrosine kinase inhibitors that directly act on the abnormal proliferation of pulmonary vascular cells, are under active investigation. Finally, clinical trials evaluating combinations of treatments have shown encouraging results.</t>
  </si>
  <si>
    <t>VASOACTIVE-INTESTINAL-PEPTIDE; THERAPY; DIAGNOSIS; BOSENTAN; DRUG</t>
  </si>
  <si>
    <t>Treatment of pulmonary arterial hypertension in 2011: what's new since the 2009 ERS/ESC guidelines?</t>
  </si>
  <si>
    <t>Savale, Laurent; Jais, Xavier; Montani, David; Sitbon, Olivier; Simonneau, Gerald; Humbert, Marc</t>
  </si>
  <si>
    <t>Savale, L; Jaïs, X; Montani, D; Sitbon, O; Simonneau, G; Humbert, M</t>
  </si>
  <si>
    <t>WOS:000289055300017</t>
  </si>
  <si>
    <t>743YH</t>
  </si>
  <si>
    <t>10.1183/09031936.00028310</t>
  </si>
  <si>
    <t>The study was supported by Chancellerie des Hopitaux de Paris (Legs Poix), Universite Paris-Sud 11 and Ministrere de l'Enseignement Superieur et de la Recherche. A European Respiratory Society long-term research fellowship was awarded to L. C. Price (no. 139).</t>
  </si>
  <si>
    <t>Chancellerie des Hopitaux de Paris (Legs Poix), Universite Paris-Sud 11 and Ministrere de l'Enseignement Superieur et de la Recherche; A European Respiratory Society</t>
  </si>
  <si>
    <t>Adcock, Ian/0000-0003-2101-8843; Humbert, Marc/0000-0003-0703-2892; Howard, Luke/0000-0003-2822-210X; Dorfmuller, Peter/0000-0003-2499-6829; Chaumais, Marie-Camille/0000-0002-1217-8442; Perros, Frederic/0000-0001-7730-2427; Souza, Rogerio/0000-0003-2789-9143; Montani, David/0000-0002-9358-6922</t>
  </si>
  <si>
    <t>Simonneau, Gerald/ABE-6614-2020; Tcherakian, Colas/D-8813-2016; Howard, Luke/HJP-3415-2023; Adcock, Ian/L-3217-2019; David, Montani/I-6885-2019; Humbert, Marc/AAC-8459-2019; Perros, Frederic/N-6921-2017; Souza, Rogerio/I-3584-2013</t>
  </si>
  <si>
    <t>Humbert, M (corresponding author), Univ Paris 11, Hop Antoine Beclere, Assistance Publ Hop Paris,Serv Pneumol, Ctr Natl Reference Hypertens Arterielle Pulm, 157 Rue Porte Trivaux, F-92140 Clamart, France.</t>
  </si>
  <si>
    <t>Assistance Publique Hopitaux Paris (APHP); Hopital Universitaire Antoine-Beclere - APHP; Universite Paris Saclay; Hopital Marie Lannelongue; Universite Paris Saclay; Institut National de la Sante et de la Recherche Medicale (Inserm); Imperial College London; Imperial College London; Imperial College London</t>
  </si>
  <si>
    <t>[Price, L. C.; Montani, D.; Tcherakian, C.; Dorfmueller, P.; Souza, R.; Gambaryan, N.; Chaumais, M-C.; Simonneau, G.; Humbert, M.; Perros, F.] Hop Antoine Beclere, AP HP, Ctr Natl Reference Hypertens Pulm Severe, Serv Pneumol &amp; Reanimat Resp, Clamart, France; [Price, L. C.; Montani, D.; Tcherakian, C.; Dorfmueller, P.; Souza, R.; Gambaryan, N.; Chaumais, M-C.; Simonneau, G.; Humbert, M.; Perros, F.] Univ Paris 11, Fac Med, Paris, France; [Price, L. C.; Montani, D.; Tcherakian, C.; Dorfmueller, P.; Souza, R.; Gambaryan, N.; Chaumais, M-C.; Simonneau, G.; Humbert, M.; Perros, F.] Ctr Chirurg Marie Lannelongue, INSERM, U999, IPSIT, Le Plessis Robinson, France; [Price, L. C.; Shao, D. M.; Wort, S. J.] Univ London Imperial Coll Sci Technol &amp; Med, Unit Thorac Crit Care, London, England; [Adcock, I. M.] Univ London Imperial Coll Sci Technol &amp; Med, Fac Med, Natl Heart &amp; Lung Inst, Dept Cell &amp; Mol Biol,Airways Dis Sect, London, England; [Howard, L. S.] Imperial Coll Healthcare NHS Trust, Hammersmith Hosp, Dept Cardiac Sci, Natl Pulm Hypertens Serv, London, England</t>
  </si>
  <si>
    <t>Pulmonary arterial hypertension (PAH) is associated with dysregulated bone morphogenetic protein receptor (BMPR)-II signaling and pulmonary vascular inflammation. We evaluated the effects of dexamethasone on monocrotaline (MCT)-induced PAH in rats for potential reversal of PAH at late time-points. Saline-treated control, MCT-exposed, MCT-exposed and dexamethasone-treated rats (5 mg.kg(-1).day(-1), 1.25 mg.kg(-1) and 2.5 mg.kg(-1).48 h(-1)) were evaluated at day 28 and day 35 following MCT for haemodynamic parameters, right ventricular hypertrophy, morphometry, immunohistochemistry, and IL6 and BMPR2 expression. Dexamethasone improved haemodynamics and pulmonary vascular remodelling, preventing PAH development at early (day 1-14 and 1-28) and reversing PAH at late (day 14-28 and 21-35) time-points following MCT, as well as improving survival in MCT-exposed rats compared with controls. Both MCT-induced pulmonary IL6 overexpression and interleukin (IL)-6-expressing adventitial inflammatory cell infiltration were reduced with dexamethasone. This was associated with pulmonary BMPR2 downregulation following MCT, which was increased with dexamethasone, in whole lung and control pulmonary artery smooth muscle cells. Dexamethasone also reduced proliferation of rat pulmonary artery smooth muscle cells in vitro. Experimental PAH can be prevented and reversed by dexamethasone, and survival is improved. In this model, mechanisms may involve reduction of IL-6-expressing inflammatory cells, restoration of pulmonary BMPR2 expression and reduced proliferation of vascular smooth muscle cells.</t>
  </si>
  <si>
    <t>BONE MORPHOGENETIC PROTEIN; SMOOTH-MUSCLE-CELLS; IMMUNOSUPPRESSIVE THERAPY; GERMLINE MUTATIONS; RECEPTOR; INTERLEUKIN-6; EXPRESSION; PROLIFERATION; OVEREXPRESSION; INFLAMMATION</t>
  </si>
  <si>
    <t>Bone morphogenetic protein receptor; corticosteroids; inflammation; monocrotaline; pulmonary arterial hypertension; type II</t>
  </si>
  <si>
    <t>Dexamethasone reverses monocrotaline-induced pulmonary arterial hypertension in rats</t>
  </si>
  <si>
    <t>Price, L. C.; Montani, D.; Tcherakian, C.; Dorfmueller, P.; Souza, R.; Gambaryan, N.; Chaumais, M-C.; Shao, D. M.; Simonneau, G.; Howard, L. S.; Adcock, I. M.; Wort, S. J.; Humbert, M.; Perros, F.</t>
  </si>
  <si>
    <t>Price, LC; Montani, D; Tcherakian, C; Dorfmüller, P; Souza, R; Gambaryan, N; Chaumais, MC; Shao, DM; Simonneau, G; Howard, LS; Adcock, IM; Wort, SJ; Humbert, M; Perros, F</t>
  </si>
  <si>
    <t>WOS:000290647500002</t>
  </si>
  <si>
    <t>Huertas, Alice/0000-0001-8545-747X; Montani, David/0000-0002-9358-6922; Cohen-Kaminsky, Sylvia/0000-0002-6341-7482; Perros, Frederic/0000-0001-7730-2427</t>
  </si>
  <si>
    <t>Humbert, Marc/AAC-8459-2019; David, Montani/I-6885-2019; Huertas, Alice/E-8244-2017; Cohen-Kaminsky, Sylvia/E-4837-2014; Perros, Frederic/N-6921-2017</t>
  </si>
  <si>
    <t>Perros, F (corresponding author), Hop Antoine Beclere, AP HP, Ctr Natl Reference Hypertens Pulm Severe, Serv Pneumol &amp; Reanimat Resp, 157 Rue Porte Trivaux, F-92141 Clamart, France.</t>
  </si>
  <si>
    <t>Assistance Publique Hopitaux Paris (APHP); Hopital Universitaire Antoine-Beclere - APHP; Universite Paris Saclay; Institut National de la Sante et de la Recherche Medicale (Inserm); Universite Paris Saclay; Hopital Marie Lannelongue; Assistance Publique Hopitaux Paris (APHP); Hopital Universitaire Antoine-Beclere - APHP</t>
  </si>
  <si>
    <t>[Perros, Frederic; Montani, David; Dorfmueller, Peter; Huertas, Alice; Cohen-Kaminsky, Sylvia; Humbert, Marc] Hop Antoine Beclere, AP HP, Ctr Natl Reference Hypertens Pulm Severe, Serv Pneumol &amp; Reanimat Resp, F-92140 Clamart, France; [Perros, Frederic; Montani, David; Dorfmueller, Peter; Huertas, Alice; Chaumais, Marie-Camille; Cohen-Kaminsky, Sylvia; Humbert, Marc] Univ Paris 11, Fac Med, F-94276 Le Kremlin Bicetre, France; [Perros, Frederic; Montani, David; Dorfmueller, Peter; Huertas, Alice; Chaumais, Marie-Camille; Cohen-Kaminsky, Sylvia; Humbert, Marc] INSERM, U999, F-92350 Le Plessis Robinson, France; [Perros, Frederic; Montani, David; Dorfmueller, Peter; Huertas, Alice; Chaumais, Marie-Camille; Cohen-Kaminsky, Sylvia; Humbert, Marc] Ctr Chirurg Marie Lannelongue, F-92350 Le Plessis Robinson, France; [Chaumais, Marie-Camille] Hop Antoine Beclere, AP HP, Serv Pharm, F-92140 Clamart, France</t>
  </si>
  <si>
    <t>Novel immunopathological approaches to pulmonary arterial hypertension Inflammation is important for the initiation and the maintenance of vascular remodeling in the most common animal models of pulmonary hypertension (PH), and its therapeutical targeting blocks PH development in these models. In human, pulmonary vascular lesions of PH ore also the source of an intense chemokine production, linked to inflammatory cell recruitment. However, arteritis is uncommon in PH patients. Of note, current PH treatments hove immunomodulatory properties. In addition, some studies have shown a correlation between levels of circulating inflammatory mediators and patients' survival. The study of autoimmunity in the pathophysiology of pulmonary arterial hypertension is becoming an area of intense investigation. New immunopathological approaches to PH should allow the development of innovative treatments for this very severe condition.</t>
  </si>
  <si>
    <t>REGULATORY T-CELLS; AUTOIMMUNE POLYGLANDULAR SYNDROME; NF-KAPPA-B; ENDOTHELIN ANTAGONISM; SYSTEMIC-SCLEROSIS; DENDRITIC CELLS; ANTIFIBROBLAST ANTIBODIES; HIGH PREVALENCE; SELF-TOLERANCE; MAST-CELLS</t>
  </si>
  <si>
    <t>Novel immunopathological approaches to pulmonary arterial hypertension</t>
  </si>
  <si>
    <t>Perros, Frederic; Montani, David; Dorfmueller, Peter; Huertas, Alice; Chaumais, Marie-Camille; Cohen-Kaminsky, Sylvia; Humbert, Marc</t>
  </si>
  <si>
    <t>Perros, F; Montani, D; Dorfmüller, P; Huertas, A; Chaumais, MC; Cohen-Kaminsky, S; Humbert, M</t>
  </si>
  <si>
    <t>WOS:000287243900005</t>
  </si>
  <si>
    <t>719XD</t>
  </si>
  <si>
    <t>10.1007/s12016-009-8194-2</t>
  </si>
  <si>
    <t>Clin. Rev. Allergy Immunol.</t>
  </si>
  <si>
    <t>CLIN REV ALLERG IMMU</t>
  </si>
  <si>
    <t>1080-0549</t>
  </si>
  <si>
    <t>999 RIVERVIEW DRIVE SUITE 208, TOTOWA, NJ 07512 USA</t>
  </si>
  <si>
    <t>Le Pavec, Jerome/0000-0003-4426-9645; Launay, David/0000-0003-1840-1817; Humbert, Marc/0000-0003-0703-2892</t>
  </si>
  <si>
    <t>Launay, David/A-5270-2018; Launay, David/H-1674-2016; Humbert, Marc/AAC-8459-2019</t>
  </si>
  <si>
    <t>Le Pavec, J (corresponding author), Univ Paris 11, Hop Antoine Beclere, Serv Pneumol &amp; Reanimat Resp, Ctr Natl Reference Hypertens Arterielle Pulm,AP H, 157 Rue Porte Trivaux, F-92140 Clamart, France.</t>
  </si>
  <si>
    <t>Assistance Publique Hopitaux Paris (APHP); Hopital Universitaire Antoine-Beclere - APHP; Universite Paris Saclay; Universite de Lille; CHU Lille</t>
  </si>
  <si>
    <t>[Le Pavec, Jerome; Humbert, Marc] Univ Paris 11, Hop Antoine Beclere, Serv Pneumol &amp; Reanimat Resp, Ctr Natl Reference Hypertens Arterielle Pulm,AP H, F-92140 Clamart, France; [Le Pavec, Jerome; Mathai, Stephen C.; Hassoun, Paul M.] Div Pulm &amp; Crit Care Med, Baltimore, MD 21205 USA; [Launay, David] Univ Lille 2, Ctr Reference Sclerodermie Syst, Serv Med Interne, Hop Claude Huriez, Lille, France</t>
  </si>
  <si>
    <t>Pulmonary involvement is second in frequency only to esophageal involvement as a visceral complication of systemic sclerosis (SSc) and has surpassed renal involvement as the most common cause of death. Interstitial lung disease and pulmonary vascular disease, particularly pulmonary arterial hypertension, are the most commonly encountered types of lung involvement. Chronic aspiration, airway disease, neuromuscular weakness, extrinsic pulmonary restrictive pathology, pleural effusions, pneumothorax, and lung cancer cause clinically significant disease and occur commonly enough to be routinely considered in the assessment of the SSc patient with respiratory symptoms. Affected patients have a significantly worse prognosis than patients with SSc who are free of pulmonary involvement.</t>
  </si>
  <si>
    <t>PULMONARY ARTERIAL-HYPERTENSION; PROGRESSIVE SYSTEMIC-SCLEROSIS; CONNECTIVE-TISSUE-DISEASE; CONTINUOUS INTRAVENOUS EPOPROSTENOL; NONSPECIFIC INTERSTITIAL PNEUMONIA; RESOLUTION COMPUTED-TOMOGRAPHY; DIFFUSE CUTANEOUS INVOLVEMENT; POPULATION-BASED COHORT; RIGHT HEART FUNCTION; FIBROSING ALVEOLITIS</t>
  </si>
  <si>
    <t>Scleroderma; Scleroderma lung disease; Pulmonary arterial hypertension; Interstitial lung disease; Scleroderma-related pulmonary arterial hypertension</t>
  </si>
  <si>
    <t>CLINICAL REVIEWS IN ALLERGY &amp; IMMUNOLOGY</t>
  </si>
  <si>
    <t>Scleroderma Lung Disease</t>
  </si>
  <si>
    <t>Le Pavec, Jerome; Launay, David; Mathai, Stephen C.; Hassoun, Paul M.; Humbert, Marc</t>
  </si>
  <si>
    <t>Le Pavec, J; Launay, D; Mathai, SC; Hassoun, PM; Humbert, M</t>
  </si>
  <si>
    <t>WOS:000290647500001</t>
  </si>
  <si>
    <t>Humbert, M (corresponding author), Univ Paris 11, Hop Antoine Beclere, AP HP,INSERM,U999, Serv Pneumol &amp; Reanimat Resp,Ctr Natl Reference H, 157 Rue Porte Trivaux, F-92140 Clamart, France.</t>
  </si>
  <si>
    <t>Univ Paris 11, Hop Antoine Beclere, AP HP,INSERM,U999, Serv Pneumol &amp; Reanimat Resp,Ctr Natl Reference H, F-92140 Clamart, France</t>
  </si>
  <si>
    <t>GUIDELINES; SURVIVAL</t>
  </si>
  <si>
    <t>Therapeutic innovations to cure pulmonary arterial hypertension</t>
  </si>
  <si>
    <t>WOS:000289055300041</t>
  </si>
  <si>
    <t>10.1183/09031936.00188910</t>
  </si>
  <si>
    <t>David, Montani/I-6885-2019; Sitbon, Olivier/I-3623-2019; Humbert, Marc/AAC-8459-2019; Simonneau, Gerald/ABE-6614-2020; Souza, Rogerio/I-3584-2013</t>
  </si>
  <si>
    <t>Humbert, M (corresponding author), Univ Paris 11, Hop Antoine Beclere, AP HP, Serv Pneumol &amp; Reanimat Resp, 157 Rue Porte de Trivaux, F-92140 Clamart, France.</t>
  </si>
  <si>
    <t>Universite Paris Saclay; Institut National de la Sante et de la Recherche Medicale (Inserm); Assistance Publique Hopitaux Paris (APHP); Hopital Universitaire Antoine-Beclere - APHP; Universidade de Sao Paulo</t>
  </si>
  <si>
    <t>[Humbert, M.; Sitbon, O.; Montani, D.; Jais, X.; Yaici, A.; O'Callaghan, D. S.; Souza, R.; Simonneau, G.] Univ Paris 11, Hop Antoine Beclere, AP HP, Serv Pneumol,INSERM,U999, F-92140 Clamart, France; [Souza, R.] Univ Sao Paulo, Sch Med, Dept Pulm, Inst Heart, Sao Paulo, Brazil</t>
  </si>
  <si>
    <t>PULMONARY ARTERIAL-HYPERTENSION; SURVIVAL</t>
  </si>
  <si>
    <t>Untitled</t>
  </si>
  <si>
    <t>Humbert, M.; Sitbon, O.; Montani, D.; Jais, X.; Yaici, A.; O'Callaghan, D. S.; Souza, R.; Simonneau, G.</t>
  </si>
  <si>
    <t>Humbert, M; Sitbon, O; Montani, D; Jaïs, X; Yaïci, A; O'Callaghan, DS; Souza, R; Simonneau, G</t>
  </si>
  <si>
    <t>WOS:000312508000016</t>
  </si>
  <si>
    <t>056RE</t>
  </si>
  <si>
    <t>10.1586/ERS.11.15</t>
  </si>
  <si>
    <t>Montani, David/0000-0002-9358-6922; Dorfmuller, Peter/0000-0003-2499-6829; O'Callaghan, Dermot/0000-0002-0561-5800; Huertas, Alice/0000-0001-8545-747X; Humbert, Marc/0000-0003-0703-2892</t>
  </si>
  <si>
    <t>David, Montani/I-6885-2019; Huertas, Alice/E-8244-2017; Humbert, Marc/AAC-8459-2019</t>
  </si>
  <si>
    <t>Universite Paris Saclay; Assistance Publique Hopitaux Paris (APHP); Hopital Universitaire Antoine-Beclere - APHP; Institut National de la Sante et de la Recherche Medicale (Inserm); Hopital Marie Lannelongue; Universite Paris Saclay</t>
  </si>
  <si>
    <t>[Huertas, Alice; Girerd, Barbara; Dorfmuller, Peter; O'Callaghan, Dermot; Humbert, Marc; Montani, David] Univ Paris 11, Fac Med, F-94276 Le Kremlin Bicetre, France; [Huertas, Alice; Girerd, Barbara; Dorfmuller, Peter; O'Callaghan, Dermot; Humbert, Marc; Montani, David] Hop Antoine Beclere, AP HP, Serv Pneumol &amp; Reanimat Resp, Ctr Reference Hypertens Pulm Severe, F-92140 Clamart, France; [Huertas, Alice; Girerd, Barbara; Dorfmuller, Peter; O'Callaghan, Dermot; Humbert, Marc; Montani, David] Ctr Chirurg Marie Lannelongue, INSERM U999, Le Plessis Robinson, France</t>
  </si>
  <si>
    <t>Pulmonary veno-occlusive disease (PVOD) is a rare disorder that can be misdiagnosed as idiopathic pulmonary arterial hypertension (PAH) and accounts for 5-10% of cases initially considered as idiopathic PAH. PVOD and idiopathic PAH share a similar clinical presentation, genetic background and hemodynamic profile. A definite diagnosis of PVOD necessitates a surgical biopsy, but since it represents a high-risk procedure in these patients, it is contraindicated. Therefore, a noninvasive diagnostic approach using chest high-resolution computed tomography, arterial blood gas analysis, pulmonary function tests and bronchoalveolar lavage is helpful to detect PVOD. PVOD is characterized by a poor prognosis and the possibility of developing severe pulmonary edema with specific PAH therapy. Lung transplantation remains the treatment of choice.</t>
  </si>
  <si>
    <t>VENO-OCCLUSIVE DISEASE; BONE-MARROW-TRANSPLANTATION; CALCIUM-CHANNEL BLOCKERS; LONG-TERM RESPONSE; ARTERIAL-HYPERTENSION; CAPILLARY-PRESSURE; IMMUNOSUPPRESSIVE THERAPY; EPOPROSTENOL THERAPY; VASOACTIVE MEDIATORS; HEMOLYTIC-ANEMIA</t>
  </si>
  <si>
    <t>chest high-resolution computed tomography; pulmonary arterial hypertension; pulmonary veno-occlusive disease; small pulmonary vein obstruction; vasodilator drugs</t>
  </si>
  <si>
    <t>Pulmonary veno-occlusive disease: advances in clinical management and treatments</t>
  </si>
  <si>
    <t>Huertas, Alice; Girerd, Barbara; Dorfmuller, Peter; O'Callaghan, Dermot; Humbert, Marc; Montani, David</t>
  </si>
  <si>
    <t>Huertas, A; Girerd, B; Dorfmuller, P; O'Callaghan, D; Humbert, M; Montani, D</t>
  </si>
  <si>
    <t>WOS:000289581600008</t>
  </si>
  <si>
    <t>750XN</t>
  </si>
  <si>
    <t>Humbert, Marc/0000-0003-0703-2892; Torbicki, Adam/0000-0003-3475-8832; Hoeper, Marius/0000-0001-9086-2293</t>
  </si>
  <si>
    <t>Rubin, Lewis/AEW-1719-2022; Juni, Peter/Q-8700-2016; Simonneau, Gerald/ABE-6614-2020; Beghetti, Maurice/HNP-1055-2023; Hoeper, Marius/Z-1546-2019; Zellweger, Michael/AAB-4859-2022; Cardoso, Paulo/C-5768-2012; Opitz, Christian/L-3438-2019; Vachiery, Jean-Luc/ABC-6631-2021; Humbert, Marc/AAC-8459-2019</t>
  </si>
  <si>
    <t>Guidelines for the diagnosis and treatment of pulmonary hypertension (vol 30, pg 2493, 2009)</t>
  </si>
  <si>
    <t>Galie, Nazzareno; Hoeper, Marius M.; Humbert, Marc; Torbicki, Adam; Vachiery, Jean-Luc; Barbera, Joan Albert; Beghetti, Maurice; Corris, Paul; Gaine, Sean; Gibbs, J. Simon; Gomez-Sanchez, Miguel Angel; Jondeau, Guillaume; Klepetko, Walter; Opitz, Christian; Peacock, Andrew; Rubin, Lewis; Zellweger, Michael; Simonneau, Gerald</t>
  </si>
  <si>
    <t>WOS:000289887100001</t>
  </si>
  <si>
    <t>754VZ</t>
  </si>
  <si>
    <t>10.1186/1465-9921-12-38</t>
  </si>
  <si>
    <t>We thank Dr Jonathan Brennan from MediTech Media Ltd, who provided medical writing assistance on behalf of AstraZeneca. The analysis was sponsored by AstraZeneca, Lund, Sweden. EDB has received honoraria for consulting, speaking at scientific meetings and participating in advisory boards for AstraZeneca. His institution has received grants for participation in clinical trials. TH has received honoraria from AstraZeneca for advisory work and presentations. SQ has been on advisory boards for and has received speaker's honoraria from AstraZeneca, GlaxoSmithKline, MSD, Novartis, Almirall, Altana, Chiesi and Pfizer. HR has been on advisory boards for AstraZeneca, GlaxoSmithKline and Novartis, has received speaker's honoraria from GlaxoSmithKline, AstraZeneca, Merck and Getz Pharma, has provided consultancy services for Biota and GlaxoSmithKline, and has received research funding from GlaxoSmithKline and AstraZeneca. RB has received reimbursement for attending scientific conferences and/or fees for speaking and/or consulting from AstraZeneca, Boehringer Ingelheim, Chiesi, GlaxoSmithKline, Novartis, Nycomed and Pfizer. The Pulmonary Department at Mainz University Hospital received financial compensation for services performed during participation in clinical trials organised by various pharmaceutical companies. MH has relationships with drug companies including AstraZeneca, Chiesi, GlaxoSmithKline, MSD, Novartis, Nycomed and Pfizer. In addition to being investigator in trials involving these companies, relationships include consultancy services and membership of scientific advisory boards. CJ is employed by the Woolcock Institute of Medical Research. The Institute receives funding for its ongoing education and research programs from AstraZeneca and GlaxoSmithKline and conducts clinical trials for these and other pharmaceutical companies under contract. She receives no monies directly through these sources or funding through the Co-operative Research Centre for Asthma, a collaborative research programme funded jointly by the Australian Government and Industry partners. In the last 3 years CJ has received reimbursement for Advisory Board Membership, consultancy and speakers fees in from Altana, Astra Zeneca, GlaxoSmithKline, Hunter Immunology, Novartis, Nycomed and Tyrian Diagnostics. PO'B has been on advisory boards for AstraZeneca, GlaxoSmithKline, Merck, Nycomed, Topigen and Wyeth and has received lecture fees from these and other pharmaceutical companies including Chiesi and Ono Pharma. In addition, he has received grants for research studies from AstraZeneca, Genentech, GlaxoSmithKline, MedImmune, Merck, Pfizer, Topigen and Wyeth. MRS holds an Endowed chair in Respiratory Epidemiology jointly endowed by AstraZeneca and McMaster University. He has received research funding from pharmaceutical companies including Merck Sharp Dome and AstraZeneca. He has acted as a consultant or advisory board member to Merck Sharp Dome, Novartis, and AstraZeneca. OO, SP, GSE are employed by AstraZeneca and own shares in AstraZeneca.</t>
  </si>
  <si>
    <t>AstraZeneca, Lund, Sweden(AstraZeneca); GlaxoSmithKline(GlaxoSmithKline); AstraZeneca(AstraZeneca); Boehringer Ingelheim(Boehringer Ingelheim); Chiesi(Chiesi Pharmaceuticals Inc); Novartis(Novartis); Nycomed; Pfizer(Pfizer); Altana; Astra Zeneca(AstraZeneca); Hunter Immunology; Tyrian Diagnostics; Merck(Merck &amp; Company); Wyeth(Wyeth); Ono Pharma; Genentech(Roche HoldingGenentech); MedImmune(AstraZenecaMedimmune); Merck Sharp Dome</t>
  </si>
  <si>
    <t>AstraZeneca, Lund, Sweden; GlaxoSmithKline; AstraZeneca; Boehringer Ingelheim; Chiesi; Novartis; Nycomed; Pfizer; Altana; Astra Zeneca; Hunter Immunology; Tyrian Diagnostics; Merck; Wyeth; Ono Pharma; Genentech; MedImmune; Merck Sharp Dome</t>
  </si>
  <si>
    <t>Reddel, Helen/0000-0002-6695-6350; Humbert, Marc/0000-0003-0703-2892; Ostlund, Ollie/0000-0001-8028-2308; O'Byrne, Paul/0000-0003-0979-281X</t>
  </si>
  <si>
    <t>s, q/AAD-7171-2020; Reddel, Helen/IZD-8890-2023; Östlund, Ollie/ISB-1645-2023; Bateman, Eric/B-7042-2011; Humbert, Marc/AAC-8459-2019</t>
  </si>
  <si>
    <t>Bateman, ED (corresponding author), Univ Cape Town, Dept Med, Div Pulmonol, ZA-7925 Cape Town, South Africa.</t>
  </si>
  <si>
    <t>University of Cape Town; University of Nottingham; Autonomous University of Madrid; Hospital Universitario La Paz; University of Sydney; Woolcock Institute of Medical Research; University Hospital Mainz; Assistance Publique Hopitaux Paris (APHP); Hopital Universitaire Antoine-Beclere - APHP; Universite Paris Saclay; AstraZeneca; McMaster University; Lund University; Skane University Hospital</t>
  </si>
  <si>
    <t>[Bateman, Eric D.] Univ Cape Town, Dept Med, Div Pulmonol, ZA-7925 Cape Town, South Africa; [Harrison, Tim W.] Univ Nottingham, Nottingham Biomed Res Unit, Nottingham NG7 2RD, England; [Quirce, Santiago] Univ Autonoma Madrid, Hosp La Paz, Dept Allergy, Madrid, Spain; [Reddel, Helen K.; Jenkins, Christine R.] Woolcock Inst Med Res, Clin Management Grp, Sydney, NSW, Australia; [Buhl, Roland] Mainz Univ Hosp, Dept Pulm, Mainz, Germany; [Humbert, Marc] Univ Paris 11, Hop Antoine Beclere, Ctr Natl Reference Hypertens Arterielle Pulm, Serv Pneumol &amp; Reanimat Resp, Clamar, France; [Peterson, Stefan; Ostlund, Ollie; Eriksson, Goran S.] AstraZeneca Res &amp; Dev, Lund, Sweden; [O'Byrne, Paul M.; Sears, Malcolm R.] McMaster Univ, Fac Hlth Sci, Michael G DeGroote Sch Med, Hamilton, ON, Canada; [Eriksson, Goran S.] Univ Lund Hosp, Dept Resp Med &amp; Allergol, S-22185 Lund, Sweden</t>
  </si>
  <si>
    <t>Background: Adjusting medication for uncontrolled asthma involves selecting one of several options from the same or a higher treatment step outlined in asthma guidelines. We examined the relative benefit of introducing budesonide/formoterol (BUD/FORM) maintenance and reliever therapy (Symbicort SMART (R) Turbuhaler (R)) in patients previously prescribed treatments from Global Initiative for Asthma (GINA) Steps 2, 3 or 4. Methods: This is a post hoc analysis of the results of five large clinical trials (&gt; 12000 patients) comparing BUD/FORM maintenance and reliever therapy with other treatments categorised by treatment step at study entry. Both current clinical asthma control during the last week of treatment and exacerbations during the study were examined. Results: At each GINA treatment step, the proportion of patients achieving target levels of current clinical control were similar or higher with BUD/FORM maintenance and reliever therapy compared with the same or a higher fixed maintenance dose of inhaled corticosteroid/long-acting beta(2)-agonist (ICS/LABA) (plus short-acting beta(2)-agonist [SABA] as reliever), and rates of exacerbations were lower at all treatment steps in BUD/FORM maintenance and reliever therapy versus same maintenance dose ICS/LABA (P &lt; 0.01) and at treatment Step 4 versus higher maintenance dose ICS/LABA (P &lt; 0.001). BUD/FORM maintenance and reliever therapy also achieved significantly higher rates of current clinical control and significantly lower exacerbation rates at most treatment steps compared with a higher maintenance dose ICS + SABA (Steps 2-4 for control and Steps 3 and 4 for exacerbations). With all treatments, the proportion of patients achieving current clinical control was lower with increasing treatment steps. Conclusions: BUD/FORM maintenance and reliever therapy may be a preferable option for patients on Steps 2 to 4 of asthma guidelines requiring a more effective treatment and, compared with other fixed dose alternatives, is most effective in the higher treatment steps.</t>
  </si>
  <si>
    <t>EXACERBATIONS; COMBINATION; BUDESONIDE</t>
  </si>
  <si>
    <t>Overall asthma control achieved with budesonide/formoterol maintenance and reliever therapy for patients on different treatment steps</t>
  </si>
  <si>
    <t>Bateman, Eric D.; Harrison, Tim W.; Quirce, Santiago; Reddel, Helen K.; Buhl, Roland; Humbert, Marc; Jenkins, Christine R.; Peterson, Stefan; Ostlund, Ollie; O'Byrne, Paul M.; Sears, Malcolm R.; Eriksson, Goran S.</t>
  </si>
  <si>
    <t>Bateman, ED; Harrison, TW; Quirce, S; Reddel, HK; Buhl, R; Humbert, M; Jenkins, CR; Peterson, S; Östlund, O; O'Byrne, PM; Sears, MR; Eriksson, GS</t>
  </si>
  <si>
    <t>WOS:000290201200007</t>
  </si>
  <si>
    <t>758XQ</t>
  </si>
  <si>
    <t>10.1097/MD.0b013e31821be2b7</t>
  </si>
  <si>
    <t>ZALCMAN, Gerard/0000-0002-0343-9575; O'Callaghan, Dermot/0000-0002-0561-5800; Dorfmuller, Peter/0000-0003-2499-6829; Humbert, Marc/0000-0003-0703-2892; JAIS, XAVIER/0000-0002-4104-7994; SITBON, Olivier/0000-0002-1942-1951; Marquette, Charles Hugo/0000-0002-0846-9941; Montani, David/0000-0002-9358-6922; BERTOLETTI, Laurent/0000-0001-8214-3010</t>
  </si>
  <si>
    <t>David, Montani/I-6885-2019; ZALCMAN, Gerard/M-8113-2019; EYRIES, melanie/ABF-1034-2020; Savale, Laurent/AAJ-9781-2020; Bertoletti, Laurent/X-1319-2019; Sitbon, Olivier/I-3623-2019; Bergot, Emmanuel/KHZ-1685-2024; Simonneau, Gerald/ABE-6614-2020; ZALCMAN, Gerard/L-7809-2015; Humbert, Marc/AAC-8459-2019; Marquette, Charles Hugo/O-4084-2016</t>
  </si>
  <si>
    <t>Soubrier, F (corresponding author), UPMC, GH Pitie Salpetriere, AP HP, Dept Genet, Paris, France.</t>
  </si>
  <si>
    <t>Sorbonne Universite; Assistance Publique Hopitaux Paris (APHP); Hopital Universitaire Pitie-Salpetriere - APHP; Universite Paris Saclay; Assistance Publique Hopitaux Paris (APHP); Hopital Universitaire Antoine-Beclere - APHP; Hopital Marie Lannelongue; Institut National de la Sante et de la Recherche Medicale (Inserm); Hopital Marie Lannelongue; Universite de Caen Normandie; CHU de Caen NORMANDIE; Universite de Caen Normandie; CHU de Caen NORMANDIE; Institut National de la Sante et de la Recherche Medicale (Inserm); Universite Paris Cite; Assistance Publique Hopitaux Paris (APHP); Hopital Universitaire Bichat-Claude Bernard - APHP; CHU Bordeaux; CHU Bordeaux; Universite Cote d'Azur; CHU Nice; Universite Jean Monnet; Institut National de la Sante et de la Recherche Medicale (Inserm); Sorbonne Universite</t>
  </si>
  <si>
    <t>[Coulet, Florence; Eyries, Melanie; Bellanne-Chantelot, Christine; Soubrier, Florent] UPMC, GH Pitie Salpetriere, AP HP, Dept Genet, Paris, France; [Montani, David; Girerd, Barbara; O'Connell, Caroline; O'Callaghan, Dermot S.; Savale, Laurent; Jais, Xavier; Sitbon, Olivier; Simonneau, Gerald; Humbert, Marc] Univ Paris Sud, Fac Med, Le Kremlin Bicetre, France; [Montani, David; Girerd, Barbara; O'Connell, Caroline; O'Callaghan, Dermot S.; Savale, Laurent; Jais, Xavier; Sitbon, Olivier; Simonneau, Gerald; Humbert, Marc] Hop Antoine Beclere, AP HP, Serv Pneumol &amp; Reanimat Resp, Ctr Reference Hypertens Pulm Severe, Clamart, France; [Montani, David; Girerd, Barbara; O'Connell, Caroline; O'Callaghan, Dermot S.; Savale, Laurent; Jais, Xavier; Dorfmueller, Peter; Sitbon, Olivier; Simonneau, Gerald; Humbert, Marc] Ctr Chirurg Marie Lannelongue, INSERM Hypertens Arterielle Pulm Physiopathol &amp; I, Le Plessis Robinson, France; [Dorfmueller, Peter] Ctr Chirurg Marie Lannelongue, Serv Anat Pathol, Le Plessis Robinson, France; [Bergot, Emmanuel; Zalcman, Gerard] Caen Univ Hosp, Serv Pneumol, Caen, France; [Bergot, Emmanuel; Zalcman, Gerard] Caen Univ Hosp, Ctr Reg Competence HTAP, Caen, France; [Bergot, Emmanuel; Zalcman, Gerard] ER3 INSERM, Caen, France; [Mal, Herve; Biondi, Giuseppina] Hop Bichat Claude Bernard, AP HP, Serv Pneumol &amp; Transplantat Pulm B, F-75877 Paris, France; [Dromer, Claire] Hop Haut Levesque, Serv Chirurg Thorac, Bordeaux, France; [Begueret, Hugues] Hop Haut Levesque, Serv Anat Pathol, Bordeaux, France; [Hugues, Thomas; Marquette, Charles] Univ Nice Sophia Antipolis, CHU Nice, Serv Pneumol, Nice, France; [Bertoletti, Laurent] Univ St Etienne, Grp Rech Thrombose, St Etienne, France; [Soubrier, Florent] UPMC, INSERM, UMR S 956, Paris, France</t>
  </si>
  <si>
    <t>Neurofibromatosis type I (NF1) is a rare genetic disease caused by mutations in the NF1 gene, which codes for tumor suppressor neurofibromin. NF1 is transmitted as an autosomal dominant and fully penetrant trait with no sex predominance. Precapillary pulmonary hypertension (PH) is a severe complication of NF1, initially described in patients with advanced parenchymal lung disease, which may complicate the course of NF1. We conducted this study to describe clinical, functional, radiologic, and hemodynamic characteristics and outcome of patients with NF1-associated PH. We identified 8 new cases of NF1-associated PH in patients carrying a NF1 gene mutation. No bone morphogenic protein receptor 2 (BMPR2) point mutation or large size rearrangements were identified. Seven female patients and 1 male patient were reported, suggesting a possible female predominance. PH occurred late in the course of the disease (median age, 62 yr; range, 53-68 yr). Dyspnea and signs of right heart failure were the major symptoms leading to the diagnosis of PH. At diagnosis, patients had severe hemodynamic impairment with low cardiac index (median, 2.3 L/min per m(2); range, 1.9-4.7) and elevated indexed pulmonary vascular resistance (median, 15.1 mm Hg/L/min per m2; range, 4.5-25.9). All patients were in New York Heart Association functional class III with severe exercise limitation (median 6-min walk distance, 180 m; range, 60-375 m). Most patients had associated parenchymal lung disease, but some had no or mild lung involvement with disproportionate pulmonary vascular disease. Overall, the impact of PH therapy was limited and outcomes were poor. In conclusion, PH represents a rare but severe complication of NF1, characterized by female predominance, late onset in the course of NF1, and severe functional and hemodynamic impairment. Because of poor outcome and limited impact of specific PH therapy, eligible patients require early referral for lung transplantation. Further studies are needed to better understand the pathophysiology and the role, if any, of neurofibromin in NF1-associated PH.</t>
  </si>
  <si>
    <t>CALCIUM-CHANNEL BLOCKERS; LONG-TERM RESPONSE; ARTERIAL-HYPERTENSION; CLINICAL-OUTCOMES; MAMMALIAN TARGET; GROWTH; CELLS; SECONDARY; KINASE; MTOR</t>
  </si>
  <si>
    <t>Pulmonary Hypertension in Patients With Neurofibromatosis Type I</t>
  </si>
  <si>
    <t>Montani, David; Coulet, Florence; Girerd, Barbara; Eyries, Melanie; Bergot, Emmanuel; Mal, Herve; Biondi, Giuseppina; Dromer, Claire; Hugues, Thomas; Marquette, Charles; O'Connell, Caroline; O'Callaghan, Dermot S.; Savale, Laurent; Jais, Xavier; Dorfmueller, Peter; Begueret, Hugues; Bertoletti, Laurent; Sitbon, Olivier; Bellanne-Chantelot, Christine; Zalcman, Gerard; Simonneau, Gerald; Humbert, Marc; Soubrier, Florent</t>
  </si>
  <si>
    <t>Montani, D; Coulet, F; Girerd, B; Eyries, M; Bergot, E; Mal, H; Biondi, G; Dromer, C; Hugues, T; Marquette, C; O'Connell, C; O'Callaghan, DS; Savale, L; Jaïs, X; Dorfmüller, P; Begueret, H; Bertoletti, L; Sitbon, O; Bellanné-Chantelot, C; Zalcman, G; Simonneau, G; Humbert, M; Soubrier, F</t>
  </si>
  <si>
    <t>WOS:000289254800013</t>
  </si>
  <si>
    <t>746NU</t>
  </si>
  <si>
    <t>10.1111/j.1398-9995.2010.02522.x</t>
  </si>
  <si>
    <t>The study was sponsored by Novartis Pharma AG. The authors were assisted in the preparation of the manuscript by Tom McMurray (ACUMED (R)). Writing support was funded by the study sponsor.K. Rabe has been consulting, participated in advisory board meetings and received lecture fees from AstraZeneca, Boehringer Ingelheim, Chiesi Pharmaceuticals, Pfizer, Novartis, Nycomed, Merck Sharpe &amp; Dohme, and GlaxoSmithKline. He holds no stock or other equities in pharmaceutical companies. The Department of Pulmonology (Leiden), and thereby professor K. Rabe as Head of the department has received grants from Novartis, AstraZeneca, Boehringer Ingelheim, Nycomed, Roche and GlaxoSmithKline in the years 2005 until 2009. Z Siergiejko has participated in advisory board meetings and received fees from Chiesi Pharmaceuticals. Prof. Siergiejko holds no stock or other equities in pharmaceuticals companies. M. Humbert has relationships with drug companies including Altair, Astra Zeneca, Chiesi, GlaxoSmithKline, Merck Sharpe &amp; Dohme, Novartis, Nycomed, and Pfizer. In addition to being investigator in trials involving these companies, relationships include consultancy service and membership of scientific advisory boards. E. Swiebocka has no conflict of interest, while J. Leo, C. Peckitt, R. Maykut and G. Peachey are all employees of Novartis. J. Bousquet has received honoraria from Novartis for lectures and scientific advice.</t>
  </si>
  <si>
    <t>Novartis Pharma AG; AstraZeneca(AstraZeneca); Boehringer Ingelheim(Boehringer Ingelheim); Chiesi Pharmaceuticals(Chiesi Pharmaceuticals Inc); Pfizer(Pfizer); Novartis(Novartis); Nycomed; Merck Sharpe Dohme(Merck &amp; Company); GlaxoSmithKline(GlaxoSmithKline); Roche(Roche Holding)</t>
  </si>
  <si>
    <t>Novartis Pharma AG; AstraZeneca; Boehringer Ingelheim; Chiesi Pharmaceuticals; Pfizer; Novartis; Nycomed; Merck Sharpe Dohme; GlaxoSmithKline; Roche</t>
  </si>
  <si>
    <t>Humbert, Marc/0000-0003-0703-2892; Rabe, Klaus F./0000-0002-7020-1401</t>
  </si>
  <si>
    <t>Rabe, Klaus/AAW-6296-2021; Bousquet, Jean/O-4221-2019; Humbert, Marc/AAC-8459-2019</t>
  </si>
  <si>
    <t>Bousquet, J (corresponding author), CHU Montpellier, Clin Malad Resp, Hop Arnaud de Villeneuve, F-34295 Montpellier 5, France.</t>
  </si>
  <si>
    <t>Universite de Montpellier; CHU de Montpellier; Medical University of Bialystok; Universite Paris Saclay; Institut National de la Sante et de la Recherche Medicale (Inserm); Assistance Publique Hopitaux Paris (APHP); Hopital Universitaire Antoine-Beclere - APHP; Novartis; Novartis United Kingdom; Novartis</t>
  </si>
  <si>
    <t>[Bousquet, J.] CHU Montpellier, Clin Malad Resp, Hop Arnaud de Villeneuve, F-34295 Montpellier 5, France; [Siergiejko, Z.] Med Univ Bialystok, Resp Syst Diagnost &amp; Bronchoscopy Dept, Bialystok, Poland; [Swiebocka, E.] Univ Children Hosp, Bialystok, Poland; [Humbert, M.] Univ Paris Sud, Clamart, France; [Humbert, M.] INSERM, U999, Clamart, France; [Humbert, M.] Hop Antoine Beclere, Serv Pneumol, Clamart, France; [Rabe, K. F.] Univ Med Ctr, Leiden, Netherlands; [Smith, N.; Leo, J.; Peckitt, C.; Peachey, G.] Novartis Horsham Res Ctr, Horsham, W Sussex, England; [Maykut, R.] Novartis Pharma AG, Basel, Switzerland</t>
  </si>
  <si>
    <t>P&gt;Background: The physician's global evaluation of treatment effectiveness (GETE) at 16 weeks has been shown to be the most effective assessment of response to omalizumab (XOLAIR (R)). This randomized, open-label, parallel-group study evaluated the persistency of treatment responder classification in patients receiving omalizumab added to optimized asthma therapy (OAT). Methods: Patients (12-75 years, n = 400) with severe allergic asthma, uncontrolled despite Global Initiative for Asthma 2004 Step 4 therapy, received OAT and omalizumab (n = 272) or OAT (n = 128) for 32 weeks. Response or nonresponse was evaluated at Weeks 16 and 32. Response was defined as an investigator's (physician's) GETE rating of excellent or good; nonresponse was defined as a rating of moderate, poor or worsening. Results: Three hundred and forty-nine patients had GETE ratings available at Weeks 16 and 32 (omalizumab n = 258, OAT n = 91). Omalizumab responders of about 171/187 (91.4%)and 44/71 (62.0%) omalizumab nonresponders at Week 16 persisted as responders or nonresponders at Week 32. The investigator's GETE at Week 16 predicted persistency of response or nonresponse to omalizumab at Week 32 for 83.3% (215/258) of patients. OAT patients showed a lower persistency of response (18/28 [64.3%]) and a higher persistency of nonresponse (57/63 [90.5%]) than omalizumab patients. Excellent and good GETE ratings in omalizumab-treated patients were reflected by improvements in exacerbation rates (P &lt; 0.001), severe exacerbation rates (P = 0.023), hospitalizations (P = 0.003), total emergency visits (P = 0.026) and Asthma Control Questionnaire overall score (P &lt; 0.001). Conclusion: Response to omalizumab, as assessed by a physician's GETE at 16 weeks, is an effective predictor of continuing persistent response to omalizumab for the majority of patients.</t>
  </si>
  <si>
    <t>ANTIBODY</t>
  </si>
  <si>
    <t>Allergic asthma; immunoglobulin E; omalizumab; persistency; response</t>
  </si>
  <si>
    <t>Persistency of response to omalizumab therapy in severe allergic (IgE-mediated) asthma</t>
  </si>
  <si>
    <t>Bousquet, J.; Siergiejko, Z.; Swiebocka, E.; Humbert, M.; Rabe, K. F.; Smith, N.; Leo, J.; Peckitt, C.; Maykut, R.; Peachey, G.</t>
  </si>
  <si>
    <t>Bousquet, J; Siergiejko, Z; Swiebocka, E; Humbert, M; Rabe, KF; Smith, N; Leo, J; Peckitt, C; Maykut, R; Peachey, G</t>
  </si>
  <si>
    <t>WOS:000291186500021</t>
  </si>
  <si>
    <t>771UP</t>
  </si>
  <si>
    <t>10.1164/rccm.201003-0354OC</t>
  </si>
  <si>
    <t>Supported by a European Respiratory Society/Marie Curie Joint Research Fellowship to F.S.dM. (MC 1120-2009). M.L.H. (Mozaiek 017.002.122), A.V.-N. (VIDI 917.96.306), and C.A.C.O. (VENI 016.096.043) are supported by the Netherlands Organization for Scientific Research, The Hague, The Netherlands. F.S.d.M. does not have a financial relationship with a commercial entity that has an interest in the subject of this manuscript. H.W.H.v.H. does not have a financial relationship with a commercial entity that has an interest in the subject of this manuscript. M.L.H. does not have a financial relationship with a commercial entity that has an interest in the subject of this manuscript. H.W.N. does not have a financial relationship with a commercial entity that has an interest in the subject of this manuscript. I.S. does not have a financial relationship with a commercial entity that has an interest in the subject of this manuscript. M.H. has received board activity fees and lecture fees from Actelion and Bayer Schering, consultancy fees and lecture fees from GlaxoSmithKline, Pfizer, and Novartis, consultancy fees from Lilly, consultancy fees and fees for manuscript preparation from United Therapeutics. P.D. does not have a financial relationship with a commercial entity that has an interest in the subject of this manuscript. O.M. does not have a financial relationship with a commercial entity that has an interest in the subject of this manuscript. H.-J.B. does not have a financial relationship with a commercial entity that has an interest in the subject of this manuscript. P.E.P. was on the Advisory Board for BMS, Abbott, Eli Lilly, Novartis, and Abraxis. He received grant support from GlaxoSmithKline (GSK), Actelion, Pfizer, Bayer, and Roche. N.W. receives royalties from Springer. G.J.M.S. does not have a financial relationship with a commercial entity that has an interest in the subject of this manuscript. W.J.v.d.L. does not have a financial relationship with a commercial entity that has an interest in the subject of this manuscript. A.V.-N. was on the Board or Advisory Board for Pfizer and GSK and received lecture fees from Actelion, Bayer Schering, GSK, and Pfizer. C.A.C.O. does not have a financial relationship with a commercial entity that has an interest in the subject of this manuscript.</t>
  </si>
  <si>
    <t>Actelion; Bayer Schering(Bayer AG); GlaxoSmithKline(GlaxoSmithKline); Pfizer(Pfizer); Novartis(Novartis); Lilly(Eli Lilly); United Therapeutics; Bayer(Bayer AG); Roche(Roche Holding); Springer</t>
  </si>
  <si>
    <t>Actelion; Bayer Schering; GlaxoSmithKline; Pfizer; Novartis; Lilly; United Therapeutics; Bayer; Roche; Springer</t>
  </si>
  <si>
    <t>van der Laarse, Willem J/0000-0002-8391-0354; Mercier, Olaf/0000-0002-4760-6267; Humbert, Marc/0000-0003-0703-2892; Dorfmuller, Peter/0000-0003-2499-6829; Stienen, Ger/0000-0001-5829-0328; Bogaard, Harm Jan/0000-0001-5371-0346; Handoko-de Man, Frances/0000-0002-5776-7793; Niessen, Hans/0000-0001-9404-9822</t>
  </si>
  <si>
    <t>van Hees, Jeroen/A-1276-2011; Schalij, Ingrid/KHX-7100-2024; Humbert, Marc/AAC-8459-2019</t>
  </si>
  <si>
    <t>c.ottenheijm@vumc.nl</t>
  </si>
  <si>
    <t>Ottenheijm, CAC (corresponding author), Vrije Univ Amsterdam, Dept Physiol, Inst Cardiovasc Res, Med Ctr, Boechorststr 7, NL-1081 BT Amsterdam, Netherlands.</t>
  </si>
  <si>
    <t>Vrije Universiteit Amsterdam; Vrije Universiteit Amsterdam; Vrije Universiteit Amsterdam; Radboud University Nijmegen; Universite Paris Saclay; Institut National de la Sante et de la Recherche Medicale (Inserm); Assistance Publique Hopitaux Paris (APHP); Hopital Universitaire Antoine-Beclere - APHP; Hopital Marie Lannelongue; Virginia Commonwealth University</t>
  </si>
  <si>
    <t>[Handoko, M. Louis; Westerhof, Nico; Stienen, Ger J. M.; van der Laarse, Willem J.; Ottenheijm, Coen A. C.] Vrije Univ Amsterdam, Dept Physiol, Inst Cardiovasc Res, Med Ctr, NL-1081 BT Amsterdam, Netherlands; [de Man, Frances S.; Handoko, M. Louis; Schalij, Ingrid; Postmus, Piet E.; Westerhof, Nico; Vonk-Noordegraaf, Anton] Vrije Univ Amsterdam, Dept Pulmonol, Inst Cardiovasc Res, Med Ctr, NL-1081 BT Amsterdam, Netherlands; [Niessen, Hans W.] Vrije Univ Amsterdam, Dept Pathol &amp; Cardiac Surg, Inst Cardiovasc Res, Med Ctr, NL-1081 BT Amsterdam, Netherlands; [van Hees, Hieronymus W. H.] Radboud Univ Nijmegen, Med Ctr, Dept Pulm Dis, NL-6525 ED Nijmegen, Netherlands; [de Man, Frances S.; Humbert, Marc; Dorfmueller, Peter; Mercier, Olaf] Univ Paris Sud, Hop Antoine Beclere, AP HP, INSERM U999, Clamart, France; [de Man, Frances S.; Humbert, Marc; Dorfmueller, Peter; Mercier, Olaf] Ctr Chirurg Marie Lannelongue, Le Plessis Robinson, France; [Bogaard, Harm-Jan] Virginia Commonwealth Univ, Div Pulm &amp; Crit Care, Richmond, VA USA</t>
  </si>
  <si>
    <t>Rationale: Recently it was suggested that patients with pulmonary hypertension (PH) suffer from inspiratory muscle dysfunction. However, the nature of inspiratory muscle weakness in PH remains unclear. Objectives: To assess whether alterations in contractile performance and in morphology of the diaphragm underlie inspiratory muscle weakness in PH. Methods: PH was induced in Wistar rats by a single injection of monocrotaline (60 mg/kg). Diaphragm (PH n = 8; controls n = 7) and extensor digitorum longus (PH n = 5; controls n = 7) muscles were excised for determination of in vitro contractile properties and cross-sectional area (CSA) of the muscle fibers. In addition, important determinants of protein synthesis and degradation were determined. Finally, muscle fiber CSA was determined in diaphragm and quadriceps of patients with PH, and the contractile performance of single fibers of the diaphragm. Measurements and Main Results: In rats with PH, twitch and maximal tetanic force generation of diaphragm strips were significantly lower, and the force-frequency relation was shifted to the right (i.e., impaired relative force generation) compared with control subjects. Diaphragm fiber CSA was significantly smaller in rats with PH compared with controls, and was associated with increased expression of E3-ligases MAFbx and MuRF-1. No significant differences in contractility and morphology of extensor digitorum longus muscle fibers were found between rats with PH and controls. In line with the rat data, studies on patients with PH revealed significantly reduced CSA and impaired contractility of diaphragm muscle fibers compared with control subjects, with no changes in quadriceps muscle. Conclusions: PH induces selective diaphragm muscle fiber weakness and atrophy.</t>
  </si>
  <si>
    <t>CONGESTIVE-HEART-FAILURE; UBIQUITIN-PROTEASOME PATHWAY; ARTERIAL-HYPERTENSION; SKELETAL-MUSCLE; RESPIRATORY MUSCLES; PROGNOSTIC VALUE; DISEASE; RATS; DYSFUNCTION; INFLAMMATION</t>
  </si>
  <si>
    <t>pulmonary hypertension; diaphragm muscle function; skeletal muscle function; atrophy; hyperventilation</t>
  </si>
  <si>
    <t>Diaphragm Muscle Fiber Weakness in Pulmonary Hypertension</t>
  </si>
  <si>
    <t>de Man, Frances S.; van Hees, Hieronymus W. H.; Handoko, M. Louis; Niessen, Hans W.; Schalij, Ingrid; Humbert, Marc; Dorfmueller, Peter; Mercier, Olaf; Bogaard, Harm-Jan; Postmus, Piet E.; Westerhof, Nico; Stienen, Ger J. M.; van der Laarse, Willem J.; Vonk-Noordegraaf, Anton; Ottenheijm, Coen A. C.</t>
  </si>
  <si>
    <t>de Man, FS; van Hees, HWH; Handoko, ML; Niessen, HW; Schalij, I; Humbert, M; Dorfmüller, P; Mercier, O; Bogaard, HJ; Postmus, PE; Westerhof, N; Stienen, GJM; van der Laarse, WJ; Vonk-Noordegraaf, A; Ottenheijm, CAC</t>
  </si>
  <si>
    <t>WOS:000291104000003</t>
  </si>
  <si>
    <t>770QQ</t>
  </si>
  <si>
    <t>10.1161/CIRCULATIONAHA.110.991596</t>
  </si>
  <si>
    <t>E614</t>
  </si>
  <si>
    <t>MAY 31</t>
  </si>
  <si>
    <t>Montani, David/0000-0002-9358-6922; Humbert, Marc/0000-0003-0703-2892; Souza, Rogerio/0000-0003-2789-9143</t>
  </si>
  <si>
    <t>David, Montani/I-6885-2019; Humbert, Marc/AAC-8459-2019; Souza, Rogerio/I-3584-2013</t>
  </si>
  <si>
    <t>Montani, D (corresponding author), Univ Paris Sud, Ctr Reference Hypertens Pulm Severe, INSERM, Hop Antoine Beclere,U999, Clamart, France.</t>
  </si>
  <si>
    <t>Assistance Publique Hopitaux Paris (APHP); Hopital Universitaire Antoine-Beclere - APHP; Institut National de la Sante et de la Recherche Medicale (Inserm); Universite Paris Saclay; Universidade de Sao Paulo</t>
  </si>
  <si>
    <t>[Montani, David; Humbert, Marc] Univ Paris Sud, Ctr Reference Hypertens Pulm Severe, INSERM, Hop Antoine Beclere,U999, Clamart, France; [Souza, Rogerio] Univ Sao Paulo, Sch Med, Dept Pulm, Inst Heart, Sao Paulo, Brazil</t>
  </si>
  <si>
    <t>Letter by Montani et al Regarding Article, Elevated Levels of Inflammatory Cytokines Predict Survival in Idiopathic and Familial Pulmonary Arterial Hypertension</t>
  </si>
  <si>
    <t>Montani, David; Humbert, Marc; Souza, Rogerio</t>
  </si>
  <si>
    <t>Montani, D; Humbert, M; Souza, R</t>
  </si>
  <si>
    <t>WOS:000291511100012</t>
  </si>
  <si>
    <t>776CC</t>
  </si>
  <si>
    <t>10.1378/chest.10-1200</t>
  </si>
  <si>
    <t>This study was supported by grants from Region Ile-de-France (CODDIM), the Societe de Pneumologie de Langue Francaise, the Ministere de l'Enseignement Superieur et de la Recherche, Legs Poix, and the Universite Paris-Sud 11.</t>
  </si>
  <si>
    <t>Region Ile-de-France (CODDIM)(Region Ile-de-France); Societe de Pneumologie de Langue Francaise; Ministere de l'Enseignement Superieur et de la Recherche, Legs Poix; Universite Paris-Sud</t>
  </si>
  <si>
    <t>Region Ile-de-France (CODDIM); Societe de Pneumologie de Langue Francaise; Ministere de l'Enseignement Superieur et de la Recherche, Legs Poix; Universite Paris-Sud</t>
  </si>
  <si>
    <t>Humbert, Marc/0000-0003-0703-2892; Degano, Bruno/0000-0003-1644-7264; Dorfmuller, Peter/0000-0003-2499-6829; Montani, David/0000-0002-9358-6922</t>
  </si>
  <si>
    <t>Degano, Bruno/IAQ-7289-2023; David, Montani/I-6885-2019; Brousset, Pierre/LKK-4586-2024; Humbert, Marc/AAC-8459-2019</t>
  </si>
  <si>
    <t>bruno.degano@univ-fcomte.fr</t>
  </si>
  <si>
    <t>Degano, B (corresponding author), CHU Jean Minjoz, Serv Explorat Fonct Physiol, F-25030 Besancon, France.</t>
  </si>
  <si>
    <t>Universite de Franche-Comte; CHU Besancon; Universite de Franche-Comte; CHU Besancon; Universite de Toulouse; Universite Toulouse III - Paul Sabatier; CHU de Toulouse; CHU de Toulouse; Universite de Toulouse; Universite Toulouse III - Paul Sabatier; Centre National de la Recherche Scientifique (CNRS); Institut National de la Sante et de la Recherche Medicale (Inserm); Universite de Franche-Comte; CHU Besancon; Institut National de la Sante et de la Recherche Medicale (Inserm); Hopital Marie Lannelongue; Universite Paris Saclay; Assistance Publique Hopitaux Paris (APHP); Hopital Universitaire Antoine-Beclere - APHP; Universite Paris Saclay</t>
  </si>
  <si>
    <t>[Degano, Bruno] CHU Jean Minjoz, Serv Explorat Fonct Physiol, F-25030 Besancon, France; [Degano, Bruno] CHU Jean Minjoz, EA 3920, F-25030 Besancon, France; [Valmary, Severine; Brousset, Pierre] CHU Purpan, Serv Anat Pathol, Toulouse, France; [Valmary, Severine; Brousset, Pierre] CHU Purpan, INSERM, U563, Toulouse, France; [Valmary, Severine] CHU Jean Minjoz, Serv Anat Pathol, F-25030 Besancon, France; [Dorfmueller, Peter; Montani, David; Humbert, Marc; Degano, Bruno] Ctr Chirurg Marie Lannelongue, INSERM, U999, Le Plessis Robinson, France; [Dorfmueller, Peter; Montani, David; Humbert, Marc; Degano, Bruno] Hop Antoine Beclere, Ctr Natl Reference Hypertens Pulm Severe, Serv Pneumol &amp; Reanimat Resp, AP HP, Clamart, France; [Dorfmueller, Peter; Montani, David; Humbert, Marc] Univ Paris Sud, Fac Med, Le Kremlin Bicetre, France</t>
  </si>
  <si>
    <t>Background: In susceptible individuals, multiple events may trigger pulmonary vascular remodeling and pulmonary arterial hypertension (PAH). Human herpesvirus-8 (HHV-8), a gamma-herpesvirus homologous with Epstein-Barr virus (EBV), was suggested to act as a second hit in the development of PAH in susceptible patients. Although there is indirect evidence from in vitro and animal studies in favor of a link between gamma-herpesviruses and the pathophysiology of PAH, results remain controversial. Therefore, we investigated the presence of EBV and HHV-8 in the lungs of patients with PAIL. Methods: Thirty-four lungs explanted from French patients with end-stage PAH (mean age, 38 14 years; 19 women) were studied. Tissue samples were incorporated into tissue microarrays. Normal lung tissues served as negative controls. Kaposi sarcoma tissue served as a positive control for HHV-8, and EBV-associated lymphoma served as a positive control for EBV. The presence of HHV-8 was investigated with immunohistochemistry and polymerase chain reaction. The presence of EBV was investigated with immunohistochemistry and in situ hybridization. Results: For HHV-8, none of PAH lung samples showed a stippling nuclear pattern classically observed in HHV-8-positive Kaposi sarcoma lesions. When studied by polymerase chain reaction, all cases remained negative. For EBV, none of the PAH lung samples showed positive staining, whatever the technique applied. Conclusions: HHV-8 and EBV cannot be detected in the lungs of patients with end-stage PAH. The role of these gamma-herpesviruses in the pathophysiology of PAIL is, therefore, unlikely. CHEST 2011; 139(6):1310-1316</t>
  </si>
  <si>
    <t>SARCOMA-ASSOCIATED HERPESVIRUS; KAPOSIS-SARCOMA; MULTIPLE-MYELOMA; CASTLEMANS-DISEASE; NUCLEAR ANTIGEN-1; INTERLEUKIN-6; INFECTION; CELLS; ASSOCIATION; GENOMES</t>
  </si>
  <si>
    <t>Human γ-Herpesviruses Epstein-Barr Virus and Human Herpesvirus-8 Are Not Detected in the Lungs of Patients With Severe Pulmonary Arterial Hypertension</t>
  </si>
  <si>
    <t>Valmary, Severine; Dorfmueller, Peter; Montani, David; Humbert, Marc; Brousset, Pierre; Degano, Bruno</t>
  </si>
  <si>
    <t>Valmary, S; Dorfmüller, P; Montani, D; Humbert, M; Brousset, P; Degano, B</t>
  </si>
  <si>
    <t>WOS:000291358900141</t>
  </si>
  <si>
    <t>774CM</t>
  </si>
  <si>
    <t>Cell Biology; Immunology</t>
  </si>
  <si>
    <t>Inflamm. Res.</t>
  </si>
  <si>
    <t>INFLAMM RES</t>
  </si>
  <si>
    <t>1023-3830</t>
  </si>
  <si>
    <t>VIADUKSTRASSE 40-44, PO BOX 133, CH-4010 BASEL, SWITZERLAND</t>
  </si>
  <si>
    <t>BIRKHAUSER VERLAG AG</t>
  </si>
  <si>
    <t>Humbert, Marc/AAC-8459-2019; Tamby, Mathieu/B-1277-2011; Simonneau, Gerald/ABE-6614-2020; Witko-Sarsat, Veronique/L-9714-2017</t>
  </si>
  <si>
    <t>Cornell University; Weill Cornell Medicine; Universite Paris Cite; Centre National de la Recherche Scientifique (CNRS); CNRS - National Institute for Biology (INSB); Institut National de la Sante et de la Recherche Medicale (Inserm); Nantes Universite; Institut National de la Sante et de la Recherche Medicale (Inserm); Universite Paris Saclay; Universite Paris Saclay; Assistance Publique Hopitaux Paris (APHP); Hopital Universitaire Antoine-Beclere - APHP; Institut National de la Sante et de la Recherche Medicale (Inserm); Universite Paris Saclay; Hopital Marie Lannelongue; Universite Paris Cite; Assistance Publique Hopitaux Paris (APHP); Universite Paris Cite; Hopital Universitaire Cochin - APHP</t>
  </si>
  <si>
    <t>[Weksler, B. B.] Cornell Univ, Weill Med Coll, Div Hematol Med Oncol, New York, NY 10021 USA; [Tamby, M. C.; Bussone, G.; Calzas, C.; Sahbatou, Y.; Sanson, C.; Ghazal, K.; Dib, H.; Broussard, C.; Witko-Sarsat, V.; Mouthon, L.] Univ Paris 05, CNRS, Inst Cochin, INSERM,UMR 8104,U1016, Paris, France; [Verrechia, F.] Univ Nantes Atlantique, Nantes, France; [Verrechia, F.] INSERM, U957, Nantes, France; [Yaici, A.; Simonneau, G.; Humbert, M.] Univ Paris 11, Serv Pneumol &amp; Reanimat Resp, Clamart, France; [Yaici, A.; Simonneau, G.; Humbert, M.] Univ Paris 11, Ctr Natl Reference Hypertens Arterielle Pulm Seve, Clamart, France; [Yaici, A.; Simonneau, G.; Humbert, M.] Hop Antoine Beclere, AP HP, Clamart, France; [Yaici, A.; Simonneau, G.; Humbert, M.] Ctr Chirurg Marie Lannelongue, INSERM, U999, Le Plessis Robinson, France; [Guillevin, L.; Mouthon, L.] Univ Paris 05, Ctr Reference Vascularites Necrosantes &amp; Sclerode, Paris, France; [Guillevin, L.; Mouthon, L.] Hop Cochin, AP HP, F-75674 Paris, France</t>
  </si>
  <si>
    <t>Int Assoc Inflammation Soc,Grp Res &amp; Study Mediators Inflammat</t>
  </si>
  <si>
    <t>JUN 25-29, 2011</t>
  </si>
  <si>
    <t>10th World Congress on Inflammation</t>
  </si>
  <si>
    <t>INFLAMMATION RESEARCH</t>
  </si>
  <si>
    <t>ANTIBODIES TO VASCULAR SMOOTH MUSCLE CELLS IN PATIENTS WITH IDIOPATHIC AND SYSTEMIC SCLEROSIS-ASSOCIATED PULMONARY ARTERIAL HYPERTENSION</t>
  </si>
  <si>
    <t>Tamby, M. C.; Bussone, G.; Calzas, C.; Sahbatou, Y.; Sanson, C.; Ghazal, K.; Dib, H.; Weksler, B. B.; Broussard, C.; Verrechia, F.; Yaici, A.; Witko-Sarsat, V.; Simonneau, G.; Guillevin, L.; Humbert, M.; Mouthon, L.</t>
  </si>
  <si>
    <t>Tamby, MC; Bussone, G; Calzas, C; Sahbatou, Y; Sanson, C; Ghazal, K; Dib, H; Weksler, BB; Broussard, C; Verrechia, F; Yaici, A; Witko-Sarsat, V; Simonneau, G; Guillevin, L; Humbert, M; Mouthon, L</t>
  </si>
  <si>
    <t>WOS:000291511100001</t>
  </si>
  <si>
    <t>10.1378/chest.10-2868</t>
  </si>
  <si>
    <t>David, Montani/I-6885-2019; Souza, Rogerio/I-3584-2013; Humbert, Marc/AAC-8459-2019</t>
  </si>
  <si>
    <t>marc.humbert@abc.apbp.fr</t>
  </si>
  <si>
    <t>Assistance Publique Hopitaux Paris (APHP); Hopital Universitaire Antoine-Beclere - APHP; Universite Paris Saclay; Universite Paris Saclay; Hopital Marie Lannelongue; Institut National de la Sante et de la Recherche Medicale (Inserm); Universidade de Sao Paulo</t>
  </si>
  <si>
    <t>[Humbert, Marc; Montani, David; Souza, Rogerio] Hop Antoine Beclere, Ctr Natl Reference Hypertens Pulm Severe, Serv Pneumol &amp; Reanimat Resp, AP HP, F-92140 Clamart, France; [Humbert, Marc; Montani, David; Souza, Rogerio] Univ Paris Sud, Fac Med, Le Kremlin Bicetre, France; [Humbert, Marc; Montani, David; Souza, Rogerio] Ctr Chirurg Marie Lannelongue, INSERM, U999, Le Plessis Robinson, France; [Souza, Rogerio] Univ Sao Paulo, Sch Med, Dept Pulm, Sao Paulo, Brazil</t>
  </si>
  <si>
    <t>REGISTRY</t>
  </si>
  <si>
    <t>Predicting Survival in Pulmonary Arterial Hypertension Time to Combine Markers</t>
  </si>
  <si>
    <t>Humbert, Marc; Montani, David; Souza, Rogerio</t>
  </si>
  <si>
    <t>Humbert, M; Montani, D; Souza, R</t>
  </si>
  <si>
    <t>WOS:000291358900078</t>
  </si>
  <si>
    <t>Montani, David/0000-0002-9358-6922; Cohen-Kaminsky, Sylvia/0000-0002-6341-7482; Perros, Frederic/0000-0001-7730-2427</t>
  </si>
  <si>
    <t>[Cohen-Kaminsky, S.] Univ Paris 11, Fac Med, Le Kremlin Bicetre, France; [Cohen-Kaminsky, S.] Hop Antoine Beclere, AP HP, Serv Pneumol, Clamart, France; [Cohen-Kaminsky, S.] Ctr Chirurg Marie Lannelongue, INSERM, U999, Le Plessis Robinson, France</t>
  </si>
  <si>
    <t>VASCULAR INFLAMMATION IN PULMONARY ARTERIAL HYPERTENSION</t>
  </si>
  <si>
    <t>Humbert, M.; Perros, F.; Montani, D.; Huertas, A.; Gambaryan, N.; Chaumais, M. C.; Dorfmueller, P.; Cohen-Kaminsky, S.</t>
  </si>
  <si>
    <t>Humbert, M; Perros, F; Montani, D; Huertas, A; Gambaryan, N; Chaumais, MC; Dorfmüller, P; Cohen-Kaminsky, S</t>
  </si>
  <si>
    <t>WOS:000291358900502</t>
  </si>
  <si>
    <t>Montani, David/0000-0002-9358-6922; Perros, Frederic/0000-0001-7730-2427; Cohen-Kaminsky, Sylvia/0000-0002-6341-7482</t>
  </si>
  <si>
    <t>Humbert, Marc/AAC-8459-2019; David, Montani/I-6885-2019; Perros, Frederic/N-6921-2017; Cohen-Kaminsky, Sylvia/E-4837-2014</t>
  </si>
  <si>
    <t>Institut National de la Sante et de la Recherche Medicale (Inserm); Universite Paris Saclay; Universite Paris Saclay; Assistance Publique Hopitaux Paris (APHP); Hopital Universitaire Antoine-Beclere - APHP</t>
  </si>
  <si>
    <t>[Huertas, A.; Montani, D.; Perros, F.; Cohen-Kaminsky, S.; Humbert, M.] INSERM, U999, Le Plessis Robinson, France; [Huertas, A.; Montani, D.; Perros, F.; Cohen-Kaminsky, S.; Humbert, M.] Univ Paris 11, Orsay, France; [Huertas, A.; Montani, D.; Humbert, M.] Hop Antoine Beclere, Ctr Natl Reference Hypertens Pulm Severe, Clamart, France</t>
  </si>
  <si>
    <t>AUTOIMMUNITY AND PULMONARY ARTERIAL HYPERTENSION: THE ROLE OF LEPTIN</t>
  </si>
  <si>
    <t>Huertas, A.; Montani, D.; Perros, F.; Cohen-Kaminsky, S.; Humbert, M.</t>
  </si>
  <si>
    <t>Huertas, A; Montani, D; Perros, F; Cohen-Kaminsky, S; Humbert, M</t>
  </si>
  <si>
    <t>WOS:000291358900607</t>
  </si>
  <si>
    <t>[Gambaryan, N.; Perros, F.; Montani, D.; Cohen-Kaminsky, S.; Humbert, M.] INSERM, U999, Le Plessis Robinson, France</t>
  </si>
  <si>
    <t>TARGETING OF C-KIT plus HEMATOPOIETIC PROGENITOR CELLS PREVENTS HYPOXIC PULMONARY HYPERTENSION</t>
  </si>
  <si>
    <t>Gambaryan, N.; Perros, F.; Montani, D.; Cohen-Kaminsky, S.; Humbert, M.</t>
  </si>
  <si>
    <t>Gambaryan, N; Perros, F; Montani, D; Cohen-Kaminsky, S; Humbert, M</t>
  </si>
  <si>
    <t>WOS:000291152200013</t>
  </si>
  <si>
    <t>771JE</t>
  </si>
  <si>
    <t>10.1183/09031936.00045710</t>
  </si>
  <si>
    <t>This study has been supported in part by grants from Ministere de l'Enseignement Superieur et de la Recherche (GIS-HTAP) and by Legs Poix, Chancellerie des Universites de Paris. N. Gambaryan is supported by a grant from Societe de Pneumologie de Langue Francaise. F. Perros is supported by a Long-Term Fellowship grant of the European Respiratory Society (LTRF 171). D. Montani is supported by a grant from Association HTAPfrance.</t>
  </si>
  <si>
    <t>Ministere de l'Enseignement Superieur et de la Recherche (GIS-HTAP); Legs Poix, Chancellerie des Universites de Paris; Societe de Pneumologie de Langue Francaise; European Respiratory Society; Association HTAPfrance</t>
  </si>
  <si>
    <t>Ministere de l'Enseignement Superieur et de la Recherche (GIS-HTAP); Legs Poix, Chancellerie des Universites de Paris; Societe de Pneumologie de Langue Francaise; European Respiratory Society [LTRF 171]; Association HTAPfrance</t>
  </si>
  <si>
    <t>Humbert, Marc/0000-0003-0703-2892; Montani, David/0000-0002-9358-6922; Cohen-Kaminsky, Sylvia/0000-0002-6341-7482; Perros, Frederic/0000-0001-7730-2427</t>
  </si>
  <si>
    <t>Simonneau, Gerald/ABE-6614-2020; David, Montani/I-6885-2019; Humbert, Marc/AAC-8459-2019; Cohen-Kaminsky, Sylvia/E-4837-2014; Perros, Frederic/N-6921-2017</t>
  </si>
  <si>
    <t>Humbert, M (corresponding author), Hop Antoine Beclere, AP HP, Ctr Natl Reference Hypertens Arterielle Pulm, Serv Pneumol &amp; Reanimat Resp, 157 Rue Porte Trivaux, F-92140 Clamart, France.</t>
  </si>
  <si>
    <t>[Montani, D.; Simonneau, G.; Humbert, M.] Hop Antoine Beclere, AP HP, Ctr Natl Reference Hypertens Arterielle Pulm, Serv Pneumol &amp; Reanimat Resp, F-92140 Clamart, France; [Gambaryan, N.; Perros, F.; Montani, D.; Cohen-Kaminsky, S.; Mazmanian, M.; Renaud, J-F.; Simonneau, G.; Lombet, A.; Humbert, M.] Univ Paris Sud, Fac Med, Le Kremlin Bicetre, France; [Gambaryan, N.; Perros, F.; Montani, D.; Cohen-Kaminsky, S.; Renaud, J-F.; Simonneau, G.; Lombet, A.; Humbert, M.] INSERM, U999, F-75654 Paris 13, France; [Mazmanian, M.] Ctr Chirurg Marie Lannelongue, Chirurg Expt Lab, Le Plessis Robinson, France</t>
  </si>
  <si>
    <t>Haematopoietic c-kit+ progenitor cells may contribute to pulmonary vascular remodelling and pulmonary hypertension (PH). Stromal derived factor-1 (SDF-1/CXCL12) and its receptors CXCR4 and CXCR7 have been shown to be critical for homing and mobilisation of haematopoietic c-kit+ progenitor cells in the perivascular niche. We administered AMD3100, a CXCR4 antagonist, and CCX771, a CXCR7 antagonist, to chronic hypoxia exposed mice in order to study the role of c-kit+ progenitor cells in PH. CXCL12, CXCR4 and CXCR7 protein expression, haemodynamic parameters, right ventricular mass, extent of vascular remodelling and perivascular progenitor cell accumulation were studied. Chronic hypoxia-exposed mice showed increased total lung tissue expression of CXCR4, CXCR7 and CXCL12 after development of PH. This was associated with significantly increased right ventricular systolic pressure and evidence of right ventricular hypertrophy, vascular remodelling and perivascular c-kit+/sca-1+ progenitor cell accumulation. CCX771 administration did not abrogate these effects. In contrast, administration of AMD3100, whether alone or combined with CCX771, prevented vascular remodelling, PH and perivascular accumulation of c-kit+/sca-1+ progenitor cells, with a synergistic effect of these agents. This study offers important pathophysiological insights into the role of haematopoietic c-kit+ progenitors in hypoxia-induced vascular remodelling and may have therapeutic implications for PH.</t>
  </si>
  <si>
    <t>CHEMOKINE RECEPTORS; EXPRESSION; CXCR4; GROWTH; TRAFFICKING; RECRUITMENT; CXCL12; SDF-1</t>
  </si>
  <si>
    <t>CXCR4; haematopoietic c-kit plus progenitor cells; hypoxia; pulmonary hypertension; stromal derived factor-1</t>
  </si>
  <si>
    <t>Targeting of c-kit plus haematopoietic progenitor cells prevents hypoxic pulmonary hypertension</t>
  </si>
  <si>
    <t>Gambaryan, N.; Perros, F.; Montani, D.; Cohen-Kaminsky, S.; Mazmanian, M.; Renaud, J-F.; Simonneau, G.; Lombet, A.; Humbert, M.</t>
  </si>
  <si>
    <t>Gambaryan, N; Perros, F; Montani, D; Cohen-Kaminsky, S; Mazmanian, M; Renaud, JF; Simonneau, G; Lombet, A; Humbert, M</t>
  </si>
  <si>
    <t>WOS:000291358900500</t>
  </si>
  <si>
    <t>Simonneau, Gerald/ABE-6614-2020; Witko-Sarsat, Veronique/L-9714-2017; REGENT, Alexis/AHA-6753-2022; Humbert, Marc/AAC-8459-2019; Tamby, Mathieu/B-1277-2011</t>
  </si>
  <si>
    <t>Universite Paris Cite; Institut National de la Sante et de la Recherche Medicale (Inserm); Institut National de la Sante et de la Recherche Medicale (Inserm); Centre National de la Recherche Scientifique (CNRS); CNRS - National Institute for Biology (INSB); Universite Paris Cite; Universite Paris Cite; Assistance Publique Hopitaux Paris (APHP); Universite Paris Cite; Hopital Universitaire Cochin - APHP; Assistance Publique Hopitaux Paris (APHP); Hopital Universitaire Antoine-Beclere - APHP; Assistance Publique Hopitaux Paris (APHP); Universite Paris Cite; Hopital Universitaire Cochin - APHP</t>
  </si>
  <si>
    <t>[Dib, H.; Bussone, G.; Tamby, M. C.; Regent, A.; Broussard, C.; Witko-Sarsat, V.; Mouthon, L.] Inst Cochin, INSERM, U1016, Paris, France; [Dib, H.; Bussone, G.; Tamby, M. C.; Regent, A.; Broussard, C.; Witko-Sarsat, V.; Mouthon, L.] CNRS, UMR 8104, Paris, France; [Dib, H.; Bussone, G.; Tamby, M. C.; Regent, A.; Broussard, C.; Witko-Sarsat, V.; Guillevin, L.; Mouthon, L.] Univ Paris 05, Paris, France; [Bussone, G.; Berezne, A.; Regent, A.; Guillevin, L.; Mouthon, L.] Hop Cochin, Dept Internal Med, F-75674 Paris, France; [Simonneau, G.] Hop Antoine Beclere, Dept Pneumol, Clamart, France; [Humbert, M.] Hop Cochin, Dept Pneumol, Clamart, France</t>
  </si>
  <si>
    <t>IDENTIFICATION OF TARGET ANTIGENS OF ENDOTHELIAL CELLS ANTIBODIES IN SYSTEMIC SCLEROSIS AND IDIOPATHIC PULMONARY ARTERIAL HYPERTENSION</t>
  </si>
  <si>
    <t>Dib, H.; Bussone, G.; Tamby, M. C.; Berezne, A.; Simonneau, G.; Regent, A.; Broussard, C.; Witko-Sarsat, V.; Guillevin, L.; Humbert, M.; Mouthon, L.</t>
  </si>
  <si>
    <t>Dib, H; Bussone, G; Tamby, MC; Bérézne, A; Simonneau, G; Régent, A; Broussard, C; Witko-Sarsat, V; Guillevin, L; Humbert, M; Mouthon, L</t>
  </si>
  <si>
    <t>WOS:000291444700013</t>
  </si>
  <si>
    <t>775FS</t>
  </si>
  <si>
    <t>10.1517/14656566.2011.564159</t>
  </si>
  <si>
    <t>X Jais, F Parent, D Montani, M Humbert, G Simonneau and O Sitbon have relationships with drug companies including Actelion, Bayer-Schering, GlaxoSmithKline, Novartis, Pfizer and United Therapeutics. In addition to being investigators in trials involving these companies, relationships include consultancy service and membership of scientific advisory boards; they also receive fees from speaking, reimbursement for attending symposiums and funds for research from these companies. The remaining authors have no conflicts of interest to declare.</t>
  </si>
  <si>
    <t>Actelion; Bayer-Schering(Bayer AG); GlaxoSmithKline(GlaxoSmithKline); Novartis(Novartis); Pfizer(Pfizer); United Therapeutics</t>
  </si>
  <si>
    <t>Actelion; Bayer-Schering; GlaxoSmithKline; Novartis; Pfizer; United Therapeutics</t>
  </si>
  <si>
    <t>JAIS, XAVIER/0000-0002-4104-7994; SITBON, Olivier/0000-0002-1942-1951; O'Callaghan, Dermot/0000-0002-0561-5800; Humbert, Marc/0000-0003-0703-2892; Montani, David/0000-0002-9358-6922</t>
  </si>
  <si>
    <t>Sitbon, O (corresponding author), Univ Paris Sud, Fac Med, F-94276 Le Kremlin Bicetre, France.</t>
  </si>
  <si>
    <t>[O'Callaghan, Dermot S.; Savale, Laurent; Yaici, Azzedine; Natali, Delphine; Jais, Xavier; Parent, Florence; Montani, David; Humbert, Marc; Simonneau, Gerald; Sitbon, Olivier] Univ Paris Sud, Fac Med, F-94276 Le Kremlin Bicetre, France; [O'Callaghan, Dermot S.; Savale, Laurent; Yaici, Azzedine; Natali, Delphine; Jais, Xavier; Parent, Florence; Montani, David; Humbert, Marc; Simonneau, Gerald; Sitbon, Olivier] Hop Antoine Beclere, AP HP, Serv Pneumol &amp; Reanimat Resp, Ctr Reference Hypertens Pulmonaire Severe, F-92140 Clamart, France; [O'Callaghan, Dermot S.; Savale, Laurent; Yaici, Azzedine; Natali, Delphine; Jais, Xavier; Parent, Florence; Montani, David; Humbert, Marc; Simonneau, Gerald; Sitbon, Olivier] Ctr Chirurg Marie Lannelongue, INSERM, U999, F-92350 Le Plessis Robinson, France</t>
  </si>
  <si>
    <t>Introduction: Endothelin is a key mediator in the pathophysiology of pulmonary arterial hypertension (PAH). Its effects are mediated through the activation of two associated receptor subtypes, termed A and B. Therapeutic strategies that modulate the activity of endothelin are, therefore, of interest to improve the functional status of patients with PAH. Areas covered: The rationale for the use of endothelin receptor antagonists as a therapeutic class in PAH and pertinent data from important clinical studies are presented in this review. Areas for future research are also suggested. Expert opinion: The availability of the endothelin receptor antagonist class of agents represents a significant addition to the therapeutic armamentarium which is available for the treatment of PAH. Comparative studies are warranted to establish whether selective endothelin-A receptor antagonism is more advantageous than dual receptor antagonism. Future studies of endothelin receptor antagonists will increasingly focus on the potential of a combination of different PAH therapeutic classes and will employ 'harder' clinical end points. This is of crucial importance to ensure that future developments are both worthwhile and acceptable to patients, physicians, health system payers and regulatory authorities.</t>
  </si>
  <si>
    <t>AMBRISENTAN THERAPY; BOSENTAN THERAPY; DOUBLE-BLIND; PHARMACOKINETICS; SURVIVAL; VASOCONSTRICTOR; NORETHISTERONE; CONTRACTION; DYSFUNCTION; SITAXSENTAN</t>
  </si>
  <si>
    <t>ambrisentan; bosentan; endothelin; mortality; pulmonary arterial hypertension</t>
  </si>
  <si>
    <t>Endothelin receptor antagonists for the treatment of pulmonary arterial hypertension</t>
  </si>
  <si>
    <t>O'Callaghan, Dermot S.; Savale, Laurent; Yaici, Azzedine; Natali, Delphine; Jais, Xavier; Parent, Florence; Montani, David; Humbert, Marc; Simonneau, Gerald; Sitbon, Olivier</t>
  </si>
  <si>
    <t>O'Callaghan, DS; Savale, L; Yaïci, A; Natali, D; Jaïs, X; Parent, F; Montani, D; Humbert, M; Simonneau, G; Sitbon, O</t>
  </si>
  <si>
    <t>WOS:000292766700018</t>
  </si>
  <si>
    <t>792RL</t>
  </si>
  <si>
    <t>10.1164/rccm.201006-0905OC</t>
  </si>
  <si>
    <t>Supported in part by grants from Ministere de l'Enseignement Superieur et de la Recherche (GIS-HTAP) and by Legs Poix, Chancellerie des Universites de Paris. David Montani, Peter Dorfmuller, and Natalia Gambaryan are supported by a grant from Association HTAPFrance. Frederic Perros and Laura Price are supported by Long-Term Research Fellowship grants from the European Respiratory Society. Alice Huertas is supported by Mariane Josso Award'' from Fondation pour la Recherche Medicale. Natalia Gambaryan is supported by a grant from Societe de Pneumologie de Langue Francaise.</t>
  </si>
  <si>
    <t>Ministere de l'Enseignement Superieur et de la Recherche (GIS-HTAP); Legs Poix, Chancellerie des Universites de Paris; Association HTAPFrance; European Respiratory Society; Fondation pour la Recherche Medicale(Fondation pour la Recherche Medicale); Societe de Pneumologie de Langue Francaise</t>
  </si>
  <si>
    <t>Ministere de l'Enseignement Superieur et de la Recherche (GIS-HTAP); Legs Poix, Chancellerie des Universites de Paris; Association HTAPFrance; European Respiratory Society; Fondation pour la Recherche Medicale; Societe de Pneumologie de Langue Francaise</t>
  </si>
  <si>
    <t>Huertas, Alice/0000-0001-8545-747X; Perros, Frederic/0000-0001-7730-2427; Humbert, Marc/0000-0003-0703-2892; Cohen-Kaminsky, Sylvia/0000-0002-6341-7482; Montani, David/0000-0002-9358-6922; Dorfmuller, Peter/0000-0003-2499-6829; Hammad, Hamida/0000-0003-3762-8603</t>
  </si>
  <si>
    <t>Lambrecht, Bart/K-2484-2014; David, Montani/I-6885-2019; Simonneau, Gerald/ABE-6614-2020; Huertas, Alice/E-8244-2017; Perros, Frederic/N-6921-2017; Humbert, Marc/AAC-8459-2019; Cohen-Kaminsky, Sylvia/E-4837-2014; Hammad, Hamida/J-9391-2015</t>
  </si>
  <si>
    <t>Humbert, M (corresponding author), Hop Antoine Beclere, AP HP, Serv Pneumol &amp; Reanimat Resp, Ctr Reference Hypertens Pulm Serv, 157 Rue Porte Trivaux, F-92140 Clamart, France.</t>
  </si>
  <si>
    <t>Assistance Publique Hopitaux Paris (APHP); Hopital Universitaire Antoine-Beclere - APHP; Universite Paris Saclay; Institut National de la Sante et de la Recherche Medicale (Inserm); Hopital Marie Lannelongue; Universite Paris Saclay; Ghent University; Ghent University Hospital; Universite Paris Cite; Assistance Publique Hopitaux Paris (APHP); Hopital Universitaire Lariboisiere-Fernand-Widal - APHP</t>
  </si>
  <si>
    <t>[Montani, David; Perros, Frederic; Gambaryan, Natalia; Girerd, Barbara; Dorfmuller, Peter; Price, Laura C.; Huertas, Alice; Simonneau, Gerald; Cohen-Kaminsky, Sylvia; Humbert, Marc] Hop Antoine Beclere, AP HP, Serv Pneumol &amp; Reanimat Resp, Ctr Reference Hypertens Pulm Serv, F-92140 Clamart, France; [Montani, David; Perros, Frederic; Gambaryan, Natalia; Girerd, Barbara; Dorfmuller, Peter; Price, Laura C.; Huertas, Alice; Simonneau, Gerald; Cohen-Kaminsky, Sylvia; Humbert, Marc] Univ Paris Sud, Fac Med, Le Kremlin Bicetre, France; [Montani, David; Perros, Frederic; Gambaryan, Natalia; Girerd, Barbara; Dorfmuller, Peter; Price, Laura C.; Huertas, Alice; Simonneau, Gerald; Cohen-Kaminsky, Sylvia; Humbert, Marc] INSERM, U999, Ctr Chirurg Marie Lannelongue, Le Plessis Robinson, France; [Perros, Frederic; Hammad, Hamida; Lambrecht, Bart N.] Ghent Univ Hosp, Immunoregulat Lab, B-9000 Ghent, Belgium; [Launay, Jean-Marie] Hop Lariboisiere, AP HP, Serv Biochim, F-75475 Paris, France</t>
  </si>
  <si>
    <t>Rationale: C-kit(+) cells, including bone marrow (BM)-derived progenitors and mast cells, may participate in vascular remodelling. Because recent studies suggest that c-kit may be a target for innovative therapies in experimental pulmonary hypertension, we investigated the contribution of c-kit(+) cells in human idiopathic pulmonary arterial hypertension (IPAH). Objectives: To investigate the contribution of c-kit(+) cells in human IPAH. Methods: Single c-kit, CXCL12/SDF-1 alpha, CXCR4, CD34, and multiple c-kit, a-smooth muscle actin (alpha-SMA) and tryptase immunostainings were performed in IPAH lungs. C-kit mRNA expression was quantified by real-time polymerase chain reaction in microdisected pulmonary arteries from patients with IPAH and control subjects. Phenotype and function of circulating progenitors were analyzed by flow cytometry. Plasma levels of soluble c-kit and CXCL12/SDF-1 alpha were measured by ELISA. Measurements and Main Results: Infiltration of c-kit(+) cells in pulmonary arterial lesions was associated with an increase in c-kit mRNA expression (P &lt; 0.01 compared with control subjects). Both c-kit(+)/tryptase(+) mast cells and c-kit(+)/tryptase(+) BM-derived cells were increased in pulmonary arteries of patients with IPAH compared with control subjects (106.6 +/- 54.5 vs. 28 +/- 16.8/mm(2) and 143.8 +/- 101.1 vs. 23.3 +/- 11.9/mm(2); all P &lt; 0.01). Plasma-soluble c-kit was increased in IPAH compared with control subjects (27.4 +/- 12.4 vs. 19.5 +/- 5.8 ng/ml; P &lt; 0.05). Two populations of circulating BM-derived cells (lin-CD34(high)CD133(high) [c-kit(high)CXCR4(low)] and lin-CD34(low)CD133(-) [c-kit(low)CXCR4(high)]) were increased in IPAH compared with control subjects (P = 0.01). Pulmonary arterial lesions were associated with vasa vasorum expansion expressing CXL12/SDF-1 alpha that may recruit c-kit(+) cells. Conclusions: In IPAH, c-kit(+) cells infiltrate pulmonary arterial lesions and may participate to vascular remodeling. Therefore, c-kit may represent a potential target for innovative PAH therapy.</t>
  </si>
  <si>
    <t>ENDOTHELIAL PROGENITOR CELLS; RECEPTOR TYROSINE KINASE; MAST-CELLS; NEOINTIMAL FORMATION; VOLUME OVERLOAD; HYPOXIA; EXPRESSION; INHIBITION; IMATINIB; CHYMASE</t>
  </si>
  <si>
    <t>Bone marrow-derived cells; c-kit; mast cells; pulmonary arterial hypertension; stromal-derived factor-1 (CXL12/SDF-1 alpha)</t>
  </si>
  <si>
    <t>C-Kit-Positive Cells Accumulate in Remodeled Vessels of Idiopathic Pulmonary Arterial Hypertension</t>
  </si>
  <si>
    <t>Montani, David; Perros, Frederic; Gambaryan, Natalia; Girerd, Barbara; Dorfmuller, Peter; Price, Laura C.; Huertas, Alice; Hammad, Hamida; Lambrecht, Bart N.; Simonneau, Gerald; Launay, Jean-Marie; Cohen-Kaminsky, Sylvia; Humbert, Marc</t>
  </si>
  <si>
    <t>Montani, D; Perros, F; Gambaryan, N; Girerd, B; Dorfmuller, P; Price, LC; Huertas, A; Hammad, H; Lambrecht, BN; Simonneau, G; Launay, JM; Cohen-Kaminsky, S; Humbert, M</t>
  </si>
  <si>
    <t>WOS:000292413000035</t>
  </si>
  <si>
    <t>787YQ</t>
  </si>
  <si>
    <t>10.1172/JCI45023</t>
  </si>
  <si>
    <t>This work was supported by grants from the Agence Nationale de la Recherche (ANR) and Fondation de France to J.S. Hulot (grant 2006005606) and by Fondation Leducq through the CAERUS network to A.-M. Lompre (research agreement 05CVD03). Y. Hara was a recipient of PhD fellowships from the Ministere de l'Enseignement Superieur et de la Recherche (MESR), and Y. Sassi was supported by the Fondation pour la Recherche Medicale. We thank Chen Yan (University of Rochester Medical Center, Rochester, New York, USA) for providing the PDE3A antibody and Pietr Borst and Koen Van Wetering (The Netherlands Cancer Institute- Amsterdam, Netherlands) for helpful discussions and advice on the biological function of MRP4. Finally, we thank Martin Schwarz for his assistance during manuscript revision.</t>
  </si>
  <si>
    <t>Agence Nationale de la Recherche (ANR)(Agence Nationale de la Recherche (ANR)); Fondation de France(Fondation de France); Fondation Leducq through the CAERUS network(Leducq Foundation); Ministere de l'Enseignement Superieur et de la Recherche (MESR)(Ministry of Research, France); Fondation pour la Recherche Medicale(Fondation pour la Recherche Medicale)</t>
  </si>
  <si>
    <t>Agence Nationale de la Recherche (ANR); Fondation de France [2006005606]; Fondation Leducq through the CAERUS network [05CVD03]; Ministere de l'Enseignement Superieur et de la Recherche (MESR); Fondation pour la Recherche Medicale</t>
  </si>
  <si>
    <t>Hulot, Jean-Sebastien/0000-0001-5463-6117; Dorfmuller, Peter/0000-0003-2499-6829; Hara, Yannis/0000-0002-2084-971X; Humbert, Marc/0000-0003-0703-2892; Guibert, Christelle/0000-0003-3253-5694; Sassi, Yassine/0000-0002-7807-1728</t>
  </si>
  <si>
    <t>LOMPRE, Anne-Marie/H-2872-2013; Hulot, Jean-Sebastien/A-2278-2016; Humbert, Marc/AAC-8459-2019; Guibert, Christelle/M-2357-2014</t>
  </si>
  <si>
    <t>jean-sebastien.hulot@psl.aphp.fr</t>
  </si>
  <si>
    <t>Hulot, JS (corresponding author), Univ Paris 06, INSERM, Serv Pharmacol, Fac Med Pitie Salpetriere,UMR956, 91 Bvd Hop, F-75013 Paris, France.</t>
  </si>
  <si>
    <t>Sorbonne Universite; Institut National de la Sante et de la Recherche Medicale (Inserm); Institut National de la Sante et de la Recherche Medicale (Inserm); Universite Paris Saclay; Hopital Marie Lannelongue; Universite Paris Saclay; Institut National de la Sante et de la Recherche Medicale (Inserm); Assistance Publique Hopitaux Paris (APHP); Hopital Universitaire Antoine-Beclere - APHP; Sorbonne Universite; Assistance Publique Hopitaux Paris (APHP); Hopital Universitaire Pitie-Salpetriere - APHP</t>
  </si>
  <si>
    <t>[Hara, Yannis; Sassi, Yassine; Lompre, Anne-Marie; Hulot, Jean-Sebastien] Univ Paris 06, UMRS 956, F-75013 Paris, France; [Hara, Yannis; Sassi, Yassine; Lompre, Anne-Marie; Hulot, Jean-Sebastien] INSERM, UMRS 956, Paris, France; [Guibert, Christelle] INSERM, U885, Lab Physiol Cellulaire Resp, Bordeaux, France; [Gambaryan, Natacha; Dorfmueller, Peter; Eddahibi, Saadia; Humbert, Marc] Univ Paris 11, Le Plessis Robinson, France; [Gambaryan, Natacha; Dorfmueller, Peter; Eddahibi, Saadia; Humbert, Marc] INSERM, U999, Ctr Chirurg Marie Lannelongue, Le Plessis Robinson, France; [Gambaryan, Natacha; Humbert, Marc] Hop Antoine Beclere, AP HP, Serv Pneumol &amp; Reanimat Resp, Ctr Natl Reference Hypertens Pulm Severe, Clamart, France; [Hulot, Jean-Sebastien] Pitie Salpetriere Univ Hosp, AP HP, Dept Pharmacol, Paris, France</t>
  </si>
  <si>
    <t>Multidrug resistance-associated protein 4 (MRP4, also known as Abcc4) regulates intracellular levels of cAMP and cGMP in arterial SMCs. Here, we report our studies of the role of MRP4 in the development and progression of pulmonary arterial hypertension (PAH), a severe vascular disease characterized by chronically elevated pulmonary artery pressure and accompanied by remodeling of the small pulmonary arteries as a prelude to right heart failure and premature death. MRP4 expression was increased in pulmonary arteries from patients with idiopathic PAH as well as in WT mice exposed to hypoxic conditions. Consistent with a pathogenic role for MRP4 in PAH, WT mice exposed to hypoxia for 3 weeks showed reversal of hypoxic pulmonary hypertension (PH) following oral administration of the MRP4 inhibitor MK571, and Mrp4(-/-) mice were protected from hypoxic PH. Inhibition of MRP4 in vitro was accompanied by increased intracellular cAMP and cGMP levels and PKA and PKG activities, implicating cyclic nucleotide-related signaling pathways in the mechanism underlying the protective effects of MRP4 inhibition. Our data suggest that MRP4 could represent a potential target for therapeutic intervention in PAH.</t>
  </si>
  <si>
    <t>SMOOTH-MUSCLE-CELLS; MULTIDRUG-RESISTANCE PROTEINS; ARTERIAL-HYPERTENSION; PHOSPHODIESTERASE TYPE-5; ENDOTHELIAL DYSFUNCTION; CYCLIC-NUCLEOTIDES; SIGNALING PATHWAYS; CHRONIC HYPOXIA; THERAPY; CAMP</t>
  </si>
  <si>
    <t>Inhibition of MRP4 prevents and reverses pulmonary hypertension in mice</t>
  </si>
  <si>
    <t>Hara, Yannis; Sassi, Yassine; Guibert, Christelle; Gambaryan, Natacha; Dorfmueller, Peter; Eddahibi, Saadia; Lompre, Anne-Marie; Humbert, Marc; Hulot, Jean-Sebastien</t>
  </si>
  <si>
    <t>Hara, Y; Sassi, Y; Guibert, C; Gambaryan, N; Dorfmüller, P; Eddahibi, S; Lompré, AM; Humbert, M; Hulot, JS</t>
  </si>
  <si>
    <t>WOS:000293994100012</t>
  </si>
  <si>
    <t>808QS</t>
  </si>
  <si>
    <t>10.1378/chest.10-2327</t>
  </si>
  <si>
    <t>This study was sponsored by the Shanghai Pujiang Program [Grant 08PJ1408600] and the Shanghai Science and Technology Division of Non-governmental International Cooperation Projects [Grant 08410701600].</t>
  </si>
  <si>
    <t>Shanghai Pujiang Program(Shanghai Pujiang Program); Shanghai Science and Technology Division of Non-governmental International Cooperation Projects</t>
  </si>
  <si>
    <t>Shanghai Pujiang Program [08PJ1408600]; Shanghai Science and Technology Division of Non-governmental International Cooperation Projects [08410701600]</t>
  </si>
  <si>
    <t>Humbert, Marc/0000-0003-0703-2892; Jing, Zhi-Cheng/0000-0003-0493-0929</t>
  </si>
  <si>
    <t>Jiang, Xin/AAZ-9178-2021; Yuan, Ping/GLU-7749-2022; Humbert, Marc/AAC-8459-2019; Jing, Zhi-Cheng/AAT-9081-2021</t>
  </si>
  <si>
    <t>jingzhicheng@gmail.com</t>
  </si>
  <si>
    <t>Jing, ZC (corresponding author), Tongji Univ, Sch Med, Shanghai Pulm Hosp, Dept Pulm Circulat, 507 Zhengmin Rd, Shanghai 200433, Peoples R China.</t>
  </si>
  <si>
    <t>Tongji University; Nanjing Medical University; Central South University; Harbin Medical University; Assistance Publique Hopitaux Paris (APHP); Hopital Universitaire Antoine-Beclere - APHP; Institut National de la Sante et de la Recherche Medicale (Inserm); Universite Paris Saclay</t>
  </si>
  <si>
    <t>[Zhang, Rui; Dai, Li-Zhi; Yuan, Ping; Jiang, Xin; He, Ling; Jing, Zhi-Cheng] Tongji Univ, Sch Med, Shanghai Pulm Hosp, Dept Pulm Circulat, Shanghai 200433, Peoples R China; [Xie, Wei-Ping] Nanjing Med Univ, Affiliated Hosp 1, Dept Resp Med, Nanjing, Peoples R China; [Yu, Zai-Xin] Cent S Univ, Xiangya Hosp, Dept Cardiol, Changsha, Peoples R China; [Wu, Bing-Xiang] Harbin Med Univ, Affiliated Hosp 1, Dept Cardiol, Harbin, Peoples R China; [Pan, Lei] Beijing Shijitan Hosp, Dept Resp Med, Beijing, Peoples R China; [Humbert, Marc] Univ Paris 11, Hop Antoine Beclere, AP HP, INSERM,U999,Serv Pneumol &amp; Reanimat Resp, Clamart, France</t>
  </si>
  <si>
    <t>Background: In a previous study of Chinese patients with idiopathic pulmonary arterial hypertension (IPAH) in the nontargeted therapy era (defined as the time before 2006 when new pulmonary arterial hypertension-specific drugs were not available in China), we reported 1- and 3-year survival estimates of only 68% and 39%, respectively. However, it is not yet known whether the survival of patients with pulmonary arterial hypertension is improved in the modern treatment era (defined in China as after 2006). Methods: A retrospective cohort study was undertaken in 276 consecutive patients with newly diagnosed incident IPAH and connective tissue disease-related pulmonary arterial hypertension (CTDPAH) who were referred between 2007 and 2009. Baseline characteristics and survival rates in the two groups were compared. Results: The 1- and 3-year survival estimates were 92.1% and 75.1%, respectively, in patients with IPAH, and 85.4% and 53.6%, respectively, in patients with CTDPAH. Patients with CTDPAH had a significantly lower mean pulmonary artery pressure, more pericardial effusion, and more severe impairment of the diffusion capacity of the lung for carbon monoxide than patients with IPAH. A diagnosis of CTDPAH, World Health Organization functional class III or IV, single-breath diffusion capacity of the lung for carbon monoxide &lt; 80% predicted, and the presence of pericardial effusion were independent predictors of mortality. The 1- and 3-year survival rates of male patients were 93.5% and 77.5%, respectively, in those with IPAH, and 71.1% and 47.4%, respectively, in those with CTDPAH. Conclusions: The survival rates of patients with pulmonary arterial hypertension have improved in China in the modern treatment era, despite the high costs of treatment and financial constraints. However, the survival rates of patients with CTDPAH are inferior to those of patients with IPAH. Our study also indicates poorer survival rates in male patients with CTDPAH. CHEST 2011; 140(2):301-309</t>
  </si>
  <si>
    <t>SCLERODERMA; BOSENTAN; REGISTRY; MECHANISMS; EFFICACY; THERAPY; DISEASE; SAFETY</t>
  </si>
  <si>
    <t>Survival of Chinese Patients With Pulmonary Arterial Hypertension in the Modern Treatment Era</t>
  </si>
  <si>
    <t>Zhang, Rui; Dai, Li-Zhi; Xie, Wei-Ping; Yu, Zai-Xin; Wu, Bing-Xiang; Pan, Lei; Yuan, Ping; Jiang, Xin; He, Ling; Humbert, Marc; Jing, Zhi-Cheng</t>
  </si>
  <si>
    <t>Zhang, R; Dai, LZ; Xie, WP; Yu, ZX; Wu, BX; Pan, L; Yuan, P; Jiang, X; He, L; Humbert, M; Jing, ZC</t>
  </si>
  <si>
    <t>WOS:000208702705151</t>
  </si>
  <si>
    <t>V28TI</t>
  </si>
  <si>
    <t>Simonneau, Gerald/ABE-6614-2020; Humbert, Marc/AAC-8459-2019; Bergot, Emmanuel/KHZ-1685-2024; Sitbon, Olivier/I-3623-2019</t>
  </si>
  <si>
    <t>Assistance Publique Hopitaux Paris (APHP); Hopital Universitaire Ambroise-Pare - APHP; Hopital Universitaire Antoine-Beclere - APHP; CHU Lyon; CHU de Caen NORMANDIE; Universite de Caen Normandie; CHU de Toulouse; Universite de Toulouse; Universite Toulouse III - Paul Sabatier</t>
  </si>
  <si>
    <t>WOS:000208702703449</t>
  </si>
  <si>
    <t>Cohen-Kaminsky, Sylvia/0000-0002-6341-7482; Montani, David/0000-0002-9358-6922; Perros, Frederic/0000-0001-7730-2427</t>
  </si>
  <si>
    <t>Simonneau, Gerald/ABE-6614-2020; Humbert, Marc/AAC-8459-2019; David, Montani/I-6885-2019; Cohen-Kaminsky, Sylvia/E-4837-2014; Perros, Frederic/N-6921-2017</t>
  </si>
  <si>
    <t>[Montani, D.; Girerd, B.; Simonneau, G.; Humbert, M.] Hosp Antoine Beclere, AP HP, Dept Pneumol, Clamart, France; [Perros, F.; Gambaryan, N.; Dorfmuller, P.; Price, L.; Huertas, A.; Cohen-Kaminsky, S.] Univ Paris 11, INSERM, U999, Le Plessis Robinson, France</t>
  </si>
  <si>
    <t>C-kit positive cells accumulate in remodeled vessels of idiopathic pulmonary arterial hypertension</t>
  </si>
  <si>
    <t>Montani, D.; Perros, F.; Gambaryan, N.; Girerd, B.; Dorfmuller, P.; Price, L.; Huertas, A.; Simonneau, G.; Cohen-Kaminsky, S.; Humbert, M.</t>
  </si>
  <si>
    <t>Montani, D; Perros, F; Gambaryan, N; Girerd, B; Dorfmuller, P; Price, L; Huertas, A; Simonneau, G; Cohen-Kaminsky, S; Humbert, M</t>
  </si>
  <si>
    <t>WOS:000293948900014</t>
  </si>
  <si>
    <t>808BQ</t>
  </si>
  <si>
    <t>10.1165/rcmb.2010-0317OC</t>
  </si>
  <si>
    <t>This research was supported by grants from INSERM, the Legs Poix (Chancellerie des Universites de Paris), and the National Agency for Research (grant no. P007948 ANR-GENOPATH ATOL).</t>
  </si>
  <si>
    <t>INSERM(Institut National de la Sante et de la Recherche Medicale (Inserm)); Legs Poix (Chancellerie des Universites de Paris); National Agency for Research(Agence Nationale de la Recherche (ANR))</t>
  </si>
  <si>
    <t>INSERM; Legs Poix (Chancellerie des Universites de Paris); National Agency for Research [P007948]</t>
  </si>
  <si>
    <t>TU, Ly/0000-0003-2336-5099; GUIGNABERT, Christophe/0000-0002-8545-4452; Humbert, Marc/0000-0003-0703-2892</t>
  </si>
  <si>
    <t>Guignabert, C (corresponding author), Ctr Chirurg Marie Lannelongue, INSERM U999, 133 Ave Resistance, F-92350 Le Plessis Robinson, France.</t>
  </si>
  <si>
    <t>Universite Paris Saclay; Hopital Marie Lannelongue; Institut National de la Sante et de la Recherche Medicale (Inserm); Universite Paris Saclay; Universite Libre de Bruxelles; Assistance Publique Hopitaux Paris (APHP); Hopital Universitaire Antoine-Beclere - APHP</t>
  </si>
  <si>
    <t>[Ly Tu; Gore, Benoit; Fadel, Elie; Dartevelle, Philippe; Simonneau, Gerald; Humbert, Marc; Eddahibi, Saadia; Guignabert, Christophe] Ctr Chirurg Marie Lannelongue, INSERM U999, F-92350 Le Plessis Robinson, France; [Ly Tu; Fadel, Elie; Dartevelle, Philippe; Simonneau, Gerald; Humbert, Marc; Eddahibi, Saadia; Guignabert, Christophe] Univ Paris 11, Orsay, France; [Dewachter, Laurence] Free Univ Brussels, Brussels, Belgium; [Simonneau, Gerald; Humbert, Marc] Hop Antoine Beclere, AP HP, Clamart, France</t>
  </si>
  <si>
    <t>Pulmonary vascular remodeling is key to the pathogenesis of idiopathic pulmonary arterial hypertension (IPAH). We recently reported that fibroblast growth factor (FGF)2 is markedly overproduced by pulmonary endothelial cells (P-ECs) in IPAH and contributes significantly to smooth muscle hyperplasia and disease progression. Excessive FGF2 expression in malignancy exerts pathologic effects on tumor cells by paracrine and autocrine mechanisms. We hypothesized that FGF2 overproduction contributes in an autocrine manner to the abnormal phenotype of P-ECs, characteristic of IPAH. In distal pulmonary arteries (PAs) of patients with IPAH, we found increased numbers of proliferating ECs and decreased numbers of apoptotic ECs, accompanied with stronger immunoreactivity for the antiapoptotic molecules, B-cell lymphoma (BCL)2, and BCL extra long (BCL-xL) compared with PAs from control patients. These in situ observations were replicated in vitro, with cultured P-ECs from patients IPAH exhibiting increased proliferation and diminished sensitivity to apoptotic induction with marked increases in the antiapoptotic factors BCL2 and BCL-xL and levels of phosphorylated extracellular signal-regulated (ERK)1/2 compared with control P-ECs. IPAH P-ECs also exhibited increased FGF2 expression and an accentuated proliferative and survival response to conditioned P-EC media or exogenous FGF2 treatment. Decreasing FGF2 signaling by RNA interference normalized sensitivity to apoptosis and proliferative potential in the IPAH P-ECs. Our findings suggest that excessive autocrine release of endothelial-derived FGF2 in IPAH contributes to the acquisition and maintenance of an abnormal EC phenotype, enhancing proliferation through constitutive activation of ERK1/2 and decreasing apoptosis by increasing BCL2 and BCL-xL.</t>
  </si>
  <si>
    <t>PROGRAMMED CELL-DEATH; BCL-2 PROMOTER; APOPTOSIS; SURVIVAL; EXPRESSION; PROLIFERATION; BINDING; PROTEIN; ACTIVATION; INHIBITION</t>
  </si>
  <si>
    <t>endothelium; growth factors; survival; proliferation; FGF-receptors</t>
  </si>
  <si>
    <t>Autocrine Fibroblast Growth Factor-2 Signaling Contributes to Altered Endothelial Phenotype in Pulmonary Hypertension</t>
  </si>
  <si>
    <t>Ly Tu; Dewachter, Laurence; Gore, Benoit; Fadel, Elie; Dartevelle, Philippe; Simonneau, Gerald; Humbert, Marc; Eddahibi, Saadia; Guignabert, Christophe</t>
  </si>
  <si>
    <t>Tu, L; Dewachter, L; Gore, B; Fadel, E; Dartevelle, P; Simonneau, G; Humbert, M; Eddahibi, S; Guignabert, C</t>
  </si>
  <si>
    <t>WOS:000293840200035</t>
  </si>
  <si>
    <t>806US</t>
  </si>
  <si>
    <t>10.1002/art.30423</t>
  </si>
  <si>
    <t>Dr. Girgis has received consulting fees, speaking fees, and/or honoraria from Actelion and Gilead (less than $10,000 each) and has served as a paid consultant to the Gerson Lehman Group and MEDAcorp. Dr. Launay has received consulting fees, speaking fees, and/or honoraria from Actelion, GlaxoSmithKline, and Pfizer (less than $10,000 each). Dr. Sitbon has received consulting fees, speaking fees, and/or honoraria as a consultant and/or member of the advisory board from Actelion, Bayer, GlaxoSmithKline, Eli Lilly, Pfizer, and United Therapeutics (less than $10,000 each) and has served as an investigator in clinical trials funded by these companies. Dr. Humbert has received consulting fees, speaking fees, and/or honoraria from Actelion, Bayer Schering Pharma, GlaxoSmithKline, Eli Lilly, Novartis, Pfizer, and United Therapeutics (less than $10,000 each).</t>
  </si>
  <si>
    <t>Actelion; Gilead(Gilead Sciences); GlaxoSmithKline(GlaxoSmithKline); Pfizer(Pfizer); Bayer(Bayer AG); Eli Lilly(Eli Lilly); United Therapeutics; Bayer Schering Pharma(Bayer AG); Novartis(Novartis)</t>
  </si>
  <si>
    <t>Actelion; Gilead; GlaxoSmithKline; Pfizer; Bayer; Eli Lilly; United Therapeutics; Bayer Schering Pharma; Novartis</t>
  </si>
  <si>
    <t>SITBON, Olivier/0000-0002-1942-1951; Hummers, Laura/0000-0002-4864-4011; Launay, David/0000-0003-1840-1817; Le Pavec, Jerome/0000-0003-4426-9645; Humbert, Marc/0000-0003-0703-2892</t>
  </si>
  <si>
    <t>Simonneau, Gerald/ABE-6614-2020; Sitbon, Olivier/I-3623-2019; Launay, David/A-5270-2018; Launay, David/H-1674-2016; Humbert, Marc/AAC-8459-2019</t>
  </si>
  <si>
    <t>rgirgis@jhmi.edu; Gerald.Simonneau@abc.aphp.fr</t>
  </si>
  <si>
    <t>Girgis, RE (corresponding author), Johns Hopkins Univ, Sch Med, Div Rheumatol, 1830 E Monument St,Room 523, Baltimore, MD 21205 USA.</t>
  </si>
  <si>
    <t>Johns Hopkins University; Universite Paris Saclay; Assistance Publique Hopitaux Paris (APHP); Hopital Universitaire Antoine-Beclere - APHP; Hopital Marie Lannelongue; Universite Paris Saclay; Institut National de la Sante et de la Recherche Medicale (Inserm); Universite de Lille; CHU Lille; Universite de Lille</t>
  </si>
  <si>
    <t>[Girgis, Reda E.] Johns Hopkins Univ, Sch Med, Div Rheumatol, Baltimore, MD 21205 USA; [Le Pavec, Jerome; Launay, David; Sitbon, Olivier; Simonneau, Gerald; Humbert, Marc] Univ Paris 11, Le Kremlin Bicetre, France; [Le Pavec, Jerome; Launay, David; Sitbon, Olivier; Simonneau, Gerald; Humbert, Marc] Hop Antoine Beclere, AP HP, Clamart, France; [Le Pavec, Jerome; Launay, David; Sitbon, Olivier; Simonneau, Gerald; Humbert, Marc] Ctr Chirurg Marie Lannelongue, INSERM, U999, Le Plessis Robinson, France; [Launay, David] Hop Claude Huriez, Lille, France; [Launay, David] Univ Lille 2, Lille, France</t>
  </si>
  <si>
    <t>Objective. Precapillary pulmonary hypertension (PH) is an important cause of death in patients with systemic sclerosis (SSc). It can occur in isolation (pulmonary arterial hypertension [PAH]) or in association with interstitial lung disease (ILD). Importantly, the outcomes and efficacy of PAH therapies in patients with SSc-related PH complicating ILD (PH-ILD) remain unknown. This study was undertaken to evaluate our experience with PH-ILD with regard to the efficacy and safety of PAH therapies in this patient cohort. Methods. We conducted a retrospective analysis of consecutive SSc patients from 2 large referral centers who had PH-ILD confirmed by right-sided heart catheterization and who received targeted PAH therapies. World Health Organization (WHO) functional class, 6-minute walk distance, and hemodynamic parameters were assessed at baseline and after a mean +/- SD of 7.7 +/- 6.2 months of treatment for PAH. Kaplan-Meier and Cox proportional hazards models were used to analyze survival and to identify prognostic factors. Results. Seventy patients were included in the study. No significant changes were observed in WHO functional class, 6-minute walk distance, or hemodynamic parameters after therapy. The 1-, 2-, and 3-year survival estimates were 71%, 39%, and 21%, respectively. In the multivariate model, worsening oxygenation during followup and reduced renal function were the only significant risk factors for death. Conclusion. This study represents the largest series to date in which the impact of PAH therapies in SSc-related PH-ILD was examined. In this cohort, PAH therapies were associated with no clear benefits. Deterioration in oxygenation was an important determinant of long-term survival. Prospective clinical trials focusing on this group of patients are warranted.</t>
  </si>
  <si>
    <t>CONNECTIVE-TISSUE DISEASE; SCLERODERMA SPECTRUM; BOSENTAN TREATMENT; SURVIVAL; PREDICTORS; TRANSPLANTATION; SILDENAFIL; SECONDARY; FIBROSIS; CRITERIA</t>
  </si>
  <si>
    <t>Systemic Sclerosis-Related Pulmonary Hypertension Associated With Interstitial Lung Disease Impact of Pulmonary Arterial Hypertension Therapies</t>
  </si>
  <si>
    <t>Le Pavec, Jerome; Girgis, Reda E.; Lechtzin, Noah; Mathai, Stephen C.; Launay, David; Hummers, Laura K.; Zaiman, Ari; Sitbon, Olivier; Simonneau, Gerald; Humbert, Marc; Hassoun, Paul M.</t>
  </si>
  <si>
    <t>Le Pavec, J; Girgis, RE; Lechtzin, N; Mathai, SC; Launay, D; Hummers, LK; Zaiman, A; Sitbon, O; Simonneau, G; Humbert, M; Hassoun, PM</t>
  </si>
  <si>
    <t>WOS:000208702702079</t>
  </si>
  <si>
    <t>Launay, David/JDM-2536-2023; Simonneau, Gerald/ABE-6614-2020; Humbert, Marc/AAC-8459-2019; Sitbon, Olivier/I-3623-2019; HACHULLA, ERIC/R-8488-2018; Launay, David/H-1674-2016</t>
  </si>
  <si>
    <t>Universite de Lille; Assistance Publique Hopitaux Paris (APHP); Hopital Universitaire Antoine-Beclere - APHP; Universite Paris Saclay; CHU Lyon; Universite Paris Cite; Assistance Publique Hopitaux Paris (APHP); Hopital Universitaire Cochin - APHP; Actelion Pharmaceuticals Ltd</t>
  </si>
  <si>
    <t>[Launay, D.; Hachulla, E.] Univ Lille 2, Lille, France; [Sitbon, O.; Rottat, L.; Simonneau, G.; Humbert, M.] Univ Paris 11, Hosp Antoine Beclere, AP HP, Clamart, France; [Cordier, J. F.] Hosp Louis Pradel, Dept Pneumol, Univ Hosp Lyon, Lyon, France; [Mouthon, L.] Paris Descartes Univ, Hosp Cochin, AP HP, Paris, France; [Gressin, V.] Actelion, Paris, France; [Clerson, P.] Orgametrie, Roubaix, France</t>
  </si>
  <si>
    <t>Survival and prognostic factors in patients with incident systemic sclerosis-associated pulmonary arterial hypertension from the French registry</t>
  </si>
  <si>
    <t>Launay, D.; Sitbon, O.; Cordier, J. F.; Hachulla, E.; Mouthon, L.; Gressin, V.; Rottat, L.; Clerson, P.; Simonneau, G.; Humbert, M.</t>
  </si>
  <si>
    <t>Launay, D; Sitbon, O; Cordier, JF; Hachulla, E; Mouthon, L; Gressin, V; Rottat, L; Clerson, P; Simonneau, G; Humbert, M</t>
  </si>
  <si>
    <t>WOS:000208702704113</t>
  </si>
  <si>
    <t>EYRIES, melanie/ABF-1034-2020; Humbert, Marc/AAC-8459-2019; David, Montani/I-6885-2019; Sitbon, Olivier/I-3623-2019; Simonneau, Gerald/ABE-6614-2020</t>
  </si>
  <si>
    <t>Assistance Publique Hopitaux Paris (APHP); Hopital Universitaire Antoine-Beclere - APHP; Sorbonne Universite; Assistance Publique Hopitaux Paris (APHP); Hopital Universitaire Pitie-Salpetriere - APHP</t>
  </si>
  <si>
    <t>[Girerd, B.; Montani, D.; Yaici, A.; Sztrymf, B.; Sitbon, O.; Simonneau, G.; Humbert, M.] Hosp Antoine Beclere, AP HP, Dept Pneumol, Clamart, France; [Eyries, M.; Coulet, F.; Soubrier, F.] Hosp Pitie Salpetriere, AP HP, Paris, France</t>
  </si>
  <si>
    <t>WOS:000208702702073</t>
  </si>
  <si>
    <t>Simonneau, Gerald/ABE-6614-2020; Humbert, Marc/AAC-8459-2019; Sitbon, Olivier/I-3623-2019; Bergot, Emmanuel/KHZ-1685-2024</t>
  </si>
  <si>
    <t>CHU de Caen NORMANDIE; Universite de Caen Normandie; Assistance Publique Hopitaux Paris (APHP); Hopital Universitaire Antoine-Beclere - APHP; Hopital Universitaire Ambroise-Pare - APHP; CHU Lyon; Universite de Toulouse; Universite Toulouse III - Paul Sabatier; CHU de Toulouse</t>
  </si>
  <si>
    <t>[Bergot, E.] CHU Caen, Hop Cote Nacre, Serv Pneumol, F-14000 Caen, France; [Sitbon, O.; Yaici, A.; Rottat, L.; Humbert, M.; Simonneau, G.] Hop Antoine Beclere, APHP, Ctr Reference Hypertens Pulmonaire Severe, Serv Pneumol, Clamart, France; [Cottin, V.] CHU, Hop Louis Pradel, Serv Pneumol, Lyon, France; [Prevot, G.] CHU, Hop Larrey, Serv Pneumol, Toulouse, France; [Gressin, V.] Actel Pharmaceut France, Paris, France</t>
  </si>
  <si>
    <t>Current epoprostenol use in patients with severe pulmonary hypertension (PH): data from the French PH registry</t>
  </si>
  <si>
    <t>Bergot, E.; Sitbon, O.; Cottin, V.; Yaici, A.; Prevot, G.; Rottat, L.; Gressin, V.; Humbert, M.; Simonneau, G.</t>
  </si>
  <si>
    <t>Bergot, E; Sitbon, O; Cottin, V; Yaici, A; Prevot, G; Rottat, L; Gressin, V; Humbert, M; Simonneau, G</t>
  </si>
  <si>
    <t>WOS:000208702705058</t>
  </si>
  <si>
    <t>WOS:000294458300018</t>
  </si>
  <si>
    <t>814MI</t>
  </si>
  <si>
    <t>10.1183/09031936.00186510</t>
  </si>
  <si>
    <t>The analysis was proposed separately by H.K. Reddel, G.G. Brusselle and A. Thoren, and was sponsored by AstraZeneca AB (Lund, Sweden).</t>
  </si>
  <si>
    <t>AstraZeneca AB (Lund, Sweden)(AstraZeneca)</t>
  </si>
  <si>
    <t>AstraZeneca AB (Lund, Sweden)</t>
  </si>
  <si>
    <t>O'Byrne, Paul/0000-0003-0979-281X; Humbert, Marc/0000-0003-0703-2892; Reddel, Helen/0000-0002-6695-6350; Brusselle, Guy/0000-0001-7021-8505; Ostlund, Ollie/0000-0001-8028-2308</t>
  </si>
  <si>
    <t>Östlund, Ollie/ISB-1645-2023; Brusselle, Guy/AFU-8839-2022; Bateman, Eric/B-7042-2011; s, q/AAD-7171-2020; Reddel, Helen/IZD-8890-2023; Humbert, Marc/AAC-8459-2019</t>
  </si>
  <si>
    <t>hkr@med.usyd.edu.au</t>
  </si>
  <si>
    <t>Reddel, HK (corresponding author), Woolcock Inst Med Res, Clin Management Grp, POB M77,Missenden Rd PO, Sydney, NSW 2050, Australia.</t>
  </si>
  <si>
    <t>University of Sydney; Woolcock Institute of Medical Research; University of Sydney; Hospital Universitario La Paz; Autonomous University of Madrid; McMaster University; University of Cape Town; Universite Paris Saclay; Assistance Publique Hopitaux Paris (APHP); Hopital Universitaire Antoine-Beclere - APHP; University Hospital Mainz; University of Nottingham; Ghent University; Ghent University Hospital; AstraZeneca; Lund University; Skane University Hospital</t>
  </si>
  <si>
    <t>[Reddel, H. K.; Jenkins, C.] Woolcock Inst Med Res, Clin Management Grp, Sydney, NSW 2050, Australia; [Reddel, H. K.; Jenkins, C.] Univ Sydney, Sydney, NSW 2006, Australia; [Quirce, S.] Univ Autonoma Madrid, Hosp La Paz, Dept Allergy, Madrid, Spain; [Sears, M. R.; O'Byrne, P. M.] McMaster Univ, Fac Hlth Sci, Michael G DeGroote Sch Med, Hamilton, ON, Canada; [Bateman, E. D.] Univ Cape Town, Dept Med, Div Pulmonol, ZA-7925 Cape Town, South Africa; [Humbert, M.] Univ Paris 11, Hop Antoine Beclere, Serv Pneumol &amp; Reanimat Resp, Paris, France; [Buhl, R.] Mainz Univ Hosp, Dept Pulm, Mainz, Germany; [Harrison, T.] Univ Nottingham, Nottingham Resp Biomed Res Unit, Nottingham NG7 2RD, England; [Brusselle, G. G.] Ghent Univ Hosp, Dept Resp Med, Ghent, Belgium; [Thoren, A.; Sjobring, U.; Peterson, S.; Ostlund, O.; Eriksson, G. S.] AstraZeneca Res &amp; Dev, Lund, Sweden; [Eriksson, G. S.] Univ Lund Hosp, Dept Resp Med &amp; Allergol, S-22185 Lund, Sweden</t>
  </si>
  <si>
    <t>Common colds often trigger asthma exacerbations. The present study compared cold-related severe exacerbations during budesonide/formoterol maintenance and reliever therapy, and different regimens of maintenance inhaled corticosteroids (ICS), with or without long-acting beta(2)-agonists (LABA), and with as-needed short-acting beta(2)-agonists (SABA) or LABA. Reported colds and severe exacerbations (defined by oral corticosteroid use and/or hospitalisation/emergency room visit) were assessed for 12,507 patients during 6-12 months of double-blind treatment. Exacerbations occurring &lt;= 14 days after onset of reported colds were analysed by a Poisson model. The incidence of colds was similar across treatments. Asthma symptoms and reliever use increased during colds. Budesonide/formoterol maintenance and reliever therapy reduced severe cold-related exacerbations by 36% versus pooled comparators plus SABA (rate ratio (RR) 0.64; p=0.002), and for individual treatment comparisons, by 52% versus the same maintenance dose of ICS/LABA (RR 0.48; p &lt; 0.001); there were nonsignificant reductions versus higher maintenance doses of ICS or ICS/LABA (RR 0.83 and 0.72, respectively). As-needed LABA did not reduce cold-related exacerbations versus as-needed SABA (RR 0.96). Severe cold-related exacerbations were reduced by budesonide/formoterol maintenance and reliever therapy compared with ICS with or without LABA and with as-needed SABA. Subanalyses suggested the importance of the ICS component in reducing cold-related exacerbations. Future studies should document the cause of exacerbations, in order to allow identification of different treatment effects.</t>
  </si>
  <si>
    <t>BETA(2)-ADRENOCEPTOR AGONISTS; INHALED CORTICOSTEROIDS; COMBINATION THERAPY; RELIEVER THERAPY; EPITHELIAL-CELLS; BUDESONIDE; BUDESONIDE/FORMOTEROL; MAINTENANCE; SPUTUM; INFLAMMATION</t>
  </si>
  <si>
    <t>Asthma; drug therapy; exacerbations; respiratory tract infections</t>
  </si>
  <si>
    <t>Effect of different asthma treatments on risk of cold-related exacerbations</t>
  </si>
  <si>
    <t>Reddel, H. K.; Jenkins, C.; Quirce, S.; Sears, M. R.; Bateman, E. D.; O'Byrne, P. M.; Humbert, M.; Buhl, R.; Harrison, T.; Brusselle, G. G.; Thoren, A.; Sjobring, U.; Peterson, S.; Ostlund, O.; Eriksson, G. S.</t>
  </si>
  <si>
    <t>Reddel, HK; Jenkins, C; Quirce, S; Sears, MR; Bateman, ED; O'Byrne, PM; Humbert, M; Buhl, R; Harrison, T; Brusselle, GG; Thorén, A; Sjöbring, U; Peterson, S; Östlund, O; Eriksson, GS</t>
  </si>
  <si>
    <t>WOS:000294202200006</t>
  </si>
  <si>
    <t>811IN</t>
  </si>
  <si>
    <t>10.1038/nrcardio.2011.104</t>
  </si>
  <si>
    <t>O'Callaghan, Dermot/0000-0002-0561-5800; Humbert, Marc/0000-0003-0703-2892; JAIS, XAVIER/0000-0002-4104-7994; Montani, David/0000-0002-9358-6922; SITBON, Olivier/0000-0002-1942-1951</t>
  </si>
  <si>
    <t>David, Montani/I-6885-2019; Simonneau, Gerald/ABE-6614-2020; Sitbon, Olivier/I-3623-2019; Savale, Laurent/AAJ-9781-2020; Humbert, Marc/AAC-8459-2019</t>
  </si>
  <si>
    <t>Humbert, M (corresponding author), Univ Paris Sud, Fac Med, F-94276 Le Kremlin Bicetre, France.</t>
  </si>
  <si>
    <t>[O'Callaghan, Dermot S.; Savale, Laurent; Montani, David; Jais, Xavier; Sitbon, Olivier; Simonneau, Gerald; Humbert, Marc] Univ Paris Sud, Fac Med, F-94276 Le Kremlin Bicetre, France; [O'Callaghan, Dermot S.; Savale, Laurent; Montani, David; Jais, Xavier; Sitbon, Olivier; Simonneau, Gerald; Humbert, Marc] Hop Antoine Beclere, AP HP, Serv Pneumol, F-92140 Clamart, France; [O'Callaghan, Dermot S.; Savale, Laurent; Montani, David; Jais, Xavier; Sitbon, Olivier; Simonneau, Gerald; Humbert, Marc] Ctr Chirurg Marie Lannelongue, INSERM, U999, F-92350 Le Plessis Robinson, France</t>
  </si>
  <si>
    <t>Pulmonary arterial hypertension (PAH) is a rare disorder characterized by progressive obliteration of the pulmonary microvasculature that results in elevated pulmonary vascular resistance and premature death. Although no cure exists for PAH, improved understanding of the pathobiological mechanisms of this disease has resulted in the development of effective therapies that target specific aberrant pathways. Agents that modulate abnormalities in the prostacyclin, endothelin, and nitric oxide pathways have been shown in randomized, controlled studies to confer improvements in functional status, pulmonary hemodynamics, and possibly even slow disease progression. Several additional pathways believed to play an important role in the pathogenesis of PAH have been identified as potentially useful therapeutic targets and a number of investigative approaches focusing on these targets are in active development. In this Review, we highlight the pharmacological agents currently available for the treatment of PAH and discuss potential novel strategies.</t>
  </si>
  <si>
    <t>VASOACTIVE-INTESTINAL-PEPTIDE; ENDOTHELIN-RECEPTOR ANTAGONIST; CONTINUOUS INTRAVENOUS PROSTACYCLIN; RIGHT-VENTRICULAR HYPERTROPHY; RANDOMIZED CONTROLLED-TRIAL; SOLUBLE GUANYLATE-CYCLASE; PLACEBO-CONTROLLED TRIAL; RHO-KINASE INHIBITOR; SMOOTH-MUSCLE-CELLS; DOUBLE-BLIND</t>
  </si>
  <si>
    <t>Treatment of pulmonary arterial hypertension with targeted therapies</t>
  </si>
  <si>
    <t>O'Callaghan, Dermot S.; Savale, Laurent; Montani, David; Jais, Xavier; Sitbon, Olivier; Simonneau, Gerald; Humbert, Marc</t>
  </si>
  <si>
    <t>O'Callaghan, DS; Savale, L; Montani, D; Jaïs, X; Sitbon, O; Simonneau, G; Humbert, M</t>
  </si>
  <si>
    <t>WOS:000294458300007</t>
  </si>
  <si>
    <t>10.1183/09031936.00075211</t>
  </si>
  <si>
    <t>Simonneau, Gerald/ABE-6614-2020; Dinh-Xuan, Anh Tuan/A-9691-2008; Humbert, Marc/AAC-8459-2019</t>
  </si>
  <si>
    <t>Assistance Publique Hopitaux Paris (APHP); Universite Paris Cite; Hopital Universitaire Saint-Louis - APHP; Hopital Universitaire Antoine-Beclere - APHP; Universite Paris Saclay; Institut National de la Sante et de la Recherche Medicale (Inserm); Universite Paris Saclay; Hopital Marie Lannelongue; Universite Paris Cite; Assistance Publique Hopitaux Paris (APHP); Hopital Universitaire Cochin - APHP</t>
  </si>
  <si>
    <t>[Humbert, M.; Simonneau, G.] Hop Antoine Beclere, Assistance Publ Hop Paris, Serv Pneumol &amp; Reanimat Resp, F-92140 Clamart, France; [Humbert, M.; Simonneau, G.] Univ Paris 11, Fac Med, Le Kremlin Bicetre, France; [Humbert, M.; Simonneau, G.] Ctr Chirurg Marie Lannelongue, INSERM, U999, Le Plessis Robinson, France; [Dinh-Xuan, A. T.] Univ Paris 05, Cochin Hosp, Dept Cardiopulm Med, Paris, France</t>
  </si>
  <si>
    <t>PULMONARY ARTERIAL-HYPERTENSION; CHRONIC MYELOID-LEUKEMIA; VALVULAR HEART-DISEASE; FENFLURAMINE DERIVATIVES; DASATINIB TREATMENT; PRAGMATIC TRIALS; LIVER TOXICITY; ACHILLES-HEEL; SITAXENTAN; PATIENT</t>
  </si>
  <si>
    <t>Whistleblowers</t>
  </si>
  <si>
    <t>Humbert, M.; Simonneau, G.; Dinh-Xuan, A. T.</t>
  </si>
  <si>
    <t>Humbert, M; Simonneau, G; Dinh-Xuan, AT</t>
  </si>
  <si>
    <t>WOS:000295839400001</t>
  </si>
  <si>
    <t>832WD</t>
  </si>
  <si>
    <t>10.1186/1465-9921-12-119</t>
  </si>
  <si>
    <t>Humbert, Marc/0000-0003-0703-2892; Montani, David/0000-0002-9358-6922; Charlotte, Frederic/0000-0003-2803-6606; Perros, Frederic/0000-0001-7730-2427; Chaumais, Marie-Camille/0000-0002-1217-8442; Dorfmuller, Peter/0000-0003-2499-6829; Mercier, Olaf/0000-0002-4760-6267</t>
  </si>
  <si>
    <t>Simonneau, Gerald/ABE-6614-2020; David, Montani/I-6885-2019; Humbert, Marc/AAC-8459-2019; Perros, Frederic/N-6921-2017</t>
  </si>
  <si>
    <t>Dorfmüller, P (corresponding author), Univ Paris 11, Fac Med, F-94276 Le Kremlin Bicetre, France.</t>
  </si>
  <si>
    <t>Universite Paris Saclay; Assistance Publique Hopitaux Paris (APHP); Hopital Universitaire Antoine-Beclere - APHP; Institut National de la Sante et de la Recherche Medicale (Inserm); Hopital Marie Lannelongue; Sorbonne Universite; Assistance Publique Hopitaux Paris (APHP); Hopital Universitaire Pitie-Salpetriere - APHP</t>
  </si>
  <si>
    <t>[Dorfmueller, Peter; Chaumais, Marie-Camille; Fadel, Elie; Mercier, Olaf; Montani, David; Simonneau, Gerald; Humbert, Marc; Perros, Frederic] Univ Paris 11, Fac Med, F-94276 Le Kremlin Bicetre, France; [Dorfmueller, Peter; Durand-Gasselin, Ingrid; Montani, David; Simonneau, Gerald; Humbert, Marc] Hop Antoine Beclere, AP HP, Ctr Natl Reference Hypertens Pulmonaire Severe, Serv Pneumol &amp; Reanimat Resp, Clamart, France; [Dorfmueller, Peter; Chaumais, Marie-Camille; Giannakouli, Maria; Raymond, Nicolas; Fadel, Elie; Mercier, Olaf; Montani, David; Simonneau, Gerald; Humbert, Marc; Perros, Frederic] INSERM, U999, Clamart, France; [Dorfmueller, Peter; Raymond, Nicolas] Hop Marie Lannelongue, Serv Anat &amp; Cytol Pathol, F-92350 Le Plessis Robinson, France; [Charlotte, Frederic] Univ Paris 06, Grp Hosp Pitie Salpetriere, Serv Anat &amp; Cytol Pathol, F-75252 Paris 05, France</t>
  </si>
  <si>
    <t>Background: Involvement of inflammation in pulmonary hypertension (PH) has previously been demonstrated and recently, immune-modulating dendritic cells (DCs) infiltrating arterial lesions in patients suffering from idiopathic pulmonary arterial hypertension (IPAH) and in experimental monocrotaline-induced PH have been reported. Occurrence of perivascular inflammatory cells could be linked to local increase of oxidative stress (OS), as it has been shown for systemic atherosclerosis. The impact of OS on vascular remodeling in PH is still to be determined. We hypothesized, that augmented blood-flow could increase OS and might thereby contribute to DC/inflammatory cell-recruitment and smooth-muscle-cell-proliferation. Methods: We applied a monocrotaline-induced PH-model and combined it with permanent flow-challenge. Thirty Sprague-Dawley rats were assigned to following groups: control, monocrotaline-exposure (MCT), monocrotaline-exposure/pneumonectomy (MCT/PE). Results: Hemodynamic exploration demonstrated most severe effects in MCT/PE, corresponding in histology to exuberant medial and adventitial remodeling of pulmonary muscular arteries, and intimal remodeling of smaller arterioles; lung-tissue PCR evidenced increased expression of DCs-specific fascin, CD68, proinflammatory cytokines (IL-6, RANTES, fractalkine) in MCT/PE and to a lesser extent in MCT. Major OS enzyme NOX-4 was maximal in MCT/PE. Antioxidative stress enzymes Mn-SOD and glutathion-peroxidase-1 were significantly elevated, while HO-1 showed maximal expression in MCT with significant decrease in MCT/PE. Catalase was decreased in MCT and MCT/PE. Expression of NOX-4, but also of MN-SOD in MCT/PE was mainly attributed to a highly increased number of interstitial and perivascular CXCR4/SDF1 pathway-recruited mast-cells. Stress markers malonedialdehyde and nitrotyrosine were produced in endothelial cells, medial smooth muscle and perivascular leucocytes of hypertensive vasculature. Immunolabeling for OX62, CD68 and actin revealed adventitial and medial DC-and monocyte-infiltration; in MCT/PE, medial smooth muscle cells were admixed with CD68(+)/vimentin(+) cells. Conclusion: Our experimental findings support a new concept of immunologic responses to increased OS in MCT/PE-induced PAH, possibly linking recruitment of dendritic cells and OS-producing mast-cells to characteristic vasculopathy.</t>
  </si>
  <si>
    <t>BONE MORPHOGENETIC PROTEIN; LAMINAR SHEAR-STRESS; SMOOTH-MUSCLE-CELLS; DENDRITIC CELLS; ENDOTHELIAL DYSFUNCTION; MAST-CELLS; PLEXIFORM LESIONS; HYPOXIA; GROWTH; RATS</t>
  </si>
  <si>
    <t>Increased oxidative stress and severe arterial remodeling induced by permanent high-flow challenge in experimental pulmonary hypertension</t>
  </si>
  <si>
    <t>Dorfmueller, Peter; Chaumais, Marie-Camille; Giannakouli, Maria; Durand-Gasselin, Ingrid; Raymond, Nicolas; Fadel, Elie; Mercier, Olaf; Charlotte, Frederic; Montani, David; Simonneau, Gerald; Humbert, Marc; Perros, Frederic</t>
  </si>
  <si>
    <t>Dorfmüller, P; Chaumais, MC; Giannakouli, M; Durand-Gasselin, I; Raymond, N; Fadel, E; Mercier, O; Charlotte, F; Montani, D; Simonneau, G; Humbert, M; Perros, F</t>
  </si>
  <si>
    <t>WOS:000295900300035</t>
  </si>
  <si>
    <t>833QP</t>
  </si>
  <si>
    <t>10.1378/chest.10-2588</t>
  </si>
  <si>
    <t>The authors have reported to CHEST the following conflicts of interest: Drs Simonneau, Humbert, and Sitbon have received consulting and lecture fees from Actelion, Bayer, GlaxoSmithKline, Eli Lilly and Co, and Pfizer, Inc. Drs Natali, Girerd, Montani, and Soubrier have reported that no potential conflicts of interest exist with any companies/organizations whose products or services may be discussed in this article.</t>
  </si>
  <si>
    <t>Actelion; Bayer(Bayer AG); GlaxoSmithKline(GlaxoSmithKline); Pfizer, Inc.(Pfizer); Eli Lilly and Co(Eli Lilly)</t>
  </si>
  <si>
    <t>Actelion; Bayer; GlaxoSmithKline; Pfizer, Inc.; Eli Lilly and Co</t>
  </si>
  <si>
    <t>SITBON, Olivier/0000-0002-1942-1951; Montani, David/0000-0002-9358-6922; Humbert, Marc/0000-0003-0703-2892</t>
  </si>
  <si>
    <t>Sitbon, O (corresponding author), Hop Antoine Beclere, AP HP, Serv Pneumol &amp; Reanimat, Ctr Reference Hypertens Pulm Severe, 157 Rue Porte Trivaux, F-92140 Clamart, France.</t>
  </si>
  <si>
    <t>Assistance Publique Hopitaux Paris (APHP); Hopital Universitaire Antoine-Beclere - APHP; Universite Paris Saclay; Universite Paris Saclay; Institut National de la Sante et de la Recherche Medicale (Inserm); Hopital Marie Lannelongue; Institut National de la Sante et de la Recherche Medicale (Inserm); Sorbonne Universite; Assistance Publique Hopitaux Paris (APHP); Hopital Universitaire Pitie-Salpetriere - APHP</t>
  </si>
  <si>
    <t>[Natali, Delphine; Girerd, Barbara; Montani, David; Simonneau, Gerald; Humbert, Marc; Sitbon, Olivier] Hop Antoine Beclere, AP HP, Serv Pneumol &amp; Reanimat, Ctr Reference Hypertens Pulm Severe, F-92140 Clamart, France; [Natali, Delphine; Girerd, Barbara; Montani, David; Simonneau, Gerald; Humbert, Marc; Sitbon, Olivier] Univ Paris 11, Fac Med, Le Kremlin Bicetre, France; [Natali, Delphine; Girerd, Barbara; Montani, David; Simonneau, Gerald; Humbert, Marc; Sitbon, Olivier] Ctr Chirurg Marie Lannelongue, INSERM, U999, Le Plessis Robinson, France; [Soubrier, Florent] Univ Paris 06, INSERM, UPMC, Grp Hosp Pitie Salpetriere,UMRS 956,Lab Oncogenet, Paris, France</t>
  </si>
  <si>
    <t>We report a case of pulmonary arterial hypertension (PAH) occurring in a patient with Cowden syndrome with a mutation in the phosphatase and tensin (PTEN) tumor suppressor gene, in the context of exposure to the appetite suppressant dexfenfluramine. Anorexigen exposure is known to be a risk factor for PAH. However, the role of PTEN in cell function and the development of pulmonary vascular remodeling and histopathologic signs of PAH in mice with a Pten depletion in smooth muscle cells suggest that the association of PAH and Cowden syndrome may be relevant. In this case report, we hypothesize that PTEN mutations may be a predisposing factor for the development of PAH, with anorexigen exposure as a potential trigger. CHEST 2011; 140(4):1066-1068</t>
  </si>
  <si>
    <t>PTEN</t>
  </si>
  <si>
    <t>Pulmonary Arterial Hypertension in a Patient With Cowden Syndrome and Anorexigen Exposure</t>
  </si>
  <si>
    <t>Natali, Delphine; Girerd, Barbara; Montani, David; Soubrier, Florent; Simonneau, Gerald; Humbert, Marc; Sitbon, Olivier</t>
  </si>
  <si>
    <t>Natali, D; Girerd, B; Montani, D; Soubrier, F; Simonneau, G; Humbert, M; Sitbon, O</t>
  </si>
  <si>
    <t>WOS:000295900300028</t>
  </si>
  <si>
    <t>10.1378/chest.10-2473</t>
  </si>
  <si>
    <t>This study was supported by a research grant from Pfizer.</t>
  </si>
  <si>
    <t>Pfizer</t>
  </si>
  <si>
    <t>Launay, David/0000-0003-1840-1817; Le Pavec, Jerome/0000-0003-4426-9645; HACHULLA, ERIC/0000-0001-7432-847X; Humbert, Marc/0000-0003-0703-2892</t>
  </si>
  <si>
    <t>meroni, pier/K-8473-2016; Launay, David/A-5270-2018; HACHULLA, ERIC/R-8488-2018; Launay, David/H-1674-2016; Humbert, Marc/AAC-8459-2019</t>
  </si>
  <si>
    <t>Launay, D (corresponding author), CHRU Lille, Serv Med Interne, Hop Claude Huriez, Ctr Reference Sclerodermie, 1 Rue Michel Polonovski, F-59037 Lille, France.</t>
  </si>
  <si>
    <t>Universite de Lille; CHU Lille; Universite de Lille; Universite Paris Saclay; Assistance Publique Hopitaux Paris (APHP); Hopital Universitaire Antoine-Beclere - APHP; Universite Paris Saclay; Hopital Marie Lannelongue; Institut National de la Sante et de la Recherche Medicale (Inserm); Universite Paris Cite; Assistance Publique Hopitaux Paris (APHP); Hopital Universitaire Cochin - APHP; CHU Lyon; Universite Claude Bernard Lyon 1; Universite Paris Cite; Assistance Publique Hopitaux Paris (APHP); Hopital Universitaire Cochin - APHP; Hospital Foch; Hospital Foch</t>
  </si>
  <si>
    <t>[Launay, David; Hatron, Pierre-Yves; Hachulla, Eric] CHRU Lille, Serv Med Interne, Hop Claude Huriez, Ctr Reference Sclerodermie, F-59037 Lille, France; [Launay, David; Le Pavec, Jerome] Univ Lille 2, Fac Med, IMPRT IFR 114, Immunol EA2686, Lille, France; [Humbert, Marc; Yaici, Azzedine] Univ Paris 11, Fac Med, Le Kremlin Bicetre, France; [Humbert, Marc; Yaici, Azzedine] Hop Antoine Beclere, AP HP, Ctr Natl Reference Hypertens Pulm Severe, Serv Pneumol &amp; Reanimat Resp, Clamart, France; [Humbert, Marc] INSERM, Ctr Chirurg Marie Lannelongue, U999, Le Plessis Robinson, France; [Berezne, Alice; Mouthon, Luc] Univ Paris 05, Ctr Reference Vasc &amp; Sclerodermie, Hop Cochin, AP HP, Paris, France; [Cottin, Vincent] Hosp Civils Lyon, Serv Pneumol, Ctr Reference Malad Pulm Rares, Lyon, France; [Cottin, Vincent] Univ Lyon 1, UMR 754, F-69365 Lyon, France; [Allanore, Yannick] Univ Paris 05, Serv Rhumatol A, Hop Cochin, Paris, France; [Couderc, Louis-Jean] Hop Foch, Serv Pneumol, Suresnes, France; [Bletry, Olivier] Hop Foch, Serv Med Interne, Suresnes, France; [Clerson, Pierre] Orgametrie, Roubaix, France</t>
  </si>
  <si>
    <t>Background: Pulmonary hypertension (PH) complicating systemic sclerosis (SSc)-related interstitial lung disease (ILD) is usually associated with a poor prognosis. However, data are either lacking or scarce on prognostic factors in this condition. The objectives of this study were to compare the survival of patients with ILD-associated PH (PH-ILD) or pulmonary arterial hypertension (PAH) and to determine whether the severity of PH has prognostic value in SSc-associated PH-ILD. Methods: Consecutive patients with SSc and PH-ILD (n = 47) or PAH (n = 50) confirmed by rightsided heart catheterization were included in a cross-sectional analysis. PH was classified as mild (mean pulmonary arterial pressure [mPAP] &lt;= 35 mm Hg) or moderate to severe (mPAP &gt;35 mm Hg). Results: As compared with patients with PAH, subjects with PH-ILD were younger, were more frequently men with a history of smoking, had more frequently diffuse SSc, less frequently anti-centromere antibodies, and a lower FVC/diffusing capacity of lung for carbon monoxide (DLCO) ratio. They had a worse prognosis than patients with PAH (3-year survival of 47% vs 71%, respectively; P=.07). Patients with mild PH-ILD had similar poor outcomes when compared with those with moderate to severe PH-ILD. Pericardial effusion (hazard ratio [HR], 2.44; P=.04) and lower DLCO (HR, 0.96; P=.01) were the only independent factors predictive of a poor survival in the PH-ILD group. Conclusions: Patients with SSc with PH-ILD had a different phenotype and a worse prognosis than those with SSc and PAH. Lower DLCO and presence of pericardial effusion were predictive of a poor outcome in PH-ILD, whereas mPAP seemed to have no prognostic significance. CHEST 2011; 140(4):1016-1024</t>
  </si>
  <si>
    <t>ARTERIAL-HYPERTENSION; VENOOCCLUSIVE DISEASE; PREVALENCE; THERAPY; FIBROSIS; BOSENTAN; MODERATE</t>
  </si>
  <si>
    <t>Clinical Characteristics and Survival in Systemic Sclerosis-Related Pulmonary Hypertension Associated With Interstitial Lung Disease</t>
  </si>
  <si>
    <t>Launay, David; Humbert, Marc; Berezne, Alice; Cottin, Vincent; Allanore, Yannick; Couderc, Louis-Jean; Bletry, Olivier; Yaici, Azzedine; Hatron, Pierre-Yves; Mouthon, Luc; Le Pavec, Jerome; Clerson, Pierre; Hachulla, Eric</t>
  </si>
  <si>
    <t>Launay, D; Humbert, M; Berezne, A; Cottin, V; Allanore, Y; Couderc, LJ; Bletry, O; Yaici, A; Hatron, PY; Mouthon, L; Le Pavec, J; Clerson, P; Hachulla, E</t>
  </si>
  <si>
    <t>WOS:000297564100022</t>
  </si>
  <si>
    <t>855KU</t>
  </si>
  <si>
    <t>10.3899/jrheum.110344</t>
  </si>
  <si>
    <t>Supported in part by unrestricted educational grants from Actelion, Encysive, Pfizer, Bayer-Schering, and United Therapeutics.</t>
  </si>
  <si>
    <t>Actelion; Encysive; Pfizer(Pfizer); Bayer-Schering(Bayer AG); United Therapeutics</t>
  </si>
  <si>
    <t>Actelion; Encysive; Pfizer; Bayer-Schering; United Therapeutics</t>
  </si>
  <si>
    <t>Avouac, Jerome/0000-0002-2463-218X; Huscher, Dorte/0000-0001-9070-0761; Humbert, Marc/0000-0003-0703-2892; Kowal-Bielecka, Otylia/0000-0002-0613-1306; Nash, Peter/0000-0002-2571-788X</t>
  </si>
  <si>
    <t>MATUCCI CERINIC, MARCO/AAO-2769-2020; Distler, Oliver/AAE-6225-2019; Pittrow, David/AAY-5042-2021; Behrens, Frank/AAI-8910-2021; furst, daniel/B-7316-2014; Rubin, Lewis/AEW-1719-2022; Opitz, Christian/L-3438-2019; avouac, Jérôme/AAD-2101-2020; Humbert, Marc/AAC-8459-2019; Kowal-Bielecka, Otylia/T-3378-2018; Nash, Peter/D-7392-2013</t>
  </si>
  <si>
    <t>[Distler, Oliver] Univ Zurich Hosp, Dept Rheumatol, CH-8091 Zurich, Switzerland; [Kowal-Bielecka, Otylia] Med Univ Bialystok, Dept Rheumatol &amp; Internal Med, Bialystok, Poland; [Avouac, Jerome] RDU, Dept Rheumatol A, Paris, France; [Pittrow, David] Tech Univ, Fac Med, Inst Clin Pharmacol, Dresden, Germany; [Huscher, Doerte] Goethe Univ Frankfurt, Div Rheumatol, ZAFES, Frankfurt, Germany; [Behrens, Frank] German Rheumatism Res Ctr, Berlin, Germany; [Denton, Christopher P.] Royal Free &amp; Univ Coll, Sch Med, Ctr Rheumatol, London, England; [Foeldvari, Ivan] Gen Hosp Eilbek, Pediat Rheumatol Clin, Hamburg, Germany; [Humbert, Marc] Univ Paris 11, Serv Pneumol &amp; Reanimat Resp, Ctr Malad Vasc Pulm, Hop Antoine Beclere, Clamart, France; [Matucci-Cerinic, Marco] Univ Florence, Dept Med, Div Rheumatol, Denothe Ctr, Florence, Italy; [Nash, Peter] Cotton Tree, Rheumatol Res Unit, Sunshine Coast, Qld, Australia; [Opitz, Christian F.] DRK Kliniken Berlin Kopenick, Klin Innere Med, Berlin, Germany; [Rubin, Lewis J.] Univ Calif San Diego, Sch Med, Div Pulm &amp; Crit Care Med, La Jolla, CA 92093 USA; [Seibold, James R.] Univ Michigan, Scleroderma Program, Ann Arbor, MI 48109 USA; [Strand, Vibeke] Stanford Univ, Sch Med, Div Rheumatol &amp; Immunol, Portola Valley, CA USA; [Furst, Daniel E.] Univ Calif Los Angeles, David Geffen Sch Med, Div Rheumatol, Dept Med, Los Angeles, CA 90095 USA</t>
  </si>
  <si>
    <t>Objective. We aimed to assess the current validity status of the Health Assessment Questionnaire Disability Index (HAQ-DI) and the 36-item Medical Outcomes Study Short Form Health Survey (SF-36). Methods. Studies using HAQ-DI and/or SF-36 in patients with pulmonary arterial hypertension (PAH) associated with systemic sclerosis (PAH-SSc) were identified through a systematic literature review and assessed according to the Outcome Measures in Rheumatology Clinical Trials (OMERACT) consensus group criteria. Results. Both HAQ-DI and SF-36 were considered credible (having face validity) and feasible. Based on expert opinion, neither HAQ-DI nor SF-36 was specific for PAH-SSc since their results may be influenced by other aspects of SSc (judged unclear with respect to the content validity criterion). In the overall SSc population, there was significant albeit weak correlation between physical component SF-36 scores and pulmonary artery systolic pressure (PASP) by echocardiography (Kendall tau b = -0.2, p &lt; 0.01). Although HAQ-DI also correlated with PASP by echocardiography, there were no significant correlations in SSc patients with PAH proven by right heart catheterization between changes in HAQ-DI over time and changes in other PAH measures including 6-min walk distance (r = -0.04, p = 0.86), expert global assessment (r = 0.06, p = 0.97), and New York Heart Association functional class (r = 0.38, p = 0.39), indicating lack of construct validity for HAQ-DI in PAH-SSc. No studies enabling assessment of criterion validity or discrimination of HAQ-DI or SF-36 in PAH-SSc could be identified. Conclusion. Further validation of HAQ and SF-36 in PAH-SSc is needed. Alternatively, more specific assessments for functional disability or quality of life in PAH-SSc might be required. (First Release Oct 1 2011; J Rheumatol 2011;38:2419-27; doi:10.3899/jrheum.110344)</t>
  </si>
  <si>
    <t>HEALTH-ASSESSMENT QUESTIONNAIRE; CLINICAL-TRIALS; INDEX; SCLERODERMA; VALIDITY; DYSPNEA</t>
  </si>
  <si>
    <t>SYSTEMIC SCLEROSIS; QUALITY OF LIFE; CLINICAL TRIALS; EPOSS; HEALTH ASSESSMENT QUESTIONNAIRE; OUTCOMES; SCLERODERMA</t>
  </si>
  <si>
    <t>Analysis of the Validation Status of Quality of Life and Functional Disability Measures in Pulmonary Arterial Hypertension Related to Systemic Sclerosis: Results of a Systematic Literature Analysis by the Expert Panel on Outcomes Measures in Pulmonary Arterial Hypertension Related to Systemic Sclerosis (EPOSS)</t>
  </si>
  <si>
    <t>WOS:000297221100039</t>
  </si>
  <si>
    <t>850TC</t>
  </si>
  <si>
    <t>10.1002/art.30541</t>
  </si>
  <si>
    <t>Supported by Actelion Pharmaceuticals France.Dr. Humbert has received speaking fees, consulting fees, and/or honoraria from Actelion, Bayer Schering, GlaxoSmithKline, Eli Lilly, Novartis, Pfizer, and United Therapeutics (less than $10,000 each). Dr. de Groote has received speaking fees, consulting fees, and/or honoraria from Actelion, Pfizer, GlaxoSmithKline, Eli Lilly, and Bayer Schering (less than $10,000 each). Dr. Montani has received speaking fees, consulting fees, and/or honoraria from Actelion, Bayer Schering, GlaxoSmithKline, Eli Lilly, and Pfizer. Dr. Sitbon has received speaking fees, consulting fees, and/or honoraria from Actelion, Bayer Schering, GlaxoSmithKline, Eli Lilly, Novartis, Pfizer, and United Therapeutics (less than $10,000 each). Dr. Launay has received speaking fees, consulting fees, and/or honoraria from Actelion, Pfizer, Eli Lilly, and United Therapeutics (less than $10,000 each). Dr. Gressin owns stock or stock options in Actelion Pharmaceuticals France. Dr. Guillevin has received speaking fees and honoraria from Actelion (less than $10,000). Dr. Clerson has received consulting fees and/or honoraria from Actelion and Pfizer (more than $10,000 each). Dr. Simonneau has received speaking fees, consulting fees, and/or honoraria from Pfizer, GlaxoSmithKline, Actelion, Eli Lilly, United Therapeutics, and Bayer Schering (less than $10,000 each); he has received research grants from Pfizer, GlaxoSmithKline, Actelion, Eli Lilly and United Therapeutics. Dr. Hachulla has received speaking fees, consulting fees, and/or honoraria from Actelion, Pfizer, GlaxoSmithKline, Eli Lilly, and United Therapeutics (less than $10,000 each). Dr. Humbert's institution received an unrestricted grant from Actelion for providing logistical support, monitoring, project management, data management, and statistical analysis for the French Pulmonary Arterial Hypertension Registry and the ItinerAIR-Sclerodermie study. Drs. de Groote, Montani, and Sitbon's institution received an unrestricted grant from Actelion for providing logistical support, monitoring, project management, data management, and statistical analysis for the ItinerAIR-Sclerodermie study. Dr. Yaici's institution has received fees from Actelion for participation in review activities. Dr. Hachulla's institution has received research grants from Actelion and Pfizer.</t>
  </si>
  <si>
    <t>Actelion Pharmaceuticals France; Actelion; Bayer Schering(Bayer AG); GlaxoSmithKline(GlaxoSmithKline); Eli Lilly(Eli Lilly); Novartis(Novartis); Pfizer(Pfizer); United Therapeutics</t>
  </si>
  <si>
    <t>Actelion Pharmaceuticals France; Actelion; Bayer Schering; GlaxoSmithKline; Eli Lilly; Novartis; Pfizer; United Therapeutics</t>
  </si>
  <si>
    <t>Launay, David/0000-0003-1840-1817; HACHULLA, ERIC/0000-0001-7432-847X; SITBON, Olivier/0000-0002-1942-1951; Montani, David/0000-0002-9358-6922; de Groote, Pascal/0000-0002-6211-0147; Humbert, Marc/0000-0003-0703-2892</t>
  </si>
  <si>
    <t>Sitbon, Olivier/I-3623-2019; DE GROOTE, Pascal/LLL-9444-2024; David, Montani/I-6885-2019; HACHULLA, ERIC/R-8488-2018; Launay, David/A-5270-2018; Simonneau, Gerald/ABE-6614-2020; Launay, David/H-1674-2016; Humbert, Marc/AAC-8459-2019</t>
  </si>
  <si>
    <t>Assistance Publique Hopitaux Paris (APHP); Hopital Universitaire Antoine-Beclere - APHP; Universite Paris Saclay; Universite Paris Saclay; Hopital Marie Lannelongue; Institut National de la Sante et de la Recherche Medicale (Inserm); Universite Paris Saclay; Universite de Lille; CHU Lille; Universite de Lille; CHU Lille; Universite Paris Cite</t>
  </si>
  <si>
    <t>[Humbert, Marc] Univ Paris 11, Hop Antoine Beclere, AP HP, Serv Pneumol &amp; Reanimat Resp, F-92140 Clamart, France; [Humbert, Marc; Yaici, Azzedine; Montani, David; Sitbon, Olivier; Simonneau, Gerald] Univ Paris 11, Le Kremlin Bicetre, France; [Humbert, Marc; Yaici, Azzedine; Montani, David; Sitbon, Olivier; Simonneau, Gerald] Ctr Chirurg Marie Lannelongue, INSERM, U999, Le Plessis Robinson, France; [de Groote, Pascal] Univ Lille 2, Hop Cardiol, Lille, France; [Launay, David; Hachulla, Eric] Ctr Natl Reference Sclerodermie Syst, Lille, France; [Launay, David; Hachulla, Eric] Hop Claude Huriez, Lille, France; [Gressin, Virginie] Actel Pharmaceut France, Paris, France; [Guillevin, Loic] Univ Paris 05, Paris, France; [Guillevin, Loic] Ctr Natl Reference Vasc Necrosantes &amp; Sclerodermi, Paris, France; [Clerson, Pierre] Orgametrie Biostat, Roubaix, France</t>
  </si>
  <si>
    <t>Objective. Pulmonary arterial hypertension (PAH) is a severe, life-limiting complication of systemic sclerosis (SSc). Guidelines recommend early detection and management of SSc-PAH. However, little is known about the impact of detection programs on patients with SSc-PAH. This study was undertaken to assess the clinical characteristics of patients with SSc-PAH at diagnosis and their long-term outcomes. Methods. Two incident cohorts of patients with SSc-PAH from the same management era (2002/2003) were studied. The first cohort (designated the routine practice cohort) included consecutive adult patients with symptomatic SSc in whom a diagnosis of PAH was made by right-sided heart catheterization (RHC) at the time of recruitment into the French PAH Registry. The second cohort (designated the detection cohort) comprised consecutive patients with SSc who entered a systematic PAH detection program and were subsequently found to have PAH on RHC. Clinical characteristics at diagnosis of PAH and subsequent 8-year mortality were compared between the cohorts. Results. There were 16 patients in each cohort. At the time of PAH diagnosis, patients in the detection cohort had less advanced pulmonary vascular disease compared with patients in the routine practice cohort, as evidenced by more patients being in New York Heart Association class I and class II, a lower mean pulmonary artery pressure and pulmonary vascular resistance index, and a higher cardiac output. Patients in the detection cohort were less likely to receive diuretics and warfarin, but there was no difference in exposure to PAH-specific therapies between the cohorts. The 1-, 3-, 5-, and 8-year survival rates were 75%, 31%, 25%, and 17%, respectively, in the routine practice cohort compared with 100%, 81%, 73%, and 64%, respectively, in the detection cohort (P = 0.0037). Conclusion. Compared with patients in routine clinical practice, PAH detection programs in SSc are able to identify patients with milder forms of the disease, allowing earlier management.</t>
  </si>
  <si>
    <t>REGISTRY; DEATH</t>
  </si>
  <si>
    <t>Screening for Pulmonary Arterial Hypertension in Patients With Systemic Sclerosis Clinical Characteristics at Diagnosis and Long-Term Survival</t>
  </si>
  <si>
    <t>Humbert, Marc; Yaici, Azzedine; de Groote, Pascal; Montani, David; Sitbon, Olivier; Launay, David; Gressin, Virginie; Guillevin, Loic; Clerson, Pierre; Simonneau, Gerald; Hachulla, Eric</t>
  </si>
  <si>
    <t>Humbert, M; Yaici, A; de Groote, P; Montani, D; Sitbon, O; Launay, D; Gressin, V; Guillevin, L; Clerson, P; Simonneau, G; Hachulla, E</t>
  </si>
  <si>
    <t>WOS:000299738702182</t>
  </si>
  <si>
    <t>884WE</t>
  </si>
  <si>
    <t>A9958</t>
  </si>
  <si>
    <t>NOV 22</t>
  </si>
  <si>
    <t>Degano, Bruno/IAQ-7289-2023; , CRACOWSKI/M-6946-2014; Labarère, José/N-1688-2014; Humbert, Marc/AAC-8459-2019</t>
  </si>
  <si>
    <t>University of Hamburg; University Medical Center Hamburg-Eppendorf; Communaute Universite Grenoble Alpes; Universite Grenoble Alpes (UGA); CHU Grenoble Alpes; Universite de Franche-Comte; CHU Besancon; CHU de Nancy; Universite de Lorraine; CHU Grenoble Alpes; Communaute Universite Grenoble Alpes; Universite Grenoble Alpes (UGA); Universite Paris Saclay; Assistance Publique Hopitaux Paris (APHP); Hopital Universitaire Antoine-Beclere - APHP</t>
  </si>
  <si>
    <t>[Schwedhelm, Edzard; Kom, Ghainsom D.; Boeger, Rainer H.] Univ Med Cntr Hamburg Eppendorf, Hamburg, Germany; [Cracowski, Jean-Luc] Univ Hosp Grenoble, Dept Clin Pharmacol, Grenoble, France; [Degano, Bruno] Univ Hosp Besancon, Dept Physiol, Besancon, France; [Chabot, Francois] Univ Hosp Nancy, Dept Pulmonol, Nancy, France; [Labarere, Jose] Univ Hosp Grenoble, Qual Care Unit, Grenoble, France; [Humbert, Marc] Univ Paris 11, Hosp Antoine Beclere, Clamart, France</t>
  </si>
  <si>
    <t>Pharmacology; Prostaglandins; Pulmonary hypertension; Risk factors; Cardiovascular disease</t>
  </si>
  <si>
    <t>The Cardiovascular Risk Factor 8-iso-Prostaglandin F2alpha Independently Predicts Mortality in Pulmonary Artery Hypertension</t>
  </si>
  <si>
    <t>Schwedhelm, Edzard; Cracowski, Jean-Luc; Kom, Ghainsom D.; Degano, Bruno; Chabot, Francois; Labarere, Jose; Boeger, Rainer H.; Humbert, Marc</t>
  </si>
  <si>
    <t>Schwedhelm, E; Cracowski, JL; Kom, GD; Degano, B; Chabot, F; Labarère, J; Böger, RH; Humbert, M</t>
  </si>
  <si>
    <t>WOS:000297246800010</t>
  </si>
  <si>
    <t>851CV</t>
  </si>
  <si>
    <t>10.1002/humu.21605</t>
  </si>
  <si>
    <t>Contract grant sponsor: British Heart Foundation (RG/08/006/25302 [to R.C.T.], FS/07/036 [to R.D.M.]); National Institute for Health Research (Comprehensive Biomedical Research Centre award [to M.T.N]).</t>
  </si>
  <si>
    <t>British Heart Foundation(British Heart Foundation); National Institute for Health Research(National Institutes of Health Research (NIHR))</t>
  </si>
  <si>
    <t>British Heart Foundation [RG/08/006/25302, FS/07/036]; National Institute for Health Research</t>
  </si>
  <si>
    <t>Ogo, Takeshi/0000-0003-1180-9262; Southgate, Laura/0000-0002-2090-1450; Bradshaw, Teisha Yo-Stella/0000-0001-8760-2335; Machado, Rajiv David/0000-0001-9247-0744; Lord, Graham/0000-0003-2069-4743; Humbert, Marc/0000-0003-0703-2892; Nasim, Talat/0000-0003-1968-5663; Trembath, Richard/0000-0003-0550-3400; Lee, Grace J./0009-0005-1508-7211; Nakamura, Kazufumi/0000-0001-8845-3626</t>
  </si>
  <si>
    <t>Machado, Rajiv David/AAD-7813-2019; Snape, Katie/AAA-8101-2022; Lord, Graham/B-3797-2011; Southgate, Laura/H-7924-2019; Humbert, Marc/AAC-8459-2019</t>
  </si>
  <si>
    <t>richard.trembath@kcl.ac.uk</t>
  </si>
  <si>
    <t>Trembath, RC (corresponding author), Kings Coll London, Div Genet &amp; Mol Med, Sch Med, Guys Hosp,Dept Med &amp; Mol Genet, 8th Floor,Tower Wing, London SE1 9RT, England.</t>
  </si>
  <si>
    <t>University of London; King's College London; Guy's &amp; St Thomas' NHS Foundation Trust; University of London; King's College London; Guy's &amp; St Thomas' NHS Foundation Trust; Imperial College London; Imperial College London; Okayama University; Universite Paris Saclay; Institut National de la Sante et de la Recherche Medicale (Inserm); Assistance Publique Hopitaux Paris (APHP); Hopital Universitaire Antoine-Beclere - APHP; Universite Paris-Est-Creteil-Val-de-Marne (UPEC); Sorbonne Universite; Assistance Publique Hopitaux Paris (APHP); Hopital Universitaire Pitie-Salpetriere - APHP; University of Cambridge</t>
  </si>
  <si>
    <t>[Trembath, Richard C.] Kings Coll London, Div Genet &amp; Mol Med, Sch Med, Guys Hosp,Dept Med &amp; Mol Genet, London SE1 9RT, England; [Jackson, Ian; Lord, Graham M.] Kings Coll London, MRC Ctr Transplantat, Sch Med, Guys Hosp, London SE1 9RT, England; [Gibbs, J. Simon R.] Univ London Imperial Coll Sci Technol &amp; Med, Natl Heart &amp; Lung Inst, London SW7 2AZ, England; [Wilkins, Martin R.] Univ London Imperial Coll Sci Technol &amp; Med, Div Expt Med, London, England; [Ohta-Ogo, Keiko; Nakamura, Kazufumi] Okayama Univ, Dept Cardiovasc Med, Grad Sch Med Dent &amp; Pharmaceut Sci, Okayama 7008530, Japan; [Girerd, Barbara; Humbert, Marc] Univ Paris 11, INSERM U99, Serv Pneumol, Hop Antoine Beclere,AP HP, Paris, France; [Coulet, Florence; Soubrier, Florent] Grp Hosp Pitie Salpetriere, Lab Oncogenet &amp; Angiogenet Mol, Dept Genet, F-75634 Paris, France; [Morrell, Nicholas W.] Univ Cambridge, Dept Med, Cambridge CB2 2QQ, England</t>
  </si>
  <si>
    <t>Heterozygous germline mutations of BMPR2 contribute to familial clustering of pulmonary arterial hypertension (PAH). To further explore the genetic basis of PAH in isolated cases, we undertook a candidate gene analysis to identify potentially deleterious variation. Members of the bone morphogenetic protein (BMP) pathway, namely SMAD1, SMAD4, SMAD5, and SMAD9, were screened by direct sequencing for gene defects. Four variants were identified in SMADs 1, 4, and 9 among a cohort of 324 PAH cases, each not detected in a substantial control population. Of three amino acid substitutions identified, two demonstrated reduced signaling activity in vitro. A putative splice site mutation in SMAD4 resulted in moderate transcript loss due to compromised splicing efficiency. These results demonstrate the role of BMPR2 mutation in the pathogenesis of PAH and indicate that variation within the SMAD family represents an infrequent cause of the disease. 32:13851389, 2011. (C) 2011 Wiley Periodicals, Inc.</t>
  </si>
  <si>
    <t>RECEPTOR MUTATIONS; BETA-RECEPTOR; BMPR2</t>
  </si>
  <si>
    <t>pulmonary hypertension; BMPR2; SMAD4; transcriptional regulation</t>
  </si>
  <si>
    <t>Molecular genetic characterization of SMAD signaling molecules in pulmonary arterial hypertension</t>
  </si>
  <si>
    <t>Nasim, Md. Talat; Ogo, Takeshi; Ahmed, Mohammad; Randall, Rebecca; Chowdhury, Hasnin M.; Snape, Katie M.; Bradshaw, Teisha Y.; Southgate, Laura; Lee, Grace J.; Jackson, Ian; Lord, Graham M.; Gibbs, J. Simon R.; Wilkins, Martin R.; Ohta-Ogo, Keiko; Nakamura, Kazufumi; Girerd, Barbara; Coulet, Florence; Soubrier, Florent; Humbert, Marc; Morrell, Nicholas W.; Trembath, Richard C.; Machado, Rajiv D.</t>
  </si>
  <si>
    <t>Nasim, MT; Ogo, T; Ahmed, M; Randall, R; Chowdhury, HM; Snape, KM; Bradshaw, TY; Southgate, L; Lee, GJ; Jackson, I; Lord, GM; Gibbs, JSR; Wilkins, MR; Ohta-Ogo, K; Nakamura, K; Girerd, B; Coulet, F; Soubrier, F; Humbert, M; Morrell, NW; Trembath, RC; Machado, RD</t>
  </si>
  <si>
    <t>WOS:000298941800033</t>
  </si>
  <si>
    <t>874FW</t>
  </si>
  <si>
    <t>10.1378/chest.11-0793</t>
  </si>
  <si>
    <t>Dr Price receives funding from the British Heart Foundation. Dr Perros is supported by the FRM [Grant DEQ20100318257]. Drs Montani and Dorfmuller are supported by a grant from Association HTAPFrance.</t>
  </si>
  <si>
    <t>British Heart Foundation(British Heart Foundation); FRM(Fondation pour la Recherche Medicale); Association HTAPFrance</t>
  </si>
  <si>
    <t>British Heart Foundation; FRM [DEQ20100318257]; Association HTAPFrance</t>
  </si>
  <si>
    <t>Humbert, Marc/0000-0003-0703-2892; Cohen-Kaminsky, Sylvia/0000-0002-6341-7482; Huertas, Alice/0000-0001-8545-747X; Dorfmuller, Peter/0000-0003-2499-6829; Montani, David/0000-0002-9358-6922; Perros, Frederic/0000-0001-7730-2427</t>
  </si>
  <si>
    <t>David, Montani/I-6885-2019; Humbert, Marc/AAC-8459-2019; Cohen-Kaminsky, Sylvia/E-4837-2014; Huertas, Alice/E-8244-2017; Perros, Frederic/N-6921-2017</t>
  </si>
  <si>
    <t>Humbert, M (corresponding author), Hop Antoine Beclere, Assistance Publ Hop Paris, Ctr Natl Reference Hypertens Pulm Severe, Serv Prieurnol &amp; Reanimat Resp, 11,157 Rue Porte Trivaux, F-92140 Clamart, France.</t>
  </si>
  <si>
    <t>Assistance Publique Hopitaux Paris (APHP); Universite Paris Cite; Hopital Universitaire Saint-Louis - APHP; Hopital Universitaire Antoine-Beclere - APHP; Universite Paris Saclay; Hopital Marie Lannelongue; Royal Brompton Hospital; Imperial College London</t>
  </si>
  <si>
    <t>[Price, Laura C.; Perros, Frederic; Dorfmueller, Peter; Huertas, Alice; Montani, David; Cohen-Kaminsky, Sylvia; Humbert, Marc] Hop Antoine Beclere, Assistance Publ Hop Paris, Ctr Natl Reference Hypertens Pulm Severe, Serv Prieurnol &amp; Reanimat Resp, F-92140 Clamart, France; [Price, Laura C.; Perros, Frederic; Dorfmueller, Peter; Huertas, Alice; Montani, David; Cohen-Kaminsky, Sylvia; Humbert, Marc] Univ Paris Sud, Fac Med, Le Kremlin Bicetre, France; [Price, Laura C.; Perros, Frederic; Dorfmueller, Peter; Huertas, Alice; Montani, David; Cohen-Kaminsky, Sylvia; Humbert, Marc] Ctr Chirurg Marie Lannelongue, Le Plessis Robinson, France; [Price, Laura C.; Wort, S. John] Univ London Imperial Coll Sci Technol &amp; Med, Royal Brompton Hosp, Natl Heart &amp; Lung Inst, London, England</t>
  </si>
  <si>
    <t>Pulmonary arterial hypertension (PAH) is characterized by pulmonary vascular remodeling of the precapillary pulmonary arteries, with excessive proliferation of vascular cells. Although the exact pathophysiology remains unknown, there is increasing evidence to suggest an important role for inflammation. Firstly, pathologic specimens from patients with PAH reveal an accumulation of perivascular inflammatory cells, including macrophages, dendritic cells, T and B lymphocytes, and mast cells. Secondly, circulating levels of certain cytokines and chemokines are elevated, and these may correlate with a worse clinical outcome. Thirdly, certain inflammatory conditions such as connective tissue diseases are associated with an increased incidence of PAH. Finally, treatment of the underlying inflammatory condition may alleviate the associated PAH. Underlying pathologic mechanisms are likely to be multihit and complex. For instance, the inflammatory response may be regulated by bone morphogenetic protein receptor type 2 (BMPR II) status, and, in turn, BMPR II expression can be altered by certain cytokines. Although antiinflammatory therapies have been effective in certain connective-tissue-disease-associated PAH, this approach is untested in idiopathic PAH (iPAH). The potential benefit of antiinflammatory therapies in iPAH is of importance and requires further study. CHEST 2012; 141(1):210-221</t>
  </si>
  <si>
    <t>ANTIENDOTHELIAL CELL ANTIBODIES; GROWTH-FACTOR EXPRESSION; EPSTEIN-BARR-VIRUS; TOXIC OIL SYNDROME; SYSTEMIC-SCLEROSIS; T-CELLS; IMMUNOSUPPRESSIVE THERAPY; ENDOTHELIAL-CELLS; NUCLEAR-FACTOR; GERMLINE MUTATIONS</t>
  </si>
  <si>
    <t>Inflammation in Pulmonary Arterial Hypertension</t>
  </si>
  <si>
    <t>Price, Laura C.; Wort, S. John; Perros, Frederic; Dorfmueller, Peter; Huertas, Alice; Montani, David; Cohen-Kaminsky, Sylvia; Humbert, Marc</t>
  </si>
  <si>
    <t>Price, LC; Wort, SJ; Perros, F; Dorfmüller, P; Huertas, A; Montani, D; Cohen-Kaminsky, S; Humbert, M</t>
  </si>
  <si>
    <t>WOS:000303777400009</t>
  </si>
  <si>
    <t>BAC00</t>
  </si>
  <si>
    <t>Prog. Respir. Res.</t>
  </si>
  <si>
    <t>PROG RESPIR RES</t>
  </si>
  <si>
    <t>978-3-8055-9914-6</t>
  </si>
  <si>
    <t>1422-2140</t>
  </si>
  <si>
    <t>POSTFACH, CH-4009 BASEL, SWITZERLAND</t>
  </si>
  <si>
    <t>Humbert, M (corresponding author), Univ Paris 11, Hop Antoine Beclere, AP HP, Serv Pneumol, 157 Rue Porte Trivaux, FR-92140 Clamart, France.</t>
  </si>
  <si>
    <t>Royal Brompton Hospital; Imperial College London; University of London; University College London; Assistance Publique Hopitaux Paris (APHP); Hopital Universitaire Antoine-Beclere - APHP; Universite Paris Saclay</t>
  </si>
  <si>
    <t>[Price, Laura; Wort, S. John] Royal Brompton Hosp, Dept Crit Care, Natl Heart &amp; Lung Inst, London SW3 6LY, England; [Bouillon, Kim] UCL, Dept Epidemiol &amp; Publ Hlth, London, England; [Humbert, Marc] Univ Paris 11, Ctr Natl Reference Hypertens Arterielle Pulm, Serv Pneumol &amp; Reanimat Resp, Hop Antoine Beclere,AP HP, Clamart, France</t>
  </si>
  <si>
    <t>Pulmonary arterial hypertension (PAH) is a progressive disease leading to remodeling of small pulmonary arteries. The exact pathogenesis of PAH is uncertain; however, several risk factors are likely to contribute. These include inflammatory 'hits', such as a viral infection, and inherited disorders in vascular cell growth, such as a mutation in the bone morphogenetic protein receptor type 2 gene. It has also become apparent, first through early associations and later with larger epidemiological studies, that the use of certain drugs and toxins are important in triggering PAH, especially in susceptible individuals. One of the earliest observations of drug-related PAH followed use of the stimulant appetite suppressant aminorex fumarate. Similar associations have also been reported, especially in other stimulant anorectics such as the serotonin reuptake inhibitor dexfenfluramine, as well as a range of other agents, including illegal substances. Agents are described to cause 'isolated PAH', or PAH as part of a multisystem process, such as that which followed toxic oil syndrome in the 1980s. Furthermore, some substances specifically lead to pulmonary veno-occlusive disease. All these agents have been recently categorized according to the strength of their association with PAH. Clinicians should be aware of the associations of exposure of these drugs with PAH. Copyright (C) 2012 S. Karger AG, Basel</t>
  </si>
  <si>
    <t>VENO-OCCLUSIVE DISEASE; BONE-MARROW-TRANSPLANTATION; VALVULAR HEART-DISEASE; VENOOCCLUSIVE DISEASE; THALIDOMIDE THERAPY; MYALGIA-SYNDROME; OIL SYNDROME; FENFLURAMINE; CHEMOTHERAPY; SEROTONIN</t>
  </si>
  <si>
    <t>Progress in Respiratory Research</t>
  </si>
  <si>
    <t>PULMONARY VASCULAR DISORDERS</t>
  </si>
  <si>
    <t>Drug- and Toxin-Induced Pulmonary Arterial Hypertension</t>
  </si>
  <si>
    <t>Price, Laura; Bouillon, Kim; Wort, S. John; Humbert, Marc</t>
  </si>
  <si>
    <t>Humbert, M; Souza, R; Simonneau, G</t>
  </si>
  <si>
    <t>Price, L; Bouillon, K; Wort, SJ; Humbert, M</t>
  </si>
  <si>
    <t>WOS:000316367800016</t>
  </si>
  <si>
    <t>BEF23</t>
  </si>
  <si>
    <t>10.1183/1025448x.10019711</t>
  </si>
  <si>
    <t>978-1-84984-025-5; 978-1-84984-026-2</t>
  </si>
  <si>
    <t>Valeyre, dominique/0000-0003-4470-1776; Humbert, Marc/0000-0003-0703-2892; Uzunhan, Yurdagul/0000-0002-1607-1407; Brillet, Pierre-Yves/0000-0002-2411-5545</t>
  </si>
  <si>
    <t>Nunes, Hilario/AAM-8127-2020; Humbert, Marc/AAC-8459-2019; Uzunhan, Yurdagul/P-5437-2017</t>
  </si>
  <si>
    <t>hilario.nunes@avc.aphp.fr</t>
  </si>
  <si>
    <t>Nunes, H (corresponding author), Hop Avicenne, Serv Pneumol, 125 Rue Stalingrad, F-93009 Bobigny, France.</t>
  </si>
  <si>
    <t>Assistance Publique Hopitaux Paris (APHP); Hopital Universitaire Avicenne - APHP; Assistance Publique Hopitaux Paris (APHP); Hopital Universitaire Avicenne - APHP; Universite Paris 13; Assistance Publique Hopitaux Paris (APHP); Hopital Universitaire Avicenne - APHP; Universite Paris 13; Universite Paris Saclay; Assistance Publique Hopitaux Paris (APHP); Hopital Universitaire Bicetre - APHP; Institut National de la Sante et de la Recherche Medicale (Inserm); Hopital Marie Lannelongue; Institut National de la Sante et de la Recherche Medicale (Inserm)</t>
  </si>
  <si>
    <t>[Nunes, Hilario; Uzunhan, Yurdagul; Freynet, Olivia; Valeyre, Dominique] Hop Avicenne, Dept Pneumol, F-93009 Bobigny, France; [Brillet, Pierre-Yves] Hop Avicenne, Dept Radiol, F-93009 Bobigny, France; [Kambouchner, Marianne] Univ Paris 13, Avicenne Hosp, AP HP, Dept Pathol,UPRES,EA 2363, Bobigny, France; [Humbert, Marc] Univ Paris 11, Kremlin Bicetre Hosp, AP HP, Dept Pneumol,INSERM,U999, Le Kremlin Bicetre, France; [Humbert, Marc] Ctr Chirurg Marie Lannelongue, INSERM, Hypertens Arterielle Pulm Physiopathol &amp; Innovat, Le Piessis Robinson, France</t>
  </si>
  <si>
    <t>Pulmonary hypertension (PH) affects approximately 6% of unselected patients with sarcoidosis but its prevalence is much higher in advanced pulmonary fibrosis. Although destruction of the distal capillary bed and resultant hypoxaemia are central, the underlying mechanisms are multifactorial: left heart dysfunction, specific pulmonary vasculopathy (which can cause pulmonary veno-occlusive disease), local increased vasoreactivity, extrinsic vascular compression and portal hypertension. As a result, some patients exhibit disproportionate PH, i.e. more severe than expected from the level of functional impairment. There is no validated screening algorithm for the detection of sarcoidosis-associated PH but recent studies have underlined the role of right heart catheterisation (RHC) to exclude post-capillary PH, which is frequently underestimated by echocardiography. PH is associated with a significantly increased morbidity and mortality in sarcoidosis. The cornerstone of management is supportive therapy and lung transplantation in otherwise eligible patients. Rare cases with nonfibrotic pulmonary disease respond to corticosteroids. Published data on the efficacy and safety of pulmonary arterial hypertension (PAH) agents are scarce and discrepant, requiring further studies.</t>
  </si>
  <si>
    <t>BRAIN NATRIURETIC PEPTIDE; LUNG FIBROSIS; ENDOTHELIN-1; HEMODYNAMICS; MORTALITY; CAPACITY; VASORESPONSIVENESS; INVOLVEMENT; SILDENAFIL; EXPRESSION</t>
  </si>
  <si>
    <t>Pulmonary hypertension; pulmonary veno-occlusive disease; sarcoidosis</t>
  </si>
  <si>
    <t>PULMONARY HYPERTENSION</t>
  </si>
  <si>
    <t>Pulmonary hypertension associated with sarcoidosis</t>
  </si>
  <si>
    <t>Nunes, Hilario; Uzunhan, Yurdagul; Freynet, Olivia; Humbert, Marc; Brillet, Pierre-Yves; Kambouchner, Marianne; Valeyre, Dominique</t>
  </si>
  <si>
    <t>Nunes, H; Uzunhan, Y; Freynet, O; Humbert, M; Brillet, PY; Kambouchner, M; Valeyre, D</t>
  </si>
  <si>
    <t>WOS:000303777400017</t>
  </si>
  <si>
    <t>Huertas, Alice/0000-0001-8545-747X; Montani, David/0000-0002-9358-6922; Humbert, Marc/0000-0003-0703-2892</t>
  </si>
  <si>
    <t>Montani, D (corresponding author), Univ Paris 11, Ctr Natl Reference Hypertens Pulm Severe, Serv Pneumol, Hop Antoine Beclere,AP HP, 157 Rue Porte Trivaux, FR-92140 Clamart, France.</t>
  </si>
  <si>
    <t>[Montani, David; Huertas, Alice; Dorfmueller, Peter; Humbert, Marc] Univ Paris 11, Fac Med, Le Kremlin Bicetre, France; [Montani, David; Huertas, Alice; Dorfmueller, Peter; Humbert, Marc] Hop Antoine Beclere, AP HP, Ctr Natl Reference Hypertens Pulm Severe, Serv Pneumol &amp; Reanimat Resp, Clamart, France; [Montani, David; Huertas, Alice; Dorfmueller, Peter; Humbert, Marc] Ctr Chirurg Marie Lannelongue, INSERM U999, LabEx LERMIT, Le Plessis Robinson, France</t>
  </si>
  <si>
    <t>Pulmonary veno-occlusive disease (PVOD) is a rare disorder that can be misdiagnosed as idiopathic pulmonary arterial hypertension (PAH) and accounts for 5-10% of cases initially considered as idiopathic PAH. PVOD and idiopathic PAH share a similar clinical presentation, genetic background, and hemodynamic profile. Chest high-resolution computed tomography (HRCT) may be suggestive, but definitive diagnosis necessitates a surgical lung biopsy. However, this procedure presents high risks in these patients and is generally not recommended. Therefore, a noninvasive diagnostic approach using chest HRCT, arterial blood gas analysis, pulmonary function tests, and bronchoalveolar lavage may be helpful to detect PVOD. PVOD is characterized by a poor prognosis and the possibility of developing severe pulmonary edema with specific PAH therapy. Lung transplantation remains the treatment of choice. Copyright (C) 2012 S. Karger AG, Basel</t>
  </si>
  <si>
    <t>VENO-OCCLUSIVE DISEASE; BONE-MARROW-TRANSPLANTATION; ARTERIAL-HYPERTENSION; CAPILLARY-PRESSURE; IMMUNOSUPPRESSIVE THERAPY; EPOPROSTENOL THERAPY; VASOACTIVE MEDIATORS; HEMOLYTIC-ANEMIA; CT FINDINGS; PATIENT</t>
  </si>
  <si>
    <t>Pulmonary Veno-Occlusive Disease</t>
  </si>
  <si>
    <t>Montani, David; Huertas, Alice; Dorfmueller, Peter; Humbert, Marc</t>
  </si>
  <si>
    <t>Montani, D; Huertas, A; Dorfmüller, P; Humbert, M</t>
  </si>
  <si>
    <t>WOS:000316367800017</t>
  </si>
  <si>
    <t>10.1183/1025448x.10019811</t>
  </si>
  <si>
    <t>Humbert, Marc/0000-0003-0703-2892; Montani, David/0000-0002-9358-6922; GUNTHER, Sven/0000-0001-8388-6131</t>
  </si>
  <si>
    <t>David, Montani/I-6885-2019; Günther, Sven/ACV-7191-2022; Sitbon, Olivier/I-3623-2019; Humbert, Marc/AAC-8459-2019; GUNTHER, Sven/P-4177-2017</t>
  </si>
  <si>
    <t>Montani, D (corresponding author), Univ Paris 11, Ctr Reference Hypertens Pulm Severe, Hop Bicetre, AP HP,Serv Pneumol, Le Kremlin Bicetre, France.</t>
  </si>
  <si>
    <t>Universite Paris Saclay; Assistance Publique Hopitaux Paris (APHP); Hopital Universitaire Bicetre - APHP; Hopital Universitaire Antoine-Beclere - APHP; Universite Paris Saclay; Institut National de la Sante et de la Recherche Medicale (Inserm); Hopital Marie Lannelongue; Imperial College London; Royal Brompton Hospital</t>
  </si>
  <si>
    <t>[Montani, David; Guenther, Sven; Sitbon, Olivier; Humbert, Marc] Univ Paris 11, Fac Med, Paris, France; [Montani, David; Guenther, Sven; Sitbon, Olivier; Humbert, Marc] Hop Bicetre, AP HP, Ctr Natl Reference Hypertens Pulm Severe, Serv Pneumol, Le Kremlin Bicetre, France; [Montani, David; Humbert, Marc] Ctr Chirurg Marie Lannelongue, INSERM, Hypertens Arterielle Pulm Physiopathol &amp; Innovat, Le Piessis Robinson, France; [Price, Laura] Univ London Imperial Coll Sci Technol &amp; Med, Natl Heart &amp; Lung Inst, London, England; [Price, Laura] Royal Brompton Hosp, Pulm Hypertens Serv, London SW3 6LY, England</t>
  </si>
  <si>
    <t>In the recent classification of pulmonary hypertension (PH), pulmonary veno-occlusive disease (PVOD) and pulmonary capillary haemangiomatosis (PCH) were grouped as a single subcategory within pulmonary arterial hypertension (PAH) because of specific similarities in their diagnosis, prognosis and management. These diseases are characterised by predominant involvement of small pulmonary veins (PVOD) or capillaries (PCH), and cannot be distinguished from idiopathic PAH (IPAH) by their clinical or haemodynamic presentation. Only histopathological examination can confirm the diagnosis, but lung biopsies are high-risk procedures and are not recommended. A less invasive approach combining computed tomography (CT) of the chest, carbon monoxide diffusion and bronchoalveolar lavage (BAL) may be helpful to screen PVOD or PCH patients. These patients have a poor prognosis and were at risk of developing pulmonary oedema with specific PAH therapy. Thus, lung transplantation remains the treatment of choice for PVOD and PCH. In patients with the most severe disease, the cautious use of specific PAH therapy can be proposed as a bridging therapy while the patient awaits a lung transplant.</t>
  </si>
  <si>
    <t>VENO-OCCLUSIVE DISEASE; BONE-MARROW-TRANSPLANTATION; ARTERIAL-HYPERTENSION; IMMUNOSUPPRESSIVE THERAPY; CLINICAL CLASSIFICATION; EPOPROSTENOL THERAPY; VASOACTIVE MEDIATORS; HEMOLYTIC-ANEMIA; NITRIC-OXIDE; CT FINDINGS</t>
  </si>
  <si>
    <t>Pulmonary capillary haemangiomatosis; pulmonary oedema; pulmonary veno-occlusive disease</t>
  </si>
  <si>
    <t>Pulmonary veno-occlusive disease and pulmonary capillary haemangiomatosis</t>
  </si>
  <si>
    <t>Montani, David; Guenther, Sven; Price, Laura; Sitbon, Olivier; Humbert, Marc</t>
  </si>
  <si>
    <t>Montani, D; Günther, S; Price, L; Sitbon, O; Humbert, M</t>
  </si>
  <si>
    <t>WOS:000316367800015</t>
  </si>
  <si>
    <t>10.1183/1025448x.10019611</t>
  </si>
  <si>
    <t>Humbert, Marc/0000-0003-0703-2892; Montani, David/0000-0002-9358-6922; Le Pavec, Jerome/0000-0003-4426-9645</t>
  </si>
  <si>
    <t>abdellatif.tazi@sls.aphp.fr</t>
  </si>
  <si>
    <t>Tazi, A (corresponding author), Hop St Louis, Serv Pneumol, 1 Ave Claude, F-75475 Paris 10, France.</t>
  </si>
  <si>
    <t>Universite Paris Saclay; Assistance Publique Hopitaux Paris (APHP); Hopital Universitaire Antoine-Beclere - APHP; Institut National de la Sante et de la Recherche Medicale (Inserm); Hopital Marie Lannelongue; Universite Paris Cite; Assistance Publique Hopitaux Paris (APHP); University College Dublin; Mater Misericordiae University Hospital</t>
  </si>
  <si>
    <t>[Le Pavec, Jerome; Montani, David; Dorfmueller, Peter; Humbert, Marc] Univ Paris 11, Fac Med, Le Kremlin Bicetre, France; [Le Pavec, Jerome; Montani, David; Dorfmueller, Peter; Humbert, Marc] Hop Antoine Beclere, AP HP, Ctr Natl Reference Hypertens Pulm Severe, Serv Pneumol &amp; Reanimat Resp, Clamart, France; [Le Pavec, Jerome; Montani, David; Dorfmueller, Peter; Humbert, Marc] Ctr Chirurg Marie Lannelongue, INSERM, Hypertens Arterielle Pulm Physiopathol &amp; Innovat, Le Plessis Robinson, France; [Tazi, Abdellatif] Univ Paris Diderot, Paris, France; [Tazi, Abdellatif] Hop St Louis, AP HP, Serv Pneumol, Ctr Natl Reference Histiocytose Langerhansienne, F-75475 Paris 10, France; [O'Callaghan, Dermot S.] Mater Misericordiae Univ Hosp, Dept Resp Med, Dublin, Ireland</t>
  </si>
  <si>
    <t>Pulmonary Langerhans' cell histiocytosis (PLCH) is an uncommon disorder of unknown aetiology that predominantly affects young adult smokers. In patients with advanced disease, who develop airway obstruction and extensive cystic lesions on high-resolution computed tomography (HRCT), precapillary pulmonary hypertension (PH) is frequently observed, though no clear relationship exists between PH and extent of parenchymal lung disease and/or hypoxia. This observation suggests that alternate or additional pathomechanisms contribute to an intrinsic pulmonary vasculopathy that involves both the pre-capillary arterioles and post-capillary venous compartment, in addition to possible pulmonary veno-occlusive disease (PVOD)-like lesions. Patients with PLCH who develop PH have a particularly poor prognosis and early referral for lung transplantation assessment is recommended. Encouraging recent data suggest that agents licensed for use in pulmonary arterial hypertension (PAH) (group 1 of the PH classification) confer improvements in pulmonary haemodynamics and are generally well tolerated. Further investigation into the use of medical therapy in this population is warranted.</t>
  </si>
  <si>
    <t>Cystic lung disease; lung transplantation outcome; pulmonary hypertension; pulmonary Langerhans' cell histiocytosis</t>
  </si>
  <si>
    <t>Pulmonary hypertension in pulmonary Langerhans' cell histiocytosis</t>
  </si>
  <si>
    <t>Le Pavec, Jerome; Montani, David; Dorfmueller, Peter; O'Callaghan, Dermot S.; Humbert, Marc; Tazi, Abdellatif</t>
  </si>
  <si>
    <t>Le Pavec, J; Montani, D; Dorfmüller, P; O'Callaghan, DS; Humbert, M; Tazi, A</t>
  </si>
  <si>
    <t>WOS:000303777400010</t>
  </si>
  <si>
    <t>Jing, Zhi-Cheng/0000-0003-0493-0929; Humbert, Marc/0000-0003-0703-2892</t>
  </si>
  <si>
    <t>Jiang, Xin/AAZ-9178-2021; Jing, Zhi-Cheng/AAT-9081-2021; Humbert, Marc/AAC-8459-2019</t>
  </si>
  <si>
    <t>Jing, ZC (corresponding author), Tongji Univ, Dept Cardiopulm Circulat, Shanghai Pulm Hosp, Sch Med, 507 Zhengmin Rd, Shanghai 200433, Peoples R China.</t>
  </si>
  <si>
    <t>Tongji University; Universite Paris Saclay; Assistance Publique Hopitaux Paris (APHP); Hopital Universitaire Antoine-Beclere - APHP; Institut National de la Sante et de la Recherche Medicale (Inserm)</t>
  </si>
  <si>
    <t>[Jiang, Xin; Jing, Zhi-Cheng] Tongji Univ, Dept Cardiopulm Circulat, Shanghai Pulm Hosp, Sch Med, Shanghai 200433, Peoples R China; [Humbert, Marc] Univ Paris 11, Fac Med, Le Kremlin Bicetre, France; [Humbert, Marc] Hop Antoine Beclere, AP HP, Serv Pneumol, Clamart, France; [Humbert, Marc] INSERM, U999, Clamart, France</t>
  </si>
  <si>
    <t>Idiopathic pulmonary arterial hypertension (IPAH) is a rare and severe disease characterized by a progressive increase of pulmonary vascular resistance without demonstrable cause, always leading to right ventricular failure and premature death. Up to now, nearly all the knowledge about IPAH, including epidemiology, demographics, clinical features, diagnosis, treatment, and prognosis, came from the large-scale registries or clinical studies in Western and developed countries. However, little is known about the status of patient with IPAH in Eastern and developing countries. Most recently, a new registry study aimed to investigate the clinical characteristics of patients with WHO Group 1 pulmonary arterial hypertension in the modern therapeutic era was performed at 9 pulmonary hypertension centers in China. This chapter reviews those large-scale registries and conducts a detail comparison of clinical characteristics of IPAH between developed and developing countries. Copyright (C) 2012 S. Karger AG, Basel</t>
  </si>
  <si>
    <t>CHINESE PATIENTS; SURVIVAL; REGISTRY; DISEASE; BOSENTAN; OBESITY</t>
  </si>
  <si>
    <t>Idiopathic Pulmonary Arterial Hypertension and Its Prognosis in the Modern Management Era in Developed and Developing Countries</t>
  </si>
  <si>
    <t>Jiang, Xin; Humbert, Marc; Jing, Zhi-Cheng</t>
  </si>
  <si>
    <t>Jiang, X; Humbert, M; Jing, ZC</t>
  </si>
  <si>
    <t>WOS:000303777400001</t>
  </si>
  <si>
    <t>IX</t>
  </si>
  <si>
    <t>VIII</t>
  </si>
  <si>
    <t>Humbert, Marc/AAC-8459-2019; Simonneau, Gerald/ABE-6614-2020; Souza, Rogerio/I-3584-2013</t>
  </si>
  <si>
    <t>Humbert, M (corresponding author), Univ Paris 11, Serv Pneumol &amp; Reanimat Resp, Ctr Natl Reference Hypertens Arterielle Pulm Seve, Hop Antoine Beclere,AP HP,Inserm U999, 157 Rue Porte Trivaux, F-92140 Clamart, France.</t>
  </si>
  <si>
    <t>Assistance Publique Hopitaux Paris (APHP); Hopital Universitaire Antoine-Beclere - APHP; Universite Paris Saclay; Institut National de la Sante et de la Recherche Medicale (Inserm); Universidade de Sao Paulo</t>
  </si>
  <si>
    <t>[Humbert, Marc; Simonneau, Gerald] Univ Paris 11, Serv Pneumol &amp; Reanimat Resp, Ctr Natl Reference Hypertens Arterielle Pulm Seve, Hop Antoine Beclere,AP HP,Inserm U999, F-92140 Clamart, France; [Souza, Rogerio] Univ Sao Paulo, Sch Med, Pulm Circulat Unit, Pulm Dept,Heart Inst, BR-05403000 Sao Paulo, Brazil</t>
  </si>
  <si>
    <t>Editorial Material; Book Chapter</t>
  </si>
  <si>
    <t>Pulmonary Vascular Disorders Preface</t>
  </si>
  <si>
    <t>Humbert, Marc; Souza, Rogerio; Simonneau, Gerald</t>
  </si>
  <si>
    <t>WOS:000316367800002</t>
  </si>
  <si>
    <t>10.1183/1025448x.10020212</t>
  </si>
  <si>
    <t>VII</t>
  </si>
  <si>
    <t>Hannover Medical School; Universite Paris Saclay; Universite Paris Saclay; Assistance Publique Hopitaux Paris (APHP); Hopital Universitaire Bicetre - APHP; Hopital Universitaire Antoine-Beclere - APHP; Universite Paris Saclay; Institut National de la Sante et de la Recherche Medicale (Inserm)</t>
  </si>
  <si>
    <t>[Hoeper, Marius M.] Hannover Med Sch, Dept Resp Med, Hannover, Germany; [Humbert, Marc] Univ Paris 11, Fac Med, Paris, France; [Humbert, Marc] Hop Bicetre, AP HP, Serv Pneumol, F-94270 Le Kremlin Bicetre, France; [Humbert, Marc] INSERM, U999, Le Plessis Robinson, France</t>
  </si>
  <si>
    <t>Pulmonary Hypertension Introduction</t>
  </si>
  <si>
    <t>WOS:000303777400008</t>
  </si>
  <si>
    <t>Humbert, M (corresponding author), Univ Paris 11, Serv Pneumol &amp; Reanimat Resp, Hop Antoine Beclere, AP HP,Ctr Reference Hypertens Pulm Severe, 157 Rue Porte Trivaux, FR-92140 Clamart, France.</t>
  </si>
  <si>
    <t>Assistance Publique Hopitaux Paris (APHP); Hopital Universitaire Antoine-Beclere - APHP; Universite Paris Saclay; Universite Paris Saclay; Hopital Marie Lannelongue; Institut National de la Sante et de la Recherche Medicale (Inserm); Universite Paris Saclay; Institut National de la Sante et de la Recherche Medicale (Inserm); Assistance Publique Hopitaux Paris (APHP); Hopital Universitaire Pitie-Salpetriere - APHP; Sorbonne Universite</t>
  </si>
  <si>
    <t>[Humbert, Marc] Univ Paris 11, Serv Pneumol &amp; Reanimat Resp, Hop Antoine Beclere, AP HP,Ctr Reference Hypertens Pulm Severe, FR-92140 Clamart, France; [Girerd, Barbara; Montani, David; Yaici, Azzedine; Humbert, Marc] Univ Paris 11, Fac Med, Le Kremlin Bicetre, France; [Girerd, Barbara; Montani, David; Yaici, Azzedine; Humbert, Marc] Ctr Chirurg Marie Lannelongue, INSERM U999, LabEx LERMIT, Le Plessis Robinson, France; [Eyries, Melanie; Coulet, Florence; Soubrier, Florent] Univ Paris 06, Lab Oncogenet &amp; Angiogenet Mol, Grp Hosp Pitie Salpetriere, UMRS INSERM 956, Paris, France</t>
  </si>
  <si>
    <t>Germline mutations of BMPR2 gene (bone morphogenetic protein receptor type 2), or more rarely of ACVRL7 (activin A receptor type II-like 1), ENG (endoglin), and Smad8 genes have been identified in patients displaying pulmonary arterial hypertension (PAH). BMPR2, ACVRL1, ENG, and Smad8 genes encode proteins involved in the transforming growth factor-beta (TGF-beta) signaling pathway. This signaling pathway controls growth, differentiation, and apoptosis of various cell types like pulmonary vascular endothelial cells and smooth muscle cells. Mutations in PAH predisposing genes are responsible for abnormal proliferation of pulmonary vascular smooth muscle cells and may promote endothelial cells apoptosis. Such apoptosis might lead to the selection of apoptosis-resistant cells and formation of plexiform lesions, the hallmark of idiopathic PAH. Identification of PAH predisposing genes allows offering genetic testing to PAH patients at risk for heritable disease. Thus, in the French PAH Referral Centre (Hopital Antoine Beclere, AP-HP, Universite Paris Sud 11) genetic screening is proposed to all patients with PAH considered to be idiopathic or due to pulmonary veno-occlusive disease, pulmonary capillary hemangiomatosis, or associated with anorexigen-exposure, irrespectively of the presence or absence of family history. This strategy allowed us to identify and analyze clinical characteristics of PAH patients with a heritable condition, and to offer presymptomatic screening to their relatives. In our center, asymptomatic relative carriers of a BMPR2 mutation can benefit from a clinical screening (if they wish) because of their high risk of developing PAH. Copyright (C) 2012 S. Karger AG, Basel</t>
  </si>
  <si>
    <t>BONE MORPHOGENETIC PROTEIN; HEREDITARY HEMORRHAGIC TELANGIECTASIA; II RECEPTOR; SEROTONIN TRANSPORTER; BMPR2 GENE; VENOOCCLUSIVE-DISEASE; SIGNAL-TRANSDUCTION; FUNCTIONAL-ANALYSIS; GERMLINE MUTATIONS; CLINICAL-OUTCOMES</t>
  </si>
  <si>
    <t>Genetics of Pulmonary Arterial Hypertension and the Concept of Heritable Pulmonary Arterial Hypertension</t>
  </si>
  <si>
    <t>Girerd, Barbara; Montani, David; Yaici, Azzedine; Eyries, Melanie; Coulet, Florence; Soubrier, Florent; Humbert, Marc</t>
  </si>
  <si>
    <t>Girerd, B; Montani, D; Yaici, A; Eyries, M; Coulet, F; Soubrier, F; Humbert, M</t>
  </si>
  <si>
    <t>WOS:000298636000029</t>
  </si>
  <si>
    <t>869YJ</t>
  </si>
  <si>
    <t>10.1183/09031936.00039811</t>
  </si>
  <si>
    <t>Cohen-Kaminsky, Sylvia/0000-0002-6341-7482; Montani, David/0000-0002-9358-6922; Seferian, Andrei/0000-0003-1007-433X; Humbert, Marc/0000-0003-0703-2892; Huertas, Alice/0000-0001-8545-747X; Perros, Frederic/0000-0001-7730-2427</t>
  </si>
  <si>
    <t>David, Montani/I-6885-2019; Cohen-Kaminsky, Sylvia/E-4837-2014; Humbert, Marc/AAC-8459-2019; Huertas, Alice/E-8244-2017; Perros, Frederic/N-6921-2017</t>
  </si>
  <si>
    <t>Universite Paris Saclay; Assistance Publique Hopitaux Paris (APHP); Hopital Universitaire Antoine-Beclere - APHP; Universite Paris Cite; Hopital Universitaire Saint-Louis - APHP; Universite Paris Saclay; Hopital Marie Lannelongue; Institut National de la Sante et de la Recherche Medicale (Inserm); Hopital Marie Lannelongue</t>
  </si>
  <si>
    <t>Univ Paris 11, Fac Med, Le Kremlin Bicetre, France; Hop Antoine Beclere, Assistance Publ Hop Paris, Ctr Reference Hypertens Pulm Severe, Serv Pneumol &amp; Reanimat Resp, Clamart, France; [Perros, F.] INSERM, U999, Ctr Chirurg Marie Lannelongue, F-92350 Le Plessis Robinson, France; Ctr Chirurg Marie Lannelongue, Dept Rech Med, Le Plessis Robinson, France</t>
  </si>
  <si>
    <t>RECRUITMENT</t>
  </si>
  <si>
    <t>Circulating fibrocytes and pulmonary arterial hypertension</t>
  </si>
  <si>
    <t>Gambaryan, N.; Cohen-Kaminsky, S.; Montani, D.; Girerd, B.; Huertas, A.; Seferian, A.; Humbert, M.; Perros, F.</t>
  </si>
  <si>
    <t>Gambaryan, N; Cohen-Kaminsky, S; Montani, D; Girerd, B; Huertas, A; Seferian, A; Humbert, M; Perros, F</t>
  </si>
  <si>
    <t>WOS:000311861100013</t>
  </si>
  <si>
    <t>047SF</t>
  </si>
  <si>
    <t>10.1016/j.repce.2011.10.006</t>
  </si>
  <si>
    <t>Funck-Brentano, Christian/0000-0003-0406-5189; Hoeper, Marius/0000-0001-9086-2293</t>
  </si>
  <si>
    <t>Filippatos, Gerasimos/ABA-4656-2021; Sirnes, Per/AAS-2343-2020; Funck-Brentano, Christian/V-4753-2019; Kolh, Philippe/AAE-7224-2019; Widimsky, Petr/P-8088-2016; Sechtem, Udo/ADK-6380-2022; Rubin, Lewis/AEW-1719-2022; Juni, Peter/Q-8700-2016; Vachiery, Jean-Luc/ABC-6631-2021; Cardoso, Paulo/C-5768-2012; Zellweger, Michael/AAB-4859-2022; Popescu, Bogdan/A-4528-2011; Opitz, Christian/L-3438-2019; Simonneau, Gerald/ABE-6614-2020; Krahn, Andrew/G-3316-2011; Humbert, Marc/AAC-8459-2019; vardas, panos/ABF-7144-2020; Beghetti, Maurice/HNP-1055-2023; Tendera, Michal/AAA-1875-2022; Hoeper, Marius/Z-1546-2019; Popescu, Bogdan A./AAA-1319-2022; Funck-Brentano, Christian/C-2126-2009</t>
  </si>
  <si>
    <t>[Galie, Nazzareno] Bologna Univ Hosp, Inst Cardiol, Via Massarenti 9, I-40138 Bologna, Italy</t>
  </si>
  <si>
    <t>Portuguese</t>
  </si>
  <si>
    <t>Comissao ESC Orientacoes Praticas</t>
  </si>
  <si>
    <t>Galie, Nazzareno; Hoeper, Marius M.; Humbert, Marc; Torbicki, Adam; Vachiery, Jean-Luc; Barbera, Joan Albert; Beghetti, Maurice; Corris, Paul; Gaine, Sean; Gibbs, J. Simon; Gomez-Sanchez, Miguel Angel; Jondeau, Guillaume; Klepetko, Walter; Opitz, Christian; Peacock, Andrew; Rubin, Lewis; Zellweger, Michael; Simonneau, Gerald; Vahanian, Alec; Auricchio, Angelo; Bax, Jeroen; Ceconi, Claudio; Dean, Veronica; Filippatos, Gerasimos; Funck-Brentano, Christian; Hobbs, Richard; Kearney, Peter; McDonagh, Theresa; McGregor, Keith; Popescu, Bogdan A.; Reiner, Zeljko; Sechtem, Udo; Sirnes, Per Anton; Tendera, Michal; Vardas, Panos; Widimsky, Petr</t>
  </si>
  <si>
    <t>Galie, N; Hoeper, MM; Humbert, M; Torbicki, A; Vachiery, JL; Barbera, JA; Beghetti, M; Corris, P; Gaine, S; Gibbs, JS; Gomez-Sanchez, MA; Jondeau, G; Klepetko, W; Opitz, C; Peacock, A; Rubin, L; Zellweger, M; Simonneau, G; Vahanian, A; Auricchio, A; Bax, J; Ceconi, C; Dean, V; Filippatos, G; Funck-Brentano, C; Hobbs, R; Kearney, P; McDonagh, T; McGregor, K; Popescu, BA; Reiner, Z; Sechtem, U; Sirnes, PA; Tendera, M; Vardas, P; Widimsky, P</t>
  </si>
  <si>
    <t>WOS:000303777400012</t>
  </si>
  <si>
    <t>Sitbon, Olivier/I-3623-2019; Degano, Bruno/IAQ-7289-2023; Humbert, Marc/AAC-8459-2019</t>
  </si>
  <si>
    <t>Degano, B (corresponding author), CHU Jean Minjoz, Dept Physiol, FR-25030 Besancon, France.</t>
  </si>
  <si>
    <t>Universite de Franche-Comte; CHU Besancon; Universite de Franche-Comte; CHU Besancon; Assistance Publique Hopitaux Paris (APHP); Hopital Universitaire Antoine-Beclere - APHP</t>
  </si>
  <si>
    <t>[Degano, Bruno] CHU Jean Minjoz, Dept Physiol, FR-25030 Besancon, France; [Valmary, Severine] CHU Jean Minjoz, Dept Pathol, FR-25030 Besancon, France; [Sitbon, Olivier; Humbert, Marc] Hop Antoine Beclere, Dept Pneumol, Clamart, France</t>
  </si>
  <si>
    <t>HIV is an independent risk factor for development of pulmonary arterial hypertension (PAH). PAH can complicate the course of HIV infection regardless of the route of HIV transmission, the stage of HIV infection, and the degree of immunosuppression. The clinical presentation and underlying pathology of PAH associated with HIV infection (PAH-HIV) are similar to those encountered in other forms of PAH, although there are data suggesting a greater inflammatory component in the HIV-related form. Although beneficial effects of antiretroviral treatments on established PAH-HIV still remain to be proven, these treatments seem to have led to a tenfold decrease over the last decade, mainly through higher CD4 cell counts and lower immune activation in HIV-infected patients. The prostacyclin epoprostenol is indicated in PAH-HIV patients in functional class IV. Treatment with the oral dual endothelin receptor antagonist bosentan benefit patients with PAH-HIV without adversely affecting the control of HIV infection, and in one series resulted in functional and hemodynamic normalization in 20% of the patients. Another virus, human herpesvirus-8 (HHV-8), has also been suggested to trigger the development of PAH. However, recent data strongly suggest that human y-herpesviruses, and in particular HHV-8, are unlikely to play a role in the pathogenesis of PAH. Copyright (C) 2012 S. Karger AG, Basel</t>
  </si>
  <si>
    <t>HUMAN-IMMUNODEFICIENCY-VIRUS; SARCOMA-ASSOCIATED HERPESVIRUS; EPSTEIN-BARR-VIRUS; HUMAN-HERPESVIRUS-8 INFECTION; PROGNOSTIC-FACTORS; GROWTH-FACTOR; EXPRESSION; SURVIVAL; GUIDELINES; DIAGNOSIS</t>
  </si>
  <si>
    <t>Pulmonary Arterial Hypertension and HIV and Other Viral Infections</t>
  </si>
  <si>
    <t>Degano, Bruno; Valmary, Severine; Sitbon, Olivier; Humbert, Marc</t>
  </si>
  <si>
    <t>Degano, B; Valmary, S; Sitbon, O; Humbert, M</t>
  </si>
  <si>
    <t>WOS:000304485200003</t>
  </si>
  <si>
    <t>948EA</t>
  </si>
  <si>
    <t>10.1159/000332924</t>
  </si>
  <si>
    <t>MRC [G0900453, G0800766, G19/34, G0400473] Funding Source: UKRI</t>
  </si>
  <si>
    <t>Akdis, Cezmi/0000-0001-8020-019X; van Weel, Chris/0000-0003-3653-4701; Rabe, Klaus F./0000-0002-7020-1401; Ryan, Dermot/0000-0002-4115-7376; Sunyer Deu, Jordi/0000-0002-2602-4110; Makela, Mika/0000-0002-2933-3111; SIROUX, Valerie/0000-0001-7329-7237; Haddad, Hamza/0000-0002-9841-8792; Pinart, Mariona/0000-0002-8223-1325; Varraso, raphaelle/0000-0002-3338-7825; CESARIO, Alfredo/0000-0003-4687-0709; CANONICA, GIORGIO WALTER/0000-0001-8467-2557; Koppelman, Gerard/0000-0001-8567-3252; Zar, Heather/0000-0002-9046-759X; yorgancioglu, arzu/0000-0002-4032-0944; cox, linda/0000-0002-5258-6870; Papadopoulos, Nikolaos/0000-0002-4448-3468; Ozdemir, Cevdet/0000-0002-9284-4520; Romano, Antonino/0000-0001-9742-9898; Casale, Thomas/0000-0002-3149-7377; momas, isabelle/0000-0003-4344-3787; Price, David/0000-0002-9728-9992; Bindslev-Jensen, Carsten/0000-0002-8940-038X; Papadopoulos, Nikolaos/0000-0002-2508-3872; Namazova-Baranova, Leyla/0000-0002-7902-6427; Benet Mora, Marta/0000-0001-9600-3510; STEIN, RENATO/0000-0003-0269-0757; Wohrl, Stefan/0000-0002-6324-0007; Custovic, Adnan/0000-0001-5218-7071; Jacquemin, Benedicte/0000-0003-1273-9892; Larenas Linnemann, Desiree/0000-0002-5713-5331; Fthenou, Eleni/0000-0002-1178-6841; Humbert, Marc/0000-0003-0703-2892; Schunemann, Holger/0000-0003-3211-8479; Maurer, Marcus/0000-0002-4121-481X; Hellings, Peter/0000-0001-6898-688X; Bousquet, Philippe Jean/0000-0002-0217-5483; Nawijn, Martijn/0000-0003-3372-6521; Basagana, Xavier/0000-0002-8457-1489; Bonini, Sergio/0000-0003-0079-3031; Howarth, Peter/0000-0003-0619-7927; Fonseca, Joao/0000-0002-0887-8796; Popov, Todor/0000-0001-5052-5866; O'Hehir, Robyn/0000-0002-3489-7595; Namazova-Baranova, Leyla/0000-0002-2209-7531; Mazon, Angel/0000-0001-5639-1037; Kull, Inger/0000-0001-6096-3771; Panzner, Petr/0000-0002-1291-450X; Sheikh, Aziz/0000-0001-7022-3056; Porta, Daniela/0000-0002-3431-2729; mohammad, yousser/0009-0003-0403-2747; Terreehorst, Ingrid/0000-0002-3264-2740; Wright, John/0000-0001-9572-7293; Demoly, Pascal/0000-0001-7827-7964; , CINTESIS/0000-0001-7248-2086; Valenta, Rudolf/0000-0001-5944-3365; brightling, chris/0000-0002-9345-4903; Kuna, Piotr/0000-0003-2401-0070; Yusuf, Osman/0000-0002-8067-1204</t>
  </si>
  <si>
    <t>costa, david/AAA-1971-2020; Muraro, Antonella/AFO-2033-2022; Marshall, Gailen/R-7459-2019; Rabe, Klaus/AAW-6296-2021; Mazon, Angel/ABG-8016-2020; PIN, Isabelle/N-3020-2013; J, Garcia-Aymerich/G-6867-2014; Kogevinas, Manolis/C-3918-2017; Makela, Mika/ADV-7407-2022; Annesi-Maesano, Isabella/D-9173-2016; Zar, Heather/GZL-5350-2022; Oliver, Brian/E-7939-2010; Cruz, Alvaro/I-1676-2012; Cox, Linda/AAP-1697-2021; Busse, William/AFR-0848-2022; Ballester, Facundo/F-5413-2016; Anto, J/H-2676-2014; Yorgancioglu, Arzu/AAC-7548-2020; Ryan, Dermot/AAJ-2329-2021; Bergmann, Karl-Christian/AAA-4104-2019; Bateman, Eric/B-7042-2011; Stein, Renato/K-2568-2014; Sterk, P.J./AAK-8175-2020; Mohammad, Yousser/LTD-1984-2024; Viegi, Giovanni/K-2746-2016; Bousquet, Philippe Jean/AAW-8608-2021; Bachert, Claus/J-8825-2012; Price, David/H-2837-2019; Valenta, Richard/K-4072-2017; Popov, Todor/Q-9928-2016; Zuberbier, Torsten/AFM-9173-2022; Bieber, Thomas/AFM-9906-2022; Brozek, Jan/ADG-1130-2022; Akdis, Mubeccel/JCE-1576-2023; Agache, Ioana/AAP-7403-2020; Akdis, Cezmi/AAV-4844-2020; Dahl, Ronahl/F-8170-2013; Bonniaud, Philippe/ITT-4660-2023; MAGNAN, ANTOINE/GVT-4308-2022; Bousquet, Jean/O-4221-2019; Terreehorst, Ingrid/KUC-7460-2024; Koppelman, Gerard/AAG-9187-2020; Ring, Johannes/GLN-4341-2022; Fokkens, Wytske/ABF-2185-2020; Sheikh, Aziz/D-2818-2009; van Weel, Chris/D-4375-2009; Sunyer Deu, Jordi/G-6909-2014; SIROUX, Valerie/N-1865-2013; Pinart, Mariona/L-1931-2015; Varraso, raphaelle/R-8740-2016; CESARIO, Alfredo/O-4215-2015; CANONICA, GIORGIO WALTER/ABF-2037-2020; Papadopoulos, Nikolaos/L-8670-2013; Ozdemir, Cevdet/X-5856-2018; Romano, Antonino/D-3102-2017; Casale, Thomas/K-4334-2013; Bindslev-Jensen, Carsten/H-1877-2011; Namazova-Baranova, Leyla/C-9485-2019; Wohrl, Stefan/B-6954-2013; Custovic, Adnan/A-2435-2012; Jacquemin, Benedicte/D-8948-2018; Humbert, Marc/AAC-8459-2019; Schunemann, Holger/LRB-7016-2024; Maurer, Marcus/ABG-2174-2020; Hellings, Peter/I-4068-2018; Basagana, Xavier/C-3901-2017; Bonini, Sergio/T-6594-2019; Fonseca, Joao/B-7562-2008; O'Hehir, Robyn/H-3627-2011; Namazova-Baranova, Leyla/C-9485-2019; Panzner, Petr/I-7034-2017; Porta, Daniela/J-9042-2016; Wright, John/H-1624-2012; Demoly, Pascal/Y-9938-2019; , CINTESIS/C-6631-2014; Yusuf, Osman/AAI-1142-2020</t>
  </si>
  <si>
    <t>Bousquet, J (corresponding author), Ctr Hosp Univ, FR-34295 Montpellier 05, France.</t>
  </si>
  <si>
    <t>Universite de Montpellier; CHU de Montpellier; Universite Paris Saclay; Institut National de la Sante et de la Recherche Medicale (Inserm); Pompeu Fabra University; Centre de Recerca en Epidemiologia Ambiental (CREAL); Hospital del Mar Research Institute; Hospital del Mar; Pompeu Fabra University; Institut National de la Sante et de la Recherche Medicale (Inserm); Universite de Montpellier; CHU de Montpellier; McMaster University; National Institutes of Health (NIH) - USA; NIH National Institute of Allergy &amp; Infectious Diseases (NIAID); University of Zurich; Swiss Institute of Allergy &amp; Asthma Research; Centre National de la Recherche Scientifique (CNRS); Ghent University; Ghent University Hospital; University of Bonn; University of Oslo; Creighton University; Universidade Federal da Bahia; Berlin Institute of Health; Free University of Berlin; Humboldt University of Berlin; Charite Universitatsmedizin Berlin; Berlin Institute of Health; Free University of Berlin; Humboldt University of Berlin; Charite Universitatsmedizin Berlin; Teikyo University; National &amp; Kapodistrian University of Athens; Atencio Primaria de Mallorca; Medical University of Warsaw; Transylvania University of Brasov; Institut National de la Sante et de la Recherche Medicale (Inserm); Sorbonne Universite; University of Valencia; Catholic University of Cordoba; University of Genoa; University of Cape Town; University of Amsterdam; Academic Medical Center Amsterdam; University of Southampton; University of Southampton; Universite de Tunis-El-Manar; Hopital La Rabta; Universite de Tunis-El-Manar; Hopital Abderrahmene Mami; University of Southern Denmark; Odense University Hospital; Wake Forest University; Wake Forest University School of Medicine; Universita della Campania Vanvitelli; University of Verona; Laval University; Laval University Hospital; Laval University; University of Leicester; Royal Brompton Hospital; Imperial College London; University of Wisconsin System; University of Wisconsin Madison; Universidade Federal de Minas Gerais; University of Genoa; IRCCS San Raffaele Pisana; Catholic University of the Sacred Heart; IRCCS Policlinico Gemelli; Capital Institute of Pediatrics (CIP); Universite de Montpellier; Nova Southeastern University; University of Manchester; Aarhus University; Technical University of Munich; Centre Hospitalier Annecy Genevois; University System of Georgia; Augusta University; Vilnius University; Universidade do Porto; Universidade do Porto; Sao Joao Hospital; University of Amsterdam; University of Crete; Erasmus University Rotterdam; Erasmus MC; University of Arizona; University of Helsinki; Helsinki University Central Hospital; KU Leuven; University Hospital Leuven; University College Cork; University of Southampton; Assistance Publique Hopitaux Paris (APHP); Hopital Universitaire Antoine-Beclere - APHP; Universite Paris Saclay; Universite Paris Saclay; Institut National de la Sante et de la Recherche Medicale (Inserm); Assistance Publique Hopitaux Paris (APHP); Universite Paris Cite; Hopital Universitaire Hotel-Dieu - APHP; Sorbonne Universite; Hopital Universitaire Armand-Trousseau - APHP; Hopital Universitaire Ambroise-Pare - APHP; Hacettepe University; George Washington University; University of Groningen; Saint Joseph University Beirut; National &amp; Kapodistrian University of Athens; University of Groningen; Medical University Lodz; Karolinska Institutet; Karolinska Institutet; Sodersjukhuset Hospital; Medical University Lodz; Hochiminh City University of Medicine &amp; Pharmacy; University of Tennessee System; University of Tennessee Health Science Center; University of Dundee; University of Sharjah; University of Arizona; University of Mississippi Medical Center; University of Mississippi; Karolinska Institutet; Karolinska Institutet; Karolinska University Hospital; University of California System; University of California San Diego; Allergy &amp; Asthma Medical Group &amp; Research Center; University of California System; University of California San Diego; Marius Nasta Pneumophtisiology Institute; Tishreen University; Universite Paris Cite; University of Barcelona; Hospital Clinic de Barcelona; IDIBAPS; University of Barcelona; Hospital Clinic de Barcelona; IDIBAPS; University of Padua; University of Chicago; Russian Academy of Medical Sciences; University of Groningen; Universite de Kinshasa; Bradford Royal Infirmary; Florey Institute of Neuroscience &amp; Mental Health; Howard Florey Institute Affiliates; Monash University; Chiba University; Marmara University; Marmara University; Charles University Prague; Nippon Medical School; CHU Grenoble Alpes; Communaute Universite Grenoble Alpes; Universite Grenoble Alpes (UGA); Institut National de la Sante et de la Recherche Medicale (Inserm); Communaute Universite Grenoble Alpes; Universite Grenoble Alpes (UGA); Communaute Universite Grenoble Alpes; Universite Grenoble Alpes (UGA); Communaute Universite Grenoble Alpes; Universite Grenoble Alpes (UGA); CHU Grenoble Alpes; Institut National de la Sante et de la Recherche Medicale (Inserm); Communaute Universite Grenoble Alpes; Universite Grenoble Alpes (UGA); Medical University Sofia; Medical University Sofia; University of Groningen; University of Aberdeen; Leiden University - Excl LUMC; Leiden University; Leiden University Medical Center (LUMC); Technical University of Munich; University of Wisconsin System; University of Wisconsin Madison; CIBER - Centro de Investigacion Biomedica en Red; CIBERES; University of Barcelona; Hospital Clinic de Barcelona; IDIBAPS; Medical University Silesia; University of Aberdeen; University of London; University College London; University of Edinburgh; University of Manitoba; Institut National de la Sante et de la Recherche Medicale (Inserm); Communaute Universite Grenoble Alpes; Universite Grenoble Alpes (UGA); University of Zurich; University Zurich Hospital; Utrecht University; Utrecht University Medical Center; Ministry of Health - Kyrgyzstan; Pontificia Universidade Catolica Do Rio Grande Do Sul; University of Amsterdam; Academic Medical Center Amsterdam; Finnish Institute of Occupational Health; Laval University; Medical University of Vienna; Universite Paris 13; Assistance Publique Hopitaux Paris (APHP); Hopital Universitaire Avicenne - APHP; Universite Catholique Louvain; Universite Catholique Louvain Hospital; Radboud University Nijmegen; Consiglio Nazionale delle Ricerche (CNR); Istituto di Biomedicina e di Immunologia Molecolare Alberto Monroy (IBIM-CNR); Consiglio Nazionale delle Ricerche (CNR); Istituto di Fisiologia Clinica (IFC-CNR); National University of Singapore; Karolinska Institutet; Karolinska Institutet; University of North Carolina; University of North Carolina Chapel Hill; Medical University of Vienna; Celal Bayar University; University of Cape Town; University of Cape Town; Guangzhou Medical University; Guangzhou Medical University; State Key Laboratory of Respiratory Disease; Berlin Institute of Health; Free University of Berlin; Humboldt University of Berlin; Charite Universitatsmedizin Berlin</t>
  </si>
  <si>
    <t>[Bousquet, J.; Bousquet, P. J.; Chiriac, A. M.] Hop Arnaud de Villeneuve, Dept Resp Dis, Univ Hosp, Montpellier, France; [Bousquet, J.; Jacquemin, B.; Kauffmann, F.; Varraso, R.] INSERM, CESP Ctr Res Epidemiol &amp; Populat Hlth, U1018, Resp &amp; Environm Epidemiol Team, Villejuif, France; [Anto, J. M.; Basagana, X.; Benet, M.; Garcia-Aymerich, J.; Gimeno-Santos, E.; Guerra, S.; Kogevinas, M.; Lavi, I.; Pinart, M.; Sunyer, J.] Ctr Res Environm Epidemiol CREAL, Barcelona, Spain; [Anto, J. M.; Basagana, X.; Benet, M.; Garcia-Aymerich, J.; Gimeno-Santos, E.; Guerra, S.; Kogevinas, M.; Pinart, M.; Sunyer, J.] IMIM Hosp Mar, Municipal Inst Med Res, Barcelona, Spain; [Anto, J. M.; Garcia-Aymerich, J.; Sunyer, J.] UPF, Barcelona, Spain; [Bousquet, J.; Demoly, P.; Bousquet, P. J.; Bedbrook, A.] WHO Collaborating Ctr Asthma &amp; Rhinitis, Montpellier, France; [Demoly, P.] Hop Arnaud de Villeneuve, INSERM, U657, Univ Hosp Montpellier, Montpellier, France; [Schuenemann, H. J.; Brozek, J. L.] McMaster Univ, Dept Clin Epidemiol &amp; Biostat &amp; Med, Hamilton, ON, Canada; [Togias, A.] NIAID, Bethesda, MD 20892 USA; [Akdis, M.] Univ Zurich, Swiss Inst Allergy &amp; Asthma Res SIAF, Davos, Switzerland; [Auffray, C.] CNRS Inst Biol Sci, Villejuif, France; [Bachert, C.] Univ Hosp Ghent, URL Upper Airways Res Lab, Ghent, Belgium; [Bieber, T.] Univ Med Ctr, Dept Dermatol &amp; Allergy, Bonn, Germany; [Carlsen, K. H.; Carlsen, K. C. Lodrup] Univ Oslo, Oslo Univ Hosp, Dept Paediat, Oslo, Norway; [Casale, T. B.] Creighton Univ, Dept Med, Div Allergy &amp; Immunol, Omaha, NE 68178 USA; [Cruz, A. A.] Univ Fed Bahia, Sch Med, ProAR FMB, Salvador, BA, Brazil; [Keil, T.; Hohmann, C.] Charite, Inst Social Med Epidemiol &amp; Hlth Econ, D-13353 Berlin, Germany; [Maurer, M.; Bergmann, K. C.; Zuberbier, T.] Charite, Allergy Ctr Charite, Dept Dermatol, D-13353 Berlin, Germany; [Ohta, K.] Teikyo Univ, Sch Med, Dept Med, Div Resp Med &amp; Allergol, Tokyo 173, Japan; [Papadopoulos, N. G.] Univ Athens, Dept Allergy, Pediat Clin 2, Athens, Greece; [Rodriguez, M. Roman] Son Pisa Primary Care Ctr, IB Salut Balear Hlth Serv, Palma de Mallorca, Spain; [Samolinski, B.] Med Univ Warsaw, Dept Prevent Environm Hazards &amp; Allergol, Warsaw, Poland; [Agache, I.] Transylvania Univ, Fac Med, Brasov, Romania; [Andrianarisoa, A.] Minist Hlth, Publ Hosp Med Serv, Antananarivo, Madagascar; [Annesi-Maesano, I.] INSERM, EPAR U707, Paris, France; [Annesi-Maesano, I.] EPAR UMR S UPMC, Paris, France; [Ballester, F.; Mazon, A.] Univ Valencia, Valencia, Spain; [Ballester, F.; Mazon, A.] Ctr Publ Hlth Res CSISP, Valencia, Spain; [Baena-Cagnani, C. E.; Zernotti, M. E.] Catholic Univ, Fac Med, Cordoba, Argentina; [Baena-Cagnani, C. E.] Univ Genoa, Sch Specializat, Genoa, Italy; [Bateman, E. D.] Univ Cape Town, Fac Hlth Sci, ZA-7925 Cape Town, South Africa; [Bel, E. H.; Sterk, P. J.] Univ Amsterdam, Acad Med Ctr, Dept Pulmonol, NL-1012 WX Amsterdam, Netherlands; [Beghe, B.] Univ Southampton, Div Human Genet Infect, Sch Med, Southampton, Hants, England; [Beghe, B.] Univ Southampton, Div Human Genet Infect Inflammat &amp; Repair, Sch Med, Southampton, Hants, England; [Beji, M.] Ctr Hositalo Univ Rabta, Serv Pneumol Allergol, Tunis, Tunisia; [Ben Kheder, A.] Hop A Mami, Ariana, Tunisia; [Bennoor, K. S.] Natl Inst Dis Chest &amp; Hosp, Dhaka, Bangladesh; [Ang, C. S.; Berrissoul, F.] Natl Inst Dis Chest &amp; Hosp, Air Khmer, Cambodia; [Jensen, C. Bindslev] Odense Univ Hosp, DK-5000 Odense, Denmark; [Bleecker, E. R.] Wake Forest Univ Hlth Sci, Winston Salem, NC USA; [Bonini, S.] Inst Neurobiol &amp; Mol Med CNR, Rome, Italy; [Bonini, S.] Univ Naples 2, Dept Med, Naples, Italy; [Boner, A. L.] Univ Verona, Dept Paediat, I-37100 Verona, Italy; [Boulet, L. P.] Hop Laval, Inst Cardiol &amp; Pneumol, Quebec City, PQ, Canada; [Boulet, L. P.] Univ Laval, Quebec City, PQ, Canada; [Brightling, C. E.] Inst Lung Hlth, Leicester, Leics, England; [Bush, A.] Royal Brompton Hosp, Dept Paediat Resp Med, London SW3 6LY, England; [Bush, A.] Univ London Imperial Coll Sci Technol &amp; Med, Natl Heart &amp; Lung Inst, London, England; [Busse, W. W.] Univ Wisconsin, Sch Med &amp; Publ Hlth, Dept Med, Madison, WI USA; [Camargos, P. A. M.] Univ Fed Minas Gerais, Sch Med, Dept Pediat, Belo Horizonte, MG, Brazil; [Canonica, G. W.; Passalacqua, G.] Univ Genoa, Dept Internal Med, DIMI, I-16126 Genoa, Italy; [Carr, W.] So Calif Res, Mission Viejo, CA USA; [Cesario, A.] IRCCS San Raffaele Pisana, Rome, Italy; [Cesario, A.] Catholic Univ, Dept Thorac Surg, Rome, Italy; [Chen, Y. Z.] Capital Inst Pediat, Asthma Clin &amp; Educ Ctr, Beijing, Peoples R China; [Chen, Y. Z.] Ctr Asthma Res &amp; Educ, Beijing, Peoples R China; [Costa, D. J.] Univ Montpellier, Primary Care Dept, F-34059 Montpellier, France; [Cox, L.] Nova SE Univ, Coll Osteopath Med, Davie, FL USA; [Custovic, A.] Univ Manchester, Manchester, Lancs, England; [Dahl, R.; Hellquist-Dahl, B.] Aarhus Univ Hosp, DK-8000 Aarhus, Denmark; [Darsow, U.] Tech Univ Munich, Dept Dermatol &amp; Allergy Biederstein, Munich, Germany; [Didi, T.] Ctr Hosp Reg Annecy, Serv Pneumol, Annecy, France; [Dolen, W. K.] Med Coll Georgia, Augusta, GA 30912 USA; [Douagui, H.] Ctr Hosp Univ Beni Messous, Serv Pneumoallergol, Algiers, Algeria; [Dubakiene, R.] GA2LEN Collaborating Ctr, Vilnius, Lithuania; [Dubakiene, R.] Vilnius Univ, Fac Med, Vilnius, Lithuania; [El-Meziane, A.] Soc Marocaine Malad Resp, Casablanca, Morocco; [El-Meziane, A.] Ctr Commercial Nadia, Ctr Resp Dis &amp; Allergy, Casablanca, Morocco; [Fonseca, J. A.] Univ Porto, Sch Med, Dept Hlth Informat &amp; Decis Sci, P-4100 Porto, Portugal; [Fonseca, J. A.] Univ Porto, Sch Med, CINTESIS, P-4100 Porto, Portugal; [Fonseca, J. A.] Hosp Sao Joao, Porto, Portugal; [Fonseca, J. A.] Inst &amp; Hosp CUF, Porto, Portugal; [Fokkens, W. J.] Univ Amsterdam, Dept Otorhinolaryngol, Amsterdam, Netherlands; [Fthenou, E.; Vassilaki, M.] Univ Crete, Fac Med, Dept Social Med, Iraklion, Crete, Greece; [Gamkrelidze, A.] WHO CO Georgia, Tbilisi, Georgia; [van Wijk, R. Gerth] Erasmus MC, Dept Internal Med, Sect Allergol, Rotterdam, Netherlands; [Guerra, S.] Univ Arizona, Tucson, AZ USA; [Haahtela, T.; Makela, M. J.; Reitamo, S.] Helsinki Univ Hosp, Dept Dermatol, Skin &amp; Allergy Hosp, Helsinki, Finland; [Haddad, H.] Ctr Hosp Tarbes Lourdes, AFLP, Bigorre, France; [Haddad, H.] Ctr Hosp Tarbes Lourdes, Serv Pneumol, Bigorre, France; [Hellings, P. W.] Univ Hosp Leuven, Dept Otorhinolaryngol Head &amp; Neck Surg, Louvain, Belgium; [Hourihane, J. O.] Natl Univ Ireland Univ Coll Cork, Cork, Ireland; [Howarth, P.] Univ Southampton, Southampton, Hants, England; [Humbert, M.] Univ Paris 11, Serv Pneumol, Hop Antoine Beclere, Clamart, France; [Jacquemin, B.; Kauffmann, F.; Varraso, R.] Univ Paris 11, UMRS 1018, Villejuif, France; [Just, J.] Univ Paris 06, Grp Hosp Trousseau La Roche Guyon, APHP, Ctr Asthme &amp; Allergies, F-75252 Paris 05, France; [Kalayci, O.] Hacettepe Univ, Sch Med, Pediat Allergy &amp; Asthma Unit, Ankara, Turkey; [Kaliner, M. A.] George Washington Univ, Sch Med, Washington, DC USA; [Kaliner, M. A.] Inst Asthma &amp; Allergy, Chevy Chase, MD USA; [Kerkhof, M.] Univ Groningen, Dept Epidemiol, GRIAC Res Inst, Univ Med Ctr Groningen, Groningen, Netherlands; [Khayat, G.] Univ St Joseph, Fac Med, Beirut, Lebanon; [Khayat, G.] Hotel Dieu France, Serv Pneumol, Beirut, Lebanon; [N'Goran, B. Koffi] Ctr Hosp Univ, Serv Malad Resp, Abidjan Cocody, Cote Ivoire; [Kogevinas, M.] Natl Sch Publ Hlth, Dept Nutr, Athens, Greece; [Koppelman, G. H.] Univ Groningen, Univ Med Ctr Groningen, Dept Pediat Pulmonol &amp; Pediat Allergol, Beatrix Childrens Hosp,GRIAC Res Inst, Groningen, Netherlands; [Kowalski, M. L.] Med Univ Lodz, Dept Immunol Rheumatol &amp; Allergy, Lodz, Poland; [Kull, I.] Karolinska Inst, Ctr Allergy Res, Stockholm, Sweden; [Kull, I.] Karolinska Inst, Sodersjukhuset, Dept Clin Sci &amp; Educ, Stockholm, Sweden; [Kuna, P.] Med Univ Lodz, Barlicki Univ Hosp, Lodz, Poland; [Larenas, D.] Hosp Med Sur, Dept Allergy, Mexico City, DF, Mexico; [Le, L. T.] Univ Med &amp; Pharm, Ho Chi Minh City, Vietnam; [Lieberman, P.] Univ Tennessee, Coll Med, Memphis, TN USA; [Lipworth, B.] Univ Dundee, Asthma &amp; Allergy Res Grp, Dundee, Scotland; [Mahboub, B.] Dubai Hlth Author, Pulm &amp; Allergy Unit, Dubai, U Arab Emirates; [Mahboub, B.] Univ Sharjah, Sharjah, U Arab Emirates; [Martinez, F. D.] Univ Arizona, Arizona Resp Ctr, Tucson, AZ USA; [Marshall, G. D.] Univ Mississippi, Med Ctr, Div Clin Immunol &amp; Allergy, Jackson, MS 39216 USA; [Melen, E.] Karolinska Inst, Inst Environm Med, S-10401 Stockholm, Sweden; [Melen, E.] Karolinska Univ Hosp, Astrid Lindgren Childrens Hosp, Stockholm, Sweden; [Meltzer, E. O.] Univ Calif San Diego, Allergy &amp; Asthma Med Grp, San Diego, CA 92103 USA; [Meltzer, E. O.] Univ Calif San Diego, Res Ctr, San Diego, CA 92103 USA; [Mihaltan, F.] Inst Pneumol Marius Nasta, Bucharest, Romania; [Mohammad, Y.] Tishreen Univ, Sch Med, Dept Internal Med, WHO EMRO CC CRD, Latakia, Syria; [Mohammadi, A.] Assoc Franco Marocaine Pathol Thorac AFMAPATH, Marrakech, Morocco; [Momas, I.] Paris Descartes Univ, Dept Publ Hlth &amp; Biostat, EA 4064, Paris, France; [Momas, I.] Paris Municipal Dept Social Act Childhood &amp; Hlth, Paris, France; [Morais-Almeida, M.] CUF Descobertas Hosp, Immunoallergy Dept, Lisbon, Portugal; [Mullol, J.] IDIBAPS, Hosp Clin, Rhinol Unit, Barcelona, Spain; [Mullol, J.] IDIBAPS, Hosp Clin, ENT Dept, Smell Clin, Barcelona, Spain; [Muraro, A.] Univ Padua, Dept Pediat, Padua, Italy; [Naclerio, R.] Univ Chicago, Chicago, IL 60637 USA; [Nafti, S.] Mustapha Hosp, Algiers, Algeria; [Namazova-Baranova, L.] Sci Ctr Childrens Hlth RAMS, Moscow, Russia; [Nawijn, M. C.] Univ Groningen, Lab Allergol &amp; Pulm Dis, Dept Pathol &amp; Med Biol, GRIAC Res Inst,Univ Med Ctr Groningen, Groningen, Netherlands; [Nyembue, T. D.] Kinshasa Univ, Kinshasa, DEM REP CONGO; [Oddie, S.; Wright, J.] Bradford Teaching Hosp Fdn Trust, Bradford Inst Hlth Res, Bradford, W Yorkshire, England; [Oddie, S.] Bradford Royal Infirm, Bradford BD9 6RJ, W Yorkshire, England; [O'Hehir, R. E.] Alfred Hosp, Melbourne, Vic, Australia; [O'Hehir, R. E.] Monash Univ, Melbourne, Vic 3004, Australia; [Okamoto, Y.] Chiba Univ Hosp, Dept Otorhinolaryngol, Chiba, Japan; [Ozdemir, C.] Marmara Univ, Div Pediat Allergy &amp; Immunol, Istanbul, Turkey; [Ozdemir, C.] Marmara Univ, Mem Hlth Grp, Istanbul, Turkey; [Ouedraogo, G. S.] Ctr Hosp Univ Pediat Charles de Gaulle, Ouagadougou, Burkina Faso; [Palkonen, S.] EFA European Federat Allergy &amp; Airways Dis Patien, Brussels, Belgium; [Panzner, P.] Fac Med Plzen, Dept Immunol &amp; Allergol, Plzen, Czech Republic; [Panzner, P.] Charles Univ Prague, Prague, Czech Republic; [Pawankar, R.] Nippon Med Sch, Bunkyo Ku, Tokyo 113, Japan; [Pigearias, B.] NICE, Paris, France; [Pigearias, B.] Soc Pneumol Langue Francaise, Paris, France; [Pin, I.] CHU Grenoble, F-38043 Grenoble, France; [Pin, I.] Inst Albert Bonniot, INSERM, U823, Grenoble, France; [Pin, I.] Univ Grenoble 1, Grenoble, France; [Pison, C.] Univ Hosp Grenoble, Dept Pulmonol, Grenoble, France; [Pison, C.] Inserm 884, Grenoble, France; [Pison, C.] Univ Grenoble, Grenoble, France; [Popov, T. A.] Med Univ Sofia, Clin Allergy &amp; Asthma, Sofia, Bulgaria; [Popov, T. A.] Alexanders Univ Hosp, Sofia, Bulgaria; [Porta, D.] Reg Hlth Serv Lazio Reg, Dept Epidemiol, Rome, Italy; [Postma, D. S.] Univ Groningen, Dept Pulmonol, GRIAC Res Inst, Univ Med Ctr Groningen, Groningen, Netherlands; [Price, D.] Univ Aberdeen, GPIAG, Aberdeen, Scotland; [Rabe, K. F.] Leiden Univ, Med Ctr, Dept Pulmonol, Leiden, Netherlands; [Ratomaharo, J.; Sterk, P. J.] Hop Prive Athis Mons, Serv Pneumol, Athis Mons, France; [Rezagui, D.] AFAP, Munich, Germany; [Ring, J.] Tech Univ Munich, Munich, Germany; [Roberts, R.] Univ Wisconsin, Sch Med &amp; Publ Hlth, Madison, WI USA; [Roca, J.] Univ Barcelona, CIBERES, Hosp Clin, Inst Clin Torax,IDIBAPS, Barcelona, Spain; [Rogala, B.] Silesian Univ, Sch Med, Zabrze, Poland; [Romano, A.] UCSC Allergy Unit, Dept Internal Med &amp; Geriatr, Rome, Italy; [Rosado-Pinto, J.] Hosp Luz, Immunoallergy Dept, Lisbon, Portugal; [Rosado-Pinto, J.] Hosp Dona Estefania, Lisbon, Portugal; [Ryan, D.] Woodbrook Med Ctr, Loughborough, Leics, England; [Ryan, D.] Univ Aberdeen, Aberdeen, Scotland; [Sanchez-Borges, M.] Ctr Med Docente La Trinidad, Dept Allergy &amp; Clin Immunol, Caracas, Venezuela; [Scadding, G. K.] UCL, Royal Natl TNE Hosp, London, England; [Sheikh, A.] Univ Edinburgh, Sch Med, Ctr Populat Hlth Sci, Edinburgh, Midlothian, Scotland; [Simons, F. E. R.] Univ Manitoba, Fac Med, Winnipeg, MB, Canada; [Siroux, V.] INSERM, U823, Team Environm Epidemiol Appl Reprod &amp; Resp, Grenoble, France; [Siroux, V.] Univ Grenoble 1, Grenoble, France; [Schmid-Grendelmeier, P. D.] Univ Zurich Hosp, Dept Dermatol, Allergy Unit, CH-8091 Zurich, Switzerland; [Smit, H. A.] Univ Utrecht, Univ Med Ctr Utrecht, Julius Ctr Hlth Sci &amp; Primary Care, Utrecht, Netherlands; [Sooronbaev, T.; Stein, R. T.] Natl Ctr Cardiol &amp; Internal Med, Bishkek, Kyrgyzstan; [Stein, R. T.] Pontificia Univ Catolica RGS, Sch Med, Porto Alegre, RS, Brazil; [Terreehorst, I.] AMC Hosp, Dept ENT &amp; Paediat, Amsterdam, Netherlands; [Toskala, E.] Finnish Inst Occupat Hlth, Helsinki, Finland; [Tremblay, Y.] Univ Laval, Fac Med, Dept Obstetr &amp; Gynecol Axis Reprod Perinatal &amp; Ch, Quebec City, PQ G1K 7P4, Canada; [Valenta, R.] Med Univ Vienna, Christian Doppler Lab Allergy Res, Ctr Pathophysiol Infectiol &amp; Immunol, Div Immunopathol,Dept Pathophysiol &amp; Allergy Res, Vienna, Austria; [Valeyre, D.] Univ Paris 13, PRES Sorbonne Paris Cite, Bobigny, France; [Valeyre, D.] Avicenne Hosp, AP HP, Bobigny, France; [Vandenplas, O.] Catholic Univ Louvain, Univ Hosp Mt Godinne, Yvoir, Belgium; [van Weel, C.] Radboud Univ Nijmegen, Med Ctr, Dept Primary &amp; Community Care, Nijmegen, Netherlands; [Viegi, G.] CNR Inst Biomed &amp; Mol Immunol IBIM, Palermo, Italy; [Viegi, G.] Clin Physiol IFC, Pisa, Italy; [Wang, D. Y.] Natl Univ Singapore, Yong Loo Lin Sch Med, Singapore 117595, Singapore; [Wickman, M.] Karolinska Inst, Sachs Childrens Hosp, Stockholm, Sweden; [Wickman, M.] Karolinska Inst, Inst Environm Med, S-10401 Stockholm, Sweden; [Williams, D.] Univ N Carolina, Sch Pharm, Chapel Hill, NC 27515 USA; [Woehrl, S.] Med Univ Vienna, Dept Dermatol Allergy &amp; Infect Dis DIAID, Div Immunol, Vienna, Austria; [Yorgancioglu, A.] Celal Bayar Univ, Sch Med, Dept Pulmonol, Manisa, Turkey; [Yusuf, O. M.] Allergy &amp; Asthma Inst, Islamabad, Pakistan; [Zar, H. J.] Univ Cape Town, Dept Paediat &amp; Child Hlth, ZA-7925 Cape Town, South Africa; [Zar, H. J.] Univ Cape Town, Sch Child &amp; Adolescent Hlth, Red Cross Childrens Hosp, ZA-7925 Cape Town, South Africa; [Zidarn, M.] Univ Clin Resp &amp; Allerg Dis, Golnik, Slovenia; [Zhong, N.] Guangzhou Med Univ, Guangzhou Inst Resp Dis, Guangzhou, Guangdong, Peoples R China; [Zhong, N.] Guangzhou Med Univ, State Key Lab Resp Dis, Guangzhou, Guangdong, Peoples R China; [Zuberbier, T.] Charite, Network Excellence, Global Allergy &amp; Asthma European Network GA2LEN, D-13353 Berlin, Germany</t>
  </si>
  <si>
    <t>Concepts of disease severity, activity, control and responsiveness to treatment are linked but different. Severity refers to the loss of function of the organs induced by the disease process or to the occurrence of severe acute exacerbations. Severity may vary over time and needs regular follow-up. Control is the degree to which therapy goals are currently met. These concepts have evolved over time for asthma in guidelines, task forces or consensus meetings. The aim of this paper is to generalize the approach of the uniform definition of severe asthma presented to WHO for chronic allergic and associated diseases (rhinitis, chronic rhinosinusitis, chronic urticaria and atopic dermatitis) in order to have a uniform definition of severity, control and risk, usable in most situations. It is based on the appropriate diagnosis, availability and accessibility of treatments, treatment responsiveness and associated factors such as comorbidities and risk factors. This uniform definition will allow a better definition of the phenotypes of severe allergic (and related) diseases for clinical practice, research (including epidemiology), public health purposes, education and the discovery of novel therapies. Copyright (C) 2012 S. Karger AG, Basel</t>
  </si>
  <si>
    <t>IMPORTANT RESEARCH QUESTIONS; WORLD-HEALTH-ORGANIZATION; QUALITY-OF-LIFE; ATOPIC-DERMATITIS; SEVERE ASTHMA; CHRONIC RHINOSINUSITIS; NASAL POLYPOSIS; NONALLERGIC RHINITIS; CLUSTER-ANALYSIS; ECZEMA AREA</t>
  </si>
  <si>
    <t>Immunoglobulin E; Asthma; Rhinitis; Rhinosinusitis; Urticaria; Atopic dermatitis</t>
  </si>
  <si>
    <t>Severe Chronic Allergic (and Related) Diseases: A Uniform Approach - A MeDALL - GA2LEN - ARIA Position Paper</t>
  </si>
  <si>
    <t>WHO Collaborating Ctr Asthma</t>
  </si>
  <si>
    <t>Bousquet, J.; Anto, J. M.; Demoly, P.; Schuenemann, H. J.; Togias, A.; Akdis, M.; Auffray, C.; Bachert, C.; Bieber, T.; Bousquet, P. J.; Carlsen, K. H.; Casale, T. B.; Cruz, A. A.; Keil, T.; Carlsen, K. C. Lodrup; Maurer, M.; Ohta, K.; Papadopoulos, N. G.; Rodriguez, M. Roman; Samolinski, B.; Agache, I.; Andrianarisoa, A.; Ang, C. S.; Annesi-Maesano, I.; Ballester, F.; Baena-Cagnani, C. E.; Basagana, X.; Bateman, E. D.; Bel, E. H.; Bedbrook, A.; Beghe, B.; Beji, M.; Ben Kheder, A.; Benet, M.; Bennoor, K. S.; Bergmann, K. C.; Berrissoul, F.; Jensen, C. Bindslev; Bleecker, E. R.; Bonini, S.; Boner, A. L.; Boulet, L. P.; Brightling, C. E.; Brozek, J. L.; Bush, A.; Busse, W. W.; Camargos, P. A. M.; Canonica, G. W.; Carr, W.; Cesario, A.; Chen, Y. Z.; Chiriac, A. M.; Costa, D. J.; Cox, L.; Custovic, A.; Dahl, R.; Darsow, U.; Didi, T.; Dolen, W. K.; Douagui, H.; Dubakiene, R.; El-Meziane, A.; Fonseca, J. A.; Fokkens, W. J.; Fthenou, E.; Gamkrelidze, A.; Garcia-Aymerich, J.; van Wijk, R. Gerth; Gimeno-Santos, E.; Guerra, S.; Haahtela, T.; Haddad, H.; Hellings, P. W.; Hellquist-Dahl, B.; Hohmann, C.; Howarth, P.; Hourihane, J. O.; Humbert, M.; Jacquemin, B.; Just, J.; Kalayci, O.; Kaliner, M. A.; Kauffmann, F.; Kerkhof, M.; Khayat, G.; N'Goran, B. Koffi; Kogevinas, M.; Koppelman, G. H.; Kowalski, M. L.; Kull, I.; Kuna, P.; Larenas, D.; Lavi, I.; Le, L. T.; Lieberman, P.; Lipworth, B.; Mahboub, B.; Makela, M. J.; Martin, F.; Martinez, F. D.; Marshall, G. D.; Mazon, A.; Melen, E.; Meltzer, E. O.; Mihaltan, F.; Mohammad, Y.; Mohammadi, A.; Momas, I.; Morais-Almeida, M.; Mullol, J.; Muraro, A.; Naclerio, R.; Nafti, S.; Namazova-Baranova, L.; Nawijn, M. C.; Nyembue, T. D.; Oddie, S.; O'Hehir, R. E.; Okamoto, Y.; Orru, M. P.; Ozdemir, C.; Ouedraogo, G. S.; Palkonen, S.; Panzner, P.; Passalacqua, G.; Pawankar, R.; Pigearias, B.; Pin, I.; Pinart, M.; Pison, C.; Popov, T. A.; Porta, D.; Postma, D. S.; Price, D.; Rabe, K. F.; Ratomaharo, J.; Reitamo, S.; Rezagui, D.; Ring, J.; Roberts, R.; Roca, J.; Rogala, B.; Romano, A.; Rosado-Pinto, J.; Ryan, D.; Sanchez-Borges, M.; Scadding, G. K.; Sheikh, A.; Simons, F. E. R.; Siroux, V.; Schmid-Grendelmeier, P. D.; Smit, H. A.; Sooronbaev, T.; Stein, R. T.; Sterk, P. J.; Sunyer, J.; Terreehorst, I.; Toskala, E.; Tremblay, Y.; Valenta, R.; Valeyre, D.; Vandenplas, O.; van Weel, C.; Vassilaki, M.; Varraso, R.; Viegi, G.; Wang, D. Y.; Wickman, M.; Williams, D.; Woehrl, S.; Wright, J.; Yorgancioglu, A.; Yusuf, O. M.; Zar, H. J.; Zernotti, M. E.; Zidarn, M.; Zhong, N.; Zuberbier, T.</t>
  </si>
  <si>
    <t>Bousquet, J; Anto, JM; Demoly, P; Schünemann, HJ; Togias, A; Akdis, M; Auffray, C; Bachert, C; Bieber, T; Bousquet, PJ; Carlsen, KH; Casale, TB; Cruz, AA; Keil, T; Carlsen, KCL; Maurer, M; Ohta, K; Papadopoulos, NG; Rodriguez, MR; Samolinski, B; Agache, I; Andrianarisoa, A; Ang, CS; Annesi-Maesano, I; Ballester, F; Baena-Cagnani, CE; Basagaña, X; Bateman, ED; Bel, EH; Bedbrook, A; Beghé, B; Beji, M; Ben Kheder, A; Benet, M; Bennoor, KS; Bergmann, KC; Berrissoul, F; Jensen, CB; Bleecker, ER; Bonini, S; Boner, AL; Boulet, LP; Brightling, CE; Brozek, JL; Bush, A; Busse, WW; Camargos, PAM; Canonica, GW; Carr, W; Cesario, A; Chen, YZ; Chiriac, AM; Costa, DJ; Cox, L; Custovic, A; Dahl, R; Darsow, U; Didi, T; Dolen, WK; Douagui, H; Dubakiene, R; El-Meziane, A; Fonseca, JA; Fokkens, WJ; Fthenou, E; Gamkrelidze, A; Garcia-Aymerich, J; van Wijk, RG; Gimeno-Santos, E; Guerra, S; Haahtela, T; Haddad, H; Hellings, PW; Hellquist-Dahl, B; Hohmann, C; Howarth, P; Hourihane, JO; Humbert, M; Jacquemin, B; Just, J; Kalayci, O; Kaliner, MA; Kauffmann, F; Kerkhof, M; Khayat, G; N'Goran, BK; Kogevinas, M; Koppelman, GH; Kowalski, ML; Kull, I; Kuna, P; Larenas, D; Lavi, I; Le, LT; Lieberman, P; Lipworth, B; Mahboub, B; Makela, MJ; Martin, F; Martinez, FD; Marshall, GD; Mazon, A; Melen, E; Meltzer, EO; Mihaltan, F; Mohammad, Y; Mohammadi, A; Momas, I; Morais-Almeida, M; Mullol, J; Muraro, A; Naclerio, R; Nafti, S; Namazova-Baranova, L; Nawijn, MC; Nyembue, TD; Oddie, S; O'Hehir, RE; Okamoto, Y; Orru, MP; Ozdemir, C; Ouedraogo, GS; Palkonen, S; Panzner, P; Passalacqua, G; Pawankar, R; Pigearias, B; Pin, I; Pinart, M; Pison, C; Popov, TA; Porta, D; Postma, DS; Price, D; Rabe, KF; Ratomaharo, J; Reitamo, S; Rezagui, D; Ring, J; Roberts, R; Roca, J; Rogala, B; Romano, A; Rosado-Pinto, J; Ryan, D; Sanchez-Borges, M; Scadding, GK; Sheikh, A; Simons, FER; Siroux, V; Schmid-Grendelmeier, PD; Smit, HA; Sooronbaev, T; Stein, RT; Sterk, PJ; Sunyer, J; Terreehorst, I; Toskala, E; Tremblay, Y; Valenta, R; Valeyre, D; Vandenplas, O; van Weel, C; Vassilaki, M; Varraso, R; Viegi, G; Wang, DY; Wickman, M; Williams, D; Wöhrl, S; Wright, J; Yorgancioglu, A; Yusuf, OM; Zar, HJ; Zernotti, ME; Zidarn, M; Zhong, N; Zuberbier, T</t>
  </si>
  <si>
    <t>WOS:000208896500002</t>
  </si>
  <si>
    <t>V31PW</t>
  </si>
  <si>
    <t>Prasse, Antje/0000-0002-7336-7458; Drent, Marjolein/0000-0003-1586-0110; Humbert, Marc/0000-0003-0703-2892; Judson, Marc/0000-0002-4663-7985</t>
  </si>
  <si>
    <t>Judson, Marc/I-7140-2019; Prasse, Antje/AAY-6279-2020; Drent, Marjolein/ABA-9526-2020; Vucinic, Violeta/T-5398-2019; Humbert, Marc/AAC-8459-2019</t>
  </si>
  <si>
    <t>bob.baughman@uc.edu</t>
  </si>
  <si>
    <t>Baughman, RP (corresponding author), Univ Cincinnati, Cincinnati, OH 45221 USA.</t>
  </si>
  <si>
    <t>University System of Ohio; University of Cincinnati; Gelderse Vallei Hospital; Maastricht University; Cleveland Clinic Foundation; St. Antonius Hospital Utrecht; Kyoto University; Institut National de la Sante et de la Recherche Medicale (Inserm); Assistance Publique Hopitaux Paris (APHP); Hopital Universitaire Bicetre - APHP; Hopital Universitaire Antoine-Beclere - APHP; Universite Paris Saclay; Albany Medical College; Institut d'Investigacio Biomedica de Bellvitge (IDIBELL); Bellvitge University Hospital; University of Barcelona; Instituto de Assistencia Medica ao Servidor Publico Estadual (IAMSPE); University of Freiburg; Harvard University; Harvard University Medical Affiliates; Beth Israel Deaconess Medical Center; Yeshiva University; Clinical Centre of Serbia; Royal Brompton Hospital</t>
  </si>
  <si>
    <t>[Baughman, R. P.; Lower, E. E.] Univ Cincinnati, Med Ctr, Cincinnati, OH 45267 USA; [Drent, M.] Maastricht Univ, Dept Ild, Hosp Gelderse Vallei Ede, Maastricht, Netherlands; [Culver, D. A.] Cleveland Clin, Resp Inst, Cleveland, OH 44106 USA; [Grutters, J. C.] St Antonius Hosp Nieuwegein, Ctr Interstitial Lung Dis, Dept Pulmonol, Nieuwegein, Netherlands; [Handa, T.] Kyoto Univ Hosp, Dept Rehabil Med &amp; Resp Med, Kyoto, Japan; [Humbert, M.] Univ Paris 11, INSERM, Hop Bicetre, AP HP,U999,Serv Pneumol, Le Kremlin Bicetre, France; [Judson, M. A.] Albany Med Ctr, Div Pulm &amp; Crit Care Med, Albany, NY USA; [Mana, J.] Bellvitge Univ Hosp, Dept Internal Med, IDI BELL, Barcelona, Spain; [Pereira, C. A.] Hosp Serv Publ Estadual Sao Paulo, Dept Doencas Aparelho Resp, Sao Paulo, Brazil; [Prasse, A.] Univ Hosp, Dept Pneumol, Freiburg, Germany; [Sulica, R.] Beth Israel Deaconess Med Ctr, Albert Einstein Coll Med, New York, NY 10003 USA; [Valyere, D.] Hosp Avicenne, Dept Pneumol, Bobigny, France; [Vucinic, V.] Clin Ctr Serbia, Clin Pulmonol, Belgrade, Serbia; [Wells, A. U.] Royal Brompton Hosp, London SW3 6LY, England</t>
  </si>
  <si>
    <t>Over the past few years an increasing number of prospective controlled sarcoidosis treatment trials have been completed. Unfortunately, these studies utilize different endpoints making comparisons between studies difficult. At the recent World Association of Sarcoidosis and other Granulomatous disease (WASOG) meeting, a session was dedicated to the evaluation of clinical endpoints for various disease manifestations. These included pulmonary, pulmonary hypertension, fatigue, cutaneous, and a classification of clinical disease phenotypes. Based on the available literature and our current understanding of the disease, recommendations for clinical evaluation were proposed for each disease category. For example, it was recommended that pulmonary studies should include changes in the forced vital capacity. Additionally, it was recommended that all trials should incorporate measurement of quality of life.</t>
  </si>
  <si>
    <t>QUALITY-OF-LIFE; PULMONARY ARTERIAL-HYPERTENSION; FATIGUE ASSESSMENT SCALE; DOUBLE-BLIND; INFLIXIMAB THERAPY; LUPUS PERNIO; SLEEP-APNEA; METHOTREXATE; THALIDOMIDE; EXERCISE</t>
  </si>
  <si>
    <t>quality of life; forced vital capacity; short form 36; Scadding stage; fatigue assessment scale</t>
  </si>
  <si>
    <t>ENDPOINTS FOR CLINICAL TRIALS OF SARCOIDOSIS</t>
  </si>
  <si>
    <t>Baughman, R. P.; Drent, M.; Culver, D. A.; Grutters, J. C.; Handa, T.; Humbert, M.; Judson, M. A.; Lower, E. E.; Mana, J.; Pereira, C. A.; Prasse, A.; Sulica, R.; Valyere, D.; Vucinic, V.; Wells, A. U.</t>
  </si>
  <si>
    <t>Baughman, RP; Drent, M; Culver, DA; Grutters, JC; Handa, T; Humbert, M; Judson, MA; Lower, EE; Mana, J; Pereira, CA; Prasse, A; Sulica, R; Valyere, D; Vucinic, V; Wells, AU</t>
  </si>
  <si>
    <t>WOS:000300411400014</t>
  </si>
  <si>
    <t>894FB</t>
  </si>
  <si>
    <t>10.1183/09031936.00019911</t>
  </si>
  <si>
    <t>O'Callaghan, Dermot/0000-0002-0561-5800; Montani, David/0000-0002-9358-6922; Humbert, Marc/0000-0003-0703-2892; SITBON, Olivier/0000-0002-1942-1951; CHEMLA, Denis/0000-0001-7479-9896; JAIS, XAVIER/0000-0002-4104-7994</t>
  </si>
  <si>
    <t>Chemla, D (corresponding author), Hop Antoine Beclere, AP HP, Serv Explorat Fonct, 157 Rue Porte Trivaux, F-92140 Clamart, France.</t>
  </si>
  <si>
    <t>Assistance Publique Hopitaux Paris (APHP); Hopital Universitaire Antoine-Beclere - APHP; Universite Paris Saclay; Assistance Publique Hopitaux Paris (APHP); Institut National de la Sante et de la Recherche Medicale (Inserm); Universite Paris Saclay; Hopital Marie Lannelongue; Auckland City Hospital</t>
  </si>
  <si>
    <t>[Garcia, G.; Chemla, D.] Hop Antoine Beclere, AP HP, Serv Explorat Fonct, F-92140 Clamart, France; [Chemla, D.] Univ Paris 11, Fac Med, EA Med ICU 4533, Paris, France; [Hoette, S.; Montani, D.; Jais, X.; Parent, F.; Savale, L.; Natali, D.; O'Callaghan, D. S.; Sitbon, O.; Simonneau, G.; Humbert, M.] Ctr Reference Hypertens Pulm Severe, Serv Pneumol &amp; Reanimat Resp, AP HP, Paris, France; [Herve, P.] Explorat Fonct, Paris, France; [Montani, D.; Garcia, G.; Sitbon, O.; Simonneau, G.; Humbert, M.] INSERM, U999, IPSIT, Ctr Chirurg Marie Lannelongue, Paris, France; [Whyte, K.] Auckland City Hosp, Greenlane Resp Serv, Auckland, New Zealand</t>
  </si>
  <si>
    <t>The mean pulmonary artery pressure ((P) over bar (pa)) achieved on mild-to-moderate exercise is age related and its haemodynamic correlates remain to be documented in patients free of pulmonary hypertension (PH). Our retrospective study involved patients free of PH investigated in our centre for possible pulmonary vascular disease between January 1, 2007 and October 31, 2009 who underwent right heart catheterisation at rest and during supine exercise up to 60 W. The 38 out of 99 patients aged &lt;50 yrs were included and a &lt;(P)over bar&gt;(pa) of 30 mmHg was considered the upper limit of normal on exercise. The 24 subjects who developed (P) over bar (pa)&gt;30 mmHg on exercise had higher resting (P) over bar (pa) (19 +/- 3 versus 15 +/- 4 mmHg) and indexed pulmonary vascular resistance (PVRi; 3.4 +/- 1.5 versus 2.2 +/- 1.1 WU.m(2); p&lt;0.05) than the remaining 14 subjects. Resting &lt;(P)over bar&gt;(pa) &gt;15 mmHg predicted exercise (P) over bar (pa) &gt;30 mmHg with 88% sensitivity and 57% specificity. The eight patients with resting (P) over bar (pa) 22-24 mmHg all had exercise (P) over tilde (pa) &gt;30 mmHg. In subjects aged &lt;50 yrs investigated for possible pulmonary vascular disease and free of PH, patients with mild-to-moderate exercise &lt;(P)over bar&gt;(pa) &gt;30 mmHg had higher resting PVRi and higher resting (P) over bar (pa), although there was no resting (P) over bar (pa) threshold value that could predict normal response on mild-to-moderate exercise. The clinical relevance of such findings deserves further long-term follow-up studies.</t>
  </si>
  <si>
    <t>SYSTEMIC-SCLEROSIS; STRESS TESTS; END-POINTS; HYPERTENSION; DIAGNOSIS; DISEASE; HEMODYNAMICS; CIRCULATION</t>
  </si>
  <si>
    <t>Cardiac output; pulmonary hypertension; pulmonary vascular disease; right heart catheterisation</t>
  </si>
  <si>
    <t>The association between resting and mild-to-moderate exercise pulmonary artery pressure</t>
  </si>
  <si>
    <t>Whyte, K.; Hoette, S.; Herve, P.; Montani, D.; Jais, X.; Parent, F.; Savale, L.; Natali, D.; O'Callaghan, D. S.; Garcia, G.; Sitbon, O.; Simonneau, G.; Humbert, M.; Chemla, D.</t>
  </si>
  <si>
    <t>Whyte, K; Hoette, S; Herve, P; Montani, D; Jaïs, X; Parent, F; Savale, L; Natali, D; O'Callaghan, DS; Garcia, G; Sitbon, O; Simonneau, G; Humbert, M; Chemla, D</t>
  </si>
  <si>
    <t>WOS:000299803000014</t>
  </si>
  <si>
    <t>885TF</t>
  </si>
  <si>
    <t>10.1164/rccm.201105-0927OC</t>
  </si>
  <si>
    <t>Supported in part by the Legs Poix, the Universite Paris-Sud, INSERM, an Actelion Endothelin Research Award (AERA 2007-010), and a grant from the Fondation pour la Recherche Medicale (FRM; DEQ20100318257). The tissue bank was supported in part by the Legs Poix, Chancellerie des Universites de Paris. F.P. was supported by a long-term fellowship grant from the European Respiratory Society (ERS fellowship LTRF 171), and then by the FRM (grant DEQ20100318257). D.M. and P.D. are supported by a grant from the Association HTAP France. B.N.L. is supported by an Odysseus grant from the Flemish government (FWO).</t>
  </si>
  <si>
    <t>Legs Poix; Universite Paris-Sud; INSERM(Institut National de la Sante et de la Recherche Medicale (Inserm)); Actelion Endothelin Research Award; Fondation pour la Recherche Medicale (FRM)(Fondation pour la Recherche Medicale); Legs Poix, Chancellerie des Universites de Paris; European Respiratory Society (ERS); Association HTAP France; Flemish government (FWO)(FWO)</t>
  </si>
  <si>
    <t>Legs Poix; Universite Paris-Sud; INSERM; Actelion Endothelin Research Award [AERA 2007-010]; Fondation pour la Recherche Medicale (FRM) [DEQ20100318257]; Legs Poix, Chancellerie des Universites de Paris; European Respiratory Society (ERS) [LTRF 171]; Association HTAP France; Flemish government (FWO)</t>
  </si>
  <si>
    <t>Perros, Frederic/0000-0001-7730-2427; Lambrecht, Bart N/0000-0003-4376-6834; Humbert, Marc/0000-0003-0703-2892; Waelput, Wim/0000-0002-4433-5852; Mercier, Olaf/0000-0002-4760-6267; Montani, David/0000-0002-9358-6922; Hammad, Hamida/0000-0003-3762-8603; Dorfmuller, Peter/0000-0003-2499-6829</t>
  </si>
  <si>
    <t>David, Montani/I-6885-2019; Mussot, S/AAL-7512-2020; Cohen-Kaminsky, Sylvia/E-4837-2014; Perros, Frederic/N-6921-2017; Lambrecht, Bart N/K-2484-2014; Humbert, Marc/AAC-8459-2019; Waelput, Wim/KDM-9185-2024; Hammad, Hamida/J-9391-2015</t>
  </si>
  <si>
    <t>Perros, F (corresponding author), Univ Paris 11, INSERM, U999, Ctr Chirurg Marie Lannelongue, 133 Ave Resistance, F-92350 Le Plessis Robinson, France.</t>
  </si>
  <si>
    <t>Institut National de la Sante et de la Recherche Medicale (Inserm); Hopital Marie Lannelongue; Universite Paris Saclay; Ghent University; Ghent University Hospital; Ghent University; Ghent University Hospital; Universite Paris Saclay; Assistance Publique Hopitaux Paris (APHP); Hopital Universitaire Antoine-Beclere - APHP; University of Antwerp</t>
  </si>
  <si>
    <t>[Perros, Frederic; Dorfmueller, Peter; Montani, David; Girerd, Barbara; Raymond, Nicolas; Mercier, Olaf; Mussot, Sacha; Cohen-Kaminsky, Sylvia; Humbert, Marc] Univ Paris 11, INSERM, U999, Ctr Chirurg Marie Lannelongue, F-92350 Le Plessis Robinson, France; [Perros, Frederic; Hammad, Hamida; Lambrecht, Bait N.] Univ Hosp Ghent, Immunoregulat Lab, Ghent, Belgium; [Perros, Frederic; Hammad, Hamida; Lambrecht, Bait N.] Univ Hosp Ghent, Dept Resp Med, Ghent, Belgium; [Perros, Frederic; Dorfmueller, Peter; Montani, David; Girerd, Barbara; Raymond, Nicolas; Mercier, Olaf; Mussot, Sacha; Cohen-Kaminsky, Sylvia; Humbert, Marc] Univ Paris 11, Fac Med, Le Kremlin Bicetre, France; [Perros, Frederic; Dorfmueller, Peter; Montani, David; Girerd, Barbara; Cohen-Kaminsky, Sylvia; Humbert, Marc] Hop Antoine Beclere, AP HP, Ctr Natl Reference Hypertens Pulm Severe, Serv Pneumol &amp; Reanimat Resp, Clamart, France; [Waelput, Wim] Univ Antwerp Hosp, Dept Pathol, Edegem, Belgium</t>
  </si>
  <si>
    <t>Rationale Patients with idiopathic pulmonary arterial hypertension (IPAH) present circulating autoantibodies against vascular wall components. Pathogenic antibodies may be generated in tertiary (ectopic) lymphoid tissues (tLTs). Objectives: To assess the frequency of tLTs in IPAH lungs, as compared with control subjects and flow-induced PAH in patients with Eisenmenger syndrome, and to identify local mechanisms responsible for their formation, perpetuation, and function. Methods: tLT composition and structure were studied by multiple immunostainings. Cytokine/chemokine and growth factor expression was quantified by real-time polymerase chain reaction and localized by immunofluorescence. The systemic mark of pulmonary lymphoid neogenesis was investigated by flow cytometry analyses of circulating lymphocytes. Measurements and Main Results: As opposed to lungs from control subjects and patients with Eisenmenger syndrome, IPAH lungs contained perivascular tLTs, comprising B- and T-cell areas with high endothelial venules and dendritic cells. Lymphocyte survival factors, such as IL-7 and platelet-derived growth factor-A, were expressed in tLTs as well as the lymphorganogenic cytokines/chemokines, lymphotoxin-alpha/-beta, CCL19, CCL20, CCL21, and CXCL13, which might explain the depletion of circulating CCR6(+) and CXCR5(+) lymphocytes. tLTs were connected with remodeled vessels via an ER-TR7(+) stromal network and supplied by lymphatic channels. The presence of germinal center centroblasts, follicular dendritic cells, activation-induced cytidine deaminase, and IL-21(+) PD1(+) follicular helper T cells in tLTs together with CD138(+) plasma cell accumulation around remodeled vessels in areas of immunoglobulin deposition argued for local immunoglobulin class switching and ongoing production. Conclusions: We highlight the main features of lymphoid neogenesis specifically in the lungs of patients with IPAH, providing new evidence of immunological mechanisms in this severe condition.</t>
  </si>
  <si>
    <t>IMMUNOSUPPRESSIVE THERAPY; DENDRITIC CELL; EXPRESSION; TISSUE; GROWTH; LUNG; PROLIFERATION; INTERLEUKIN-7; INFLAMMATION; ANTIBODIES</t>
  </si>
  <si>
    <t>autoantibody; lymphatic vessel; lymphorganogenic chemokines; pulmonary arterial hypertension; tertiary lymphoid follicles</t>
  </si>
  <si>
    <t>Pulmonary Lymphoid Neogenesis in Idiopathic Pulmonary Arterial Hypertension</t>
  </si>
  <si>
    <t>Perros, Frederic; Dorfmueller, Peter; Montani, David; Hammad, Hamida; Waelput, Wim; Girerd, Barbara; Raymond, Nicolas; Mercier, Olaf; Mussot, Sacha; Cohen-Kaminsky, Sylvia; Humbert, Marc; Lambrecht, Bait N.</t>
  </si>
  <si>
    <t>Perros, F; Dorfmüller, P; Montani, D; Hammad, H; Waelput, W; Girerd, B; Raymond, N; Mercier, O; Mussot, S; Cohen-Kaminsky, S; Humbert, M; Lambrecht, BN</t>
  </si>
  <si>
    <t>WOS:000301974300234</t>
  </si>
  <si>
    <t>914TC</t>
  </si>
  <si>
    <t>Humbert, Marc/AAC-8459-2019; Sitbon, Olivier/I-3623-2019; Mussot, S/AAL-7512-2020; Simonneau, Gerald/ABE-6614-2020; Launay, David/A-5270-2018; Savale, Laurent/AAJ-9781-2020; Launay, David/H-1674-2016</t>
  </si>
  <si>
    <t>Universite de Lille; Universite Paris Saclay; Universite Paris Cite; Hopital Marie Lannelongue</t>
  </si>
  <si>
    <t>[Launay, D.; Hachulla, E.] Univ Lille 2, Serv Med Interne, Lille, France; [Savale, L.; Humbert, M.; Sitbon, O.; Simonneau, G.] Univ Paris Sud, Serv Pneumol, Clamart, France; [Berezne, A.; Mouthon, L.; Guillevin, L.] Univ Paris 05, Serv Med Interne, Paris, France; [Mercier, O.; Dartevelle, P.; Mussot, S.] Ctr Chirurg Marie Lannelongue, Le Plessis Robinson, France</t>
  </si>
  <si>
    <t>FEB 02-04, 2012</t>
  </si>
  <si>
    <t>2nd Systemic Sclerosis World Congress</t>
  </si>
  <si>
    <t>LUNG TRANSPLANTATION IN SSc: A MONOCENTRIC EXPERIENCE OF 9 PATIENTS</t>
  </si>
  <si>
    <t>Launay, D.; Savale, L.; Berezne, A.; Humbert, M.; Mouthon, L.; Mercier, O.; Hachulla, E.; Sitbon, O.; Guillevin, L.; Dartevelle, P.; Simonneau, G.; Mussot, S.</t>
  </si>
  <si>
    <t>Launay, D; Savale, L; Berezne, A; Humbert, M; Mouthon, L; Mercier, O; Hachulla, E; Sitbon, O; Guillevin, L; Dartevelle, P; Simonneau, G; Mussot, S</t>
  </si>
  <si>
    <t>WOS:000301974300019</t>
  </si>
  <si>
    <t>Humbert, Marc/AAC-8459-2019; Simonneau, Gerald/ABE-6614-2020; Sitbon, Olivier/I-3623-2019; Launay, David/A-5270-2018; Launay, David/H-1674-2016</t>
  </si>
  <si>
    <t>Universite de Lille; Universite Paris Saclay; Universite Claude Bernard Lyon 1; Universite Paris Cite; Actelion Pharmaceuticals Ltd</t>
  </si>
  <si>
    <t>[Launay, D.; Hachulla, E.] Univ Lille 2, Med Interna Serv, Lille, France; [Sitbon, O.; Rottat, L.; Simonneau, G.; Humbert, M.; French PAH Registry] Univ Paris 11, Serv Pneumol, Clamart, France; [Cordier, J. F.] Univ Lyon 1, Serv Pneumol, F-69365 Lyon, France; [Mouthon, L.] Univ Paris 05, Serv Med Interne, Paris, France; [Gressin, V.] Actelion Pharmaceut, Paris, France; [Clerson, P.] Orgametrie, Roubaix, France</t>
  </si>
  <si>
    <t>SURVIVAL AND PROGNOSTIC FACTORS IN PATIENTS WITH INCIDENT AND NEWLY DIAGNOSED SSc-ASSOCIATED PULMONARY ARTERIAL HYPERTENSION FROM THE FRENCH REGISTRY</t>
  </si>
  <si>
    <t>French PAH Registry</t>
  </si>
  <si>
    <t>WOS:000300545100006</t>
  </si>
  <si>
    <t>896DH</t>
  </si>
  <si>
    <t>10.1016/j.healun.2011.11.002</t>
  </si>
  <si>
    <t>JAIS, XAVIER/0000-0002-4104-7994; Montani, David/0000-0002-9358-6922; Humbert, Marc/0000-0003-0703-2892; O'Callaghan, Dermot/0000-0002-0561-5800; SITBON, Olivier/0000-0002-1942-1951</t>
  </si>
  <si>
    <t>[Kemp, Kristina; Savale, Laurent; O'Callaghan, Dermot S.; Jais, Xavier; Montani, David; Humbert, Marc; Simonneau, Gerald; Sitbon, Olivier] Univ Paris 11, Fac Med, Le Kremlin Bicetre, France; [Kemp, Kristina; Savale, Laurent; O'Callaghan, Dermot S.; Jais, Xavier; Montani, David; Humbert, Marc; Simonneau, Gerald; Sitbon, Olivier] Hop Antoine Beclere, AP HP, Ctr Reference Hypertens Pulm Severe, Serv Pneumol &amp; Reanimat Resp, F-92141 Clamart, France; [Kemp, Kristina; Savale, Laurent; O'Callaghan, Dermot S.; Jais, Xavier; Montani, David; Humbert, Marc; Simonneau, Gerald; Sitbon, Olivier] Ctr Chirurg Marie Lannelongue, Inst Natl Sante &amp; Rech Med, U999, Le Plessis Robinson, France</t>
  </si>
  <si>
    <t>BACKGROUND: Recent guidelines have proposed first-line combination therapy as a potential strategy for the treatment of functional class IV pulmonary arterial hypertension (PAH). METHODS: We analyzed efficacy and safety of upfront epoprostenol and bosentan combination therapy in consecutive patients with idiopathic, heritable, or anorexigen-associated PAH and compared outcomes with matched controls treated by epoprostenol monotherapy. RESULTS: Data for 16 functional class III patients and 7 functional class IV patients were analyzed. Baseline 6-minute walk distance (6MWD) was 287 +/- 133 meters, mean pulmonary artery pressure was 65 +/- 12 mm Hg, cardiac index was 1.8 +/- 0.3 L/min/m(2), and pulmonary vascular resistance (PVR) was 1493 +/- 398 dynes/sec/cm(5). After 4 months, 6MWD and PVR significantly improved to 421 +/- 100 meters and 784 +/- 364 dynes/sec/cm5, respectively. These improvements were maintained long-term (30 +/- 19 months). At 1, 2, 3, and 4 years, overall survival estimates were 100%, 94%, 94%, and 74%, and transplant-free survival estimates were 96%, 85%, 77%, and 60%, respectively. Compared with matched controls started on epoprostenol monotherapy, there was a trend to an improvement in overall survival (p = 0.07). CONCLUSIONS: Initial combination therapy with epoprostenol and bosentan in patients with severe PAH is associated with improvements in important outcomes such as functional class, exercise capacity, and hemodynamics. This combination strategy might also favorably affect overall and transplant-free survival. J Heart Lung Transplant 2012;31:150-8 (C) 2012 International Society for Heart and Lung Transplantation. All rights reserved.</t>
  </si>
  <si>
    <t>RECEPTOR ANTAGONIST BOSENTAN; SURVIVAL; SILDENAFIL; TREPROSTINIL; GUIDELINES; DIAGNOSIS; EFFICACY</t>
  </si>
  <si>
    <t>hypertension; pulmonary; pulmonary arterial hypertension; prostacyclin; endothelin receptor antagonist; combination therapy; observational study</t>
  </si>
  <si>
    <t>Usefulness of first-line combination therapy with epoprostenol and bosentan in pulmonary arterial hypertension: An observational study</t>
  </si>
  <si>
    <t>Kemp, Kristina; Savale, Laurent; O'Callaghan, Dermot S.; Jais, Xavier; Montani, David; Humbert, Marc; Simonneau, Gerald; Sitbon, Olivier</t>
  </si>
  <si>
    <t>Kemp, K; Savale, L; O'Callaghan, DS; Jaïs, X; Montani, D; Humbert, M; Simonneau, G; Sitbon, O</t>
  </si>
  <si>
    <t>WOS:000300672000023</t>
  </si>
  <si>
    <t>897RG</t>
  </si>
  <si>
    <t>10.1182/blood-2011-06-358374</t>
  </si>
  <si>
    <t>FEB 16</t>
  </si>
  <si>
    <t>1900 M STREET. NW SUITE 200, WASHINGTON, DC 20036 USA</t>
  </si>
  <si>
    <t>This work has been supported by funds from the Centre National de la Recherche Scientifique, Inserm, the Universite Pierre et Marie Curie, and by grants from the Fondation de France, the Fondation pour la Recherche Medicale, and the European Union (DEVANX). S. L. D. is supported by a Region Ile de France DIM STEM, A. B. by a SFPT, and S. D. by a Lefoulon-DeLalande fellowship.</t>
  </si>
  <si>
    <t>Centre National de la Recherche Scientifique(Centre National de la Recherche Scientifique (CNRS)); Inserm(Institut National de la Sante et de la Recherche Medicale (Inserm)); Universite Pierre et Marie Curie(Marie Curie Actions); Fondation de France(Fondation de France); Fondation pour la Recherche Medicale(Fondation pour la Recherche Medicale); European Union (DEVANX)(European Union (EU)Marie Curie Actions); Region Ile de France DIM STEM(Region Ile-de-France); SFPT; Lefoulon-DeLalande fellowship</t>
  </si>
  <si>
    <t>Centre National de la Recherche Scientifique; Inserm; Universite Pierre et Marie Curie; Fondation de France; Fondation pour la Recherche Medicale; European Union (DEVANX); Region Ile de France DIM STEM; SFPT; Lefoulon-DeLalande fellowship</t>
  </si>
  <si>
    <t>Humbert, Marc/0000-0003-0703-2892; collet, corinne/0000-0001-6990-863X; Belmer, Arnauld/0000-0001-6640-5631; Mallat, Ziad/0000-0003-0443-7878; doly, stephane/0000-0002-3517-8605; Maroteaux, Luc/0000-0002-9499-8603</t>
  </si>
  <si>
    <t>Mallat, Ziad/D-4041-2012; doly, stephane/Y-2318-2019; callebert, jacques/L-4569-2017; Maroteaux, Luc/H-4585-2019; Belmer, Arnauld/AAE-2554-2019; Humbert, Marc/AAC-8459-2019</t>
  </si>
  <si>
    <t>luc.maroteaux@upmc.fr</t>
  </si>
  <si>
    <t>Maroteaux, L (corresponding author), Inst Fer Moulin, Inserm UMR S 839, 17 Rue Fer Moulin, F-75005 Paris, France.</t>
  </si>
  <si>
    <t>Sorbonne Universite; Institut National de la Sante et de la Recherche Medicale (Inserm); Institut National de la Sante et de la Recherche Medicale (Inserm); Sorbonne Universite; Universite Paris Cite; Institut National de la Sante et de la Recherche Medicale (Inserm); Assistance Publique Hopitaux Paris (APHP); Hopital Universitaire Europeen Georges-Pompidou - APHP; Hopital Marie Lannelongue; Institut National de la Sante et de la Recherche Medicale (Inserm); Universite Paris Cite; Assistance Publique Hopitaux Paris (APHP); Hopital Universitaire Lariboisiere-Fernand-Widal - APHP; Universite Paris Cite; Assistance Publique Hopitaux Paris (APHP); Hopital Universitaire Antoine-Beclere - APHP; Institut National de la Sante et de la Recherche Medicale (Inserm); Universite Paris Saclay</t>
  </si>
  <si>
    <t>[Maroteaux, Luc] Inst Fer Moulin, Inserm UMR S 839, F-75005 Paris, France; [Doly, Stephane; Belmer, Arnauld; Diaz, Silvina L.; Maroteaux, Luc] Univ Paris 06, Inserm Unite Mixte Rech UMR S 839, Paris, France; [Mallat, Ziad] Hop Europeen Georges Pompidou, Paris Ctr Rech Cardiovasc, Inserm U970, Paris, France; [Herve, Philippe] Ctr Chirurg Marie Lannelongue, Le Plessis Robinson, Robinson, France; [Launay, Jean-Marie; Callebert, Jacques; Collet, Corinne] Hop Lariboisiere, AP HP, Inserm U942, Serv Biochim, F-75475 Paris, France; [Hatia, Sarah; Cote, Francine] Univ Paris 05, Ctr Natl Rech Sci UMR 8147, Paris, France; [Humbert, Marc] Univ Paris 11, Hop Antoine Beclere, AP HP, Serv Pneumol &amp; Reanimat Resp,Inserm U999, Clamart, France</t>
  </si>
  <si>
    <t>Pulmonary arterial hypertension (PAH) is a progressive disease characterized by lung endothelial dysfunction and vascular remodeling. Recently, bone marrow progenitor cells have been localized to PAH lungs, raising the question of their role in disease progression. Independently, serotonin (5-HT) and its receptors have been identified as contributors to the PAH pathogenesis. We hypothesized that 1 of these receptors, 5-HT2B, is involved in bone marrow stem cell mobilization that participates in the development of PAH and pulmonary vascular remodeling. A first study revealed expression of 5-HT2B receptors by circulating c-kit(+) precursor cells, whereas mice lacking 5-HT2B receptors showed alterations in platelets and monocyte-macrophage numbers, and in myeloid lineages of bone marrow. Strikingly, mice with restricted expression of 5-HT2B receptors in bone marrow cells developed hypoxia or monocrotaline-induced increase in pulmonary pressure and vascular remodeling, whereas restricted elimination of 5-HT2B receptors on bone marrow cells confers a complete resistance. Moreover, ex vivo culture of human CD34(+) or mice c-kit(+) progenitor cells in the presence of a 5-HT2B receptor antagonist resulted in altered myeloid differentiation potential. Thus, we demonstrate that activation of 5-HT2B receptors on bone marrow lineage progenitors is critical for the development of PAH. (Blood.2012;119(7):1772-1780)</t>
  </si>
  <si>
    <t>PROGENITOR CELLS; C-KIT; 2B RECEPTOR; IN-VITRO; MECHANISMS; IMATINIB; BLOOD; MICE; RATS; ATHEROSCLEROSIS</t>
  </si>
  <si>
    <t>Serotonin 5-HT2B receptors are required for bone-marrow contribution to pulmonary arterial hypertension</t>
  </si>
  <si>
    <t>Launay, Jean-Marie; Herve, Philippe; Callebert, Jacques; Mallat, Ziad; Collet, Corinne; Doly, Stephane; Belmer, Arnauld; Diaz, Silvina L.; Hatia, Sarah; Cote, Francine; Humbert, Marc; Maroteaux, Luc</t>
  </si>
  <si>
    <t>Launay, JM; Hervé, P; Callebert, J; Mallat, Z; Collet, C; Doly, S; Belmer, A; Diaz, SL; Hatia, S; Côté, F; Humbert, M; Maroteaux, L</t>
  </si>
  <si>
    <t>WOS:000302911700003</t>
  </si>
  <si>
    <t>927ML</t>
  </si>
  <si>
    <t>Biochemistry &amp; Molecular Biology; Endocrinology &amp; Metabolism</t>
  </si>
  <si>
    <t>10.1684/mrh.2012.0301</t>
  </si>
  <si>
    <t>Magnes. Res.</t>
  </si>
  <si>
    <t>MAGNESIUM RES</t>
  </si>
  <si>
    <t>0953-1424</t>
  </si>
  <si>
    <t>Humbert, Marc/0000-0003-0703-2892; Huertas, Alice/0000-0001-8545-747X; Montani, David/0000-0002-9358-6922; Chaumais, Marie-Camille/0000-0002-1217-8442; Perros, Frederic/0000-0001-7730-2427; GUNTHER, Sven/0000-0001-8388-6131</t>
  </si>
  <si>
    <t>David, Montani/I-6885-2019; Günther, Sven/ACV-7191-2022; Savale, Laurent/AAJ-9781-2020; Humbert, Marc/AAC-8459-2019; Huertas, Alice/E-8244-2017; Perros, Frederic/N-6921-2017; GUNTHER, Sven/P-4177-2017</t>
  </si>
  <si>
    <t>michele.german@u-psud.fr</t>
  </si>
  <si>
    <t>German-Fattal, M (corresponding author), Univ Paris 11, Ctr Chirurg Lannelongue, INSERM, IPSIT,LabEx,LERMIT,U999, 133 Ave Resistance, F-92350 Le Plessis Robinson, France.</t>
  </si>
  <si>
    <t>Universite Paris Saclay; Institut National de la Sante et de la Recherche Medicale (Inserm); Universite Paris Saclay; Assistance Publique Hopitaux Paris (APHP); Hopital Universitaire Antoine-Beclere - APHP; Assistance Publique Hopitaux Paris (APHP); Hopital Universitaire Antoine-Beclere - APHP; Universite Paris Saclay; Hopital Marie Lannelongue</t>
  </si>
  <si>
    <t>[Chaumais, Marie-Camille; Lecerf, Florence; Savale, Laurent; Guenther, Sven; Huertas, Alice; Montani, David; Perros, Frederic; Humbert, Marc; German-Fattal, Michele] Univ Paris 11, Ctr Chirurg Lannelongue, INSERM, IPSIT,LabEx,LERMIT,U999, F-92350 Le Plessis Robinson, France; [Chaumais, Marie-Camille; Savale, Laurent; Guenther, Sven; Huertas, Alice; Montani, David; Perros, Frederic; Humbert, Marc] Univ Paris Sud, Fac Med, F-94276 Le Kremlin Bicetre, France; [Savale, Laurent; Guenther, Sven; Montani, David; Humbert, Marc] Hop Antoine Beclere, AP HP, Ctr Reference Hypertens Pulmonaire Severe, Serv Pneumol &amp; Reanimat Resp, F-92140 Clamart, France; [Chaumais, Marie-Camille] Hop Antoine Beclere, AP HP, Serv Pharm, F-92140 Clamart, France; [German-Fattal, Michele] Univ Paris 11, Fac Pharm, Chatenay Malabry, France; [Fattal, Soly] Ctr Chirurg Marie Lannelongue, Lab Anal Biomed, F-92350 Le Plessis Robinson, France</t>
  </si>
  <si>
    <t>Pulmonary hypertension (PH) is defined as an increase in mean pulmonary arterial pressure above 25 mmHg. Pulmonary vasoconstriction, cellular proliferation, inflammation, and oxidative stress are involved in the pathophysiology of PH. Since hypomagnesemia was reported to promote endothelial cell dysfunction leading to inflammation and oxidative stress, we investigated the potential involvement of magnesium (Mg) deficiency in experimental and human PH. Our results indicate that Mg deficiency has no impact on hypoxia-induced PH development or severity, and that no reduction in Mg plasma concentration was observed in patients with severe pulmonary arterial hypertension. Thus, hypomagnesemia does not appear to play a role in the pathophysiology of experimental and human pulmonary hypertension.</t>
  </si>
  <si>
    <t>HUMAN ENDOTHELIAL-CELLS; ARTERIAL-HYPERTENSION; OXIDATIVE STRESS; INFLAMMATORY RESPONSE; CORONARY-ARTERIES; RATS; ACTIVATION; SULFATE; INTERLEUKIN-1; DYSFUNCTION</t>
  </si>
  <si>
    <t>magnesium; pulmonary hypertension; hypoxia; endothelial cell</t>
  </si>
  <si>
    <t>MAGNESIUM RESEARCH</t>
  </si>
  <si>
    <t>A study of magnesium deficiency in human and experimental pulmonary hypertension</t>
  </si>
  <si>
    <t>Chaumais, Marie-Camille; Lecerf, Florence; Fattal, Soly; Savale, Laurent; Guenther, Sven; Huertas, Alice; Montani, David; Perros, Frederic; Humbert, Marc; German-Fattal, Michele</t>
  </si>
  <si>
    <t>Chaumais, MC; Lecerf, F; Fattal, S; Savale, L; Günther, S; Huertas, A; Montani, D; Perros, F; Humbert, M; German-Fattal, M</t>
  </si>
  <si>
    <t>WOS:000301975800246</t>
  </si>
  <si>
    <t>914TQ</t>
  </si>
  <si>
    <t>TU, Ly/G-4035-2013; Schalij, Ingrid/KHX-7100-2024; Humbert, Marc/AAC-8459-2019; GUIGNABERT, Christophe/G-3873-2013</t>
  </si>
  <si>
    <t>Vrije Universiteit Amsterdam; VU UNIVERSITY MEDICAL CENTER; Universite Paris Saclay</t>
  </si>
  <si>
    <t>[De Man, F. S.; Handoko, M. L.; Schalij, I.; Postmus, P. E.; Vonk-Noordegraaf, A.] Vrije Univ Amsterdam Med Ctr, Dept Pulmonol, Amsterdam, Netherlands; [Guignabert, C.; Tu, L.; Fadel, E.; Humbert, M.; Eddahibi, S.] Univ Paris 11, Paris, France</t>
  </si>
  <si>
    <t>MAR 30-APR 01, 2012</t>
  </si>
  <si>
    <t>2nd Congress of the European-Society-of-Cardiology Council on Basic Cardiovascular Science - Frontiers in Cardiovascular Biology</t>
  </si>
  <si>
    <t>The therapeutic potential of the renin-angiotensin-aldosteron system in idiopathic pulmonary arterial hypertension</t>
  </si>
  <si>
    <t>De Man, F. S.; Guignabert, C.; Tu, L.; Handoko, M. L.; Schalij, I.; Fadel, E.; Postmus, P. E.; Vonk-Noordegraaf, A.; Humbert, M.; Eddahibi, S.</t>
  </si>
  <si>
    <t>De Man, FS; Guignabert, C; Tu, L; Handoko, ML; Schalij, I; Fadel, E; Postmus, PE; Vonk-Noordegraaf, A; Humbert, M; Eddahibi, S</t>
  </si>
  <si>
    <t>WOS:000305051500005</t>
  </si>
  <si>
    <t>955WL</t>
  </si>
  <si>
    <t>10.1016/j.rmr.2011.09.050</t>
  </si>
  <si>
    <t>Humbert, Marc/0000-0003-0703-2892; SITBON, Olivier/0000-0002-1942-1951; Montani, David/0000-0002-9358-6922; Lador, Frederic/0000-0002-4276-635X; JAIS, XAVIER/0000-0002-4104-7994</t>
  </si>
  <si>
    <t>Savale, L (corresponding author), Univ Paris 11, Fac Med, F-94276 Le Kremlin Bicetre, France.</t>
  </si>
  <si>
    <t>Universite Paris Saclay; Assistance Publique Hopitaux Paris (APHP); Hopital Universitaire Antoine-Beclere - APHP; Institut National de la Sante et de la Recherche Medicale (Inserm); Universite Paris Saclay; University of Geneva</t>
  </si>
  <si>
    <t>[Savale, L.; Jais, X.; Montani, D.; Simonneau, G.; Humbert, M.; Sitbon, O.] Univ Paris 11, Fac Med, F-94276 Le Kremlin Bicetre, France; [Savale, L.; Lador, F.; Jais, X.; Montani, D.; Simonneau, G.; Humbert, M.; Sitbon, O.] Hop Antoine Beclere, AP HP, Serv Pneumol &amp; Reanimat Resp, Ctr Reference Hypertens Pulm Severe, F-92140 Clamart, France; [Savale, L.; Jais, X.; Montani, D.; Simonneau, G.; Humbert, M.; Sitbon, O.] INSERM, U999, F-92350 Le Plessis Robinson, France; [Lador, F.] Hop Cantonal Univ Geneva, Serv Pneumol, CH-1211 Geneva, Switzerland</t>
  </si>
  <si>
    <t>Pulmonary arterial hypertension (PAH) is a rare but potentially fatal complication of human immunodeficiency virus (HIV). It may occur in HIV-1 or 2 infection, irrespective of the route of transmission or the degree of immunosuppression. The improved survival of patients infected with HIV in the era of highly active antiretroviral therapy (HAART) justifies systematic screening for PAH according to an algorithm in patients with unexplained dyspnea. In all cases, right heart catheterization must be performed to establish the definitive diagnosis of pulmonary hypertension. The prevalence of PAH is about 0.5% in patients with HIV infection. A beneficial effect of HAART on the course of HIV-related PAH has not been clearly established. In contrast, PAH-specific therapies such as epoprostenol and bosentan have been demonstrated to be efficacious for short- and long-term outcomes in this context. Notably, some patients pulmonary hemodynamics and functional class normalized or near normalized with these treatments. Other PAH-specific therapies remain to be evaluated. The advent of HAART associated with the development of PAH-specific therapies has improved the prognosis of patients HIV-related PAH, with a survival rate of about 70% at 3 years. (c) 2012 SPLF. Published by Elsevier Masson SAS. All rights reserved.</t>
  </si>
  <si>
    <t>IMMUNODEFICIENCY-VIRUS-INFECTION; ANTIRETROVIRAL THERAPY; VENOOCCLUSIVE DISEASE; PROGNOSTIC-FACTORS; POSITIVE PATIENTS; SURVIVAL; SILDENAFIL; ERA; ARTERIOPATHY; EXPRESSION</t>
  </si>
  <si>
    <t>Pulmonary arterial hypertension; HIV; Treatment</t>
  </si>
  <si>
    <t>HIV-related pulmonary arterial hypertension</t>
  </si>
  <si>
    <t>Savale, L.; Lador, F.; Jais, X.; Montani, D.; Simonneau, G.; Humbert, M.; Sitbon, O.</t>
  </si>
  <si>
    <t>Savale, L; Lador, F; Jais, X; Montani, D; Simonneau, G; Humbert, M; Sitbon, O</t>
  </si>
  <si>
    <t>WOS:000302546900402</t>
  </si>
  <si>
    <t>922KX</t>
  </si>
  <si>
    <t>David, Montani/I-6885-2019; Humbert, Marc/AAC-8459-2019; , CRACOWSKI/M-6946-2014; Stanke, Francoise/M-7142-2014; Roustit, Matthieu/M-6927-2014</t>
  </si>
  <si>
    <t>Communaute Universite Grenoble Alpes; Universite Grenoble Alpes (UGA); CHU Grenoble Alpes; Communaute Universite Grenoble Alpes; Universite Grenoble Alpes (UGA); Assistance Publique Hopitaux Paris (APHP); Hopital Universitaire Antoine-Beclere - APHP</t>
  </si>
  <si>
    <t>[Roustit, M.; Fonrose, X.; Gonnet, N.; Lunardi, J.; Stanke, F.; Cracowski, J. L.] CHU Grenoble, F-38043 Grenoble, France; [Roustit, M.; Fonrose, X.; Lunardi, J.; Stanke, F.; Cracowski, J. L.] Univ Grenoble 1, Grenoble, France; [Montani, D.; Girerd, B.; Humbert, M.] AP HP, Clamart, France; [Montani, D.; Girerd, B.; Humbert, M.] Ctr Natl Reference Hypertens Arterielle Pulm, Clamart, France</t>
  </si>
  <si>
    <t>Influence of CYP2C9 and SLCO1B1 genotype on bosentan-induced liver toxicity</t>
  </si>
  <si>
    <t>Roustit, M.; Fonrose, X.; Montani, D.; Girerd, B.; Gonnet, N.; Lunardi, J.; Stanke, F.; Humbert, M.; Cracowski, J. L.</t>
  </si>
  <si>
    <t>Roustit, M; Fonrose, X; Montani, D; Girerd, B; Gonnet, N; Lunardi, J; Stanke, F; Humbert, M; Cracowski, JL</t>
  </si>
  <si>
    <t>WOS:000302546900277</t>
  </si>
  <si>
    <t>Laveneziana, Pierantonio/GWC-2028-2022; Similowski, Thomas/GQQ-9468-2022; Humbert, Marc/AAC-8459-2019</t>
  </si>
  <si>
    <t>Sorbonne Universite; Sorbonne Universite; Assistance Publique Hopitaux Paris (APHP); Hopital Universitaire Pitie-Salpetriere - APHP; Universite Paris Cite; Hopital Universitaire Saint-Louis - APHP; Universite Paris Saclay; Universite Paris Saclay; Institut National de la Sante et de la Recherche Medicale (Inserm); Hopital Marie Lannelongue; Assistance Publique Hopitaux Paris (APHP); Universite Paris Cite; Hopital Universitaire Saint-Louis - APHP; Hopital Universitaire Antoine-Beclere - APHP; Assistance Publique Hopitaux Paris (APHP); Universite Paris Cite; Hopital Universitaire Saint-Louis - APHP; Hopital Universitaire Antoine-Beclere - APHP</t>
  </si>
  <si>
    <t>[Laveneziana, P.; Similowski, T.] Univ Paris 06, Equipe Rech ER UPMC 10, Lab Physiopathol Resp, Fac Med Pierre &amp; Marie Curie, F-75252 Paris 05, France; [Laveneziana, P.; Similowski, T.] Grp Hosp Pitie Salpetriere, Assistance Publ Hop Paris, F-75634 Paris, France; [Garcia, G.; Humbert, M.] Univ Paris 11, Fac Med, Le Kremlin Bicetre, France; [Garcia, G.; Humbert, M.] INSERM, Ctr Chirurg Marie Lannelongue, U999, Le Plessis Robinson, France; [Garcia, G.] Hop Antoine Beclere, Assistance Publ Hop Paris, Serv Physiol, Clamart, France; [Humbert, M.] Assistance Publ Hop Paris, Serv Pneumol &amp; Reanimat Resp, Ctr Natl Reference, Clamart, France</t>
  </si>
  <si>
    <t>Dynamic lung hyperinflation and exertional dyspnoea in patients with pulmonary arterial hypertension</t>
  </si>
  <si>
    <t>Laveneziana, P.; Garcia, G.; Humbert, M.; Similowski, T.</t>
  </si>
  <si>
    <t>Laveneziana, P; Garcia, G; Humbert, M; Similowski, T</t>
  </si>
  <si>
    <t>WOS:000301066500024</t>
  </si>
  <si>
    <t>902UG</t>
  </si>
  <si>
    <t>10.1136/annrheumdis-2011-200195</t>
  </si>
  <si>
    <t>This work was supported by grants to the following individuals. GB received financial support from Avenir Mutualiste des Professions Liberales &amp; Independantes (AMPLI), the Societe Nationale Francaise de Medecine Interne, the Fonds d'Etudes et de Recherche du Corps Medical des hopitaux de Paris and the Direction Regionale des Affaires Sanitaires et Sociales d'Ile-de-France. MCT received a grant from Pfizer and from the Direction de la Recherche Clinique of the Assistance Publique-Hopitaux de Paris (PHRC National Auto-HTAP). CC received financial support from Association pour la Recherche en Medecine Interne et Immunologie Clinique (ARMIIC). YS received a grant from Pfizer and from the Direction de la Recherche Clinique of the Assistance Publique-Hopitaux de Paris (CIRC 05066 HTAP-Ig). HD received financial support from AMPLI and ARMIIC.</t>
  </si>
  <si>
    <t>Avenir Mutualiste des Professions Liberales &amp; Independantes (AMPLI); Societe Nationale Francaise de Medecine Interne; Fonds d'Etudes et de Recherche du Corps Medical des hopitaux de Paris; Direction Regionale des Affaires Sanitaires et Sociales d'Ile-de-France; Pfizer(Pfizer); Direction de la Recherche Clinique of the Assistance Publique-Hopitaux de Paris (PHRC National Auto-HTAP); Association pour la Recherche en Medecine Interne et Immunologie Clinique (ARMIIC); Direction de la Recherche Clinique of the Assistance Publique-Hopitaux de Paris</t>
  </si>
  <si>
    <t>Avenir Mutualiste des Professions Liberales &amp; Independantes (AMPLI); Societe Nationale Francaise de Medecine Interne; Fonds d'Etudes et de Recherche du Corps Medical des hopitaux de Paris; Direction Regionale des Affaires Sanitaires et Sociales d'Ile-de-France; Pfizer; Direction de la Recherche Clinique of the Assistance Publique-Hopitaux de Paris (PHRC National Auto-HTAP); Association pour la Recherche en Medecine Interne et Immunologie Clinique (ARMIIC); Direction de la Recherche Clinique of the Assistance Publique-Hopitaux de Paris [CIRC 05066 HTAP-Ig]</t>
  </si>
  <si>
    <t>Witko-Sarsat, Veronique/0000-0002-5296-9601; Humbert, Marc/0000-0003-0703-2892; Verrecchia, Franck/0000-0003-4920-2554; Ghazal, Khaldoun/0000-0002-3006-9274; Broussard, Cedric/0000-0001-9508-2341</t>
  </si>
  <si>
    <t>Tamby, Mathieu/B-1277-2011; Simonneau, Gerald/ABE-6614-2020; meroni, pier/K-8473-2016; Witko-Sarsat, Veronique/L-9714-2017; Humbert, Marc/AAC-8459-2019; Verrecchia, Franck/G-5535-2018</t>
  </si>
  <si>
    <t>Mouthon, L (corresponding author), Inst Cochin, INSERM, U1016, Pavillon Gustave Roussy,4Eme Etage,8 Rue Mechain, F-75014 Paris, France.</t>
  </si>
  <si>
    <t>Universite Paris Cite; Institut National de la Sante et de la Recherche Medicale (Inserm); Centre National de la Recherche Scientifique (CNRS); CNRS - National Institute for Biology (INSB); Institut National de la Sante et de la Recherche Medicale (Inserm); Universite Paris Cite; Cornell University; Weill Cornell Medicine; Nantes Universite; Institut National de la Sante et de la Recherche Medicale (Inserm); Assistance Publique Hopitaux Paris (APHP); Hopital Universitaire Antoine-Beclere - APHP; Universite Paris Saclay; Institut National de la Sante et de la Recherche Medicale (Inserm); Hopital Marie Lannelongue; Universite Paris Saclay; Universite Paris Cite; Assistance Publique Hopitaux Paris (APHP); Universite Paris Cite; Hopital Universitaire Cochin - APHP</t>
  </si>
  <si>
    <t>[Bussone, Guillaume; Tamby, Mathieu C.; Calzas, Cynthia; Kherbeck, Nada; Sahbatou, Younes; Sanson, Claire; Ghazal, Khaldoun; Dib, Hanadi; Broussard, Cedric; Witko-Sarsat, Veronique; Mouthon, Luc] Inst Cochin, INSERM, U1016, F-75014 Paris, France; [Bussone, Guillaume; Tamby, Mathieu C.; Calzas, Cynthia; Kherbeck, Nada; Sahbatou, Younes; Sanson, Claire; Ghazal, Khaldoun; Dib, Hanadi; Broussard, Cedric; Witko-Sarsat, Veronique; Mouthon, Luc] CNRS, UMR 8104, Paris, France; [Weksler, Babette B.] Cornell Univ, Weill Med Coll, Div Hematol Med Oncol, New York, NY 10021 USA; [Verrecchia, Franck] Univ Nantes Atlantique, Nantes, France; [Verrecchia, Franck] INSERM, U957, Nantes, France; [Yaici, Azzedine; Simonneau, Gerald; Humbert, Marc] Univ Paris 11, Ctr Natl Reference Hypertens Arterielle Pulm Seve, Hop Antoine Beclere, AP HP,Serv Pneumol &amp; Reanimat Resp,Fac Med, Clamart, France; [Yaici, Azzedine; Simonneau, Gerald; Humbert, Marc] Ctr Chirurg Marie Lannelongue, INSERM, U999, Le Plessis Robinson, France; [Guillevin, Loic; Mouthon, Luc] Univ Paris 05, Fac Med, Paris, France; [Guillevin, Loic; Mouthon, Luc] Hop Cochin, AP HP, Ctr Reference Vasc Necrosantes &amp; Sclerodermie Sys, F-75674 Paris, France</t>
  </si>
  <si>
    <t>Objectives Pulmonary arterial hypertension (PAH) is characterised by remodelling of pulmonary arteries with enhanced vascular smooth muscle cell (VSMC) contraction, migration and proliferation. The authors investigated the presence of antibodies to human VSMCs in the serum of patients with systemic sclerosis with or without PAH and idiopathic PAH (iPAH). Methods and results Antibodies to VSMCs were detected by immunofluorescence in sera from healthy controls and patients with scleroderma without PAH, scleroderma-associated PAH and iPAH. Serum IgG from these patients induced contraction of VSMCs in a collagen matrix in contrast with IgG from healthy controls. Several protein spots of interest and target antigens were identified by two-dimensional immunoblotting and MS, including stress-induced phosphoprotein 1 and alpha-enolase. Finally, antibodies to stress-induced phosphoprotein 1 were detected by ELISA in sera from 84%, 76% and 24% of patients with scleroderma without PAH, scleroderma-associated PAH and iPAH, respectively, compared with only 3% of healthy controls. Conclusion The authors have identified IgG that binds to VSMCs in the serum of patients with scleroderma and iPAH. These antibodies may be pathogenic by modulating vascular contraction. The target antigens of these antibodies are stress-induced phosphoprotein 1 and alpha-enolase.</t>
  </si>
  <si>
    <t>TARGET ANTIGENS; ANTIFIBROBLAST ANTIBODIES; ALPHA-ENOLASE; IDENTIFICATION; AUTOANTIBODIES; GROWTH; CLASSIFICATION; INFLAMMATION; FIBROBLASTS; GUIDELINES</t>
  </si>
  <si>
    <t>IgG from patients with pulmonary arterial hypertension and/or systemic sclerosis binds to vascular smooth muscle cells and induces cell contraction</t>
  </si>
  <si>
    <t>Bussone, Guillaume; Tamby, Mathieu C.; Calzas, Cynthia; Kherbeck, Nada; Sahbatou, Younes; Sanson, Claire; Ghazal, Khaldoun; Dib, Hanadi; Weksler, Babette B.; Broussard, Cedric; Verrecchia, Franck; Yaici, Azzedine; Witko-Sarsat, Veronique; Simonneau, Gerald; Guillevin, Loic; Humbert, Marc; Mouthon, Luc</t>
  </si>
  <si>
    <t>Bussone, G; Tamby, MC; Calzas, C; Kherbeck, N; Sahbatou, Y; Sanson, C; Ghazal, K; Dib, H; Weksler, BB; Broussard, C; Verrecchia, F; Yaici, A; Witko-Sarsat, V; Simonneau, G; Guillevin, L; Humbert, M; Mouthon, L</t>
  </si>
  <si>
    <t>WOS:000306955300025</t>
  </si>
  <si>
    <t>981GP</t>
  </si>
  <si>
    <t>10.1161/CIRCULATIONAHA.111.058230</t>
  </si>
  <si>
    <t>JAIS, XAVIER/0000-0002-4104-7994; Montani, David/0000-0002-9358-6922; Seferian, Andrei/0000-0003-1007-433X; Humbert, Marc/0000-0003-0703-2892; SITBON, Olivier/0000-0002-1942-1951</t>
  </si>
  <si>
    <t>Savale, Laurent/AAJ-9781-2020; Sitbon, Olivier/I-3623-2019; Simonneau, Gerald/ABE-6614-2020; David, Montani/I-6885-2019; Humbert, Marc/AAC-8459-2019</t>
  </si>
  <si>
    <t>Montani, D (corresponding author), Univ Paris 11, Ctr Hosp Univ Kremlin Bicetre, AP HP, Ctr Reference Hypertens Pulm Severe,Serv Pneumol, 78 Rue Gen Leclerc, F-94270 Le Kremlin Bicetre, France.</t>
  </si>
  <si>
    <t>Universite Paris Saclay; Assistance Publique Hopitaux Paris (APHP); Hopital Universitaire Antoine-Beclere - APHP; Hopital Universitaire Bicetre - APHP; Institut National de la Sante et de la Recherche Medicale (Inserm); Assistance Publique Hopitaux Paris (APHP); Hopital Universitaire Antoine-Beclere - APHP</t>
  </si>
  <si>
    <t>[Seferian, Andrei; Jais, Xavier; Savale, Laurent; Humbert, Marc; Sitbon, Olivier; Simonneau, Gerald; Montani, David] Univ Paris 11, Fac Med, Le Kremlin Bicetre, France; [Seferian, Andrei; Jais, Xavier; Savale, Laurent; Humbert, Marc; Sitbon, Olivier; Simonneau, Gerald; Montani, David] Ctr Hosp Univ Kremlin Bicetre, AP HP, Serv Pneumol &amp; Reanimat Resp, Ctr Reference Hypertens Pulm Severe, F-92140 Clamart, Le Plessis Robi, France; [Seferian, Andrei; Jais, Xavier; Savale, Laurent; Humbert, Marc; Sitbon, Olivier; Simonneau, Gerald; Montani, David] INSERM, U999, F-92140 Clamart, Le Plessis Robi, France; [Creuze, Nicolas] Hop Antoine Beclere, AP HP, Serv Radiol, Clamart, France</t>
  </si>
  <si>
    <t>Mediastinal Fibrosis Mimicking Proximal Chronic Thromboembolic Disease</t>
  </si>
  <si>
    <t>Seferian, Andrei; Jais, Xavier; Creuze, Nicolas; Savale, Laurent; Humbert, Marc; Sitbon, Olivier; Simonneau, Gerald; Montani, David</t>
  </si>
  <si>
    <t>Seferian, A; Jaïs, X; Creuze, N; Savale, L; Humbert, M; Sitbon, O; Simonneau, G; Montani, D</t>
  </si>
  <si>
    <t>WOS:000304234700039</t>
  </si>
  <si>
    <t>944WO</t>
  </si>
  <si>
    <t>10.1183/09031936.50186510</t>
  </si>
  <si>
    <t>Reddel, Helen/0000-0002-6695-6350; O'Byrne, Paul/0000-0003-0979-281X; Humbert, Marc/0000-0003-0703-2892</t>
  </si>
  <si>
    <t>s, q/AAD-7171-2020; Bateman, Eric/B-7042-2011; Brusselle, Guy/AFU-8839-2022; Östlund, Ollie/ISB-1645-2023; Reddel, Helen/IZD-8890-2023; Humbert, Marc/AAC-8459-2019</t>
  </si>
  <si>
    <t>Effect of different asthma treatments on risk of cold-related exacerbations (vol 38, pg 584, 2011)</t>
  </si>
  <si>
    <t>Reddel, H. K.; Jenkins, C.; Quirce, S.; Sears, M. R.; Bateman, E. D.; O'Byrne, P. M.; Humbert, M.; Buhl, R.; Harrison, T.; Brusselle, G. G.; Thoren, A.; Sjoebring, U.; Peterson, S.; Oestlund, O.; Eriksson, G. S.</t>
  </si>
  <si>
    <t>WOS:000306959200022</t>
  </si>
  <si>
    <t>981IC</t>
  </si>
  <si>
    <t>10.1161/CIRCULATIONAHA.111.079921</t>
  </si>
  <si>
    <t>Universite Paris-Sud, AP-HP, and INSERM had no direct involvement in study design, in the collection, analysis, and interpretation of data; in the writing of the report; and in the decision to submit the paper for publication. All authors had full access to study data and had final responsibility for the decision to submit for publication.r Drs Montani, Savale, Jais, and Sitbon have received speaker fees or honoraria for consultations from Actelion, Bayer, GSK, Lilly, Novartis, Pfizer and United Therapeutics. Drs Simonneau and Humbert have received speaker fees or honoraria for consultations from Actelion, Bayer, Bristol-Myers-Squib, GSK, Lilly, Novartis, Pfizer and United Therapeutics GZ received reimbursement from Actelion and Lilly for attending French and international meetings and fees from Bristol-Myers-Squib and Lilly for participating to advisory boards.</t>
  </si>
  <si>
    <t>Universite Paris-Sud; AP-HP; INSERM(Institut National de la Sante et de la Recherche Medicale (Inserm)); Bayer(Bayer AG); GSK(GlaxoSmithKline); Lilly(Eli Lilly); Novartis(Novartis); Pfizer(Pfizer); United Therapeutics; Bristol-Myers-Squib; Universite Paris-Sud; AP-HP; INSERM(Institut National de la Sante et de la Recherche Medicale (Inserm)); Bayer(Bayer AG); GSK(GlaxoSmithKline); Lilly(Eli Lilly); Novartis(Novartis); Pfizer(Pfizer); United Therapeutics; Bristol-Myers-Squib</t>
  </si>
  <si>
    <t>Universite Paris-Sud; AP-HP; INSERM; Bayer; GSK; Lilly; Novartis; Pfizer; United Therapeutics; Bristol-Myers-Squib; Universite Paris-Sud; AP-HP; INSERM; Bayer; GSK; Lilly; Novartis; Pfizer; United Therapeutics; Bristol-Myers-Squib</t>
  </si>
  <si>
    <t>Montani, David/0000-0002-9358-6922; Bergeron, Anne/0000-0003-2156-254X; Humbert, Marc/0000-0003-0703-2892; GUIGNABERT, Christophe/0000-0002-8545-4452; SITBON, Olivier/0000-0002-1942-1951; O'Callaghan, Dermot/0000-0002-0561-5800; Perros, Frederic/0000-0001-7730-2427; ZALCMAN, Gerard/0000-0002-0343-9575; Bourdin, Arnaud/0000-0002-4645-5209; JAIS, XAVIER/0000-0002-4104-7994; GUNTHER, Sven/0000-0001-8388-6131</t>
  </si>
  <si>
    <t>Simonneau, Gerald/ABE-6614-2020; Sitbon, Olivier/I-3623-2019; Tubert-Bitter, Pascale/E-6118-2016; Günther, Sven/ACV-7191-2022; Bergot, Emmanuel/KHZ-1685-2024; ZALCMAN, Gerard/M-8113-2019; Savale, Laurent/AAJ-9781-2020; Bourdin, Philippe/D-8149-2015; David, Montani/I-6885-2019; Bergeron, Anne/HNS-7099-2023; Humbert, Marc/AAC-8459-2019; GUIGNABERT, Christophe/G-3873-2013; Perros, Frederic/N-6921-2017; ZALCMAN, Gerard/L-7809-2015; GUNTHER, Sven/P-4177-2017</t>
  </si>
  <si>
    <t>Humbert, M (corresponding author), Hop Bicetre, AP HP, Serv Pneumol &amp; Reanimat Resp, DHU Thorax Innovat, 78 Rue Gen Leclerc, F-94270 Le Kremlin Bicetre, France.</t>
  </si>
  <si>
    <t>Assistance Publique Hopitaux Paris (APHP); Hopital Universitaire Bicetre - APHP; Hopital Universitaire Antoine-Beclere - APHP; Universite Paris Saclay; Hopital Marie Lannelongue; Institut National de la Sante et de la Recherche Medicale (Inserm); Universite Paris Saclay; Universite de Caen Normandie; CHU de Caen NORMANDIE; Universite de Caen Normandie; Institut National de la Sante et de la Recherche Medicale (Inserm); Assistance Publique Hopitaux Paris (APHP); Universite Paris Cite; Hopital Universitaire Saint-Louis - APHP; Universite de Montpellier; CHU de Montpellier; CHU Grenoble Alpes; Communaute Universite Grenoble Alpes; Universite Grenoble Alpes (UGA); CHU de Toulouse; CHU Strasbourg; Communaute Universite Grenoble Alpes; Universite Grenoble Alpes (UGA); CHU Grenoble Alpes; CHU de Toulouse; CHU de Caen NORMANDIE; Universite de Caen Normandie; CHU Reunion; Institut National de la Sante et de la Recherche Medicale (Inserm); Universite Paris Saclay; Institut National de la Sante et de la Recherche Medicale (Inserm); Universite Paris Saclay; Universite Paris Saclay</t>
  </si>
  <si>
    <t>[Montani, David; Guenther, Sven; Savale, Laurent; Girerd, Barbara; Natali, Delphine; Guignabert, Christophe; Perros, Frederic; O'Callaghan, Dermot S.; Jais, Xavier; Sitbon, Olivier; Simonneau, Gerald; Humbert, Marc] Hop Bicetre, AP HP, Serv Pneumol &amp; Reanimat Resp, DHU Thorax Innovat, 78 Rue Gen Leclerc, F-94270 Le Kremlin Bicetre, France; [Montani, David; Guenther, Sven; Savale, Laurent; Girerd, Barbara; Natali, Delphine; Guignabert, Christophe; Perros, Frederic; O'Callaghan, Dermot S.; Jais, Xavier; Sitbon, Olivier; Simonneau, Gerald; Humbert, Marc] Ctr Chirurg Marie Lannelongue, INSERM, U999, LabEx LERMIT, Le Plessis Robinson, France; [Bergot, Emmanuel; Zalcman, Gerard] Ctr Hosp Univ Caen, Serv Pneumol, Caen, France; [Bergot, Emmanuel; Zalcman, Gerard] Univ Caen, INSERM ER3, F-14032 Caen, France; [Bergeron, Anne] Univ Paris Diderot, Serv Pneumol, Hop St Louis, Paris, France; [Bourdin, Arnaud] Hop Arnaud Villeneuve, Serv Pneumol, Montpellier, France; [Bouvaist, Helene] Ctr Hosp Univ, Serv Cardiol, Grenoble, France; [Canuet, Matthieu] Nouvel Hop Civil, Serv Pneumol, Strasbourg, France; [Pison, Christophe] Ctr Hosp Univ, Serv Pneumol, Grenoble, France; [Macro, Margareth] Ctr Hosp Univ Caen, Serv Hematol Clin, Caen, France; [Poubeau, Patrice] GHSR, Serv Pneumol &amp; Malad Infect, St Pierre, Reunion, France; [Tubert-Bitter, Pascale] INSERM, CESP Ctr Rech Epidemiol &amp; Sante Populat, U1018, Equipe Biostat, F-94807 Villejuif, France; [Tubert-Bitter, Pascale] Univ Paris 11, UMRS 1018, F-94807 Villejuif, France; [Montani, David; Guenther, Sven; Savale, Laurent; Girerd, Barbara; Natali, Delphine; Guignabert, Christophe; Perros, Frederic; O'Callaghan, Dermot S.; Jais, Xavier; Sitbon, Olivier; Simonneau, Gerald] Univ Paris Sud, Fac Med, Le Kremlin Bicetre, France</t>
  </si>
  <si>
    <t>Background-The French pulmonary hypertension (PH) registry allows the survey of epidemiological trends. Isolated cases of precapillary PH have been reported in patients who have chronic myelogenous leukemia treated with the tyrosine kinase inhibitor dasatinib. Methods and Results-This study was designed to describe incident cases of dasatinib-associated PH reported in the French PH registry. From the approval of dasatinib (November 2006) to September 30, 2010, 9 incident cases treated by dasatinib at the time of PH diagnosis were identified. At diagnosis, patients had moderate to severe precapillary PH with functional and hemodynamic impairment. No other incident PH cases were exposed to other tyrosine kinase inhibitors at the time of PH diagnosis. Clinical, functional, or hemodynamic improvements were observed within 4 months of dasatinib discontinuation in all but 1 patient. Three patients required PH treatment with endothelin receptor antagonist (n = 2) or calcium channel blocker (n = 1). After a median follow-up of 9 months (min-max 3-36), the majority of patients did not demonstrate complete clinical and hemodynamic recovery, and no patients reached a normal value of mean pulmonary artery pressure (&lt;= 20 mm Hg). Two patients (22%) died at follow-up (1 of unexplained sudden death and 1 of cardiac failure in the context of septicemia, respectively, 8 and 12 months after dasatinib withdrawal). The lowest estimate of incident PH occurring in patients exposed to dasatinib in France was 0.45%. Conclusions-Dasatinib may induce severe precapillary PH fulfilling the criteria of pulmonary arterial hypertension, thus suggesting a direct and specific effect of dasatinib on pulmonary vessels. Improvement is usually observed after withdrawal of dasatinib. (Circulation. 2012;125:2128-2137.)</t>
  </si>
  <si>
    <t>CHRONIC MYELOID-LEUKEMIA; CHRONIC MYELOGENOUS LEUKEMIA; TYROSINE KINASE; LONG-TERM; MYELOPROLIFERATIVE DISORDERS; INHIBITORS IMATINIB; CELL-GROWTH; NILOTINIB; SURVIVAL; FAILURE</t>
  </si>
  <si>
    <t>adverse drug events; pulmonary hypertension; vascular complications; chronic myeloid leukemia; dasatinib</t>
  </si>
  <si>
    <t>Pulmonary Arterial Hypertension in Patients Treated by Dasatinib</t>
  </si>
  <si>
    <t>Montani, David; Bergot, Emmanuel; Guenther, Sven; Savale, Laurent; Bergeron, Anne; Bourdin, Arnaud; Bouvaist, Helene; Canuet, Matthieu; Pison, Christophe; Macro, Margareth; Poubeau, Patrice; Girerd, Barbara; Natali, Delphine; Guignabert, Christophe; Perros, Frederic; O'Callaghan, Dermot S.; Jais, Xavier; Tubert-Bitter, Pascale; Zalcman, Gerard; Sitbon, Olivier; Simonneau, Gerald; Humbert, Marc</t>
  </si>
  <si>
    <t>Montani, D; Bergot, E; Günther, S; Savale, L; Bergeron, A; Bourdin, A; Bouvaist, H; Canuet, M; Pison, C; Macro, M; Poubeau, P; Girerd, B; Natali, D; Guignabert, C; Perros, F; O'Callaghan, DS; Jaïs, X; Tubert-Bitter, P; Zalcman, G; Sitbon, O; Simonneau, G; Humbert, M</t>
  </si>
  <si>
    <t>WOS:000304499500001</t>
  </si>
  <si>
    <t>948JM</t>
  </si>
  <si>
    <t>10.1016/j.lpm.2012.04.001</t>
  </si>
  <si>
    <t>Humbert, M (corresponding author), Univ Paris 11, Hop Bicetre, AP HP, Serv Pneumol,Inserm,UMR S 999, 78 Rue Gen Leclerc, F-94275 Le Kremlin Bicetre, France.</t>
  </si>
  <si>
    <t>Assistance Publique Hopitaux Paris (APHP); Hopital Universitaire Bicetre - APHP; Hopital Universitaire Antoine-Beclere - APHP; Institut National de la Sante et de la Recherche Medicale (Inserm); Universite Paris Saclay; Assistance Publique Hopitaux Paris (APHP); Universite Paris Cite; Hopital Universitaire Cochin - APHP; Sorbonne Universite; Assistance Publique Hopitaux Paris (APHP); Hopital Universitaire Tenon - APHP</t>
  </si>
  <si>
    <t>[Humbert, Marc] Univ Paris 11, Hop Bicetre, AP HP, Serv Pneumol,Inserm,UMR S 999, F-94275 Le Kremlin Bicetre, France; [Dhainaut, Jean-Francois] Univ Paris 05, Hop Cochin, AP HP, Serv Reanimat Med, F-75679 Paris 14, France; [Uzan, Serge] Univ Paris 06, Hop Tenon, AP HP, Serv Gynecol Obstet, F-75970 Paris 20, France</t>
  </si>
  <si>
    <t>Energize the university hospital</t>
  </si>
  <si>
    <t>Dhainaut, Jean-Francois; Humbert, Marc; Uzan, Serge</t>
  </si>
  <si>
    <t>Dhainaut, JF; Humbert, M; Uzan, S</t>
  </si>
  <si>
    <t>WOS:000305068500004</t>
  </si>
  <si>
    <t>956CX</t>
  </si>
  <si>
    <t>10.1165/rcmb.2011-0296OC</t>
  </si>
  <si>
    <t>This study was supported by the Victoria Johnson Center for Obstructive Lung Disease Research at the Virginia Commonwealth University, Richmond, VA.</t>
  </si>
  <si>
    <t>Victoria Johnson Center for Obstructive Lung Disease Research at the Virginia Commonwealth University, Richmond, VA</t>
  </si>
  <si>
    <t>GUIGNABERT, Christophe/0000-0002-8545-4452; Bogaard, Harm Jan/0000-0001-5371-0346; Humbert, Marc/0000-0003-0703-2892</t>
  </si>
  <si>
    <t>Farkas, Laszlo/ABF-6179-2020; GUIGNABERT, Christophe/G-3873-2013; Humbert, Marc/AAC-8459-2019</t>
  </si>
  <si>
    <t>hj.bogaard@vumc.nl</t>
  </si>
  <si>
    <t>Bogaard, HJ (corresponding author), Vrije Univ Amsterdam Med Ctr, Dept Pulm Med, POB 7057, NL-1007 MB Amsterdam, Netherlands.</t>
  </si>
  <si>
    <t>Vrije Universiteit Amsterdam; VU UNIVERSITY MEDICAL CENTER; Virginia Commonwealth University; Virginia Commonwealth University; Virginia Commonwealth University; Kanazawa Medical University; Hopital Marie Lannelongue; Universite Paris Saclay; Institut National de la Sante et de la Recherche Medicale (Inserm)</t>
  </si>
  <si>
    <t>[Bogaard, Harm J.; Ruiter, Gerrina; Noordegraaf, Anton Vonk] Vrije Univ Amsterdam Med Ctr, Dept Pulm Med, NL-1007 MB Amsterdam, Netherlands; [Bogaard, Harm J.; Mizuno, Shiro; Al Hussaini, Aysar A.; Farkas, Daniela; Kraskauskas, Donatas; Farkas, Laszlo; Voelkel, Norbert F.] Virginia Commonwealth Univ, Div Pulm &amp; Crit Care Med, Richmond, VA USA; [Bogaard, Harm J.; Mizuno, Shiro; Al Hussaini, Aysar A.; Farkas, Daniela; Kraskauskas, Donatas; Farkas, Laszlo; Voelkel, Norbert F.] Virginia Commonwealth Univ, Victoria Johnson Ctr Lung Res, Richmond, VA USA; [Allegood, Jeremy C.; Spiegel, Sarah] Virginia Commonwealth Univ, Sch Med, Dept Biochem &amp; Mol Biol, Richmond, VA USA; [Mizuno, Shiro] Kanazawa Med Univ, Dept Pulm Med, Kanazawa, Ishikawa, Japan; [Guignabert, Christophe; Fadel, Elie; Humbert, Marc] Ctr Chirurg Marie Lannelongue, INSERM, U999, Le Plessis Robinson, France</t>
  </si>
  <si>
    <t>Obliteration of the vascular lumen by endothelial cell growth is a hallmark of many forms of severe pulmonary arterial hypertension. Copper plays a significant role in the control of endothelial cell proliferation in cancer and wound-healing. We sought to determine whether angioproliferation in rats with experimental pulmonary arterial hypertension and pulmonary microvascular endothelial cell proliferation in humans depend on the proangiogenic action of copper. A copper-depleted diet prevented, and copper chelation with tetrathiomolybdate reversed, the development of severe experimental pulmonary arterial hypertension. The copper chelation-induced reopening of obliterated vessels was caused by caspase-independent apoptosis, reduced vessel wall cell proliferation, and a normalization of vessel wall structure. No evidence was found for a role of super oxide-1 inhibition or lysyl-oxidase-1 inhibition in the reversal of angioproliferation. Tetrathiomolybdate inhibited the proliferation of human pulmonary microvascular endothelial cells, isolated from explanted lungs from control subjects and patients with pulmonary arterial hypertension. These data suggest that the inhibition of endothelial cell proliferation by a copper-restricting strategy could be explored as a new therapeutic approach in pulmonary arterial hypertension. It remains to be determined, however, whether potential toxicity to the right ventricle is offset by the beneficial pulmonary vascular effects of antiangiogenic treatment in patients with pulmonary arterial hypertension.</t>
  </si>
  <si>
    <t>ENDOTHELIAL-CELL PROLIFERATION; PLEXIFORM LESIONS; TUMOR-GROWTH; T-CELLS; APOPTOSIS; ANGIOGENESIS; INHIBITION; TETRATHIOMOLYBDATE; CERAMIDE; ALPHA(V)BETA(3)</t>
  </si>
  <si>
    <t>pulmonary hypertension; copper; angiogenesis; tetrathiomolybdate</t>
  </si>
  <si>
    <t>Copper Dependence of Angioproliferation in Pulmonary Arterial Hypertension in Rats and Humans</t>
  </si>
  <si>
    <t>Bogaard, Harm J.; Mizuno, Shiro; Guignabert, Christophe; Al Hussaini, Aysar A.; Farkas, Daniela; Ruiter, Gerrina; Kraskauskas, Donatas; Fadel, Elie; Allegood, Jeremy C.; Humbert, Marc; Noordegraaf, Anton Vonk; Spiegel, Sarah; Farkas, Laszlo; Voelkel, Norbert F.</t>
  </si>
  <si>
    <t>Bogaard, HJ; Mizuno, S; Guignabert, C; Al Hussaini, AA; Farkas, D; Ruiter, G; Kraskauskas, D; Fadel, E; Allegood, JC; Humbert, M; Noordegraaf, AV; Spiegel, S; Farkas, L; Voelkel, NF</t>
  </si>
  <si>
    <t>WOS:000305369900044</t>
  </si>
  <si>
    <t>960ED</t>
  </si>
  <si>
    <t>10.1183/09031936.00008912</t>
  </si>
  <si>
    <t>JAIS, XAVIER/0000-0002-4104-7994; Humbert, Marc/0000-0003-0703-2892; SITBON, Olivier/0000-0002-1942-1951; Montani, David/0000-0002-9358-6922</t>
  </si>
  <si>
    <t>Montani, D (corresponding author), Hop Bicetre, AP HP, Serv Pneumol &amp; Reanimat Resp, 78 Rue Gen Leclerc, F-94270 Le Kremlin Bicetre, France.</t>
  </si>
  <si>
    <t>Assistance Publique Hopitaux Paris (APHP); Hopital Universitaire Bicetre - APHP; Universite Paris Saclay; Hopital Universitaire Antoine-Beclere - APHP; Universite Paris Saclay; Institut National de la Sante et de la Recherche Medicale (Inserm); Hopital Marie Lannelongue</t>
  </si>
  <si>
    <t>[Montani, David; Jais, Xavier; Sitbon, Olivier; Simonneau, Gerald; Humbert, Marc] Hop Bicetre, AP HP, Serv Pneumol &amp; Reanimat Resp, F-94270 Le Kremlin Bicetre, France; [Montani, David; Jais, Xavier; Sitbon, Olivier; Simonneau, Gerald; Humbert, Marc] Univ Paris 11, Fac Med, Paris, France; [Montani, David; Jais, Xavier; Sitbon, Olivier; Simonneau, Gerald; Humbert, Marc] LERMIT, INSERM, U999, LabEX, Chatenay Malabry, France; [Dartevelle, Philippe] Ctr Chirurg Marie Lannelongue, Serv Chirurg Thorac, Le Plessis Robinson, France</t>
  </si>
  <si>
    <t>MANAGEMENT</t>
  </si>
  <si>
    <t>EBUS-TBNA in the differential diagnosis of pulmonary artery sarcoma and thromboembolism</t>
  </si>
  <si>
    <t>Montani, David; Jais, Xavier; Sitbon, Olivier; Dartevelle, Philippe; Simonneau, Gerald; Humbert, Marc</t>
  </si>
  <si>
    <t>Montani, D; Jaïs, X; Sitbon, O; Dartevelle, P; Simonneau, G; Humbert, M</t>
  </si>
  <si>
    <t>WOS:000304522100039</t>
  </si>
  <si>
    <t>948SE</t>
  </si>
  <si>
    <t>10.1002/art.34408</t>
  </si>
  <si>
    <t>Humbert, Marc/0000-0003-0703-2892; HACHULLA, ERIC/0000-0001-7432-847X</t>
  </si>
  <si>
    <t>HACHULLA, ERIC/R-8488-2018; Humbert, Marc/AAC-8459-2019</t>
  </si>
  <si>
    <t>Hachulla, E (corresponding author), Univ Lille 2, Hop Claude Huriez, Lille, France.</t>
  </si>
  <si>
    <t>Universite de Lille; CHU Lille; Universite Paris Saclay; Institut National de la Sante et de la Recherche Medicale (Inserm); Assistance Publique Hopitaux Paris (APHP); Hopital Universitaire Antoine-Beclere - APHP</t>
  </si>
  <si>
    <t>[Hachulla, Eric] Univ Lille 2, Hop Claude Huriez, Lille, France; [Clerson, Pierre] Orgametrie, Roubaix, France; [Humbert, Marc] Univ Paris 11, INSERM, U999, Clamart, France; [Humbert, Marc] Hop Antoine Beclere, AP HP, Clamart, France</t>
  </si>
  <si>
    <t>ARTERIAL-HYPERTENSION; MULTICENTER</t>
  </si>
  <si>
    <t>Could the Cochin risk prediction score be applied in daily practice to predict pulmonary hypertension in systemic sclerosis? Comment on the article by Meune et al</t>
  </si>
  <si>
    <t>Hachulla, Eric; Clerson, Pierre; Humbert, Marc</t>
  </si>
  <si>
    <t>Hachulla, E; Clerson, P; Humbert, M</t>
  </si>
  <si>
    <t>WOS:000305369900035</t>
  </si>
  <si>
    <t>10.1183/09031936.00185011</t>
  </si>
  <si>
    <t>Steffann, julie/0000-0001-9493-3239; Humbert, Marc/0000-0003-0703-2892; Achour Frydman, Nelly/0000-0002-9027-0586</t>
  </si>
  <si>
    <t>Simonneau, Gerald/ABE-6614-2020; Steffann, julie/H-1305-2017; Steffann, julie/I-2820-2017; Humbert, Marc/AAC-8459-2019</t>
  </si>
  <si>
    <t>Universite Paris Saclay; Assistance Publique Hopitaux Paris (APHP); Hopital Universitaire Antoine-Beclere - APHP; Assistance Publique Hopitaux Paris (APHP); Hopital Universitaire Antoine-Beclere - APHP; Assistance Publique Hopitaux Paris (APHP); Hopital Universitaire Antoine-Beclere - APHP; Institut National de la Sante et de la Recherche Medicale (Inserm); Universite Paris Cite; Assistance Publique Hopitaux Paris (APHP); Universite Paris Cite; Hopital Universitaire Necker-Enfants Malades - APHP; Hopital Marie Lannelongue; Institut National de la Sante et de la Recherche Medicale (Inserm); Universite Paris Saclay</t>
  </si>
  <si>
    <t>[Frydman, Nelly; Girerd, Barbara; Frydman, Rene; Simonneau, Gerald; Humbert, Marc] Univ Paris 11, Fac Med, Le Kremlin Bicetre, France; [Frydman, Nelly] Hop Antoine Beclere, Unite Biol Reprod, Clamart, France; [Girerd, Barbara; Simonneau, Gerald; Humbert, Marc] Hop Antoine Beclere, Serv Pneumol, Ctr Natl Reference Hypertens Arterielle Pulm, Clamart, France; Hop Antoine Beclere, AP HP, Serv Gynecol Obstet, Clamart, France; [Steffann, Julie; Munnich, Arnold] INSERM, U781, F-75654 Paris 13, France; [Munnich, Arnold] Univ Paris 05, Fac Med, Paris, France; [Steffann, Julie; Munnich, Arnold] Hop Necker Enfants Malad, AP HP, Serv Genet Med, Paris, France; [Girerd, Barbara; Simonneau, Gerald; Humbert, Marc] Ctr Chirurg Marie Lannelongue, INSERM, U999, LabEx LERMIT, Le Plessis Robinson, France</t>
  </si>
  <si>
    <t>CLINICAL-OUTCOMES; SURVIVAL</t>
  </si>
  <si>
    <t>Pre-implantation genetic diagnosis in pulmonary arterial hypertension due to BMPR2 mutation</t>
  </si>
  <si>
    <t>Frydman, Nelly; Steffann, Julie; Girerd, Barbara; Frydman, Rene; Munnich, Arnold; Simonneau, Gerald; Humbert, Marc</t>
  </si>
  <si>
    <t>Frydman, N; Steffann, J; Girerd, B; Frydman, R; Munnich, A; Simonneau, G; Humbert, M</t>
  </si>
  <si>
    <t>WOS:000305369900020</t>
  </si>
  <si>
    <t>10.1183/09031936.00181410</t>
  </si>
  <si>
    <t>H. Dib received financial support from AMPLI and ARMIIC (Association pour la Recherche en Medecine Interne et en Immunologic Clinique). M.C. Tamby received a grant from Pfizer and a Contrat d'Investigation et de Recherche Clinique (PHRC National Auto-HTAP). We thank Pfizer and the Direction de la Recherche Clinique of the Assistance Publique-Hopitaux de Paris for supporting the project CIRC 05066, HTAP-Ig. G. Bussone received a financial support from AMPLI (Avenir Mutualiste des Professions Liberales et Independantes), the Societe Nationale Francaise de Medecine Interne (SNFMI), the Fonds d'Etudes et de Recherche du Corps Medical des Hopitaux de Paris and the Direction Regionale des Affaires Sanitaires et Sociales d'Ile-de-France. A. Regent received financial support from the Direction Regionale et Departementale des Affaires Sabitaires et Sociales de Champagne-Ardennes et de la Marne and the SNFMI. We also thank the Association des Sclerodermiques de France, the Groupe Francais de Recherche sur la Sclerodermie and the Unite de Recherche Clinique Paris Centre.</t>
  </si>
  <si>
    <t>ARMIIC (Association pour la Recherche en Medecine Interne et en Immunologic Clinique); Pfizer(Pfizer); d'Investigation et de Recherche Clinique (PHRC National Auto-HTAP); Direction de la Recherche Clinique of the Assistance Publique-Hopitaux de Paris; AMPLI (Avenir Mutualiste des Professions Liberales et Independantes); Societe Nationale Francaise de Medecine Interne (SNFMI); Fonds d'Etudes et de Recherche du Corps Medical des Hopitaux de Paris; Direction Regionale des Affaires Sanitaires et Sociales d'Ile-de-France; Direction Regionale et Departementale des Affaires Sabitaires et Sociales de Champagne-Ardennes et de la Marne; SNFMI</t>
  </si>
  <si>
    <t>ARMIIC (Association pour la Recherche en Medecine Interne et en Immunologic Clinique); Pfizer; d'Investigation et de Recherche Clinique (PHRC National Auto-HTAP); Direction de la Recherche Clinique of the Assistance Publique-Hopitaux de Paris; AMPLI (Avenir Mutualiste des Professions Liberales et Independantes); Societe Nationale Francaise de Medecine Interne (SNFMI); Fonds d'Etudes et de Recherche du Corps Medical des Hopitaux de Paris; Direction Regionale des Affaires Sanitaires et Sociales d'Ile-de-France; Direction Regionale et Departementale des Affaires Sabitaires et Sociales de Champagne-Ardennes et de la Marne; SNFMI</t>
  </si>
  <si>
    <t>Broussard, Cedric/0000-0001-9508-2341; Witko-Sarsat, Veronique/0000-0002-5296-9601; Humbert, Marc/0000-0003-0703-2892</t>
  </si>
  <si>
    <t>Witko-Sarsat, Veronique/L-9714-2017; Simonneau, Gerald/ABE-6614-2020; meroni, pier/K-8473-2016; REGENT, Alexis/AHA-6753-2022; Tamby, Mathieu/B-1277-2011; Humbert, Marc/AAC-8459-2019</t>
  </si>
  <si>
    <t>Mouthon, L (corresponding author), Hop Cochin, Inst Cochin, INSERM, U1016, Pavillon Gustave Roussy,4Eme Etage,8 Rue Mechain, F-75014 Paris, France.</t>
  </si>
  <si>
    <t>Assistance Publique Hopitaux Paris (APHP); Universite Paris Cite; Hopital Universitaire Cochin - APHP; Institut National de la Sante et de la Recherche Medicale (Inserm); Centre National de la Recherche Scientifique (CNRS); CNRS - National Institute for Biology (INSB); Universite Paris Cite; Institut National de la Sante et de la Recherche Medicale (Inserm); Universite Paris Cite; Assistance Publique Hopitaux Paris (APHP); Universite Paris Cite; Hopital Universitaire Cochin - APHP; Assistance Publique Hopitaux Paris (APHP); Universite Paris Cite; Hopital Universitaire Cochin - APHP; Universite Paris Saclay; Assistance Publique Hopitaux Paris (APHP); Hopital Universitaire Antoine-Beclere - APHP; Hopital Marie Lannelongue; Universite Paris Saclay; Institut National de la Sante et de la Recherche Medicale (Inserm)</t>
  </si>
  <si>
    <t>[Dib, Hanadi; Tamby, Mathieu C.; Bussone, Guillaume; Regent, Alexis; Lafine, Claudine; Broussard, Cedric; Witko-Sarsat, Veronique; Mouthon, Luc] Hop Cochin, Inst Cochin, INSERM, U1016, F-75014 Paris, France; [Dib, Hanadi; Tamby, Mathieu C.; Bussone, Guillaume; Regent, Alexis; Lafine, Claudine; Broussard, Cedric; Witko-Sarsat, Veronique; Mouthon, Luc] CNRS, UMR 8104, Paris, France; [Dib, Hanadi; Tamby, Mathieu C.; Bussone, Guillaume; Regent, Alexis; Broussard, Cedric; Witko-Sarsat, Veronique; Mouthon, Luc] Univ Paris 05, Paris, France; [Berezne, Alice; Guillevin, Loic; Mouthon, Luc] Hop Cochin, AP HP, Fac Med, F-75014 Paris, France; [Berezne, Alice; Guillevin, Loic; Mouthon, Luc] Hop Cochin, AP HP, Ctr Reference Vascularites Necrosantes &amp; Sclerode, F-75014 Paris, France; [Simonneau, Gerald; Humbert, Marc] Univ Paris 11, Hop Antoine Beclere, Fac Med,AP HP,Serv Pneumol &amp; Reanimat Resp, Ctr Natl Reference Hypertens Arterielle Pulm Seve, Clamart, France; [Humbert, Marc] INSERM, U999, Ctr Chirurg Marie Lannelongue, Le Plessis Robinson, France</t>
  </si>
  <si>
    <t>Anti-endothelial cell antibodies (AECAs) have been identified in patients with systemic sclerosis (SSc) with and without pulmonary arterial hypertension (PAH) and in patients with idiopathic pulmonary arterial hypertension (iPAH). However, their target antigens remain poorly identified. Sera from 24 patients with SSc without PAH, 20 patients with SSc with PAH, 30 with iPAH and 12 healthy controls were collected. Target antigens were identified by two-dimensional electrophoresis and immunoblotting in protein extracts of human umbilical vein endothelial cells. Targeted antigens were identified by mass spectrometry. Serum immunoglobulin G from patients with SSc with or without PAH and patients with iPAH specifically recognised 110, 82 and 37 protein spots, respectively. Among others, target antigens of AECAs included lamin A/C, tubulin beta-chain and vinculin. One-dimension immunoblotting experiments confirmed the identification of lamin A/C and tubulin beta-chain. In conclusion, our results confirm the presence of AECA in patients with systemic sclerosis with and without pulmonary arterial hypertension and in those with idiopathic pulmonary arterial hypertension, and provide evidence for the identification of target antigens of these autoantibodies including lamin A/C and tubulin beta-chain.</t>
  </si>
  <si>
    <t>HUTCHINSON-GILFORD PROGERIA; SYSTEMIC-SCLEROSIS; ARTERIAL-HYPERTENSION; HEALTHY-INDIVIDUALS; IDENTIFICATION; AUTOANTIBODY; PROTEINS; ANTIGENS; DISEASES; TUBULIN</t>
  </si>
  <si>
    <t>Autoantibodies; autoantigens; endothelial cells; pulmonary arterial hypertension; systemic sclerosis</t>
  </si>
  <si>
    <t>Targets of anti-endothelial cell antibodies in pulmonary hypertension and scleroderma</t>
  </si>
  <si>
    <t>Dib, Hanadi; Tamby, Mathieu C.; Bussone, Guillaume; Regent, Alexis; Berezne, Alice; Lafine, Claudine; Broussard, Cedric; Simonneau, Gerald; Guillevin, Loic; Witko-Sarsat, Veronique; Humbert, Marc; Mouthon, Luc</t>
  </si>
  <si>
    <t>Dib, H; Tamby, MC; Bussone, G; Regent, A; Berezné, A; Lafine, C; Broussard, C; Simonneau, G; Guillevin, L; Witko-Sarsat, V; Humbert, M; Mouthon, L</t>
  </si>
  <si>
    <t>WOS:000304780100012</t>
  </si>
  <si>
    <t>952GQ</t>
  </si>
  <si>
    <t>10.1089/aid.2011.0021</t>
  </si>
  <si>
    <t>Aids Res. Hum. Retrovir.</t>
  </si>
  <si>
    <t>AIDS RES HUM RETROV</t>
  </si>
  <si>
    <t>1931-8405</t>
  </si>
  <si>
    <t>0889-2229</t>
  </si>
  <si>
    <t>140 HUGUENOT STREET, 3RD FL, NEW ROCHELLE, NY 10801 USA</t>
  </si>
  <si>
    <t>NEW ROCHELLE</t>
  </si>
  <si>
    <t>MARY ANN LIEBERT, INC</t>
  </si>
  <si>
    <t>HeLa CD4 cells and anti-Nef antibodies were obtained through the NIH AIDS Research and Reference Reagents Program. This work was supported by NIH/NHLBI research Grants R01 HL90480, R01 HL90480-S1 (ARRA Supplement), R01 HL083491 (to S. C. F.), R01 HL901526 (to P.Y.H), and T32-HL07171 (Cardiovascular Pulmonary Postdoctoral Training Program at UC-Denver), and in part by grants from the Colorado Center for AIDS Research Grant P30-AI054907 (R. K.), the Ministere de l'Enseignement Superieur et de la Recherche, and the Universite Paris-Sud 11.</t>
  </si>
  <si>
    <t>NIH/NHLBI(United States Department of Health &amp; Human ServicesNational Institutes of Health (NIH) - USANIH National Heart Lung &amp; Blood Institute (NHLBI)); Colorado Center for AIDS Research; Ministere de l'Enseignement Superieur et de la Recherche(Estonian Research Council); Universite Paris-Sud 11</t>
  </si>
  <si>
    <t>NIH/NHLBI [R01 HL90480, R01 HL90480-S1, R01 HL083491, R01 HL901526, T32-HL07171]; Colorado Center for AIDS Research [P30-AI054907]; Ministere de l'Enseignement Superieur et de la Recherche; Universite Paris-Sud 11</t>
  </si>
  <si>
    <t>Allshouse, Amanda/0000-0003-0109-7193; Almodovar, Sharilyn/0000-0002-4769-1924; petrosillo, nicola/0000-0002-2585-7567; Humbert, Marc/0000-0003-0703-2892; Knight, Rob/0000-0002-0975-9019</t>
  </si>
  <si>
    <t>Knight, Rob/D-1299-2010; McDonald, Daniel/KLZ-9326-2024; Simonneau, Gerald/ABE-6614-2020; Almodovar, Sharilyn/ABI-9237-2022; Petrosillo, Nicola/AAZ-2095-2021; Humbert, Marc/AAC-8459-2019</t>
  </si>
  <si>
    <t>sharilyn.almodovar@ucdenver.edu</t>
  </si>
  <si>
    <t>Almodovar, S (corresponding author), Univ Colorado, Anschutz Med Campus,12700 E 19th Ave,C-272, Aurora, CO 80045 USA.</t>
  </si>
  <si>
    <t>University of Colorado System; University of Colorado Anschutz Medical Campus; Children's Hospital Colorado; Children's Hospital Colorado; University of Colorado System; University of Colorado Anschutz Medical Campus; University of Colorado System; University of Colorado Boulder; University of Colorado System; University of Colorado Boulder; University of Colorado System; University of Colorado Anschutz Medical Campus; Colorado School of Public Health; University of Colorado System; University of Colorado Anschutz Medical Campus; Colorado School of Public Health; University of Colorado System; University of Colorado Anschutz Medical Campus; Virginia Commonwealth University; Institut National de la Sante et de la Recherche Medicale (Inserm); Universite Paris Saclay; Assistance Publique Hopitaux Paris (APHP); Universite Paris Cite; Hopital Universitaire Saint-Louis - APHP; Hopital Universitaire Antoine-Beclere - APHP; Universite Paris Saclay; Hopital Universitaire Bicetre - APHP; IRCCS Lazzaro Spallanzani; Universite Paris Saclay; Assistance Publique Hopitaux Paris (APHP); Hopital Universitaire Antoine-Beclere - APHP; University of California System; University of California San Francisco</t>
  </si>
  <si>
    <t>[Almodovar, Sharilyn; Flores, Sonia C.] Univ Colorado Denver, Cardiovasc Pulm Res Lab, Aurora, CO USA; [Almodovar, Sharilyn; Shelton, Robert J.; Hammer, Kenneth W.; Flores, Sonia C.] Univ Colorado Denver, Div Pulm Sci &amp; Crit Care Med, Aurora, CO USA; [Knight, Rob; Lozupone, Catherine; McDonald, Daniel; Widmann, Jeremy] Univ Colorado, Dept Chem, Boulder, CO 80309 USA; [Knight, Rob; Lozupone, Catherine; McDonald, Daniel; Widmann, Jeremy] Univ Colorado, Dept Biochem, Boulder, CO 80309 USA; [Allshouse, Amanda A.] Univ Colorado Denver Anschutz Med Campus, Colorado Sch Publ Hlth, Dept Biostat, Aurora, CO USA; [Allshouse, Amanda A.] Univ Colorado Denver Anschutz Med Campus, Colorado Sch Publ Hlth, Dept Informat, Aurora, CO USA; [Roemer, Sarah] Univ Colorado Denver Anschutz Med Campus, Dept Pharmacol, Aurora, CO USA; [Voelkel, Norbert F.] Virginia Commonwealth Univ, Victoria Johnson Ctr Obstruct Lung Dis, Richmond, VA USA; [Suarez, Edu B.] Univ Puerto Rico, Dept Biol, Ponce, PR USA; [Suarez, Edu B.] Ponce Sch Med, Dept Physiol Pharmacol &amp; Toxicol, Ponce, PR USA; [Goujard, Cecile] Univ Paris 11, INSERM U802, Le Kremlin Bicetre, France; [Goujard, Cecile] Hop Bicetre, Assistance Publ Hop Paris, Serv Med Interne, Le Kremlin Bicetre, France; [Petrosillo, Nicola] Natl Inst Infect Dis L Spallanzani, Infect Dis Div 2, Rome, Italy; [Simonneau, Gerald; Humbert, Marc] Univ Paris 11, Serv Pneumol, Ctr Natl Reference Hypertens Arterielle Pulm, Hop Antoine Beclere, Clamart, France; [Hsue, Priscilla Y.] Univ Calif San Francisco, Div Cardiol, San Francisco, CA USA</t>
  </si>
  <si>
    <t>Severe pulmonary hypertension (PH) associated with vascular remodeling is a long-term complication of HIV infection (HIV-PH) affecting 1/200 infected individuals vs. 1/200,000 frequency in the uninfected population. Factors accounting for increased PH susceptibility in HIV-infected individuals are unknown. Rhesus macaques infected with chimeric SHIVnef virions but not with SIV display PH-like pulmonary vascular remodeling suggesting that HIV-Nef is associated with PH; these monkeys showed changes in nef sequences that correlated with pathogenesis after passage in vivo. We further examined whether HIV-nef alleles in HIV-PH subjects have signature sequences associated with the disease phenotype. We evaluated specimens from participants with and without HIV-PH from European Registries and validated results with samples collected as part of the Lung-HIV Studies in San Francisco. We found that 10 polymorphisms in nef were overrepresented in blood cells or lung tissue specimens from European HIV-PH individuals but significantly less frequent in HIV-infected individuals without PH. These polymorphisms mapped to known functional domains in Nef. In the validation cohort, 7/10 polymorphisms in the HIV-nef gene were confirmed; these polymorphisms arose independently from viral load, CD4(+) T cell counts, length of infection, and antiretroviral therapy status. Two out of 10 polymorphisms were previously reported in macaques with PH-like pulmonary vascular remodeling. Cloned recombinant Nef proteins from clinical samples down-regulated CD4, suggesting that these primary isolates are functional. This study offers new insights into the association between Nef polymorphisms in functional domains and the HIV-PH phenotype. The utility of these polymorphisms as predictors of PH should be examined in a larger population.</t>
  </si>
  <si>
    <t>HIV-1 NEF; ARTERIAL-HYPERTENSION; DOWN-REGULATION; ANTIRETROVIRAL THERAPY; VASCULAR-LESIONS; CELL-SURFACE; TYPE-1 NEF; GENE; INDIVIDUALS; INFECTION</t>
  </si>
  <si>
    <t>AIDS RESEARCH AND HUMAN RETROVIRUSES</t>
  </si>
  <si>
    <t>Human Immunodeficiency Virus nef Signature Sequences Are Associated with Pulmonary Hypertension</t>
  </si>
  <si>
    <t>Almodovar, Sharilyn; Knight, Rob; Allshouse, Amanda A.; Roemer, Sarah; Lozupone, Catherine; McDonald, Daniel; Widmann, Jeremy; Voelkel, Norbert F.; Shelton, Robert J.; Suarez, Edu B.; Hammer, Kenneth W.; Goujard, Cecile; Petrosillo, Nicola; Simonneau, Gerald; Hsue, Priscilla Y.; Humbert, Marc; Flores, Sonia C.</t>
  </si>
  <si>
    <t>Almodovar, S; Knight, R; Allshouse, AA; Roemer, S; Lozupone, C; McDonald, D; Widmann, J; Voelkel, NF; Shelton, RJ; Suarez, EB; Hammer, KW; Goujard, C; Petrosillo, N; Simonneau, G; Hsue, PY; Humbert, M; Flores, SC</t>
  </si>
  <si>
    <t>WOS:000307287500014</t>
  </si>
  <si>
    <t>985RS</t>
  </si>
  <si>
    <t>10.1183/09031936.00097911</t>
  </si>
  <si>
    <t>Dorfmuller, Peter/0000-0003-2499-6829; SITBON, Olivier/0000-0002-1942-1951; Humbert, Marc/0000-0003-0703-2892; JAIS, XAVIER/0000-0002-4104-7994; Montani, David/0000-0002-9358-6922; GUNTHER, Sven/0000-0001-8388-6131; Seferian, Andrei/0000-0003-1007-433X</t>
  </si>
  <si>
    <t>Simonneau, Gerald/ABE-6614-2020; Savale, Laurent/AAJ-9781-2020; David, Montani/I-6885-2019; Günther, Sven/ACV-7191-2022; Sitbon, Olivier/I-3623-2019; Humbert, Marc/AAC-8459-2019; GUNTHER, Sven/P-4177-2017</t>
  </si>
  <si>
    <t>Montani, D (corresponding author), Univ Paris 11, Hop Bicetre, AP HP, Ctr Reference Hypertens Pulm Severe,Serv Pneumol, 78 Rue Gen Leclerc, F-94270 Le Kremlin Bicetre, France.</t>
  </si>
  <si>
    <t>Universite Paris Saclay; Assistance Publique Hopitaux Paris (APHP); Hopital Universitaire Bicetre - APHP; Hopital Universitaire Antoine-Beclere - APHP; Universite Paris Saclay; Assistance Publique Hopitaux Paris (APHP); Hopital Universitaire Antoine-Beclere - APHP; Hopital Marie Lannelongue; Institut National de la Sante et de la Recherche Medicale (Inserm); Royal Brompton Hospital</t>
  </si>
  <si>
    <t>[Seferian, Andrei; Jais, Xavier; Girerd, Barbara; Guenther, Sven; Savale, Laurent; Parent, Florence; Sitbon, Olivier; Humbert, Marc; Simonneau, Gerald; Montani, David] Univ Paris 11, Fac Med, F-94270 Le Kremlin Bicetre, France; [Seferian, Andrei; Jais, Xavier; Girerd, Barbara; Guenther, Sven; Savale, Laurent; Parent, Florence; Sitbon, Olivier; Humbert, Marc; Simonneau, Gerald; Montani, David] Hop Bicetre, AP HP, Ctr Reference Hypertens Pulm Severe, Serv Pneumol &amp; Reanimat Resp,DHU Thorax Innovat, Le Kremlin Bicetre, France; [Helal, Badia] Hop Antoine Beclere, Nucl Med Serv, Clamart, France; [Dorfmueller, Peter] Ctr Chirurg Marie Lannelongue, Serv Anat Pathol, Le Plessis Robinson, France; [Seferian, Andrei; Jais, Xavier; Girerd, Barbara; Guenther, Sven; Savale, Laurent; Parent, Florence; Sitbon, Olivier; Humbert, Marc; Simonneau, Gerald; Montani, David] INSERM, LabEx LERMIT, U999, F-75654 Paris 13, France; [Price, Laura C.] Royal Brompton Hosp, Dept Pulm Hypertens, London SW3 6LY, England</t>
  </si>
  <si>
    <t>Pulmonary veno-occlusive disease (PVOD), a rare form of pulmonary arterial hypertension (PAH), requires histological proof for definitive diagnosis; however, lung biopsy is not recommended in PAH. Recent conjoint European Respiratory Society/European Society of Cardiology guidelines suggest that nonmatched perfusion defects on ventilation/perfusion (V'/Q') lung scanning in PAH patients may suggest PVOD. The aim of our study was to evaluate V'/Q' lung scans in a large cohort of PVOD and idiopathic or heritable PAH patients. V'/Q' lung scans from 70 patients with idiopathic or heritable PAH and 56 patients with confirmed or highly probable PVOD were reviewed in a double-blind manner. The vast majority of V'/Q' lung scans were normal or without significant abnormalities in both groups. No differences in ventilation or perfusion lung scans were observed between PAH and PVOD patients (all p&gt;0.05). Furthermore, no differences were observed between confirmed (n=31) or highly probable PVOD (n=25). Nonmatched perfusion defects were found in seven (10%) idiopathic PAH patients and four (7.1%) PVOD patients (p&gt;0.05). Nonmatched perfusion defects were rarely seen in a large cohort of idiopathic or heritable PAH and PVOD patients. Future recommendations should be amended according to these results suggesting that V'/Q' lung scanning is not useful in discriminating PVOD from idiopathic PAH.</t>
  </si>
  <si>
    <t>CALCIUM-CHANNEL BLOCKERS; ARTERIAL-HYPERTENSION; DIAGNOSIS; GUIDELINES; THERAPY</t>
  </si>
  <si>
    <t>Guidelines; pulmonary arterial hypertension; pulmonary veno-occlusive disease; ventilation/perfusion lung scan</t>
  </si>
  <si>
    <t>Ventilation/perfusion lung scan in pulmonary veno-occlusive disease</t>
  </si>
  <si>
    <t>Seferian, Andrei; Helal, Badia; Jais, Xavier; Girerd, Barbara; Price, Laura C.; Guenther, Sven; Savale, Laurent; Dorfmueller, Peter; Parent, Florence; Sitbon, Olivier; Humbert, Marc; Simonneau, Gerald; Montani, David</t>
  </si>
  <si>
    <t>Seferian, A; Helal, B; Jaïs, X; Girerd, B; Price, LC; Günther, S; Savale, L; Dorfmüller, P; Parent, F; Sitbon, O; Humbert, M; Simonneau, G; Montani, D</t>
  </si>
  <si>
    <t>WOS:000305669900021</t>
  </si>
  <si>
    <t>964BY</t>
  </si>
  <si>
    <t>10.1164/ajrccm.186.1.107</t>
  </si>
  <si>
    <t>Degano, Bruno/0000-0003-1644-7264; Labarere, Jose/0000-0001-7621-6586; Humbert, Marc/0000-0003-0703-2892</t>
  </si>
  <si>
    <t>, CRACOWSKI/M-6946-2014; Labarère, José/N-1688-2014; Degano, Bruno/IAQ-7289-2023; Humbert, Marc/AAC-8459-2019</t>
  </si>
  <si>
    <t>Cracowski, JL (corresponding author), Univ Hosp, INSERM CIC3, Grenoble, France.</t>
  </si>
  <si>
    <t>CHU Grenoble Alpes; Institut National de la Sante et de la Recherche Medicale (Inserm); Institut National de la Sante et de la Recherche Medicale (Inserm); Communaute Universite Grenoble Alpes; Universite Grenoble Alpes (UGA); Communaute Universite Grenoble Alpes; Institut National Polytechnique de Grenoble; Universite Grenoble Alpes (UGA); Centre National de la Recherche Scientifique (CNRS); Universite de Franche-Comte; CHU Besancon; CHU de Nancy; Assistance Publique Hopitaux Paris (APHP); Hopital Universitaire Antoine-Beclere - APHP; Universite Paris Saclay; Hopital Marie Lannelongue; Institut National de la Sante et de la Recherche Medicale (Inserm); Universite Paris Saclay</t>
  </si>
  <si>
    <t>[Cracowski, Jean-Luc] Univ Hosp, INSERM CIC3, Grenoble, France; [Cracowski, Jean-Luc] Univ Grenoble 1, INSERM, U1042, Grenoble, France; [Labarere, Jose] Univ Grenoble 1, TIMC UMR CNRS 5525, Grenoble, France; [Degano, Bruno] Univ Hosp, Besancon, France; [Chabot, Francois] Univ Hosp, Nancy, France; [Humbert, Marc] Hop Antoine Beclere, AP HP, Clamart, France; [Humbert, Marc] Ctr Chirurg Marie Lannelongue, INSERM, U999, Le Plessis Robinson, France; [Humbert, Marc] Univ Paris 11, Le Kremlin Bicetre, France</t>
  </si>
  <si>
    <t>Plasma Levels of High-Density Lipoprotein Cholesterol Are Not Associated with Survival in Pulmonary Arterial Hypertension</t>
  </si>
  <si>
    <t>Cracowski, Jean-Luc; Labarere, Jose; Renversez, Jean-Charles; Degano, Bruno; Chabot, Francois; Humbert, Marc</t>
  </si>
  <si>
    <t>Cracowski, JL; Labarère, J; Renversez, JC; Degano, B; Chabot, F; Humbert, M</t>
  </si>
  <si>
    <t>WOS:000308131701548</t>
  </si>
  <si>
    <t>996YU</t>
  </si>
  <si>
    <t>Public, Environmental &amp; Occupational Health; Pharmacology &amp; Pharmacy</t>
  </si>
  <si>
    <t>Pharmacoepidemiol. Drug Saf.</t>
  </si>
  <si>
    <t>PHARMACOEPIDEM DR S</t>
  </si>
  <si>
    <t>1053-8569</t>
  </si>
  <si>
    <t>Miller, Dave/0000-0003-2947-152X</t>
  </si>
  <si>
    <t>Humbert, Marc/AAC-8459-2019; Benza, Raymond/AAD-4885-2019; Sitbon, Olivier/I-3623-2019</t>
  </si>
  <si>
    <t>Actelion Pharmaceuticals Ltd; Allegheny General Hospital; Assistance Publique Hopitaux Paris (APHP); Hopital Universitaire Antoine-Beclere - APHP; Institut National de la Sante et de la Recherche Medicale (Inserm); Mayo Clinic; ICON plc</t>
  </si>
  <si>
    <t>[Le Rouzic, Erwan Muros; Rosenberg, Daniel] Actel Pharmaceut Ltd, Allschwil, Switzerland; [Benza, Raymond L.] Allegheny Gen Hosp, Pittsburgh, PA 15212 USA; [Lemarie, Jean-Christophe] Effi Stat, Paris, France; [Humbert, Marc; Sitbon, Olivier] Hop Antoine Beclere, INSERM U999, Clamart, France; [McGoon, Michael D.] Mayo Clin, Rochester, MN USA; [Miller, Dave P.] ICON Late Phase &amp; Outcomes Res, San Francisco, CA USA</t>
  </si>
  <si>
    <t>PHARMACOEPIDEMIOLOGY AND DRUG SAFETY</t>
  </si>
  <si>
    <t>Challenges in Evaluating External Validity of Predictive Models for Survival in Patients with Pulmonary Arterial Hypertension</t>
  </si>
  <si>
    <t>Le Rouzic, Erwan Muros; Lemarie, Jean-Christophe; Benza, Raymond L.; Humbert, Marc; McGoon, Michael D.; Rosenberg, Daniel; Sitbon, Olivier; Miller, Dave P.</t>
  </si>
  <si>
    <t>Le Rouzic, EM; Lemarié, JC; Benza, RL; Humbert, M; McGoon, MD; Rosenberg, D; Sitbon, O; Miller, DP</t>
  </si>
  <si>
    <t>WOS:000308131701042</t>
  </si>
  <si>
    <t>Pasteur Network; Universite Paris Cite; Institut Pasteur Paris; heSam Universite; Conservatoire National Arts &amp; Metiers (CNAM); Institut National de la Sante et de la Recherche Medicale (Inserm); Pasteur Network; Universite de Lille; Institut Pasteur Lille; Universite Paris Cite; Assistance Publique Hopitaux Paris (APHP); Hopital Universitaire Bichat-Claude Bernard - APHP; Universite Paris Saclay; Assistance Publique Hopitaux Paris (APHP); Hopital Universitaire Antoine-Beclere - APHP; Institut National de la Sante et de la Recherche Medicale (Inserm); Universite Paris Saclay; Hopital Marie Lannelongue; Universite de Rouen Normandie; CHU de Rouen; Institut National de la Sante et de la Recherche Medicale (Inserm); Institut National de la Sante et de la Recherche Medicale (Inserm); University of London; London School of Hygiene &amp; Tropical Medicine; CHU Bordeaux; Institut National de la Sante et de la Recherche Medicale (Inserm); Universite de Bordeaux</t>
  </si>
  <si>
    <t>[Grimaldi-Bensouda, Lamiae] LA SER, Paris, France; [Grimaldi-Bensouda, Lamiae] Inst Pasteur, Equipe Accueil Pharmacoepidemiol &amp; Malad Infect, Conservatoire Natl Arts &amp; Metiers, Paris, France; [Zureik, Mahmoud] INSERM, U744, Inst Pasteur Lille, F-59045 Lille, France; [Aubier, Michel] Hop Bichat Claude Bernard, Serv Pneumol A, F-75877 Paris, France; [Humbert, Marc] Univ Paris 11, Fac Med, Le Kremlin Bicetre, France; [Humbert, Marc] Hop Antoine Beclere, AP HP, Serv Pneumol &amp; Reanimat Resp, Clamart, France; [Humbert, Marc] INSERM, U999, IPSIT, Ctr Chirurg Marie Lannelongue, Le Plessis Robinson, France; [Levy, Jean] Clin Pneumol, St Ouen, France; [Benichou, Jacques] CHU Rouen, Unite Biostat, Rouen, France; [Benichou, Jacques] INSERM, Inst Hosp Univ Rech Biomed, U657, Rouen, France; [Benichou, Jacques] INSERM, Unite Rouen, Rouen, France; [Abenhaim, Lucien] Univ London London Sch Hyg &amp; Trop Med, Dept Epidemiol, London WC1E 7HT, England; [Abenhaim, Lucien; PAX Grp] LA SER Europe Ltd, London, England; [Molimard, Mathieu] Univ Bordeaux 2, CHU Bordeaux, INSERM, Dept Pharmacol,U657, F-33076 Bordeaux, France</t>
  </si>
  <si>
    <t>Effectiveness of Omalizumab on Asthma Exacerbations Following Its Introduction in a Large Cohort of Patients with Severe Uncontrolled Asthma</t>
  </si>
  <si>
    <t>PAX Grp</t>
  </si>
  <si>
    <t>Grimaldi-Bensouda, Lamiae; Zureik, Mahmoud; Aubier, Michel; Humbert, Marc; Levy, Jean; Benichou, Jacques; Abenhaim, Lucien; Molimard, Mathieu</t>
  </si>
  <si>
    <t>Grimaldi-Bensouda, L; Zureik, M; Aubier, M; Humbert, M; Levy, J; Benichou, J; Abenhaim, L; Molimard, M</t>
  </si>
  <si>
    <t>WOS:000306221600010</t>
  </si>
  <si>
    <t>971RN</t>
  </si>
  <si>
    <t>10.1111/j.1399-0004.2011.01727.x</t>
  </si>
  <si>
    <t>We are grateful to the patients and staffs who participated in this study. This work was supported by DGOS support for rare disease diagnosis and Assistance Publique-Hopitaux de Paris. M. M. A. is supported by a Doctoral Training Award from the Canadian Institutes of Health Research (CIHR) Collaborative Graduate Training Program in Molecular Medicine and an Ontario Graduate Scholarship. Work in the Pearson lab is supported by the CIHR.</t>
  </si>
  <si>
    <t>DGOS support for rare disease diagnosis; Assistance Publique-Hopitaux de Paris; Canadian Institutes of Health Research (CIHR)(Canadian Institutes of Health Research (CIHR)); CIHR(Canadian Institutes of Health Research (CIHR))</t>
  </si>
  <si>
    <t>DGOS support for rare disease diagnosis; Assistance Publique-Hopitaux de Paris; Canadian Institutes of Health Research (CIHR); CIHR</t>
  </si>
  <si>
    <t>Gouya, Laurent/0000-0002-1326-7025; Pearson, Christopher/0000-0001-9545-4205; Montani, David/0000-0002-9358-6922; Humbert, Marc/0000-0003-0703-2892</t>
  </si>
  <si>
    <t>florent.soubrier@psl.aphp.fr</t>
  </si>
  <si>
    <t>Soubrier, F (corresponding author), Grp Hosp Pitie Salpetriere, Lab Oncogenet &amp; Angiogenet Mol, 47 Blvd Hop, F-75013 Paris, France.</t>
  </si>
  <si>
    <t>Sorbonne Universite; Assistance Publique Hopitaux Paris (APHP); Hopital Universitaire Pitie-Salpetriere - APHP; Sorbonne Universite; Institut National de la Sante et de la Recherche Medicale (Inserm); Sorbonne Universite; Assistance Publique Hopitaux Paris (APHP); Hopital Universitaire Antoine-Beclere - APHP; Universite Paris Saclay; Assistance Publique Hopitaux Paris (APHP); Hopital Universitaire Ambroise-Pare - APHP; Assistance Publique Hopitaux Paris (APHP); Hopital Universitaire Ambroise-Pare - APHP; Assistance Publique Hopitaux Paris (APHP); Hopital Universitaire Ambroise-Pare - APHP; University of Toronto; Hospital for Sick Children (SickKids); University of Toronto</t>
  </si>
  <si>
    <t>[Eyries, M.; Coulet, F.; Soubrier, F.] Grp Hosp Pitie Salpetriere, AP HP, Oncogenet &amp; Angiogenet Lab, F-75013 Paris, France; [Eyries, M.; Coulet, F.; Soubrier, F.] UPMC Univ Paris 06, UMR S 956, F-75005 Paris, France; [Eyries, M.; Coulet, F.; Soubrier, F.] INSERM, Fac Med Pitie Salpetriere, UMR S 956, F-75013 Paris, France; [Girerd, B.; Montani, D.; Humbert, M.] Univ Paris Sud, AP HP, Natl Reference Ctr Severe Pulm Hypertens, Dept Pulm &amp; Crit Care Med,Hop Antoine Beclere, Clamart, France; [Lacombe, P.] Hop Ambroise Pare, Dept Radiol, MRO Ctr, Paris, France; [Chinet, T.] Hop Ambroise Pare, Dept Pneumol, MRO Ctr, Paris, France; [Gouya, L.; Roume, J.] Hop Ambroise Pare, Dept Genet, MRO Ctr, Paris, France; [Axford, M. M.; Pearson, C. E.] Hosp Sick Children, Toronto, ON M5G 1X8, Canada; [Axford, M. M.; Pearson, C. E.] Univ Toronto, Dept Mol Genet, Toronto, ON, Canada</t>
  </si>
  <si>
    <t>Eyries M, Coulet F, Girerd B, Montani D, Humbert M, Lacombe P, Chinet T, Gouya L, Roume J, Axford MM, Pearson CE, Soubrier F. ACVRL1 germinal mosaic with two mutant alleles in hereditary hemorrhagic telangiectasia associated with pulmonary arterial hypertension. Germline mutations in genes encoding members of the transforming growth factor-beta (TGF-beta)/bone morphogenetic protein (BMP) superfamily are causal for two hereditary vascular disorders, hereditary hemorrhagic telangiectasia (HHT) and heritable pulmonary arterial hypertension (PAH). When the two diseases coexist, activin A receptor type II-like kinase-1 (ACVRL1) gene mutations are usually identified. We report a remarkable ACVRL1 germinal and somatic mosaicism characterized by the presence of two distinct mutant alleles and a non-mutant ACVRL1 allele in a woman diagnosed with PAH at the age 40. She also met the Curacao diagnostic criteria for HHT based on additional findings of telangiectases, epistaxis and arteriovenous malformations. Mutation analysis of ACVRL1 identified two adjacent heterozygous deleterious mutations within exon 10: c.1388del (p.Gly463fsX2) and c.1390del (p.Leu464X) in a region enriched by mutation-associated DNA motifs. The mother transmitted the c.1388del to one child and the c.1390del to two children confirming germinal mosaicism. Allele-specific polymerase chain reaction analysis showed that c.1388del is the predominant mutation in lymphocytes of the index case. Haplotype analysis revealed that both mutant alleles have a common chromosomal origin which is distinct from that of the mother's non-mutant ACVRL1 allele. These distinct mutant alleles in tissues and germline could have arisen by DNA structure-mediated events occurring in the early stages of the mother's embryogenesis, prior to the segregation of her germline, which ultimately led to the independent transmission of each allele. These highlight the complexity of genomic events occurring during early embryogenesis and the consequences of mutational mosaicism upon pathogenic variability.</t>
  </si>
  <si>
    <t>DELETION HOTSPOT; MUTATION; GENE</t>
  </si>
  <si>
    <t>ACVRL1-allele-specific assay; germinal mosaicism; hereditary hemorrhagic telangiectasia; mutation-associated DNA motifs; novel mutations; pulmonary hypertension</t>
  </si>
  <si>
    <t>ACVRL1 germinal mosaic with two mutant alleles in hereditary hemorrhagic telangiectasia associated with pulmonary arterial hypertension</t>
  </si>
  <si>
    <t>Eyries, M.; Coulet, F.; Girerd, B.; Montani, D.; Humbert, M.; Lacombe, P.; Chinet, T.; Gouya, L.; Roume, J.; Axford, M. M.; Pearson, C. E.; Soubrier, F.</t>
  </si>
  <si>
    <t>Eyries, M; Coulet, F; Girerd, B; Montani, D; Humbert, M; Lacombe, P; Chinet, T; Gouya, L; Roume, J; Axford, MM; Pearson, CE; Soubrier, F</t>
  </si>
  <si>
    <t>WOS:000307039200004</t>
  </si>
  <si>
    <t>982JL</t>
  </si>
  <si>
    <t>10.1164/rccm.201206-1049ED</t>
  </si>
  <si>
    <t>Dorfmüller, P (corresponding author), Univ Paris 11, Fac Med, Le Kremlin Bicetre, France.</t>
  </si>
  <si>
    <t>[Dorfmueller, Peter; Humbert, Marc] Univ Paris 11, Fac Med, Le Kremlin Bicetre, France; [Dorfmueller, Peter; Humbert, Marc] INSERM, U999, Le Plessis Robinson, France; [Dorfmueller, Peter] Ctr Chirurg Marie Lannelongue, Serv Anat &amp; Cytol Pathol, Le Plessis Robinson, France; [Humbert, Marc] Hop Bicetre, AP HP, Serv Pneumol, Le Kremlin Bicetre, France</t>
  </si>
  <si>
    <t>KAPPA-B; LYMPHOID NEOGENESIS; INDUCIBLE FACTOR; HYPOXIA; INFLAMMATION; SURVIVAL; GROWTH; BETA</t>
  </si>
  <si>
    <t>Progress in Pulmonary Arterial Hypertension Pathology: Relighting a Torch Inside the Tunnel</t>
  </si>
  <si>
    <t>Dorfmueller, Peter; Humbert, Marc</t>
  </si>
  <si>
    <t>Dorfmüller, P; Humbert, M</t>
  </si>
  <si>
    <t>WOS:000449650902754</t>
  </si>
  <si>
    <t>VH0IH</t>
  </si>
  <si>
    <t>Perros, Frédéric/N-6921-2017; TU, Ly/G-4035-2013; GUIGNABERT, Christophe/G-3873-2013; David, Montani/I-6885-2019; Humbert, Marc/AAC-8459-2019</t>
  </si>
  <si>
    <t>ly.tu@inserm.fr; francesdeman@gmail.com; barbara.girerd@abc.aphp.fr; mcamillechaumais@gmail.com; florence.lecerf@u-psud.fr; charlene.francois@yahoo.fr; frederic.perros@gmail.com; peter.dorfmuller@u-psud.fr; fadel@ccml.fr; david.montani@abc.aphp.fr; marc.humbert@abc.aphp.fr; saadia.eddahibi@inserm.fr; christophe.guignabert@inserm.fr</t>
  </si>
  <si>
    <t>Institut National de la Sante et de la Recherche Medicale (Inserm); Hopital Marie Lannelongue; Universite Paris Saclay; Universite Paris Saclay; Assistance Publique Hopitaux Paris (APHP); Hopital Universitaire Antoine-Beclere - APHP; Vrije Universiteit Amsterdam; VU UNIVERSITY MEDICAL CENTER</t>
  </si>
  <si>
    <t>[Tu, Ly; de Man, Frances; Girerd, Barbara; Chaumais, Marie-Camille; Lecerf, Florence; Francois, Charlene; Perros, Frederic; Dorfmuller, Peter; Fadel, Elie; Montani, David; Humbert, Marc; Saadia, Eddahibi; Guignabert, Christophe] INSERM, UMR 999, Ctr Chirurg Marie Lannelongue, Le Plessis Robinson, France; [Tu, Ly; de Man, Frances; Girerd, Barbara; Chaumais, Marie-Camille; Lecerf, Florence; Francois, Charlene; Perros, Frederic; Dorfmuller, Peter; Fadel, Elie; Montani, David; Humbert, Marc; Saadia, Eddahibi; Guignabert, Christophe] Univ Paris Sud, Fac Med, Orsay, France; [Girerd, Barbara; Montani, David; Humbert, Marc] AP HP, Serv Pneumol, Clamart, France; [de Man, Frances] Vrije Univ Amsterdam Med Ctr, Inst Cardiovasc Res ICaR VU, Amsterdam, Netherlands</t>
  </si>
  <si>
    <t>Pulmonary hypertension; Cell biology; Animal models</t>
  </si>
  <si>
    <t>A critical role for p130Cas in the progression of pulmonary hypertension in humans and rodents</t>
  </si>
  <si>
    <t>Tu, Ly; de Man, Frances; Girerd, Barbara; Chaumais, Marie-Camille; Lecerf, Florence; Francois, Charlene; Perros, Frederic; Dorfmuller, Peter; Fadel, Elie; Montani, David; Humbert, Marc; Saadia, Eddahibi; Guignabert, Christophe</t>
  </si>
  <si>
    <t>Tu, L; de Man, F; Girerd, B; Chaumais, MC; Lecerf, F; Francois, C; Perros, F; Dorfmuller, P; Fadel, E; Montani, D; Humbert, M; Saadia, E; Guignabert, C</t>
  </si>
  <si>
    <t>WOS:000449650902744</t>
  </si>
  <si>
    <t>GAUSSEM, Pascale/0000-0002-9139-2147</t>
  </si>
  <si>
    <t>BISCHOFF, JOYCE/K-3354-2019; Gaussem, P./ABA-1222-2020; Bièche, Ivan/O-7399-2017; Humbert, Marc/AAC-8459-2019; Boscolo, Elisa/F-9483-2019</t>
  </si>
  <si>
    <t>david.smadja@egp.aphp.fr; pascale.gaussem@egp.aphp.fr; dorfmuller@gmail.com; ivan.bieche@parisdescartes.fr; marianne.kambouchner@avc.aphp.fr; elisa.boscolo@childrens.harvard.edu; marc.humbert@abc.aphp.fr; joyce.bischoff@childrens.harvard.edu; dominique.israel-biet@egp.aphp.fr</t>
  </si>
  <si>
    <t>Universite Paris Cite; Hopital Marie Lannelongue; Institut National de la Sante et de la Recherche Medicale (Inserm); Universite Paris Saclay; Universite Paris Cite; Universite Paris 13; Assistance Publique Hopitaux Paris (APHP); Hopital Universitaire Avicenne - APHP; Harvard University; Harvard Medical School; Universite Paris Cite</t>
  </si>
  <si>
    <t>[Smadja, David; Gaussem, Pascale] Univ Paris 05, Sorbonne Paris Cite, Hematol, F-75006 Paris, France; [Dorfmuller, Peter; Humbert, Marc] Ctr Chirurg Marie Lannelongue, Hypertens Arterielle Pulm Physiopathol &amp;Innovat, Ctr Reference Hypertens Pulm Severe, INSERM,U999, Le Plessis Robinson, France; [Bieche, Ivan] Univ Paris 05, Sorbonne Paris Cite, Genet, F-75006 Paris, France; [Kambouchner, Marianne] Univ Paris 13, Hop Avicenne, AP HP, Pathol, Bobigny, France; [Boscolo, Elisa; Bischoff, Joyce] Harvard Med Sch, Vasc Biol, Boston, MA 02115 USA; [Israel-Biet, Dominique] Univ Paris 05, Sorbonne Paris Cite, Pneumol, Paris, France</t>
  </si>
  <si>
    <t>Idiopathic pulmonary fibrosis; Cell biology</t>
  </si>
  <si>
    <t>Cell cooperation between human fibrocytes and endothelial progenitor cells during neoangiogenesis is driven by the CXCR4 pathway</t>
  </si>
  <si>
    <t>Smadja, David; Gaussem, Pascale; Dorfmuller, Peter; Bieche, Ivan; Kambouchner, Marianne; Boscolo, Elisa; Humbert, Marc; Bischoff, Joyce; Israel-Biet, Dominique</t>
  </si>
  <si>
    <t>Smadja, D; Gaussem, P; Dorfmuller, P; Bieche, I; Kambouchner, M; Boscolo, E; Humbert, M; Bischoff, J; Israel-Biet, D</t>
  </si>
  <si>
    <t>WOS:000449650900181</t>
  </si>
  <si>
    <t>Simonneau, Gerald/ABE-6614-2020; Humbert, Marc/AAC-8459-2019; Sitbon, Olivier/I-3623-2019; Benza, Raymond/AAD-4885-2019</t>
  </si>
  <si>
    <t>olivier.sitbon@abc.ap-hop-paris.fr; marc.humbert@abc.aphp.fr; gerald.simonneau@abc.ap-hop-paris.fr; jean-christophe.lemarie@effi-stat.com; dave.miller@iconplc.com; erwan.muros-le-rouzic@actelion.com; virginie.gressin@actelion.com; david.badesch@ucdenver.edu; rbenza@wpahs.org; greg.elliott_MD@imail.org; frost@bcm.tmc.edu; mmcgoon@mayo.edu</t>
  </si>
  <si>
    <t>Universite Paris Saclay; Assistance Publique Hopitaux Paris (APHP); Hopital Universitaire Bicetre - APHP; ICON plc; Actelion Pharmaceuticals Ltd; Sanofi-Aventis; Sanofi France; Allegheny General Hospital; Intermountain Healthcare; Intermountain Medical Center; Baylor College of Medicine; Mayo Clinic</t>
  </si>
  <si>
    <t>[Sitbon, Olivier; Humbert, Marc; Simonneau, Gerald] Univ Paris Sud, Serv Pneumol, Hop Univ Bicetre, Le Kremlin Bicetre, France; [Lemarie, Jean-Christophe] Effi Stat, Paris, France; [Miller, Dave] ICON Late Phase &amp; Outcomes Res, Stat Anal, San Francisco, CA USA; [Le Rouzic, Erwan Muros] Actel Pharmaceut Ltd, Global Med Sci &amp; Commun, Allschwil, Switzerland; [Gressin, Virginie] Actel Pharmaceut France, Med Affairs, Paris, France; [Badesch, David] Div Pulm Sci &amp; Crit Care Med, Aurora, CO USA; [Badesch, David] Cardiol Colorado, Aurora, CO USA; [Benza, Raymond] Allegheny Gen Hosp, Div Cardiol, Pittsburgh, PA 15212 USA; [Elliott, C. Gregory] Intermt Med Ctr, Dept Med, Murray, UT USA; [Frost, Adaani] Baylor Coll Med, Dept Med, Houston, TX 77030 USA; [McGoon, Michael] Mayo Clin, Div Cardiovasc Dis, Rochester, MN USA</t>
  </si>
  <si>
    <t>External validation of the REVEAL risk score calculator for PAH survival: A French pulmonary hypertension network analysis</t>
  </si>
  <si>
    <t>Sitbon, Olivier; Humbert, Marc; Simonneau, Gerald; Lemarie, Jean-Christophe; Miller, Dave; Le Rouzic, Erwan Muros; Gressin, Virginie; Badesch, David; Benza, Raymond; Elliott, C. Gregory; Frost, Adaani; McGoon, Michael</t>
  </si>
  <si>
    <t>Sitbon, O; Humbert, M; Simonneau, G; Lemarie, JC; Miller, D; Le Rouzic, EM; Gressin, V; Badesch, D; Benza, R; Elliott, CG; Frost, A; McGoon, M</t>
  </si>
  <si>
    <t>WOS:000449650902749</t>
  </si>
  <si>
    <t>Humbert, Marc/AAC-8459-2019; GUIGNABERT, Christophe/G-3873-2013; van der Velden, J/D-1925-2016</t>
  </si>
  <si>
    <t>s.rain@vumc.nl; ml.handoko@vumc.nl; n.westerhof@vumc.nl; cris.dosremedios@sydney.edu.au; mjc.humbert@gmail.com; dorfmuller@gmail.com; guignabert@gmail.com; a.vonk@vumc.nl; j.vandervelden@vumc.nl; fs.deman@vumc.nl</t>
  </si>
  <si>
    <t>Vrije Universiteit Amsterdam; Vrije Universiteit Amsterdam; University of Sydney; Institut National de la Sante et de la Recherche Medicale (Inserm); Universite Paris Saclay</t>
  </si>
  <si>
    <t>[Rain, Silvia; Handoko, M. Louis; Vonk-Noordegraaf, Anton; de Man, Frances S.] Vrije Univ Amsterdam, Med Ctr, Pulmonol, Amsterdam, Netherlands; [Westerhof, Nico; van der Velden, Jolanda] Vrije Univ Amsterdam, Med Ctr, Physiol, Amsterdam, Netherlands; [dos Remedios, Cris] Univ Sydney, Anat, Sydney, NSW, Australia; [Humbert, Marc; Dorfmuller, Peter; Guignabert, Christophe] Paris Sud Univ, INSERM, U999, Paris, France</t>
  </si>
  <si>
    <t>Pulmonary hypertension; Extrapulmonary impact; Cell biology</t>
  </si>
  <si>
    <t>Increased right ventricular cardiomyocyte stiffness in patients with pulmonary arterial hypertension</t>
  </si>
  <si>
    <t>Rain, Silvia; Handoko, M. Louis; Westerhof, Nico; dos Remedios, Cris; Humbert, Marc; Dorfmuller, Peter; Guignabert, Christophe; Vonk-Noordegraaf, Anton; van der Velden, Jolanda; de Man, Frances S.</t>
  </si>
  <si>
    <t>Rain, S; Handoko, ML; Westerhof, N; dos Remedios, C; Humbert, M; Dorfmuller, P; Guignabert, C; Vonk-Noordegraaf, A; van der Velden, J; de Man, FS</t>
  </si>
  <si>
    <t>WOS:000449650902747</t>
  </si>
  <si>
    <t>Montani, David/0000-0002-9358-6922; Wharton, John/0000-0001-8110-2575; Adcock, Ian/0000-0003-2101-8843</t>
  </si>
  <si>
    <t>Perros, Frédéric/N-6921-2017; Humbert, Marc/AAC-8459-2019; David, Montani/I-6885-2019</t>
  </si>
  <si>
    <t>l.price@imperial.ac.uk; frederic.perros@gmail.com; d.shao@imperial.ac.uk; j.zhu@imperial.ac.uk; davidmontani@gmail.com; dorfmuller@gmail.com; j.wharton@imperial.ac.uk; marc.humbert@abc.aphp.fr; ian.adcock@imperial.ac.uk; s.wort@imperial.ac.uk</t>
  </si>
  <si>
    <t>Royal Brompton Hospital; Assistance Publique Hopitaux Paris (APHP); Hopital Universitaire Bicetre - APHP; Hopital Universitaire Antoine-Beclere - APHP; Royal Brompton Hospital; Imperial College London; Imperial College London</t>
  </si>
  <si>
    <t>[Price, Laura; Shao, Dongmin; Wort, John] Royal Brompton Hosp, Dept Pulm Hypertens, London SW3 6NP, England; [Perros, Frederic; Montani, David; Dorfmuller, Peter; Humbert, Marc] Hop Univ Paris Sud, Ctr Natl Reference Hypertens Pulm Severe, Serv Pneumol &amp; Reanimat Resp, Hop Antoine Beclere,AP HP, 157 Rue Porte Tr, F-92140 Paris, France; [Zhu, Jie] Royal Brompton Hosp, Dept Histol, London SW3 6NP, England; [Wharton, John] Imperial Coll London, Hammersmith Hosp, Sect Expt Med &amp; Toxicol, London W12 0NN, England; [Adcock, Ian] Imperial Coll London, Fac Med, Natl Heart &amp; Lung Inst, Cell &amp; Mol Biol Airways Dis Sect, London SW3 6LY, England</t>
  </si>
  <si>
    <t>Pulmonary hypertension; Inflammation; Animal models</t>
  </si>
  <si>
    <t>Dexamethasone induces anti-remodelling effects in rat pulmonary arterial smooth muscle cells</t>
  </si>
  <si>
    <t>Price, Laura; Perros, Frederic; Shao, Dongmin; Zhu, Jie; Montani, David; Dorfmuller, Peter; Wharton, John; Humbert, Marc; Adcock, Ian; Wort, John</t>
  </si>
  <si>
    <t>Price, L; Perros, F; Shao, DM; Zhu, J; Montani, D; Dorfmuller, P; Wharton, J; Humbert, M; Adcock, I; Wort, J</t>
  </si>
  <si>
    <t>WOS:000449650904136</t>
  </si>
  <si>
    <t>David, Montani/I-6885-2019; Mussot, S/AAL-7512-2020; Lambrecht, Bart/H-4420-2017; Perros, Frédéric/N-6921-2017; Humbert, Marc/AAC-8459-2019; Hammad, Hamida/J-9391-2015; Cohen-Kaminsky, Sylvia/E-4837-2014</t>
  </si>
  <si>
    <t>frederic.perros@gmail.com; peter.dorfmuller@u-psud.fr; davidmontani@gmail.com; hamida.hammad@ugent.be; wim.waelput@uzbrussel.be; barbara.girerd@abc.aphp.fr; ncsray@gmail.com; o.mercier@ccml.fr; sacha.mussotmd@gmail.com; sylvia.cohen-kaminsky@u-psud.fr; marc.humbert@abc.aphp.fr; bart.lambrecht@ugent.be</t>
  </si>
  <si>
    <t>Ghent University; Ghent University Hospital; Ghent University; Ghent University Hospital; Universite Paris Saclay; Assistance Publique Hopitaux Paris (APHP); Hopital Universitaire Antoine-Beclere - APHP; Institut National de la Sante et de la Recherche Medicale (Inserm); Universite Paris Saclay; Hopital Marie Lannelongue; University of Antwerp</t>
  </si>
  <si>
    <t>[Perros, Frederic; Hammad, Hamida; Lambrecht, Bart N.] Univ Hosp, Lab Immunoregulat, B-9000 Ghent, Belgium; [Perros, Frederic; Hammad, Hamida; Lambrecht, Bart N.] Univ Hosp, Dept Resp Med, B-9000 Ghent, Belgium; [Perros, Frederic; Dorfmuller, Peter; Montani, David; Girerd, Barbara; Raymond, Nicolas; Mercier, Olaf; Mussot, Sacha; Cohen-Kaminsky, Sylvia; Humbert, Marc] Univ Paris Sud, Fac Med, F-94276 Le Kremlin Bicetre, France; [Perros, Frederic; Dorfmuller, Peter; Montani, David; Girerd, Barbara; Cohen-Kaminsky, Sylvia; Humbert, Marc] Hop Antoine Beclere, AP HP, Serv Pneumol &amp; Reanimat Resp, Ctr Natl Reference Hypertens Pulm Severe, F-92140 Clamart, France; [Perros, Frederic; Dorfmuller, Peter; Montani, David; Girerd, Barbara; Raymond, Nicolas; Mercier, Olaf; Mussot, Sacha; Cohen-Kaminsky, Sylvia; Humbert, Marc] INSERM, Pulm Hypertens Pathophysiol &amp; Novel Therapies, LabEx LERMIT, UMR S 999, F-92350 Le Plessis Robinson, France; [Perros, Frederic; Dorfmuller, Peter; Montani, David; Girerd, Barbara; Raymond, Nicolas; Mercier, Olaf; Mussot, Sacha; Cohen-Kaminsky, Sylvia; Humbert, Marc] Ctr Chirurg Marie Lannelongue, Res Dept, F-92350 Le Plessis Robinson, France; [Waelput, Wim] Univ Hosp Antwerp, Dept Pathol, B-2650 Edegem, Belgium</t>
  </si>
  <si>
    <t>Pulmonary hypertension; Inflammation; Immunology</t>
  </si>
  <si>
    <t>Pulmonary lymphoid neogenesis in idiopathic pulmonary arterial hypertension</t>
  </si>
  <si>
    <t>Perros, Frederic; Dorfmuller, Peter; Montani, David; Hammad, Hamida; Waelput, Wim; Girerd, Barbara; Raymond, Nicolas; Mercier, Olaf; Mussot, Sacha; Cohen-Kaminsky, Sylvia; Humbert, Marc; Lambrecht, Bart N.</t>
  </si>
  <si>
    <t>Perros, F; Dorfmuller, P; Montani, D; Hammad, H; Waelput, W; Girerd, B; Raymond, N; Mercier, O; Mussot, S; Cohen-Kaminsky, S; Humbert, M; Lambrecht, BN</t>
  </si>
  <si>
    <t>WOS:000309034500003</t>
  </si>
  <si>
    <t>009OG</t>
  </si>
  <si>
    <t>10.1183/09031936.00094112</t>
  </si>
  <si>
    <t>Miller, Dave/0000-0003-2947-152X; Humbert, Marc/0000-0003-0703-2892</t>
  </si>
  <si>
    <t>Gomberg-Maitland, Mardi/N-7158-2019; Humbert, Marc/AAC-8459-2019</t>
  </si>
  <si>
    <t>dave.miller@iconplc.com</t>
  </si>
  <si>
    <t>Miller, DP (corresponding author), ICON Late Phase &amp; Outcomes Res, 188 Embarcadero,Suite 200, San Francisco, CA 94105 USA.</t>
  </si>
  <si>
    <t>ICON plc; University of Chicago; University of Chicago Medical Center; Universite Paris Saclay; Assistance Publique Hopitaux Paris (APHP); Hopital Universitaire Ambroise-Pare - APHP; Hopital Universitaire Bicetre - APHP; Institut National de la Sante et de la Recherche Medicale (Inserm); Hopital Universitaire Antoine-Beclere - APHP</t>
  </si>
  <si>
    <t>[Miller, Dave P.] ICON Late Phase &amp; Outcomes Res, San Francisco, CA 94105 USA; [Gomberg-Maitland, Mardi] Univ Chicago, Med Ctr, Chicago, IL 60637 USA; [Humbert, Marc] Univ Paris 11, INSERM U999, Hop Bicetre, APHP, Le Kremlin Bicetre, France</t>
  </si>
  <si>
    <t>PULMONARY ARTERIAL-HYPERTENSION</t>
  </si>
  <si>
    <t>Survivor bias and risk assessment</t>
  </si>
  <si>
    <t>Miller, Dave P.; Gomberg-Maitland, Mardi; Humbert, Marc</t>
  </si>
  <si>
    <t>Miller, DP; Gomberg-Maitland, M; Humbert, M</t>
  </si>
  <si>
    <t>WOS:000449650900180</t>
  </si>
  <si>
    <t>Humbert, Marc/AAC-8459-2019; Benza, Raymond/AAD-4885-2019; Simonneau, Gerald/ABE-6614-2020; Sitbon, Olivier/I-3623-2019</t>
  </si>
  <si>
    <t>jennifergillman@aol.com; RBENZA@wpahs.org; frost@bcm.edu; David.Badesch@ucdenver.edu; Greg.Elliott_MD@imail.org; olivier.sitbon@abc.ap-hop-paris.fr; gerald.simonneau@abc.ap-hop-paris.fr; dave.miller@iconplc.com; erwan.muros@actelion.com; marc.humbert@abc.aphp.fr</t>
  </si>
  <si>
    <t>Mayo Clinic; Allegheny General Hospital; Baylor College of Medicine; University of Colorado System; University of Colorado Anschutz Medical Campus; Children's Hospital Colorado; Utah System of Higher Education; University of Utah; Universite Paris Saclay; Institut National de la Sante et de la Recherche Medicale (Inserm); ICON plc; Actelion Pharmaceuticals Ltd</t>
  </si>
  <si>
    <t>[McGoon, Michael] Mayo Clin, Div Cardiovasc Dis, Rochester, MN USA; [Benza, Raymond] Allegheny Gen Hosp, Div Cardiol, Pittsburgh, PA 15212 USA; [Frost, Adaani] Baylor Coll Med, Dept Med, Houston, TX 77030 USA; [Badesch, David] Univ Colorado Denver, Div Pulm Sci &amp; Crit Care Med &amp; Cardiol, Aurora, CO USA; [Elliott, C. Gregory] Intermt Med Ctr, Dept Med, Murray, KY USA; [Elliott, C. Gregory] Univ Utah, Dept Med, Salt Lake City, UT 84112 USA; [Sitbon, Olivier; Simonneau, Gerald; Humbert, Marc] Univ Paris Sud, Serv Pneumol, INSERM, U999, Le Kremlin Bicetre, France; [Miller, Dave] ICON Late Phase &amp; Outcomes Res, Stat Anal, San Francisco, CA USA; [Le Rouzic, Erwan Muros] Actel Pharmaceut Ltd, Epidemiol, Allschwil, Switzerland</t>
  </si>
  <si>
    <t>External validation of the French predictive model to estimate PAH survival: A REVEAL analysis</t>
  </si>
  <si>
    <t>McGoon, Michael; Benza, Raymond; Frost, Adaani; Badesch, David; Elliott, C. Gregory; Sitbon, Olivier; Simonneau, Gerald; Miller, Dave; Le Rouzic, Erwan Muros; Humbert, Marc</t>
  </si>
  <si>
    <t>McGoon, M; Benza, R; Frost, A; Badesch, D; Elliott, CG; Sitbon, O; Simonneau, G; Miller, D; Le Rouzic, EM; Humbert, M</t>
  </si>
  <si>
    <t>WOS:000449650900619</t>
  </si>
  <si>
    <t>Support: 1) International Re-integration Grants (IRG), FP7-PEOPLE-2010-RG; 2) PFIZER Investigator-Initiated Research (IIR).</t>
  </si>
  <si>
    <t>International Re-integration Grants (IRG), FP7-PEOPLE-2010-RG; PFIZER Investigator-Initiated Research (IIR)</t>
  </si>
  <si>
    <t>Similowski, Thomas/GQQ-9468-2022; Simonneau, Gerald/ABE-6614-2020; Sitbon, Olivier/I-3623-2019; Humbert, Marc/AAC-8459-2019; Laveneziana, Pierantonio/GWC-2028-2022; Savale, Laurent/AAJ-9781-2020; David, Montani/I-6885-2019</t>
  </si>
  <si>
    <t>jh-barbara@wanadoo.fr; gilles.garcia@abc.aphp.fr; christian.straus@psl.aphp.fr; elisearnaudmacari@yahoo.fr; xavier.jais@abc.aphp.fr; davidmontani@gmail.com; laurent.savale@gmail.com; olivier.sitbon@abc.aphp.fr; gerald.simonneau@abc.aphp.fr; marc.humbert@abc.aphp.fr; thomas.similowski@psl.aphp.fr; pier_lav@yahoo.it</t>
  </si>
  <si>
    <t>Sorbonne Universite; Universite Paris Saclay; Hopital Marie Lannelongue; Institut National de la Sante et de la Recherche Medicale (Inserm); Universite Paris Saclay; Assistance Publique Hopitaux Paris (APHP); Hopital Universitaire Antoine-Beclere - APHP; Assistance Publique Hopitaux Paris (APHP); Hopital Universitaire Antoine-Beclere - APHP; Assistance Publique Hopitaux Paris (APHP); Hopital Universitaire Pitie-Salpetriere - APHP; Sorbonne Universite</t>
  </si>
  <si>
    <t>[Joureau-Harasse, Barbara; Straus, Christian; Similowski, Thomas; Laveneziana, Pierantonio] Univ Paris 06, Equipe Rech ER UPMC 10, Lab Physiopathol Resp, Fac Med Pierre &amp; Marie Curie, F-75013 Paris, France; [Garcia, Gilles; Macari, Elise Arnaud; Jais, Xavier; Montani, David; Savale, Laurent; Sitbon, Olivier; Simonneau, Gerald; Humbert, Marc; Laveneziana, Pierantonio] Univ Paris Sud, Fac Med, F-94276 Le Kremlin Bicetre, France; [Garcia, Gilles; Macari, Elise Arnaud; Jais, Xavier; Montani, David; Savale, Laurent; Sitbon, Olivier; Simonneau, Gerald; Humbert, Marc; Laveneziana, Pierantonio] INSERM, U999, Ctr Chirurg Marie Lannelongue, F-92350 Le Plessis Robinson, France; [Garcia, Gilles] Hop Antoine Beclere, AP HP, Serv Physiol, F-92140 Clamart, France; [Macari, Elise Arnaud; Jais, Xavier; Montani, David; Savale, Laurent; Sitbon, Olivier; Simonneau, Gerald; Humbert, Marc] Hop Antoine Beclere, AP HP, Ctr Natl Reference Hypertens Pulm Severe, Serv Pneumol &amp; Reanimat Resp, F-92140 Clamart, France; [Similowski, Thomas; Laveneziana, Pierantonio] Grp Hosp Pitie Salpetriere, AP HP, Serv Pneumol &amp; Reanimat Med, F-75013 Paris, France</t>
  </si>
  <si>
    <t>Exercise; Pulmonary hypertension; Respiratory muscle</t>
  </si>
  <si>
    <t>Inspiratory muscle constraint during exercise in patients with pulmonary arterial hypertension</t>
  </si>
  <si>
    <t>Joureau-Harasse, Barbara; Garcia, Gilles; Straus, Christian; Macari, Elise Arnaud; Jais, Xavier; Montani, David; Savale, Laurent; Sitbon, Olivier; Simonneau, Gerald; Humbert, Marc; Similowski, Thomas; Laveneziana, Pierantonio</t>
  </si>
  <si>
    <t>Joureau-Harasse, B; Garcia, G; Straus, C; Macari, EA; Jaïs, X; Montani, D; Savale, L; Sitbon, O; Simonneau, G; Humbert, M; Similowski, T; Laveneziana, P</t>
  </si>
  <si>
    <t>WOS:000449650901311</t>
  </si>
  <si>
    <t>Simonneau, Gerald/ABE-6614-2020; David, Montani/I-6885-2019; Günther, Sven/ACV-7191-2022; Humbert, Marc/AAC-8459-2019; GUNTHER, Sven/P-4177-2017</t>
  </si>
  <si>
    <t>svenguenther@arcor.de; olaf.mercier@gmail.com; xavier.jais@abc.aphp.fr; davidmontani@gmail.com; sophie.maitre@abc.aphp.fr; s.daviot@ccml.fr; v.thomasdemontprevil@ccml.fr; fadel@ccml.com; marc.humbert@abc.aphp.fr; gerald.simonneau@abc.ap-hop-paris.fr; pdartevelle@ccml.com; peter.dorfmuller@u-psud.fr</t>
  </si>
  <si>
    <t>Assistance Publique Hopitaux Paris (APHP); Hopital Universitaire Antoine-Beclere - APHP; Hopital Marie Lannelongue; Assistance Publique Hopitaux Paris (APHP); Hopital Universitaire Antoine-Beclere - APHP; Hopital Marie Lannelongue; Hopital Marie Lannelongue; Universite Paris Saclay; Institut National de la Sante et de la Recherche Medicale (Inserm); Universite Paris Saclay; Hopital Marie Lannelongue</t>
  </si>
  <si>
    <t>[Gunther, Sven; Jais, Xavier; Montani, David; Humbert, Marc; Simonneau, Gerald] Hop Antoine Beclere, Dept Pulmonol, F-92140 Clamart, France; [Mercier, Olaf; Fadel, Elie; Dartevelle, Philippe] Ctr Chirurg Marie Lannelongue, Dept Thorac Surg, F-92350 Le Plessis Robinson, France; [Maitre, Sophie] Hop Antoine Beclere, Dept Radiol, F-92140 Clamart, France; [Paul, Jean-Francois] Ctr Chirurg Marie Lannelongue, Dept Radiol, F-92350 Le Plessis Robinson, France; [de Montpreville, Vincent; Dorfmueller, Peter] Ctr Chirurg Marie Lannelongue, Dept Pathol, F-92350 Le Plessis Robinson, France; [Gunther, Sven; Mercier, Olaf; Jais, Xavier; Montani, David; Maitre, Sophie; Fadel, Elie; Humbert, Marc; Simonneau, Gerald; Dartevelle, Philippe; Dorfmueller, Peter] Univ Paris Sud, Fac Med, F-94276 Le Kremlin Bicetre, France; [Gunther, Sven; Mercier, Olaf; Jais, Xavier; Montani, David; Fadel, Elie; Humbert, Marc; Simonneau, Gerald; Dartevelle, Philippe; Dorfmueller, Peter] Ctr Chirurg Marie Lannelongue, INSERM, U999, Hypertens Arterielle Pulm Physiopathol &amp; Innovat, F-92350 Le Plessis Robinson, France</t>
  </si>
  <si>
    <t>Pulmonary hypertension; Embolism; Circulation</t>
  </si>
  <si>
    <t>Involvement of the pulmonary micro-vasculature in chronic thromboembolic pulmonary hypertension (CTEPH)</t>
  </si>
  <si>
    <t>Gunther, Sven; Mercier, Olaf; Jais, Xavier; Montani, David; Maitre, Sophie; Paul, Jean-Francois; de Montpreville, Vincent; Fadel, Elie; Humbert, Marc; Simonneau, Gerald; Dartevelle, Philippe; Dorfmueller, Peter</t>
  </si>
  <si>
    <t>Günther, S; Mercier, O; Jais, X; Montani, D; Maitre, S; Paul, JF; de Montpreville, V; Fadel, E; Humbert, M; Simonneau, G; Dartevelle, P; Dorfmüller, P</t>
  </si>
  <si>
    <t>WOS:000308035100020</t>
  </si>
  <si>
    <t>995TF</t>
  </si>
  <si>
    <t>10.1002/art.34501</t>
  </si>
  <si>
    <t>Drs. Gunther and Montani's work was supported by a grant from Association HTAPFrance. Dr. Dorfmuller has received speaking fees from Actelion (less than $10,000). Dr. Savale has received consulting fees, speaking fees, and/or honoraria from Pfizer, Actelion, Eli Lilly, and GlaxoSmithKline (less than $10,000 each). Dr. Sitbon has received consulting fees, speaking fees, and/or honoraria from Actelion, Bayer HealthCare, GlaxoSmithKline, Eli Lilly, Pfizer, and United Therapeutics (less than $10,000 each). Drs. Simonneau and Humbert have received consulting fees, speaking fees, and/or honoraria from Actelion, GlaxoSmithKline, Eli Lilly, Novartis, Pfizer, and United Therapeutics (less than $10,000 each). Dr. Montani has received consulting fees, speaking fees, and/or honoraria from Actelion, Bayer, GlaxoSmithKline, Eli Lilly, Novartis, Pfizer, and United Therapeutics (less than $10,000 each).</t>
  </si>
  <si>
    <t>Association HTAPFrance; Actelion; Pfizer(Pfizer); Eli Lilly(Eli Lilly); GlaxoSmithKline(GlaxoSmithKline); Bayer HealthCare(Bayer AGBayer Healthcare Pharmaceuticals); United Therapeutics; Novartis(Novartis); Bayer(Bayer AG)</t>
  </si>
  <si>
    <t>Association HTAPFrance; Actelion; Pfizer; Eli Lilly; GlaxoSmithKline; Bayer HealthCare; United Therapeutics; Novartis; Bayer</t>
  </si>
  <si>
    <t>SITBON, Olivier/0000-0002-1942-1951; Dorfmuller, Peter/0000-0003-2499-6829; GUNTHER, Sven/0000-0001-8388-6131; Humbert, Marc/0000-0003-0703-2892; JAIS, XAVIER/0000-0002-4104-7994; Montani, David/0000-0002-9358-6922; Mercier, Olaf/0000-0002-4760-6267; Seferian, Andrei/0000-0003-1007-433X</t>
  </si>
  <si>
    <t>Simonneau, Gerald/ABE-6614-2020; David, Montani/I-6885-2019; Savale, Laurent/AAJ-9781-2020; Günther, Sven/ACV-7191-2022; Sitbon, Olivier/I-3623-2019; GUNTHER, Sven/P-4177-2017; Humbert, Marc/AAC-8459-2019</t>
  </si>
  <si>
    <t>Montani, D (corresponding author), Univ Paris Sud, Serv Pneumol &amp; Soins Intensifs Thorac, Ctr Reference Hypertens Pulm Severe, Hop Bicetre,AP HP, 78 Rue Gen Leclerc, F-94270 Le Kremlin Bicetre, France.</t>
  </si>
  <si>
    <t>Universite Paris Saclay; Assistance Publique Hopitaux Paris (APHP); Hopital Universitaire Antoine-Beclere - APHP; Hopital Universitaire Bicetre - APHP; Hopital Marie Lannelongue; Universite Paris Saclay; Institut National de la Sante et de la Recherche Medicale (Inserm); Universite Paris Saclay; Assistance Publique Hopitaux Paris (APHP); Hopital Universitaire Antoine-Beclere - APHP; Universite Paris Cite; Assistance Publique Hopitaux Paris (APHP); Universite Paris Cite; Hopital Universitaire Cochin - APHP; Hopital Marie Lannelongue</t>
  </si>
  <si>
    <t>[Montani, D.] Univ Paris Sud, Serv Pneumol &amp; Soins Intensifs Thorac, Ctr Reference Hypertens Pulm Severe, Hop Bicetre,AP HP, F-94270 Le Kremlin Bicetre, France; [Guenther, S.; Jais, X.; Seferian, A.; Savale, L.; Sitbon, O.; Simonneau, G.; Humbert, M.; Montani, D.] Ctr Chirurg Marie Lannelongue, INSERM, U999, Le Plessis Robinson, France; [Maitre, S.] Univ Paris Sud, Le Kremlin Bicetre, France; [Maitre, S.] Hop Antoine Beclere, AP HP, Clamart, France; [Berezne, A.; Mouthon, L.] Univ Paris 05, Paris, France; [Berezne, A.; Mouthon, L.] Hop Cochin, AP HP, F-75674 Paris, France; [Dorfmueller, P.; Mercier, O.; Fadel, E.] Ctr Chirurg Marie Lannelongue, Le Plessis Robinson, France</t>
  </si>
  <si>
    <t>Objective. Pulmonary venoocclusive disease (PVOD) is an uncommon form of pulmonary hypertension (PH) characterized by obstruction of small pulmonary veins. Pulmonary venous involvement has been reported in pathologic assessment of patients with systemic sclerosis (SSc) presenting with precapillary PH. High-resolution computed tomography (HRCT) of the chest is a noninvasive diagnostic tool used to screen for PVOD. No HRCT data are available on SSc patients with precapillary PH. We undertook this study to evaluate the frequency and effect on prognosis of HRCT signs of PVOD in SSc patients with precapillary PH. Methods. We reviewed chest HRCT data from 26 SSc patients with precapillary PH and 28 SSc patients without pulmonary arterial hypertension (PAH) or interstitial lung disease (ILD). Results. The radiographic triad of HRCT signs of PVOD (lymph node enlargement [57.7% versus 3.6%], centrilobular ground-glass opacities [46.2% versus 10.7%], and septal lines [88.5% versus 7.1%]) was significantly more frequent in SSc patients with precapillary PH than in SSc patients without PAH or ILD (all P &lt; 0.005). Indeed, 61.5% of SSc patients with precapillary PH had &gt;= 2 of these signs. Cardiomegaly (P &lt; 0.0001), pulmonary artery enlargement (P &lt; 0.0001), and pericardial effusion (P &lt; 0.0005) were also significantly more frequent in SSc patients with precapillary PH. Pulmonary venous involvement was histologically confirmed in 2 patients with radiographic signs of PVOD. The presence of &gt;= 2 radiographic signs of PVOD was associated with the occurrence of pulmonary edema after initiation of PAH-specific therapy (in 8 of 16 patients) and with more rapid progression from diagnosis of PH to death. Conclusion. HRCT signs of PVOD are frequently observed in SSc patients with precapillary PH, correlated with histologic assessment, and were associated with a high risk of pulmonary edema.</t>
  </si>
  <si>
    <t>CALCIUM-CHANNEL BLOCKERS; LONG-TERM RESPONSE; ARTERIAL-HYPERTENSION; SYSTEMIC-SCLEROSIS; RISK-FACTORS; EDEMA; DEATH; CT; FREQUENCY; VARIANT</t>
  </si>
  <si>
    <t>Computed Tomography Findings of Pulmonary Venoocclusive Disease in Scleroderma Patients Presenting With Precapillary Pulmonary Hypertension</t>
  </si>
  <si>
    <t>Guenther, S.; Jais, X.; Maitre, S.; Berezne, A.; Dorfmueller, P.; Seferian, A.; Savale, L.; Mercier, O.; Fadel, E.; Sitbon, O.; Mouthon, L.; Simonneau, G.; Humbert, M.; Montani, D.</t>
  </si>
  <si>
    <t>Günther, S; Jaïs, X; Maitre, S; Bérezné, A; Dorfmüller, P; Seferian, A; Savale, L; Mercier, O; Fadel, E; Sitbon, O; Mouthon, L; Simonneau, G; Humbert, M; Montani, D</t>
  </si>
  <si>
    <t>WOS:000449650904252</t>
  </si>
  <si>
    <t>Funded by: Novartis Pharma SAS.</t>
  </si>
  <si>
    <t>gilles.garcia@abc.aphp.fr; antoine.magnan@univ-nantes.fr; r-chiron@chu-montpellier.fr; pierre-Olivier.Girodet@pharmaco.u-bordeaux2.fr; vincent.le_gros@novartis.com; marc.humbert@abc.aphp.fr</t>
  </si>
  <si>
    <t>Universite Paris Saclay; Assistance Publique Hopitaux Paris (APHP); Hopital Universitaire Antoine-Beclere - APHP; Institut National de la Sante et de la Recherche Medicale (Inserm); Nantes Universite; CHU de Nantes; Universite de Montpellier; CHU de Montpellier; Universite de Bordeaux; Novartis</t>
  </si>
  <si>
    <t>[Garcia, Gilles; Humbert, Marc] Univ Paris Sud 11, Hop Antoine Beclere, Serv Pneumol, F-92140 Clamart, France; [Magnan, Antoine] CHU Nantes, Inst Thorax, Serv Pneumol, F-44393 Nantes, France; [Chiron, Raphael] Hop Arnaud Villeneuve, Serv Malad Resp, F-34295 Montpellier, France; [Girodet, Pierre-Olivier] Univ Bordeaux, Ctr Rech Cardiothorac, Dept Pharmacol, Bordeaux, France; [Le Gros, Vincent] Novartis Pharma SAS, CR&amp;D, F-92500 Rueil Malmaison, France</t>
  </si>
  <si>
    <t>Asthma - management; Asthma - mechanism; Treatments</t>
  </si>
  <si>
    <t>A proof-of-concept randomized-controlled trial of omalizumab in patients with severe difficult to control nonatopic asthma</t>
  </si>
  <si>
    <t>Garcia, Gilles; Magnan, Antoine; Chiron, Raphael; Girodet, Pierre-Olivier; Le Gros, Vincent; Humbert, Marc</t>
  </si>
  <si>
    <t>Garcia, G; Magnan, A; Chiron, R; Girodet, PO; Le Gros, V; Humbert, M</t>
  </si>
  <si>
    <t>WOS:000449650902752</t>
  </si>
  <si>
    <t>GUIGNABERT, Christophe/G-3873-2013; TU, Ly/G-4035-2013; Humbert, Marc/AAC-8459-2019; Perros, Frédéric/N-6921-2017</t>
  </si>
  <si>
    <t>ngambaryan@gmail.com; christophe.guignabert@inserm.fr; ly.tu@inserm.fr; frederic.perros@gmail.com; ian.adcock@imperial.ac.uk; marc.humbert@abc.aphp.fr; s.wort@imperial.ac.uk</t>
  </si>
  <si>
    <t>Universite Paris Saclay; Hopital Marie Lannelongue; Institut National de la Sante et de la Recherche Medicale (Inserm); Imperial College London</t>
  </si>
  <si>
    <t>[Gambaryan, Natalia; Guignabert, Christophe; Tu, Ly; Perros, Frederic; Humbert, Marc] Univ Paris Sud 11, Ctr Chirurg Marie Lannelongue, INSERM, U999, F-92350 Le Plessis Robinson, France; [Adcock, Ian; Wort, Stephen] Imperial Coll, Natl Heart &amp; Lung Inst, Dept Crit Care, London, England</t>
  </si>
  <si>
    <t>Epigenetics; Inflammation; Pulmonary hypertension</t>
  </si>
  <si>
    <t>The role of bromodomain-containing protein 4 in the constitutive activation of nuclear factor-kappa B in endothelial cells from patients with pulmonary arterial hypertension</t>
  </si>
  <si>
    <t>Gambaryan, Natalia; Guignabert, Christophe; Tu, Ly; Perros, Frederic; Adcock, Ian; Humbert, Marc; Wort, Stephen</t>
  </si>
  <si>
    <t>Gambaryan, N; Guignabert, C; Tu, L; Perros, F; Adcock, I; Humbert, M; Wort, S</t>
  </si>
  <si>
    <t>WOS:000449650904137</t>
  </si>
  <si>
    <t>Inserm, Paris-Sud, LabEx LERMIT, FRSR.</t>
  </si>
  <si>
    <t>Inserm(Institut National de la Sante et de la Recherche Medicale (Inserm)); Paris-Sud; LabEx LERMIT; FRSR</t>
  </si>
  <si>
    <t>Inserm; Paris-Sud; LabEx LERMIT; FRSR</t>
  </si>
  <si>
    <t>TU, Ly/G-4035-2013; Perros, Frédéric/N-6921-2017; GUIGNABERT, Christophe/G-3873-2013; Humbert, Marc/AAC-8459-2019; Dumas, Sébastien/AAA-2056-2021; Cohen-Kaminsky, Sylvia/E-4837-2014</t>
  </si>
  <si>
    <t>sebastien.dumas.etu@gmail.com; frederic.perros@gmail.com; catherine.rucker-martin@u-psud.fr; Ly.Tu@inserm.fr; christophe.guignabert@inserm.fr; elodie.gouadon@u-psud.fr; peter.dorfmuller@u-psud.fr; marc.humbert@abc.aphp.fr; sylvia.cohen-kaminsky@u-psud.fr</t>
  </si>
  <si>
    <t>Universite Paris Saclay; Universite Paris Saclay; Institut National de la Sante et de la Recherche Medicale (Inserm); Universite Paris Saclay; Hopital Marie Lannelongue; Assistance Publique Hopitaux Paris (APHP); Hopital Universitaire Antoine-Beclere - APHP</t>
  </si>
  <si>
    <t>[Dumas, Sebastien J.; Perros, Frederic; Rucker-Martin, Catherine; Tu, Ly; Guignabert, Christophe; Gouadon, Elodie; Dorfmueller, Peter; Humbert, Marc; Cohen-Kaminsky, Sylvia] Univ Paris Sud, Fac Med, Le Kremlin Bicetre, France; [Dumas, Sebastien J.] Univ Paris Sud, Fac Pharm, Chatenay Malabry, France; [Dumas, Sebastien J.; Perros, Frederic; Rucker-Martin, Catherine; Tu, Ly; Guignabert, Christophe; Gouadon, Elodie; Dorfmueller, Peter; Humbert, Marc; Cohen-Kaminsky, Sylvia] INSERM, UMR S 999, Le Plessis Robinson, France; [Dumas, Sebastien J.; Perros, Frederic; Rucker-Martin, Catherine; Tu, Ly; Guignabert, Christophe; Gouadon, Elodie; Dorfmueller, Peter; Humbert, Marc; Cohen-Kaminsky, Sylvia] Ctr Chirurg Marie Lannelongue, Dept Rech Med, Le Plessis Robinson, France; [Humbert, Marc] Hop Antoine Beclere, AP HP, Serv Pneumol &amp; Reanimat Resp, Ctr Natl Reference Hypertens Pulm, Clamart, France</t>
  </si>
  <si>
    <t>Pulmonary hypertension; Treatments</t>
  </si>
  <si>
    <t>NMDA-type glutamate receptors contribute to the development of pulmonary hypertension</t>
  </si>
  <si>
    <t>Dumas, Sebastien J.; Perros, Frederic; Rucker-Martin, Catherine; Tu, Ly; Guignabert, Christophe; Gouadon, Elodie; Dorfmueller, Peter; Humbert, Marc; Cohen-Kaminsky, Sylvia</t>
  </si>
  <si>
    <t>Dumas, SJ; Perros, F; Rücker-Martin, C; Tu, L; Guignabert, C; Gouadon, E; Dorfmüller, P; Humbert, M; Cohen-Kaminsky, S</t>
  </si>
  <si>
    <t>WOS:000449650902826</t>
  </si>
  <si>
    <t>Nunes, Hilario/AAM-8127-2020; marchand-adam, sylvain/MTA-8367-2025; David, Montani/I-6885-2019; Launay, David/JDM-2536-2023; Humbert, Marc/AAC-8459-2019</t>
  </si>
  <si>
    <t>vincent.cottin@chu-lyon.fr; martine.reynaud@ap-hm.fr; julie.traclet@chu-lyon.fr; davidmontani@gmail.com; hilario.nunes@avc.aphp.fr; benoit.wallaert@chru-lille.fr; BCamara@chu-grenoble.fr; chahera.khouatra@chu-lyon.fr; launayd@gmail.com; s.marchandadam@univ-tours.fr; dominique.israel-biet@egp.aphp.fr; magnier-r@chu-caen.fr; tetu.l@chu-toulouse.fr; sabrina.zeghmar@chu-lyon.fr; kiaslili@yahoo.fr; marc.humbert@abc.aphp.fr; jean-francois.cordier@chu-lyon.fr</t>
  </si>
  <si>
    <t>CHU Lyon; Aix-Marseille Universite; Assistance Publique-Hopitaux de Marseille; Assistance Publique Hopitaux Paris (APHP); Hopital Universitaire Antoine-Beclere - APHP; Assistance Publique Hopitaux Paris (APHP); Hopital Universitaire Avicenne - APHP; Universite de Lille; CHU Lille; CHU Grenoble Alpes; Universite de Lille; CHU Lille; CHU Tours; Universite Paris Cite; Assistance Publique Hopitaux Paris (APHP); Hopital Universitaire Europeen Georges-Pompidou - APHP; CHU de Caen NORMANDIE; Universite de Caen Normandie; CHU de Toulouse; Universite de Toulouse; Universite Toulouse III - Paul Sabatier</t>
  </si>
  <si>
    <t>[Cottin, Vincent; Traclet, Julie; Khouatra, Chahera; Zeghmar, Sabrina; Kiakouama, Lize; Cordier, Jean-Francois] Hosp Civils Lyon, Resp Med, Lyon, France; [Reynaud-Gaubert, Martine] AP HM, Resp Med, Marseille, France; [Montani, David; Humbert, Marc] AP HP, Resp Med, Clamart, France; [Nunes, Hilario] AP HP, Resp Med, Bobigny, France; [Wallaert, Benoit] CHRU, Resp Med, Lille, France; [Camara, Boubou] CHU, Resp Med, Grenoble, France; [Launay, David] CHRU, Internal Med, Lille, France; [Marchand-Adam, Sylvain] CHU, Resp Med, Tours, France; [Israel-Biet, Dominique] HEGP, AP HP, Resp Med, Paris, France; [Magnier, Romain] CHU, Resp Med, Caen, France; [Tetu, Laurent] CHU, Cardiol, Toulouse, France</t>
  </si>
  <si>
    <t>Idiopathic pulmonary fibrosis; Pulmonary hypertension; Circulation</t>
  </si>
  <si>
    <t>Hemodynamics and response to therapy of pulmonary hypertension in patients with interstitial lung disease: Preliminary results of the HYPID prospective study</t>
  </si>
  <si>
    <t>Cottin, Vincent; Reynaud-Gaubert, Martine; Traclet, Julie; Montani, David; Nunes, Hilario; Wallaert, Benoit; Camara, Boubou; Khouatra, Chahera; Launay, David; Marchand-Adam, Sylvain; Israel-Biet, Dominique; Magnier, Romain; Tetu, Laurent; Zeghmar, Sabrina; Kiakouama, Lize; Humbert, Marc; Cordier, Jean-Francois</t>
  </si>
  <si>
    <t>Cottin, V; Reynaud-Gaubert, M; Traclet, J; Montani, D; Nunes, H; Wallaert, B; Camara, B; Khouatra, C; Launay, D; Marchand-Adam, S; Israel-Biet, D; Magnier, R; Tétu, L; Zeghmar, S; Kiakouama, L; Humbert, M; Cordier, JF</t>
  </si>
  <si>
    <t>WOS:000309034500017</t>
  </si>
  <si>
    <t>10.1183/09031936.00093111</t>
  </si>
  <si>
    <t>Funding was provided by the Comite national contre les maladies respiratoires (CNMR) and the Seventh Framework Program of the European Commission</t>
  </si>
  <si>
    <t>Comite national contre les maladies respiratoires (CNMR); Seventh Framework Program of the European Commission(European Union (EU))</t>
  </si>
  <si>
    <t>Comite national contre les maladies respiratoires (CNMR); Seventh Framework Program of the European Commission</t>
  </si>
  <si>
    <t>Humbert, Marc/0000-0003-0703-2892; GUNTHER, Sven/0000-0001-8388-6131; Harari, Sergio/0000-0001-8629-7391; Dorfmuller, Peter/0000-0003-2499-6829; Lazor, Romain/0000-0002-2933-0754; JAIS, XAVIER/0000-0002-4104-7994</t>
  </si>
  <si>
    <t>Taille, Camille/J-3751-2017; Simonneau, Gerald/ABE-6614-2020; Reynaud-Gaubert, Martine/P-6958-2016; Humbert, Marc/AAC-8459-2019; GUNTHER, Sven/P-4177-2017</t>
  </si>
  <si>
    <t>jean-francois.cordier@chu-lyon.fr</t>
  </si>
  <si>
    <t>Cordier, JF (corresponding author), Hop Louis Pradel, F-69677 Bron, France.</t>
  </si>
  <si>
    <t>CHU Lyon; Universite Claude Bernard Lyon 1; INRAE; Universite Paris Saclay; Assistance Publique Hopitaux Paris (APHP); Hopital Universitaire Antoine-Beclere - APHP; Hopital Universitaire Bicetre - APHP; Institut National de la Sante et de la Recherche Medicale (Inserm); Universite Paris Cite; Assistance Publique Hopitaux Paris (APHP); Hopital Universitaire Bichat-Claude Bernard - APHP; Hopital Marie Lannelongue; Institut National de la Sante et de la Recherche Medicale (Inserm); Aix-Marseille Universite; Institut National de la Sante et de la Recherche Medicale (Inserm); Aix-Marseille Universite; Assistance Publique-Hopitaux de Marseille; Aix-Marseille Universite; CHU de Toulouse; Universite Paris Cite; Assistance Publique Hopitaux Paris (APHP); Hopital Universitaire Cochin - APHP; University of Lausanne; Centre Hospitalier Universitaire Vaudois (CHUV)</t>
  </si>
  <si>
    <t>[Cottin, Vincent; Lazor, Romain; Zeghmar, Sabrina; Cordier, Jean-Francois] Hop Louis Pradel, Hosp Civils Lyon, Serv Pneumol, Ctr Reference Natl Malad Pulm Rares, Lyon, France; [Lazor, Romain] Univ Lyon 1, Ctr Competences Hypertens Arterielle Pulm, INRA, INRA UMR754,Vetagrosup EPHE IFR 128, F-69365 Lyon, France; [Harari, Sergio] Osped San Giuseppe, Unita Operat Pneumol &amp; Terapia Semiintensiva Resp, Serv Fisiopatol Resp &amp; Emodinam Polmonare, Milan, Italy; [Humbert, Marc; Jais, Xavier; Simonneau, Gerald] Univ Paris Sud, Fac Med, F-94275 Le Kremlin Bicetre, France; [Humbert, Marc; Jais, Xavier; Simonneau, Gerald] Hop Bicetre, AP HP, Serv Pneumol, Ctr Reference Hypertens Pulme Severe, Clamart, France; [Humbert, Marc; Jais, Xavier; Simonneau, Gerald] INSERM UMR 999, Clamart, France; [Mal, Herve; Taille, Camille] Hop Bichat Claude Bernard, Ctr Competences Malad Pulm Rares, F-75877 Paris, France; [Dorfmueller, Peter] Hop Marie Lannelongue, Serv Anat &amp; Cytol Pathol, INSERM UMR 999, F-92350 Le Plessis Robinson, France; [Reynaud-Gaubert, Martine] Univ Aix Marseille 2, URMITE CNRS UMR 6236, F-13284 Marseille 07, France; [Reynaud-Gaubert, Martine] Univ Aix Marseille 2, CHU Nord, Serv Pneumol, Ctr Competences Malad Pulm Rares,AP HM, F-13284 Marseille 07, France; [Reynaud-Gaubert, Martine] Univ Aix Marseille 2, Ctr Competences Hypertens Arterielle Pulm, F-13284 Marseille 07, France; [Prevot, Gregoire] Hop Larrey, Ctr Competences Hypertens Arterielle Pulm, Toulouse, France; [Lacronique, Jacques] Univ Paris 05, Hop Cochin, AP HP, Serv Pneumol, Paris, France; [Lazor, Romain] CHU Vaudois, Serv Pneumol, CH-1011 Lausanne, Switzerland</t>
  </si>
  <si>
    <t>This retrospective, mutticentre study evaluated patients with lymphangioleiomyomatosis (LAM) and pre-capillary pulmonary hypertension (PH) by right heart catheterisation. It was conducted in 20 females with a mean +/- so age of 49 +/- 12 yrs and a mean +/- SD time interval between LAM and PH diagnoses of 9.2 +/- 9.8 yrs. All, except for one patient, were receiving supplemental oxygen. 6-min walking distance was mean +/- SD 340 +/- 84 m. Haemodynamic characteristics were: mean pulmonary artery pressure (PAP) 32+6 mmHg, cardiac index 3.5 +/- 1.1 L.min(-1).m(-2) and pulmonary vascular resistance (PVR) 376 +/- 184 dyn.s.cm(-5). Mean PAP was &gt;35 mmHg in only 20% of cases. The forced expiratory volume in 1 s was 42 +/- 25%, carbon monoxide transfer factor was 29 +/- 13%, and arterial oxygen tension (Pa,O-2) was 7.4 +/- 1.3 kPa in room air. Mean PAP and PVR did not correlate with Pa,O-2. In six patients who received oral pulmonary arterial hypertension (PAH) therapy, the PAP decreased from 33 +/- 9 mmHg to 24 +/- 10 mmHg and the PVR decreased from 481 +/- 188 dyn.s.cm(-5) to 280 +/- 79 dyn.s.cm(-5). The overall probability of survival was 94% at 2 yrs. Pre-capillary PH of mild haemodynamic severity may occur in patients with LAM, even with mild pulmonary function impairment. PAH therapy might improve the haemodynamics in PH associated with LAM.</t>
  </si>
  <si>
    <t>LUNG TRANSPLANTATION; ARTERIAL-HYPERTENSION; GAS-EXCHANGE; FIBROSIS; STANDARDIZATION; EMPHYSEMA; PRESSURE; DECLINE; DISEASE; ECHOCARDIOGRAPHY</t>
  </si>
  <si>
    <t>Interstitial lung disease; lymphangioleiomyomatosis; pulmonary hypertension</t>
  </si>
  <si>
    <t>Pulmonary hypertension in lymphangioleiomyomatosis: characteristics in 20 patients</t>
  </si>
  <si>
    <t>GERMOP</t>
  </si>
  <si>
    <t>Cottin, Vincent; Harari, Sergio; Humbert, Marc; Mal, Herve; Dorfmueller, Peter; Jais, Xavier; Reynaud-Gaubert, Martine; Prevot, Gregoire; Lazor, Romain; Taille, Camille; Lacronique, Jacques; Zeghmar, Sabrina; Simonneau, Gerald; Cordier, Jean-Francois</t>
  </si>
  <si>
    <t>Cottin, V; Harari, S; Humbert, M; Mal, H; Dorfmüller, P; Jaïs, X; Reynaud-Gaubert, M; Prevot, G; Lazor, R; Taillé, C; Lacronique, J; Zeghmar, S; Simonneau, G; Cordier, JF</t>
  </si>
  <si>
    <t>WOS:000449650903525</t>
  </si>
  <si>
    <t>BOUCHET, Stephane/T-3276-2019; David, Montani/I-6885-2019; GUIGNABERT, Christophe/G-3873-2013; molimard, mathieu/T-2762-2019; Perros, Frédéric/N-6921-2017; Humbert, Marc/AAC-8459-2019; Cohen-Kaminsky, Sylvia/E-4837-2014</t>
  </si>
  <si>
    <t>mcamillechaumais@gmail.com; frederic.perros@gmail.com; mathieu.molimard@pharmaco.u-bordeaux2.fr; stephane.bouchet@chu-bordeaux.fr; peter.dorfmuller@u-psud.fr; sylvia.cohen-kaminsky@u-psud.fr; marc.humbert@abc.aphp.fr; davidmontani@gmail.com</t>
  </si>
  <si>
    <t>Universite Paris Saclay; Institut National de la Sante et de la Recherche Medicale (Inserm); Institut National de la Sante et de la Recherche Medicale (Inserm); Universite de Bordeaux</t>
  </si>
  <si>
    <t>[Chaumais, Marie-Camille; Perros, Frederic; Dorfmuller, Peter; Guignabert, Christophe; Cohen-Kaminsky, Sylvia; Humbert, Marc; Montani, David] Univ Paris Sud, INSERM, UMR Hypertens Arterielle Pulm Physiopathol &amp; Inno, Le Plessis Robinson, France; [Molimard, Mathieu; Bouchet, Stephane] Univ Bordeaux, Dept Pharmacol, INSERM, U657, Bordeaux, France</t>
  </si>
  <si>
    <t>Treatments; Animal models</t>
  </si>
  <si>
    <t>A dose-response study of nilotinib and imatinib in experimental pulmonary hypertension</t>
  </si>
  <si>
    <t>Chaumais, Marie-Camille; Perros, Frederic; Molimard, Mathieu; Bouchet, Stephane; Dorfmuller, Peter; Guignabert, Christophe; Cohen-Kaminsky, Sylvia; Humbert, Marc; Montani, David</t>
  </si>
  <si>
    <t>Chaumais, MC; Perros, F; Molimard, M; Bouchet, S; Dorfmuller, P; Guignabert, C; Cohen-Kaminsky, S; Humbert, M; Montani, D</t>
  </si>
  <si>
    <t>WOS:000309243800015</t>
  </si>
  <si>
    <t>012NS</t>
  </si>
  <si>
    <t>10.1016/j.ccm.2012.06.004</t>
  </si>
  <si>
    <t>chanez, pascal/0000-0003-4059-0917; Bourdin, Arnaud/0000-0002-4645-5209; Humbert, Marc/0000-0003-0703-2892</t>
  </si>
  <si>
    <t>Bourdin, Philippe/D-8149-2015; Humbert, Marc/AAC-8459-2019</t>
  </si>
  <si>
    <t>Bourdin, A (corresponding author), CHU Montpellier, Serv Malad Resp, Hop Arnaud de Villeneuve, Dept Resp Dis, Montpellier, France.</t>
  </si>
  <si>
    <t>Universite de Montpellier; CHU de Montpellier; Universite de Montpellier; Institut National de la Sante et de la Recherche Medicale (Inserm); CHU de Montpellier; Institut National de la Sante et de la Recherche Medicale (Inserm); Assistance Publique Hopitaux Paris (APHP); Hopital Universitaire Antoine-Beclere - APHP; Universite Paris Cite; Hopital Universitaire Saint-Louis - APHP; Universite Paris Saclay; Institut National de la Sante et de la Recherche Medicale (Inserm); Centre National de la Recherche Scientifique (CNRS); Aix-Marseille Universite; Assistance Publique-Hopitaux de Marseille</t>
  </si>
  <si>
    <t>[Bourdin, Arnaud] CHU Montpellier, Serv Malad Resp, Hop Arnaud de Villeneuve, Dept Resp Dis, Montpellier, France; [Bourdin, Arnaud] Univ Montpellier 1 &amp; 2, CHU Arnaud de Villeneuve, INSERM, Physiol &amp; Med Expt Coeur &amp; Muscles U1046, Montpellier, France; [Humbert, Marc] Univ Paris 11, Hop Antoine Beclere, Assistance Publ Hop Paris,INSERM,U999, Serv Pneumol &amp; Reanimat Resp,Ctr Natl Reference H, F-92140 Clamart, France; [Chanez, Pascal] Aix Marseille Univ, Dept Malad Resp, AP HM, Lab Immunol,CNRS,INSERM,U1067,UMR7733, Marseille, France</t>
  </si>
  <si>
    <t>The discovery of new pathobiological pathways involved in asthma chronicity and reliefs offers novel therapeutic avenues. Enhanced phenotyping criteria associated with simple biologic characterization allowed to test targeted interventions in selected patients. Long-term studies are de facto lacking but required to address their impact on the natural history of the disease. Here, the authors review all potential available therapeutics based on immunologic pathways involved in asthma pathophysiology during the last decade.</t>
  </si>
  <si>
    <t>PLACEBO-CONTROLLED TRIAL; NECROSIS-FACTOR-ALPHA; IL-5 MESSENGER-RNA; CORTICOSTEROID-DEPENDENT ASTHMA; THYMIC STROMAL LYMPHOPOIETIN; SEVERE PERSISTENT ASTHMA; GENOME-WIDE ASSOCIATION; CD8(+) T-CELLS; AIRWAY INFLAMMATION; MAST-CELLS</t>
  </si>
  <si>
    <t>Asthma; Immunology; Therapeutic intervention</t>
  </si>
  <si>
    <t>Immunologic Therapeutic Interventions in Asthma Impact on Natural History</t>
  </si>
  <si>
    <t>Bourdin, Arnaud; Humbert, Marc; Chanez, Pascal</t>
  </si>
  <si>
    <t>Bourdin, A; Humbert, M; Chanez, P</t>
  </si>
  <si>
    <t>WOS:000449650901323</t>
  </si>
  <si>
    <t>Bertoletti, Laurent/X-1319-2019; Humbert, Marc/AAC-8459-2019; David, Montani/I-6885-2019</t>
  </si>
  <si>
    <t>laurent.bertoletti@gmail.com; xavier.delavenne@chu-st-etienne.fr; david.montani@abc.aphp.fr; jean-christophe.lega@chu-lyon.fr; marc.humbert@abc.aphp.fr; patrick.mismetti@chu-st-etienne.fr</t>
  </si>
  <si>
    <t>Universite Jean Monnet; Institut National de la Sante et de la Recherche Medicale (Inserm); CHU de St Etienne; CHU de St Etienne; Universite Paris Saclay; Assistance Publique Hopitaux Paris (APHP); Hopital Universitaire Antoine-Beclere - APHP; Universite Paris Saclay; Institut National de la Sante et de la Recherche Medicale (Inserm); Universite Claude Bernard Lyon 1; CHU Lyon</t>
  </si>
  <si>
    <t>[Bertoletti, Laurent; Delavenne, Xavier; Mismetti, Patrick] Univ St Etienne, Thrombosis Res Grp, EA3065, St Etienne, France; [Bertoletti, Laurent; Delavenne, Xavier; Mismetti, Patrick] INSERM, CIC CIE3, St Etienne, France; [Bertoletti, Laurent; Mismetti, Patrick] CHU St Etienne, Hop Nord, Dept Therapeut Med, St Etienne, France; [Delavenne, Xavier] CHU St Etienne, Hop Nord, Clin Pharmacol Unit, St Etienne, France; [Montani, David; Humbert, Marc] Univ Paris Sud, Fac Med, Le Kremlin Bicetre, France; [Montani, David; Humbert, Marc] Hop Antoine Beclere, AP HP, Ctr Natl Reference Hypertens Pulm Severe, Serv Pneumol &amp; Reanimat Resp, Clamart, France; [Montani, David; Humbert, Marc] INSERM, U999, Hypertens Arterielle Pulm Physiopathol &amp; Innovat, Le Plessis Robinson, France; [Lega, Jean-Christophe] Univ Claude Bernard Lyon 1, Hosp Civils Lyon, Dept Internal &amp; Vasc Med, Hop Lyon Sud, Lyon, France</t>
  </si>
  <si>
    <t>Treatments; Pulmonary hypertension; Embolism</t>
  </si>
  <si>
    <t>Potential pharmacological interactions between oral pulmonary arterial hypertension (PAH) therapies and new oral anticoagulants</t>
  </si>
  <si>
    <t>Bertoletti, Laurent; Delavenne, Xavier; Montani, David; Lega, Jean-Christophe; Humbert, Marc; Mismetti, Patrick</t>
  </si>
  <si>
    <t>Bertoletti, L; Delavenne, X; Montani, D; Lega, JC; Humbert, M; Mismetti, P</t>
  </si>
  <si>
    <t>WOS:000308138900028</t>
  </si>
  <si>
    <t>997BJ</t>
  </si>
  <si>
    <t>10.1016/j.athoracsur.2012.03.099</t>
  </si>
  <si>
    <t>JAIS, XAVIER/0000-0002-4104-7994; Humbert, Marc/0000-0003-0703-2892; Bonnet, Damien/0000-0002-8722-5805; Baruteau, Alban-Elouen/0000-0003-2548-7858</t>
  </si>
  <si>
    <t>Belli, Emre/AAK-7866-2021; Simonneau, Gerald/ABE-6614-2020; Baruteau, Alban-Elouen/LDF-8902-2024; Humbert, Marc/AAC-8459-2019</t>
  </si>
  <si>
    <t>a.baruteau@ccml.fr</t>
  </si>
  <si>
    <t>Baruteau, AE (corresponding author), Ctr Chirurg Marie Lannelongue, Dept Chirurg Cardiaque Cardiopathies Congenitales, 133 Ave Resistance, F-92350 Le Plessis Robinson, France.</t>
  </si>
  <si>
    <t>Hopital Marie Lannelongue; Universite Paris Saclay; Jacques Cartier Private Hospital; Universite Paris Cite; Assistance Publique Hopitaux Paris (APHP); Hopital Universitaire Ambroise-Pare - APHP; Universite Paris Cite; Hopital Universitaire Necker-Enfants Malades - APHP; Hopital Universitaire Hotel-Dieu - APHP; Institut National de la Sante et de la Recherche Medicale (Inserm); Universite Paris Saclay; Institut National de la Sante et de la Recherche Medicale (Inserm); Assistance Publique Hopitaux Paris (APHP); Hopital Universitaire Ambroise-Pare - APHP; Hopital Universitaire Antoine-Beclere - APHP</t>
  </si>
  <si>
    <t>[Baruteau, Alban-Elouen] Ctr Chirurg Marie Lannelongue, Dept Chirurg Cardiaque Cardiopathies Congenitales, F-92350 Le Plessis Robinson, France; Ctr Reference Malformat Cardiaques Congenitales C, Paris, France; Univ Paris 11, Le Kremlin Bicetre, France; Hop Jacques Cartier, Massy, France; Univ Paris 05, Paris, France; Hop Necker Enfants Malad, APHP, Paris, France; INSERM, U999, Le Plessis Robinson, France; INSERM, U999, Clamart, France; Hop Antoine Beclere, APHP, Serv Pneumol &amp; Reanimat Resp, Ctr Natl Reference Hypertens Pulm Severe, Clamart, France</t>
  </si>
  <si>
    <t>Background. Idiopathic pulmonary arterial hypertension (IPAH) remains a progressive fatal disease. Palliative Potts shunt has been proposed in children displaying suprasystemic IPAH. Methods. A retrospective multicenter study was performed to evaluate Potts shunt in pediatric IPAH. Results. Between 2003 and 2010, 8 children with suprasystemic IPAH and in World Health Organization functional class IV despite medical pulmonary arterial hypertension therapy underwent Potts shunt. Age at IPAH diagnosis ranged from 4 to 180 months (median age, 64 months). Surgical procedure was performed in a mean delay of 41.9 +/- 54.3 months (range, 4 to 167 months; median delay, 20 months) after IPAH diagnosis. Mean size of the Potts shunt was 9.25 +/- 3.30 mm. Two patients, whose medical pulmonary arterial hypertension therapy had been interrupted just after surgery, died at postoperative days 11 and 13 of acute pulmonary hypertensive crisis. After a mean follow-up of 63.7 +/- 16.1 months, the 6 children who were discharged from the hospital were alive. Functional status improved markedly in the 6 survivors, with a World Health Organization functional class I (n = 4) or II (n = 2) at last follow-up, consistent with significant improvement of 6-minute-walk distance (302 +/- 95 m [51% +/- 20% of theoretical values] versus 456 +/- 91m[68% +/- 10% of theoretical values]; p = 0.038) and decrease of brain natriuretic peptide levels (608 +/- 109 pg/mL versus 76 +/- 45 pg/mL; p = 0.035). No Potts shunt was found to be restrictive at last echocardiography. Conclusions. Palliative Potts shunt constitutes a new alternative to lung transplantation in severely ill children with suprasystemic IPAH, carrying a prolonged survival and persistent improvement in functional capacities.</t>
  </si>
  <si>
    <t>LUNG TRANSPLANTATION; ATRIAL SEPTOSTOMY; SURVIVAL; REGISTRY; THERAPY; HEART; GUIDELINES; DIAGNOSIS; INSIGHTS</t>
  </si>
  <si>
    <t>Potts Shunt in Children With Idiopathic Pulmonary Arterial Hypertension: Long-Term Results</t>
  </si>
  <si>
    <t>Baruteau, Alban-Elouen; Serraf, Alain; Levy, Maryline; Petit, Jerome; Bonnet, Damien; Jais, Xavier; Vouhe, Pascal; Simonneau, Gerald; Belli, Emre; Humbert, Marc</t>
  </si>
  <si>
    <t>Baruteau, AE; Serraf, A; Lévy, M; Petit, J; Bonnet, D; Jais, X; Vouhé, P; Simonneau, G; Belli, E; Humbert, M</t>
  </si>
  <si>
    <t>WOS:000309034500005</t>
  </si>
  <si>
    <t>10.1183/09031936.00105912</t>
  </si>
  <si>
    <t>Reeves, Elin/0000-0002-2348-9799; Humbert, Marc/0000-0003-0703-2892; Dinh-Xuan, Anh Tuan/0000-0001-8651-5176</t>
  </si>
  <si>
    <t>Bjermer, Leif/I-4899-2014; Reeves, Elin/AFQ-8227-2022; Humbert, Marc/AAC-8459-2019; Dinh-Xuan, Anh Tuan/A-9691-2008</t>
  </si>
  <si>
    <t>j.a.wedzicha@ucl.ac.uk</t>
  </si>
  <si>
    <t>Wedzicha, JA (corresponding author), UCL, Ctr Resp Med, Royal Free Campus,Rowland Hill St, London NW3 2PF, England.</t>
  </si>
  <si>
    <t>University of London; University College London; Assistance Publique Hopitaux Paris (APHP); Universite Paris Cite; Hopital Universitaire Cochin - APHP; Universite Paris Saclay; Assistance Publique Hopitaux Paris (APHP); Hopital Universitaire Bicetre - APHP; University of Genoa; Lund University; Skane University Hospital</t>
  </si>
  <si>
    <t>[Wedzicha, Jadwiga A.] UCL, Ctr Resp Med, London NW3 2PF, England; [Anh Tuan Dinh-Xuan] Cochin Hosp, Dept Cardioresp Med, Paris, France; [Humbert, Marc] Univ Paris 11, Hop Bicetre, AP HP, Paris, France; [Brusasco, Vito] Univ Genoa, Dept Internal Med, I-16126 Genoa, Italy; [Reeves, Elin] ERS Publicat Off, Sheffield, S Yorkshire, England; [Welte, Tobias] Med Hsch Hanover, Dept Pulm Med, Hannover, Germany; [Bjermer, Leif] Univ Lund Hosp, Dept Resp Med &amp; Allergol, Heart &amp; Lung Div, S-22185 Lund, Sweden</t>
  </si>
  <si>
    <t>INAPPROPRIATE TUBERCULOSIS TREATMENT</t>
  </si>
  <si>
    <t>ERS publications: the flagship and the fleet</t>
  </si>
  <si>
    <t>Anh Tuan Dinh-Xuan; Brusasco, Vito; Wedzicha, Jadwiga A.; Reeves, Elin; Humbert, Marc; Welte, Tobias; Bjermer, Leif</t>
  </si>
  <si>
    <t>Anh, TDX; Brusasco, V; Wedzicha, JA; Reeves, E; Humbert, M; Welte, T; Bjermer, L</t>
  </si>
  <si>
    <t>WOS:000309250500001</t>
  </si>
  <si>
    <t>012QB</t>
  </si>
  <si>
    <t>10.1016/j.amjcard.2012.06.009</t>
  </si>
  <si>
    <t>2S</t>
  </si>
  <si>
    <t>1S</t>
  </si>
  <si>
    <t>Am. J. Cardiol.</t>
  </si>
  <si>
    <t>AM J CARDIOL</t>
  </si>
  <si>
    <t>1879-1913</t>
  </si>
  <si>
    <t>0002-9149</t>
  </si>
  <si>
    <t>685 ROUTE 202-206 STE 3, BRIDGEWATER, NJ 08807 USA</t>
  </si>
  <si>
    <t>EXCERPTA MEDICA INC-ELSEVIER SCIENCE INC</t>
  </si>
  <si>
    <t>vmclaugh@umich.edu</t>
  </si>
  <si>
    <t>McLaughlin, V (corresponding author), Univ Michigan Hlth Syst, CVC Cardiovasc Med, Dept Internal Med, 1500 E Med Ctr Dr,SPC 5853, Ann Arbor, MI 48109 USA.</t>
  </si>
  <si>
    <t>University of Michigan System; University of Michigan; Assistance Publique Hopitaux Paris (APHP); Hopital Universitaire Antoine-Beclere - APHP</t>
  </si>
  <si>
    <t>[McLaughlin, Vallerie] Univ Michigan Hlth Syst, CVC Cardiovasc Med, Dept Internal Med, Ann Arbor, MI 48109 USA; [Humbert, Marc] Hop Antoine Beclere, Serv Pneumol &amp; Reanimat Resp, Clamart, France</t>
  </si>
  <si>
    <t>SURVIVAL; REGISTRY</t>
  </si>
  <si>
    <t>AMERICAN JOURNAL OF CARDIOLOGY</t>
  </si>
  <si>
    <t>Introduction: Devising a Prognostic Score for Pulmonary Arterial Hypertension</t>
  </si>
  <si>
    <t>Humbert, Marc; McLaughlin, Vallerie</t>
  </si>
  <si>
    <t>Humbert, M; McLaughlin, V</t>
  </si>
  <si>
    <t>WOS:000311710100002</t>
  </si>
  <si>
    <t>045PU</t>
  </si>
  <si>
    <t>10.1016/j.rmr.2012.08.006</t>
  </si>
  <si>
    <t>Humbert, Marc/0000-0003-0703-2892; Perros, Frederic/0000-0001-7730-2427; Montani, David/0000-0002-9358-6922; GUIGNABERT, Christophe/0000-0002-8545-4452</t>
  </si>
  <si>
    <t>David, Montani/I-6885-2019; Humbert, Marc/AAC-8459-2019; Perros, Frederic/N-6921-2017; GUIGNABERT, Christophe/G-3873-2013</t>
  </si>
  <si>
    <t>Montani, D (corresponding author), Univ Paris 11, Serv Pneumol &amp; Soins Intensifs, Ctr Natl Reference Hypertens Pulm Severe, Hop Bicetre,DHU Thorax Innovat AP HP, 78 Rue Gen Leclerc, F-94270 Le Kremlin Bicetre, France.</t>
  </si>
  <si>
    <t>Universite Paris Saclay; Assistance Publique Hopitaux Paris (APHP); Hopital Universitaire Antoine-Beclere - APHP; Hopital Universitaire Bicetre - APHP; Institut National de la Sante et de la Recherche Medicale (Inserm); Hopital Marie Lannelongue</t>
  </si>
  <si>
    <t>[Montani, D.; Guignabert, C.; Perros, F.; Humbert, M.] Univ Paris 11, Serv Pneumol &amp; Soins Intensifs, Ctr Natl Reference Hypertens Pulm Severe, Hop Bicetre,DHU Thorax Innovat AP HP, F-94270 Le Kremlin Bicetre, France; [Montani, D.; Guignabert, C.; Perros, F.; Humbert, M.] Ctr Chirurg Marie Lannelongue, INSERM, UMR Hypertens Arterielle Pulm Physiopathol &amp; Inno, LabEx LERMIT, F-92350 Le Plessis Robinson, France</t>
  </si>
  <si>
    <t>SMOOTH-MUSCLE-CELLS; ARTERIAL-HYPERTENSION; MULTIKINASE INHIBITOR; PROGENITOR CELLS; SORAFENIB; SEROTONIN; TYROSINE; CARDIOTOXICITY; CONTRIBUTES</t>
  </si>
  <si>
    <t>Pathophysiology of pulmonary hypertension: Progresses and expectancies</t>
  </si>
  <si>
    <t>Montani, D.; Guignabert, C.; Perros, F.; Humbert, M.</t>
  </si>
  <si>
    <t>Montani, D; Guignabert, C; Perros, F; Humbert, M</t>
  </si>
  <si>
    <t>WOS:000309383600018</t>
  </si>
  <si>
    <t>Green Submitted, Green Published, Green Accepted</t>
  </si>
  <si>
    <t>014NV</t>
  </si>
  <si>
    <t>10.1164/rccm.201202-0309OC</t>
  </si>
  <si>
    <t>Supported by grants from the French National Institute for Health and Medical Research (INSERM), French National Agency for Research grant P007948 ANR-GENOPATH ATOL, the Legs Poix (Chancellerie des Universites de Paris), and by a European Respiratory Society/Marie-Curie Joint Research Fellowship (MC 1120-2009) (F.S.d.M.).</t>
  </si>
  <si>
    <t>French National Institute for Health and Medical Research (INSERM)(Institut National de la Sante et de la Recherche Medicale (Inserm)); French National Agency for Research(Agence Nationale de la Recherche (ANR)); Legs Poix (Chancellerie des Universites de Paris); European Respiratory Society/Marie-Curie Joint Research Fellowship(Marie Curie Actions)</t>
  </si>
  <si>
    <t>French National Institute for Health and Medical Research (INSERM); French National Agency for Research [P007948 ANR-GENOPATH ATOL]; Legs Poix (Chancellerie des Universites de Paris); European Respiratory Society/Marie-Curie Joint Research Fellowship [MC 1120-2009]</t>
  </si>
  <si>
    <t>GUIGNABERT, Christophe/0000-0002-8545-4452; Dorfmuller, Peter/0000-0003-2499-6829; Huertas, Alice/0000-0001-8545-747X; Humbert, Marc/0000-0003-0703-2892; TU, Ly/0000-0003-2336-5099; Chaumais, Marie-Camille/0000-0002-1217-8442; Montani, David/0000-0002-9358-6922; Perros, Frederic/0000-0001-7730-2427</t>
  </si>
  <si>
    <t>TU, Ly/AAK-4996-2020; David, Montani/I-6885-2019; GUIGNABERT, Christophe/G-3873-2013; Huertas, Alice/E-8244-2017; Humbert, Marc/AAC-8459-2019; TU, Ly/G-4035-2013; Perros, Frederic/N-6921-2017</t>
  </si>
  <si>
    <t>Guignabert, C (corresponding author), Ctr Chirurg Marie Lannelongue, INSERM, UMR 999, LabEx LERMIT, 133 Ave Resistance, F-92350 Le Plessis Robinson, France.</t>
  </si>
  <si>
    <t>Hopital Marie Lannelongue; Universite Paris Saclay; Institut National de la Sante et de la Recherche Medicale (Inserm); Universite Paris Saclay; Vrije Universiteit Amsterdam; Universite Paris Saclay; Assistance Publique Hopitaux Paris (APHP); Hopital Universitaire Bicetre - APHP; Hopital Universitaire Antoine-Beclere - APHP</t>
  </si>
  <si>
    <t>[Ly Tu; De Man, Frances S.; Girerd, Barbara; Huertas, Alice; Chaumais, Marie-Camille; Lecerf, Florence; Francois, Charlene; Perros, Frederic; Dorfmueller, Peter; Fadel, Elie; Montani, David; Eddahibi, Saadia; Humbert, Marc; Guignabert, Christophe] Ctr Chirurg Marie Lannelongue, INSERM, UMR 999, LabEx LERMIT, F-92350 Le Plessis Robinson, France; [Ly Tu; De Man, Frances S.; Girerd, Barbara; Huertas, Alice; Chaumais, Marie-Camille; Lecerf, Florence; Francois, Charlene; Perros, Frederic; Dorfmueller, Peter; Fadel, Elie; Montani, David; Eddahibi, Saadia; Humbert, Marc; Guignabert, Christophe] Univ Paris 11, Sch Med, Le Kremlin Bicetre, France; [De Man, Frances S.] Vrije Univ Amsterdam, Med Ctr, Amsterdam, Netherlands; [Girerd, Barbara; Huertas, Alice; Montani, David; Humbert, Marc] Hop Bicetre, AP HP, Ctr Reference Hypertens Pulm Severe, Serv Pneumol,DHU Thorax Innovat, Le Kremlin Bicetre, France</t>
  </si>
  <si>
    <t>Rationale Pulmonary arterial hypertension (PAH) is a progressive and fatal disease characterized by pulmonary arterial muscularization due to excessive pulmonary vascular cell proliferation and migration, a phenotype dependent upon growth factors and activation of receptor tyrosine kinases (RTKs). p130(Cas) is an adaptor protein involved in several cellular signaling pathways that control cell migration, proliferation, and survival. Objectives: We hypothesized that in experimental and human PAH p130(Cas) signaling is overactivated, thereby facilitating the intracellular transmission of signal induced by fibroblast growth factor (FGF) 2, epidermal growth factor (EGF), and platelet-derived growth factor (PDGF). Measurements and Main Results: In patients with PAH, levels of p130(Cas) protein and/or activity are higher in the serum, in the walls of distal pulmonary arteries, in cultured smooth muscle cells (PA-SMCs), and in pulmonary endothelial cells (P-ECs) than in control subjects. These abnormalities in the p130(Cas) signaling were also found in the chronically hypoxic mice and monocrotaline-injected rats as models of human PAH. We obtained evidence for the convergence and amplification of the growth-stimulating effect of the EGF-, FGF2-, and PDGF-signaling pathways via the p130(Cas) signaling pathway. We found that daily treatment with the EGF-R inhibitor gefitinib, the FGF-R inhibitor dovitinib, and the PDGF-R inhibitor imatinib started 2 weeks after a subcutaneous monocrotaline injection substantially attenuated the abnormal increase in p130(Cas) and ERK1/2 activation and regressed established pulmonary hypertension. Conclusions: Our findings demonstrate that p130(Cas) signaling plays a critical role in experimental and idiopathic PAH by modulating pulmonary vascular cell migration and proliferation and by acting as an amplifier of RTK downstream signals.</t>
  </si>
  <si>
    <t>BREAST-CANCER CELLS; GROWTH-FACTOR RECEPTOR; ARTERIAL-HYPERTENSION; TYROSINE PHOSPHORYLATION; P130CAS; RESISTANCE; INHIBITION; SURVIVAL; SRC; MIGRATION</t>
  </si>
  <si>
    <t>pulmonary arterial hypertension; pulmonary vascular remodeling; growth factors; signal transduction; BCAR1</t>
  </si>
  <si>
    <t>A Critical Role for p130Cas in the Progression of Pulmonary Hypertension in Humans and Rodents</t>
  </si>
  <si>
    <t>Ly Tu; De Man, Frances S.; Girerd, Barbara; Huertas, Alice; Chaumais, Marie-Camille; Lecerf, Florence; Francois, Charlene; Perros, Frederic; Dorfmueller, Peter; Fadel, Elie; Montani, David; Eddahibi, Saadia; Humbert, Marc; Guignabert, Christophe</t>
  </si>
  <si>
    <t>Tu, L; De Man, FS; Girerd, B; Huertas, A; Chaumais, MC; Lecerf, F; François, C; Perros, F; Dorfmüller, P; Fadel, E; Montani, D; Eddahibi, S; Humbert, M; Guignabert, C</t>
  </si>
  <si>
    <t>WOS:000309795500014</t>
  </si>
  <si>
    <t>020FX</t>
  </si>
  <si>
    <t>10.1183/09031936.00141211</t>
  </si>
  <si>
    <t>Torbicki, Adam/0000-0003-3475-8832; Humbert, Marc/0000-0003-0703-2892; vizza, carmine dario/0000-0002-3540-4983; Barbera, Joan Albert/0000-0003-1469-4990; Hoeper, Marius/0000-0001-9086-2293; JAIS, XAVIER/0000-0002-4104-7994</t>
  </si>
  <si>
    <t>Macdonald, Peter/Q-3188-2019; Hoeper, Marius/Z-1546-2019; Humbert, Marc/AAC-8459-2019; vizza, carmine dario/AAC-5540-2020</t>
  </si>
  <si>
    <t>Hannover Medical School; Universite Paris Saclay; Assistance Publique Hopitaux Paris (APHP); Hopital Universitaire Antoine-Beclere - APHP; Institut National de la Sante et de la Recherche Medicale (Inserm); Assistance Publique Hopitaux Paris (APHP); Hopital Universitaire Antoine-Beclere - APHP; University of Barcelona; CIBER - Centro de Investigacion Biomedica en Red; CIBERES; University of Glasgow; Sapienza University Rome; NSW Health; St Vincents Hospital Sydney</t>
  </si>
  <si>
    <t>[Hoeper, Marius M.] Hannover Med Sch, Dept Resp Med, D-30623 Hannover, Germany; [Jais, Xavier; Humbert, Marc] Univ Paris Sud, Fac Med, F-94275 Le Kremlin Bicetre, France; [Jais, Xavier; Humbert, Marc] Hop Antoine Beclere, AP HP, Clamart, France; [Jais, Xavier; Humbert, Marc] Hop Antoine Beclere, INSERM, U999, Clamart, France; [Barbera, Joan A.; Blanco, Isabel] Univ Barcelona, Hosp Clin, CIBERES, E-08007 Barcelona, Spain; [Torbicki, Adam] Postgrad Med Sch, Warsaw, Poland; [Peacock, Andrew] Univ Glasgow, Glasgow, Lanark, Scotland; [Vizza, C. Dario] Univ Roma La Sapienza, Rome, Italy; [Macdonald, Peter] St Vincents Hosp, Sydney, NSW 2010, Australia</t>
  </si>
  <si>
    <t>Previous studies have reported mortality rates of up to 56% associated with pregnancy in pulmonary arterial hypertension (PAH) but the management of this disease has changed considerably in recent years. We compiled a multinational, prospective registry to examine the contemporary outcome of pregnancies in patients with PAH. During a 3-yr period, the 13 participating centres reported 26 pregnancies. Three (12%) females died and one (4%) developed right heart failure requiring urgent heart-lung transplantation. There were eight abortions; two spontaneous and six induced. 16 (62%) pregnancies were successful, i.e. the females delivered healthy babies without complications. These females had well controlled PAH (pulmonary vascular resistance (PVR) 500 +/- 352 dyn.s.cm(-5)); eight of them were long-term responders to calcium channel blockers. In contrast, the females who died or required transplantation had poorly controlled PAH (PVR 1,667 +/- 209 dyn.s.cm(-5)). Pregnancy remains associated with a substantial mortality rate in PAH. However, our results indicate that the outcome of pregnancy in PAH has improved, at least when PAH is well controlled, and particularly in long-term responders to calcium channel blockers. These data must be confirmed by larger series before the general recommendation to avoid pregnancy in all patients with PAH is reconsidered.</t>
  </si>
  <si>
    <t>ENDOTHELIN RECEPTOR ANTAGONISTS; THERAPY; PROSTACYCLIN; SURVIVAL</t>
  </si>
  <si>
    <t>Hypertension; pregnancy; pulmonary; right heart failure</t>
  </si>
  <si>
    <t>Pregnancy outcomes in pulmonary arterial hypertension in the modern management era</t>
  </si>
  <si>
    <t>Jais, Xavier; Olsson, Karen M.; Barbera, Joan A.; Blanco, Isabel; Torbicki, Adam; Peacock, Andrew; Vizza, C. Dario; Macdonald, Peter; Humbert, Marc; Hoeper, Marius M.</t>
  </si>
  <si>
    <t>Jaïs, X; Olsson, KM; Barbera, JA; Blanco, I; Torbicki, A; Peacock, A; Vizza, CD; Macdonald, P; Humbert, M; Hoeper, MM</t>
  </si>
  <si>
    <t>WOS:000309795500016</t>
  </si>
  <si>
    <t>10.1183/09031936.00159911</t>
  </si>
  <si>
    <t>A. Huertas is supported by the Josso Award 2010 from the French Medical Research Foundation. B. Girerd is funded by the Assistance Publique-Hopitaux de Paris (PHRC NCT01600898).</t>
  </si>
  <si>
    <t>French Medical Research Foundation(Fondation pour la Recherche Medicale); Assistance Publique-Hopitaux de Paris</t>
  </si>
  <si>
    <t>French Medical Research Foundation; Assistance Publique-Hopitaux de Paris [PHRC NCT01600898]</t>
  </si>
  <si>
    <t>Humbert, Marc/0000-0003-0703-2892; Cohen-Kaminsky, Sylvia/0000-0002-6341-7482; Montani, David/0000-0002-9358-6922; Perros, Frederic/0000-0001-7730-2427; GUIGNABERT, Christophe/0000-0002-8545-4452; TU, Ly/0000-0003-2336-5099; Huertas, Alice/0000-0001-8545-747X</t>
  </si>
  <si>
    <t>David, Montani/I-6885-2019; Humbert, Marc/AAC-8459-2019; Cohen-Kaminsky, Sylvia/E-4837-2014; Perros, Frederic/N-6921-2017; GUIGNABERT, Christophe/G-3873-2013; TU, Ly/G-4035-2013; Huertas, Alice/E-8244-2017</t>
  </si>
  <si>
    <t>Humbert, M (corresponding author), Hop Univ Paris Sud, Serv Pneumol &amp; Reanimat Resp, Ctr Natl Reference Hypertens Pulm Severe, Hop Bicetre,AP HP, 78 Rue Gen Leclerc, F-94270 Le Kremlin Bicetre, France.</t>
  </si>
  <si>
    <t>[Humbert, Marc] Hop Univ Paris Sud, Serv Pneumol &amp; Reanimat Resp, Ctr Natl Reference Hypertens Pulm Severe, Hop Bicetre,AP HP, F-94270 Le Kremlin Bicetre, France; Univ Paris 11, Fac Med, Le Kremlin Bicetre, France; Ctr Chirurg Marie Lannelongue, INSERM, Hypertens Arterielle Pulm Physiopathol &amp; Innovat, LabEX LERMIT,Lab Excellence Res Medicat &amp; Innovat, Le Plessis Robinson, France</t>
  </si>
  <si>
    <t>Immune mechanisms and autoimmunity seem to play a significant role in idiopathic pulmonary arterial hypertension (IPAH) pathogenesis and/or progression, but the pathophysiology is still unclear. Recent evidence has demonstrated a detrimental involvement of leptin in promoting various autoimmune diseases by controlling regulatory T-lymphocytes. Despite this knowledge, the role of leptin in IPAH is currently unknown. We hypothesised that leptin, synthesised by dysfunctional pulmonary endothelium, might play a role in the immunopathogenesis of IPAH by regulating circulating regulatory T-lymphocytes function. First, we collected serum and regulatory T-lymphocytes from controls, and IPAH and scleroderma-associated pulmonary arterial hypertension (SSc-PAH) patients; secondly, we recovered tissue samples and cultured endothelial cells after either surgery or transplantation in controls and IPAH patients, respectively. Our findings indicate that serum leptin was higher in IPAH and SSc-PAH patients than controls. Circulating regulatory T-lymphocyte numbers were comparable in all groups, and the percentage of those expressing leptin receptor was higher in IPAH and SSc-PAH compared with controls, whereas their function was reduced in IPAH and SSc-PAH patients compared with controls, in a leptin-dependent manner. Furthermore, endothelial cells from IPAH patients synthesised more leptin than controls. Our data suggest that endothelial-derived leptin may play a role in the immunopathogenesis of IPAH.</t>
  </si>
  <si>
    <t>C-REACTIVE PROTEIN; EXPRESSION; CELLS; FOXP3; INFLAMMATION; ANTIBODIES; OBESITY; LESIONS; GROWTH</t>
  </si>
  <si>
    <t>Dysimmunity; endothelial dysfunction; leptin; pulmonary arterial hypertension; regulatory T-lymphocytes</t>
  </si>
  <si>
    <t>Leptin and regulatory T-lymphocytes in idiopathic pulmonary arterial hypertension</t>
  </si>
  <si>
    <t>Huertas, Alice; Tu, Ly; Gambaryan, Natalia; Girerd, Barbara; Perros, Frederic; Montani, David; Fabre, Dominique; Fadel, Elie; Eddahibi, Saadia; Cohen-Kaminsky, Sylvia; Guignabert, Christophe; Humbert, Marc</t>
  </si>
  <si>
    <t>Huertas, A; Tu, L; Gambaryan, N; Girerd, B; Perros, F; Montani, D; Fabre, D; Fadel, E; Eddahibi, S; Cohen-Kaminsky, S; Guignabert, C; Humbert, M</t>
  </si>
  <si>
    <t>WOS:000317153200011</t>
  </si>
  <si>
    <t>120EI</t>
  </si>
  <si>
    <t>10.1378/chest.11-1267</t>
  </si>
  <si>
    <t>The study was supported by the French Health Ministry, the French Institut National pour la sante et la Recherche Medicale (INSERM), and by unrestricted research grants from AGIRadom, Pneumologie Developpement, and Pfizer, Inc. The authors have reported to CHEST the following conflicts of interest: Dr J.-L. Cracowski has received unrestricted research grants from Pfizer, Inc; Boiron, SA; Actelion Pharmaceuticals Ltd; and AMPLI; this also concerns Dr C. Cracowski as a member of the same household. Dr Chabot has received research grants and lecture fees from Actelion Pharmaceuticals Ltd; Bayer Schering Pharma AG; GlaxoSmithKline plc; Pfizer, Inc; and United Therapeutics Corporation. Dr Sitbon has been a consultant and served on scientific advisory boards for Actelion Pharmaceuticals Ltd; Bayer Schering Pharma AG; GlaxoSmithKline plc; Eli Lilly and Company; Pfizer, Inc; and United Therapeutics Corporation and is an investigator in trials involving these companies. Drs Simonneau and Humbert have been consultants and served on scientific advisory boards for Actelion Pharmaceuticals Ltd; Bayer Schering Pharma AG; GlaxoSmithKline plc; Eli Lilly and Company; Novartis Pharmaceuticals Corporation; Pfizer, Inc; and United Therapeutics Corporation and are investigators in trials involving these companies. Drs Degano, Labarere, Schwedhelm, Monneret, Iuliano, Schwebel, Chaouat, Reynaud-Gaubert, Faure, Maas, Renversez, and Yaici have reported that no potential conflicts of interest exist with any companies/organizations whose products or services may be discussed in this article.</t>
  </si>
  <si>
    <t>French Health Ministry; AGIRadom; Pneumologie Developpement; Pfizer, Inc.(Pfizer); French Institut National pour la sante et la Recherche Medicale (INSERM); Pfizer, Inc(Pfizer); Boiron, SA; Actelion Pharmaceuticals Ltd; AMPLI; Bayer Schering Pharma AG(Bayer AG); GlaxoSmithKline plc(GlaxoSmithKline); United Therapeutics Corporation</t>
  </si>
  <si>
    <t>French Health Ministry; AGIRadom; Pneumologie Developpement; Pfizer, Inc.; French Institut National pour la sante et la Recherche Medicale (INSERM); Pfizer, Inc; Boiron, SA; Actelion Pharmaceuticals Ltd; AMPLI; Bayer Schering Pharma AG; GlaxoSmithKline plc; United Therapeutics Corporation</t>
  </si>
  <si>
    <t>Monneret, Denis/0000-0002-6491-0607; SITBON, Olivier/0000-0002-1942-1951; Degano, Bruno/0000-0003-1644-7264; Maas, Renke/0000-0002-5498-9761; Labarere, Jose/0000-0001-7621-6586; Humbert, Marc/0000-0003-0703-2892; Iuliano, Luigi/0000-0002-0027-9326</t>
  </si>
  <si>
    <t>Labarère, José/N-1688-2014; schwebel, carole/M-6189-2014; Sitbon, Olivier/I-3623-2019; Simonneau, Gerald/ABE-6614-2020; Chaouat, Ari/AAP-6784-2021; Degano, Bruno/IAQ-7289-2023; , CRACOWSKI/M-6946-2014; Reynaud-Gaubert, Martine/P-6958-2016; Monneret, Denis/AFF-3297-2022; Humbert, Marc/AAC-8459-2019; Iuliano, Luigi/A-5266-2008</t>
  </si>
  <si>
    <t>Cracowski, JL (corresponding author), Grenoble Univ Hosp, Unite Pharmacol Clin, INSERM, CIC3, BP 217, F-38043 Grenoble 09, France.</t>
  </si>
  <si>
    <t>CHU Grenoble Alpes; CHU Grenoble Alpes; CHU Grenoble Alpes; CHU Grenoble Alpes; Communaute Universite Grenoble Alpes; Universite Grenoble Alpes (UGA); Institut National de la Sante et de la Recherche Medicale (Inserm); Communaute Universite Grenoble Alpes; Universite Grenoble Alpes (UGA); Centre National de la Recherche Scientifique (CNRS); Universite de Franche-Comte; CHU Besancon; CHU de Nancy; University of Hamburg; University Medical Center Hamburg-Eppendorf; Sapienza University Rome; CHU Strasbourg; Aix-Marseille Universite; Assistance Publique-Hopitaux de Marseille; University of Erlangen Nuremberg; Assistance Publique Hopitaux Paris (APHP); Universite Paris Cite; Hopital Universitaire Saint-Louis - APHP; Hopital Universitaire Antoine-Beclere - APHP; Hopital Marie Lannelongue; Institut National de la Sante et de la Recherche Medicale (Inserm); Universite Paris Saclay; Universite Paris Saclay</t>
  </si>
  <si>
    <t>[Cracowski, Jean-Luc; Cracowski, Claire] Univ Hosp, Dept Clin Pharmacol, French Inst Natl Sante &amp; Rech Med INSERM, CIC3, Grenoble, France; [Labarere, Jose] Univ Hosp, Qual Care Unit, Grenoble, France; [Monneret, Denis; Faure, Patrice; Renversez, Jean-Charles] Univ Hosp, Dept Integrated Biol, Grenoble, France; [Schwebel, Carole] Univ Hosp, Intens Care Unit, Grenoble, France; [Cracowski, Jean-Luc; Monneret, Denis; Faure, Patrice] Univ Grenoble 1, INSERM, U1042, Grenoble, France; [Labarere, Jose] Univ Grenoble 1, CNRS, Tech Ingn Med &amp; Complexite Unite Mixte Rech 5525, Grenoble, France; [Degano, Bruno] Univ Hosp, Dept Physiol, Besancon, France; [Chabot, Francois] Univ Hosp, Dept Pulmonol, Nancy, France; [Schwedhelm, Edzard; Maas, Renke] Univ Med Ctr Hamburg Eppendorf, Dept Clin Pharmacol &amp; Toxicol, Hamburg, Germany; [Iuliano, Luigi] Univ Roma La Sapienza, Dept Med Sci &amp; Biotechnol, Unit Vasc Med, Latina, Italy; [Chaouat, Ari] Univ Hosp, Dept Pulmonol, Strasbourg, France; [Reynaud-Gaubert, Martine] Univ Hosp, Dept Pulmonol, Marseille, France; [Maas, Renke] Univ Erlangen Nurnberg, Inst Expt &amp; Clin Pharmacol &amp; Toxicol, D-91054 Erlangen, Germany; [Sitbon, Olivier; Yaici, Azzedine; Simonneau, Gerald; Humbert, Marc] Hop Antoine Beclere, Assistance Publ Hop Paris, Ctr Reference Hypertens Pulm Severe, Pulmonol &amp; Resp Intens Care Dept, Clamart, France; [Sitbon, Olivier; Yaici, Azzedine; Simonneau, Gerald; Humbert, Marc] Ctr Chirurg Marie Lannelongue, INSERM, U999, Le Plessis Robinson, France; [Sitbon, Olivier; Yaici, Azzedine; Simonneau, Gerald; Humbert, Marc] Univ Paris 11, Le Kremlin Bicetre, France</t>
  </si>
  <si>
    <t>Objectives: Within the past decade, biochemical markers have emerged as attractive tools to assess pulmonary arterial hypertension (PAH) prognosis, being noninvasive and easily repeatable. The objective of this study was to determine whether biomarkers measured at initial diagnostic right-sided heart catheterization predict 3-year all-cause mortality for incident cases of PAR independently of clinical and hemodynamic parameters. Methods: Patients with incident PAR were enrolled between December 2003 and April 2006 in six centers from the French Network on Pulmonary Hypertension and followed for 3 years. Venous blood samples were taken during right-sided heart catheterization, and analyses were centralized. Results: Among 110 enrolled patients, 11 underwent lung or heart/lung transplantation, and 27 died during follow-up. The Kaplan-Meier estimates of survival were 91%, 78%, and 75% at 1, 2, and 3 years, respectively. Plasma big endothelin-1 (hazard ratio [HR] per 1-SD increase, 1.48; 95% CI, 1.14-1.92), serum troponin T&gt;0.01 mg/L (HR, 2.35; 95% CI, 1.05-5.29), and urinary F-2-isoprostanes (15-F-2t- isoprostane) (HR per 1-SD increase, 1.76; 95% CI, 1.31-2.36) were associated with increased unadjusted hazard of death. In multivariate analysis adjusting for patient characteristics, the level of urinary F-2-isoprostanes was the only biomarker that remained independently associated with increased hazard of death (HR per 1-SD increase, 1.82; 95% CI, 1.28-2.60). Conclusions: This study shows that levels of urinary F-2-isoprostane, a biomarker of lipid peroxidation, quantified at initial diagnostic right-sided heart catheterization are independently associated with mortality in a cohort of patients with incident PAR. CHEST 2012; 142(4):869-876</t>
  </si>
  <si>
    <t>BRAIN NATRIURETIC PEPTIDE; OXIDATIVE STRESS; LIPID-PEROXIDATION; OXIDANT STRESS; PLASMA; QUANTIFICATION; DYSFUNCTION; GUIDELINES; MORTALITY; DIAGNOSIS</t>
  </si>
  <si>
    <t>Independent Association of Urinary F2-Isoprostanes With Survival in Pulmonary Arterial Hypertension</t>
  </si>
  <si>
    <t>Cracowski, Jean-Luc; Degano, Bruno; Chabot, Francois; Labarere, Jose; Schwedhelm, Edzard; Monneret, Denis; Iuliano, Luigi; Schwebel, Carole; Chaouat, Ari; Reynaud-Gaubert, Martine; Faure, Patrice; Maas, Renke; Renversez, Jean-Charles; Cracowski, Claire; Sitbon, Olivier; Yaici, Azzedine; Simonneau, Gerald; Humbert, Marc</t>
  </si>
  <si>
    <t>Cracowski, JL; Degano, B; Chabot, F; Labarère, J; Schwedhelm, E; Monneret, D; Iuliano, L; Schwebel, C; Chaouat, A; Reynaud-Gaubert, M; Faure, P; Maas, R; Renversez, JC; Cracowski, C; Sitbon, O; Yaïci, A; Simonneau, G; Humbert, M</t>
  </si>
  <si>
    <t>WOS:000309898700016</t>
  </si>
  <si>
    <t>Green Submitted, Green Accepted, Green Published</t>
  </si>
  <si>
    <t>021PV</t>
  </si>
  <si>
    <t>10.1164/rccm.201203-0411OC</t>
  </si>
  <si>
    <t>Supported by a European Respiratory Society/Marie Curie Joint Research Fellowship MC 1120-2009 (F.S.d.M.). The research leading to these results has received funding from the European Respiratory Society and the European Community's Seventh Framework Program FP7/2007-2013 Marie Curie Actions grant agreement RESPIRE, PCOFUND-GA-2008-229571. Also supported by the Netherlands Organization for Scientific Research, grant Mozaiek 017.002.122 (M.L.H.) and Vidi 917.96.306 (A.V.-N.), The Hague, The Netherlands.</t>
  </si>
  <si>
    <t>European Respiratory Society/Marie Curie Joint Research Fellowship; European Respiratory Society; European Community; Netherlands Organization for Scientific Research, The Hague, The Netherlands(Netherlands Organization for Scientific Research (NWO)Netherlands Government)</t>
  </si>
  <si>
    <t>European Respiratory Society/Marie Curie Joint Research Fellowship [MC 1120-2009]; European Respiratory Society; European Community [PCOFUND-GA-2008-229571]; Netherlands Organization for Scientific Research, The Hague, The Netherlands [Mozaiek 017.002.122, Vidi 917.96.306]</t>
  </si>
  <si>
    <t>TU, Ly/0000-0003-2336-5099; Dorfmuller, Peter/0000-0003-2499-6829; Humbert, Marc/0000-0003-0703-2892; Perros, Frederic/0000-0001-7730-2427; van der Velden, Jolanda/0000-0001-5224-5788; Handoko-de Man, Frances/0000-0002-5776-7793; GUIGNABERT, Christophe/0000-0002-8545-4452</t>
  </si>
  <si>
    <t>Schalij, Ingrid/KHX-7100-2024; Simonneau, Gerald/ABE-6614-2020; van der Velden, J/D-1925-2016; boonstra, anco/J-5446-2014; TU, Ly/G-4035-2013; Humbert, Marc/AAC-8459-2019; Perros, Frederic/N-6921-2017; GUIGNABERT, Christophe/G-3873-2013</t>
  </si>
  <si>
    <t>de Man, FS (corresponding author), Vrije Univ Amsterdam, Med Ctr, Dept Pulmonol, Inst Cardiovasc Res, De Boelelaan 1117, NL-1081 HV Amsterdam, Netherlands.</t>
  </si>
  <si>
    <t>Vrije Universiteit Amsterdam; Vrije Universiteit Amsterdam; Institut National de la Sante et de la Recherche Medicale (Inserm); Hopital Marie Lannelongue; Universite Paris Saclay; Universite Paris Saclay; Assistance Publique Hopitaux Paris (APHP); Hopital Universitaire Antoine-Beclere - APHP; Universite Paris Saclay; Hopital Universitaire Bicetre - APHP</t>
  </si>
  <si>
    <t>[de Man, Frances S.; Handoko, M. Louis; Rain, Silvia; Ruiter, Gerrina; Schalij, Ingrid; Boonstra, Anco; Postmus, Piet E.; Vonk-Noordegraaf, Anton] Vrije Univ Amsterdam, Med Ctr, Dept Pulmonol, Inst Cardiovasc Res, NL-1081 HV Amsterdam, Netherlands; [de Man, Frances S.; Handoko, M. Louis; van der Velden, Iolanda] Vrije Univ Amsterdam, Med Ctr, Dept Physiol, Inst Cardiovasc Res, NL-1081 HV Amsterdam, Netherlands; [de Man, Frances S.; Tu, Ly; Francois, Charlene; Dorfmueller, Peter; Simonneau, Gerald; Fadel, Elie; Perros, Frederic; Humbert, Marc; Eddahibi, Saadia; Guignabert, Christophe] Ctr Chirurg Marie Lannelongue, LERMIT, LabEx, INSERM,UMR 999, Le Plessis Robinson, France; [de Man, Frances S.; Tu, Ly; Francois, Charlene; Dorfmueller, Peter; Simonneau, Gerald; Fadel, Elie; Perros, Frederic; Humbert, Marc; Eddahibi, Saadia; Guignabert, Christophe] Univ Paris 11, Sch Med, Le Kremlin Bicetre, France; [Simonneau, Gerald; Humbert, Marc] Hop Bicetre, AP HP, Ctr Reference Hypertens Pulm Severe, Serv Pneumol,DHU Thorax Innovat, Le Kremlin Bicetre, France</t>
  </si>
  <si>
    <t>Rationale: Patients with idiopathic pulmonary arterial hypertension (iPAH) often have a low cardiac output. To compensate, neurohormonal systems such as the renin-angiotensin-aldosterone system (RAAS) and the sympathetic nervous system are up-regulated, but this may have long-term negative effects on the progression of iPAH. Objectives: Assess systemic and pulmonary RAAS activity in patients with iPAH and determine the efficacy of chronic RAAS inhibition in experimental PAH. Methods: We collected 79 blood samples from 58 patients with iPAH in the VU University Medical Center Amsterdam (between 2004 and 2010) to determine systemic RAAS activity. Measurements and Main Results: We observed increased levels of renin, angiotensin (Ang)I, and AngII, which were associated with disease progression (P &lt; 0.05) and mortality (P &lt; 0.05). To determine pulmonary RAAS activity, lung specimens were obtained from patients with iPAH (during lung transplantation, n = 13) and control subjects (during lobectomy or pneumonectomy for cancer, n = 14). Local RAAS activity in pulmonary arteries of patients with iPAH was increased, demonstrated by elevated angiotensin-converting enzyme activity in pulmonary endothelial cells and increased AngII type 1 (AT(1)) receptor expression and signaling. In addition, local RAAS up-regulation was associated with increased pulmonary artery smooth muscle cell proliferation via enhanced AT(1) receptor signaling in patients with iPAH compared with control subjects. Finally, to determine the therapeutic potential of RAAS activity, we assessed the chronic effects of an AT(1) receptor antagonist (losartan) in the monocrotaline PAH rat model (60 mg/kg). Losartan delayed disease progression, decreased right ventricular afterload and pulmonary vascular remodeling, and restored right ventricular-arterial coupling in rats with PAH. Conclusions: Systemic and pulmonary RAAS activities are increased in patients with iPAH and are associated with increased pulmonary vascular remodeling. Chronic inhibition of RAAS by losartan is beneficial in experimental PAH.</t>
  </si>
  <si>
    <t>RIGHT HEART-FAILURE; CONVERTING ENZYME; CAPTOPRIL; SURVIVAL; PROGRESSION; ACTIVATION; EXPRESSION; PREVENTION; PHYSIOLOGY; LOSARTAN</t>
  </si>
  <si>
    <t>idiopathic pulmonary arterial hypertension; renin angiotensin system; endothelial cells; smooth muscle cells; monocrotaline</t>
  </si>
  <si>
    <t>Dysregulated Renin-Angiotensin-Aldosterone System Contributes to Pulmonary Arterial Hypertension</t>
  </si>
  <si>
    <t>de Man, Frances S.; Tu, Ly; Handoko, M. Louis; Rain, Silvia; Ruiter, Gerrina; Francois, Charlene; Schalij, Ingrid; Dorfmueller, Peter; Simonneau, Gerald; Fadel, Elie; Perros, Frederic; Boonstra, Anco; Postmus, Piet E.; van der Velden, Iolanda; Vonk-Noordegraaf, Anton; Humbert, Marc; Eddahibi, Saadia; Guignabert, Christophe</t>
  </si>
  <si>
    <t>de Man, FS; Tu, L; Handoko, ML; Rain, S; Ruiter, G; François, C; Schalij, I; Dorfmüller, P; Simonneau, G; Fadel, E; Perros, F; Boonstra, A; Postmus, PE; van der Velden, I; Vonk-Noordegraaf, A; Humbert, M; Eddahibi, S; Guignabert, C</t>
  </si>
  <si>
    <t>WOS:000311461900018</t>
  </si>
  <si>
    <t>042HI</t>
  </si>
  <si>
    <t>10.1183/09031936.00188611</t>
  </si>
  <si>
    <t>Montani, David/0000-0002-9358-6922; JAIS, XAVIER/0000-0002-4104-7994; Chaumais, Marie-Camille/0000-0002-1217-8442; Bourdin, Arnaud/0000-0002-4645-5209; SANCHEZ, Olivier/0000-0003-1633-8391; SITBON, Olivier/0000-0002-1942-1951; Humbert, Marc/0000-0003-0703-2892; Frachon, Irene/0000-0001-6666-9709; LAMBLIN, NICOLAS/0000-0003-3754-1241</t>
  </si>
  <si>
    <t>Reynaud-Gaubert, Martine/P-6958-2016; David, Montani/I-6885-2019; Bourdin, Philippe/D-8149-2015; Simonneau, Gerald/ABE-6614-2020; Bergot, Emmanuel/KHZ-1685-2024; Savale, Laurent/AAJ-9781-2020; Tubert-Bitter, Pascale/E-6118-2016; Sitbon, Olivier/I-3623-2019; Humbert, Marc/AAC-8459-2019</t>
  </si>
  <si>
    <t>Savale, L (corresponding author), Univ Paris Sud, Fac Med, F-94275 Le Kremlin Bicetre, France.</t>
  </si>
  <si>
    <t>Universite Paris Saclay; Universite Paris Saclay; Assistance Publique Hopitaux Paris (APHP); Hopital Universitaire Antoine-Beclere - APHP; Hopital Universitaire Bicetre - APHP; Institut National de la Sante et de la Recherche Medicale (Inserm); Hopital Marie Lannelongue; Assistance Publique Hopitaux Paris (APHP); Hopital Universitaire Antoine-Beclere - APHP; Universite Claude Bernard Lyon 1; CHU Lyon; CHU de Toulouse; CHU de Caen NORMANDIE; CHU Brest; Institut National de la Sante et de la Recherche Medicale (Inserm); CHU de Toulouse; Universite de Toulouse; Universite Toulouse III - Paul Sabatier; Communaute Universite Grenoble Alpes; Universite Grenoble Alpes (UGA); CHU Grenoble Alpes; Communaute Universite Grenoble Alpes; Universite Grenoble Alpes (UGA); Institut National de la Sante et de la Recherche Medicale (Inserm); Universite de Bordeaux; CHU Bordeaux; CHU Reunion; Universite de Lille; CHU Lille; Aix-Marseille Universite; Assistance Publique-Hopitaux de Marseille; Aix-Marseille Universite; Assistance Publique-Hopitaux de Marseille; Universite de Montpellier; CHU de Montpellier; Universite Paris Cite; Assistance Publique Hopitaux Paris (APHP); Universite Paris Cite; Hopital Universitaire Europeen Georges-Pompidou - APHP; Hopital Universitaire Hotel-Dieu - APHP; Hopital Universitaire Ambroise-Pare - APHP; Universite Paris Saclay; Institut National de la Sante et de la Recherche Medicale (Inserm); Universite Paris Saclay; Institut National de la Sante et de la Recherche Medicale (Inserm)</t>
  </si>
  <si>
    <t>[Savale, Laurent; Chaumais, Marie-Camille; Jais, Xavier; Montani, David; Sitbon, Olivier; Simonneau, Gerald; Humbert, Marc] Univ Paris Sud, Fac Med, F-94275 Le Kremlin Bicetre, France; [Savale, Laurent; Jais, Xavier; Montani, David; Sitbon, Olivier; Simonneau, Gerald; Humbert, Marc] Hop Bicetre, AP HP, Ctr Reference Hypertens Pulm Severe, Serv Pneumol &amp; Soins Intensifs, Le Kremlin Bicetre, France; [Savale, Laurent; Chaumais, Marie-Camille; Jais, Xavier; Montani, David; Sitbon, Olivier; Simonneau, Gerald; Humbert, Marc] Ctr Chirurg Marie Lannelongue, INSERM, Hypertens Arterielle Pulm Physiopathol &amp; Innovat, Le Plessis Robinson, France; [Chaumais, Marie-Camille] Hop Antoine Beclere, AP HP, Serv Pharm, Clamart, France; [Cottin, Vincent] Univ Lyon 1, Hop Louis Pradel, Serv Pneumol, HCL,Ctr Reference Malad Pulm Rares, F-69365 Lyon, France; [Bergot, Emmanuel] Ctr Hosp Univ, Serv Pneumol, Caen, France; [Frachon, Irene] CHU Cavale Blanche, Grp HTAP Bretagne Occidentale, Dept Med Interne &amp; Pneumol, EA GETBO 3878,IFR 148, Brest, France; [Prevot, Gregoire] CHU, Hop Larrey, Serv Pneumol, Toulouse, France; [Pison, Christophe] CHU Grenoble, Dept Cancerol, F-38043 Grenoble, France; [Pison, Christophe] Univ Grenoble 1, Inserm 1055, Grenoble, France; [Dromer, Claire] CHU, Hop Haut Levesque, Serv Chirurg Thorac, Bordeaux, France; [Poubeau, Patrice] GHSR, Serv Malad Infect, St Pierre, Reunion, France; [Lamblin, Nicolas] CHRU, Hop Cardiol, Serv Cardiol, Lille, France; [Habib, Gilbert] CHU, Hop la Timone, Serv Cardiol, Marseille, France; [Reynaud-Gaubert, Martine] Univ Mediterranee, CHU Nord, AP HM, Serv Pneumol, Marseille, France; [Bourdin, Arnaud] CHU, Hop Arnaud de Villeneuve, Serv Malad Resp, Montpellier, France; [Sanchez, Olivier] Univ Paris 05, Paris, France; [Sanchez, Olivier] Univ Paris 05, Hop Europeen Georges Pompidou, APHP, Serv Pneumol &amp; Soins Intensifs, Paris, France; [Tubert-Bitter, Pascale] INSERM, U1018, CESP Ctr Rech Epidemiol &amp; Sante Populat, Equipe Biostat, F-94807 Villejuif, France; [Tubert-Bitter, Pascale] Univ Paris 11, UMRS 1018, F-94807 Villejuif, France</t>
  </si>
  <si>
    <t>Benfluorex was marketed in France until 2009, despite its similar pharmacological properties with fenfluramine and its derivatives known to be a cause of pulmonary arterial hypertension (PAH). The aim of this study is to report clinical and haemodynamic characteristics for patients suffering from pulmonary hypertension (PH) associated with benfluorex exposure that had been identified by the French PAH Network. 85 cases of PH associated with benfluorex exposure were identified by the French PAH Network from June 1999 to March 2011. Of these, 70 patients had confirmed pre-capillary PH. The median duration of exposure was 30 months, with a median of 108 months between start of exposure and diagnosis of the pulmonary vascular disease. 33% of all patients also had prior exposure to fenfluramine or dexfenfluramine, and an additional risk factor for PH was identified in 20 (30%) out of 70 patients with pre-capillary PH. A quarter of patients in this current series showed coexisting PH and mild-to-moderate cardiac valve involvement. The results of our study, together with the accumulated data regarding the known toxic effects of fenfluramine and dexfenfluramine, strongly suggest that benfluorex exposure is a potent trigger for PAH.</t>
  </si>
  <si>
    <t>VALVULAR HEART-DISEASE; ARTERIAL-HYPERTENSION; ANOREXIGEN AMINOREX; VASCULAR ORIGIN; FENFLURAMINE; ARTERIOPATHY; GUIDELINES; MUTATIONS; EPIDEMIC; LESSONS</t>
  </si>
  <si>
    <t>Anorectic agents; benfluorex; fenfluramine derivates; pulmonary hypertension; valvular heart disease</t>
  </si>
  <si>
    <t>Pulmonary hypertension associated with benfluorex exposure</t>
  </si>
  <si>
    <t>Savale, Laurent; Chaumais, Marie-Camille; Cottin, Vincent; Bergot, Emmanuel; Frachon, Irene; Prevot, Gregoire; Pison, Christophe; Dromer, Claire; Poubeau, Patrice; Lamblin, Nicolas; Habib, Gilbert; Reynaud-Gaubert, Martine; Bourdin, Arnaud; Sanchez, Olivier; Tubert-Bitter, Pascale; Jais, Xavier; Montani, David; Sitbon, Olivier; Simonneau, Gerald; Humbert, Marc</t>
  </si>
  <si>
    <t>Savale, L; Chaumais, MC; Cottin, V; Bergot, E; Frachon, I; Prevot, G; Pison, C; Dromer, C; Poubeau, P; Lamblin, N; Habib, G; Reynaud-Gaubert, M; Bourdin, A; Sanchez, O; Tubert-Bitter, P; Jaïs, X; Montani, D; Sitbon, O; Simonneau, G; Humbert, M</t>
  </si>
  <si>
    <t>WOS:000311010100016</t>
  </si>
  <si>
    <t>036EV</t>
  </si>
  <si>
    <t>10.1378/chest.11-2490</t>
  </si>
  <si>
    <t>The authors have reported to CHEST the following conflicts of interest: Dr Jais has relationships with drug companies including Actelion Pharmaceuticals Ltd, GlaxoSmithKline, and Pfizer, Inc. In addition to being an investigator in trials involving these companies, relationships include consultancy service and membership on scientific advisory boards. Dr Dorfmuller participates as a speaker in academic courses organized biannually and financed by Actelion Pharmaceuticals Ltd. Dr Simonneau has relationships with drug companies including Actelion Pharmaceuticals Ltd; Bayer; Schering-Plough; GlaxoSmithKline; Eli Lilly and Company; Novartis AG; Pfizer, Inc; and United Therapeutics Corp. In addition to being an investigator in trials involving these companies, relationships include consultancy service and membership on scientific advisory boards. Dr Humbert has relationships with drug companies including Adelion Pharmaceuticals Ltd; AstraZeneca; Bayer; Schering-Plough; Chiesi Ltd; GlaxoSmith Kline; Eli Lilly and Company; Merck Sharp &amp; Dohme; Novartis AG; Takeda Pharmaceuticals International GmbH; Pfizer, Inc; and United Therapeutics Corp. In addition to being an investigator in trials involving these companies, relationships include consultancy service and membership on scientific advisory boards. Drs LePavec, Lrillon, Tcherakian, and Feuillet have reported that no potential conflicts of interest exist with any companies/organizations whose products or services may be discussed in this article.</t>
  </si>
  <si>
    <t>Actelion Pharmaceuticals Ltd</t>
  </si>
  <si>
    <t>Humbert, Marc/0000-0003-0703-2892; JAIS, XAVIER/0000-0002-4104-7994; Le Pavec, Jerome/0000-0003-4426-9645; Dorfmuller, Peter/0000-0003-2499-6829</t>
  </si>
  <si>
    <t>Tcherakian, Colas/D-8813-2016; Simonneau, Gerald/ABE-6614-2020; Humbert, Marc/AAC-8459-2019</t>
  </si>
  <si>
    <t>Tazi, A (corresponding author), Univ Paris Diderot, Ctr Natl Reference Histiocytose Langerhansienne, Hop St Louis, Assistance Publ Hop Paris,Serv Pneumol, 1 Ave Claude Vellefaux, F-75475 Paris 10, France.</t>
  </si>
  <si>
    <t>Assistance Publique Hopitaux Paris (APHP); Universite Paris Cite; Hopital Universitaire Saint-Louis - APHP; Universite Paris Saclay; Assistance Publique Hopitaux Paris (APHP); Hopital Universitaire Antoine-Beclere - APHP; Institut National de la Sante et de la Recherche Medicale (Inserm); Hospital Foch; Hopital Marie Lannelongue</t>
  </si>
  <si>
    <t>[Le Pavec, Jerome; Lorillon, Gwenael; Feuillet, Severine; Tazi, Abdellatif] Univ Paris Diderot, Ctr Natl Reference Histiocytose Langerhansienne, Hop St Louis, Assistance Publ Hop Paris,Serv Pneumol, F-75475 Paris 10, France; [Jais, Xavier; Dorfmueller, Peter; Simonneau, Gerald; Humbert, Marc] Univ Paris 11, Fac Med, Le Kremlin Bicetre, France; [Jais, Xavier; Simonneau, Gerald; Humbert, Marc] Hop Antoine, Assistance Publ Hop Pari, Ctr Natl Reference Hypertens Pulm Severe, Serv Pneumol &amp; Reanimat Resp, Clamart, France; [Jais, Xavier; Dorfmueller, Peter; Simonneau, Gerald; Humbert, Marc] INSERM, U999, Clamart, France; [Tcherakian, Colas] Hop Foch, Serv Pneumol, Suresnes, France; [Dorfmueller, Peter] Ctr Chirurg Marie Lannelongue, Serv Anat &amp; Cytol Pathol, Le Plessis Robinson, France</t>
  </si>
  <si>
    <t>Background: Precapillary pulmonary hypertension (PH) is a complication of pulmonary Langerhans cell histiocytosis (PLCH) associated with increased mortality. However, outcomes and efficacy of pulmonary arterial hypertension (PAH) therapies in patients with PH complicating PLCH (PLCH-PH) remain unknown. Methods: Consecutive patients with PLCH with PH confirmed by right-sided heart catheterization were included in the study. Characteristics at baseline and during follow-up as well as survival were analyzed. Results: Twenty-nine patients were studied. Baseline characteristics of patients with PLCH-PH were as follows: 83% of patients in World Health Organization (WHO) functional class III to IV, mean 6-min walk distance of 355 +/- 95 m, mean pulmonary arterial pressure (mPAP) of 45 +/- 14 mm Hg, cardiac index of 3.2 +/- 0.9 L/min/m(2), and pulmonary vascular resistance (PVR) of 555 +/- 253 dyne/s/cm(5). Use of PAH therapy in 12 patients was followed by an improvement in mPAP (56 +/- 14 mm Hg and 45 +/- 12 mm Hg, P = .03) and PVR (701 +/- 239 dyne/s/cm(5) and 469 +/- 210 dyne/s/cm(5), P = .01) between baseline and follow-up evaluations. No significant oxygen worsening was observed in the treated group. The 1-, 3-, and 5-year survival estimates of the 29 patients were 96%, 92%, and 73%, respectively. Except a trend toward a better survival rate associated with the use of PAH therapy, WHO functional class was the only variable significantly associated with death. Conclusions: In this group of patients, PAH therapies improved hemodynamics without oxygen worsening or pulmonary edema. WHO functional class was the only prognostic factor identified. Prospective clinical trials focusing on this population of patients are warranted. CHEST 2012; 142(5):1150-1157</t>
  </si>
  <si>
    <t>DISEASE; LUNG; EVOLUTION</t>
  </si>
  <si>
    <t>Pulmonary Langerhans Cell Histiocytosis-Associated Pulmonary Hypertension Clinical Characteristics and Impact of Pulmonary Arterial Hypertension Therapies</t>
  </si>
  <si>
    <t>Le Pavec, Jerome; Lorillon, Gwenael; Jais, Xavier; Tcherakian, Colas; Feuillet, Severine; Dorfmueller, Peter; Simonneau, Gerald; Humbert, Marc; Tazi, Abdellatif</t>
  </si>
  <si>
    <t>Le Pavec, J; Lorillon, G; Jaïs, X; Tcherakian, C; Feuillet, S; Dorfmüller, P; Simonneau, G; Humbert, M; Tazi, A</t>
  </si>
  <si>
    <t>WOS:000309654900024</t>
  </si>
  <si>
    <t>018IZ</t>
  </si>
  <si>
    <t>10.1136/annrheumdis-2012-201755</t>
  </si>
  <si>
    <t>The authors thank the European League Against Rheumatism Scleroderma Trials and Research group (EUSTAR) for facilitating the DNA collection and supporting the project, the KORA S4 study and HYPERGENE consortium for providing data, respectively, from German and Italian controls, the French members of the GENESYS Consortium (Patrick Carpentier (Grenoble), Jean Sibilia (Strasbourg), Jean Cabane (Paris), Luc Mouthon (Paris), Camille Frances (Paris), Zahir Amoura (Paris), Anne Cosnes (Creteil)). The authors also thank Dr J Benessiano and Prof B Grandchamp (Centre de Ressources Biologiques, Hopital Bichat, Etablissement Francais du Sang (Paris), for their assistance in setting up the French Caucasian control sample. This study was supported by the Association des Sclerodermiques de France, INSERM, Agence Nationale pour la Recherche (grant R07094KS). YA is the recipient of an investigator-initiated research grant from Pfizer.</t>
  </si>
  <si>
    <t>European League Against Rheumatism Scleroderma Trials and Research group (EUSTAR); Association des Sclerodermiques de France; INSERM(Institut National de la Sante et de la Recherche Medicale (Inserm)); Agence Nationale pour la Recherche(Agence Nationale de la Recherche (ANR)); Pfizer(Pfizer)</t>
  </si>
  <si>
    <t>European League Against Rheumatism Scleroderma Trials and Research group (EUSTAR); Association des Sclerodermiques de France; INSERM; Agence Nationale pour la Recherche [R07094KS]; Pfizer</t>
  </si>
  <si>
    <t>Muller-Nurasyid, Martina/0000-0003-3793-5910; Cuomo, Giovanna/0000-0002-4292-3589; RICCIERI, Valeria/0000-0002-7507-5483; Humbert, Marc/0000-0003-0703-2892; Dieude, Philippe/0000-0002-4814-0307; boileau, catherine/0000-0002-0371-7539; Koumakis, Eugenie/0000-0001-8237-7386; Kowal-Bielecka, Otylia/0000-0002-0613-1306; HACHULLA, ERIC/0000-0001-7432-847X</t>
  </si>
  <si>
    <t>Gabrielli, Armando/AAC-3173-2019; Walker, Ulrich/KMA-2190-2024; , CRACOWSKI/M-6946-2014; Koumakis, Eugenie/HLX-3297-2023; Wichmann, Heinz/AAA-5695-2022; CHIOCCHIA, Gilles/F-6287-2013; HACHULLA, ERIC/R-8488-2018; Riemekasten, Gabriela/B-5019-2017; Distler, Oliver/AAE-6225-2019; MATUCCI CERINIC, MARCO/AAO-2769-2020; Muller-Nurasyid, Martina/I-8735-2018; RICCIERI, Valeria/AAC-6079-2022; Humbert, Marc/AAC-8459-2019; boileau, catherine/M-4482-2017; Kowal-Bielecka, Otylia/T-3378-2018</t>
  </si>
  <si>
    <t>Allanore, Y (corresponding author), Paris Descartes Univ, Serv Rhumatol A, Rheumatol Dept A, Cochin Hosp,APHP, 27 Rue Faubourg St Jacques, F-75014 Paris, France.</t>
  </si>
  <si>
    <t>Assistance Publique Hopitaux Paris (APHP); Universite Paris Cite; Hopital Universitaire Hotel-Dieu - APHP; Hopital Universitaire Cochin - APHP; Hopital Universitaire Ambroise-Pare - APHP; Universite Paris Cite; Institut National de la Sante et de la Recherche Medicale (Inserm); Assistance Publique Hopitaux Paris (APHP); Universite Paris Cite; Hopital Universitaire Bichat-Claude Bernard - APHP; Institut National de la Sante et de la Recherche Medicale (Inserm); INRAE; Universite Paris Saclay; University of Erlangen Nuremberg; University of Florence; University of Florence; University of Florence; Universite Paris Saclay; Assistance Publique Hopitaux Paris (APHP); Hopital Universitaire Antoine-Beclere - APHP; Hopital Marie Lannelongue; Institut National de la Sante et de la Recherche Medicale (Inserm); Universite Paris Saclay; Berlin Institute of Health; Free University of Berlin; Humboldt University of Berlin; Charite Universitatsmedizin Berlin; Leibniz Association; Deutsches Rheuma-Forschungszentrum (DRFZ); Hospital Spedali Civili Brescia; University of Freiburg; Universite de Lille; University of Milan; Helmholtz Association; Helmholtz-Center Munich - German Research Center for Environmental Health; University of Munich; University of Munich; University of Cologne; Sorbonne Universite; Assistance Publique Hopitaux Paris (APHP); Hopital Universitaire Saint-Antoine - APHP; University of Verona; Institut National de la Sante et de la Recherche Medicale (Inserm); CHU Tours; Medical University of Bialystok; Universita della Campania Vanvitelli; University of Basel; University of Pecs; University of Belgrade; Helmholtz Association; Helmholtz-Center Munich - German Research Center for Environmental Health; University of Munich; University of Munich; Kerckhoff Clinic; Justus Liebig University Giessen; Sapienza University Rome; Communaute Universite Grenoble Alpes; Universite Grenoble Alpes (UGA); CHU Grenoble Alpes; Institut National de la Sante et de la Recherche Medicale (Inserm); University of Padua; Azienda Ospedaliera - Universita di Padova; National &amp; Kapodistrian University of Athens; Athens Medical School; Institut National de la Sante et de la Recherche Medicale (Inserm); Assistance Publique Hopitaux Paris (APHP); Universite Paris Cite; Hopital Universitaire Bichat-Claude Bernard - APHP; Assistance Publique Hopitaux Paris (APHP); Hopital Universitaire Ambroise-Pare - APHP</t>
  </si>
  <si>
    <t>[Allanore, Yannick] Paris Descartes Univ, Serv Rhumatol A, Rheumatol Dept A, Cochin Hosp,APHP, F-75014 Paris, France; [Koumakis, Eugenie; Wipff, Julien; Ruiz, Barbara; Revillod, Lucile; Chiocchia, Gilles; Allanore, Yannick] Paris Descartes Univ, INSERM, U1016, Inst Cochin, Sorbonne Paris Cite, Paris, France; [Dieude, Philippe] Univ Paris 07, Dept Rhumatol, INSERM, U699,Hop Bichat, Paris, France; [Bouaziz, Matthieu; Guedj, Mickael] Univ Evry Val dEssonne, UMR CNRS 8071, INRA 1152, Evry, France; [Distler, Joerg H. W.] Univ Erlangen Nurnberg, Dept Internal Med 3, Inst Clin Immunol, D-91054 Erlangen, Germany; [Matucci-Cerinic, Marco] Univ Florence, Dept Biomed, Florence, Italy; [Matucci-Cerinic, Marco] Univ Florence, Div Rheumatol AOUC, Dept Rheumatol AVC, Dept Med, Florence, Italy; [Matucci-Cerinic, Marco] Univ Florence, Denothe Ctr, Florence, Italy; [Humbert, Marc] Univ Paris Sud, F-94275 Le Kremlin Bicetre, France; [Humbert, Marc] Hop Antoine Beclere, AP HP, Clamart, France; [Humbert, Marc] Ctr Chirurg Marie Lannelongue, INSERM, U999, Le Plessis Robinson, France; [Riemekasten, Gabriella] Charite, Dept Rheumatol &amp; Clin Immunol, Berlin, Germany; [Riemekasten, Gabriella] German Rheumatism Res Ctr, Berlin, Germany; [Airo, Paolo] Spedali Civil Brescia, Dept Rheumatol &amp; Clin Immunol, I-25125 Brescia, Italy; [Melchers, Inga] Univ Med Ctr, Dept Clin Res, Rheumatol Unit, Freiburg, Germany; [Hachulla, Eric] Univ Lille 2, Dept Med Interne, Lille, France; [Cusi, Daniele] Univ Milan, Dept Med Surg &amp; Dent, San Paolo Sch Med, Milan, Italy; [Cusi, Daniele; Lupoli, Sara] Fdn Filarete, Milan, Italy; [Wichmann, H-Erich] German Res Ctr Environm Hlth, Inst Epidemiol 1, Helmholtz Zentrum Munchen, Neuherberg, Germany; [Wichmann, H-Erich; Mueller-Nurasyid, Martina] Univ Munich, Inst Med Informat Biometry &amp; Epidemiol, Chair Epidemiol, Munich, Germany; [Wichmann, H-Erich] Univ Munich, Klinikum Grosshadern, D-8000 Munich, Germany; [Hunzelmann, Nicolas] Univ Cologne, Dept Dermatol, Cologne, Germany; [Tiev, Kiet] Univ Paris 06, Serv Med Interne, Hop St Antoine, Paris, France; [Caramaschi, Paola] Univ Verona, Dept Clin &amp; Expt Med, Rheumatol Unit, I-37100 Verona, Italy; [Diot, Elisabeth] CHU Bretonneau, INSERM, U618, IFR 135, F-37044 Tours, France; [Kowal-Bielecka, Otylia] Med Univ Bialystok, Dept Rheumatol &amp; Internal Med, Bialystok, Poland; [Cuomo, Giovanna] Univ Naples 2, Dept Clin &amp; Expt Med, Rheumatol Unit, Naples, Italy; [Walker, Ulrich] Univ Basel, Dept Rheumatol, Basel, Switzerland; [Czirjak, Laszlo] Univ Pecs, Dept Immunol &amp; Rheumatol, Pecs, Hungary; [Damjanov, Nemanja] Univ Belgrade, Inst Rheumatol, Sch Med, Belgrade, Serbia; [Conti, Costanza] Kos Genet SRL, Milan, Italy; [Mueller-Nurasyid, Martina] German Res Ctr Environm Hlth, Inst Genet Epidemiol, Helmholtz Zentrum Munchen, Neuherberg, Germany; [Mueller-Nurasyid, Martina] Univ Munich, Chair Genet Epidemiol, Munich, Germany; [Mueller-Nurasyid, Martina] Univ Munich, Dept Med 1, Univ Hosp Grosshadern, Munich, Germany; [Mueller-Ladner, Ulf] Univ Giessen, Dept Rheumatol &amp; Clin Immunol, Kerckhoff Klin, Bad Nauheim, Germany; [Riccieri, Valeria] Univ Roma La Sapienza, Dept Med Clin &amp; Therapy, Div Rheumatol, Rome, Italy; [Cracowski, Jean-Luc] CHU Grenoble, INSERM CIC3, F-38043 Grenoble, France; [Cozzi, Franco] Univ Padua Polyclin, Cattedra Reumatol, Dip Med Clin &amp; Sperimentale, Padua, Italy; [Vlachoyiannopoulos, P.; Chiocchia, Gilles] Univ Athens, Sch Med, Dept Pathophysiol, GR-11527 Athens, Greece; [Boileau, Catherine] Hop Xavier Bichat, INSERM, U698, Paris, France; [Boileau, Catherine] Hop Ambroise Pare, Dept Biochem Genet &amp; Hormonol, Boulogne, France</t>
  </si>
  <si>
    <t>Introduction Systemic sclerosis (SSc)-related pulmonary arterial hypertension (PAH) has emerged as a major mortality prognostic factor. Mutations of transforming growth factor beta (TGF beta) receptor genes strongly contribute to idiopathic and familial PAH. Objective To explore the genetic bases of SSc-PAH, we combined direct sequencing and genotyping of candidate genes encoding TGF beta receptor family members. Materials and methods TGF beta receptor genes, BMPR2, ALK1, TGFR2 and ENG, were sequenced in 10 SSc-PAH patients, nine SSc and seven controls. In addition, 22 single-nucleotide polymorphisms (SNP) of these four candidate genes were tested for association in a first set of 824 French Caucasian SSc patients (including 54 SSc-PAH) and 939 controls. The replication set consisted of 1516 European SSc (including 219 SSc-PAH) and 3129 controls from the European League Against Rheumatism Scleroderma Trials and Research group network. Results No mutation was identified by direct sequencing. However, two repertoried SNP, ENG rs35400405 and ALK1 rs2277382, were found in SSc-PAH patients only. The genotyping of 22 SNP including the latter showed that only rs2277382 was associated with SSc-PAH (p=0.0066, OR 2.13, 95% CI 1.24 to 3.65). Nevertheless, this was not replicated with the following result in combined analysis: p=0.123, OR 0.79, 95% CI 0.59 to 1.07. Conclusions This study demonstrates the lack of association between these TGF beta receptor gene polymorphisms and SSc-PAH using both sequencing and genotyping methods.</t>
  </si>
  <si>
    <t>HEREDITARY HEMORRHAGIC TELANGIECTASIA; MUTATIONS; DISEASE; ASSOCIATION; ALK-1</t>
  </si>
  <si>
    <t>TGFβ receptor gene variants in systemic sclerosis-related pulmonary arterial hypertension: results from a multicentre EUSTAR study of European Caucasian patients</t>
  </si>
  <si>
    <t>Koumakis, Eugenie; Wipff, Julien; Dieude, Philippe; Ruiz, Barbara; Bouaziz, Matthieu; Revillod, Lucile; Guedj, Mickael; Distler, Joerg H. W.; Matucci-Cerinic, Marco; Humbert, Marc; Riemekasten, Gabriella; Airo, Paolo; Melchers, Inga; Hachulla, Eric; Cusi, Daniele; Wichmann, H-Erich; Hunzelmann, Nicolas; Tiev, Kiet; Caramaschi, Paola; Diot, Elisabeth; Kowal-Bielecka, Otylia; Cuomo, Giovanna; Walker, Ulrich; Czirjak, Laszlo; Damjanov, Nemanja; Lupoli, Sara; Conti, Costanza; Mueller-Nurasyid, Martina; Mueller-Ladner, Ulf; Riccieri, Valeria; Cracowski, Jean-Luc; Cozzi, Franco; Bournia, Vasiliki Kalliopi; Vlachoyiannopoulos, P.; Chiocchia, Gilles; Boileau, Catherine; Allanore, Yannick</t>
  </si>
  <si>
    <t>Koumakis, E; Wipff, J; Dieudé, P; Ruiz, B; Bouaziz, M; Revillod, L; Guedj, M; Distler, JHW; Matucci-Cerinic, M; Humbert, M; Riemekasten, G; Airo, P; Melchers, I; Hachulla, E; Cusi, D; Wichmann, HE; Hunzelmann, N; Tiev, K; Caramaschi, P; Diot, E; Kowal-Bielecka, O; Cuomo, G; Walker, U; Czirják, L; Damjanov, N; Lupoli, S; Conti, C; Müller-Nurasyid, M; Müller-Ladner, U; Riccieri, V; Cracowski, JL; Cozzi, F; Bournia, VK; Vlachoyiannopoulos, P; Chiocchia, G; Boileau, C; Allanore, Y</t>
  </si>
  <si>
    <t>WOS:000310571400003</t>
  </si>
  <si>
    <t>030LE</t>
  </si>
  <si>
    <t>10.1016/j.jaci.2012.07.053</t>
  </si>
  <si>
    <t>J. Bousquet has received honoraria from Stallergenes, Actelion, Almirall, AstraZeneca, Chiesi, GlaxoSmithKline, Merck, Novartis, OM Pharma, Sanofi, Teva, and Uriach. P. Demoly is a speaker for and on the advisory board of Stallergenes and ALK-Abello; is a consultant for Therabel and Crucell; is a speaker for Merck/Schering- Plough, AstraZeneca, and GlaxoSmithKline; has received research support from Stallergenes and ALK-Abello; and is the Vice President of the European Academy of Allergy and Clinical Immunology (EAACI). S. Bonini has a scientific board member and speaker at Symposia sponsored by A. Menarini, MS&amp;D, Novartis, Nycomed/Takeda, PHADIA/Thermo Fischer, and Stallergenes and is a member of the LIBRA (Italian Guidelines for Asthma, Rhinitis, and COPD) executive board. L. P. Boulet is on the advisory boards for AstraZeneca, GlaxoSmithKline, Merck Frosst, and Novartis; has received lecture fees from 3M, AstraZeneca, GlaxoSmithKline, Merck Frosst, and Novartis; has received research support from Altair, Amgen, Asmacure, AstraZeneca, Boehringer-Ingelheim, Genentech, GlaxoSmithKline, Pharmaxis, Schering, Wyeth, and Merck Frosst; is chair for the Canadian Thoracic Society Respiratory Guidelines Committee and the Global Initiative for Asthma (GINA) Guidelines and Implementation Committee; is an organizational holder for the Laval University Chair on Knowledge Transfer, Prevention and Education in Respiratory and Cardiovascular Health; and is a member of the Knowledge Translation Canada. T. B. Casale is on the Stallergenes advisory board, is a consultant for Roche has received research support from Stallergenes and Roche, and is Executive Vice President for the American Academy of Allergy, Asthma &amp; Immunology (AAAAI). A. A. Cruz is an advisor and lecturer for Merck and Mantecorp; is a lecturer for GlaxoSmithKline, Novartis, Chiesi, and Aventis; has received an educational grant from Ache; and has received research support from the Brazilian Research Council, Fundacao de Amparo a Pesquisa da Bahia, and GlaxoSmithKline. W. J. Fokkens has received research support from GlaxoSmithKline and provided legal consultation/expert witness testimony for Stallergenes. J. A. Fonseca has received lecture and consulting fees from Merck has received research support from the Fundacao Ciencia e Tecnologia and is Vice President of the Sociedade Portuguesa de Alergologia e Immunologia Clinica. L. Grouse has received funds from Novartis for personal services. T. Haahtela has received lecture fees from Abdi Ibrahim, GlaxoSmithKline, MSD, and OrionPharma and has received research support from Stallergenes. K. C. Lodrup Carlsen has received research support from MeDALL EU. R. Naclerio is on the speaker's bureau for Merck and Sunovion; is a consultant for Teva, Kalypsys, and Regeneron; and has received research support from Nasonebs, GlaxoSmithKline, Merck, and McNeal. K. Ohta has received lecture honoraria from MSD, Novartis, and GlaxoSmithKline. S. Palkonen's employer received grants from Novartis, GlaxoSmithKline, Boehringer-Ingelheim, Pfizer, Chiesi, ALK-Abello , Stallergenes, Nycomed, AstraZeneca, and Air Liquid Healthcare. N. G. Papadopoulos has received honoraria from Merck, AllergoPharma, Abbott, and Uriach. D. r r Price has received consultancy fees from Merck, Mundipharma, Novartis, GlaxoSmithKline, Almirall, Chiesi, Kyorin, and Teva; has received consultancy fees and grants from Pfizer, AstraZeneca, and Boehringer-Ingelheim; has received research support from the UK National Health Service, Aerocrine, and Nycomed; holds shares in AKL Ltd; and is director of Research in Real Life Ltd. D. Ryan is a consultant for Uriach and is Allergy Lead for the International Primary Care Respiratory Group. F. E. R. Simons is on the Rupatadine Medical Advisory Board. D. Williams's spouse is employed by GlaxoSmithKline. A. Yorgancioglu has received honoraria from MSD, GlaxoSmithKline, and Novartis and has received research support from Chiesi. O. M. Yosuf has received honoraria from and is director and chair of research for the International Primary Care Respiratory Group. C. A. Akdis has received research support from Novartis, PREDICTA, Swiss National Science Foundation, MeDALL, the Global Allergy and Asthma European Network (GA 2LEN), and the Christine Kuthe Center for Allergy Research and Education; has provided legal consultation/expert witness testimony on the topics of Actellion Th2-specific receptors, Aventis T-cell and B-cell regulation, Stallergenes allergen-specific immunotherapy, and Allergopharma allergen-specific immunotherapy; is a Fellow and interest group member of the AAAAI; is president of the EAACI; and is a GA 2LEN ex-com memberWPleader. I. J. Ansotegui has received consulting fees and honoraria from Faes Farma and Bial, has received consulting fees from Johnson &amp; Johnson and Sanofi, and has received honoraria from AstraZeneca. E. D. Bateman is a consultant for and on the advisory board of Almirall; is on the advisory board of Forest, Novartis, Napp Pharma, and Actelion; has received lecture and consultancy fees and grants and is on the advisory board for Boehringer Ingelheim; has received lecture fees and is on the advisory board for GlaxoSmithKline, Nycomed, and AstraZeneca; is a consultant for ALK-Abello; and is the GINA chair of board. E. H. Bel has received research support from GlaxoSmithKline, Novartis, and Innovative Medicine Initiative (EU). M. S. Blaiss is a speaker for GlaxoSmithKline, Merck, AstraZeneca, Nycomed, Sunovion, and Genentech; is a consultant for Alcon, ISTA, Allergan, Proctor &amp; Gamble, and Pfizer; has received research support from GlaxoSmithKline; and is HAD treasurer. M. A. Calderon is a speaker for ALK-Abello, Merck, and STG. K. H. Carlsen has received research support from Helse Sor-Ost RHF (Southern and Eastern Norway Regional Health Authority). W. Carr is a consultant for and has received research support from MEDA, Alcon, and ISTA. A. M. Cepeda is a speaker for MSD, AstraZeneca, and Novartis and has received research support from Novartis and Universidad Metropolitana. L. Cox is a speaker for Thermo-Fisher and ISTA and has received research support from Stallergenes and Teva. A. Custovic has received lecture fees from GlaxoSmithKline, Thermo-Fisher, MSD, and Airsonett; is on the advisory board for Novartis; and has received research support from the Medical Research Council and Moulton Charitable Trust. R. Dahl has received lecture fees from ALK-Abello and MSD, has received research support from ALK-Abello and Stallergenes, and is chair of the Danish Respiratory Society. U. Darsow is a consultant for Benoard. F. De Blay has received research support from Stallergenes, ALK-Abello, Novartis, GlaxoSmithKline, AB Science, and Amgen. J. A. r r Denburg has received research support from the Canadian Institutes for Health Research and AllerGen NCE. P. Devillier has received consultancy fees and honoraria from Stallergenes and has received consultancy fees from Merck/Schering-Plough, GlaxoSmithKline, and AstraZeneca. S. R. Durham is a consultant and speaker for ALK-Abello and Merck, is a speaker for GlaxoSmithKline, has received consultancy fees from Boehringer Ingelheim and Circassia, has received research support from ALK-Abello and Novartis, has provided legal consultation/expert witness testimony on the topic of topical corticosteroids and antihistamines in allergic rhinitis is on the Immune Tolerance Network/National Institute of Allergy and Infectious Diseases (NIAID) steering committee, and is on the British Society for Allergy and Clinical Immunology standards of care committee. M. S. Dykewicz is a consultant for Merck; is on the AAAAI Board of Directors, Needs Assessment Committee, Rhinitis/Sinusitis/Ocular Diseases Committee, and Web Site Oversight Committee; and is on the American College of Allergy, Asthma &amp; Immunology (ACAAI) Program Directors Advisory Committee (chair), Annual Program Planning Committee, Publications Committee, Rhinitis-Sinusitis Committee, Occupational Health Committee, Ocular Allergy Committee. A. Fiocchi has received research support from Stallergenes. S. Gonzalez Diaz is a speaker for GlaxoSmithKline, MSD, and Takeda and has received research support from the University Hospital and Medical School of Universidad Autonoma de Nuevo Leon, Mexico. M. Gotua has received honoraria from GlaxoSmithKline and AstraZeneca. J. O'B. Hourihane has received research support from the Children's Research Foundation (Ireland), Danone, the Food Standards Agency (United Kingdom), and Stallergenes; in addition, his employer, University College Cork, holds a patent on challenge outcome predictor software. M. Humbert has received consultancy and lecture fees from AstraZeneca, GlaxoSmithKline, Novartis, Pfizer, Stallergenes, and Teva. J. C. Ivancevich is on the Faes Farma advisory board, is speaker for Laboratorios Casasco Argentina, and is Web editor for the World Allergy Organization and Interasma. O. Kalayci was the Uriach Pharma chairperson at the company sponsor symposium. M. A. Kaliner is a consultant for Ista and Alcon, has received research support from multiple allergy and asthma companies, and has provided legal consultation/expert witness testimony for Alcon. T. Keil has received research support from the European Union (EU) and DTG. P. K. Keith is a speaker for and has received research support from GlaxoSmithKline and Merck. B. Koffi N'Goran is a speaker for AstraZeneca and GlaxoSmithKline. G. H. Koppelman has received research support from the Netherlands Asthma Foundation and MeDALL. D. E. Larenas-Linnemann has received a speaker's fee and travel grant from Merck-Sharp-Dohme, Mexico; has received a speaker's fee from AstraZeneca; has received travel grants from Allerquim Mexico, ALK-Abello, and Stallergenes; has received research support from Allerquim Mexico, ALK-Abello, Stallergenes, and Greer Laboratories; and is chair of the IT committee for the AAAAI and Mexican College of Clinical Immunology and Allergy. L. T. Le has received honoraria from GlaxoSmithKline and AstraZeneca, has received research support and honoraria from MSD, and is chair of the Respiratory Society of Ho Chi Minh City, Vietnam. C. Lemiere is on the AstraZeneca advisory board. P. Lieberman is an advisor for the Allergy Foundation of America. B. r r Lipworth has provided legal consultation/expert witness testimony for Nycomed on the topic of nasal ciclesonide. B. Mahboub is employed by the Dubai Health Authority and the University of Sharjah. F. D. Martinez is a consultant for MedImmune and has received lecture honorarium and travel fees from Abbott. E. O. Meltzer is a consultant and on the advisory board for Alcon, AstraZeneca, Bausch + Lomb, Dey, Forest, Ista, Johnson &amp; Johnson, Meda, Merck, ONO Pharma, OptiNose, Proctor&amp; Gamble, Rady Children's Hospital, Rigel, Sanofi Aventis, Sepracor, Stallergenes, Teva, Alexza, Boehringer Ingelheim, Kalypsys, and Sunovion; is a speaker for the AAAAI, Alcon, Allergists for Israel, Dey, Florida Allergy Asthma Immunol Society, Ista, Sepracor, Teva, Merck, and Sunovion; has received research support from Amgen, Apotex, HRA, MedImmune, Schering-Plough, Alcon, AstraZeneca, Boehringer Ingelheim, GlaxoSmithKline, Novartis, Proctor &amp; Gamble, Sunovion (Sepracor), and Teva; has provided legal consultation/expert witness testimony for Aventis Pharmaceuticals and Sanofi Aventis in the USLLC v. Barr Laboratories Fexofenadine Litigation; and is a Fellow of the AAAAI, ACAAI, and World Allergy Organization (WAO). H. Merk has received research support from Phadia and has provided legal consultation/expert witness testimony for Novartis and ALK-Abello. F. Mihaltan has received consulting fees and honoraria from AstraZeneca, GlaxoSmithKline, MSD, Novartis, Nycomed, Boehringer Ingelheim, Servier, Sanofi, Pfizer, CSC Johnson&amp;Johnson, Oxygen Plus, and New Medics. S. Nafti has received research support from the European Respiratory Society and the Societe de Pneumologie de Langue Francaise Asthma and has provided legal consultation/expert witness testimony for GlaxoSmithKline on the topics of asthma and chronic obstructive pulmonary disease. Y. Okamoto is a medical advisory for Taibo Pharmaceutical Co, Ono Pharmaceutical Co, and Meiji Nyugyo Co and has received research support from the Ministry of Health, Welfare, and Labor. D. S. Postma has received consultancy fees from Nycomed, GlaxoSmithKline, AstraZeneca, and Chiesi. K. F. Rabe has received research support from Altana, Novartis, AstraZeneca, and MSD and has provided legal consultation/expert witness testimony for AstraZeneca, Chiesi, Novartis, MSD, and GlaxoSmithKline. J. Ring has received research support from ALK-Abello, Allergopharma, Almirall-Hermal, Astellas, Bencard, Biogen-Idec, Gladerma, GlaxoSmithKline, Leo, MSD, Novartis, Phadia, PLS Design, and Stallergenes. R. Roberts is president of the World Organization of Family Doctors and the American Academy of Family Physicians Foundation and is Vice Chair of the Interstate Postgraduate Medical Association. B. Rogala has received lecture fees from Takeda, Nycomed, Teva, UCB, and Chiesi and is on the advisory board for MSD and AstraZeneca. G. K. Scadding has received research support from and is a speaker for ALK-Abello and GlaxoSmithKline, is on the Uriach advisory board, and is a speaker for Merck. A. Sheikh has received consultancy fees from Phadia and NAPP and is a Royal College of GPs Clinical Champion in Allergy. S. W. Stoloff is a consultant and on the advisory board for Teva and is a consultant for Aerocrine, Merck, and Sunovion. B. P. Yawn has received research support from the Agency for Healthcare Research and Quality (AHRQ) and the National Heart, Lung, and Blood Institute (NHLBI). T. r r Zuberbier has received consultancy fees, honoraria, and/or research support from AnseII, Bayer Schering, OST, Fujisawa, IHAL, Henkel, Kryolan, Leti, MSO, Novartis, Procter and Gamble, Sanofi-Aventis, Schering-Plough, Stallergenes, and UCB; is on the Scientific Advisory Board for the German Society for Allergy and Clinical Immunology; is on the Expert Commission Novel Food'' of the German Federal Ministry of Consumer Protection; is Head of the European Centre for Allergy Research Foundation (ECARF); is a Committee member of the World Health Organization (WHO) Initiative Allergic Rhinitis and its Impact on Asthma (ARIA); is a Member or the WAO Communications Council; and is Secretary General of GA 2 LEN. The rest of the authors declare that they have no relevant conflicts of interest.</t>
  </si>
  <si>
    <t>Stallergenes; ALK-Abello; European Academy of Allergy and Clinical Immunology (EAACI); MSD; Novartis(Novartis); Nycomed/Takeda; PHADIA/Thermo Fischer(Phadia); 3M(3M); AstraZeneca(AstraZeneca); GlaxoSmithKline(GlaxoSmithKline); Merck Frosst; Altair; Amgen(Amgen); Asmacure; Boehringer-Ingelheim(Boehringer Ingelheim); Genentech(Roche HoldingGenentech); Pharmaxis; Schering; Wyeth(Wyeth); Ache; Brazilian Research Council; Fundacao de Amparo a Pesquisa da Bahia; Fundacao Ciencia e Tecnologia(Fundacao para a Ciencia e a Tecnologia (FCT)); Sociedade Portuguesa de Alergologia e Immunologia Clinica; Abdi Ibrahim; MSD; OrionPharma; Nasonebs; Merck(Merck &amp; Company); McNeal; Chiesi(Chiesi Pharmaceuticals Inc); Nycomed; Air Liquid Healthcare; Mundipharma; Almirall(Almirall); Kyorin; Teva(Teva Pharmaceutical Industries); UK National Health Service; Aerocrine; AKL Ltd; PREDICTA; Swiss National Science Foundation(Swiss National Science Foundation (SNSF)); MeDALL; Global Allergy and Asthma European Network (GA 2LEN); Christine Kuthe Center for Allergy Research and Education; Faes Farma; Bial(Bial Group); Johnson Johnson(Johnson &amp; JohnsonJohnson &amp; Johnson USA); Sanofi; HAD treasurer; Innovative Medicine Initiative (EU); Helse Sor-Ost RHF (Southern and Eastern Norway Regional Health Authority); MEDA; Alcon(Novartis); ISTA; Thermo-Fisher; Airsonett; Medical Research Council(UK Research &amp; Innovation (UKRI)Medical Research Council UK (MRC)); Moulton Charitable Trust; AB Science; Canadian Institutes for Health Research(Canadian Institutes of Health Research (CIHR)); AllerGen NCE; Merck/Schering-Plough(Merck &amp; CompanySchering Plough Corporation); Circassia; University Hospital; Medical School of Universidad Autonoma de Nuevo Leon, Mexico; Children's Research Foundation (Ireland); Danone(Danone Nutricia); Food Standards Agency (United Kingdom); European Union (EU)(European Union (EU)CGIAR); DTG; Netherlands Asthma Foundation; Merck-Sharp-Dohme, Mexico(Merck &amp; Company); Allerquim Mexico; Abbott(Abbott Laboratories); Apotex; HRA; MedImmune(AstraZenecaMedimmune); Schering-Plough(Merck &amp; CompanySchering Plough Corporation); Proctor Gamble(Procter &amp; Gamble); Sunovion (Sepracor); Phadia(Phadia); Servier(Servier); CSC JohnsonJohnson; Oxygen Plus; New Medics; European Respiratory Society; Societe de Pneumologie de Langue Francaise Asthma; Ministry of Health, Welfare, and Labor; Altana; Takeda(Takeda Pharmaceutical Company Ltd); UCB(UCB Pharma SA); Uriach advisory board; NAPP; Royal College of GPs Clinical Champion in Allergy; Agency for Healthcare Research and Quality (AHRQ)(United States Department of Health &amp; Human ServicesAgency for Healthcare Research &amp; Quality); AnseII; Bayer Schering(Bayer AG); OST; Fujisawa; IHAL; Henkel; Kryolan; Leti; MSO; Procter and Gamble(Procter &amp; Gamble); Sanofi-Aventis(Sanofi-Aventis); Scientific Advisory Board for the German Society for Allergy and Clinical Immunology; German Federal Ministry of Consumer Protection; European Centre for Allergy Research Foundation (ECARF)</t>
  </si>
  <si>
    <t>Stallergenes; ALK-Abello; European Academy of Allergy and Clinical Immunology (EAACI); MSD; Novartis; Nycomed/Takeda; PHADIA/Thermo Fischer; 3M; AstraZeneca; GlaxoSmithKline; Merck Frosst; Altair; Amgen; Asmacure; Boehringer-Ingelheim; Genentech; Pharmaxis; Schering; Wyeth; Ache; Brazilian Research Council; Fundacao de Amparo a Pesquisa da Bahia; Fundacao Ciencia e Tecnologia; Sociedade Portuguesa de Alergologia e Immunologia Clinica; Abdi Ibrahim; MSD; OrionPharma; Nasonebs; Merck; McNeal; Chiesi; Nycomed; Air Liquid Healthcare; Mundipharma; Almirall; Kyorin; Teva; UK National Health Service; Aerocrine; AKL Ltd; PREDICTA; Swiss National Science Foundation; MeDALL; Global Allergy and Asthma European Network (GA 2LEN); Christine Kuthe Center for Allergy Research and Education; Faes Farma; Bial; Johnson Johnson; Sanofi; HAD treasurer; Innovative Medicine Initiative (EU); Helse Sor-Ost RHF (Southern and Eastern Norway Regional Health Authority); MEDA; Alcon; ISTA; Thermo-Fisher; Airsonett; Medical Research Council; Moulton Charitable Trust; AB Science; Canadian Institutes for Health Research; AllerGen NCE; Merck/Schering-Plough; Circassia; University Hospital; Medical School of Universidad Autonoma de Nuevo Leon, Mexico; Children's Research Foundation (Ireland); Danone; Food Standards Agency (United Kingdom); European Union (EU); DTG; Netherlands Asthma Foundation; Merck-Sharp-Dohme, Mexico; Allerquim Mexico; Abbott; Apotex; HRA; MedImmune; Schering-Plough; Proctor Gamble; Sunovion (Sepracor); Phadia; Servier; CSC JohnsonJohnson; Oxygen Plus; New Medics; European Respiratory Society; Societe de Pneumologie de Langue Francaise Asthma; Ministry of Health, Welfare, and Labor; Altana; Takeda; UCB; Uriach advisory board; NAPP; Royal College of GPs Clinical Champion in Allergy; Agency for Healthcare Research and Quality (AHRQ); AnseII; Bayer Schering; OST; Fujisawa; IHAL; Henkel; Kryolan; Leti; MSO; Procter and Gamble; Sanofi-Aventis; Scientific Advisory Board for the German Society for Allergy and Clinical Immunology; German Federal Ministry of Consumer Protection; European Centre for Allergy Research Foundation (ECARF)</t>
  </si>
  <si>
    <t>Wright, John/0000-0001-9572-7293; Papadopoulos, Nikolaos/0000-0002-4448-3468; Burney, Peter/0000-0001-8635-5678; Ozdemir, Cevdet/0000-0002-9284-4520; Custovic, Adnan/0000-0001-5218-7071; Namazova-Baranova, Leyla/0000-0002-2209-7531; Gonzalez-Diaz, Sandra Nora/0000-0002-3612-0042; Koppelman, Gerard/0000-0001-8567-3252; CESARIO, Alfredo/0000-0003-4687-0709; El-Gamal, Yehia/0000-0002-8177-4520; Christoff, George/0000-0003-4549-7711; Schunemann, Holger/0000-0003-3211-8479; Price, David/0000-0002-9728-9992; Valenta, Rudolf/0000-0001-5944-3365; Briggs, Andrew/0000-0002-0777-1997; Bousquet, Philippe Jean/0000-0002-0217-5483; Ivancevich, Juan Carlos/0000-0001-8713-6258; Zar, Heather/0000-0002-9046-759X; Yusuf, Osman/0000-0002-8067-1204; Baigenzhin, Abay/0000-0002-7703-5004; Namazova-Baranova, Leyla/0000-0002-7902-6427; Casale, Thomas/0000-0002-3149-7377; Popov, Todor/0000-0001-5052-5866; van Weel, Chris/0000-0003-3653-4701; Todo-Bom, Ana/0000-0002-1850-6689; Makela, Mika/0000-0002-2933-3111; Deleanu, Diana/0000-0002-8431-8352; Sunyer Deu, Jordi/0000-0002-2602-4110; Masjedi, Mohammad Reza/0000-0002-6871-382X; Terreehorst, Ingrid/0000-0002-3264-2740; Masjedi, Mohammadreza/0000-0003-4964-3851; Akdis, Cezmi/0000-0001-8020-019X; Wohrl, Stefan/0000-0002-6324-0007; Bergmann, Karl-Christian/0000-0002-0306-9922; Rottem, Menachem/0000-0002-9915-0273; Chavannes, Niels Henrik/0000-0002-8607-9199; Zidarn, Mihaela/0000-0003-0515-5207; yorgancioglu, arzu/0000-0002-4032-0944; Fonseca, Joao/0000-0002-0887-8796; Humbert, Marc/0000-0003-0703-2892; Johnston, Sebastian/0000-0003-3009-9200; Khayat, Georges/0000-0002-8465-5033; Hellings, Peter/0000-0001-6898-688X; Park, Hae-Sim/0000-0003-2614-0303; Kvedariene, Violeta/0000-0002-6119-211X; Kull, Inger/0000-0001-6096-3771; Maurer, Marcus/0000-0002-4121-481X; Cucalin, Aleksandr/0000-0002-6808-5528; , CINTESIS/0000-0001-7248-2086; Gotua, Maia/0000-0003-2497-4128; Fletcher, Monica/0000-0002-9700-3552; CANONICA, GIORGIO WALTER/0000-0001-8467-2557; Mazon, Angel/0000-0001-5639-1037; Larenas Linnemann, Desiree/0000-0002-5713-5331; cox, linda/0000-0002-5258-6870; Ciprandi, Giorgio/0000-0001-7016-8421; Ryan, Dermot/0000-0002-4115-7376; O'Hehir, Robyn/0000-0002-3489-7595; Howarth, Peter/0000-0003-0619-7927; mohammad, yousser/0009-0003-0403-2747; Romano, Antonino/0000-0001-9742-9898; Kuna, Piotr/0000-0003-2401-0070; brightling, chris/0000-0002-9345-4903; Bonini, Sergio/0000-0003-0079-3031; Bindslev-Jensen, Carsten/0000-0002-8940-038X; Yiallouros, Panayiotis/0000-0002-8339-9285; Panzner, Petr/0000-0002-1291-450X; Rabe, Klaus F./0000-0002-7020-1401; Papadopoulos, Nikolaos/0000-0002-2508-3872; Fiocchi, Alessandro/0000-0002-2549-0523; Demoly, Pascal/0000-0001-7827-7964; Sheikh, Aziz/0000-0001-7022-3056; STEIN, RENATO/0000-0003-0269-0757</t>
  </si>
  <si>
    <t>Valiulis, Arunas/JEZ-2972-2023; Brozek, Jan/ADG-1130-2022; Solé, Dirceu/JAO-0340-2023; Bousquet, Philippe Jean/AAW-8608-2021; Gotua, Maia/ABA-1648-2021; Yiallouros, Panayiotis/AAF-6026-2019; KIM, JOO YEOL/HRC-8018-2023; Oliver, Brian/E-7939-2010; Zuberbier, Torsten/AFM-9173-2022; Ivancevich, Juan/AAB-4937-2020; Koppelman, Gerard/AAG-9187-2020; Yorgancioglu, Arzu/AAC-7548-2020; Stein, Renato/K-2568-2014; Bonniaud, Philippe/ITT-4660-2023; Akdis, Cezmi/AAV-4844-2020; Cruz, Alvaro/I-1676-2012; Bousquet, Jean/O-4221-2019; Mazon, Angel/ABG-8016-2020; Rabe, Klaus/AAW-6296-2021; Agache, Ioana/AAP-7403-2020; Djokic, Dejan/V-9813-2017; Todo Bom, Ana/AHD-3630-2022; Annesi-Maesano, Isabella/D-9173-2016; Fiocchi, Alessandro/K-9235-2016; Ryan, Dermot/AAJ-2329-2021; Valenta, Richard/K-4072-2017; costa, david/AAA-1971-2020; Bateman, Eric/B-7042-2011; Zar, Heather/GZL-5350-2022; jackson, cathy/H-4869-2013; Dahl, Ronahl/F-8170-2013; Park, Hae-Sim/S-7974-2019; Price, David/H-2837-2019; Ciprandi, Giorgio/G-7462-2012; Bachert, Claus/J-8825-2012; Makela, Mika/ADV-7407-2022; Schmid, Peter/D-1717-2013; Popov, Todor/Q-9928-2016; Marshall, Gailen/R-7459-2019; Bergmann, Karl-Christian/AAA-4104-2019; Cecchi, Lorenzo/HPF-1970-2023; Cox, Linda/AAP-1697-2021; Fokkens, Wytske/ABF-2185-2020; Sheikh, Aziz/D-2818-2009; Kvedariene, Violeta/D-7730-2011; Bieber, Thomas/AFM-9906-2022; Viegi, Giovanni/K-2746-2016; Ring, Johannes/GLN-4341-2022; Muraro, Antonella/AFO-2033-2022; MAGNAN, ANTOINE/GVT-4308-2022; Mohammad, Yousser/LTD-1984-2024; Wright, John/H-1624-2012; Papadopoulos, Nikolaos/L-8670-2013; Ozdemir, Cevdet/X-5856-2018; Custovic, Adnan/A-2435-2012; Namazova-Baranova, Leyla/C-9485-2019; Gonzalez-Diaz, Sandra Nora/H-3271-2018; CESARIO, Alfredo/O-4215-2015; Christoff, George/ABF-9789-2021; Schunemann, Holger/LRB-7016-2024; Yusuf, Osman/AAI-1142-2020; Namazova-Baranova, Leyla/C-9485-2019; Casale, Thomas/K-4334-2013; van Weel, Chris/D-4375-2009; Deleanu, Diana/G-3963-2015; Sunyer Deu, Jordi/G-6909-2014; Masjedi, Mohammad Reza/J-9776-2017; Wohrl, Stefan/B-6954-2013; Chavannes, Niels Henrik/F-1148-2011; Fonseca, Joao/B-7562-2008; Humbert, Marc/AAC-8459-2019; Hellings, Peter/I-4068-2018; Maurer, Marcus/ABG-2174-2020; Cucalin, Aleksandr/P-5678-2018; , CINTESIS/C-6631-2014; CANONICA, GIORGIO WALTER/ABF-2037-2020; O'Hehir, Robyn/H-3627-2011; Romano, Antonino/D-3102-2017; Bonini, Sergio/T-6594-2019; Bindslev-Jensen, Carsten/H-1877-2011; Panzner, Petr/I-7034-2017; Demoly, Pascal/Y-9938-2019</t>
  </si>
  <si>
    <t>Bousquet, J (corresponding author), CHU Montpellier, F-34295 Montpellier 05, France.</t>
  </si>
  <si>
    <t>Universite de Montpellier; CHU de Montpellier; Institut National de la Sante et de la Recherche Medicale (Inserm); Universite Paris Saclay; McMaster University; Medical University of Warsaw; Universite de Montpellier; CHU de Montpellier; Institut National de la Sante et de la Recherche Medicale (Inserm); Catholic University of Cordoba; University of Genoa; Ghent University; Consiglio Nazionale delle Ricerche (CNR); Istituto di Farmacologia Traslazionale (IFT-CNR); Universita della Campania Vanvitelli; Laval University; University of Genoa; Creighton University; Universidade Federal da Bahia; University of Amsterdam; University of Amsterdam; Academic Medical Center Amsterdam; Universidade do Porto; Universidade do Porto; Sao Joao Hospital; Erasmus University Rotterdam; Erasmus MC; University of Washington; University of Washington Seattle; University of Helsinki; Helsinki University Central Hospital; Medical University Lodz; State University System of Florida; University of South Florida; US Department of Veterans Affairs; Veterans Health Administration (VHA); James A. Haley Veterans Hospital; University of Oslo; University of Barcelona; Hospital Clinic de Barcelona; IDIBAPS; CIBER - Centro de Investigacion Biomedica en Red; CIBERES; CIBER - Centro de Investigacion Biomedica en Red; CIBERES; University of Barcelona; Hospital Clinic de Barcelona; IDIBAPS; University of Chicago; Florey Institute of Neuroscience &amp; Mental Health; Howard Florey Institute Affiliates; Monash University; Teikyo University; National &amp; Kapodistrian University of Athens; Nippon Medical School; University of Aberdeen; University of Edinburgh; University of Manitoba; National Institutes of Health (NIH) - USA; NIH National Institute of Allergy &amp; Infectious Diseases (NIAID); University of North Carolina; University of North Carolina Chapel Hill; Celal Bayar University; Medical University of Graz; Showa University; Transylvania University of Brasov; Swiss Institute of Allergy &amp; Asthma Research; University of Zurich; Institut National de la Sante et de la Recherche Medicale (Inserm); Sorbonne Universite; University of Cape Town; World Health Organization; Universita di Modena e Reggio Emilia; Universite de Tunis-El-Manar; Hopital La Rabta; University of Amsterdam; Academic Medical Center Amsterdam; Universite de Tunis-El-Manar; Hopital Abderrahmene Mami; Berlin Institute of Health; Free University of Berlin; Humboldt University of Berlin; Charite Universitatsmedizin Berlin; University of Bonn; University of Southern Denmark; Odense University Hospital; University of Southern Denmark; Odense University Hospital; University of Tennessee System; University of Tennessee Health Science Center; University of Verona; Laval University; University of Leicester; Royal Brompton Hospital; Imperial College London; Universidad Austral de Chile; Universidade Federal de Sao Joao del-Rei; Universidad de Cartagena; IRCCS San Raffaele Pisana; Catholic University of the Sacred Heart; IRCCS Policlinico Gemelli; Leiden University; Leiden University Medical Center (LUMC); Leiden University - Excl LUMC; Capital Institute of Pediatrics (CIP); Capital Institute of Pediatrics (CIP); Universite de Montpellier; CHU de Montpellier; University of Genoa; IRCCS AOU San Martino IST; Universite de Montpellier; Nova Southeastern University; University of Manchester; Aarhus University; Technical University of Munich; Technical University of Munich; Technical University of Munich; CHU Strasbourg; Regional Institute of Gastroenterology &amp; Hepatology; Iuliu Hatieganu University of Medicine &amp; Pharmacy; McMaster University; McMaster University; Hospital Foch; Universite Paris Saclay; Centre Hospitalier Annecy Genevois; Saints Cyril &amp; Methodius University of Skopje; University System of Georgia; Augusta University; Vilnius University; Imperial College London; Wake Forest University; Wake Forest Baptist Medical Center; Egyptian Knowledge Bank (EKB); Ain Shams University; Vilnius University; University of Milan; Dokkyo Medical University; World Health Organization; Universidad Autonoma de Nuevo Leon; Universidad de Chile; KU Leuven; University Hospital Leuven; University College Cork; University of Southampton; Assistance Publique Hopitaux Paris (APHP); Hopital Universitaire Antoine-Beclere - APHP; Universite Paris Saclay; Institut National de la Sante et de la Recherche Medicale (Inserm); University of St Andrews; Assistance Publique Hopitaux Paris (APHP); Sorbonne Universite; Hopital Universitaire Armand-Trousseau - APHP; Hopital Universitaire Ambroise-Pare - APHP; Universite Paris Cite; Hopital Universitaire Hotel-Dieu - APHP; Hacettepe University; George Washington University; Hacettepe University; Berlin Institute of Health; Free University of Berlin; Humboldt University of Berlin; Charite Universitatsmedizin Berlin; McMaster University; Saint Joseph University Beirut; National Medical Center - Korea; Seoul National University (SNU); University of Groningen; Medical University Lodz; Karolinska Institutet; Karolinska Institutet; Vilnius University; Vilnius University Hospital Santariskiu Klinikos; Hochiminh City University of Medicine &amp; Pharmacy; Universite de Montreal; Universite de Montreal; Guangzhou Medical University; State Key Laboratory of Respiratory Disease; University of Tennessee System; University of Tennessee Health Science Center; University of Dundee; University of Sharjah; University of Helsinki; Helsinki University Central Hospital; University of Mississippi; University of Mississippi Medical Center; University of Arizona; University of Arizona; Shahid Beheshti University Medical Sciences; Shahid Beheshti University Medical Sciences; Berlin Institute of Health; Free University of Berlin; Humboldt University of Berlin; Charite Universitatsmedizin Berlin; Eduardo Mondlane University; Karolinska Institutet; Karolinska Institutet; Karolinska University Hospital; University of California System; University of California San Diego; Allergy &amp; Asthma Medical Group &amp; Research Center; University of California System; University of California San Diego; Instituto Mexicano del Seguro Social; RWTH Aachen University; Marius Nasta Pneumophtisiology Institute; Tishreen University; University of Padua; Russian Academy of Medical Sciences; Berlin Institute of Health; Free University of Berlin; Humboldt University of Berlin; Charite Universitatsmedizin Berlin; Jagiellonian University; Universite de Kinshasa; Chiba University; Nippon Medical School; Marmara University; Charles University Prague; Medical University of Vienna; University of Veterinary Medicine Vienna; University of Vienna; Ajou University; Hietzing Hospital; Medical University Sofia; University of Groningen; University of Cape Town; University of Cape Town; Leiden University - Excl LUMC; Leiden University; Leiden University Medical Center (LUMC); University of Helsinki; Helsinki University Central Hospital; Technical University of Munich; University of Wisconsin System; University of Wisconsin Madison; Medical University Silesia; IRCCS - Oasi Research Institute; Atencio Primaria de Mallorca; University of Missouri System; University of Missouri Kansas City; Children's Mercy Hospital; Emek Medical Center; Technion Israel Institute of Technology; Rappaport Faculty of Medicine; University of London; University College London; University of Zurich; University Zurich Hospital; University of Edinburgh; Universidade Federal de Sao Paulo (UNIFESP); Ministry of Health - Kyrgyzstan; Pompeu Fabra University; Centre de Recerca en Epidemiologia Ambiental (CREAL); Pontificia Universidade Catolica Do Rio Grande Do Sul; Nevada System of Higher Education (NSHE); University of Nevada Reno; Hospital del Mar Research Institute; Hospital del Mar; CIBER - Centro de Investigacion Biomedica en Red; CIBERESP; Pompeu Fabra University; Jagiellonian University; Collegium Medicum Jagiellonian University; Universidade de Coimbra; Centro Hospitalar e Universitario de Coimbra (CHUC); University of Pennsylvania; Pennsylvania Medicine; Childrens Hospital of Philadelphia; Finnish Institute of Occupational Health; Laval University; Medical University of Vienna; University of Barcelona; Hospital Clinic de Barcelona; University of Barcelona; Hospital Clinic de Barcelona; IDIBAPS; CIBER - Centro de Investigacion Biomedica en Red; CIBERES; Universite Paris 13; Assistance Publique Hopitaux Paris (APHP); Hopital Universitaire Avicenne - APHP; Vilnius University; University of Turku; Ghent University; Universite Catholique Louvain; Universite Catholique Louvain Hospital; Radboud University Nijmegen; Mahidol University; Consiglio Nazionale delle Ricerche (CNR); Istituto di Biomedicina e di Immunologia Molecolare Alberto Monroy (IBIM-CNR); Consiglio Nazionale delle Ricerche (CNR); Istituto di Fisiologia Clinica (IFC-CNR); National University of Singapore; Karolinska Institutet; Karolinska Institutet; Medical University of Vienna; Olmsted Medical Center; University of Minnesota System; University of Minnesota Rochester; Cyprus International Institute for Environmental &amp; Public Health; Cyprus University of Technology; University of Cape Town; Catholic University of Cordoba; Guangzhou Medical University; State Key Laboratory of Respiratory Disease; Guangzhou Medical University; Berlin Institute of Health; Free University of Berlin; Humboldt University of Berlin; Charite Universitatsmedizin Berlin; Berlin Institute of Health; Free University of Berlin; Humboldt University of Berlin; Charite Universitatsmedizin Berlin</t>
  </si>
  <si>
    <t>[Bousquet, J.; Demoly, P.; Bousquet, P. J.] Hop Arnaud Villeneuve, Dept Resp Dis, Univ Hosp, Montpellier, France; [Bousquet, J.] INSERM, U1018, CESP Ctr Res Epidemiol &amp; Populat Hlth, Resp &amp; Environm Epidemiol Team, Villejuif, France; [Schuenemann, H. J.; Brozek, J. L.] McMaster Univ, Dept Clin Epidemiol &amp; Biostat &amp; Med, Hamilton, ON, Canada; [Samolinski, B.] Med Univ Warsaw, Dept Prevent Environm Hazards &amp; Allergol, Warsaw, Poland; [Demoly, P.] Univ Hosp Montpellier, Hop Arnaud Villeneuve, INSERM, U657, Montpellier, France; [Baena-Cagnani, C. E.] Catholic Univ, Fac Med, Res Ctr Resp Med CIMER, Cordoba, Argentina; [Baena-Cagnani, C. E.] Univ Genoa, Sch Specializat, Genoa, Italy; [Bachert, C.] Univ Ghent, Dept Otorhinolaryngol, Upper Airways Res Lab, B-9000 Ghent, Belgium; [Bonini, S.] CNR, Inst Translat Pharmacol, Rome, Italy; [Bonini, S.] Univ Naples 2, Naples, Italy; [Boulet, L. P.] Univ Laval, Inst Univ Cardiol &amp; Pneumol Quebec, Quebec City, PQ, Canada; [Canonica, G. W.; Passalacqua, G.; Baiardini, I.; Braido, F.] Univ Genoa, Dept Internal Med, DIMI, I-16126 Genoa, Italy; [Casale, T. B.] Creighton Univ, Dept Med, Div Allergy &amp; Immunol, Omaha, NE 68178 USA; [Cruz, A. A.] Univ Fed Bahia, ProAR Nucleo Excelencia Asma, Salvador, BA, Brazil; [Cruz, A. A.] CNPq, Salvador, BA, Brazil; [Fokkens, W. J.] Univ Amsterdam, Dept Otorhinolaryngol, NL-1012 WX Amsterdam, Netherlands; [Fokkens, W. J.] Univ Amsterdam, Acad Med Ctr, Dept Otorhinolaryngol, NL-1105 AZ Amsterdam, Netherlands; [Fonseca, J. A.] Univ Porto, Sch Med, Dept Hlth Informat &amp; Decis Sci, P-4100 Porto, Portugal; [Fonseca, J. A.] Univ Porto, Sch Med, CINTESIS, P-4100 Porto, Portugal; [Fonseca, J. A.] Hosp S Joao &amp; Inst, Dept Allergy, Porto, Portugal; [Fonseca, J. A.] Hosp CUF Porto, Porto, Portugal; [van Wijk, R. Gerth] Erasmus MC, Dept Internal Med, Sect Allergol, Rotterdam, Netherlands; [Grouse, L.] Univ Washington, Sch Med, Seattle, WA USA; [Haahtela, T.] Helsinki Univ Hosp, Dept Allergy, Skin &amp; Allergy Hosp, Helsinki, Finland; [Khaltaev, N.] GARD ARIA Coordinator, Geneva, Switzerland; [Kuna, P.] Med Univ Lodz, Dept Internal Med Asthma &amp; Allergy, Barlicki Univ Hosp, Lodz, Poland; [Lockey, R. F.] Univ S Florida, Coll Med, Dept Internal Med, Div Allergy &amp; Immunol, Tampa, FL 33612 USA; [Lockey, R. F.] James A Haley Vet Hosp, Tampa, FL USA; [Carlsen, K. C. Lodrup; Carlsen, K. H.] Univ Oslo, Oslo Univ Hosp, Dept Paediat, Oslo, Norway; [Mullol, J.] CIBERES, IDIBAPS, Hosp Clin, Rhinol Unit,ENT Dept, Barcelona, Spain; [Mullol, J.] CIBERES, IDIBAPS, Hosp Clin, Smell Clin,ENT Dept, Barcelona, Spain; [Naclerio, R.] Univ Chicago, Dept Otolaryngol Head &amp; Neck Surg, Chicago, IL 60637 USA; [O'Hehir, R. E.] Alfred Hosp, Dept Allergy Immunol &amp; Resp Med, Melbourne, Vic, Australia; [O'Hehir, R. E.] Monash Univ, Melbourne, Vic 3004, Australia; [Ohta, K.] Teikyo Univ, Sch Med, Dept Med, Div Resp Med &amp; Allergol, Tokyo 173, Japan; [Palkonen, S.] EFA European Federat Allergy &amp; Airways Dis Patien, Brussels, Belgium; [Papadopoulos, N. G.] Univ Athens, Dept Allergy, Pediat Clin 2, Athens, Greece; [Pawankar, R.] Nippon Med Sch, Bunkyo Ku, Tokyo 113, Japan; [Price, D.] Univ Aberdeen, Dept Primary Care Resp Med, Aberdeen, Scotland; [Ryan, D.] Woodbrook Med Ctr, Loughborough, Leics, England; [Ryan, D.] Univ Edinburgh, Edinburgh, Midlothian, Scotland; [Simons, F. E. R.] Univ Manitoba, Fac Med, Winnipeg, MB, Canada; [Togias, A.] NIAID, Bethesda, MD 20892 USA; [Williams, D.] Univ N Carolina, Sch Pharm, Chapel Hill, NC USA; [Yorgancioglu, A.] Celal Bayar Univ, Sch Med, Dept Pulmonol, Manisa, Turkey; [Yusuf, O. M.] Allergy &amp; Asthma Inst, Islamabad, Pakistan; [Aberer, W.] Med Univ Graz, Dept Dermatol, Graz, Austria; [Adachi, M.] Showa Univ, Sch Med, Div Allergol &amp; Resp Med, Tokyo 142, Japan; [Agache, I.] Transylvania Univ, Fac Med, Brasov, Romania; [Ait-Khaled, N.] Int Union TB &amp; Lung Dis Union, Paris, France; [Akdis, C. A.] Univ Zurich, Swiss Inst Allergy &amp; Asthma Res SIAF, Davos, Switzerland; [Andrianarisoa, A.] Minist Hlth, Publ Hosp Med Serv, Antananarivo, Madagascar; [Annesi-Maesano, I.] INSERM, EPAR U707, Paris, France; [Annesi-Maesano, I.] Univ Paris 06, EPAR, UMR S, Paris, France; [Ansotegui, I. J.] Hosp Quiron Bizkaia, Dept Allergy &amp; Immunol, Erandio Bilbao, Spain; [Bateman, E. D.] Univ Cape Town, Dept Med, Fac Hlth Sci, Div Pulmonol, ZA-7925 Cape Town, South Africa; [Bedbrook, A.] WHO, Collaborating Ctr Asthma &amp; Rhinitis, Montpellier, France; [Beghe, B.] Univ Modena &amp; Reggio Emilia, Dept Oncol Hematol &amp; Resp Dis, Modena, Italy; [Beji, M.] Ctr Hosp Univ Rabta, Serv Pneumol Allergol, Tunis, Tunisia; [Bel, E. H.] Univ Amsterdam, Acad Med Ctr, Dept Pulmonol, NL-1105 AZ Amsterdam, Netherlands; [Ben Kheder, A.] Hop Mami, Ariana, Tunisia; [Bennoor, K. S.] Bangladesh Lung Fdn, Dhaka, Bangladesh; [Bennoor, K. S.] Natl Inst Dis Chest &amp; Hosp, Dhaka, Bangladesh; [Bergmann, K. C.] Charite, Dept Dermatol, Allergy Ctr Charite, D-13353 Berlin, Germany; [Bieber, T.] Univ Med Ctr, Dept Dermatol &amp; Allergy, Bonn, Germany; [Jensen, C. Bindslev] Odense Univ Hosp, Dept Dermatol, DK-5000 Odense, Denmark; [Jensen, C. Bindslev] Odense Univ Hosp, Allergy Ctr, DK-5000 Odense, Denmark; [Blaiss, M. S.] Univ Tennessee, Ctr Hlth Sci, Memphis, TN 38163 USA; [Boner, A. L.] Univ Verona, Dept Paediat, I-37100 Verona, Italy; [Bouchard, J.] Univ Laval, Fac Med, Quebec City, PQ G1K 7P4, Canada; [Bouchard, J.] Hop Malbaie, La Malbaie, PQ, Canada; [Brightling, C. E.] Univ Leicester, Inst Lung Hlth, Leicester LE1 7RH, Leics, England; [Bush, A.] Royal Brompton Hosp, Dept Paediat Resp Med, London SW3 6LY, England; [Calderon, M. A.] Univ London Imperial Coll Sci Technol &amp; Med, Natl Heart &amp; Lung Inst, Sect Allergy &amp; Clin Immunol, London, England; [Caballero, F.] Ctr Med Docente La Trinidad Caracas, Dept Immunol, Caracas, Venezuela; [Calvo, M. A.] Univ Austral Chile, Fac Med, Dept Pediat, Valdivia, Chile; [Camargos, P. A. M.] Univ Fed Sao Joao del Rei, Hlth Sci Ctr, Hlth Sci Postgrad Program, Divinopolis, Brazil; [Caraballo, L. R.] Univ Cartagena, Immunol Res Inst, Cartagena De Indias, Colombia; [Carr, W.] So Calif Res, Mission Viejo, CA USA; [Cepeda, A. M.] Metropolitan Univ Barranquilla, Allergy &amp; Immunol Lab, Barranquilla, Colombia; [Cesario, A.] IRCCS San Raffaele Pisana, Rome, Italy; [Cesario, A.] Univ Cattolica Sacro Cuore, Dept Thorac Surg, Rome, Italy; [Chavannes, N. H.] Leiden Univ, Med Ctr, Dept Publ Hlth &amp; Primary Care, Leiden, Netherlands; [Chen, Y. Z.] Capital Inst Pediat, Asthma Clin, Natl Cooperat Grp Pediat Res Asthma, Beijing, Peoples R China; [Chen, Y. Z.] Capital Inst Pediat, Educ Ctr, Beijing, Peoples R China; [Chen, Y. Z.] Ctr Asthma Res &amp; Educ, Beijing, Peoples R China; [Chiriac, A. M.] Hop Arnaud Villeneuve, Univ Hosp, Allergy Unit, Montpellier, France; [Chivato Perez, T.] Univ Hosp, Dept Allergol, Sch Med CEU San Pablo Madrid, Madrid, Spain; [Chkhartishvili, E.] Georgian Natl Univ, AIETI Med Sch, SEU Clin, Med Ctr, Tbilisi, Georgia; [Ciprandi, G.] Univ Genoa, Dept Internal Med, IRCCS Azienda Osped Univ San Martino, I-16126 Genoa, Italy; [Costa, D. J.] Univ Montpellier I, Primary Care Dept, Montpellier, France; [Cox, L.] Nova SE Univ, Coll Osteopath Med, Davie, FL USA; [Custovic, A.] Univ Manchester, Manchester, Lancs, England; [Dahl, R.] Aarhus Univ Hosp, Dept Resp Dis, DK-8000 Aarhus, Denmark; [Darsow, U.] Tech Univ Munich, Dept Dermatol &amp; Allergy Biederstein, Munich, Germany; [Darsow, U.] TUM, Div Environm Dermatol, Munich, Germany; [Darsow, U.] TUM, Allergy Helmholtz Ctr, Munich, Germany; [De Blay, F.] Univ Hosp Strasbourg, Chest Dis Dept, Div Pulmonol Asthma &amp; Allergol, Strasbourg, France; [Deleanu, D.] Univ Med &amp; Pharm Iuliu Hatieganu, Dept Allergy, Med Clin 3, Romanian Soc Allergy &amp; Clin Immunol, Cluj Napoca, Romania; [Denburg, J. A.] McMaster Univ, AllerGen NCE, Dept Med, Hamilton, ON, Canada; [Denburg, J. A.] McMaster Univ, AllerGen NCE, Michael G DeGroote Sch Med, Div Clin Immunol &amp; Allergy,Fac Hlth Sci, Hamilton, ON, Canada; [Devillier, P.] Univ Versailles St Quentin, Hop Foch, UPRES EA 220, Suresnes, France; [Didi, T.] Ctr Hosp Reg Annecy, Serv Pneumol, Annecy, France; [Dokic, D.] Univ Ss Cyril &amp; Methodius, Univ Clin Pulmonol &amp; Allergy, Skopje, Macedonia; [Dolen, W. K.] Georgia Hlth Sci Univ, Augusta, GA USA; [Douagui, H.] Ctr Hosp Univ Beni Messous, Serv Pneumoallergol, Algiers, Algeria; [Dubakiene, R.] Vilnius Univ, Fac Med, Collaborating Ctr GA2LEN, Vilnius, Lithuania; [Durham, S. R.] Univ London Imperial Coll Sci Technol &amp; Med, Natl Heart &amp; Lung Inst, London, England; [Dykewicz, M. S.] Wake Forest Univ, Bowman Gray Sch Med, Winston Salem, NC USA; [El-Gamal, Y.] Ain Shams Univ, Childrens Hosp, Pediat Allergy &amp; Immunol Unit, Cairo, Egypt; [El-Gamal, Y.] Egyptian Soc Pediat Allergy &amp; Immunol, Cairo, Egypt; [El-Meziane, A.] Soc Marocaine Malad Resp, Casablanca, Morocco; [El-Meziane, A.] Ctr Resp Dis &amp; Allergy, Casablanca, Morocco; [Emuzyte, R.] Vilnius Univ, Fac Med, Vilnius, Lithuania; [Fiocchi, A.] Univ Milan, Sch Med, Melloni Hosp, Milan, Italy; [Fletcher, M.] Educ Hlth, Warwick, England; [Fukuda, T.] Dokkyo Med Univ, Mibu, Tochigi, Japan; [Gamkrelidze, A.] WHO, Country Off Georgia, Tbilisi, Georgia; [Gereda, J. E.] Clin Ricardo Palma, Lima, Peru; [Gonzalez Diaz, S.] Univ Nuevo Leon UANL, Hosp Univ, Fac Med, Monterrey, Mexico; [Gotua, M.] Ctr Allergy &amp; Immunol, Tbilisi, Georgia; [Guzman, M. A.] Univ Chile, Clin Hosp, Dept Med, Immunol &amp; Allergol Div, Santiago, Chile; [Hellings, P. W.] Univ Hosp Leuven, Dept Otorhinolaryngol Head &amp; Neck Surg, Louvain, Belgium; [Hellquist-Dahl, B.] Cent Reg Denmark, Ctr Publ Hlth &amp; Qual Improvement, Aarhus, Denmark; [Horak, F.] Allergy Ctr Vienna W, Vienna, Austria; [Hourihane, J. O'B.] Natl Univ Ireland Univ Coll Cork, Dept Paediat &amp; Child Hlth, Cork, Ireland; [Howarth, P.] Univ Southampton, Fac Med, Southampton SO9 5NH, Hants, England; [Humbert, M.] Univ Paris 11, Serv Pneumol, Hop Antoine Beclere, AP HP,INSERM,U999, Clamart, France; [Ivancevich, J. C.] Salvador Univ, Sch Med, Dept Immunol, Buenos Aires, DF, Argentina; [Jackson, C.] Univ St Andrews, St Andrews, Fife, Scotland; [Just, J.] Univ Paris, APHP, Ctr Asthme &amp; Allergies, Grp Hosp Trousseau La Roche Guyon, F-75252 Paris, France; [Kalayci, O.] Hacettepe Univ, Sch Med, Pediat Allergy &amp; Asthma Unit, Ankara, Turkey; [Kaliner, M. A.] George Washington Univ, Sch Med, Washington, DC USA; [Kaliner, M. A.] Inst Asthma &amp; Allergy, Chevy Chase, MD USA; [Kalyoncu, A. F.] Hacettepe Univ Hosp, Dept Chest Dis, Adult Allergy Unit, Ankara, Turkey; [Keil, T.] Charite, Inst Social Med Epidemiol &amp; Hlth Econ, D-13353 Berlin, Germany; [Keith, P. K.] McMaster Univ, Hamilton, ON, Canada; [Khayat, G.] Hotel Dieu France, Serv Pneumol &amp; Reanimat Med, Beirut, Lebanon; [Khayat, G.] Univ St Joseph, Fac Med, Beirut, Lebanon; [Kim, Y. Y.] Natl Med Ctr, Seoul, South Korea; [Kim, Y. Y.] Seoul Natl Univ, Seoul, South Korea; [Kim, Y. Y.] Korea Asthma Allergy Fdn, Seoul, South Korea; [N'Goran, B. Koffi] Ctr Hosp Univ, Serv Malad Resp, Abidjan, Cote Ivoire; [Koppelman, G. H.] Univ Groningen, Univ Med Ctr Groningen, GRIAC Res Inst, Beatrix Childrens Hosp,Dept Pediat Pulmonol &amp; Ped, Groningen, Netherlands; [Kowalski, M. L.] Med Univ Lodz, Dept Immunol Rheumatol &amp; Allergy, Lodz, Poland; [Kull, I.] Karolinska Inst, Dept Clin Sci &amp; Educ, Stockholm, Sweden; [Kull, I.] Karolinska Inst, Sachs Childrens Hosp, Stockholm, Sweden; [Kvedariene, V.] Vilnius Univ, Ctr Pulmonol &amp; Allergol, Vilnius, Lithuania; [Kvedariene, V.] Vilnius Univ Hosp Santariskiu Klinikos, Vilnius, Lithuania; [Larenas-Linnemann, D.] Hosp Med Sur, Dept Allergy, Mexico City, DF, Mexico; [Le, L. T.] Univ Med &amp; Pharm, Ho Chi Minh City, Vietnam; [Lemiere, C.] Hop Sacre Coeur Montreal, Montreal, PQ, Canada; [Lemiere, C.] Univ Montreal, Montreal, PQ, Canada; [Li, J.] Guangzhou Med Univ, Affiliated Hosp 1, State Key Lab Resp Dis, Guangzhou, Guangdong, Peoples R China; [Lieberman, P.] Univ Tennessee, Coll Med, Memphis, TN USA; [Lipworth, B.] Univ Dundee, Ninewells Hosp, Asthma &amp; Allergy Res Grp, Dundee, Scotland; [Mahboub, B.] Dubai Hlth Author, Sharjah, U Arab Emirates; [Mahboub, B.] Univ Sharjah, Sharjah, U Arab Emirates; [Makela, M. J.] Helsinki Univ Hosp, Dept Allergy, Skin &amp; Allergy Hosp, Helsinki, Finland; [Marshall, G. D.] Univ Mississippi, Med Ctr, Div Clin Immunol &amp; Allergy, Jackson, MS 39216 USA; [Martinez, F. D.] Univ Arizona, Coll Med, Arizona Resp Ctr, Tucson, AZ USA; [Martinez, F. D.] Univ Arizona, Inst BIO5, Tucson, AZ USA; [Masjedi, M. R.] Shahid Beheshti Univ Med Sci, NRITLD, Tehran, Iran; [Masjedi, M. R.] Shahid Beheshti Univ Med Sci, Chron Resp Dis Res Ctr, Tehran, Iran; [Maurer, M.] Charite, Dept Dermatol &amp; Allergy, D-13353 Berlin, Germany; [Mavale-Manuel, S.] Maputo Cent Hosp, Dept Peadiat, Maputo, Mozambique; [Mavale-Manuel, S.] Eduardo Mondlane Univ, Fac Med, Maputo, Mozambique; [Mazon, A.] Childrens Hosp La Fe, Unit Pediat Allergy &amp; Pneumol, Valencia, Spain; [Melen, E.] Karolinska Inst, Inst Environm Med, S-10401 Stockholm, Sweden; [Melen, E.] Karolinska Univ Hosp, Astrid Lindgren Childrens Hosp, Stockholm, Sweden; [Meltzer, E. O.] Univ Calif San Diego, Allergy &amp; Asthma Med Grp, San Diego, CA 92103 USA; [Meltzer, E. O.] Univ Calif San Diego, Res Ctr, San Diego, CA 92103 USA; [Mendez, N. H.] IMSS, Dept Allergy &amp; Clin Immunol, Ctr Med Nacl Siglo 21, Mexico City, DF, Mexico; [Merk, H.] Univ Aachen, Dept Dermatol, Aachen, Germany; [Mihaltan, F.] Inst Pneumol Marius Nasta, Bucharest, Romania; [Mohammad, Y.] Tishreen Univ, Sch Med, Dept Internal Med, WHO EMRO Collaborating Ctr Training &amp; Res Chron R, Latakia, Syria; [Morais-Almeida, M.] CUF Descobertas Hosp, Immunoallergy Dept, Lisbon, Portugal; [Muraro, A.] Univ Padua, Dept Pediat, Food Allergy Referral Ctr Veneto Reg, Padua, Italy; [Nafti, S.] Mustapha Hosp, Algiers, Algeria; [Namazova-Baranova, L.] Sci Ctr Childrens Hlth RAMS, Moscow, Russia; [Nekam, K.] Hosp Hospitaller Bros Buda, Budapest, Hungary; [Neou, A.] Charite, Allergie Ctr Charite ECARF, Dept Dermatol Venerol &amp; Allergy, D-13353 Berlin, Germany; [Niggemann, B.] German Red Cross Hosp Westend, Berlin, Germany; [Nizankowska-Mogilnicka, E.] Jagiellonian Univ, Sch Med, Dept Pulmonol, Krakow, Poland; [Nyembue, T. D.] Kinshasa Univ, ENT Dept, Kinshasa, DEM REP CONGO; [Okamoto, Y.] Chiba Univ Hosp, Dept Otorhinolaryngol, Chiba, Japan; [Okubo, K.] Nippon Med Sch, Dept Otolaryngol, Bunkyo Ku, Tokyo 113, Japan; [Ouedraogo, S.] Ctr Hosp Univ Pediat Charles de Gaulle, Ouagadougou, Burkina Faso; [Ozdemir, C.] Marmara Univ, Div Pediat Allergy &amp; Immunol, Istanbul, Turkey; [Ozdemir, C.] Mem Hlth Grp, Istanbul, Turkey; [Panzner, P.] Charles Univ Prague, Fac Med Plzen, Dept Immunol &amp; Allergol, Prague, Czech Republic; [Pali-Schoell, I.] MESSERLI Res Inst, Vienna, Austria; [Pali-Schoell, I.] Med Univ Vienna, Univ Vet Med Vienna, Vienna, Austria; [Pali-Schoell, I.] Univ Vienna, Vienna, Austria; [Park, H. S.] Ajou Univ, Sch Med, Suwon 441749, South Korea; [Pigearias, B.] NICE, Paris, France; [Pigearias, B.] Soc Pneumol Langue Francaise, Paris, France; [Pohl, W.] Krankenhaus Hietzing, Karl Landsteiner Inst Expt &amp; Clin Pneumol, Dept Pulm Med, Vienna, Austria; [Popov, T. A.] Alexanders Univ Hosp, Clin Allergy &amp; Asthma, Sofia, Bulgaria; [Postma, D. S.] Univ Groningen, Univ Med Ctr Groningen, GRIAC Res Inst, Dept Pulmonol, Groningen, Netherlands; [Potter, P.] Univ Cape Town, Lung Inst, ZA-7925 Cape Town, South Africa; [Potter, P.] Groote Schuur Hosp, ZA-7925 Cape Town, South Africa; [Rabe, K. F.] Leiden Univ, Dept Pulmonol, Med Ctr, Leiden, Netherlands; [Rabe, K. F.] Grosshansdorf Clin, Grosshansdorf, Germany; [Ratomaharo, J.] Hop Prive Athis Mons, Serv Pneumol, Athis Mons, France; [Reitamo, S.] Helsinki Univ Hosp, Dept Dermatol, Skin &amp; Allergy Hosp, Helsinki, Finland; [Ring, J.] Tech Univ Munich, CKCARE, Dept Dermatol Allergy Biederstein, Munich, Germany; [Roberts, R.] Univ Wisconsin, Sch Med &amp; Publ Hlth, Madison, WI USA; [Rogala, B.] Med Univ Silesia, Dept &amp; Clin Internal Dis Allergol &amp; Clin Immunol, Katowice, Poland; [Romano, A.] Complesso Integrato Columbus, Allergy Unit, Rome, Italy; [Romano, A.] IRCCS Oasi Maria SS, Troina, Italy; [Rodriguez, M. Roman] Son Pisa Primary Care Ctr, IB Salut Balear Hlth Serv, Int Primary Care Resp Grp, Palma de Mallorca, Spain; [Rosado-Pinto, J.] Hosp Luz, Immunoallergy Dept, Lisbon, Portugal; [Rosenwasser, L.] Univ Missouri, Kansas City Sch Med, Kansas City, MO 64110 USA; [Rosenwasser, L.] Childrens Mercy Hosp, Kansas City, MO USA; [Rottem, M.] Emek Med Ctr, Afula, Israel; [Rottem, M.] Technion Israel Inst Technol, Rappaport Fac Med, Haifa, Israel; [Sanchez-Borges, M.] Ctr Med Docente La Trinidad, Dept Allergy &amp; Clin Immunol, Caracas, Venezuela; [Scadding, G. K.] UCL, Royal Natl TNE Hosp, London, England; [Schmid-Grendelmeier, P.] Univ Zurich Hosp, Dept Dermatol, Allergy Unit, CH-8091 Zurich, Switzerland; [Sheikh, A.] Univ Edinburgh, Sch Med, Ctr Populat Hlth Sci, Allergy &amp; Resp Res Grp, Edinburgh, Midlothian, Scotland; [Sole, D.] Univ Fed Sao Paulo, Dept Pediat, Div Allergy Clin Immunol &amp; Rheumatol, Sao Paulo, Brazil; [Sooronbaev, T.] Natl Ctr Cardiol &amp; Internal Med, Bishkek, Kyrgyzstan; [Spicak, V.] Ctr ACI Immunoflow, Czech Initiat Asthma, Prague, Czech Republic; [Spranger, O.] GAAPP, Vienna, Austria; [Stein, R. T.; Sunyer, J.] Ctr Res Environm Epidemiol CREAL, Barcelona, Spain; [Stein, R. T.] Pontificia Univ Catolica RGS, Sch Med, Porto Alegre, RS, Brazil; [Stoloff, S. W.] Univ Nevada, Sch Med, Reno, NV 89557 USA; [Sunyer, J.] Hosp Mar, Municipal Inst Med Res IMIM, Barcelona, Spain; [Sunyer, J.] CIBER Epidemiol &amp; Salud Publ CIBERESP, Barcelona, Spain; [Sunyer, J.] Univ Pompeu Fabra UPF, Barcelona, Spain; [Szczeklik, A.] Jagiellonian Univ, Coll Med, Krakow, Poland; [Todo-Bom, A.] Coimbra Univ Hosp, Immunoallergy Dept, Coimbra, Portugal; [Toskala, E.] Childrens Hosp Philadelphia, Ctr Appl Genom, Philadelphia, PA 19104 USA; [Toskala, E.] Finnish Inst Occupat Hlth, Helsinki, Finland; [Tremblay, Y.] Univ Laval, Fac Med, Dept Obstet &amp; Gynecol, Laval, PQ, Canada; [Valenta, R.] Med Univ Vienna, Christian Doppler Lab Allergy Res, Div Immunopathol, Dept Pathophysiol &amp; Allergy Res,Ctr Pathophysiol, Vienna, Austria; [Valero, A. L.] Hosp Clin Barcelona, Dept Pneumol, Allergy Unit, Immunoallergia Resp Clin, Barcelona, Spain; [Valero, A. L.] IDIBAPS, Barcelona, Spain; [Valero, A. L.] CIBERES, Barcelona, Spain; [Valeyre, D.] Univ Paris 13, Bobigny, France; [Valeyre, D.] Avicenne Hosp, AP HP, Bobigny, France; [Valiulis, A.] Vilnius Univ, Fac Med, Dept Paediat, Vilnius, Lithuania; [Valiulis, A.] Lithuanian Natl Council Childs Hlth, Vilnius, Lithuania; [Valovirta, E.] Terveystalo Turku, Allergy Clin, Turku, Finland; [Valovirta, E.] Univ Turku, Dept Lung Dis &amp; Clin Immunol, Turku, Finland; [Van Cauwenberge, P.] Univ Ghent, Dept Otorhinolaryngol, B-9000 Ghent, Belgium; [Vandenplas, O.] Catholic Univ Louvain, Univ Hosp Mt Godinne, Yvoir, Belgium; [van weel, C.] Radboud Univ Nijmegen, Med Ctr, Dept Primary &amp; Community Care, NL-6525 ED Nijmegen, Netherlands; [Vichyanond, P.] Siriraj Hosp, Fac Med, Dept Pediat, Bangkok, Thailand; [Viegi, G.] CNR, IBIM, Palermo, Italy; [Viegi, G.] Clin Physiol IFC, Pisa, Italy; [Wang, D. Y.] Natl Univ Singapore, Yong Loo Lin Sch Med, Singapore 117595, Singapore; [Wickman, M.] Karolinska Inst, Sachs Childrens Hosp, Stockholm, Sweden; [Wickman, M.] Karolinska Inst, Inst Environm Med, S-10401 Stockholm, Sweden; [Woehrl, S.] Floridsdorf Allergy Ctr FAZ, Vienna, Austria; [Woehrl, S.] Med Univ Vienna, Dept Dermatol, DIAID, Vienna, Austria; [Wright, J.] Bradford Teaching Hosp Fdn Trust, Bradford Inst Hlth Res, Bradford, W Yorkshire, England; [Yawn, B. P.] Olmsted Med Ctr, Dept Res, Rochester, MN USA; [Yawn, B. P.] Univ Minnesota, Dept Family &amp; Community Hlth, Rochester, MN USA; [Yiallouros, P. K.] Harvard Univ, Sch Publ Hlth, Cyprus Int Inst Environm &amp; Publ Hlth Assoc, Limassol, Cyprus; [Yiallouros, P. K.] Cyprus Univ Technol, Limassol, Cyprus; [Zar, H. J.] Univ Cape Town, Red Cross War Mem Childrens Hosp, Dept Paediat &amp; Child Hlth, ZA-7925 Cape Town, South Africa; [Zernotti, M. E.] Catholic Univ Cordoba, Sch Med, Dept Otorhinolaryngol, Cordoba, Argentina; [Zhong, N.] Guangzhou Med Univ, Guangzhou Inst Resp Dis, Guangzhou, Guangdong, Peoples R China; Guangzhou Med Univ, State Key Lab Resp Dis, Guangzhou, Guangdong, Peoples R China; [Zidarn, M.] Univ Clin Resp &amp; Allerg Dis, Golnik, Slovenia; [Zuberbier, T.] Charite, Dept Dermatol, Allergy Ctr Charite, D-13353 Berlin, Germany; [Zuberbier, T.] Charite, Network Excellence, Global Allergy &amp; Asthma European Network GA2LEN, D-13353 Berlin, Germany</t>
  </si>
  <si>
    <t>Allergic rhinitis (AR) and asthma represent global health problems for all age groups. Asthma and rhinitis frequently coexist in the same subjects. Allergic Rhinitis and its Impact on Asthma (ARIA) was initiated during a World Health Organization workshop in 1999 (published in 2001). ARIA has reclassified ARas mild/moderate-severe and intermittent/persistent. This classification closely reflects patients' needs and underlines the close relationship between rhinitis and asthma. Patients, clinicians, and other health care professionals are confronted with various treatment choices for the management of AR. This contributes to considerable variation in clinical practice, and worldwide, patients, clinicians, and other health care professionals are faced with uncertainty about the relative merits and downsides of the various treatment options. In its 2010 Revision, ARIA developed clinical practice guidelines for the management of AR and asthma comorbidities based on the Grading of Recommendation, Assessment, Development and Evaluation (GRADE) system. ARIA is disseminated and implemented in more than 50 countries of the world. Ten years after the publication of the ARIAWorld Health Organization workshop report, it is important to make a summary of its achievements and identify the still unmet clinical, research, and implementation needs to strengthen the 2011 European Union Priority on allergy and asthma in children. (J Allergy Clin Immunol 2012;130:1049-62.)</t>
  </si>
  <si>
    <t>QUALITY-OF-LIFE; WORLD-HEALTH-ORGANIZATION; UPDATE; CLASSIFICATION; VALIDATION; GUIDELINES; MANAGEMENT; COLLABORATION; INTERMITTENT; PREVALENCE</t>
  </si>
  <si>
    <t>Rhinitis; asthma; Allergic Rhinitis and its Impact on Asthma; allergy; GRADE</t>
  </si>
  <si>
    <t>Allergic Rhinitis and its Impact on Asthma (ARIA): Achievements in 10 years and future needs</t>
  </si>
  <si>
    <t>World Hlth Org Collaborating Ctr</t>
  </si>
  <si>
    <t>Bousquet, J.; Schuenemann, H. J.; Samolinski, B.; Demoly, P.; Baena-Cagnani, C. E.; Bachert, C.; Bonini, S.; Boulet, L. P.; Bousquet, P. J.; Brozek, J. L.; Canonica, G. W.; Casale, T. B.; Cruz, A. A.; Fokkens, W. J.; Fonseca, J. A.; van Wijk, R. Gerth; Grouse, L.; Haahtela, T.; Khaltaev, N.; Kuna, P.; Lockey, R. F.; Carlsen, K. C. Lodrup; Mullol, J.; Naclerio, R.; O'Hehir, R. E.; Ohta, K.; Palkonen, S.; Papadopoulos, N. G.; Passalacqua, G.; Pawankar, R.; Price, D.; Ryan, D.; Simons, F. E. R.; Togias, A.; Williams, D.; Yorgancioglu, A.; Yusuf, O. M.; Aberer, W.; Adachi, M.; Agache, I.; Ait-Khaled, N.; Akdis, C. A.; Andrianarisoa, A.; Annesi-Maesano, I.; Ansotegui, I. J.; Baiardini, I.; Bateman, E. D.; Bedbrook, A.; Beghe, B.; Beji, M.; Bel, E. H.; Ben Kheder, A.; Bennoor, K. S.; Bergmann, K. C.; Berrissoul, F.; Bieber, T.; Jensen, C. Bindslev; Blaiss, M. S.; Boner, A. L.; Bouchard, J.; Braido, F.; Brightling, C. E.; Bush, A.; Caballero, F.; Calderon, M. A.; Calvo, M. A.; Camargos, P. A. M.; Caraballo, L. R.; Carlsen, K. H.; Carr, W.; Cepeda, A. M.; Cesario, A.; Chavannes, N. H.; Chen, Y. Z.; Chiriac, A. M.; Chivato Perez, T.; Chkhartishvili, E.; Ciprandi, G.; Costa, D. J.; Cox, L.; Custovic, A.; Dahl, R.; Darsow, U.; De Blay, F.; Deleanu, D.; Denburg, J. A.; Devillier, P.; Didi, T.; Dokic, D.; Dolen, W. K.; Douagui, H.; Dubakiene, R.; Durham, S. R.; Dykewicz, M. S.; El-Gamal, Y.; El-Meziane, A.; Emuzyte, R.; Fiocchi, A.; Fletcher, M.; Fukuda, T.; Gamkrelidze, A.; Gereda, J. E.; Gonzalez Diaz, S.; Gotua, M.; Guzman, M. A.; Hellings, P. W.; Hellquist-Dahl, B.; Horak, F.; Hourihane, J. O'B.; Howarth, P.; Humbert, M.; Ivancevich, J. C.; Jackson, C.; Just, J.; Kalayci, O.; Kaliner, M. A.; Kalyoncu, A. F.; Keil, T.; Keith, P. K.; Khayat, G.; Kim, Y. Y.; N'Goran, B. Koffi; Koppelman, G. H.; Kowalski, M. L.; Kull, I.; Kvedariene, V.; Larenas-Linnemann, D.; Le, L. T.; Lemiere, C.; Li, J.; Lieberman, P.; Lipworth, B.; Mahboub, B.; Makela, M. J.; Martin, F.; Marshall, G. D.; Martinez, F. D.; Masjedi, M. R.; Maurer, M.; Mavale-Manuel, S.; Mazon, A.; Melen, E.; Meltzer, E. O.; Mendez, N. H.; Merk, H.; Mihaltan, F.; Mohammad, Y.; Morais-Almeida, M.; Muraro, A.; Nafti, S.; Namazova-Baranova, L.; Nekam, K.; Neou, A.; Niggemann, B.; Nizankowska-Mogilnicka, E.; Nyembue, T. D.; Okamoto, Y.; Okubo, K.; Orru, M. P.; Ouedraogo, S.; Ozdemir, C.; Panzner, P.; Pali-Schoell, I.; Park, H. S.; Pigearias, B.; Pohl, W.; Popov, T. A.; Postma, D. S.; Potter, P.; Rabe, K. F.; Ratomaharo, J.; Reitamo, S.; Ring, J.; Roberts, R.; Rogala, B.; Romano, A.; Rodriguez, M. Roman; Rosado-Pinto, J.; Rosenwasser, L.; Rottem, M.; Sanchez-Borges, M.; Scadding, G. K.; Schmid-Grendelmeier, P.; Sheikh, A.; Sisul, J. C.; Sole, D.; Sooronbaev, T.; Spicak, V.; Spranger, O.; Stein, R. T.; Stoloff, S. W.; Sunyer, J.; Szczeklik, A.; Todo-Bom, A.; Toskala, E.; Tremblay, Y.; Valenta, R.; Valero, A. L.; Valeyre, D.; Valiulis, A.; Valovirta, E.; Van Cauwenberge, P.; Vandenplas, O.; van weel, C.; Vichyanond, P.; Viegi, G.; Wang, D. Y.; Wickman, M.; Woehrl, S.; Wright, J.; Yawn, B. P.; Yiallouros, P. K.; Zar, H. J.; Zernotti, M. E.; Zhong, N.; Zidarn, M.; Zuberbier, T.</t>
  </si>
  <si>
    <t>Bousquet, J; Schünemann, HJ; Samolinski, B; Demoly, P; Baena-Cagnani, CE; Bachert, C; Bonini, S; Boulet, LP; Bousquet, PJ; Brozek, JL; Canonica, GW; Casale, TB; Cruz, AA; Fokkens, WJ; Fonseca, JA; van Wijk, RG; Grouse, L; Haahtela, T; Khaltaev, N; Kuna, P; Lockey, RF; Carlsen, KCL; Mullol, J; Naclerio, R; O'Hehir, RE; Ohta, K; Palkonen, S; Papadopoulos, NG; Passalacqua, G; Pawankar, R; Price, D; Ryan, D; Simons, FER; Togias, A; Williams, D; Yorgancioglu, A; Yusuf, OM; Aberer, W; Adachi, M; Agache, I; Aït-Khaled, N; Akdis, CA; Andrianarisoa, A; Annesi-Maesano, I; Ansotegui, IJ; Baiardini, I; Bateman, ED; Bedbrook, A; Beghé, B; Beji, M; Bel, EH; Ben Kheder, A; Bennoor, KS; Bergmann, KC; Berrissoul, F; Bieber, T; Jensen, CB; Blaiss, MS; Boner, AL; Bouchard, J; Braido, F; Brightling, CE; Bush, A; Caballero, F; Calderon, MA; Calvo, MA; Camargos, PAM; Caraballo, LR; Carlsen, KH; Carr, W; Cepeda, AM; Cesario, A; Chavannes, NH; Chen, YZ; Chiriac, AM; Pérez, TC; Chkhartishvili, E; Ciprandi, G; Costa, DJ; Cox, L; Custovic, A; Dahl, R; Darsow, U; De Blay, F; Deleanu, D; Denburg, JA; Devillier, P; Didi, T; Dokic, D; Dolen, WK; Douagui, H; Dubakiene, R; Durham, SR; Dykewicz, MS; El-Gamal, Y; El-Meziane, A; Emuzyte, R; Fiocchi, A; Fletcher, M; Fukuda, T; Gamkrelidze, A; Gereda, JE; Diaz, SG; Gotua, M; Guzmán, MA; Hellings, PW; Hellquist-Dahl, B; Horak, F; Hourihane, JO; Howarth, P; Humbert, M; Ivancevich, JC; Jackson, C; Just, J; Kalayci, O; Kaliner, MA; Kalyoncu, AF; Keil, T; Keith, PK; Khayat, G; Kim, YY; N'Goran, BK; Koppelman, GH; Kowalski, ML; Kull, I; Kvedariene, V; Larenas-Linnemann, D; Le, LT; Lemière, C; Li, J; Lieberman, P; Lipworth, B; Mahboub, B; Makela, MJ; Martin, F; Marshall, GD; Martinez, FD; Masjedi, MR; Maurer, M; Mavale-Manuel, S; Mazon, A; Melen, E; Meltzer, EO; Mendez, NH; Merk, H; Mihaltan, F; Mohammad, Y; Morais-Almeida, M; Muraro, A; Nafti, S; Namazova-Baranova, L; Nekam, K; Neou, A; Niggemann, B; Nizankowska-Mogilnicka, E; Nyembue, TD; Okamoto, Y; Okubo, K; Orru, MP; Ouedraogo, S; Ozdemir, C; Panzner, P; Pali-Schöll, I; Park, HS; Pigearias, B; Pohl, W; Popov, TA; Postma, DS; Potter, P; Rabe, KF; Ratomaharo, J; Reitamo, S; Ring, J; Roberts, R; Rogala, B; Romano, A; Rodriguez, MR; Rosado-Pinto, J; Rosenwasser, L; Rottem, M; Sanchez-Borges, M; Scadding, GK; Schmid-Grendelmeier, P; Sheikh, A; Sisul, JC; Solé, D; Sooronbaev, T; Spicak, V; Spranger, O; Stein, RT; Stoloff, SW; Sunyer, J; Szczeklik, A; Todo-Bom, A; Toskala, E; Tremblay, Y; Valenta, R; Valero, AL; Valeyre, D; Valiulis, A; Valovirta, E; Van Cauwenberge, P; Vandenplas, O; van Weel, C; Vichyanond, P; Viegi, G; Wang, DY; Wickman, M; Wöhrl, S; Wright, J; Yawn, BP; Yiallouros, PK; Zar, HJ; Zernotti, ME; Zhong, N; Zidarn, M; Zuberbier, T</t>
  </si>
  <si>
    <t>WOS:000312431700009</t>
  </si>
  <si>
    <t>055QO</t>
  </si>
  <si>
    <t>10.1160/TH11-11-0821</t>
  </si>
  <si>
    <t>We thank Scarlett Geunes-Boyer, PhD, Jennifer M. Kulak, PhD, and Mary Hines, BSc (Hons), of inScience Communications for editorial support. This support was funded by Actelion Pharmaceuticals US, Inc.R. Benza has received grant support from Actelion, United Therapeutics, GENO, Ikaria and Novartis. None of the other authors declares any conflicts of interest.</t>
  </si>
  <si>
    <t>Actelion Pharmaceuticals US, Inc.; Actelion; United Therapeutics; GENO; Ikaria; Novartis(Novartis)</t>
  </si>
  <si>
    <t>Actelion Pharmaceuticals US, Inc.; Actelion; United Therapeutics; GENO; Ikaria; Novartis</t>
  </si>
  <si>
    <t>Humbert, Marc/0000-0003-0703-2892; Frantz, Robert/0000-0003-4128-3978</t>
  </si>
  <si>
    <t>Benza, Raymond/AAD-4885-2019; Gomberg-Maitland, Mardi/N-7158-2019; Humbert, Marc/AAC-8459-2019</t>
  </si>
  <si>
    <t>RBENZA@wpahs.org</t>
  </si>
  <si>
    <t>Benza, RL (corresponding author), Allegheny Gen Hosp, Gerald McGinnis Cardiovasc Inst, 320 E North Ave,16th Floor,S Tower, Pittsburgh, PA 15212 USA.</t>
  </si>
  <si>
    <t>Allegheny General Hospital; University of Chicago; University of Chicago Medical Center; Baylor College of Medicine; Mayo Clinic; Assistance Publique Hopitaux Paris (APHP); Hopital Universitaire Antoine-Beclere - APHP; Institut National de la Sante et de la Recherche Medicale (Inserm); Universite Paris Saclay</t>
  </si>
  <si>
    <t>[Benza, Raymond L.] Allegheny Gen Hosp, Gerald McGinnis Cardiovasc Inst, Pittsburgh, PA 15212 USA; [Gomberg-Maitland, Mardi] Univ Chicago, Med Ctr, Chicago, IL 60637 USA; [Frost, Adaani E.] Baylor Coll Med, Houston, TX 77030 USA; [Frantz, Robert P.; McGoon, Michael D.] Mayo Clin, Rochester, MN USA; [Humbert, Marc] Univ Paris 11, Inserm U999, Hop Antoine Beclere, AP HP, Clamart, France</t>
  </si>
  <si>
    <t>Pulmonary arterial hypertension (PAH) is characterised by increased pressure in the pulmonary arteries leading to right-sided ventricular failure, and death. Identification of factors that affect patient survival is important to improve patient management and outcomes. The first registry to evaluate survival and develop a prognostic model was the National Institutes of Health (NIH) registry in 1981. Importantly this prognostic model is based on data collected prior to availability of PAH-targeted therapies and does not reflect survival rates for treated patients. Since the 1980s, however, four modern registries of PAH now exist which compensate for the NIH equations shortcomings and include the French National registry, Pulmonary Hypertension Connection registry, the Mayo registry, and the Registry to Evaluate Early and Long-Term PAH Disease Management (REVEAL). The similarities and difference in these registries are highlighted in this review and although similar in many respects, the four registries vary in patient population, including the numbers of newly and previously diagnosed patients, as well as the era of observation, period of survival, and timing of assessment of potential predictive factors. Despite this, the predictive factors identified in each registry and described in detail within the body of this manuscript share surprising homology in that disease aetiology, patient gender and factors reflective of right heart failure are integral in depicting survival. Future modifications of modern prognostic equations should be an ongoing goal of the PAH community in order to provide increased accuracy with identification of novel risk factors and prediction of disease course.</t>
  </si>
  <si>
    <t>IMMORTAL TIME BIAS; REVEAL REGISTRY; SURVIVAL; PREDICTION; VALIDATION</t>
  </si>
  <si>
    <t>Prognosis; pulmonary arterial hypertension; REVEAL; risk calculator; survival prediction</t>
  </si>
  <si>
    <t>Development of prognostic tools in pulmonary arterial hypertension: Lessons from modern day registries</t>
  </si>
  <si>
    <t>Benza, Raymond L.; Gomberg-Maitland, Mardi; Frost, Adaani E.; Frantz, Robert P.; Humbert, Marc; McGoon, Michael D.</t>
  </si>
  <si>
    <t>Benza, RL; Gomberg-Maitland, M; Frost, AE; Frantz, RP; Humbert, M; McGoon, MD</t>
  </si>
  <si>
    <t>WOS:000312283800045</t>
  </si>
  <si>
    <t>053PA</t>
  </si>
  <si>
    <t>10.1378/chest.11-2816</t>
  </si>
  <si>
    <t>Adir, Y (corresponding author), Technion Israel Inst Technol, Carmel Med Ctr, Div Pulm, Inst Technol,Fac Med, 7 Michal St, Haifa, Israel.</t>
  </si>
  <si>
    <t>Technion Israel Institute of Technology; Rappaport Faculty of Medicine; Clalit Health Services; Carmel Medical Center; Clalit Health Services; Carmel Medical Center; Technion Israel Institute of Technology; Rappaport Faculty of Medicine; Technion Israel Institute of Technology; Rappaport Faculty of Medicine; Clalit Health Services; Carmel Medical Center; Universite Paris Saclay; Universite Paris Saclay; Assistance Publique Hopitaux Paris (APHP); Hopital Universitaire Antoine-Beclere - APHP; Hopital Universitaire Bicetre - APHP; Institut National de la Sante et de la Recherche Medicale (Inserm); Universite Paris Saclay; Hopital Marie Lannelongue</t>
  </si>
  <si>
    <t>[Adir, Yochai] Technion Israel Inst Technol, Carmel Med Ctr, Div Pulm, Inst Technol,Fac Med, Haifa, Israel; [Shachner, Robert] Technion Israel Inst Technol, Carmel Med Ctr, Div Radiol, Inst Technol,Fac Med, Haifa, Israel; [Adir, Yochai] Technion Israel Inst Technol, Carmel Med Ctr, Div Cardiol, Inst Technol,Fac Med, Haifa, Israel; [Humbert, Marc] Univ Paris 11, Fac Med, Le Kremlin Bicetre, France; [Humbert, Marc] Hop Bicetre, AP HP, Serv Pneumol, Le Kremlin Bicetre, France; [Humbert, Marc] Ctr Chirurg Marie Lannelongue, U999, INSERM, Le Plessis Robinson, France</t>
  </si>
  <si>
    <t>Mild to moderate precapillary pulmonary hypertension (PH) is a common complication of COPD and has typically been related to severe airflow limitation associated with chronic hypoxemia. Previous studies focusing specifically on patients with emphysema found that worsening PH was associated with progression of airflow obstruction. In the present report, we describe a new phenotype of COPD with severe precapillary PH in patients presenting with progressive dyspnea, normal spirometry, severely reduced diffusion capacity of the lung for carbon monoxide, and high-resolution CT scans of the chest showing diffuse centri-lobular emphysema. CHEST 2012; 142(6):1654-1658</t>
  </si>
  <si>
    <t>TERM OXYGEN-THERAPY; LUNG-DISEASE; POPULATION; PRESSURE; AGE</t>
  </si>
  <si>
    <t>Severe Pulmonary Hypertension Associated With Emphysema A New Phenotype?</t>
  </si>
  <si>
    <t>Adir, Yochai; Shachner, Robert; Amir, Offer; Humbert, Marc</t>
  </si>
  <si>
    <t>Adir, Y; Shachner, R; Amir, O; Humbert, M</t>
  </si>
  <si>
    <t>WOS:000325412900022</t>
  </si>
  <si>
    <t>231JO</t>
  </si>
  <si>
    <t>Cardiology</t>
  </si>
  <si>
    <t>CARDIOLOGY</t>
  </si>
  <si>
    <t>0008-6312</t>
  </si>
  <si>
    <t>Yuan, Ping/GLU-7749-2022; Humbert, Marc/AAC-8459-2019; Jiang, Xin/AAZ-9178-2021; Jing, Zhi-Cheng/AAT-9081-2021</t>
  </si>
  <si>
    <t>Tongji University</t>
  </si>
  <si>
    <t>[Zhang, Rui; Dai, Lizhi; Xie, Weiping; Yu, Zaixin; Wu, Bingxiang; Pan, Lei; Yuan, Ping; Jiang, Xin; He, Jing; Humbert, Marc; Jing, Zhicheng; Liu, Jingmin] Tongji Univ Sch Med, Shanghai Pulm Hosp, Dept Pulm Circulat, Shanghai, Peoples R China</t>
  </si>
  <si>
    <t>Survival of Chinese patients with pulmonary arterial hypertension in the modern management era</t>
  </si>
  <si>
    <t>Zhang, Rui; Dai, Lizhi; Xie, Weiping; Yu, Zaixin; Wu, Bingxiang; Pan, Lei; Yuan, Ping; Jiang, Xin; He, Jing; Humbert, Marc; Jing, Zhicheng; Liu, Jingmin</t>
  </si>
  <si>
    <t>Zhang, R; Dai, LZ; Xie, WP; Yu, ZX; Wu, BX; Pan, L; Yuan, P; Jiang, X; He, J; Humbert, M; Jing, ZC; Liu, JM</t>
  </si>
  <si>
    <t>WOS:000209839100721</t>
  </si>
  <si>
    <t>V45TO</t>
  </si>
  <si>
    <t>A1739</t>
  </si>
  <si>
    <t>David, Montani/I-6885-2019; Humbert, Marc/AAC-8459-2019; TU, Ly/G-4035-2013; GUIGNABERT, Christophe/G-3873-2013; Ricard, Nicolas/AAF-1083-2019; Simonneau, Gerald/ABE-6614-2020</t>
  </si>
  <si>
    <t>[Tu, L.; Huertas, A.; Le Hiress, M.; Ricard, N.; Phan, C.; Fadel, E.; Seferian, A.; Montani, D.; Simonneau, G.; Humbert, M.; Guignabert, C.] INSERM, UMR 999, Le Plessis Robinson, France</t>
  </si>
  <si>
    <t>Mif/cd74-Dependent Interleukin-6 And Monocyte Chemoattractant Protein-1 Secretion By Pulmonary Endothelial Cells In Idiopathic Pulmonary Hypertension</t>
  </si>
  <si>
    <t>Tu, L.; Huertas, A.; Le Hiress, M.; Ricard, N.; Phan, C.; Fadel, E.; Seferian, A.; Montani, D.; Simonneau, G.; Humbert, M.; Guignabert, C.</t>
  </si>
  <si>
    <t>Tu, L; Huertas, A; Le Hiress, M; Ricard, N; Phan, C; Fadel, E; Seferian, A; Montani, D; Simonneau, G; Humbert, M; Guignabert, C</t>
  </si>
  <si>
    <t>WOS:000319506200004</t>
  </si>
  <si>
    <t>152CA</t>
  </si>
  <si>
    <t>10.1159/000339346</t>
  </si>
  <si>
    <t>SITBON, Olivier/0000-0002-1942-1951; JAIS, XAVIER/0000-0002-4104-7994; Humbert, Marc/0000-0003-0703-2892; O'Callaghan, Dermot/0000-0002-0561-5800</t>
  </si>
  <si>
    <t>JACOBS, Frederic/GNM-7487-2022; Sitbon, Olivier/I-3623-2019; Simonneau, Gerald/ABE-6614-2020; Humbert, Marc/AAC-8459-2019</t>
  </si>
  <si>
    <t>Sztrymf, B (corresponding author), Hop Antoine Beclere, 157 Rue Porte Trivaux, FR-92140 Clamart, France.</t>
  </si>
  <si>
    <t>Assistance Publique Hopitaux Paris (APHP); Hopital Universitaire Antoine-Beclere - APHP; Assistance Publique Hopitaux Paris (APHP); Hopital Universitaire Antoine-Beclere - APHP; Assistance Publique Hopitaux Paris (APHP); Hopital Universitaire Antoine-Beclere - APHP; Institut National de la Sante et de la Recherche Medicale (Inserm); Universite Paris Saclay</t>
  </si>
  <si>
    <t>[Sztrymf, Benjamin; Prat, Dominique; Jacobs, Frederic M.; Brivet, Francois G.] Hop Antoine Beclere, AP HP, FR-92140 Clamart, France; [Sztrymf, Benjamin; O'Callaghan, Dermot S.; Price, Laura C.; Jais, Xavier; Sitbon, Olivier; Simonneau, Gerald; Humbert, Marc] Hop Antoine Beclere, AP HP, Serv Pneumol &amp; Reanimat Resp, Ctr Natl Reference Hypertens Pulm Severe, FR-92140 Clamart, France; [Sztrymf, Benjamin; Prat, Dominique; Jacobs, Frederic M.; Brivet, Francois G.] AP HP, EA 4533, Clamart, France; [Sztrymf, Benjamin; O'Callaghan, Dermot S.; Jais, Xavier; Sitbon, Olivier; Simonneau, Gerald; Humbert, Marc] INSERM, U999, Clamart, France; [Sztrymf, Benjamin; Jacobs, Frederic M.; Brivet, Francois G.; Jais, Xavier; Sitbon, Olivier; Simonneau, Gerald; Humbert, Marc] Univ Paris 11, Fac Med, Le Kremlin Bicetre, France</t>
  </si>
  <si>
    <t>Background: Renal replacement therapy has been suggested as a therapeutic option in the setting of acute right ventricular failure in patients with severe precapillary pulmonary hypertension. However, there are few data supporting this strategy. Objectives: To describe the clinical course and the prognosis of pulmonary hypertensive patients undergoing renal replacement therapy in the setting of acute right heart failure. Methods: This was a single-center retrospective study over an 11-year period. Data were collected from all patients with chronic precapillary pulmonary hypertension requiring catecholamine infusions for clinical worsening and acute kidney injury that necessitated renal replacement therapy. Results: Fourteen patients were included. At admission, patients had a blood urea of 28.2 mmol/l (22.3-41.2), a creatinine level of 496 mu mol/l (304-590), and a mean urine output in the 24 h preceding hospitalization of 200 ml (0-650). Sixty-eight renal replacement therapy sessions were performed, 36 of which were continuous and 32 of which were intermittent. Systemic hypotension occurred in 16/32 intermittent and 16/36 continuous sessions (p = 0.9). Two patients died during a continuous session. The intensive care unit-related, 1-, and 3-month mortality was 46.7, 66.7, and 73.3%, respectively. Conclusion: Renal replacement therapy is feasible in the setting of acute right ventricular failure in patients with severe precapillary pulmonary hypertension but is associated with a poor prognosis. The best modality and timing in this population remain to be defined. Copyright (C) 2012 S. Karger AG, Basel</t>
  </si>
  <si>
    <t>ACUTE KIDNEY INJURY; CRITICALLY-ILL PATIENTS; INTENSIVE-CARE-UNIT; ARTERIAL-HYPERTENSION; LUNG TRANSPLANTATION; DIALYSIS; MORTALITY; MANAGEMENT</t>
  </si>
  <si>
    <t>Acute; Critical care; Pulmonary hypertension; Renal replacement therapy; Right ventricular failure</t>
  </si>
  <si>
    <t>Renal Replacement Therapy in Patients with Severe Precapillary Pulmonary Hypertension with Acute Right Heart Failure</t>
  </si>
  <si>
    <t>Sztrymf, Benjamin; Prat, Dominique; Jacobs, Frederic M.; Brivet, Francois G.; O'Callaghan, Dermot S.; Price, Laura C.; Jais, Xavier; Sitbon, Olivier; Simonneau, Gerald; Humbert, Marc</t>
  </si>
  <si>
    <t>Sztrymf, B; Prat, D; Jacobs, FM; Brivet, FG; O'Callaghan, DS; Price, LC; Jais, X; Sitbon, O; Simonneau, G; Humbert, M</t>
  </si>
  <si>
    <t>WOS:000209839100720</t>
  </si>
  <si>
    <t>A1738</t>
  </si>
  <si>
    <t>TU, Ly/G-4035-2013; Humbert, Marc/AAC-8459-2019</t>
  </si>
  <si>
    <t>[Seferian, A.; Tu, L.; Huertas, A.; Phan, C.; Simonneau, G.; Humbert, M.; Montani, D.; Guignabert, C.] INSERM, UMR 999, Le Pessis Robinson, France</t>
  </si>
  <si>
    <t>Effects Of Broad Spectrum Tyrosin Kinase Inhibitor On Pulmonary Circulation Homeostasis</t>
  </si>
  <si>
    <t>Seferian, A.; Tu, L.; Huertas, A.; Phan, C.; Simonneau, G.; Humbert, M.; Montani, D.; Guignabert, C.</t>
  </si>
  <si>
    <t>Seferian, A; Tu, L; Huertas, A; Phan, C; Simonneau, G; Humbert, M; Montani, D; Guignabert, C</t>
  </si>
  <si>
    <t>WOS:000313384700018</t>
  </si>
  <si>
    <t>068RU</t>
  </si>
  <si>
    <t>10.1183/09031936.00117511</t>
  </si>
  <si>
    <t>Montani, David/0000-0002-9358-6922; Le Pavec, Jerome/0000-0003-4426-9645; JAIS, XAVIER/0000-0002-4104-7994; Humbert, Marc/0000-0003-0703-2892; O'Callaghan, Dermot/0000-0002-0561-5800; SITBON, Olivier/0000-0002-1942-1951</t>
  </si>
  <si>
    <t>David, Montani/I-6885-2019; Dingemanse, Jasper/KGK-5247-2024; Sitbon, Olivier/I-3623-2019; Savale, Laurent/AAJ-9781-2020; Simonneau, Gerald/ABE-6614-2020; Humbert, Marc/AAC-8459-2019</t>
  </si>
  <si>
    <t>Sitbon, O (corresponding author), Hop Bicetre, AP HP, Ctr Reference Hypertens Pulm Severe, Serv Pneumol, 78 Rue Gen Leclerc, F-94270 Le Kremlin Bicetre, France.</t>
  </si>
  <si>
    <t>Universite Paris Saclay; Assistance Publique Hopitaux Paris (APHP); Hopital Universitaire Bicetre - APHP; Universite Paris Saclay; Hopital Universitaire Antoine-Beclere - APHP; Hopital Marie Lannelongue; Institut National de la Sante et de la Recherche Medicale (Inserm); CHU de Caen NORMANDIE; Universite de Caen Normandie; Actelion Pharmaceuticals Ltd</t>
  </si>
  <si>
    <t>[Savale, Laurent; Le Pavec, Jerome; Jais, Xavier; Montani, David; O'Callaghan, Dermot S.; Humbert, Marc; Simonneau, Gerald; Sitbon, Olivier] Univ Paris 11, Fac Med, Le Kremlin Bicetre, France; [Sitbon, Olivier] Hop Bicetre, AP HP, Ctr Reference Hypertens Pulm Severe, Serv Pneumol, F-94270 Le Kremlin Bicetre, France; [Savale, Laurent; Le Pavec, Jerome; Jais, Xavier; Montani, David; O'Callaghan, Dermot S.; Humbert, Marc; Simonneau, Gerald; Sitbon, Olivier] INSERM U999 Hypertens Arterielle Pulm Physiopatho, Ctr Chirurg Marie Lannelongue, Le Plessis Robinson, France; [Magnier, Romain] CHU Caen, Serv Pneumol, F-14000 Caen, France; [Dingemanse, Jasper] Actel Pharmaceut Ltd, Dept Clin Pharmacol, Allschwil, Switzerland</t>
  </si>
  <si>
    <t>Data on treatment of patients with portopulmonary hypertension (PoPH) are limited, as they are usually excluded from randomised controlled trials with pulmonary arterial hypertension (PAH)-specific therapies. This study investigated the short- and long-term efficacy/safety of bosentan in these patients, as well as its pharmacokinetics. All 34 consecutive patients with PoPH treated with first-line bosentan (December 2002 to July 2009) were retrospectively evaluated. Assessments included the New York Heart Association functional class (NYHA FC), blood tests, haemodynamics, 6-min walk distance (6MWD) and event-free status. The pharmacokinetics of bosentan in five patients with Child-Pugh (C-P) class B cirrhosis were compared with idiopathic PAH patients. Significant improvements from baseline were observed in NYHA FC, 6MWD and haemodynamics, and were largely maintained during follow-up. Patients with C-P class B cirrhosis (n=9) had significantly larger haemodynamic improvement after mean +/- SD 5 +/- 2 months. Mean follow-up time was 43 +/- 19 months; four patients died and seven patients had significant elevation of liver enzymes (annual rate 5.5%). Plasma concentrations of bosentan were higher in patients with C-P class B cirrhosis than those observed in idiopathic PAH. These data confirm the benefit of bosentan treatment for patients with PoPH. Haemodynamic improvements were particularly pronounced in patients with more severe cirrhosis. The safety profile of bosentan was consistent with previous studies.</t>
  </si>
  <si>
    <t>PULMONARY ARTERIAL-HYPERTENSION; ENDOTHELIN-RECEPTOR ANTAGONIST; PORTAL-HYPERTENSION; SURVIVAL; THERAPY; CIRRHOSIS; DIAGNOSIS</t>
  </si>
  <si>
    <t>Bosentan; cirrhosis; endothelin receptor antagonists; hypertension; portopulmonary hypertension; pulmonary</t>
  </si>
  <si>
    <t>Efficacy, safety and pharmacokinetics of bosentan in portopulmonary hypertension</t>
  </si>
  <si>
    <t>Savale, Laurent; Magnier, Romain; Le Pavec, Jerome; Jais, Xavier; Montani, David; O'Callaghan, Dermot S.; Humbert, Marc; Dingemanse, Jasper; Simonneau, Gerald; Sitbon, Olivier</t>
  </si>
  <si>
    <t>Savale, L; Magnier, R; Le Pavec, J; Jaïs, X; Montani, D; O'Callaghan, DS; Humbert, M; Dingemanse, J; Simonneau, G; Sitbon, O</t>
  </si>
  <si>
    <t>WOS:000209839102005</t>
  </si>
  <si>
    <t>A2615</t>
  </si>
  <si>
    <t>Le Moual, Nicole/0000-0002-2723-5569</t>
  </si>
  <si>
    <t>Humbert, Marc/AAC-8459-2019; Varraso, Raphaelle/R-8740-2016; Tubert-Bitter, Pascale/E-6118-2016; Le Moual, Nicole/R-8976-2016</t>
  </si>
  <si>
    <t>Institut National de la Sante et de la Recherche Medicale (Inserm); Universite Paris Saclay; Institut National de la Sante et de la Recherche Medicale (Inserm); Hopital Marie Lannelongue; Universite Paris Saclay; Assistance Publique Hopitaux Paris (APHP); Hopital Universitaire Antoine-Beclere - APHP; Hopital Universitaire Bicetre - APHP; Universite Paris Saclay; Universite de Montpellier; CHU de Montpellier</t>
  </si>
  <si>
    <t>[Sanchez, M.; Tubert-Bitter, P.; Le Moual, N.; Clavel-Chapelon, F.; Kauffmann, F.; Varraso, R.] Univ Paris Sud UMRS1018, INSERM CESP U1018, Villejuif, France; [Humbert, M. J. C.] Univ Paris Sud, Fac Med, Le Kremlin Bicetre, France; [Humbert, M. J. C.] Ctr Chirurg Marie Lannelongue, INSERM U999, LabEx LERMIT, Le Plessis Robinson, France; [Humbert, M. J. C.] Hop Bicetre, AP HP, Serv Pneumol &amp; Reanimat Resp, DHU Thorax Innovat, Le Kremlin Bicetre, France; [Bousquet, J.] INSERM Ctr Res Epidemiol &amp; Populat Hlth CESP U101, Resp &amp; Environm Epidemiol Team, Villejuif, France; [Bousquet, J.] Univ Hosp, Hop Arnaud de Villeneuve, Dept Resp Dis, Montpellier, France</t>
  </si>
  <si>
    <t>6-Year Patterns Of Dispensed Asthma Medication In 2,853 Aging Asthmatic Women</t>
  </si>
  <si>
    <t>Sanchez, M.; Humbert, M. J. C.; Tubert-Bitter, P.; Le Moual, N.; Clavel-Chapelon, F.; Kauffmann, F.; Bousquet, J.; Varraso, R.</t>
  </si>
  <si>
    <t>Sanchez, M; Humbert, MJC; Tubert-Bitter, P; Le Moual, N; Clavel-Chapelon, F; Kauffmann, F; Bousquet, J; Varraso, R</t>
  </si>
  <si>
    <t>WOS:000209839103104</t>
  </si>
  <si>
    <t>A3531</t>
  </si>
  <si>
    <t>Rubin, Lewis/AEW-1719-2022; Langleben, David/AAJ-9152-2020; Humbert, Marc/AAC-8459-2019; Ghofrani, Ardeschir/AAD-5293-2020</t>
  </si>
  <si>
    <t>ljrubin@ucsd.edu</t>
  </si>
  <si>
    <t>University of California System; University of California San Diego; University of Bologna; University Hospital of Giessen &amp; Marburg; Ruprecht Karls University Heidelberg; Universite Paris Saclay; Institut National de la Sante et de la Recherche Medicale (Inserm); Assistance Publique Hopitaux Paris (APHP); Hopital Universitaire Antoine-Beclere - APHP; Hopital Universitaire Bicetre - APHP; Universite Paris Saclay; Tongji University; NSW Health; St Vincents Hospital Sydney; McGill University; Lady Davis Institute; Bayer AG; Bayer Healthcare Pharmaceuticals; Bayer AG; Bayer Healthcare Pharmaceuticals</t>
  </si>
  <si>
    <t>[Rubin, L. J.] Univ Calif San Diego, La Jolla, CA 92093 USA; [Galie, N.] Univ Bologna, Inst Cardiol, Bologna, Italy; [Grimminger, F.; Ghofrani, H. -A.] Univ Hosp Giessen &amp; Marburg, Dept Internal Med, Giessen, Germany; [Grunig, E.] Univ Heidelberg Hosp, Thoraxclin Heidelberg, Ctr Pulm Hypertens, Heidelberg, Germany; [Humbert, M. J. C.] Univ Paris Sud, Le Kremlin Bicetre, France; [Humbert, M. J. C.] INSERM, U999, Le Kremlin Bicetre, France; [Humbert, M. J. C.] Hop Bicetre, AP HP, Serv Pneumol, Le Kremlin Bicetre, France; [Jing, Z. -C.] Tongji Univ, Shanghai Pulm Hosp, Sch Med, Dept Cardiopulm Circulat, Shanghai, Peoples R China; [Keogh, A. M.] St Vincents Hosp, Sydney, NSW, Australia; [Langleben, D.] McGill Univ, Jewish Gen Hosp, Lady Davis Inst Med Res, Ctr Pulm Vasc Dis, Montreal, PQ, Canada; [Fritsch, A.; Neuser, D.] Bayer HealthCare, Global Clin Dev, Wuppertal, Germany; [Kilama, M. Ochan] Bayer HealthCare, Global Clin Dev, Milan, Italy</t>
  </si>
  <si>
    <t>Riociguat For The Treatment Of Pulmonary Arterial Hypertension (pah): A Phase Iii Long-Term Extension Study (patent-2)</t>
  </si>
  <si>
    <t>Rubin, L. J.; Galie, N.; Grimminger, F.; Grunig, E.; Humbert, M. J. C.; Jing, Z. -C.; Keogh, A. M.; Langleben, D.; Fritsch, A.; Kilama, M. Ochan; Neuser, D.; Ghofrani, H. -A.</t>
  </si>
  <si>
    <t>Rubin, LJ; Galie, N; Grimminger, F; Grunig, E; Humbert, MJC; Jing, ZC; Keogh, AM; Langleben, D; Fritsch, A; Kilama, MO; Neuser, D; Ghofrani, HA</t>
  </si>
  <si>
    <t>WOS:000209838400404</t>
  </si>
  <si>
    <t>V45TH</t>
  </si>
  <si>
    <t>A3967</t>
  </si>
  <si>
    <t>van der Velden, J/D-1925-2016; GUIGNABERT, Christophe/G-3873-2013; dos Remedios, Cristobal/B-3487-2010; Humbert, Marc/AAC-8459-2019</t>
  </si>
  <si>
    <t>rain.silvia0104@gmail.com</t>
  </si>
  <si>
    <t>Vrije Universiteit Amsterdam; University of Sydney; Universite Paris Saclay; University of Arizona</t>
  </si>
  <si>
    <t>[Rain, S.; Van der Velden, J.; Handoko, M. L.; Westerhof, N.; Vonk-Noordegraaf, A.; De Man, F. S.] Vrije Univ Amsterdam, Med Ctr, Amsterdam, Netherlands; [Dos Remedios, C. G.] Univ Sydney, Sydney, NSW, Australia; [Humbert, M. J. C.; Dorfmuller, P.; Guignabert, C.] Univ Paris Sud, Paris, France; [Granzier, H.; Saripalli, C.; Hidalgo, C.] Univ Arizona, Tucson, AZ USA</t>
  </si>
  <si>
    <t>Functional Effects Of Sarcomeric Protein Phosphorylation In Right Ventricular Diastolic Stiffness In Patients With Pulmonary Arterial Hypertension</t>
  </si>
  <si>
    <t>Rain, S.; Van der Velden, J.; Handoko, M. L.; Westerhof, N.; Dos Remedios, C. G.; Humbert, M. J. C.; Dorfmuller, P.; Guignabert, C.; Granzier, H.; Saripalli, C.; Hidalgo, C.; Vonk-Noordegraaf, A.; De Man, F. S.</t>
  </si>
  <si>
    <t>Rain, S; Van der Velden, J; Handoko, ML; Westerhof, N; Dos Remedios, CG; Humbert, MJC; Dorfmuller, P; Guignabert, C; Granzier, H; Saripalli, C; Hidalgo, C; Vonk-Noordegraaf, A; De Man, FS</t>
  </si>
  <si>
    <t>WOS:000209839100723</t>
  </si>
  <si>
    <t>A1741</t>
  </si>
  <si>
    <t>Humbert, Marc/AAC-8459-2019; Simonneau, Gerald/ABE-6614-2020; David, Montani/I-6885-2019; Cohen-Kaminsky, Sylvia/E-4837-2014; Perros, Frederic/N-6921-2017</t>
  </si>
  <si>
    <t>Universite Paris Saclay; Institut National de la Sante et de la Recherche Medicale (Inserm); Assistance Publique Hopitaux Paris (APHP); Assistance Publique Hopitaux Paris (APHP); Hopital Universitaire Bicetre - APHP; Hopital Marie Lannelongue</t>
  </si>
  <si>
    <t>[Perros, F.; Montani, D.; Girerd, B.; Sefarian, A.; Dorfmuller, P.; Klingel-Schmitt, I.; Simonneau, G.; Humbert, M. J. C.; Cohen-Kaminsky, S.] Univ Paris Sud, INSERM UMR S 999, Labex LERMIT, Le Plessis Robinson, France; [Perros, F.; Montani, D.; Girerd, B.; Sefarian, A.; Dorfmuller, P.; Klingel-Schmitt, I.; Simonneau, G.; Humbert, M. J. C.; Cohen-Kaminsky, S.] DHU TORINO, AP HP, Ctr Natl Reference Hypertens Pulmonaire Severe, Le Plessis Robinson, France; [Perros, F.; Montani, D.; Girerd, B.; Sefarian, A.; Dorfmuller, P.; Klingel-Schmitt, I.; Simonneau, G.; Humbert, M. J. C.; Cohen-Kaminsky, S.] Hop Bicetre, Le Plessis Robinson, France; [Perros, F.; Montani, D.; Girerd, B.; Sefarian, A.; Dorfmuller, P.; Klingel-Schmitt, I.; Simonneau, G.; Humbert, M. J. C.; Cohen-Kaminsky, S.] Ctr Chirurg Marie Lannelongue, Le Plessis Robinson, France; [Courtier, A.; Filipe-Santos, O. -S.; Parmentier, G.; Perez, S.] ImmunID Technol, Grenoble, France</t>
  </si>
  <si>
    <t>Lung And Circulating T And B Cell Repertoire-Based Immune Signatures In Pah</t>
  </si>
  <si>
    <t>Perros, F.; Montani, D.; Girerd, B.; Sefarian, A.; Dorfmuller, P.; Klingel-Schmitt, I.; Courtier, A.; Filipe-Santos, O. -S.; Parmentier, G.; Perez, S.; Simonneau, G.; Humbert, M. J. C.; Cohen-Kaminsky, S.</t>
  </si>
  <si>
    <t>Perros, F; Montani, D; Girerd, B; Sefarian, A; Dorfmuller, P; Klingel-Schmitt, I; Courtier, A; Filipe-Santos, OS; Parmentier, G; Perez, S; Simonneau, G; Humbert, MJC; Cohen-Kaminsky, S</t>
  </si>
  <si>
    <t>WOS:000209838401352</t>
  </si>
  <si>
    <t>A4709</t>
  </si>
  <si>
    <t>Perros, Frederic/0000-0001-7730-2427; Cohen-Kaminsky, Sylvia/0000-0002-6341-7482</t>
  </si>
  <si>
    <t>Huertas, Alice/E-8244-2017; David, Montani/I-6885-2019; Simonneau, Gerald/ABE-6614-2020; Humbert, Marc/AAC-8459-2019; Perros, Frederic/N-6921-2017; Cohen-Kaminsky, Sylvia/E-4837-2014</t>
  </si>
  <si>
    <t>Hopital Marie Lannelongue; Institut National de la Sante et de la Recherche Medicale (Inserm); Assistance Publique Hopitaux Paris (APHP); Universite Paris Saclay</t>
  </si>
  <si>
    <t>[Perros, F.; Cohen-Kaminsky, S.; Gambaryan, N.; Girerd, B.; Raymond, N.; Klingelschmitt, I.; Huertas, A.; Mercier, O.; Fadel, E.; Simonneau, G.; Humbert, M.; Dorfmuller, P.; Montani, D.] Univ Paris Sud, Ctr Reference Hypertens Pulm Severe, Ctr Chirurg Marie Lannelongue,Fac Med, AP HP,DHU TORINO,INSERM,UMR S 999,Labex LERMIT, Le Plessis Robinson, France</t>
  </si>
  <si>
    <t>Cytotoxic Cells And Granulysin In Pulmonary Arterial Hypertension And Pulmonary Veno-Occlusive Disease</t>
  </si>
  <si>
    <t>Perros, F.; Cohen-Kaminsky, S.; Gambaryan, N.; Girerd, B.; Raymond, N.; Klingelschmitt, I.; Huertas, A.; Mercier, O.; Fadel, E.; Simonneau, G.; Humbert, M.; Dorfmuller, P.; Montani, D.</t>
  </si>
  <si>
    <t>Perros, F; Cohen-Kaminsky, S; Gambaryan, N; Girerd, B; Raymond, N; Klingelschmitt, I; Huertas, A; Mercier, O; Fadel, E; Simonneau, G; Humbert, M; Dorfmuller, P; Montani, D</t>
  </si>
  <si>
    <t>WOS:000313384700005</t>
  </si>
  <si>
    <t>10.1183/09031936.00181212</t>
  </si>
  <si>
    <t>Pepke-Zaba, Joanna/AGW-3073-2022; Hoeper, Marius/Z-1546-2019; Humbert, Marc/AAC-8459-2019</t>
  </si>
  <si>
    <t>joanna.pepkezaba@papworth.nhs.uk</t>
  </si>
  <si>
    <t>Pepke-Zaba, J (corresponding author), Papworth Hosp, Pulm Vasc Dis Unit, Cambridge CB23 3RE, England.</t>
  </si>
  <si>
    <t>Papworth Hospital; Hannover Medical School; Universite Paris Saclay; Assistance Publique Hopitaux Paris (APHP); Hopital Universitaire Bicetre - APHP; Hopital Universitaire Antoine-Beclere - APHP; Universite Paris Saclay; Hopital Marie Lannelongue; Institut National de la Sante et de la Recherche Medicale (Inserm)</t>
  </si>
  <si>
    <t>[Pepke-Zaba, Joanna] Papworth Hosp, Pulm Vasc Dis Unit, Cambridge CB23 3RE, England; [Hoeper, Marius M.] Hannover Med Sch, Dept Resp Med, Hannover, Germany; [Humbert, Marc] Univ Paris 11, Fac Med, Le Kremlin Bicetre, France; [Humbert, Marc] Hop Bicetre, AP HP, Ctr Reference Hypertens Pulm Severe, Le Kremlin Bicetre, France; [Humbert, Marc] INSERM U999 Hypertens Arterielle Pulm Physiopatho, Ctr Chirurg Marie Lannelongue, Le Plessis Robinson, France</t>
  </si>
  <si>
    <t>Chronic thromboembolic pulmonary hypertension: advances from bench to patient management</t>
  </si>
  <si>
    <t>Pepke-Zaba, Joanna; Hoeper, Marius M.; Humbert, Marc</t>
  </si>
  <si>
    <t>Pepke-Zaba, J; Hoeper, MM; Humbert, M</t>
  </si>
  <si>
    <t>WOS:000209838400298</t>
  </si>
  <si>
    <t>A3861</t>
  </si>
  <si>
    <t>GlaxoSmithKline; Glaxosmithkline USA; Yale University; Universite de Montpellier; CHU de Montpellier; Institut National de la Sante et de la Recherche Medicale (Inserm); GlaxoSmithKline; Glaxosmithkline United Kingdom; Universite Paris Saclay</t>
  </si>
  <si>
    <t>[Ortega, H. G.] GlaxoSmithKline, Res Triangle Pk, NC USA; [Chupp, G.] Yale Univ, Sch Med, New Haven, CT USA; [Bardin, P.] Monash Lung &amp; Sleep, Melbourne, Vic, Australia; [Bourdin, A.] CHU Montpellier, INSERM, U1046, Montpellier 5, France; [Hartley, B.] GlaxoSmithKline, Brentford, Middx, England; [Humbert, M.] Univ Paris Sud, Paris, France</t>
  </si>
  <si>
    <t>The Role Of Mepolizumab In Atopic And Non-Atopic Patients With Refractory Eosinophilic Asthma</t>
  </si>
  <si>
    <t>Ortega, H. G.; Chupp, G.; Bardin, P.; Bourdin, A.; Hartley, B.; Humbert, M.</t>
  </si>
  <si>
    <t>Ortega, HG; Chupp, G; Bardin, P; Bourdin, A; Hartley, B; Humbert, M</t>
  </si>
  <si>
    <t>WOS:000313816400009</t>
  </si>
  <si>
    <t>074MK</t>
  </si>
  <si>
    <t>10.1111/eci.12018</t>
  </si>
  <si>
    <t>This study was supported by a PHRC (no. AOM07041/AO1347-46) and by the Fondation de France.</t>
  </si>
  <si>
    <t>PHRC; Fondation de France(Fondation de France)</t>
  </si>
  <si>
    <t>PHRC [AOM07041/AO1347-46]; Fondation de France</t>
  </si>
  <si>
    <t>Tregouet, David-Alexandre/0000-0001-9084-7800; Nadaud, Sophie/0000-0002-1452-6009; Humbert, Marc/0000-0003-0703-2892; Montani, David/0000-0002-9358-6922</t>
  </si>
  <si>
    <t>Nadaud, Sophie/A-7063-2013; EYRIES, melanie/ABF-1034-2020; David, Montani/I-6885-2019; Tregouet, David-Alexandre/E-3961-2016; Humbert, Marc/AAC-8459-2019</t>
  </si>
  <si>
    <t>Soubrier, F (corresponding author), Univ Paris 06, INSERM, U956, Fac Med Pitie Salpetriere, F-75013 Paris, France.</t>
  </si>
  <si>
    <t>Sorbonne Universite; Institut National de la Sante et de la Recherche Medicale (Inserm); Sorbonne Universite; Sorbonne Universite; Universite Paris Saclay; Assistance Publique Hopitaux Paris (APHP); Hopital Universitaire Bicetre - APHP; Universite Paris Saclay; Hopital Universitaire Antoine-Beclere - APHP; Institut National de la Sante et de la Recherche Medicale (Inserm); Universite Paris Saclay; Assistance Publique Hopitaux Paris (APHP); Hopital Universitaire Pitie-Salpetriere - APHP; Institut National de la Sante et de la Recherche Medicale (Inserm); Sorbonne Universite; Sorbonne Universite; Assistance Publique Hopitaux Paris (APHP); Hopital Universitaire Pitie-Salpetriere - APHP; Assistance Publique Hopitaux Paris (APHP); Hopital Universitaire Pitie-Salpetriere - APHP; Sorbonne Universite; Beckman Coulter Inc.; Institut National de la Sante et de la Recherche Medicale (Inserm); Sorbonne Universite</t>
  </si>
  <si>
    <t>[Nadaud, Sophie; Poirier, Odette; Eyries, Melanie; Soubrier, Florent] Univ Paris 06, INSERM, UMR S 956, F-75013 Paris, France; [Nadaud, Sophie; Poirier, Odette; Blanc, Catherine; Tregouet, David-Alexandre; Soubrier, Florent] Univ Paris 06, F-75005 Paris, France; [Nadaud, Sophie; Poirier, Odette; Eyries, Melanie; Tregouet, David-Alexandre; Soubrier, Florent] ICAN Inst Cardiometab &amp; Nutr, F-75013 Paris, France; [Girerd, Barbara; Montani, David; Humbert, Marc] Univ Paris 11, Fac Med, F-94276 Le Kremlin Bicetre, France; [Girerd, Barbara; Montani, David; Humbert, Marc] Hop Bicetre, AP HP, Serv Pneumol &amp; Reanimat Resp, DHU TORINO Thorax Innovat,Ctr Reference Hypertens, F-94270 Le Kremlin Bicetre, France; [Girerd, Barbara; Montani, David; Humbert, Marc] INSERM, UMR S 999, LabEx LERMIT, F-92350 Le Plessis Robinson, France; [Blanc, Catherine] Univ Paris 06, INSERM, GH Pitie Salpetriere, F-75013 Paris, France; [Eyries, Melanie; Soubrier, Florent] AP HP, Dept Genet, GH Pitie Salpetriere, F-75013 Paris, France; [Imbert-Bismut, Francoise] AP HP, Lab Biochim Metab, GH Pitie Salpetriere, F-75013 Paris, France; [Pacheco, Antoine; Vigne, Jacques] Beckman Coulter France SAS, F-93420 Villepinte, France; [Tregouet, David-Alexandre] Univ Paris 06, INSERM, UMR S 937, F-75013 Paris, France</t>
  </si>
  <si>
    <t>Background The various aetiologies and risk factors for pulmonary arterial hypertension (PAH) lead to close phenotypes with small differences. Plasma microparticles have been shown to be increased in vascular pathologies including PAH. The aim of this study was to determine whether the levels of endothelial and platelet-derived microparticles could vary between different forms of PAH: idiopathic PAH (iPAH), heritable PAH associated with BMPR2 (Bone morphogenetic protein receptor, type II) mutation (hPAH) and PAH associated with connective tissue diseases (aPAH). Materials and methods Microparticles were analysed using flow cytometry in plasma from controls and iPAH, hPAH and aPAH patients. Platelet-derived MP (PMP) were defined as CD31(+)/CD41(+) and endothelial-derived MP (EMP) as CD31(+)/CD41(-). Two populations of PMP were isolated according to their size, defining small PMP (0.3-0.5 mu m) and large PMP (0.5-0.9 mu m). BMPR2 genotype, clinical and biologic parameters were recorded. Results EMP and small PMP levels in iPAH, hPAH and aPAH were similar and were significantly increased as compared with controls. No differences in large PMP levels were observed. After adjusting for age, sex, proBNP and CRP, EMP and small PMP levels did not correlate with clinical parameters. Conclusions iPAH, hPAH and aPAH were characterized by increased levels of EMP and of small PMP, a new class of PMP which seems to be differentially produced than large PMP.</t>
  </si>
  <si>
    <t>CIRCULATING MICROPARTICLES; ENDOTHELIAL MICROPARTICLES; MEMBRANE MICROPARTICLES; CLINICAL-OUTCOMES; PATHOGENESIS; GENERATION; SEVERITY; PATTERNS; CELLS</t>
  </si>
  <si>
    <t>Associated pulmonary hypertension; endothelial microparticles; flow cytometry; heritable pulmonary hypertension; idiopathic pulmonary hypertension; platelet microparticles</t>
  </si>
  <si>
    <t>Small platelet microparticle levels are increased in pulmonary arterial hypertension</t>
  </si>
  <si>
    <t>Nadaud, Sophie; Poirier, Odette; Girerd, Barbara; Blanc, Catherine; Montani, David; Eyries, Melanie; Imbert-Bismut, Francoise; Pacheco, Antoine; Vigne, Jacques; Tregouet, David-Alexandre; Humbert, Marc; Soubrier, Florent</t>
  </si>
  <si>
    <t>Nadaud, S; Poirier, O; Girerd, B; Blanc, C; Montani, D; Eyries, M; Imbert-Bismut, F; Pacheco, A; Vigne, J; Tregouet, DA; Humbert, M; Soubrier, F</t>
  </si>
  <si>
    <t>WOS:000209838400418</t>
  </si>
  <si>
    <t>A3981</t>
  </si>
  <si>
    <t>e.manders@vumc.nl</t>
  </si>
  <si>
    <t>Vrije Universiteit Amsterdam; University of Sydney; Assistance Publique Hopitaux Paris (APHP); Hopital Universitaire Antoine-Beclere - APHP</t>
  </si>
  <si>
    <t>[Manders, E.; Westerhof, N.; Stienen, G. J. M.; Van der Velden, J.; Vonk-Noordegraaf, A.; De Man, F. S.; Ottenheijm, C. A. C.] Vrije Univ Amsterdam, Med Ctr, Amsterdam, Netherlands; [Dos Remedios, C.] Univ Sydney, Sydney, NSW, Australia; [Humbert, M. J. C.; Dorfmuller, P.; Guignabert, C.] Hop Antoine Beclere, Clamart, France</t>
  </si>
  <si>
    <t>Contractile Dysfunction Of Left Ventricular Cardiomyocytes In Patients With Pulmonary Arterial Hypertension</t>
  </si>
  <si>
    <t>Manders, E.; Westerhof, N.; Stienen, G. J. M.; Dos Remedios, C.; Humbert, M. J. C.; Dorfmuller, P.; Guignabert, C.; Van der Velden, J.; Vonk-Noordegraaf, A.; De Man, F. S.; Ottenheijm, C. A. C.</t>
  </si>
  <si>
    <t>Manders, E; Westerhof, N; Stienen, GJM; Dos Remedios, C; Humbert, MJC; Dorfmuller, P; Guignabert, C; Van der Velden, J; Vonk-Noordegraaf, A; De Man, FS; Ottenheijm, CAC</t>
  </si>
  <si>
    <t>WOS:000209839101711</t>
  </si>
  <si>
    <t>A2540</t>
  </si>
  <si>
    <t>David, Montani/I-6885-2019; Humbert, Marc/AAC-8459-2019; Sitbon, Olivier/I-3623-2019; Similowski, Thomas/GQQ-9468-2022; Simonneau, Gerald/ABE-6614-2020; Laveneziana, Pierantonio/GWC-2028-2022</t>
  </si>
  <si>
    <t>pier_lav@yahoo.it</t>
  </si>
  <si>
    <t>Assistance Publique Hopitaux Paris (APHP); Hopital Universitaire Bicetre - APHP; Universite Paris Saclay; Institut National de la Sante et de la Recherche Medicale (Inserm); Assistance Publique Hopitaux Paris (APHP); Hopital Universitaire Antoine-Beclere - APHP; Institut National de la Sante et de la Recherche Medicale (Inserm); Hopital Marie Lannelongue; Universite Paris Saclay; Universite Paris Saclay; Assistance Publique Hopitaux Paris (APHP); Hopital Universitaire Antoine-Beclere - APHP; Institut National de la Sante et de la Recherche Medicale (Inserm); Sorbonne Universite; Assistance Publique Hopitaux Paris (APHP); Hopital Universitaire Pitie-Salpetriere - APHP; Sorbonne Universite</t>
  </si>
  <si>
    <t>[Laveneziana, P.] Univ Paris Sud 11, AP HP, INSERM, U999,LabEx,LERMIT, Le Kremlin Bicetre, France; [Garcia, G.] Hop Antoine Beclere, Clamart, France; [Dorfmuller, P.] Marie Lannelongue Hosp, INSERM, U999, Lab Chirurg Expt, Le Plessis Robinson, France; [Girerd, B.; Sitbon, O.; Simonneau, G.; Humbert, M. J. C.; Montani, D.] Univ Paris Sud, Hop Antoine Beclere, INSERM, U999,LabEx,LERMIT, Clamart, France; [Similowski, T.] Hop La Pitie Salpetriere, Paris, France; [Similowski, T.] Univ Paris 06, ER10, Paris, France</t>
  </si>
  <si>
    <t>Differences In The Ventilatory Response To Cycle Exercise Between Pulmonary Veno-Occlusive Disease (pvod) And Idiopathic Pulmonary Arterial Hypertension (ipah)</t>
  </si>
  <si>
    <t>Laveneziana, P.; Garcia, G.; Dorfmuller, P.; Girerd, B.; Similowski, T.; Sitbon, O.; Simonneau, G.; Humbert, M. J. C.; Montani, D.</t>
  </si>
  <si>
    <t>Laveneziana, P; Garcia, G; Dorfmuller, P; Girerd, B; Similowski, T; Sitbon, O; Simonneau, G; Humbert, MJC; Montani, D</t>
  </si>
  <si>
    <t>WOS:000209839103105</t>
  </si>
  <si>
    <t>A3532</t>
  </si>
  <si>
    <t>McGill University; Lady Davis Institute; University of Bologna; Chinese Academy of Medical Sciences - Peking Union Medical College; Chinese Academy of Medical Sciences - Peking Union Medical College; Fu Wai Hospital - CAMS; Chinese Academy of Medical Sciences - Peking Union Medical College; Peking Union Medical College; Guangdong Academy of Medical Sciences &amp; Guangdong General Hospital; Guangdong Academy of Medical Sciences &amp; Guangdong General Hospital; Universite Paris Saclay; Institut National de la Sante et de la Recherche Medicale (Inserm); Assistance Publique Hopitaux Paris (APHP); Hopital Universitaire Antoine-Beclere - APHP; Universite Paris Saclay; Hopital Universitaire Bicetre - APHP; NSW Health; St Vincents Hospital Sydney; University of Tasmania; University of California System; University of California San Diego; Fudan University; Bayer AG; Bayer Healthcare Pharmaceuticals; University Hospital of Giessen &amp; Marburg</t>
  </si>
  <si>
    <t>[Langleben, D.] McGill Univ, Jewish Gen Hosp, Lady Davis Inst Med Res, Ctr Pulm Vasc Dis, Montreal, PQ, Canada; [Galie, N.] Univ Bologna, Inst Cardiol, Bologna, Italy; [He, J.] Chinese Acad Med Sci, Cardiovasc Inst, Pulm Vasc Dis Ctr, Beijing, Peoples R China; [He, J.] Chinese Acad Med Sci, Fu Wai Hosp, Beijing, Peoples R China; [He, J.] Peking Union Med Coll, Beijing, Peoples R China; [Huang, Y.] Guangdong Gen Hosp, Dept Cardiol, Guangzhou, Guangdong, Peoples R China; [Huang, Y.] Guangdong Gen Hosp, Guangdong Cardiovasc Inst, Guangzhou, Guangdong, Peoples R China; [Humbert, M.] Univ Paris Sud, Le Kremlin Bicetre, France; [Humbert, M.] INSERM, U999, Le Kremlin Bicetre, France; [Humbert, M.] Hop Bicetre, AP HP, Serv Pneumol, Le Kremlin Bicetre, France; [Keogh, A. M.] St Vincents Hosp, Sydney, NSW, Australia; [Kilpatrick, D.] Univ Tasmania, Discipline Med, Hobart, Tas, Australia; [Rubin, L. J.] Univ Calif San Diego, La Jolla, CA 92093 USA; [Zhou, D.] Fudan Univ, Zhongshan Hosp, Shanghai Inst Cardiovasc Dis, Dept Cardiol, Shanghai, Peoples R China; [Fritsch, A.; Neuser, D.] Bayer HealthCare, Global Clin Dev, Wuppertal, Germany; [Ghofrani, H. -A.] Univ Hosp Giessen &amp; Marburg, Dept Internal Med, Giessen, Germany</t>
  </si>
  <si>
    <t>Baseline Characteristics And Response To Treatment In Pretreated Versus Treatment-Naive Patients With Pulmonary Arterial Hypertension (pah) In The Phase Iii Patent-1 Study</t>
  </si>
  <si>
    <t>Langleben, D.; Galie, N.; He, J.; Huang, Y.; Humbert, M.; Keogh, A. M.; Kilpatrick, D.; Rubin, L. J.; Zhou, D.; Fritsch, A.; Neuser, D.; Ghofrani, H. -A.</t>
  </si>
  <si>
    <t>Langleben, D; Galie, N; He, J; Huang, Y; Humbert, M; Keogh, AM; Kilpatrick, D; Rubin, LJ; Zhou, D; Fritsch, A; Neuser, D; Ghofrani, HA</t>
  </si>
  <si>
    <t>WOS:000313531200012</t>
  </si>
  <si>
    <t>070SL</t>
  </si>
  <si>
    <t>10.1378/chest.11-3124</t>
  </si>
  <si>
    <t>The sponsor was Assistance Publique-Hopitaux de Paris (Departement de la Recherche Clinique et du Developpement).</t>
  </si>
  <si>
    <t>Assistance Publique-Hopitaux de Paris (Departement de la Recherche Clinique et du Developpement)</t>
  </si>
  <si>
    <t>Humbert, Marc/0000-0003-0703-2892; JAIS, XAVIER/0000-0002-4104-7994; Roisman, Gabriel/0000-0001-5263-5858</t>
  </si>
  <si>
    <t>gabriel.roisman@abc.aphp.fr</t>
  </si>
  <si>
    <t>Roisman, G (corresponding author), Hop Antoine Beclere, AP HP, Unite Med Sommeil, 157 Rue Porte de Trivaux, F-92140 Clamart, France.</t>
  </si>
  <si>
    <t>Universite Paris Saclay; Assistance Publique Hopitaux Paris (APHP); Hopital Universitaire Antoine-Beclere - APHP; Assistance Publique Hopitaux Paris (APHP); Hopital Universitaire Antoine-Beclere - APHP; Institut National de la Sante et de la Recherche Medicale (Inserm); Universite Paris Saclay</t>
  </si>
  <si>
    <t>[Jilwan, Fadia Nicolas; Escourrou, Pierre; Garcia, Gilles; Jais, Xavier; Humbert, Marc; Roisman, Gabriel] Univ Paris Sud, Fac Med, F-94275 Le Kremlin Bicetre, France; [Jilwan, Fadia Nicolas; Escourrou, Pierre; Garcia, Gilles; Roisman, Gabriel] Hop Antoine Beclere, AP HP, Unite Med Sommeil, F-92140 Clamart, France; [Jais, Xavier; Humbert, Marc] Hop Antoine Beclere, AP HP, Serv Pneumol &amp; Reanimat Resp, F-92140 Clamart, France; [Garcia, Gilles; Jais, Xavier; Humbert, Marc] INSERM, Hypertens Arterielle Pulm Physiopathol &amp; Innovat, Le Plessis Robinson, France; [Jilwan, Fadia Nicolas; Escourrou, Pierre] Univ Paris 11, Fac Pharm, EA3544, F-92290 Chatenay Malabry, France</t>
  </si>
  <si>
    <t>Background: The occurrence and mechanisms of nocturnal hypoxemia in precapillary pulmonary hypertension (PH) are not clearly defined. Methods: In an observational, prospective, and transversal design, we studied 46 clinically stable patients with PH and a BMI &lt;35 kg/m(2), an FEV1 &gt; 60% predicted, and idiopathic pulmonary arterial hypertension (n = 29) or chronic thromboembolic pulmonary hypertension (n = 17). They underwent nocturnal polysomnography with transcutaneous capnography. Results: Most patients (69.6%) had New York Heart Association functional class II disease. Mean pulmonary artery pressure was 44 +/- 13 mm Hg, and the cardiac index was 3.2 +/- 0.6 L/min/m(2). Duration Of sleep time spent with oxygen saturation as measured by pulse oximetry &lt;90% was 48.9% +/- 35.9%, and 38 of 46 patients (82.6%) had nocturnal hypoxemia. Mean apnea-hypopnea index was 24.9 +/- 22.1/h, and 41 patients (89%) had sleep apnea. The major mechanism of nocturnal hypoxemia was a ventilation/perfusion mismatch alone or associated with obstructive apneic events. Multivariate logistic regression identified both FEV25%-75% (OR, 0.9519; 95% CI, 0.9089-0.9968; P = .036) and mean pulmonary artery pressure (OR, 1.1068; 95% CI, 1.0062-1.2175; P = .037) as significant predictors of nocturnal hypoxemia. Clinical symptoms were not predictive of nocturnal hypoxemia. Conclusions: The occurrence of nocturnal hypoxemia is high in PH and should be screened for systematically. Further studies are needed to determine the impact of nocturnal hypoxemia on the outcome of patients with PH. Trial registry: ClinicalTrials.gov; No.: NCT01371669; URL: www.clinicaltrials.gov CHEST 2013; 143(1):47-55</t>
  </si>
  <si>
    <t>CARBON-DIOXIDE MONITOR; HEART-FAILURE; MUSCLE DYSFUNCTION; HYPOXIA; VENTILATION; APNEA</t>
  </si>
  <si>
    <t>High Occurrence of Hypoxemic Sleep Respiratory Disorders in Precapillary Pulmonary Hypertension and Mechanisms</t>
  </si>
  <si>
    <t>Jilwan, Fadia Nicolas; Escourrou, Pierre; Garcia, Gilles; Jais, Xavier; Humbert, Marc; Roisman, Gabriel</t>
  </si>
  <si>
    <t>Jilwan, FN; Escourrou, P; Garcia, G; Jaïs, X; Humbert, M; Roisman, G</t>
  </si>
  <si>
    <t>WOS:000329227200001</t>
  </si>
  <si>
    <t>BJN29</t>
  </si>
  <si>
    <t>10.1007/978-3-642-38664-0</t>
  </si>
  <si>
    <t>VI</t>
  </si>
  <si>
    <t>V</t>
  </si>
  <si>
    <t>Handb. Exp. Pharmacol.</t>
  </si>
  <si>
    <t>HANDB EXP PHARMACOL</t>
  </si>
  <si>
    <t>978-3-642-38663-3; 978-3-642-38664-0</t>
  </si>
  <si>
    <t>0171-2004</t>
  </si>
  <si>
    <t>HEIDELBERGER PLATZ 3, D-14197 BERLIN, GERMANY</t>
  </si>
  <si>
    <t>SPRINGER-VERLAG BERLIN</t>
  </si>
  <si>
    <t>Humbert, M (corresponding author), Univ Paris Sud, Fac Med, F-94275 Le Kremlin Bicetre, France.</t>
  </si>
  <si>
    <t>Universite Paris Saclay; Harvard University; Harvard University Medical Affiliates; Massachusetts General Hospital; Harvard Medical School; Bayer AG; Bayer Healthcare Pharmaceuticals</t>
  </si>
  <si>
    <t>[Humbert, Marc] Univ Paris Sud, Fac Med, F-94275 Le Kremlin Bicetre, France; [Evgenov, Oleg V.] Harvard Univ, Massachusetts Gen Hosp, Sch Med, Dep Anasthesia &amp; Crit Care, Boston, MA USA; [Stasch, Johannes-Peter] Bayer Pharma AG, Cardiovasc Res, Wuppertal, Germany</t>
  </si>
  <si>
    <t>Handbook of Experimental Pharmacology</t>
  </si>
  <si>
    <t>PHARMACOTHERAPY OF PULMONARY HYPERTENSION</t>
  </si>
  <si>
    <t>Pharmacotherapy of Pulmonary Hypertension Preface</t>
  </si>
  <si>
    <t>Humbert, Marc; Evgenov, Oleg V.; Stasch, Johannes-Peter</t>
  </si>
  <si>
    <t>Humbert, M; Evgenov, OV; Stasch, JP</t>
  </si>
  <si>
    <t>WOS:000329227200002</t>
  </si>
  <si>
    <t>10.1007/978-3-642-38664-0_1</t>
  </si>
  <si>
    <t>Universite Paris Saclay; Institut National de la Sante et de la Recherche Medicale (Inserm); Universite Paris Saclay; Hopital Marie Lannelongue; Assistance Publique Hopitaux Paris (APHP); Hopital Universitaire Antoine-Beclere - APHP; Universite Paris Saclay; Hopital Universitaire Bicetre - APHP; Harvard University; Harvard University Medical Affiliates; Massachusetts General Hospital; Harvard Medical School</t>
  </si>
  <si>
    <t>[Humbert, Marc; Montani, David; Simonneau, Gerald] Univ Paris Sud, Fac Med, F-94275 Le Kremlin Bicetre, France; [Humbert, Marc; Montani, David; Simonneau, Gerald] Ctr Chirurg Marie Lannelongue, Inserm U999, Le Plessis Robinson, France; [Humbert, Marc; Montani, David; Simonneau, Gerald] Hop Bicetre, AP HP, Serv Pneumol &amp; Reanimat Resp, F-94270 Le Kremlin Bicetre, France; [Evgenov, Oleg V.] Harvard Univ, Massachusetts Gen Hosp, Sch Med, Dept Anesthesia Crit Care &amp; Pain Med, Boston, MA USA</t>
  </si>
  <si>
    <t>Pulmonary hypertension is defined as an increase of mean pulmonary arterial pressure &gt;= 25 mmHg at rest as assessed by right heart catheterization. According to different combinations of values of pulmonary wedge pressure, pulmonary vascular resistance and cardiac output, a hemodynamic classification of pulmonary hypertension has been proposed. Of major importance is the pulmonary wedge pressure which allows to distinguish pre-capillary (pulmonary wedge pressure &lt;= 15 mmHg) and post-capillary (pulmonary wedge pressure &gt; 15 mmHg) pulmonary hypertension. Precapillary pulmonary hypertension includes the clinical groups 1 (pulmonary arterial hypertension), 3 (pulmonary hypertension due to lung diseases and/or hypoxia), 4 (chronic thrombo-embolic pulmonary hypertension) and 5 (pulmonary hypertension with unclear and/or multifactorial mechanisms). Post-capillary pulmonary hypertension corresponds to the clinical group 2 (pulmonary hypertension due to left heart diseases).</t>
  </si>
  <si>
    <t>CONNECTIVE-TISSUE-DISEASE; GLYCOGEN-STORAGE-DISEASE; ARTERIAL-HYPERTENSION; VENOOCCLUSIVE DISEASE; SYSTEMIC-SCLEROSIS; IMMUNOSUPPRESSIVE THERAPY; CLINICAL CHARACTERISTICS; PROGNOSTIC-FACTORS; NATURAL-HISTORY; HEART-FAILURE</t>
  </si>
  <si>
    <t>Pulmonary arterial hypertension; Pulmonary artery pressure; Pulmonary hypertension; Right heart catheterization</t>
  </si>
  <si>
    <t>Definition and Classification of Pulmonary Hypertension</t>
  </si>
  <si>
    <t>Humbert, Marc; Montani, David; Evgenov, Oleg V.; Simonneau, Gerald</t>
  </si>
  <si>
    <t>Humbert, M; Montani, D; Evgenov, OV; Simonneau, G</t>
  </si>
  <si>
    <t>WOS:000313384700001</t>
  </si>
  <si>
    <t>10.1183/09031936.00181812</t>
  </si>
  <si>
    <t>Humbert, M (corresponding author), Hop Bicetre, AP HP, Serv Pneumol, DHU Thorax Innovat, 78 Rue Gen Leclerc, F-94270 Le Kremlin Bicetre, France.</t>
  </si>
  <si>
    <t>[Humbert, Marc] Univ Paris Sud, Fac Med, F-94275 Le Kremlin Bicetre, France; [Humbert, Marc] Hop Bicetre, AP HP, Serv Pneumol, DHU Thorax Innovat, F-94270 Le Kremlin Bicetre, France; [Humbert, Marc] INSERM U999, Ctr Chirurg Marie Lannelongue, LabEx LERMIT, Le Plessis Robinson, France</t>
  </si>
  <si>
    <t>The ambition of the European Respiratory Journal</t>
  </si>
  <si>
    <t>WOS:000209839103107</t>
  </si>
  <si>
    <t>A3534</t>
  </si>
  <si>
    <t>Humbert, Marc/AAC-8459-2019; Langleben, David/AAJ-9152-2020; Jansa, Pavel/O-2302-2017; Rubin, Lewis/AEW-1719-2022; Ghofrani, Ardeschir/AAD-5293-2020</t>
  </si>
  <si>
    <t>Universite Paris Saclay; Institut National de la Sante et de la Recherche Medicale (Inserm); Universite Paris Saclay; Assistance Publique Hopitaux Paris (APHP); Hopital Universitaire Antoine-Beclere - APHP; Hopital Universitaire Bicetre - APHP; University of Bologna; University Hospital of Giessen &amp; Marburg; Charles University Prague; General University Hospital Prague; NSW Health; St Vincents Hospital Sydney; McGill University; Lady Davis Institute; University of California System; University of California San Diego; Capital Medical University; Bayer AG; Bayer Healthcare Pharmaceuticals</t>
  </si>
  <si>
    <t>[Humbert, M. J. C.] Univ Paris Sud, Le Kremlin Bicetre, France; [Humbert, M. J. C.] INSERM, U999, Le Kremlin Bicetre, France; [Humbert, M. J. C.] Hop Bicetre, AP HP, Serv Pneumol, Le Kremlin Bicetre, France; [Galie, N.] Univ Bologna, Inst Cardiol, Bologna, Italy; [Ghofrani, H. A.; Grimminger, F.] Univ Hosp Giessen &amp; Marburg, Dept Internal Med, Giessen, Germany; [Jansa, P.] First Fac Med, Clin Dept Cardiol &amp; Angiol, Prague, Czech Republic; [Jansa, P.] Gen Teaching Hosp, Prague, Czech Republic; [Keogh, A. M.] St Vincents Hosp, Sydney, NSW, Australia; [Langleben, D.] McGill Univ, Jewish Gen Hosp, Lady Davis Inst Med Res, Ctr Pulm Vasc Dis, Montreal, PQ, Canada; [Meyer, G.] Complexo Hosp Santa Casa Porto Alegre, Ctr Hipertensao Pulm, Porto Alegre, RS, Brazil; [Rubin, L. J.] Univ Calif San Diego, La Jolla, CA 92093 USA; [Torbicki, A.] ECZ Otwock, Med Ctr Postgrad Educ, Dept Pulm Circulat &amp; Thromboembol Dis, Otwock, Poland; [Wang, C.] Capital Med Univ, Beijing Inst Resp Med, Beijing Key Lab Resp &amp; Pulm Circulat Disorders, Beijing Chao Yang Hosp,Dept Resp Med, Beijing, Peoples R China; [Fritsch, A.; Neuser, D.] Bayer HealthCare, Global Clin Dev, Wuppertal, Germany</t>
  </si>
  <si>
    <t>Efficacy Of Riociguat In Pretreated Versus Treatment-Naive Patients With Pulmonary Arterial Hypertension (pah) In The Phase Iii Patent-1 Study</t>
  </si>
  <si>
    <t>Humbert, M. J. C.; Galie, N.; Ghofrani, H. A.; Jansa, P.; Keogh, A. M.; Langleben, D.; Meyer, G.; Rubin, L. J.; Torbicki, A.; Wang, C.; Fritsch, A.; Neuser, D.; Grimminger, F.</t>
  </si>
  <si>
    <t>Humbert, MJC; Galie, N; Ghofrani, HA; Jansa, P; Keogh, AM; Langleben, D; Meyer, G; Rubin, LJ; Torbicki, A; Wang, C; Fritsch, A; Neuser, D; Grimminger, F</t>
  </si>
  <si>
    <t>WOS:000209838401320</t>
  </si>
  <si>
    <t>A4677</t>
  </si>
  <si>
    <t>GUNTHER, Sven/0000-0001-8388-6131; Montani, David/0000-0002-9358-6922</t>
  </si>
  <si>
    <t>David, Montani/I-6885-2019; Humbert, Marc/AAC-8459-2019; Sitbon, Olivier/I-3623-2019; Simonneau, Gerald/ABE-6614-2020; Günther, Sven/ACV-7191-2022; Savale, Laurent/AAJ-9781-2020; GUNTHER, Sven/P-4177-2017</t>
  </si>
  <si>
    <t>[Herve, P.; Chemla, D.; Montani, D.; Sitbon, O.; Savale, L.; Jais, X.; Lador, F.; Gunther, S.; Macari, E. Artaud; Parent, F.; Simonneau, G.; Humbert, M. J. C.] Univ Paris Sud, Hop Bicetre, Le Kremlin Bicetre, France</t>
  </si>
  <si>
    <t>Patients With Resting Mean Pulmonary Artery Pressure 21 To 24 Mmhg Have Pulmonary Hypertension At Exercise</t>
  </si>
  <si>
    <t>Herve, P.; Chemla, D.; Montani, D.; Sitbon, O.; Savale, L.; Jais, X.; Lador, F.; Gunther, S.; Macari, E. Artaud; Parent, F.; Simonneau, G.; Humbert, M. J. C.</t>
  </si>
  <si>
    <t>Herve, P; Chemla, D; Montani, D; Sitbon, O; Savale, L; Jais, X; Lador, F; Gunther, S; Macari, EA; Parent, F; Simonneau, G; Humbert, MJC</t>
  </si>
  <si>
    <t>WOS:000209839101363</t>
  </si>
  <si>
    <t>A2191</t>
  </si>
  <si>
    <t>Helmholtz Association; Helmholtz-Center Munich - German Research Center for Environmental Health; Institut National de la Sante et de la Recherche Medicale (Inserm); University of Munich; Institut National de la Sante et de la Recherche Medicale (Inserm); Hopital Marie Lannelongue; University of Munich</t>
  </si>
  <si>
    <t>[Giannakouli, M.; Eickelberg, O.] Helmholtz Zentrum Munchen, Comprehens Pneumol Ctr, Munich, Germany; [Giannakouli, M.] Ludwig Maximilians Univ Munchen, Univ Hosp Grosshadern, INSERM, Hypertens Arterielle Pulm Physiopathol &amp; Innovat, Le Plessis Robinson, Germany; [Giannakouli, M.; Dorfmuller, P.; Humbert, M.] INSERM, Hypertens Arterielle Pulm Physiopathol &amp; Innovat, Ctr Chirurg Marie Lannelongue, Le Plessis Robinson, France; [Eickelberg, O.] Ludwig Maximilians Univ Munchen, Univ Hosp Grosshadern, Munich, Germany</t>
  </si>
  <si>
    <t>C-Kit Expression Identifies Precursors And Mast Cells In Bronchiolitis Obliterans</t>
  </si>
  <si>
    <t>Giannakouli, M.; Dorfmuller, P.; Eickelberg, O.; Humbert, M.; Eickelberg, Oliver</t>
  </si>
  <si>
    <t>Giannakouli, M; Dorfmuller, P; Eickelberg, O; Humbert, M; Eickelberg, O</t>
  </si>
  <si>
    <t>WOS:000209839100716</t>
  </si>
  <si>
    <t>A1734</t>
  </si>
  <si>
    <t>Adcock, Ian/L-3217-2019; GUIGNABERT, Christophe/G-3873-2013; TU, Ly/G-4035-2013; Humbert, Marc/AAC-8459-2019; Perros, Frederic/N-6921-2017</t>
  </si>
  <si>
    <t>ngambaryan@gmail.com</t>
  </si>
  <si>
    <t>Imperial College London; Universite Paris Saclay; Institut National de la Sante et de la Recherche Medicale (Inserm)</t>
  </si>
  <si>
    <t>[Gambaryan, N.; Adcock, I. M.; Wort, S. J.] Natl Heart &amp; Lung Inst, London, England; [Guignabert, C.; Tu, L.; Perros, F.; Humbert, M.] INSERM, U999, Le Plessis Robinson, France</t>
  </si>
  <si>
    <t>The Role Of Bromodomain-Containing Protein 4 In The Constitutive Activation Of Nuclear Factor-Kappa B In Endothelial Cells From Patients With Pulmonary Arterial Hypertension</t>
  </si>
  <si>
    <t>Gambaryan, N.; Guignabert, C.; Tu, L.; Perros, F.; Adcock, I. M.; Humbert, M.; Wort, S. J.</t>
  </si>
  <si>
    <t>Gambaryan, N; Guignabert, C; Tu, L; Perros, F; Adcock, IM; Humbert, M; Wort, SJ</t>
  </si>
  <si>
    <t>WOS:000329227200010</t>
  </si>
  <si>
    <t>10.1007/978-3-642-38664-0_9</t>
  </si>
  <si>
    <t>martine.clozel@actelion.com; marc.humbert@abc.aphp.fr</t>
  </si>
  <si>
    <t>Humbert, M (corresponding author), Univ Paris 11, Le Kremlin Bicetre, France.</t>
  </si>
  <si>
    <t>Actelion Pharmaceuticals Ltd; Universite Paris Saclay; Institut National de la Sante et de la Recherche Medicale (Inserm); Hopital Marie Lannelongue; Universite Paris Saclay; Assistance Publique Hopitaux Paris (APHP); Hopital Universitaire Bicetre - APHP; Universite Paris Saclay; Hopital Universitaire Antoine-Beclere - APHP</t>
  </si>
  <si>
    <t>[Clozel, Martine; Maresta, Alessandro] Actel Pharmaceut Ltd, CH-4123 Allschwil, Switzerland; [Humbert, Marc] Univ Paris 11, Le Kremlin Bicetre, France; [Humbert, Marc] Ctr Chirurg Marie Lannelongue, Inserm U999, Le Plessis Robinson, France; [Humbert, Marc] Hop Bicetre, AP HP, Serv Pneumol, Le Kremlin Bicetre, France</t>
  </si>
  <si>
    <t>Three pathways have been identified in the pathogenesis of pulmonary arterial hypertension (PAH): the endothelin (ET), nitric oxide (NO) and prostacyclin pathways. These pathways represent the targets of approved PAH therapies and their discovery has facilitated significant progress in the understanding and treatment of PAH. The ET system is well established as a key player in the pathophysiology of PAH, with deleterious effects mediated by both the ETA and ETB receptors. Endothelin receptor antagonists (ERAs) are an important part of PAH therapy, with two ERAs currently approved for the treatment of PAH and a novel ERA that has recently been investigated in a Phase III clinical trial. This chapter describes the role of ET in the pathogenesis of PAH, reviews experimental data and examines the clinical status of ERAs in PAH treatment.</t>
  </si>
  <si>
    <t>PULMONARY ARTERIAL-HYPERTENSION; GROWTH-FACTOR-BETA; SALT EXPORT PUMP; SMOOTH-MUSCLE; ETA-RECEPTOR; NITRIC-OXIDE; UP-REGULATION; CIRCULATING ENDOTHELIN-1; BOSENTAN PREVENTS; GENE-EXPRESSION</t>
  </si>
  <si>
    <t>Endothelin; Endothelin receptor antagonist; Pulmonary arterial hypertension</t>
  </si>
  <si>
    <t>Endothelin Receptor Antagonists</t>
  </si>
  <si>
    <t>Clozel, Martine; Maresta, Alessandro; Humbert, Marc</t>
  </si>
  <si>
    <t>Clozel, M; Maresta, A; Humbert, M</t>
  </si>
  <si>
    <t>WOS:000319506200005</t>
  </si>
  <si>
    <t>10.1159/000339595</t>
  </si>
  <si>
    <t>Humbert, Marc/0000-0003-0703-2892; JAIS, XAVIER/0000-0002-4104-7994; Lador, Frederic/0000-0002-4276-635X; SITBON, Olivier/0000-0002-1942-1951</t>
  </si>
  <si>
    <t>Adir, Y (corresponding author), Lady Davis Carmel Med Ctr, Div Pulm, 7 Michal St, IL-34362 Haifa, Israel.</t>
  </si>
  <si>
    <t>Clalit Health Services; Carmel Medical Center; Technion Israel Institute of Technology; Rappaport Faculty of Medicine; Clalit Health Services; Carmel Medical Center; Technion Israel Institute of Technology; Rappaport Faculty of Medicine; Universite Paris Saclay; Universite Paris Saclay; Assistance Publique Hopitaux Paris (APHP); Hopital Universitaire Antoine-Beclere - APHP; Hopital Universitaire Bicetre - APHP; Hopital Marie Lannelongue; Institut National de la Sante et de la Recherche Medicale (Inserm); Universite Paris Saclay</t>
  </si>
  <si>
    <t>[Adir, Yochai] Technion Israel Inst Technol, Fac Med, Lady Davis Carmel Med Ctr, Div Pulm, Haifa, Israel; [Wolf, Rafael; Amir, Offer] Technion Israel Inst Technol, Fac Med, Lady Davis Carmel Med Ctr, Dept Cardiol, Haifa, Israel; [Humbert, Marc; Sitbon, Olivier; Lador, Frederic; Jais, Xavier; Simonneau, Gerald] Univ Paris 11, Fac Med, Le Kremlin Bicetre, France; [Humbert, Marc; Sitbon, Olivier; Lador, Frederic; Jais, Xavier; Simonneau, Gerald] Hop Bicetre, AP HP, Serv Pneumol, DHU Thorax Innovat, Le Kremlin Bicetre, France; [Humbert, Marc; Sitbon, Olivier; Lador, Frederic; Jais, Xavier; Simonneau, Gerald] Ctr Chirurg Marie Lannelongue, LabEx LERMIT, INSERM U999, Le Plessis Robinson, France</t>
  </si>
  <si>
    <t>Background: A subset of patients with heart failure with preserved ejection fraction (HFpEF) will have a marked increase in pulmonary artery pressure (PAP). Objective: To evaluate the clinical and hemodynamic characteristics of these patients in comparison to patients with idiopathic pulmonary arterial hypertension (IPAH). Methods: We reviewed the clinical and hemodynamic data of patients with HFpEF with out-of- proportion pulmonary hypertension (HFpEF-PH) and compared it to the corresponding data of age-matched patients with IPAH. Results: Twenty consecutive patients with HFpEF-PH and 20 patients with IPAH were included in the study. The mean age (+/- SD) was 71.3 +/- 7.8 and 70.2 +/- 6.7 years, respectively. The majority of the HFpEF-PH patients were postmenopausal females with at least two features of the metabolic syndrome and atrial fibrillation. Although HFpEF-PH patients fulfilled the criteria for out-of-proportion PH, with transpulmonary gradient (TPG)&gt;12 mm Hg, the difference between the diastolic PAP and the pulmonary capillary wedge pressure (PCWP) was significantly lower compared to IPAH (6.3 +/- 6.2 vs. 27.5 +/- 4.8, p &lt; 0.00001). Conclusions: Our results suggest that a diagnosis of HFpEF-PH should be suspected when severe PH occurs in an elderly postmenopausal female with one or more features of the metabolic syndrome and atrial fibrillation. Interestingly, these patients had significantly lower differences between diastolic PAP and PCWP, suggesting that the increase in TPG is mainly caused by an elevated systolic PAP, possibly as a result of increased pulmonary vascular stiffness, and not pulmonary vascular remodeling. Copyright (C) 2012 S. Karger AG, Basel</t>
  </si>
  <si>
    <t>METABOLIC SYNDROME; CLINICAL CHARACTERISTICS; ARTERIAL-HYPERTENSION; ELASTIN CONTENT; PREVALENCE; GUIDELINES; DIAGNOSIS; PRESSURE; ASSOCIATION</t>
  </si>
  <si>
    <t>Heart failure with preserved ejection fraction; Idiopathic pulmonary arterial hypertension; Metabolic syndrome; Pulmonary hypertension; Vascular stiffness</t>
  </si>
  <si>
    <t>Out-of-Proportion Pulmonary Hypertension and Heart Failure with Preserved Ejection Fraction</t>
  </si>
  <si>
    <t>Adir, Yochai; Humbert, Marc; Sitbon, Olivier; Wolf, Rafael; Lador, Frederic; Jais, Xavier; Simonneau, Gerald; Amir, Offer</t>
  </si>
  <si>
    <t>Adir, Y; Humbert, M; Sitbon, O; Wolf, R; Lador, F; Jaïs, X; Simonneau, G; Amir, O</t>
  </si>
  <si>
    <t>WOS:000313924600015</t>
  </si>
  <si>
    <t>075YY</t>
  </si>
  <si>
    <t>10.1164/rccm.201208-1364OC</t>
  </si>
  <si>
    <t>JAN 15</t>
  </si>
  <si>
    <t>Supported by Fondation pour la Recherche Medicale (FRM), team FRM 2010, grant DEQ20100318257 (F.P. and the team from the INSERM U999 unit; and the Association HTAPFrance (P.D. and D.M.).</t>
  </si>
  <si>
    <t>Fondation pour la Recherche Medicale (FRM)(Fondation pour la Recherche Medicale); Association HTAPFrance</t>
  </si>
  <si>
    <t>Fondation pour la Recherche Medicale (FRM) [DEQ20100318257]; Association HTAPFrance</t>
  </si>
  <si>
    <t>Perros, Frederic/0000-0001-7730-2427; Humbert, Marc/0000-0003-0703-2892; Huertas, Alice/0000-0001-8545-747X; Dorfmuller, Peter/0000-0003-2499-6829; Montani, David/0000-0002-9358-6922; Mercier, Olaf/0000-0002-4760-6267</t>
  </si>
  <si>
    <t>Simonneau, Gerald/ABE-6614-2020; David, Montani/I-6885-2019; Cohen-Kaminsky, Sylvia/E-4837-2014; Perros, Frederic/N-6921-2017; Humbert, Marc/AAC-8459-2019; Huertas, Alice/E-8244-2017</t>
  </si>
  <si>
    <t>Universite Paris Saclay; Assistance Publique Hopitaux Paris (APHP); Hopital Universitaire Bicetre - APHP; Universite Paris Saclay; Hopital Universitaire Antoine-Beclere - APHP; Institut National de la Sante et de la Recherche Medicale (Inserm); Hopital Marie Lannelongue; Hopital Marie Lannelongue</t>
  </si>
  <si>
    <t>[Perros, Frederic; Cohen-Kaminsky, Sylvia; Gambaryan, Natalia; Girerd, Barbara; Raymond, Nicolas; Klingelschmitt, Isabelle; Huertas, Alice; Mercier, Olaf; Fadel, Elie; Simonneau, Gerald; Humbert, Marc; Dorfmueller, Peter; Montani, David] Univ Paris Sud, Fac Med, F-94275 Le Kremlin Bicetre, France; [Perros, Frederic; Cohen-Kaminsky, Sylvia; Gambaryan, Natalia; Girerd, Barbara; Raymond, Nicolas; Klingelschmitt, Isabelle; Huertas, Alice; Simonneau, Gerald; Humbert, Marc; Montani, David] Hop Bicetre, AP HP, DHU TORINO, Ctr Reference Hypertens Pulm Severe,Serv Pneumol, Le Kremlin Bicetre, France; [Perros, Frederic; Cohen-Kaminsky, Sylvia; Gambaryan, Natalia; Girerd, Barbara; Raymond, Nicolas; Klingelschmitt, Isabelle; Huertas, Alice; Mercier, Olaf; Fadel, Elie; Simonneau, Gerald; Humbert, Marc; Dorfmueller, Peter; Montani, David] INSERM, Labex LERMIT, UMRS 999, Le Plessis Robinson, France; [Mercier, Olaf; Fadel, Elie] Ctr Chirurg Marie Lannelongue, Serv Chirurg Thorac, Le Plessis Robinson, France; [Dorfmueller, Peter] Ctr Chirurg Marie Lannelongue, Serv Anat Pathol, Le Plessis Robinson, France</t>
  </si>
  <si>
    <t>Rationale: Pulmonary arterial hypertension (PAH) and pulmonary veno-occlusive disease (PVOD) both display occlusive remodeling of the pulmonary vasculature responsible for increased pulmonary vascular resistances. Cytotoxic T (CTL), natural killer (NK), and natural killer T (NKT) cells play a critical role in vascular remodeling in different physiological and pathological conditions. Granulysin (GNLY) represents a powerful effector protein for all these subpopulations. Objectives: To analyze the cytolytic compartment of inflammatory cells in patients with PAH and PVOD. Methods: The overall functional status of the cytolytic compartment was studied through epigenetic analysis of the GNLY gene in explanted lungs and in peripheral blood mononuclear cells. Flow cytometry technology allowed analysis of specific circulating cytolytic cells and GNLY contents. A GNLY-specific ELISA allowed measurement of GNLY serum concentrations. Measurements and Main Results: A decrease in GNLY demethylation in the gDNA extracted from peripheral blood mononuclear cells and explanted lungs was found specifically in PVOD but not in PAH. This was associated with a decrease in populations and subpopulations of CTL and NKT and an increase of NK populations. Despite the reduced granulysin-containing cells in patients with PVOD, GNLY serum levels were higher, suggesting these cells were wasting their content. Furthermore, the increase of GNLY concentration in the serum of PVOD was significantly higher than in patients with PAH. Conclusions: PVOD is characterized by alterations of circulating cytotoxic cell subpopulations and by epigenetic dysregulation within the GNLY gene. Our findings may be helpful in the quest to develop needed diagnostic tools, including flow cytometry analyses, to screen for suspected PVOD in patients with pulmonary hypertension.</t>
  </si>
  <si>
    <t>NATURAL-KILLER-CELLS; CAPILLARY HEMANGIOMATOSIS; SYSTEMIC-SCLEROSIS; IFN-GAMMA; T-CELL; EXPRESSION; FRACTALKINE; ACTIVATION; ANTIBODIES; SUBSETS</t>
  </si>
  <si>
    <t>pulmonary veno-occlusive disease; pulmonary arterial hypertension; granulysin; epigenetics; cytotoxic cells</t>
  </si>
  <si>
    <t>Cytotoxic Cells and Granulysin in Pulmonary Arterial Hypertension and Pulmonary Veno-occlusive Disease</t>
  </si>
  <si>
    <t>Perros, Frederic; Cohen-Kaminsky, Sylvia; Gambaryan, Natalia; Girerd, Barbara; Raymond, Nicolas; Klingelschmitt, Isabelle; Huertas, Alice; Mercier, Olaf; Fadel, Elie; Simonneau, Gerald; Humbert, Marc; Dorfmueller, Peter; Montani, David</t>
  </si>
  <si>
    <t>Perros, F; Cohen-Kaminsky, S; Gambaryan, N; Girerd, B; Raymond, N; Klingelschmitt, I; Huertas, A; Mercier, O; Fadel, E; Simonneau, G; Humbert, M; Dorfmüller, P; Montani, D</t>
  </si>
  <si>
    <t>WOS:000313800000005</t>
  </si>
  <si>
    <t>074GD</t>
  </si>
  <si>
    <t>10.1007/s12016-011-8265-z</t>
  </si>
  <si>
    <t>1559-0267</t>
  </si>
  <si>
    <t>meroni, pier/K-8473-2016; Tamby, Mathieu/B-1277-2011; Humbert, Marc/AAC-8459-2019; Perros, Frederic/N-6921-2017</t>
  </si>
  <si>
    <t>mathieu.tamby@inserm.fr</t>
  </si>
  <si>
    <t>Tamby, MC (corresponding author), Inst Cochin Genet Mol, INSERM, U1016, Pavillon Gustave Roussy,4Eme Etage,8 Rue Mechain, F-75014 Paris, France.</t>
  </si>
  <si>
    <t>Universite Paris Cite; Centre National de la Recherche Scientifique (CNRS); CNRS - National Institute for Biology (INSB); Institut National de la Sante et de la Recherche Medicale (Inserm); Universite Paris Cite; Assistance Publique Hopitaux Paris (APHP); Universite Paris Cite; Hopital Universitaire Cochin - APHP; Assistance Publique Hopitaux Paris (APHP); Hopital Universitaire Antoine-Beclere - APHP; Universite Paris Saclay; Hopital Marie Lannelongue; Institut National de la Sante et de la Recherche Medicale (Inserm); Universite Paris Cite; Institut National de la Sante et de la Recherche Medicale (Inserm)</t>
  </si>
  <si>
    <t>[Kherbeck, Nada; Tamby, Mathieu C.; Bussone, Guillaume; Dib, Hanadi; Mouthon, Luc] CNRS, UMR 8104, Paris, France; [Bussone, Guillaume; Mouthon, Luc] Univ Paris 05, Fac Med, Paris, France; [Bussone, Guillaume; Mouthon, Luc] Hop Cochin, AP HP, Ctr Reference Vasc Necrosantes &amp; Sclerodermie Sys, F-75674 Paris, France; [Perros, Frederic; Humbert, Marc] Univ Paris 11, Ctr Natl Reference Hypertens Arterielle Pulm Seve, Fac Med,AP HP, Serv Pneumol &amp; Reanimat Resp,Hop Antoine Beclere, Clamart, France; [Perros, Frederic; Humbert, Marc] Ctr Chirurg Marie Lannelongue, INSERM, Hypertens Arterielle Pulm Physiopathol &amp; Innovat, Le Plessis Robinson, France; [Kherbeck, Nada; Tamby, Mathieu C.; Bussone, Guillaume; Dib, Hanadi; Mouthon, Luc] Inst Cochin Genet Mol, INSERM, U1016, F-75014 Paris, France</t>
  </si>
  <si>
    <t>Pulmonary arterial hypertension is characterized by a remodeling of pulmonary arteries with endothelial cell, fibroblast, and vascular smooth muscle cell activation and proliferation. Since pulmonary arterial hypertension occurs frequently in autoimmune conditions such as systemic sclerosis, inflammation and autoimmunity have been suspected to play a critical role in both idiopathic pulmonary arterial hypertension and systemic sclerosis-associated pulmonary arterial hypertension. High levels of pro-inflammatory cytokines such as interleukin-1 and interleukin-6, platelet-derived growth factor, or macrophage inflammatory protein 1 have been found in lung samples of patients with pulmonary arterial hypertension, along with inflammatory cell infiltrates mainly composed of macrophages and dendritic cells, T and B lymphocytes. In addition, circulating autoantibodies are found in the peripheral blood of patients. Thus, autoimmunity and inflammation probably play a role in the development of pulmonary arterial hypertension. In this setting, it would be important to set-up new experimental models of pulmonary arterial hypertension, in order to define novel therapeutics that specifically target immune disturbances in this devastating condition.</t>
  </si>
  <si>
    <t>ANTIENDOTHELIAL CELL ANTIBODIES; GROWTH-FACTOR RECEPTOR; SYSTEMIC-SCLEROSIS; DENDRITIC CELLS; T-CELLS; STIMULATORY AUTOANTIBODIES; ANTIFIBROBLAST ANTIBODIES; ENDOTHELIAL-CELLS; PERIPHERAL-BLOOD; VASCULAR-DISEASE</t>
  </si>
  <si>
    <t>Inflammation; Autoimmunity; Pulmonary arterial hypertension; Systemic sclerosis; Autoantibodies</t>
  </si>
  <si>
    <t>The Role of Inflammation and Autoimmunity in the Pathophysiology of Pulmonary Arterial Hypertension</t>
  </si>
  <si>
    <t>Kherbeck, Nada; Tamby, Mathieu C.; Bussone, Guillaume; Dib, Hanadi; Perros, Frederic; Humbert, Marc; Mouthon, Luc</t>
  </si>
  <si>
    <t>Kherbeck, N; Tamby, MC; Bussone, G; Dib, H; Perros, F; Humbert, M; Mouthon, L</t>
  </si>
  <si>
    <t>WOS:000317871100020</t>
  </si>
  <si>
    <t>129VC</t>
  </si>
  <si>
    <t>10.1378/chest.12-1372</t>
  </si>
  <si>
    <t>The authors have reported to CHEST the following conflicts of interest: Dr Grimaldi-Bensouda was the recipient of a research fellowship from INSERM (French National Institutes of Health and Medical Research) at the time of the study and is currently employed by LA-SER. Dr Zureik has received funds for research from Novartis Pharma SAS and fees for consulting from LA-SEE. Prof Aubier has received fees for consultancy from AstraZeneca, Novartis Pharma SAS, and Pfizer, Inc, as well as a research grant from Nycomed (now Takeda Pharmaceuticals International GmbH). Prof Humbert has received reimbursement for attending symposia, fees for speaking and organizing education and research, funds for a member of his staff, and fees for consulting from the following companies: Actelion Pharmaceuticals Ltd; Aerocrine; AstraZeneca; Bayer AG; Chiesi Farmaceutici SpA; GlaxoSmithKline plc; Eli Lilly and Company; Merck &amp; Co, Inc; Mundipharma International; Novartis Pharma SAS; Nycomed (now Takeda. Pharmaceuticals International GmbH); Pfizer, Inc; Stallergenes S.A.; Takeda Pharmaceuticals International GmbH; Teva Pharmaceuticals Industries, Ltd; and United Therapeutics Corporation. In addition to being an investigator in trials involving these companies, Prof Humbert's relationships include consultancy services and membership on scientific advisory boards. Prof Molimard is a consultant and participated at advisory board meetings organized by Novartis Pharma SAS; Bristol-Myers Squibb Company; GlaxoSmithKline plc; Merck Serono SA; Pfizer, Inc; and Stallergenes S.A. Prof Abenhaim is a stock owner and chairman of LA-SER. Besides reimbursement for attending symposia, Prof Abenhaim has received fees for speaking and research, funds for a member of his staff, and fees for consulting from the following pharmaceutical companies marketing drugs used for the treatment of patients with asthma: AstraZeneca; GlaxoSmithKline plc; Merck Sharp &amp; Dohme Corp; Pfizer, Inc; and Sanofi (formerly named Sanofi-Aventis). LA-SEE is an independent research organization. Employees of LA-SER have no interest in any of the drugs or other factors studied. Dr Levy and Prof Benichou have reported that no potential conflicts of interest exist with any companies/organizations whose products or services may be discussed in this article.The Pharmacoepidemiology of Asthma and Xolair (PAX) study was sponsored by LA-SER and funded by an unrestricted grant from Novartis Pharma SAS. The funder had no input into the design, management, data collection, analyses, interpretation, and writing of the manuscript or in the decision to publish the study findings. The study was undertaken and oversight given.by an international scientific board whose members are coauthors or belong to the PAX Group.</t>
  </si>
  <si>
    <t>INSERM (French National Institutes of Health and Medical Research); Novartis Pharma SAS; LA-SEE; AstraZeneca(AstraZeneca); Pfizer, Inc(Pfizer); Takeda Pharmaceuticals International GmbH(Takeda Pharmaceutical Company Ltd); Actelion Pharmaceuticals Ltd; Aerocrine; Bayer AG(Bayer AG); Chiesi Farmaceutici SpA(Chiesi Pharmaceuticals Inc); GlaxoSmithKline plc(GlaxoSmithKline); Eli Lilly and Company(Eli Lilly); Merck Co, Inc(Merck &amp; Company); Mundipharma International; Stallergenes S.A.; Teva Pharmaceuticals Industries, Ltd(Teva Pharmaceutical Industries); United Therapeutics Corporation; Merck Sharp Dohme Corp(Merck &amp; Company); Sanofi (formerly named Sanofi-Aventis); LA-SER</t>
  </si>
  <si>
    <t>INSERM (French National Institutes of Health and Medical Research); Novartis Pharma SAS; LA-SEE; AstraZeneca; Pfizer, Inc; Takeda Pharmaceuticals International GmbH; Actelion Pharmaceuticals Ltd; Aerocrine; Bayer AG; Chiesi Farmaceutici SpA; GlaxoSmithKline plc; Eli Lilly and Company; Merck Co, Inc; Mundipharma International; Stallergenes S.A.; Teva Pharmaceuticals Industries, Ltd; United Therapeutics Corporation; Merck Sharp Dohme Corp; Sanofi (formerly named Sanofi-Aventis); LA-SER</t>
  </si>
  <si>
    <t>Grimaldi-Bensouda, Lamiae/0000-0003-1952-5467; Humbert, Marc/0000-0003-0703-2892; Molimard, Mathieu/0000-0002-4346-8346; Zureik, Mahmoud/0000-0002-8393-4217</t>
  </si>
  <si>
    <t>molimard, mathieu/T-2762-2019; Humbert, Marc/AAC-8459-2019; Zureik, Mahmoud/F-7855-2018</t>
  </si>
  <si>
    <t>Lamiae.Grimaldi@la-ser.com</t>
  </si>
  <si>
    <t>Grimaldi-Bensouda, L (corresponding author), LA SER, 10 Pl Catalogne, F-75014 Paris, France.</t>
  </si>
  <si>
    <t>Pasteur Network; Universite Paris Cite; Institut Pasteur Paris; Institut National de la Sante et de la Recherche Medicale (Inserm); Pasteur Network; Universite de Lille; Institut Pasteur Lille; Universite Paris Cite; Assistance Publique Hopitaux Paris (APHP); Hopital Universitaire Bichat-Claude Bernard - APHP; Universite Paris Saclay; Assistance Publique Hopitaux Paris (APHP); Hopital Universitaire Antoine-Beclere - APHP; Universite Paris Saclay; Hopital Universitaire Bicetre - APHP; Universite Paris Cite; Hopital Universitaire Saint-Louis - APHP; Universite Paris Saclay; Hopital Marie Lannelongue; Institut National de la Sante et de la Recherche Medicale (Inserm); Universite de Rouen Normandie; CHU de Rouen; Institut National de la Sante et de la Recherche Medicale (Inserm); Universite de Rouen Normandie; Universite de Bordeaux; Universite de Bordeaux; Institut National de la Sante et de la Recherche Medicale (Inserm); Universite de Bordeaux; CHU Bordeaux; University of London; London School of Hygiene &amp; Tropical Medicine</t>
  </si>
  <si>
    <t>[Grimaldi-Bensouda, Lamiae] LA SER, F-75014 Paris, France; [Grimaldi-Bensouda, Lamiae] Inst Pasteur, Equipe Accueil Pharmacoepidemiol &amp; Malad Infect, Paris, France; [Zureik, Mahmoud] Inst Pasteur, INSERM, U744, F-59019 Lille, France; [Aubier, Michel] Hop Bichat Claude Bernard, Serv Pneumol A, F-75877 Paris, France; [Humbert, Marc] Univ Paris 11, Le Kremlin Bicetre, France; [Humbert, Marc] Hop Bicetre, Assistance Publ Hop Paris, Serv Pneumol, DHU Thorax Innovat, Le Kremlin Bicetre, France; [Humbert, Marc] Ctr Chirurg Marie Lannelongue, INSERM, U999, LabEx LERMIT, Le Plessis Robinson, France; [Levy, Jean] Clin Pneumol, St Ouen, France; [Benichou, Jacques] Ctr Hosp Univ Rouen, Unite Biostat, Rouen, France; [Benichou, Jacques] Univ Rouen, INSERM, U657, Inst Hosp Univ Rech Biomed, Rouen, France; [Molimard, Mathieu] Univ Bordeaux, Bordeaux, France; [Molimard, Mathieu] INSERM, U657, Bordeaux, France; [Molimard, Mathieu] Ctr Hosp Univ Bordeaux, Serv Pharmacol, Bordeaux, France; [Abenhaim, Lucien] London Sch Hyg &amp; Trop Med, Dept Epidemiol, London WC1, England; [Abenhaim, Lucien] LA SER Europe Ltd, London, England</t>
  </si>
  <si>
    <t>Background: Omalizumab has been shown to decrease the risk of hospitalization or ED visits in patients with uncontrolled severe allergic asthma compared with placebo. This longitudinal study observed the conditions under which omalizumab is prescribed in real-life settings and assessed whether its use as an add-on therapy alongside standard treatments decreases the risk of severe asthmatic exacerbations. Methods: A cohort of adult patients with uncontrolled severe asthma despite optimal treatment with inhaled and oral corticosteroids and a long-acting beta(2)-agonist but no treatment with omalizumab upon entry was assembled. Risk of hospitalization or ED visits for asthma exacerbation was assessed using the Andersen-Gill extension of the Cox model for repeated events, controlling for age, sex, smoking history, BMI, gastroesophageal reflux, allergic status, allergic rhinitis, treatment, and hospitalization or ED visits for asthma in the 2 months prior to omalizumab treatment. Results: Overall, 163 physicians recruited 767 patients, of whom 374 took omalizumab at least once (mean observation period, 20.4 months). Omalizumab use was associated with an adjusted relative risk of 0.57 (95% CI, 0.43-0.78) for hospitalization or ED visits for asthma. In users of omalizumab, the adjusted relative risk of hospitalization or ED visits for asthma during omalizumab treatment vs nontreatment periods was 0.40 (95% CI, 0.28-0.58). Conclusions: Add-on omalizumab is associated with a significantly decreased risk of hospitalization or ED visits in patients with uncontrolled severe asthma in real-life practice. CHEST 2013; 143(2):398-405</t>
  </si>
  <si>
    <t>ADD-ON THERAPY; ANTIBODY OMALIZUMAB; EFFICACY; SAFETY</t>
  </si>
  <si>
    <t>Does Omalizumab Make a Difference to the Real-life Treatment of Asthma Exacerbations? Results From a Large Cohort of Patients With Severe Uncontrolled Asthma</t>
  </si>
  <si>
    <t>Pharmacoepidemiology Asthma Xolair</t>
  </si>
  <si>
    <t>Grimaldi-Bensouda, Lamiae; Zureik, Mahmoud; Aubier, Michel; Humbert, Marc; Levy, Jean; Benichou, Jacques; Molimard, Mathieu; Abenhaim, Lucien</t>
  </si>
  <si>
    <t>Grimaldi-Bensouda, L; Zureik, M; Aubier, M; Humbert, M; Levy, J; Benichou, J; Molimard, M; Abenhaim, L</t>
  </si>
  <si>
    <t>WOS:000316158900014</t>
  </si>
  <si>
    <t>106QD</t>
  </si>
  <si>
    <t>10.1183/09031936.00223611</t>
  </si>
  <si>
    <t>P. Laveneziana was supported by: 1) the Seventh Framework Programme of the European Union, Support for training and career development of researchers (Marie Curie), International Re-integration Grants (IRG), FP7-PEOPLE-2010-RG, grant number PIRG07-GA-2010-268396-EDPAH; and 2) PFIZER Investigator-Initiated Research (BR), Grant number WS 942458.</t>
  </si>
  <si>
    <t>European Union(European Union (EU)); PFIZER(Pfizer)</t>
  </si>
  <si>
    <t>European Union [FP7-PEOPLE-2010-RG, PIRG07-GA-2010-268396-EDPAH]; PFIZER [WS 942458]</t>
  </si>
  <si>
    <t>Simonneau, Gerald/ABE-6614-2020; Sitbon, Olivier/I-3623-2019; Similowski, Thomas/GQQ-9468-2022; Laveneziana, Pierantonio/GWC-2028-2022; Humbert, Marc/AAC-8459-2019</t>
  </si>
  <si>
    <t>Laveneziana, P (corresponding author), Univ Paris 06, ER UPMC 10, Fac Med Pierre &amp; Marie Curie, Dept Physiol,Lab Physiopathol Resp, Site Pitie Salpetriere,91 Blvd Hop, F-75013 Paris, France.</t>
  </si>
  <si>
    <t>Sorbonne Universite; Sorbonne Universite; Assistance Publique Hopitaux Paris (APHP); Hopital Universitaire Pitie-Salpetriere - APHP; Universite Paris Saclay; Institut National de la Sante et de la Recherche Medicale (Inserm); Hopital Marie Lannelongue; Universite Paris Saclay; Assistance Publique Hopitaux Paris (APHP); Hopital Universitaire Antoine-Beclere - APHP; Assistance Publique Hopitaux Paris (APHP); Hopital Universitaire Antoine-Beclere - APHP</t>
  </si>
  <si>
    <t>[Laveneziana, Pierantonio; Joureau, Barbara; Laviolette, Louis; Similowski, Thomas] Univ Paris 06, Equipe Rech ER UPMC 10, Fac Med Pierre &amp; Marie Curie, Lab Physiopathol Resp, F-75013 Paris, France; [Laveneziana, Pierantonio; Similowski, Thomas] Grp Hosp Pitie Salpetriere, AP HP, Serv Pneumol &amp; Reanimat Med, F-75634 Paris, France; [Laveneziana, Pierantonio; Garcia, Gilles; Nicolas-Jilwan, Fadia; Brahimi, Toufik; Sitbon, Olivier; Simonneau, Gerald; Humbert, Marc] Univ Paris 11, Fac Med, Le Kremlin Bicetre, France; [Laveneziana, Pierantonio; Garcia, Gilles; Sitbon, Olivier; Simonneau, Gerald; Humbert, Marc] INSERM, Ctr Chirurg Marie Lannelongue, U999, Le Plessis Robinson, France; [Garcia, Gilles; Nicolas-Jilwan, Fadia; Brahimi, Toufik] Hop Antoine Beclere, AP HP, Serv Physiol, Clamart, France; [Sitbon, Olivier; Simonneau, Gerald; Humbert, Marc] Hop Antoine Beclere, AP HP, Serv Pneumol &amp; Reanimat Resp, Ctr Natl Reference Hypertens Pulm Severe, Clamart, France</t>
  </si>
  <si>
    <t>Patients with pulmonary arterial hypertension (PAH) may exhibit reduced expiratory flows at low lung volumes, which could promote exercise-induced dynamic hyperinflation (DH). This study aimed to examine the impact of a potential exercise-related DH on the intensity of dyspnoea in patients with PAH undergoing symptom-limited incremental cardiopulmonary cycle exercise testing (CPET). 25 young (aged mean +/- SD 38 +/- 12 yrs) nonsmoking PAH patients with no evidence of spirometric obstruction and 10 age-matched nonsmoking healthy subjects performed CPET to the limit of tolerance. Ventilatory pattern, operating lung volumes (derived from inspiratory capacity (IC) measurements) and dyspnoea intensity (Borg scale) were assessed throughout CPET. IC decreased (i.e. DH) progressively throughout CPET in PAH patients (average 0.15 L), whereas it increased in all the healthy subjects (0.45 L). Among PAH patients, 15 (60%) exhibited a decrease in IC throughout exercise (average 0.50 L), whereas in the remaining 10 (40%) patients IC increased (average 0.36 L). Dyspnoea intensity and ventilation were greater in PAH patients than in controls at any stage of CPET, whereas inspiratory reserve volume was lower. We conclude that DH-induced mechanical constraints and excessive ventilatory demand occurred in these young nonsmoking PAH patients with no spirometric obstruction and was associated with exertional dyspnoea.</t>
  </si>
  <si>
    <t>EXERCISE; STANDARDIZATION; HYPERINFLATION; OBSTRUCTION; DIAGNOSIS</t>
  </si>
  <si>
    <t>Dynamic lung hyperinflation; dyspnoea; exercise; pulmonary arterial hypertension; ventilatory mechanics</t>
  </si>
  <si>
    <t>Dynamic respiratory mechanics and exertional dyspnoea in pulmonary arterial hypertension</t>
  </si>
  <si>
    <t>Laveneziana, Pierantonio; Garcia, Gilles; Joureau, Barbara; Nicolas-Jilwan, Fadia; Brahimi, Toufik; Laviolette, Louis; Sitbon, Olivier; Simonneau, Gerald; Humbert, Marc; Similowski, Thomas</t>
  </si>
  <si>
    <t>Laveneziana, P; Garcia, G; Joureau, B; Nicolas-Jilwan, F; Brahimi, T; Laviolette, L; Sitbon, O; Simonneau, G; Humbert, M; Similowski, T</t>
  </si>
  <si>
    <t>WOS:000316000300008</t>
  </si>
  <si>
    <t>104NH</t>
  </si>
  <si>
    <t>10.1161/CIRCULATIONAHA.113.001460</t>
  </si>
  <si>
    <t>MAR 12</t>
  </si>
  <si>
    <t>Universite Paris Saclay; Assistance Publique Hopitaux Paris (APHP); Hopital Universitaire Antoine-Beclere - APHP; Hopital Universitaire Bicetre - APHP; Universite Paris Saclay; Institut National de la Sante et de la Recherche Medicale (Inserm)</t>
  </si>
  <si>
    <t>[Humbert, Marc] Univ Paris 11, LabEx LERMIT, Le Kremlin Bicetre, France; [Humbert, Marc] Hop Bicetre, AP HP, Serv Pneumol, DHU TORINO, F-94270 Le Kremlin Bicetre, France; [Humbert, Marc] INSERM, U999, F-94275 Le Kremlin Bicetre, France</t>
  </si>
  <si>
    <t>PULMONARY ARTERIAL-HYPERTENSION; IMATINIB MESYLATE; SURVIVAL; THERAPY</t>
  </si>
  <si>
    <t>Editorials; pulmonary hypertension</t>
  </si>
  <si>
    <t>Impression, Sunset</t>
  </si>
  <si>
    <t>WOS:000316712100193</t>
  </si>
  <si>
    <t>114AM</t>
  </si>
  <si>
    <t>10.1016/j.healun.2013.01.195</t>
  </si>
  <si>
    <t>S78</t>
  </si>
  <si>
    <t>Hopital Marie Lannelongue; Universite Paris Saclay; Institut National de la Sante et de la Recherche Medicale (Inserm); Institut National de la Sante et de la Recherche Medicale (Inserm); Assistance Publique Hopitaux Paris (APHP); Hopital Universitaire Bicetre - APHP; Universite Paris Saclay</t>
  </si>
  <si>
    <t>[Guihaire, J.; Haddad, F.; Mercier, O.; Boulate, D.; Decante, B.; Herve, P.; Dartevelle, P.; Fadel, E.] Univ South Paris, Hop Marie Lannelongue, INSERM, Surg Res Lab,U999, Le Plessis Robinson, France; [Humbert, M.] Univ South Paris, Hop Bicetre, INSERM, Serv Pneumol,U999, Le Plessis Robinson, France</t>
  </si>
  <si>
    <t>APR 24-27, 2013</t>
  </si>
  <si>
    <t>33rd Annual Meeting and Scientific Sessions of the International-Society-for-Heart-and-Lung-Transplantation</t>
  </si>
  <si>
    <t>Indices of Right Ventricular Contractility in a Model of Chronic Pulmonary Hypertension</t>
  </si>
  <si>
    <t>Guihaire, J.; Haddad, F.; Mercier, O.; Boulate, D.; Decante, B.; Herve, P.; Dartevelle, P.; Humbert, M.; Fadel, E.</t>
  </si>
  <si>
    <t>Guihaire, J; Haddad, F; Mercier, O; Boulate, D; Decante, B; Herve, P; Dartevelle, P; Humbert, M; Fadel, E</t>
  </si>
  <si>
    <t>WOS:000316712100263</t>
  </si>
  <si>
    <t>10.1016/j.healun.2013.01.1030</t>
  </si>
  <si>
    <t>S105</t>
  </si>
  <si>
    <t>Courand, Pierre-yves/0000-0003-3199-7977</t>
  </si>
  <si>
    <t>Simonneau, Gerald/ABE-6614-2020; Humbert, Marc/AAC-8459-2019; Courand, Pierre-yves/O-1054-2016</t>
  </si>
  <si>
    <t>CHU Lyon; Universite Claude Bernard Lyon 1; INRAE; Centre Hospitalier Annecy Genevois; Universite Claude Bernard Lyon 1; Institut National de la Sante et de la Recherche Medicale (Inserm); Assistance Publique Hopitaux Paris (APHP); Hopital Universitaire Bicetre - APHP; Universite Paris Saclay; Universite Paris Saclay; Institut National de la Sante et de la Recherche Medicale (Inserm)</t>
  </si>
  <si>
    <t>[Courand, P. -Y.; Cottin, V.; Pina-Jomir, G.; Khouatra, C.; Traclet, J.; Dib, A.; Turquier, S.; Glerant, J. -C.; Derumeaux, G.; Mornex, J. -F; Scheiber, C.; Cordier, J. -F.] Hosp Civils Lyon, Lyon, France; [Cottin, V.; Derumeaux, G.; Mornex, J. -F; Scheiber, C.; Cordier, J. -F.] Univ Lyon 1, F-69365 Lyon, France; [Cottin, V.; Mornex, J. -F; Cordier, J. -F.] INRA, UMR754, Lyon, France; [Bertocchi, M.] CH Annecy, Annecy, France; [Blanchet, A. -S.] CH St Joseph St Luc, Lyon, France; [Derumeaux, G.] INSERM, CARMEN, F-69008 Lyon, France; [Humbert, M.; Simonneau, G.] AP HP, Le Kremlin Bicetre, France; [Humbert, M.; Simonneau, G.] Univ Paris 11, Paris, France; [Humbert, M.; Simonneau, G.] INSERM, U999, Paris, France</t>
  </si>
  <si>
    <t>Radionuclide Angiographic Assessment of Right Ventricular Ejection Fraction Is Pronostic in Pulmonary Arterial Hypertension</t>
  </si>
  <si>
    <t>Courand, P. -Y.; Cottin, V.; Pina-Jomir, G.; Bertocchi, M.; Khouatra, C.; Traclet, J.; Blanchet, A. -S.; Dib, A.; Turquier, S.; Glerant, J. -C.; Derumeaux, G.; Humbert, M.; Simonneau, G.; Mornex, J. -F; Scheiber, C.; Cordier, J. -F.</t>
  </si>
  <si>
    <t>Courand, PY; Cottin, V; Pina-Jomir, G; Bertocchi, M; Khouatra, C; Traclet, J; Blanchet, AS; Dib, A; Turquier, S; Glérant, JC; Dérumeaux, G; Humbert, M; Simonneau, G; Mornex, JF; Scheiber, C; Cordier, JF</t>
  </si>
  <si>
    <t>WOS:000330978500006</t>
  </si>
  <si>
    <t>AA3FO</t>
  </si>
  <si>
    <t>10.1016/j.lpm.2013.02.308</t>
  </si>
  <si>
    <t>Humbert, Marc/0000-0003-0703-2892; Lazor, Romain/0000-0002-2933-0754</t>
  </si>
  <si>
    <t>sinico, renato/I-6777-2012; Wechsler, Michael/AAC-5506-2019; Humbert, Marc/AAC-8459-2019</t>
  </si>
  <si>
    <t>Cordier, JF (corresponding author), Hosp Civils Lyon, Hop Louis Pradel, Ctr Reference Malad Pulm Rares, Serv Pneumol, 28 Ave Doyen Lepine, F-69677 Lyon, France.</t>
  </si>
  <si>
    <t>CHU Lyon; Universite Paris Cite; Institut National de la Sante et de la Recherche Medicale (Inserm); Assistance Publique Hopitaux Paris (APHP); Hopital Universitaire Cochin - APHP; University of Amsterdam; Academic Medical Center Amsterdam; University of Lubeck; Assistance Publique Hopitaux Paris (APHP); Hopital Universitaire Bicetre - APHP; San Carlo Borromeo Hospital; Papworth Hospital; National Jewish Health</t>
  </si>
  <si>
    <t>[Cordier, Jean-Francois; Cottin, Vincent; Lazor, Romain] Hosp Civils Lyon, Hop Louis Pradel, Ctr Reference Malad Pulm Rares, Serv Pneumol, F-69677 Lyon, France; [Guillevin, Loic] Univ Paris 05, Hop Cochin, AP HP, Sorbonne Paris Cite,Serv Med Interne,Inserm 1016, F-75014 Paris, France; [Bel, Elisabeth] Acad Med Ctr, Dept Resp Med, NL-1100 DD Amsterdam, Netherlands; [Bottero, Paolo] Azienda Osped Legnano, Osped G Fornaroli Magenta, Dept Med, Allergy &amp; Clin Immunol Outpatient Clin, I-20013 Milan, Italy; [Dalhoff, Klaus] Med Univ Lubeck, Dept Internal Med, D-23538 Lubeck, Germany; [Humbert, Marc] CHU Bicetre, Serv Pneumol, F-94270 Le Kremlin Bicetre, France; [Lazor, Romain] Hop Univ, Serv Pneumol, Lausanne, Switzerland; [Sinico, Renato A.] Azienda Osped Osped San Carlo Borromeo, Dept Med, Clin Immunol Unit, I-20153 Milan, Italy; [Sivasothy, Pasupathy] Papworth Hosp, Transplant Unit, Cambridge CB3 8RE, Cambs, England; [Wechsler, Michael E.] Natl Jewish Hlth, Dept Med, Denver, CO 80206 USA</t>
  </si>
  <si>
    <t>ANTINEUTROPHIL CYTOPLASMIC ANTIBODIES; TERM-FOLLOW-UP; CONSENSUS CONFERENCE; VASCULITIDES; NOMENCLATURE</t>
  </si>
  <si>
    <t>Inst Cordeliers</t>
  </si>
  <si>
    <t>Inst Cordeliers, Paris, FRANCE</t>
  </si>
  <si>
    <t>APR 14-17, 2013</t>
  </si>
  <si>
    <t>16th International Vasculitis and ANCA Workshop</t>
  </si>
  <si>
    <t>Eosinophilic granulomatosis with polyangiitis (Churg-Strauss)</t>
  </si>
  <si>
    <t>Cordier, Jean-Francois; Cottin, Vincent; Guillevin, Loic; Bel, Elisabeth; Bottero, Paolo; Dalhoff, Klaus; Humbert, Marc; Lazor, Romain; Sinico, Renato A.; Sivasothy, Pasupathy; Wechsler, Michael E.</t>
  </si>
  <si>
    <t>Cordier, JF; Cottin, V; Guillevin, L; Bel, E; Bottero, P; Dalhoff, K; Humbert, M; Lazor, R; Sinico, RA; Sivasothy, P; Wechsler, ME</t>
  </si>
  <si>
    <t>WOS:000318158200013</t>
  </si>
  <si>
    <t>133RU</t>
  </si>
  <si>
    <t>10.1038/ng.2581</t>
  </si>
  <si>
    <t>U82</t>
  </si>
  <si>
    <t>We thank E. Fadel and O. Mercier from the Centre Medico-Chirurgical Marie-Lannelongue for their help in lung sample collection. The Pulmonary Hypertension Allele-Associated Risk (PHAAR) project was financially supported by the Agence Nationale pour la Recherche (Project ANR-07-MRAR-021) and by PHRC AOM07-041, INSERM and UPMC. The 3C Study is conducted under a partnership agreement between INSERM, the Victor Segalen-Bordeaux II University and Sanofi-Synthelabo. The Fondation pour la Recherche Medicale funded the preparation and first phase of the study. The 3C Study is also supported by the Caisse Nationale Maladie des Travailleurs Salaries, the Direction Generale de la Sante, the Mutuelle Generale de l'Education Nationale, the Institut de la Longevite, the Agence Francaise de Securite Sanitaire des Produits de Sante, the regional governments of Aquitaine, Bourgogne and Languedoc-Roussillon and the Fondation de France, and the Ministry of Research-INSERM Programme Cohorts and Collection of Biological Material. The Lille Genopole received an unconditional grant from Eisai. The financial supporters had no role in study design, data collection and analysis, decision to publish or preparation of the manuscript. M. G. was funded by a grant from the Agence Nationale pour la Recherche (Project PHAAR, ANR-07-MRAR-021) and the Program Hospitalier de Recherche Clinique (PHRC2009 RENOVA-TV). Statistical analyses used the C2BIG computing centre funded by the Fondation pour la Recherche Medicale and Region Ile de France. Collection and management of samples from Vanderbilt University were supported by US NIH grants P01 HL072058 and K23 HL0987431 and Vanderbilt General Clinical Research Center (GCRC) RR000095. Collection of the samples from Columbia University was supported by US NIH grant R01 HL060056.</t>
  </si>
  <si>
    <t>Agence Nationale pour la Recherche(Agence Nationale de la Recherche (ANR)); PHRC; INSERM(Institut National de la Sante et de la Recherche Medicale (Inserm)); UPMC; Fondation pour la Recherche Medicale(Fondation pour la Recherche Medicale); Caisse Nationale Maladie des Travailleurs Salaries; Direction Generale de la Sante(General Electric); Mutuelle Generale de l'Education Nationale; Institut de la Longevite; Agence Francaise de Securite Sanitaire des Produits de Sante; regional government of Aquitaine; regional government of Bourgogne(Region Bourgogne-Franche-Comte); regional government of Languedoc-Roussillon(Region Occitanie); Fondation de France(Fondation de France); Ministry of Research-INSERM Programme Cohorts and Collection of Biological Material; Eisai(Eisai Co Ltd); Agence Nationale pour la Recherche (Project PHAAR)(Agence Nationale de la Recherche (ANR)); Program Hospitalier de Recherche Clinique (PHRC2009 RENOVA-TV); Region Ile de France(Region Ile-de-France); US NIH(United States Department of Health &amp; Human ServicesNational Institutes of Health (NIH) - USA); Vanderbilt General Clinical Research Center (GCRC)</t>
  </si>
  <si>
    <t>Agence Nationale pour la Recherche [ANR-07-MRAR-021]; PHRC [AOM07-041]; INSERM; UPMC; Fondation pour la Recherche Medicale; Caisse Nationale Maladie des Travailleurs Salaries; Direction Generale de la Sante; Mutuelle Generale de l'Education Nationale; Institut de la Longevite; Agence Francaise de Securite Sanitaire des Produits de Sante; regional government of Aquitaine; regional government of Bourgogne; regional government of Languedoc-Roussillon; Fondation de France; Ministry of Research-INSERM Programme Cohorts and Collection of Biological Material; Eisai; Agence Nationale pour la Recherche (Project PHAAR) [ANR-07-MRAR-021]; Program Hospitalier de Recherche Clinique (PHRC2009 RENOVA-TV); Region Ile de France; US NIH [P01 HL072058, K23 HL0987431, R01 HL060056]; Vanderbilt General Clinical Research Center (GCRC) [RR000095]</t>
  </si>
  <si>
    <t>Tregouet, David-Alexandre/0000-0001-9084-7800; Humbert, Marc/0000-0003-0703-2892; GUIGNABERT, Christophe/0000-0002-8545-4452; Lambert, Jean-Charles/0000-0003-0829-7817; Rosenzweig, Erika B./0000-0003-4849-214X; Loyd, James/0000-0002-5042-7390; dupuy, anne marie/0000-0001-6538-3944; Nadaud, Sophie/0000-0002-1452-6009; Amouyel, Philippe/0000-0001-9088-234X; Dorfmuller, Peter/0000-0003-2499-6829; delcroix, marion/0000-0001-8394-9809; de Ravel, Thomy/0000-0002-3361-3781; Germain, Marine/0000-0002-8489-8916; Montani, David/0000-0002-9358-6922; LETENNEUR, Luc/0000-0002-3274-937X</t>
  </si>
  <si>
    <t>delcroix, marion/AAE-2712-2022; EYRIES, melanie/ABF-1034-2020; Robbins, Ivan/MBH-7238-2025; David, Montani/I-6885-2019; Amouyel, Philippe/D-3662-2018; Nadaud, Sophie/A-7063-2013; Austin, Eric/A-6070-2013; Hemnes, Anna/HDN-4762-2022; Chaouat, Ari/AAP-6784-2021; lambert, jean-charles/F-8787-2013; Simonneau, Gerald/ABE-6614-2020; Tregouet, David-Alexandre/E-3961-2016; Humbert, Marc/AAC-8459-2019; GUIGNABERT, Christophe/G-3873-2013; LETENNEUR, Luc/T-4424-2019</t>
  </si>
  <si>
    <t>Soubrier, F (corresponding author), Inst Hosp Univ IHU Cardiometab &amp; Nutr ICAN, Paris, France.</t>
  </si>
  <si>
    <t>Sorbonne Universite; Institut National de la Sante et de la Recherche Medicale (Inserm); Sorbonne Universite; Sorbonne Universite; Assistance Publique Hopitaux Paris (APHP); Hopital Universitaire Pitie-Salpetriere - APHP; Universite Paris Saclay; Assistance Publique Hopitaux Paris (APHP); Hopital Universitaire Bicetre - APHP; Hopital Universitaire Antoine-Beclere - APHP; Universite Paris Saclay; Institut National de la Sante et de la Recherche Medicale (Inserm); Hopital Marie Lannelongue; Universite Paris Saclay; Hopital Marie Lannelongue; Sorbonne Universite; Vrije Universiteit Amsterdam; Assistance Publique Hopitaux Paris (APHP); Universite Paris Cite; Hopital Universitaire Necker-Enfants Malades - APHP; Institut National de la Sante et de la Recherche Medicale (Inserm); Universite Paris Cite; CHU de Nancy; Universite de Lille; Pasteur Network; Universite de Lille; Institut Pasteur Lille; Institut National de la Sante et de la Recherche Medicale (Inserm); Sorbonne Universite; Universite de Montpellier; Institut National de la Sante et de la Recherche Medicale (Inserm); Universite de Montpellier; Universite de Bordeaux; Universite de Bordeaux; Institut National de la Sante et de la Recherche Medicale (Inserm); Universite Paris Saclay; CEA; Universite de Lille; CHU Lille; KU Leuven; University Hospital Leuven; Flanders Institute for Biotechnology (VIB); KU Leuven; KU Leuven; University Hospital Leuven; Vanderbilt University; Vanderbilt University; Columbia University</t>
  </si>
  <si>
    <t>[Germain, Marine; Tregouet, David A.] Univ Paris 06, UMRS 937, Paris, France; [Germain, Marine; Eyries, Melanie; Poirier, Odette; Nadaud, Sophie; Maugenre, Svetlana; Bertrand, Marion; Tregouet, David A.; Soubrier, Florent] INSERM, Paris, France; [Germain, Marine; Eyries, Melanie; Poirier, Odette; Nadaud, Sophie; Maugenre, Svetlana; Tregouet, David A.; Soubrier, Florent] Inst Hosp Univ IHU Cardiometab &amp; Nutr ICAN, Paris, France; [Eyries, Melanie; Poirier, Odette; Nadaud, Sophie; Maugenre, Svetlana; Soubrier, Florent] Univ Paris 06, UMRS 956, Paris, France; [Eyries, Melanie; Coulet, Florence; Soubrier, Florent] Hop La Pitie Salpetriere, AP HP, Dept Genet, Paris, France; [Montani, David; Girerd, Barbara; Dorfmueller, Peter; Guignabert, Christophe; Simonneau, Gerald; Humbert, Marc] Univ Paris Sud, Fac Med, F-94275 Le Kremlin Bicetre, France; [Montani, David; Girerd, Barbara; Dorfmueller, Peter; Guignabert, Christophe; Simonneau, Gerald; Humbert, Marc] Hop Bicetre, AP HP, Ctr Natl Reference Hypertens Pulm Severe, Dept Hosp Univ DHU Thorax Innovat,Serv Pneumol, Le Kremlin Bicetre, France; [Montani, David; Girerd, Barbara; Dorfmueller, Peter; Guignabert, Christophe; Simonneau, Gerald; Humbert, Marc] INSERM, UMRS 999, Le Plessis Robinson, France; [Montani, David; Girerd, Barbara; Dorfmueller, Peter; Guignabert, Christophe; Simonneau, Gerald; Humbert, Marc] Univ Paris Sud, Lab Excellence LabEx Rech Medicament &amp; Innovat Th, Ctr Chirurg Marie Lannelongue, Le Plessis Robinson, France; [Dorfmueller, Peter] Ctr Chirurg Marie Lannelongue, Dept Pathol, Le Plessis Robinson, France; [Carpentier, Wassila] Univ Paris 06, Postgen Platform P3S, Paris, France; [Vonk-Noordegraaf, Anton] Vrije Univ Amsterdam, Med Ctr, Dept Pulm Med, Amsterdam, Netherlands; [Levy, Marilyne] Hop Necker Enfants Malad, AP HP, Dept Cardiac Surg, Paris, France; [Levy, Marilyne] INSERM, UMRS 765, Paris, France; [Levy, Marilyne] Univ Paris 05, Paris, France; [Chaouat, Ari] CHU Brabois, Resp Dis Dept, Vandoeuvre Les Nancy, France; [Lambert, Jean-Charles; Amouyel, Philippe] Univ Lille Nord France, UMRS 744, Lille, France; [Lambert, Jean-Charles; Amouyel, Philippe] Inst Pasteur, INSERM, F-59019 Lille, France; [Bertrand, Marion] Univ Paris 06, UMRS 708, Paris, France; [Dupuy, Anne-Marie] Univ Montpellier, UMRS 888, F-34059 Montpellier, France; [Dupuy, Anne-Marie] INSERM, Montpellier, France; [Letenneur, Luc] Univ Bordeaux, U897, Bordeaux, France; [Letenneur, Luc] Inst Sante Publ Epidemiol &amp; Dev, INSERM, Bordeaux, France; [Lathrop, Mark] CEA, Inst Genom, Ctr Natl Genotypage, Evry, France; [Amouyel, Philippe] Ctr Hosp Reg Univ Lille, Lille, France; [de Ravel, Thomy J. L.] Katholieke Univ Leuven Hosp, Ctr Human Genet, Louvain, Belgium; [Delcroix, Marion] Catholic Univ Leuven KU Leuven, Dept Pneumol, B-3000 Louvain, Belgium; [Delcroix, Marion] Univ Hosp Gasthuisberg, Dept Pneumol, B-3000 Louvain, Belgium; [Austin, Eric D.] Vanderbilt Univ, Med Ctr, Dept Pediat, Div Pulm Allergy &amp; Immunol Med, Nashville, TN 37232 USA; [Robbins, Ivan M.; Hemnes, Anna R.; Loyd, James E.] Vanderbilt Univ, Med Ctr, Dept Med, Div Allergy Pulm &amp; Crit Care Med, Nashville, TN USA; [Berman-Rosenzweig, Erika; Barst, Robyn J.; Chung, Wendy K.] Columbia Univ, Dept Pediat, New York, NY 10027 USA</t>
  </si>
  <si>
    <t>Pulmonary arterial hypertension (PAH) is a rare, severe disease resulting from progressive obliteration of small-caliber pulmonary arteries by proliferating vascular cells. PAH can occur without recognized etiology (idiopathic PAH), be associated with a systemic disease or occur as a heritable form, with BMPR2 mutated in approximately 80% of familial and 15% of idiopathic PAH cases(1-3). We conducted a genome-wide association study (GWAS) based on 2 independent case-control studies for idiopathic and familial PAH (without BMPR2 mutations), including a total of 625 cases and 1,525 healthy individuals. We detected a significant association at the CBLN2 locus mapping to 18q22.3, with the risk allele conferring an odds ratio for PAH of 1.97 (1.59-2.45; P = 7.47 x 10(-10)). CBLN2 is expressed in the lung, and its expression is higher in explanted lungs from individuals with PAH and in endothelial cells cultured from explanted PAH lungs.</t>
  </si>
  <si>
    <t>EXPRESSION</t>
  </si>
  <si>
    <t>Genome-wide association analysis identifies a susceptibility locus for pulmonary arterial hypertension</t>
  </si>
  <si>
    <t>Germain, Marine; Eyries, Melanie; Montani, David; Poirier, Odette; Girerd, Barbara; Dorfmueller, Peter; Coulet, Florence; Nadaud, Sophie; Maugenre, Svetlana; Guignabert, Christophe; Carpentier, Wassila; Vonk-Noordegraaf, Anton; Levy, Marilyne; Chaouat, Ari; Lambert, Jean-Charles; Bertrand, Marion; Dupuy, Anne-Marie; Letenneur, Luc; Lathrop, Mark; Amouyel, Philippe; de Ravel, Thomy J. L.; Delcroix, Marion; Austin, Eric D.; Robbins, Ivan M.; Hemnes, Anna R.; Loyd, James E.; Berman-Rosenzweig, Erika; Barst, Robyn J.; Chung, Wendy K.; Simonneau, Gerald; Tregouet, David A.; Humbert, Marc; Soubrier, Florent</t>
  </si>
  <si>
    <t>Germain, M; Eyries, M; Montani, D; Poirier, O; Girerd, B; Dorfmüller, P; Coulet, F; Nadaud, S; Maugenre, S; Guignabert, C; Carpentier, W; Vonk-Noordegraaf, A; Lévy, M; Chaouat, A; Lambert, JC; Bertrand, M; Dupuy, AM; Letenneur, L; Lathrop, M; Amouyel, P; de Ravel, TJL; Delcroix, M; Austin, ED; Robbins, IM; Hemnes, AR; Loyd, JE; Berman-Rosenzweig, E; Barst, RJ; Chung, WK; Simonneau, G; Trégouët, DA; Humbert, M; Soubrier, F</t>
  </si>
  <si>
    <t>WOS:000318461700026</t>
  </si>
  <si>
    <t>137TS</t>
  </si>
  <si>
    <t>10.1378/chest.12-1880</t>
  </si>
  <si>
    <t>Humbert, Marc/0000-0003-0703-2892; CHEMLA, Denis/0000-0001-7479-9896; Castelain, Vincent/0000-0002-9354-6525</t>
  </si>
  <si>
    <t>Simonneau, Gerald/ABE-6614-2020; Kaixian, Zhu/P-8294-2019; Castelain, Vincent/ABG-9778-2020; Humbert, Marc/AAC-8459-2019</t>
  </si>
  <si>
    <t>Chemla, D (corresponding author), Hop Bicetre, Serv Explorat Fonct Broca 7, 78 Rue Gen Leclerc, F-94275 Le Kremlin Bicetre, France.</t>
  </si>
  <si>
    <t>Universite Paris Saclay; Universites de Strasbourg Etablissements Associes; Universite de Strasbourg; CHU Strasbourg; Assistance Publique Hopitaux Paris (APHP); Hopital Universitaire Antoine-Beclere - APHP; Universidade de Sao Paulo; Assistance Publique Hopitaux Paris (APHP); Hopital Universitaire Bicetre - APHP; Hopital Universitaire Antoine-Beclere - APHP; Universite Paris Saclay; Hopital Marie Lannelongue; Institut National de la Sante et de la Recherche Medicale (Inserm); Universite Paris Saclay</t>
  </si>
  <si>
    <t>[Chemla, Denis; Zhu, Kaixian; Papelier, Yves] Univ Paris 11, Fac Med, EA4533, Le Kremlin Bicetre, France; [Castelain, Vincent] Hop Univ Strasbourg, Serv Reanimat Med, Strasbourg, France; [Creuze, Nicolas] Hop Antoine Beclere, Dept Radiol, Clamart, France; [Hoette, Susana] Univ Sao Paulo, Div Pulm, Sao Paulo, Brazil; [Parent, Florence; Simonneau, Gerald; Humbert, Marc] Hop Bicetre, AP HP, Serv Explorat Fonct &amp; Pneumol, F-94275 Le Kremlin Bicetre, France; [Herve, Philippe] INSERM, Ctr Chirurg Marie Lannelongue, UMR S999, Le Plessis Robinson, France</t>
  </si>
  <si>
    <t>Background: The mean pulmonary artery pressure (mPAP) replaces mean systolic ejection pressure (msePAP) in the classic formula of right ventricular stroke work (RVSW) = (mPAP - RAP) X stroke volume, where RAP is mean right atrial pressure. Only the steady work is thus taken into account, not the pulsatile work, whereas pulmonary circulation is highly pulsatile. Our retrospective, high-fidelity pressure study tested the hypothesis that msePAP was proportional to mPAP, and looked at the implications for RVSW. Methods: Eleven patients with severe, precapillary pulmonary hypertension (PH) (six patients with idiopathic pulmonary arterial hypertension and five with chronic thromboembolic PH; mPAP = 57 +/- 10 mm Hg) were studied at rest and during mild to moderate exercise. Eight non-PH control subjects were also studied at rest (mPAP = 16 +/- 2 mm Hg). The msePAP was averaged from end diastole to dicrotic notch. Results: In the full data set (53 pressure-flow points), mPAP ranged from 14 to 99.5 mm Hg, cardiac output from 2.38 to 11.1 L/min, and heart rate from 53 to 163 beats/min. There was a linear relationship between msePAP and mPAP (r(2) = 0.99). The msePAP matched 1.25 mPAP (bias, -0.5 +/- 2.6 mm Hg). Results were similar in the resting non-PH group and in resting and the exercising PH group. This implies that the classic formula markedly underestimates RVSW and that the pulsatile work may be a variable 20% to 55% fraction of RVSW, depending on RAP and mPAP. At rest, RVSW in patients with PH was twice as high as that of the non-PH group (P &lt; .05), but pulsatile work fraction was similar between the two groups (26 +/- 4% vs 24 +/- 1%) because of the counterbalancing effects of high RAP (11 +/- 5 mm Hg vs 4 +/- 2 mm Hg), which increases the fraction, and high mPAP, which decreases the fraction. Conclusions: Our study favored the use of an improved formula that takes into account the variable pulsatile work fraction: RVSW = (1.25 mPAP - RAP) X stroke volume. Increased RAP and increased mPAP have opposite effects on the pulsatile work fraction.</t>
  </si>
  <si>
    <t>ARTERY PRESSURE; OXYGEN-CONSUMPTION; BLOOD-FLOW; HEART-RATE; INDEX; DETERMINANTS; VOLUME; IMPEDANCE; STENOSIS; FAILURE</t>
  </si>
  <si>
    <t>Estimating Right Ventricular Stroke Work and the Pulsatile Work Fraction in Pulmonary Hypertension</t>
  </si>
  <si>
    <t>Chemla, Denis; Castelain, Vincent; Zhu, Kaixian; Papelier, Yves; Creuze, Nicolas; Hoette, Susana; Parent, Florence; Simonneau, Gerald; Humbert, Marc; Herve, Philippe</t>
  </si>
  <si>
    <t>Chemla, D; Castelain, V; Zhu, KX; Papelier, Y; Creuzé, N; Hoette, S; Parent, F; Simonneau, G; Humbert, M; Herve, P</t>
  </si>
  <si>
    <t>WOS:000319035400025</t>
  </si>
  <si>
    <t>145RT</t>
  </si>
  <si>
    <t>10.1164/rccm.201301-0109LE</t>
  </si>
  <si>
    <t>Humbert, Marc/0000-0003-0703-2892; Handoko-de Man, Frances/0000-0002-5776-7793; GUIGNABERT, Christophe/0000-0002-8545-4452</t>
  </si>
  <si>
    <t>de Man, FS (corresponding author), VU Univ Med Ctr Amsterdam, Amsterdam, Netherlands.</t>
  </si>
  <si>
    <t>Vrije Universiteit Amsterdam; VU UNIVERSITY MEDICAL CENTER; Assistance Publique Hopitaux Paris (APHP); Hopital Universitaire Bicetre - APHP; Universite Paris Saclay; Hopital Universitaire Antoine-Beclere - APHP; Institut National de la Sante et de la Recherche Medicale (Inserm)</t>
  </si>
  <si>
    <t>[de Man, Frances S.; Noordegraaf, Anton Vonk] VU Univ Med Ctr Amsterdam, Amsterdam, Netherlands; [Humbert, Marc] Hop Bicetre, AP HP, Le Kremlin Bicetre, France; [Guignabert, Christophe] INSERM UMR 999, Le Plessis Robinson, France</t>
  </si>
  <si>
    <t>HYPOXIA-INDUCIBLE FACTOR-1-ALPHA; SMOOTH-MUSCLE-CELLS; CONVERTING ENZYME; ARTERIAL-HYPERTENSION; EXPRESSION; INDUCTION; MECHANISMS</t>
  </si>
  <si>
    <t>The Renin-Angiotensin System in Pulmonary Hypertension Reply</t>
  </si>
  <si>
    <t>de Man, Frances S.; Noordegraaf, Anton Vonk; Humbert, Marc; Guignabert, Christophe</t>
  </si>
  <si>
    <t>de Man, FS; Noordegraaf, AV; Humbert, M; Guignabert, C</t>
  </si>
  <si>
    <t>WOS:000319799900179</t>
  </si>
  <si>
    <t>156DC</t>
  </si>
  <si>
    <t>10.1371/journal.pone.0065090</t>
  </si>
  <si>
    <t>e65090</t>
  </si>
  <si>
    <t>The E3N study is supported by the Mutuelle Generale de l'Education Nationale (MGEN), the European Community, the French League against Cancer (LNCC), the Gustave Roussy Institute (IGR), the National Institute for Health and Medical Research (Inserm) and General Councils of France. The specific respiratory health survey in the E3N study was supported by the Fonds de dotation Recherche en Sante Respiratoire''. The funders had no role in study design, data collection and analysis, decision to publish, or preparation of the manuscript.</t>
  </si>
  <si>
    <t>Mutuelle Generale de l'Education Nationale (MGEN)(General Electric); European Community; French League against Cancer (LNCC); Gustave Roussy Institute (IGR); National Institute for Health and Medical Research (Inserm)(Institut National de la Sante et de la Recherche Medicale (Inserm)); General Councils of France; Fonds de dotation Recherche en Sante Respiratoire''</t>
  </si>
  <si>
    <t>Mutuelle Generale de l'Education Nationale (MGEN); European Community; French League against Cancer (LNCC); Gustave Roussy Institute (IGR); National Institute for Health and Medical Research (Inserm); General Councils of France; Fonds de dotation Recherche en Sante Respiratoire''</t>
  </si>
  <si>
    <t>Le Moual, Nicole/0000-0002-2723-5569; Varraso, raphaelle/0000-0002-3338-7825; /0000-0002-1923-6393; Humbert, Marc/0000-0003-0703-2892; Jacquemin, Benedicte/0000-0003-1273-9892</t>
  </si>
  <si>
    <t>Bousquet, Jean/O-4221-2019; Tubert-Bitter, Pascale/E-6118-2016; Clavel-Chapelon, Francoise/G-6733-2014; Le Moual, Nicole/R-8976-2016; Varraso, raphaelle/R-8740-2016; Humbert, Marc/AAC-8459-2019; Jacquemin, Benedicte/D-8948-2018</t>
  </si>
  <si>
    <t>Sanchez, M (corresponding author), INSERM, CESP Ctr Res Epidemiol &amp; Populat Hlth, U1018, Resp &amp; Environm Epidemiol Team, F-94807 Villejuif, France.</t>
  </si>
  <si>
    <t>Universite Paris Saclay; Institut National de la Sante et de la Recherche Medicale (Inserm); Universite Paris Saclay; Universite de Montpellier; CHU de Montpellier; Pompeu Fabra University; Centre de Recerca en Epidemiologia Ambiental (CREAL); Institut National de la Sante et de la Recherche Medicale (Inserm); Universite Paris Saclay; Assistance Publique Hopitaux Paris (APHP); Hopital Universitaire Antoine-Beclere - APHP; Hopital Universitaire Bicetre - APHP; Universite Paris Saclay; Universite Paris Saclay; Institut National de la Sante et de la Recherche Medicale (Inserm); Hopital Marie Lannelongue; Universite Paris Saclay; Institut National de la Sante et de la Recherche Medicale (Inserm); Universite Paris Saclay</t>
  </si>
  <si>
    <t>[Sanchez, Margaux; Bousquet, Jean; Le Moual, Nicole; Jacquemin, Benedicte; Kauffmann, Francine; Varraso, Raphaelle] INSERM, CESP Ctr Res Epidemiol &amp; Populat Hlth, U1018, Resp &amp; Environm Epidemiol Team, F-94807 Villejuif, France; [Sanchez, Margaux; Le Moual, Nicole; Jacquemin, Benedicte; Clavel-Chapelon, Francoise; Kauffmann, Francine; Tubert-Bitter, Pascale; Varraso, Raphaelle] Univ Paris Sud, UMRS1018, F-94807 Villejuif, France; [Bousquet, Jean] Univ Hosp, Dept Resp Dis, Hop Arnaud Villeneuve, Montpellier, France; [Jacquemin, Benedicte] Ctr Res Environm Epidemiol CREAL, Barcelona, Spain; [Clavel-Chapelon, Francoise] INSERM, CESP Ctr Res Epidemiol &amp; Populat Hlth, U1018, Nutr Hormones &amp; Womens Hlth Team, F-94807 Villejuif, France; [Humbert, Marc] Hop Bicetre, Assistance Publ Ho Paris, DHU Thorax Innovat Serv Pneumol &amp; Reanimat Respir, Le Kremlin Bicetre, France; [Humbert, Marc] Ctr Chirurg Marie Lannelongue, INSERM U999, LabEX LERMIT, F-92350 Le Plessis Robinson, France; [Humbert, Marc] Univ Paris Sud, Fac Med, F-94276 Le Kremlin Bicetre, France; [Tubert-Bitter, Pascale] INSERM, CESP Ctr Res Epidemiol &amp; Populat Hlth, U1018, Biostat Team, F-94807 Villejuif, France</t>
  </si>
  <si>
    <t>Variable expression is one aspect of the heterogeneity of asthma. We aimed to define a variable pattern, which is relevant in general health epidemiological cohorts. Our objectives were to assess whether: 1) asthma patterns defined using simple asthma questions through repeated measurements could reflect disease variability 2) these patterns may further be classified according to asthma severity/control. Among 70,428 French women, we used seven questionnaires (1992-2005) and a comprehensive reimbursement database (2004-2009) to define three reliable asthma patterns based on repeated positive answers to the ever asthma attack question: never asthma'' (n = 64,061); inconsistent'' (yes'' followed by no'', n = 3,514); consistent'' (fully consistent positive answers, n = 2,853). The Inconsistent'' pattern was related to both long-term (childhood-onset asthma with remission in adulthood) and short-term (reported asthma attack in the last 12 months, associated with asthma medication) asthma variability, showing that repeated questions are relevant markers of the variable expression of asthma. Furthermore, in this pattern, the number of positive responses (1992-2005) predicted asthma drug consumption in subsequent years, a marker of disease severity. The Inconsistent'' pattern is a phenotype that may capture the variable expression of asthma. Repeated answers, even to a simple question, are too often neglected.</t>
  </si>
  <si>
    <t>ONSET; E3N; ADULTHOOD; CHILDHOOD; RISK; AGE</t>
  </si>
  <si>
    <t>Temporal Asthma Patterns Using Repeated Questionnaires over 13 Years in a Large French Cohort of Women</t>
  </si>
  <si>
    <t>Sanchez, Margaux; Bousquet, Jean; Le Moual, Nicole; Jacquemin, Benedicte; Clavel-Chapelon, Francoise; Humbert, Marc; Kauffmann, Francine; Tubert-Bitter, Pascale; Varraso, Raphaelle</t>
  </si>
  <si>
    <t>Sanchez, M; Bousquet, J; Le Moual, N; Jacquemin, B; Clavel-Chapelon, F; Humbert, M; Kauffmann, F; Tubert-Bitter, P; Varraso, R</t>
  </si>
  <si>
    <t>WOS:000322289000023</t>
  </si>
  <si>
    <t>189SQ</t>
  </si>
  <si>
    <t>10.1051/medsci/2013296013</t>
  </si>
  <si>
    <t>6-7</t>
  </si>
  <si>
    <t>JUN-JUL</t>
  </si>
  <si>
    <t>Cohen-Kaminsky, S (corresponding author), Univ Paris 11, Fac Med, Hop Bicetre, F-94270 Le Kremlin Bicetre, France.</t>
  </si>
  <si>
    <t>Assistance Publique Hopitaux Paris (APHP); Hopital Universitaire Bicetre - APHP; Universite Paris Saclay; Hopital Universitaire Antoine-Beclere - APHP; Assistance Publique Hopitaux Paris (APHP); Hopital Universitaire Bicetre - APHP; Universite Paris Saclay; Hopital Universitaire Antoine-Beclere - APHP; Institut National de la Sante et de la Recherche Medicale (Inserm); Universite Paris Saclay; Hopital Marie Lannelongue</t>
  </si>
  <si>
    <t>[Cohen-Kaminsky, Sylvia] Univ Paris 11, Fac Med, Hop Bicetre, F-94270 Le Kremlin Bicetre, France; Hop Bicetre, AP HP, Dept Hosp Univ Thorax Innovat, Ctr Reference Hypertens Pulmonaire Severe,Serv Pn, F-94270 Le Kremlin Bicetre, France; INSERM, Labex LERMIT, Ctr Chirurg Marie Lannelongue, UMR S 999, F-92350 Le Plessis Robinson, France</t>
  </si>
  <si>
    <t>It is admitted that autoimmunity results from a combination of risks such as genetic background, environmental triggers, and stochastic events. Pulmonary arterial hypertension (PAH) shares with the so-called prototypic autoimmune diseases, genetic risk factors, female predominance and sex hormone influence, association with other chronic inflammatory and autoimmune diseases, defects in regulatory T cells function, and presence of autoantibodies. Case reports have been published indicating the beneficial effect of some immunosuppressive and anti-inflammatory therapies in PAN, supporting the potential role of immune mechanisms in the pathophysiology of the disease. In this review, we discuss the current knowledge on autoimmune mechanisms operating in PAN, especially mounting a local autoimmune response inside the pulmonary tissue, namely pulmonary lymphoid neogenesis. A better understanding of the role of autoimmunity in pulmonary vascular remodelling may help develop targeted immunomodulatory strategies in PAH. lozenge</t>
  </si>
  <si>
    <t>ANTIENDOTHELIAL CELL ANTIBODIES; SYSTEMIC-LUPUS-ERYTHEMATOSUS; REGULATORY T-CELLS; MONOCLONAL-ANTIBODIES; ANTIFIBROBLAST ANTIBODIES; HIGH PREVALENCE; THERAPY; INTERLEUKIN-6; SCLEROSIS; DISEASE</t>
  </si>
  <si>
    <t>Pulmonary arterial hypertension: a flavor of autoimmunity</t>
  </si>
  <si>
    <t>Perros, Frederic; Humbert, Marc; Cohen-Kaminsky, Sylvia</t>
  </si>
  <si>
    <t>Perros, F; Humbert, M; Cohen-Kaminsky, S</t>
  </si>
  <si>
    <t>WOS:000320211700011</t>
  </si>
  <si>
    <t>161RT</t>
  </si>
  <si>
    <t>10.1183/09031936.00089212</t>
  </si>
  <si>
    <t>Hoeper, Marius/0000-0001-9086-2293; Barbera, Joan Albert/0000-0003-1469-4990; Humbert, Marc/0000-0003-0703-2892; vizza, carmine dario/0000-0002-3540-4983; JAIS, XAVIER/0000-0002-4104-7994</t>
  </si>
  <si>
    <t>Gomberg-Maitland, Mardi/N-7158-2019; Hoeper, Marius/Z-1546-2019; Humbert, Marc/AAC-8459-2019; vizza, carmine dario/AAC-5540-2020</t>
  </si>
  <si>
    <t>Hoeper, MM (corresponding author), Hannover Med Sch, Dept Resp Med, Carl Neuberg Str 1, D-30623 Hannover, Germany.</t>
  </si>
  <si>
    <t>Hannover Medical School; Leipzig University; Technische Universitat Dresden; University of Michigan System; University of Michigan; University of Colorado System; University of Colorado Anschutz Medical Campus; University of Colorado Denver; University of Chicago; Tufts University; Johns Hopkins University; Johns Hopkins Medicine; Sapienza University Rome; CIBER - Centro de Investigacion Biomedica en Red; CIBERES; University of Barcelona; Assistance Publique Hopitaux Paris (APHP); Hopital Universitaire Bicetre - APHP; Institut National de la Sante et de la Recherche Medicale (Inserm); Universite Paris Saclay</t>
  </si>
  <si>
    <t>[Meyer, Stephanie; Nickel, Nils; Hoeper, Marius M.] Hannover Med Sch, Dept Resp Med, D-30623 Hannover, Germany; [Seyfarth, Hans-Juergen] Univ Leipzig, Dept Resp Med, D-04109 Leipzig, Germany; [Halank, Michael] Univ Dresden, Dresden, Germany; [McLaughlin, Vallerie V.] Univ Michigan Hlth Syst, Dept Internal Med, Div Cardiovasc Dis, Ann Arbor, MI USA; [Bull, Todd M.] Univ Colorado, Pulm Hypertens Ctr, Div Pulm &amp; Crit Care Med, Dept Med, Denver, CO USA; [Gomberg-Maitland, Mardi] Univ Chicago, Dept Cardiol, Chicago, IL 60637 USA; [Preston, Ioana R.] Tufts Univ, Sch Med, Dept Pulm Crit Care &amp; Sleep, Boston, MA 02111 USA; [Hassoun, Paul M.] Johns Hopkins Med Univ, Dept Med, Div Pulm Crit Care Med, Baltimore, MD USA; [Vizza, Carmine D.] Univ Roma La Sapienza, Dept Cardiovasc &amp; Resp Sci, Rome, Italy; [Barbera, Joan A.] Univ Barcelona, Dept Pneumol, Hosp Clin, CIBERES, Barcelona, Spain; [Jais, Xavier; Humbert, Marc] Univ Paris 11, AP HP, INSERM, UMR S999, Le Kremlin Bicetre, France</t>
  </si>
  <si>
    <t>We conducted an international, prospective, 3-year questionnaire-based survey among 11 pulmonary hypertension centres to assemble data from patients with pulmonary arterial hypertension (PAH) undergoing noncardiac and nonobstetric surgery. Data were collected between July 2007 and June 2010 from 114 patients with PAH (70% female, mean age 57 years) who underwent major surgery. At the time of surgery, 43% were in functional class III/IV. 82% of the interventions were performed under general anaesthesia and 18% under spinal anaesthesia. Major complications occurred in seven (6.1%) of the patients, of whom four died, resulting in an overall perioperative mortality rate of 3.5%. The mortality rate was 15% (two out of 13) in emergency procedures, compared with 2% (two out of 101) in nonemergency procedures (p=0.01). Risk factors for major complications were an elevated right atrial pressure (OR 1.1, 95% CI 1.0-1.3; p=0.01), a 6-min walking distance &lt;399 m at the last preoperative assessment (OR 2.2, 95% CI 1.1-3.7; p=0.04), the perioperative use of vasopressors (OR 1.5, 95% CI 1.2-2.7; p=0.03) and the need for emergency surgery (OR 2.4, 95% CI 1.4-3.6; p=0.01). Major surgery in patients with PAH continues to be a high-risk procedure, particularly when emergency interventions are needed.</t>
  </si>
  <si>
    <t>PULMONARY ARTERIAL-HYPERTENSION; PREGNANCY OUTCOMES; MANAGEMENT; ANESTHESIA</t>
  </si>
  <si>
    <t>Anaesthesia; hypertension; pulmonary; surgery; survival</t>
  </si>
  <si>
    <t>Outcomes of noncardiac, nonobstetric surgery in patients with PAH: an international prospective survey</t>
  </si>
  <si>
    <t>Meyer, Stephanie; McLaughlin, Vallerie V.; Seyfarth, Hans-Juergen; Bull, Todd M.; Vizza, Carmine D.; Gomberg-Maitland, Mardi; Preston, Ioana R.; Barbera, Joan A.; Hassoun, Paul M.; Halank, Michael; Jais, Xavier; Nickel, Nils; Hoeper, Marius M.; Humbert, Marc</t>
  </si>
  <si>
    <t>Meyer, S; McLaughlin, VV; Seyfarth, HJ; Bull, TM; Vizza, CD; Gomberg-Maitland, M; Preston, IR; Barberà, JA; Hassoun, PM; Halank, M; Jaïs, X; Nickel, N; Hoeper, MM; Humbert, M</t>
  </si>
  <si>
    <t>WOS:000208898502136</t>
  </si>
  <si>
    <t>V31QQ</t>
  </si>
  <si>
    <t>10.1136/annrheumdis-2012-eular.2702</t>
  </si>
  <si>
    <t>Simonneau, Gerald/ABE-6614-2020; Launay, David/A-5270-2018; Sitbon, Olivier/I-3623-2019; Humbert, Marc/AAC-8459-2019; Launay, David/H-1674-2016</t>
  </si>
  <si>
    <t>Universite de Lille; Assistance Publique Hopitaux Paris (APHP); Hopital Universitaire Antoine-Beclere - APHP; CHU Lyon; Assistance Publique Hopitaux Paris (APHP); Universite Paris Cite; Hopital Universitaire Cochin - APHP; Actelion Pharmaceuticals Ltd</t>
  </si>
  <si>
    <t>[Launay, D.; Hachulla, E.] Univ Lille Nord France, Lille, France; [Sitbon, O.; Rottat, L.; Simonneau, G.; Humbert, M.] Hop Antoine Beclere, Clamart, France; [Cordier, J. -F.] Hop Louis Pradel, Lyon, France; [Mouthon, L.] Hop Cochin, F-75674 Paris, France; [Gressin, V.] Actelion, Paris, France; [Clerson, P.] Orgametrie, Roubaix, France</t>
  </si>
  <si>
    <t>SURVIVAL AND PROGNOSTIC FACTORS IN PATIENTS WITH INCIDENT SYSTEMIC SCLEROSIS-ASSOCIATED PULMONARY ARTERIAL HYPERTENSION FROM THE FRENCH REGISTRY</t>
  </si>
  <si>
    <t>Launay, D.; Sitbon, O.; Cordier, J. -F.; Hachulla, E.; Mouthon, L.; Gressin, V.; Rottat, L.; Clerson, P.; Simonneau, G.; Humbert, M.</t>
  </si>
  <si>
    <t>WOS:000331587901477</t>
  </si>
  <si>
    <t>AB1XT</t>
  </si>
  <si>
    <t>HACHULLA, ERIC/R-8488-2018; Humbert, Marc/AAC-8459-2019; Distler, Oliver/AAE-6225-2019; furst, daniel/B-7316-2014; FitzGerald, John/T-5539-2018</t>
  </si>
  <si>
    <t>[Khanna, D.; Gladue, H.; Visovatti, S.; McLaughlin, V.] Univ Michigan, Ann Arbor, MI 48109 USA; [Fitzgerald, J.; Furst, D.] Univ Calif Los Angeles, Los Angeles, CA USA; [Channick, R.] Mass Gen Hosp, Boston, MA USA; [Chung, L.] Stanford Univ, Stanford, CA 94305 USA; [Distler, O.] Univ Zurich, Zurich, Switzerland; [Hachulla, E.] Univ Hosp Lille, Lille, France; [Humbert, M.] Univ S Paris, Paris, France; [Langelben, D.] McGill Univ, Montreal, PQ, Canada; [Mathai, S.] Johns Hopkins Univ, Baltimore, MD USA; [Saggar, R.] St Joseph Hosp, Phoenix, AZ USA</t>
  </si>
  <si>
    <t>Khanna, D.; Gladue, H.; Fitzgerald, J.; Channick, R.; Chung, L.; Distler, O.; Furst, D.; Hachulla, E.; Humbert, M.; Langelben, D.; Mathai, S.; Saggar, R.; Visovatti, S.; McLaughlin, V.</t>
  </si>
  <si>
    <t>Khanna, D; Gladue, H; Fitzgerald, J; Channick, R; Chung, L; Distler, O; Furst, D; Hachulla, E; Humbert, M; Langelben, D; Mathai, S; Saggar, R; Visovatti, S; McLaughlin, V</t>
  </si>
  <si>
    <t>WOS:000331587901122</t>
  </si>
  <si>
    <t>Universite Paris Saclay; Assistance Publique Hopitaux Paris (APHP); Hopital Universitaire Bicetre - APHP; Hopital Universitaire Antoine-Beclere - APHP; Universite Paris Saclay; Institut National de la Sante et de la Recherche Medicale (Inserm); Assistance Publique Hopitaux Paris (APHP); Hopital Universitaire Bicetre - APHP; Hopital Universitaire Antoine-Beclere - APHP</t>
  </si>
  <si>
    <t>[Humbert, M.] Univ Paris 11, Hop Bicetre, AP HP, Serv Pneumol, Le Kremlin Bicetre, France; [Humbert, M.] Univ Paris 11, Hop Bicetre, AP HP, Inserm,U999, Le Kremlin Bicetre, France</t>
  </si>
  <si>
    <t>PULMONARY VASCULAR REMODELING IN SYSTEMIC SCLEROSIS - NEW TARGETS FOR THERAPY ON THE HORIZON</t>
  </si>
  <si>
    <t>WOS:000318237200378</t>
  </si>
  <si>
    <t>134TJ</t>
  </si>
  <si>
    <t>Assistance Publique Hopitaux Paris (APHP); Hopital Universitaire Ambroise-Pare - APHP; Hopital Universitaire Bicetre - APHP; Universite Paris Saclay; CHU Strasbourg; Universites de Strasbourg Etablissements Associes; Universite de Strasbourg; Universite Paris Saclay; Assistance Publique Hopitaux Paris (APHP); Hopital Universitaire Ambroise-Pare - APHP; Hopital Universitaire Bicetre - APHP; Institut National de la Sante et de la Recherche Medicale (Inserm); Hopital Marie Lannelongue</t>
  </si>
  <si>
    <t>[Chemla, D.] Univ Paris 11, CHU Bicetre, APHP, Le Kremlin Bicetre, France; [Castelain, V.] Hop Univ Strasbourg, Strasbourg, France; [Zhu, F.; Papelier, Y.; Creuze, N.] Uinversit Paris Sud, Clamart, France; [Hoette, S.; Simonneau, G.] Univ Paris 11, Le Kremlin Bicetre, France; [Parent, F.] CHU Bicetre, APHP, Le Kremlin Bicetre, France; [Humbert, M.] INSERM, UMR 999, F-94275 Le Kremlin Bicetre, France; [Herve, P.] Ctr Chirurg Marie Lannelongue, Le Plessis Robinson, France</t>
  </si>
  <si>
    <t>right ventricle; systolic function; pulmonary hypertension</t>
  </si>
  <si>
    <t>Estimation of the pulsatile fraction of right ventricular stroke work in pulmonary hypertension</t>
  </si>
  <si>
    <t>Chemla, D.; Castelain, V.; Zhu, F.; Papelier, Y.; Creuze, N.; Hoette, S.; Parent, F.; Simonneau, G.; Humbert, M.; Herve, P.</t>
  </si>
  <si>
    <t>Chemla, D; Castelain, V; Zhu, F; Papelier, Y; Creuze, N; Hoette, S; Parent, F; Simonneau, G; Humbert, M; Herve, P</t>
  </si>
  <si>
    <t>WOS:000318237200025</t>
  </si>
  <si>
    <t>Universite Paris Saclay; Assistance Publique Hopitaux Paris (APHP); Hopital Universitaire Bicetre - APHP; CHU Strasbourg; Universites de Strasbourg Etablissements Associes; Universite de Strasbourg; Universite Paris Saclay; Universite Paris Saclay; Assistance Publique Hopitaux Paris (APHP); Hopital Universitaire Bicetre - APHP; Institut National de la Sante et de la Recherche Medicale (Inserm); Hopital Marie Lannelongue</t>
  </si>
  <si>
    <t>[Chemla, D.] Univ Paris 11, CHU Bicetre, AP HP, Le Kremlin Bicetre, France; [Castelain, V.] Hop Univ Strasbourg, Strasbourg, France; [Zhu, F.; Papelier, Y.; Creuze, N.] Univ Paris 11, Clamart, France; [Hoette, S.; Simonneau, G.] Univ Paris 11, Le Kremlin Bicetre, France; [Parent, F.] CHU Bicetre, AP HP, Le Kremlin Bicetre, France; [Humbert, M.] INSERM, UMR 999, F-94275 Le Kremlin Bicetre, France; [Herve, P.] Ctr Chirurg Marie Lannelongue, Le Plessis Robinson, France</t>
  </si>
  <si>
    <t>Right ventricle; Systolic function; Pulmonary hypertension</t>
  </si>
  <si>
    <t>WOS:000321603400029</t>
  </si>
  <si>
    <t>180OB</t>
  </si>
  <si>
    <t>10.1183/09031936.00087212</t>
  </si>
  <si>
    <t>Boulanger, Chantal M./0000-0002-3687-651X; Montani, David/0000-0002-9358-6922; GUIGNABERT, Christophe/0000-0002-8545-4452; Humbert, Marc/0000-0003-0703-2892</t>
  </si>
  <si>
    <t>AMABILE, Nicolas/AAK-8400-2020; David, Montani/I-6885-2019; Boulanger, Chantal M./K-4349-2017; GUIGNABERT, Christophe/G-3873-2013; Humbert, Marc/AAC-8459-2019</t>
  </si>
  <si>
    <t>Humbert, M (corresponding author), INSERM, U999, Ctr Chirurg Marie Lannelongue, 133 Ave Resistance, F-92350 Le Plessis Robinson, France.</t>
  </si>
  <si>
    <t>Universite Paris Cite; Institut National de la Sante et de la Recherche Medicale (Inserm); Universite Paris Cite; Hopital Marie Lannelongue; Hopital Marie Lannelongue; Universite Paris Saclay; Institut National de la Sante et de la Recherche Medicale (Inserm); Hopital Marie Lannelongue; Universite Paris Saclay; Assistance Publique Hopitaux Paris (APHP); Hopital Universitaire Bicetre - APHP; Universite Paris Cite; Hopital Universitaire Saint-Louis - APHP; Universite Paris Saclay; Hopital Universitaire Antoine-Beclere - APHP; University of California System; University of California San Francisco</t>
  </si>
  <si>
    <t>[Amabile, Nicolas; Boulanger, Chantal M.] INSERM, U970, Paris Cardiovasc Res Ctr, Paris, France; [Amabile, Nicolas; Boulanger, Chantal M.] Univ Paris 05, Sorbonne Paris Cite, UMR S970, Paris, France; [Amabile, Nicolas; Guignabert, Christophe; Montani, David; Humbert, Marc] Ctr Chirurg Marie Lannelongue, Dept Cardiol, Le Plessis Robinson, France; [Amabile, Nicolas; Guignabert, Christophe; Montani, David; Humbert, Marc] Ctr Chirurg Marie Lannelongue, Res Dept, Le Plessis Robinson, France; [Guignabert, Christophe; Montani, David; Humbert, Marc] INSERM, U999, Ctr Chirurg Marie Lannelongue, Lab Ex LERMIT, F-92350 Le Plessis Robinson, France; [Guignabert, Christophe; Montani, David; Humbert, Marc] Univ Paris 11, Fac Med, Le Kremlin Bicetre, France; [Montani, David; Humbert, Marc] Hop Bicetre, Assistance Publ Hop Paris, Ctr Reference Hypertens Pulm Severe, Serv Pneumol &amp; Reanimat Resp,DHU Thorax Innovat, Le Kremlin Bicetre, France; [Yeghiazarians, Yerem] Univ Calif San Francisco, Dept Med, Div Cardiol, San Francisco, CA 94143 USA</t>
  </si>
  <si>
    <t>Pulmonary hypertension (PH) is a fatal disease with no treatment options, characterised by elevated pulmonary vascular resistanzce and secondary right ventricular failure. The aetiology of pulmonary arterial hypertension is multiple and its pathogenesis is complex. Although the exact role of cellular microparticles remains partially understood, there is increasing evidence to suggest an active role for microparticles in PH pathophysiology. Patients with PH exhibited higher circulating levels of microparticles compared to control subjects and in vitro or in vivo generated microparticles can induce endothelial dysfunction, interfere with coagulation pathways or modulate inflammatory phenomenon. Whether or not these new conveyors of biological information contribute to the acquisition and/or maintenance of the altered endothelial phenotype is unexplored in PH and requires further study.</t>
  </si>
  <si>
    <t>INDUCE ENDOTHELIAL DYSFUNCTION; ARTERIAL-HYPERTENSION; IN-VITRO; OXIDATIVE STRESS; CIRCULATING MICROPARTICLES; INHIBIT ANGIOGENESIS; ADHESION MOLECULES; CELLS; DISEASE; HEART</t>
  </si>
  <si>
    <t>Cellular microparticles in the pathogenesis of pulmonary hypertension</t>
  </si>
  <si>
    <t>Amabile, Nicolas; Guignabert, Christophe; Montani, David; Yeghiazarians, Yerem; Boulanger, Chantal M.; Humbert, Marc</t>
  </si>
  <si>
    <t>Amabile, N; Guignabert, C; Montani, D; Yeghiazarians, Y; Boulanger, CM; Humbert, M</t>
  </si>
  <si>
    <t>WOS:000323134000001</t>
  </si>
  <si>
    <t>201IN</t>
  </si>
  <si>
    <t>10.1186/1750-1172-8-97</t>
  </si>
  <si>
    <t>D Montani, X Jais, L Savale, M Humbert, G Simonneau and O Sitbon have been supported by Actelion, Bayer Schering, GlaxoSmithKline, Novartis, Pfizer, Inc., Lilly &amp; Co., and United Therapeutics for consultancy services and as members of their scientific advisory boards. The other authors declare that they have no competing interests.</t>
  </si>
  <si>
    <t>Actelion; Bayer Schering(Bayer AG); GlaxoSmithKline(GlaxoSmithKline); Novartis(Novartis); Pfizer, Inc.(Pfizer); Lilly Co.; United Therapeutics for consultancy services</t>
  </si>
  <si>
    <t>Actelion; Bayer Schering; GlaxoSmithKline; Novartis; Pfizer, Inc.; Lilly Co.; United Therapeutics for consultancy services</t>
  </si>
  <si>
    <t>SITBON, Olivier/0000-0002-1942-1951; JAIS, XAVIER/0000-0002-4104-7994; Perros, Frederic/0000-0001-7730-2427; Montani, David/0000-0002-9358-6922; GUNTHER, Sven/0000-0001-8388-6131; Dorfmuller, Peter/0000-0003-2499-6829; Humbert, Marc/0000-0003-0703-2892</t>
  </si>
  <si>
    <t>Simonneau, Gerald/ABE-6614-2020; Sitbon, Olivier/I-3623-2019; David, Montani/I-6885-2019; Savale, Laurent/AAJ-9781-2020; Günther, Sven/ACV-7191-2022; Perros, Frederic/N-6921-2017; GUNTHER, Sven/P-4177-2017; Humbert, Marc/AAC-8459-2019</t>
  </si>
  <si>
    <t>Sitbon, O (corresponding author), Univ Paris Sud, Fac Med, F-94270 Le Kremlin Bicetre, France.</t>
  </si>
  <si>
    <t>Universite Paris Saclay; Assistance Publique Hopitaux Paris (APHP); Hopital Universitaire Bicetre - APHP; Universite Paris Saclay; Hopital Universitaire Antoine-Beclere - APHP; Hopital Marie Lannelongue; Universite Paris Saclay; Institut National de la Sante et de la Recherche Medicale (Inserm); Royal Brompton Hospital</t>
  </si>
  <si>
    <t>[Montani, David; Guenther, Sven; Dorfmueller, Peter; Perros, Frederic; Girerd, Barbara; Garcia, Gilles; Jais, Xavier; Savale, Laurent; Artaud-Macari, Elise; Humbert, Marc; Simonneau, Gerald; Sitbon, Olivier] Univ Paris Sud, Fac Med, F-94270 Le Kremlin Bicetre, France; [Montani, David; Guenther, Sven; Dorfmueller, Peter; Perros, Frederic; Girerd, Barbara; Garcia, Gilles; Jais, Xavier; Savale, Laurent; Artaud-Macari, Elise; Humbert, Marc; Simonneau, Gerald; Sitbon, Olivier] Hop Bicetre, AP HP, Ctr Reference Hypertens Pulm Severe, Serv Pneumol &amp; Reanimat Resp,DHU TORINO, F-94270 Le Kremlin Bicetre, France; [Montani, David; Guenther, Sven; Dorfmueller, Peter; Perros, Frederic; Girerd, Barbara; Garcia, Gilles; Jais, Xavier; Savale, Laurent; Artaud-Macari, Elise; Humbert, Marc; Simonneau, Gerald; Sitbon, Olivier] Ctr Chirurg Marie Lannelongue, INSERM, U999, Labex LERMIT, F-92350 Le Plessis Robinson, France; [Price, Laura C.] Royal Brompton Hosp, Pulm Hypertens Serv, London SW3 6NP, England</t>
  </si>
  <si>
    <t>Pulmonary arterial hypertension (PAH) is a chronic and progressive disease leading to right heart failure and ultimately death if untreated. The first classification of PH was proposed in 1973. In 2008, the fourth World Symposium on PH held in Dana Point (California, USA) revised previous classifications. Currently, PH is devided into five subgroups. Group 1 includes patients suffering from idiopathic or familial PAH with or without germline mutations. Patients with a diagnosis of PAH should systematically been screened regarding to underlying mutations of BMPR2 gene (bone morphogenetic protein receptor type 2) or more rarely of ACVRL1 (activine receptor-like kinase type 1), ENG (endogline) or Smad8 genes. Pulmonary veno occusive disease and pulmonary capillary hemagiomatosis are individualized and designated as clinical group 1'. Group 2 ' Pulmonary hypertension due to left heart diseases' is divided into three sub-groups: systolic dysfonction, diastolic dysfonction and valvular dysfonction. Group 3 ' Pulmonary hypertension due to respiratory diseases' includes a heterogenous subgroup of respiratory diseases like PH due to pulmonary fibrosis, COPD, lung emphysema or interstitial lung disease for exemple. Group 4 includes chronic thromboembolic pulmonary hypertension without any distinction of proximal or distal forms. Group 5 regroup PH patients with unclear multifactorial mechanisms. Invasive hemodynamic assessment with right heart catheterization is requested to confirm the definite diagnosis of PH showing a resting mean pulmonary artery pressure (mPAP) of &gt;= 25 mmHg and a normal pulmonary capillary wedge pressure (PCWP) of &lt;= 15 mmHg. The assessment of PCWP may allow the distinction between pre-capillary and post-capillary PH (PCWP &gt; 15 mmHg). Echocardiography is an important tool in the management of patients with underlying suspicion of PH. The European Society of Cardiology and the European Respiratory Society (ESC-ERS) guidelines specify its role, essentially in the screening proposing criteria for estimating the presence of PH mainly based on tricuspid regurgitation peak velocity and systolic artery pressure (sPAP). The therapy of PAH consists of non-specific drugs including oral anticoagulation and diuretics as well as PAH specific therapy. Diuretics are one of the most important treatment in the setting of PH because right heart failure leads to fluid retention, hepatic congestion, ascites and peripheral edema. Current recommendations propose oral anticoagulation aiming for targeting an International Normalized Ratio (INR) between 1.5-2.5. Target INR for patients displaying chronic thromboembolic PH is between 2-3. Better understanding in pathophysiological mechanisms of PH over the past quarter of a century has led to the development of medical therapeutics, even though no cure for PAH exists. Several specific therapeutic agents were developed for the medical management of PAH including prostanoids (epoprostenol, trepoprostenil, iloprost), endothelin receptor antagonists (bosentan, ambrisentan) and phosphodiesterase type 5 inhibitors (sildenafil, tadalafil). This review discusses the current state of art regarding to epidemiologic aspects of PH, diagnostic approaches and the current classification of PH. In addition, currently available specific PAH therapy is discussed as well as future treatments.</t>
  </si>
  <si>
    <t>CONTINUOUS INTRAVENOUS EPOPROSTENOL; PROSTACYCLIN RECEPTOR AGONIST; GLYCOGEN-STORAGE-DISEASE; CALCIUM-CHANNEL BLOCKERS; RIGHT HEART-FAILURE; LONG-TERM TREATMENT; LUNG-TRANSPLANTATION; SYSTEMIC-SCLEROSIS; VENOOCCLUSIVE-DISEASE; ATRIAL SEPTOSTOMY</t>
  </si>
  <si>
    <t>Montani, David; Guenther, Sven; Dorfmueller, Peter; Perros, Frederic; Girerd, Barbara; Garcia, Gilles; Jais, Xavier; Savale, Laurent; Artaud-Macari, Elise; Price, Laura C.; Humbert, Marc; Simonneau, Gerald; Sitbon, Olivier</t>
  </si>
  <si>
    <t>Montani, D; Günther, S; Dorfmüller, P; Perros, F; Girerd, B; Garcia, G; Jaïs, X; Savale, L; Artaud-Macari, E; Price, LC; Humbert, M; Simonneau, G; Sitbon, O</t>
  </si>
  <si>
    <t>WOS:000322223900010</t>
  </si>
  <si>
    <t>188VJ</t>
  </si>
  <si>
    <t>10.1056/NEJMoa1211097</t>
  </si>
  <si>
    <t>JUL 25</t>
  </si>
  <si>
    <t>Funded by the National Institutes of Health. Supported by grants (R01 HL060056, P01 HL072058, K23 HL098743, and R01 HL 56810) from the National Institutes of Health and a Vanderbilt Clinical and Translational Science Awards grant (UL1 RR024975) from the National Center for Research Resources. Funding for the Grand Opportunity Exome Sequencing Project (GO-ESP) was provided by grants (RC2 HL-103010, RC2 HL-102923, and RC2 HL-102924) from the National Heart, Lung, and Blood Institute (NHLBI). Exome sequencing was performed through grants (RC2 HL-102925 and RC2 HL-102926) from the NHLBI.</t>
  </si>
  <si>
    <t>National Institutes of Health(United States Department of Health &amp; Human ServicesNational Institutes of Health (NIH) - USA); Vanderbilt Clinical and Translational Science Awards grant from the National Center for Research Resources; National Heart, Lung, and Blood Institute (NHLBI)(United States Department of Health &amp; Human ServicesNational Institutes of Health (NIH) - USANIH National Heart Lung &amp; Blood Institute (NHLBI)); NHLBI(United States Department of Health &amp; Human ServicesNational Institutes of Health (NIH) - USANIH National Heart Lung &amp; Blood Institute (NHLBI))</t>
  </si>
  <si>
    <t>National Institutes of Health [R01 HL060056, P01 HL072058, K23 HL098743, R01 HL 56810]; Vanderbilt Clinical and Translational Science Awards grant from the National Center for Research Resources [UL1 RR024975]; National Heart, Lung, and Blood Institute (NHLBI) [RC2 HL-103010, RC2 HL-102923, RC2 HL-102924]; NHLBI [RC2 HL-102925, RC2 HL-102926]</t>
  </si>
  <si>
    <t>Roman-Campos, Danilo/0000-0002-2690-912X; Kass, Robert/0000-0003-4377-3874; Rosenzweig, Erika B./0000-0003-4849-214X; Humbert, Marc/0000-0003-0703-2892; Montani, David/0000-0002-9358-6922; Tregouet, David-Alexandre/0000-0001-9084-7800; Loyd, James/0000-0002-5042-7390; Germain, Marine/0000-0002-8489-8916</t>
  </si>
  <si>
    <t>BORCZUK, alain/AHA-5172-2022; David, Montani/I-6885-2019; Rosenzweig, Erika/AAC-3680-2019; EYRIES, melanie/ABF-1034-2020; Campos, Danilo/I-2655-2012; Austin, Eric/A-6070-2013; Tregouet, David-Alexandre/E-3961-2016; Humbert, Marc/AAC-8459-2019</t>
  </si>
  <si>
    <t>wkc15@columbia.edu</t>
  </si>
  <si>
    <t>Ma, L (corresponding author), Columbia Univ, Med Ctr, Dept Pediat, 1150 St Nicholas Ave, New York, NY 10032 USA.</t>
  </si>
  <si>
    <t>Columbia University; Columbia University; Columbia University; Vanderbilt University; Vanderbilt University; Assistance Publique Hopitaux Paris (APHP); Institut National de la Sante et de la Recherche Medicale (Inserm); Sorbonne Universite; Sorbonne Universite; Institut National de la Sante et de la Recherche Medicale (Inserm); Sorbonne Universite; Institut National de la Sante et de la Recherche Medicale (Inserm); Institut National de la Sante et de la Recherche Medicale (Inserm); Assistance Publique Hopitaux Paris (APHP); Hopital Universitaire Ambroise-Pare - APHP; Hopital Universitaire Bicetre - APHP</t>
  </si>
  <si>
    <t>[Ma, Lijiang; Eyries, Melanie; Chung, Wendy K.] Columbia Univ, Med Ctr, Dept Pediat, New York, NY 10032 USA; [Sampson, Kevin S.; Rosenzweig, Erika Berman; Loyd, James E.] Columbia Univ, Med Ctr, Dept Pharmacol, Columbia, NY USA; [Soubrier, Florent] Columbia Univ, Med Ctr, Dept Pathol, Columbia, NY USA; [Austin, Eric D.] Vanderbilt Univ, Med Ctr, Dept Pediat, Nashville, TN USA; [Humbert, Marc] Vanderbilt Univ, Med Ctr, Dept Med, Nashville, TN USA; [Germain, Marine] ICAN, AP HP, Paris, France; [Tregouet, David-Alexandre] UPMC, INSERM, Paris, France; [Germain, Marine; Tregouet, David-Alexandre] UPMC UMRS 937, INSERM, ICAN, Paris, France; [Montani, David; Loyd, James E.] INSERM, APHP, Dept Hosp, DHU TORINO, Le Kremlin Bicetre, France; [Girerd, Barbara; Montani, David; Humbert, Marc] LERMIT, Le Kremlin Bicetre, France</t>
  </si>
  <si>
    <t>BACKGROUND Pulmonary arterial hypertension is a devastating disease with high mortality. Familial cases of pulmonary arterial hypertension are usually characterized by autosomal dominant transmission with reduced penetrance, and some familial cases have unknown genetic causes. METHODS We studied a family in which multiple members had pulmonary arterial hypertension without identifiable mutations in any of the genes known to be associated with the disease, including BMPR2, ALK1, ENG, SMAD9, and CAV1. Three family members were studied with whole-exome sequencing. Additional patients with familial or idiopathic pulmonary arterial hypertension were screened for the mutations in the gene that was identified on whole-exome sequencing. All variants were expressed in COS-7 cells, and channel function was studied by means of patch-clamp analysis. RESULTS We identified a novel heterozygous missense variant c.608 GA (G203D) in KCNK3 (the gene encoding potassium channel subfamily K, member 3) as a disease-causing candidate gene in the family. Five additional heterozygous missense variants in KCNK3 were independently identified in 92 unrelated patients with familial pulmonary arterial hypertension and 230 patients with idiopathic pulmonary arterial hypertension. We used in silico bioinformatic tools to predict that all six novel variants would be damaging. Electrophysiological studies of the channel indicated that all these missense mutations resulted in loss of function, and the reduction in the potassium-channel current was remedied by the application of the phospholipase inhibitor ONO-RS-082. CONCLUSIONS Our study identified the association of a novel gene, KCNK3, with familial and idiopathic pulmonary arterial hypertension. Mutations in this gene produced reduced potassium-channel current, which was successfully remedied by pharmacologic manipulation. (Funded by the National Institutes of Health.)</t>
  </si>
  <si>
    <t>HEREDITARY HEMORRHAGIC TELANGIECTASIA; MORPHOGENETIC PROTEIN-RECEPTOR; DOMAIN POTASSIUM CHANNELS; SMOOTH-MUSCLE-CELLS; K+ CHANNEL; TASK-1; GENE; EXPRESSION; MUTATIONS; ENDOGLIN</t>
  </si>
  <si>
    <t>A Novel Channelopathy in Pulmonary Arterial Hypertension</t>
  </si>
  <si>
    <t>Ma, Lijiang; Roman-Campos, Danilo; Austin, Eric D.; Eyries, Melanie; Sampson, Kevin S.; Soubrier, Florent; Germain, Marine; Tregouet, David-Alexandre; Borczuk, Alain; Rosenzweig, Erika Berman; Girerd, Barbara; Montani, David; Humbert, Marc; Loyd, James E.; Kass, Robert S.; Chung, Wendy K.</t>
  </si>
  <si>
    <t>Ma, L; Roman-Campos, D; Austin, ED; Eyries, M; Sampson, KS; Soubrier, F; Germain, M; Trégouët, DA; Borczuk, A; Rosenzweig, EB; Girerd, B; Montani, D; Humbert, M; Loyd, JE; Kass, RS; Chung, WK</t>
  </si>
  <si>
    <t>WOS:000322223900008</t>
  </si>
  <si>
    <t>10.1056/NEJMoa1209655</t>
  </si>
  <si>
    <t>Funded by Bayer HealthCare; PATENT-1 and PATENT-2 ClinicalTrials.gov numbers, NCT00810693 and NCT00863681, respectively.) Supported by Bayer HealthCare.</t>
  </si>
  <si>
    <t>Bayer HealthCare(Bayer AGBayer Healthcare Pharmaceuticals)</t>
  </si>
  <si>
    <t>Bayer HealthCare</t>
  </si>
  <si>
    <t>Soderberg, Stefan/0000-0001-9225-1306; Ghofrani, Ardeschir/0000-0002-2029-4419; HACHULLA, ERIC/0000-0001-7432-847X; Galie, Nazzareno/0000-0003-4271-8670; Sayin, Tamer/0000-0003-3716-540X; delcroix, marion/0000-0001-8394-9809; de Groote, Pascal/0000-0002-6211-0147; Olschewski, Horst/0000-0002-2834-7466; Jing, Zhi-Cheng/0000-0003-0493-0929; Phrommintikul, Arintaya/0000-0003-3986-1951; vizza, carmine dario/0000-0002-3540-4983; Hoeper, Marius/0000-0001-9086-2293; Humbert, Marc/0000-0003-0703-2892; Frachon, Irene/0000-0001-6666-9709; Grimminger, Friedrich/0000-0001-8725-6276; Cacho Gutierrez, Jesus/0009-0007-8855-8349; Chazova, Irina/0000-0002-9822-4357; Degano, Bruno/0000-0003-1644-7264; Bourdin, Arnaud/0000-0002-4645-5209</t>
  </si>
  <si>
    <t>Ghofrani, Ardeschir/AAD-5293-2020; Langleben, David/AAJ-9152-2020; Rubin, Lewis/AEW-1719-2022; Galie, Nazzareno/F-7004-2014; Jing, Zhi-Cheng/AAT-9081-2021; vizza, carmine dario/AAC-5540-2020; Humbert, Marc/AAC-8459-2019; Chazova, Irina/B-8688-2017</t>
  </si>
  <si>
    <t>Ghofrani, HA (corresponding author), Univ Hosp Giessen, Med Clin 2, Dept Internal Med, Klinikstr 33, D-35392 Giessen, Germany.</t>
  </si>
  <si>
    <t>Ruprecht Karls University Heidelberg; Bayer AG; Bayer Healthcare Pharmaceuticals; University of Bologna; Bayer AG; Bayer Healthcare Pharmaceuticals; Assistance Publique Hopitaux Paris (APHP); Hopital Universitaire Antoine-Beclere - APHP; Hopital Universitaire Bicetre - APHP; Universite Paris Saclay; Chinese Academy of Medical Sciences - Peking Union Medical College; Peking Union Medical College; Chinese Academy of Medical Sciences - Peking Union Medical College; McGill University; McGill University; Lady Davis Institute; University of California System; University of California San Diego</t>
  </si>
  <si>
    <t>[Ghofrani, Hossein-Ardeschir; Grimminger, Friedrich] Univ Giessen &amp; Marburg Lung Ctr, Giessen, Germany; [Gruenig, Ekkehard] Univ Hosp, Ctr Pulm Hypertens, Heidelberg, Germany; [Fritsch, Arno; Neuser, Dieter] Bayer HealthCare, Global Clin Dev, Wuppertal, Germany; [Galie, Nazzareno] Univ Bologna, Dept Expt Diagnost &amp; Specialty Med, Bologna, Italy; [Kilama, Michael Ochan] Bayer HealthCare, Global Clin Dev, Milan, Italy; [Humbert, Marc] Univ Paris Sud, Serv Pneumol, Hop Bicetre, Le Kremlin Bicetre, France; [Langleben, David] Peking Union Med Coll, Lab Cardiovasc Dis, Beijing, Peoples R China; [Jing, Zhi-Cheng] Chinese Acad Med Sci, Beijing, Peoples R China; [Neuser, Dieter] McGill Univ, Jewish Gen Hosp, Ctr Pulm Vasc Dis, Montreal, PQ, Canada; [Langleben, David] McGill Univ, Jewish Gen Hosp, Lady Davis Inst, Montreal, PQ, Canada; [Rubin, Lewis J.] Univ Calif San Diego, La Jolla, CA 92093 USA</t>
  </si>
  <si>
    <t>BACKGROUND Riociguat, a soluble guanylate cyclase stimulator, has been shown in a phase 2 trial to be beneficial in the treatment of pulmonary arterial hypertension. METHODS In this phase 3, double-blind study, we randomly assigned 443 patients with symptomatic pulmonary arterial hypertension to receive placebo, riociguat in individually adjusted doses of up to 2.5 mg three times daily (2.5 mg-maximum group), or riociguat in individually adjusted doses that were capped at 1.5 mg three times daily (1.5 mg-maximum group). The 1.5 mg-maximum group was included for exploratory purposes, and the data from that group were analyzed descriptively. Patients who were receiving no other treatment for pulmonary arterial hypertension and patients who were receiving endothelin-receptor antagonists or (nonintravenous) prostanoids were eligible. The primary end point was the change from baseline to the end of week 12 in the distance walked in 6 minutes. Secondary end points included the change in pulmonary vascular resistance, N-terminal pro-brain natriuretic peptide (NT-proBNP) levels, World Health Organization (WHO) functional class, time to clinical worsening, score on the Borg dyspnea scale, quality-of-life variables, and safety. RESULTS By week 12, the 6-minute walk distance had increased by a mean of 30 m in the 2.5 mg-maximum group and had decreased by a mean of 6 m in the placebo group (least-squares mean difference, 36 m; 95% confidence interval, 20 to 52; P&lt;0.001). Prespecified subgroup analyses showed that riociguat improved the 6-minute walk distance both in patients who were receiving no other treatment for the disease and in those who were receiving endothelin-receptor antagonists or prostanoids. There were significant improvements in pulmonary vascular resistance (P&lt;0.001), NT-proBNP levels (P&lt;0.001), WHO functional class (P=0.003), time to clinical worsening (P=0.005), and Borg dyspnea score (P=0.002). The most common serious adverse event in the placebo group and the 2.5 mg-maximum group was syncope (4% and 1%, respectively). CONCLUSIONS Riociguat significantly improved exercise capacity and secondary efficacy end points in patients with pulmonary arterial hypertension. (Funded by Bayer HealthCare; PATENT-1 and PATENT-2 ClinicalTrials.gov numbers, NCT00810693 and NCT00863681, respectively.)</t>
  </si>
  <si>
    <t>SOLUBLE GUANYLATE-CYCLASE; 6-MINUTE WALK TEST; IMPORTANT DIFFERENCE; THERAPY; TRIALS</t>
  </si>
  <si>
    <t>Riociguat for the Treatment of Pulmonary Arterial Hypertension</t>
  </si>
  <si>
    <t>Ghofrani, Hossein-Ardeschir; Galie, Nazzareno; Grimminger, Friedrich; Gruenig, Ekkehard; Humbert, Marc; Jing, Zhi-Cheng; Keogh, Anne M.; Langleben, David; Kilama, Michael Ochan; Fritsch, Arno; Neuser, Dieter; Rubin, Lewis J.</t>
  </si>
  <si>
    <t>Ghofrani, HA; Galiè, N; Grimminger, F; Grünig, E; Humbert, M; Jing, ZC; Keogh, AM; Langleben, D; Kilama, MO; Fritsch, A; Neuser, D; Rubin, LJ</t>
  </si>
  <si>
    <t>WOS:000330533000011</t>
  </si>
  <si>
    <t>301LE</t>
  </si>
  <si>
    <t>10.1161/CIRCULATIONAHA.113.001585</t>
  </si>
  <si>
    <t>U119</t>
  </si>
  <si>
    <t>This work was supported by National Institutes of Health grants K01HL103176 (to Dr Hadri), K08111207 (to Dr Maron), R01 HL078691, HL057263, HL071763, HL080498, and HL083156 (to Dr Hajjar), and R01 HL105301 (to Dr Leopold).</t>
  </si>
  <si>
    <t>National Institutes of Health [K01HL103176, K08111207, R01 HL078691, HL057263, HL071763, HL080498, HL083156, R01 HL105301]</t>
  </si>
  <si>
    <t>Ibanez, Borja/0000-0002-5036-254X; Ladage, Dennis/0000-0002-4512-0917; Humbert, Marc/0000-0003-0703-2892; GUIGNABERT, Christophe/0000-0002-8545-4452; Hadri, Lahouaria/0000-0001-8108-7993; Aguero, Jaume/0000-0001-7416-871X; Hulot, Jean-Sebastien/0000-0001-5463-6117; Dorfmuller, Peter/0000-0003-2499-6829; ishikawa, kiyotake/0000-0002-8287-3483</t>
  </si>
  <si>
    <t>Hadri, Lahouaria/AAP-6415-2020; Ishikawa, Kiyotake/I-6013-2015; Ibanez, Borja/J-6993-2014; Humbert, Marc/AAC-8459-2019; GUIGNABERT, Christophe/G-3873-2013; Aguero, Jaume/I-8582-2016; Hulot, Jean-Sebastien/A-2278-2016</t>
  </si>
  <si>
    <t>Hadri, L (corresponding author), Icahn Sch Med Mt Sinai, Cardiovasc Res Ctr, Box 1030,1470 Madison Ave, New York, NY 10029 USA.</t>
  </si>
  <si>
    <t>Icahn School of Medicine at Mount Sinai; Harvard University; Harvard University Medical Affiliates; Brigham &amp; Women's Hospital; Harvard University; Harvard Medical School; Assistance Publique Hopitaux Paris (APHP); Hopital Universitaire Antoine-Beclere - APHP; Institut National de la Sante et de la Recherche Medicale (Inserm); Universite Paris Saclay; Hopital Marie Lannelongue; Centro Nacional de Investigaciones Cardiovasculares (CNIC)</t>
  </si>
  <si>
    <t>[Hadri, Lahouaria; Kratlian, Razmig G.; Benard, Ludovic; Ladage, Dennis; Ishikawa, Kiyotake; Aguero, Jaume; Turnbull, Irene C.; Kohlbrenner, Erik; Liang, Lifan; Hulot, Jean-Sebastien; Kawase, Yoshiaki; Hajjar, Roger J.] Icahn Sch Med Mt Sinai, Cardiovasc Res Ctr, New York, NY 10029 USA; [Maron, Bradley A.; Leopold, Jane A.] Brigham &amp; Womens Hosp, Cardiovasc Med Div, Boston, MA 02115 USA; [Maron, Bradley A.; Leopold, Jane A.] Harvard Univ, Sch Med, Boston, MA USA; [Dorfmueller, Peter; Guignabert, Christophe; Humbert, Marc] Hop Antoine Beclere, Clamart, France; [Dorfmueller, Peter; Humbert, Marc] Ctr Chirurg Marie Lannelongue, INSERM, U999, Le Plessis Robinson, France; [Ibanez, Borja] Carlos III CNIC, Fdn Ctr Nacl Invest Cardiovasc, Madrid, Spain; [Zsebo, Krisztina] Celladon Corp, San Diego, CA USA</t>
  </si>
  <si>
    <t>Background-Pulmonary arterial hypertension (PAH) is characterized by dysregulated proliferation of pulmonary artery smooth muscle cells leading to (mal) adaptive vascular remodeling. In the systemic circulation, vascular injury is associated with downregulation of sarcoplasmic reticulum Ca2+-ATPase 2a (SERCA2a) and alterations in Ca2+ homeostasis in vascular smooth muscle cells that stimulate proliferation. We, therefore, hypothesized that downregulation of SERCA2a is permissive for pulmonary vascular remodeling and the development of PAH. Methods and Results-SERCA2a expression was decreased significantly in remodeled pulmonary arteries from patients with PAH and the rat monocrotaline model of PAH in comparison with controls. In human pulmonary artery smooth muscle cells in vitro, SERCA2a overexpression by gene transfer decreased proliferation and migration significantly by inhibiting NFAT/STAT3. Overexpresion of SERCA2a in human pulmonary artery endothelial cells in vitro increased endothelial nitric oxide synthase expression and activation. In monocrotaline rats with established PAH, gene transfer of SERCA2a via intratracheal delivery of aerosolized adeno-associated virus serotype 1 (AAV1) carrying the human SERCA2a gene (AAV1. SERCA2a) decreased pulmonary artery pressure, vascular remodeling, right ventricular hypertrophy, and fibrosis in comparison with monocrotaline-PAH rats treated with a control AAV1 carrying beta-galactosidase or saline. In a prevention protocol, aerosolized AAV1. SERCA2a delivered at the time of monocrotaline administration limited adverse hemodynamic profiles and indices of pulmonary and cardiac remodeling in comparison with rats administered AAV1 carrying beta-galactosidase or saline. Conclusions-Downregulation of SERCA2a plays a critical role in modulating the vascular and right ventricular pathophenotype associated with PAH. Selective pulmonary SERCA2a gene transfer may offer benefit as a therapeutic intervention in PAH.</t>
  </si>
  <si>
    <t>RETICULUM CA2+ ATPASE; CALCIUM UP-REGULATION; GENE-TRANSFER; HEART-FAILURE; ENDOTHELIAL-CELLS; SMOOTH-MUSCLE; EXPRESSION; TRIAL; SYNTHASE; RECEPTOR</t>
  </si>
  <si>
    <t>calcium; gene therapy; heart failure; muscle, smooth; pulmonary hypertension; ventricular remodeling</t>
  </si>
  <si>
    <t>Therapeutic Efficacy of AAV1.SERCA2a in Monocrotaline-Induced Pulmonary Arterial Hypertension</t>
  </si>
  <si>
    <t>Hadri, Lahouaria; Kratlian, Razmig G.; Benard, Ludovic; Maron, Bradley A.; Dorfmueller, Peter; Ladage, Dennis; Guignabert, Christophe; Ishikawa, Kiyotake; Aguero, Jaume; Ibanez, Borja; Turnbull, Irene C.; Kohlbrenner, Erik; Liang, Lifan; Zsebo, Krisztina; Humbert, Marc; Hulot, Jean-Sebastien; Kawase, Yoshiaki; Hajjar, Roger J.; Leopold, Jane A.</t>
  </si>
  <si>
    <t>Hadri, L; Kratlian, RG; Benard, L; Maron, BA; Dorfmüller, P; Ladage, D; Guignabert, C; Ishikawa, K; Aguero, J; Ibanez, B; Turnbull, IC; Kohlbrenner, E; Liang, L; Zsebo, K; Humbert, M; Hulot, JS; Kawase, Y; Hajjar, RJ; Leopold, JA</t>
  </si>
  <si>
    <t>WOS:000323481400024</t>
  </si>
  <si>
    <t>205YR</t>
  </si>
  <si>
    <t>10.1002/art.38029</t>
  </si>
  <si>
    <t>Drs. Montani and Humbert have received consulting fees, speaking fees, and/or honoraria from Actelion, Bayer, GlaxoSmithKline, Novartis, Pfizer, and Lilly (less than $10,000 each). Dr. Launay has received consulting fees, speaking fees, and/or honoraria from Actelion, GlaxoSmithKline, and Pfizer (less than $10,000 each).</t>
  </si>
  <si>
    <t>Actelion; Bayer(Bayer AG); GlaxoSmithKline(GlaxoSmithKline); Novartis(Novartis); Pfizer(Pfizer); Lilly(Eli Lilly)</t>
  </si>
  <si>
    <t>Actelion; Bayer; GlaxoSmithKline; Novartis; Pfizer; Lilly</t>
  </si>
  <si>
    <t>Launay, David/0000-0003-1840-1817; lambert, marc/0000-0002-3485-8238; Sobanski, Vincent/0000-0003-3083-2441; Humbert, Marc/0000-0003-0703-2892; HACHULLA, ERIC/0000-0001-7432-847X; Dauchet, Luc/0000-0002-2398-0596; Montani, David/0000-0002-9358-6922; LEFEVRE, Guillaume/0000-0002-9427-7267</t>
  </si>
  <si>
    <t>David, Montani/I-6885-2019; Launay, David/A-5270-2018; HACHULLA, ERIC/R-8488-2018; Dauchet, Luc/HJH-7119-2023; Launay, David/H-1674-2016; lambert, marc/V-7380-2017; Sobanski, Vincent/Q-6411-2016; Humbert, Marc/AAC-8459-2019; Dauchet, Luc/S-3228-2016; LEFEVRE, Guillaume/I-7168-2018</t>
  </si>
  <si>
    <t>Launay, D (corresponding author), CHRU Lille, Serv Med Interne, Hop Claude Huriez, Rue Michel Polonovski, F-59037 Lille, France.</t>
  </si>
  <si>
    <t>Universite de Lille; CHU Lille; Universite de Lille; CHU Lille; Universite de Lille; CHU Lille; Pasteur Network; Institut Pasteur Lille; Institut National de la Sante et de la Recherche Medicale (Inserm); Assistance Publique Hopitaux Paris (APHP); Hopital Universitaire Bicetre - APHP; Universite Paris Saclay; Universite Paris Saclay; Assistance Publique Hopitaux Paris (APHP); Hopital Universitaire Bicetre - APHP; Hopital Universitaire Antoine-Beclere - APHP; Institut National de la Sante et de la Recherche Medicale (Inserm); Universite Paris Saclay; Hopital Marie Lannelongue; Universite de Lille; CHU Lille</t>
  </si>
  <si>
    <t>[Lefevre, Guillaume; Hachulla, Eric; Sobanski, Vincent; Launay, David] Univ Lille Nord France, IMPRT IFR 114, Hop Claude Huriez, Lille, France; [Lefevre, Guillaume; Hachulla, Eric; Sobanski, Vincent; Hatron, Pierre-Yves; Humbert, Marc; Launay, David] Ctr Hosp Reg Univ Lille, Lille, France; [Dauchet, Luc] Univ Lille Nord France, Hop Calmette, Inst Pasteur Lille, Ctr Hosp Reg Univ Lille, Lille, France; [Dauchet, Luc] INSERM 744, Lille, France; [Montani, David; Lambert, Marc] Univ Paris 11, AP HP, Le Kremlin Bicetre, France; [Montani, David; Lambert, Marc] Hop Bicetre, Le Kremlin Bicetre, France; [Montani, David; Lambert, Marc] INSERM, U999, Le Plessis Robinson, France; [Montani, David; Lambert, Marc] Ctr Chirurg Marie Lannelongue, Le Plessis Robinson, France; [Hatron, Pierre-Yves; Humbert, Marc] Univ Lille Nord France, Hop Claude Huriez, Lille, France</t>
  </si>
  <si>
    <t>Objective Pulmonary hypertension (PH) is a frequent and life-limiting complication of systemic sclerosis (SSc). However, data on survival rates and their evolution over time, as well as prognostic factors in SSc complicated by PH, are still conflicting. The aim of this study was to conduct a systematic review and meta-analysis of cohort studies to assess pooled survival and prognostic factors for survival in patients with SSc-associated PH. Methods For this systematic review and meta-analysis, we searched the Medline and EMBase databases (January 1960 to January 2012). All cohort studies in which survival and/or prognostic factors for SSc-associated PH were reported were included in the analysis. We calculated the pooled survival rates and analyzed their evolution over time and identified prognostic factors for survival. Results Twenty-two studies were included, representing a total of 2,244 patients with SSc-associated PH. The pooled 1-, 2-, and 3-year survival rates were 81% (95% confidence interval [95% CI] 79-84%), 64% (95% CI 59-69%), and 52% (95% CI 47-58%), respectively. Meta-regression did not reveal a significant change in survival over time, while baseline hemodynamic measures of PH severity were significantly correlated with survival. In patients with SSc complicated by pulmonary arterial hypertension (PAH), age, male sex, diffusing capacity for carbon monoxide (DLCO), pericardial effusion, and the parameters classically associated with the severity of idiopathic PAH, including the 6-minute walk distance, mean pulmonary artery pressure, cardiac index, and right atrial pressure, were significant prognostic factors. DLCO and pericardial effusion were the only prognostic factors in patients with interstitial lung disease-related PH. Conclusion Our meta-analysis revealed a poor pooled 3-year survival rate of 52% in patients with SSc-associated PH. Baseline hemodynamic measures of PAH severity, but not the period of time during which patients were included in the studies, correlated significantly with survival in patients with SSc-associated PAH. All of the prognostic factors typically observed in idiopathic PAH, including the 6-minute walk distance and right atrial pressure, were also prognostic factors in SSc-associated PAH.</t>
  </si>
  <si>
    <t>BRAIN NATRIURETIC PEPTIDE; INTERSTITIAL LUNG-DISEASE; 6-MINUTE WALK TEST; ARTERIAL-HYPERTENSION; CLINICAL CHARACTERISTICS; SCLERODERMA SPECTRUM; REGISTRY; IMPACT; CLASSIFICATION; HEMODYNAMICS</t>
  </si>
  <si>
    <t>Survival and Prognostic Factors in Systemic Sclerosis-Associated Pulmonary Hypertension: A Systematic Review and Meta-Analysis</t>
  </si>
  <si>
    <t>Lefevre, Guillaume; Dauchet, Luc; Hachulla, Eric; Montani, David; Sobanski, Vincent; Lambert, Marc; Hatron, Pierre-Yves; Humbert, Marc; Launay, David</t>
  </si>
  <si>
    <t>Lefèvre, G; Dauchet, L; Hachulla, E; Montani, D; Sobanski, V; Lambert, M; Hatron, PY; Humbert, M; Launay, D</t>
  </si>
  <si>
    <t>WOS:000327744600155</t>
  </si>
  <si>
    <t>262OH</t>
  </si>
  <si>
    <t>Langleben, David/AAJ-9152-2020; Ghofrani, Ardeschir/AAD-5293-2020; Rubin, Lewis/AEW-1719-2022; Hoeper, Marius/Z-1546-2019; Humbert, Marc/AAC-8459-2019</t>
  </si>
  <si>
    <t>Tongji University; University of Bologna; Universite Paris Saclay; Institut National de la Sante et de la Recherche Medicale (Inserm); Universite Paris Saclay; Assistance Publique Hopitaux Paris (APHP); Hopital Universitaire Antoine-Beclere - APHP; Hopital Universitaire Bicetre - APHP; Lady Davis Institute; McGill University; University of California System; University of California San Diego; Hannover Medical School; Bayer AG; Bayer Healthcare Pharmaceuticals; NSW Health; St Vincents Hospital Sydney</t>
  </si>
  <si>
    <t>[Jing, Z. -C.] Tongji Univ, Sch Med, Shanghai Pulm Hosp, Shanghai 200092, Peoples R China; [Galie, N.] Univ Bologna, Inst Cardiol, Bologna, Italy; [Ghofrani, H. -A.] UGMLC, Giessen, Germany; [Humbert, M.] Univ Paris 11, Le Kremlin Bicetre, France; [Humbert, M.] INSERM, U999, F-94275 Le Kremlin Bicetre, France; [Humbert, M.] Hop Bicetre, AP HP, Le Kremlin Bicetre, France; [Langleben, D.] McGill Univ, Jewish Gen Hosp, Lady Davis Inst Med Res, Montreal, PQ H3T 1E2, Canada; [Rubin, L. J.] Univ Calif San Diego, La Jolla, CA 92093 USA; [Hoeper, M. M.] Hannover Med Sch, Clin Resp Med, Hannover, Germany; [Fritsch, A.; Davie, N.] Bayer HealthCare, Global Clin Dev, Wuppertal, Germany; [Keogh, A. M.] St Vincents Hosp, Sydney, NSW 2010, Australia</t>
  </si>
  <si>
    <t>AUG 31-SEP 04, 2013</t>
  </si>
  <si>
    <t>Comparison of hemodynamic parameters in treatment-naive and pretreated patients with pulmonary arterial hypertension (PAH) in the Phase III PATENT-1 study</t>
  </si>
  <si>
    <t>Jing, Z. -C.; Galie, N.; Ghofrani, H. -A.; Humbert, M.; Langleben, D.; Rubin, L. J.; Hoeper, M. M.; Fritsch, A.; Davie, N.; Keogh, A. M.</t>
  </si>
  <si>
    <t>Jing, ZC; Galie, N; Ghofrani, HA; Humbert, M; Langleben, D; Rubin, LJ; Hoeper, MM; Fritsch, A; Davie, N; Keogh, AM</t>
  </si>
  <si>
    <t>WOS:000323021400013</t>
  </si>
  <si>
    <t>199UQ</t>
  </si>
  <si>
    <t>10.1378/chest.12-1961</t>
  </si>
  <si>
    <t>This study was supported by Novartis Pharma SAS.</t>
  </si>
  <si>
    <t>Berger, Patrick/0000-0003-4702-0343; O'Callaghan, Dermot/0000-0002-0561-5800; Girodet, Pierre-Olivier/0000-0002-9298-9711; Humbert, Marc/0000-0003-0703-2892</t>
  </si>
  <si>
    <t>Taille, Camille/J-3751-2017; contin-bordes, cecile/KCZ-2603-2024; MAGNAN, ANTOINE/GVT-4308-2022; Berger, Patrick/D-8779-2012; Humbert, Marc/AAC-8459-2019</t>
  </si>
  <si>
    <t>Humbert, M (corresponding author), Hop Bicetre, Serv Pneumol &amp; Reanimat Resp, 78 Rue Gen Leclerc, F-94270 Le Kremlin Bicetre, France.</t>
  </si>
  <si>
    <t>Universite Paris Saclay; Assistance Publique Hopitaux Paris (APHP); Universite Paris Cite; Hopital Universitaire Saint-Louis - APHP; Hopital Universitaire Bicetre - APHP; Universite Paris Saclay; Hopital Universitaire Antoine-Beclere - APHP; Universite Paris Saclay; Institut National de la Sante et de la Recherche Medicale (Inserm); Nantes Universite; Institut National de la Sante et de la Recherche Medicale (Inserm); Nantes Universite; CHU de Nantes; Institut National de la Sante et de la Recherche Medicale (Inserm); Nantes Universite; CHU de Nantes; Universite de Montpellier; CHU de Montpellier; Centre National de la Recherche Scientifique (CNRS); CNRS - National Institute for Biology (INSB); Universite de Bordeaux; Centre National de la Recherche Scientifique (CNRS); CNRS - National Institute for Biology (INSB); Universite de Bordeaux; CHU Bordeaux; Institut National de la Sante et de la Recherche Medicale (Inserm); Universite de Bordeaux; Universite de Bordeaux; Institut National de la Sante et de la Recherche Medicale (Inserm); CHU Bordeaux; Universite Paris Cite; Universite Paris Cite; Institut National de la Sante et de la Recherche Medicale (Inserm); Universite Paris Cite; CHU Lyon; Universite Claude Bernard Lyon 1; CHU Strasbourg; Universites de Strasbourg Etablissements Associes; Universite de Strasbourg; Hospital Foch; Universite Paris Saclay; CHU de Toulouse; Universite de Toulouse; Universite Toulouse III - Paul Sabatier; Universite de Bordeaux; Institut National de la Sante et de la Recherche Medicale (Inserm); Novartis</t>
  </si>
  <si>
    <t>[Garcia, Gilles; O'Callaghan, Dermot S.; Humbert, Marc] Univ Paris Sud, Fac Med, F-94275 Le Kremlin Bicetre, France; [Garcia, Gilles; O'Callaghan, Dermot S.; Humbert, Marc] Hop Bicetre, Assistance Publ Hop Paris, Serv Pneumol, DHU Thorax Innovat, F-94270 Le Kremlin Bicetre, France; [Garcia, Gilles; O'Callaghan, Dermot S.; Humbert, Marc] INSERM, U999, LabEx LERMIT, Le Plessis Robinson, France; [Magnan, Antoine] Univ Nantes, Fac Med, Nantes, France; [Magnan, Antoine] INSERM, Inst Thorax, U1087, Nantes, France; [Magnan, Antoine] France Ctr Hosp Univ Nantes, Inst Thorax, Serv Pneumol, Nantes, France; [Chiron, Raphael] Hop Arnaud de Villeneuve, Serv Malad Resp, F-34295 Montpellier 05, France; [Contin-Bordes, Cecile] Univ Bordeaux, UMR5164, F-33076 Bordeaux, France; [Contin-Bordes, Cecile] CNRS, UMR5164, F-33076 Bordeaux, France; [Contin-Bordes, Cecile] Ctr Hosp Univ Bordeaux, Immunol Lab, F-33076 Bordeaux, France; [Berger, Patrick; Girodet, Pierre-Olivier] Univ Bordeaux, Ctr Rech Cardiothorac Bordeaux, Dept Pharmacol, U1045,CIC 0005, F-33000 Bordeaux, France; [Berger, Patrick] INSERM, Ctr Rech Cardiothorac Bordeaux, U1045, CIC 0005, F-33000 Bordeaux, France; [Berger, Patrick] CHU Bordeaux, Serv Explorat Fonct Resp, CIC 0005, F-33604 Pessac, France; [Taille, Camille] Univ Paris Diderot, Fac Med Xavier Bichat, Serv Pneumol, Paris, France; [Taille, Camille] Univ Paris Diderot, Fac Med Xavier Bichat, Ctr Competence Malad Pulm Rares, Paris, France; [Taille, Camille] Univ Paris Diderot, Fac Med Xavier Bichat, INSERM, U700, Paris, France; [Devouassoux, Gilles] Hop Croix Rousse, HCL, Serv Pneumol, Villeurbanne, France; [Devouassoux, Gilles] Univ Lyon 1, F-69622 Villeurbanne, France; [de Blay, Frederic] Hop Univ Strasbourg, Pole Pathol Thorac, F-67000 Strasbourg, France; [Couderc, Louis-Jean] Hop Foch, Serv Pneumol, Suresnes, France; [de Blay, Frederic] Univ Versailles St Quentin, Fac Med Paris Ile France Ouest, Versailles, France; [Didier, Alain] Ctr Hosp Univ Toulouse, Hop Larrey, F-31059 Toulouse, France; [Girodet, Pierre-Olivier] Univ Bordeaux Segalen, INSERM, U657, F-33076 Bordeaux, France; [Bourdeix, Isabelle; Le Gros, Vincent] Novartis Pharma SAS, Rueil Malmaison, France</t>
  </si>
  <si>
    <t>Background: While up to 50% of patients with severe asthma have no evidence of allergy, IgE has been linked to asthma, irrespective of atopic status. Omalizumab, an anti-IgE monoclonal antibody, is reported to significantly benefit a subset of patients with severe, persistent, allergic asthma. Therefore, we investigated whether omalizumab has biologic and clinical effects in patients with refractory nonatopic asthma. Methods: Forty-one adult patients who, despite daily treatment with or without maintenance oral corticosteroids, had severe, nonatopic, refractory asthma according to GINA (Global Initiative for Asthma) step 4, were randomized to receive omalizumab or placebo in a 1:1 ratio. The primary end point was the change in expression of high-affinity IgE receptor (Fc epsilon RI) on blood basophils and plasmacytoid dendritic cells (pDC2) after 16 weeks. The impact of omalizumab on lung function and clinical variables was also examined. Results: Compared with placebo, omalizumab resulted in a statistically significant reduction in Fc epsilon RI expression on basophils and pDC2 (P &lt; .001). The omalizumab group also showed an overall increase in FEV1 compared with baseline (+250 mL, P = .032; +9.9%, P = .029). A trend toward improvement in global evaluation of treatment effectiveness and asthma exacerbation rate was also observed. Conclusions: Omalizumab negatively regulates Fc epsilon RI expression in patients with severe nonatopic asthma, as it does in severe atopic asthma. Omalizumab may have a therapeutic role in severe nonatopic asthma. Nonetheless, our preliminary findings support further investigation to better assess the clinical efficacy of omalizumab. Trial registry: ClinicalTrials.gov; No.: NCT01007149; URL: www.clinicaltrials.gov and European Clinical Trials Database, EudraCT; No.: 2009-010937-38; URL: https://www.clinicaltrialsregister.eu</t>
  </si>
  <si>
    <t>SEVERE ALLERGIC-ASTHMA; IL-5 MESSENGER-RNA; BRONCHIAL BIOPSIES; INTRINSIC ASTHMA; IGE ANTIBODIES; RI EXPRESSION; PHENOTYPES; THERAPY; PROTEIN; MUCOSE</t>
  </si>
  <si>
    <t>A Proof-of-Concept, Randomized, Controlled Trial of Omalizumab in Patients With Severe, Difficult-to-Control, Nonatopic Asthma</t>
  </si>
  <si>
    <t>Garcia, Gilles; Magnan, Antoine; Chiron, Raphael; Contin-Bordes, Cecile; Berger, Patrick; Taille, Camille; Devouassoux, Gilles; de Blay, Frederic; Couderc, Louis-Jean; Didier, Alain; O'Callaghan, Dermot S.; Girodet, Pierre-Olivier; Bourdeix, Isabelle; Le Gros, Vincent; Humbert, Marc</t>
  </si>
  <si>
    <t>Garcia, G; Magnan, A; Chiron, R; Contin-Bordes, C; Berger, P; Taillé, C; Devouassoux, G; de Blay, F; Couderc, LJ; Didier, A; O'Callaghan, DS; Girodet, PO; Bourdeix, I; Le Gros, V; Humbert, M</t>
  </si>
  <si>
    <t>WOS:000209370400139</t>
  </si>
  <si>
    <t>V38VH</t>
  </si>
  <si>
    <t>GUIGNABERT, Christophe/G-3873-2013; Huertas, Alice/E-8244-2017; Humbert, Marc/AAC-8459-2019; Simonneau, Gerald/ABE-6614-2020; Ricard, Nicolas/AAF-1083-2019; TU, Ly/G-4035-2013; David, Montani/I-6885-2019</t>
  </si>
  <si>
    <t>ly.tu@inserm.fr; moranelh@gmail.com; nic.ricard@gmail.com; phan.carole@gmail.com; andreiseferian@yahoo.com; barbara.girerd@bct.aphp.fr; e.fadel@ccml.fr; fs.deman@vumc.nl; gael.jalce@gensyntex.com; david.montani@bct.aphp.fr; gerald.simonneau@bct.aphp.fr; marc.humbert@bct.aphp.fr; alicehuertas@gmail.com; christophe.guignabert@inserm.fr</t>
  </si>
  <si>
    <t>Universite Paris Saclay; Institut National de la Sante et de la Recherche Medicale (Inserm); Universite Paris Saclay; Assistance Publique Hopitaux Paris (APHP); Hopital Universitaire Bicetre - APHP; Hopital Universitaire Antoine-Beclere - APHP; Universite Paris Saclay; Vrije Universiteit Amsterdam; Universite Paris Saclay</t>
  </si>
  <si>
    <t>[Tu, Ly; Le Hiress, Morane; Ricard, Nicolas; Phan, Carole; Seferian, Andrei; Girerd, Barbara; Fadel, Elie; Montani, David; Simonneau, Gerald; Humbert, Marc; Huertas, Alice; Guignabert, Christophe] INSERM, UMR 999, F-92350 Le Plessis Robinson, France; [Tu, Ly; Le Hiress, Morane; Ricard, Nicolas; Phan, Carole; Seferian, Andrei; Girerd, Barbara; Fadel, Elie; Montani, David; Simonneau, Gerald; Humbert, Marc; Huertas, Alice; Guignabert, Christophe] Univ Paris 11, Sch Med, Le Kremlin Bicetre, France; [Seferian, Andrei; Girerd, Barbara; Montani, David; Simonneau, Gerald; Humbert, Marc; Huertas, Alice] Hop Bicetre, AP HP, Dept Pneumol, Reference Ctr, Le Kremlin Bicetre, France; [de Man, Frances] Vrije Univ Amsterdam, Med Ctr, Dept Pulmonol, Amsterdam, Netherlands; [Jalce, Gael] Univ Paris 11, Fac Pharm, F-92290 Chatenay Malabry, France</t>
  </si>
  <si>
    <t>MIF/CD74 contributes to the endothelial pro-inflammatory phenotype in pulmonary arterial hypertension</t>
  </si>
  <si>
    <t>Tu, Ly; Le Hiress, Morane; Ricard, Nicolas; Phan, Carole; Seferian, Andrei; Girerd, Barbara; Fadel, Elie; de Man, Frances; Jalce, Gael; Montani, David; Simonneau, Gerald; Humbert, Marc; Huertas, Alice; Guignabert, Christophe</t>
  </si>
  <si>
    <t>Tu, L; Le Hiress, M; Ricard, N; Phan, C; Seferian, A; Girerd, B; Fadel, E; de Man, F; Jalce, G; Montani, D; Simonneau, G; Humbert, M; Huertas, A; Guignabert, C</t>
  </si>
  <si>
    <t>WOS:000209370400174</t>
  </si>
  <si>
    <t>Humbert, Marc/AAC-8459-2019; Ricard, Nicolas/AAF-1083-2019; Huertas, Alice/E-8244-2017; GUIGNABERT, Christophe/G-3873-2013; TU, Ly/G-4035-2013; Simonneau, Gerald/ABE-6614-2020; David, Montani/I-6885-2019; Perros, Frederic/N-6921-2017</t>
  </si>
  <si>
    <t>andreiseferian@yahoo.com; lyieng@gmail.com; alicehuertas@gmail.com; phancarole@gmail.com; moranelh@gmail.com; nic.ricard@gmail.com; fredericperros@gmail.com; peter.dorfmuller@u-psud.fr; gerald.simonneau@bct.aphp.fr; humbert.mjc@gmail.com; davidmontani@gmail.com; guignabert@gmail.com</t>
  </si>
  <si>
    <t>Assistance Publique Hopitaux Paris (APHP); Hopital Universitaire Antoine-Beclere - APHP; Universite Paris Saclay; Hopital Universitaire Bicetre - APHP; Institut National de la Sante et de la Recherche Medicale (Inserm); Universite Paris Saclay; Hopital Marie Lannelongue</t>
  </si>
  <si>
    <t>[Seferian, Andrei; Huertas, Alice; Simonneau, Gerald; Humbert, Marc; Montani, David] Hop Bicetre, Serv Pneumol, F-94270 Le Kremlin Bicetre, France; [Seferian, Andrei; Tu, Ly; Huertas, Alice; Phan, Carole; Le Hiress, Morane; Ricard, Nicolas; Perros, Frederic; Dofmueller, Peter; Simonneau, Gerald; Humbert, Marc; Montani, David; Guignabert, Christophe] INSERM, U999, DHU TORINO, LabEx Lermit,Ctr Chirurg Marie Lannelongue, F-92350 Le Plessis Robinson, France</t>
  </si>
  <si>
    <t>Pulmonary hypertension; Animal models; Experimental approaches</t>
  </si>
  <si>
    <t>Effects of broad spectrum tyrosin kinase inhibitor on pulmonary circulation homeostasis</t>
  </si>
  <si>
    <t>Seferian, Andrei; Tu, Ly; Huertas, Alice; Phan, Carole; Le Hiress, Morane; Ricard, Nicolas; Perros, Frederic; Dofmueller, Peter; Simonneau, Gerald; Humbert, Marc; Montani, David; Guignabert, Christophe</t>
  </si>
  <si>
    <t>Seferian, A; Tu, L; Huertas, A; Phan, C; Le Hiress, M; Ricard, N; Perros, F; Dofmüller, P; Simonneau, G; Humbert, M; Montani, D; Guignabert, C</t>
  </si>
  <si>
    <t>WOS:000209370402647</t>
  </si>
  <si>
    <t>Simonneau, Gerald/ABE-6614-2020; Humbert, Marc/AAC-8459-2019; Savale, Laurent/AAJ-9781-2020; Sitbon, Olivier/I-3623-2019; David, Montani/I-6885-2019; Günther, Sven/ACV-7191-2022; GUNTHER, Sven/P-4177-2017</t>
  </si>
  <si>
    <t>laurent.savale@gmail.com; sven.gunther@bct.aphp.fr; mcamillechaumais@gmail.com; xavier.jais@bct.aphp.fr; caroline.sattler@free.fr; eliseartaudmacari@yahoo.fr; david.montani@bct.aphp.fr; gerald.simonneau@bct.aphp.fr; marc.humbert@bct.aphp.fr; olivier.sitbon@bct.aphp.fr</t>
  </si>
  <si>
    <t>Assistance Publique Hopitaux Paris (APHP); Hopital Universitaire Bicetre - APHP; Assistance Publique Hopitaux Paris (APHP); Hopital Universitaire Antoine-Beclere - APHP</t>
  </si>
  <si>
    <t>[Savale, Laurent; Gunther, Sven; Jais, Xavier; Sattler, Caroline; Artaud, Elise; Montani, David; Simonneau, Gerald; Humbert, Marc; Sitbon, Olivier] CHU Bicetre, Serv Pneumol, Le Kremlin Bicetre, France; [Chaumais, Marie Camille] Hop Antoine Beclere, Serv Pharm, Clamart, France</t>
  </si>
  <si>
    <t>Savale, Laurent; Gunther, Sven; Chaumais, Marie Camille; Jais, Xavier; Sattler, Caroline; Artaud, Elise; Montani, David; Simonneau, Gerald; Humbert, Marc; Sitbon, Olivier</t>
  </si>
  <si>
    <t>Savale, L; Gunther, S; Chaumais, MC; Jais, X; Sattler, C; Artaud, E; Montani, D; Simonneau, G; Humbert, M; Sitbon, O</t>
  </si>
  <si>
    <t>WOS:000209370402094</t>
  </si>
  <si>
    <t>Simonneau, Gerald/ABE-6614-2020; Günther, Sven/ACV-7191-2022; Savale, Laurent/AAJ-9781-2020; Humbert, Marc/AAC-8459-2019; David, Montani/I-6885-2019; Sitbon, Olivier/I-3623-2019; GUNTHER, Sven/P-4177-2017</t>
  </si>
  <si>
    <t>caroline.sattler@free.fr; romagnier@wanadoo.fr; HBouvaist@chu-grenoble.fr; xavier.jais@bct.aphp.fr; eliseartaudmacari@yahoo.fr; sven.gunther@bct.aphp.fr; marc.humbert@bct.aphp.fr; gerald.simonneau@bct.aphp.fr; olivier.sitbon@bct.aphp.fr; laurent.savale@bct.aphp.fr</t>
  </si>
  <si>
    <t>Assistance Publique Hopitaux Paris (APHP); Hopital Universitaire Bicetre - APHP; Universite de Caen Normandie; CHU de Caen NORMANDIE; CHU Grenoble Alpes; Communaute Universite Grenoble Alpes; Universite Grenoble Alpes (UGA)</t>
  </si>
  <si>
    <t>[Sattler, Caroline; Jais, Xavier; Artaud, Elise; Gunther, Sven; Montani, David; Humbert, Marc; Simonneau, Gerald; Sitbon, Olivier; Savale, Laurent] CHU Bicetre, Serv Pneumol, Le Kremlin Bicetre, France; [Magnier, Romain] CHU Caen, Serv Pneumol, F-14000 Caen, France; [Bouvaist, Helene] CHU Grenoble, Serv Pneumol, F-38043 Grenoble, France</t>
  </si>
  <si>
    <t>Pulmonary hypertension; Transplantation; Circulation</t>
  </si>
  <si>
    <t>Outcome of candidates for liver transplantation suffering from portopulmonary hypertension</t>
  </si>
  <si>
    <t>Sattler, Caroline; Magnier, Romain; Bouvaist, Helene; Jais, Xavier; Artaud, Elise; Gunther, Sven; Montani, David; Humbert, Marc; Simonneau, Gerald; Sitbon, Olivier; Savale, Laurent</t>
  </si>
  <si>
    <t>Sattler, C; Magnier, R; Bouvaist, H; Jais, X; Artaud, E; Gunther, S; Montani, D; Humbert, M; Simonneau, G; Sitbon, O; Savale, L</t>
  </si>
  <si>
    <t>WOS:000209370400134</t>
  </si>
  <si>
    <t>Ricard, Nicolas/AAF-1083-2019; Humbert, Marc/AAC-8459-2019; GUIGNABERT, Christophe/G-3873-2013; TU, Ly/G-4035-2013; Huertas, Alice/E-8244-2017</t>
  </si>
  <si>
    <t>nicolas.ricard@inserm.fr; ly.tu@inserm.fr; alice.huertas@inserm.fr; carole.phan@inserm.fr; morane.le-hiress@inserm.fr; e.fadel@ccml.fr; marc.humbert@bct.aphp.fr; christophe.guignabert@inserm.fr</t>
  </si>
  <si>
    <t>Institut National de la Sante et de la Recherche Medicale (Inserm); Universite Paris Saclay; Universite Paris Saclay; Assistance Publique Hopitaux Paris (APHP); Hopital Universitaire Bicetre - APHP</t>
  </si>
  <si>
    <t>[Ricard, Nicolas; Tu, Ly; Huertas, Alice; Phan, Carole; Le Hiress, Morane; Fadel, Elie; Humbert, Marc; Guignabert, Christophe] INSERM, UMR 999, LabEx Lermit, Cardiovasc Res Dept, Le Plessis Robinson, France; [Ricard, Nicolas; Tu, Ly; Huertas, Alice; Phan, Carole; Le Hiress, Morane; Fadel, Elie; Humbert, Marc; Guignabert, Christophe] Univ Paris 11, Fac Med, Le Kremlin Bicetre, France; [Humbert, Marc] CHU Bicetre, AP HP, DHU Thorax Innovat, Ctr Reference Hypertens Pulm Severe, Le Kremlin Bicetre, France</t>
  </si>
  <si>
    <t>Pulmonary hypertension; Circulation; Molecular pathology</t>
  </si>
  <si>
    <t>Evidence for a critical contribution of pericytes in pulmonary arterial hypertension pathogenesis</t>
  </si>
  <si>
    <t>Ricard, Nicolas; Tu, Ly; Huertas, Alice; Phan, Carole; Le Hiress, Morane; Fadel, Elie; Humbert, Marc; Guignabert, Christophe</t>
  </si>
  <si>
    <t>Ricard, N; Tu, L; Huertas, A; Phan, C; Le Hiress, M; Fadel, E; Humbert, M; Guignabert, C</t>
  </si>
  <si>
    <t>WOS:000209370404108</t>
  </si>
  <si>
    <t>David, Montani/I-6885-2019; Huertas, Alice/E-8244-2017; Humbert, Marc/AAC-8459-2019; Simonneau, Gerald/ABE-6614-2020; Perros, Frederic/N-6921-2017; Cohen-Kaminsky, Sylvia/E-4837-2014</t>
  </si>
  <si>
    <t>frederic.perros@gmail.com; sylvia.cohen-kaminsky@u-psud.fr; ngambaryan@gmail.com; barbara.girerd19@gmail.com; ncsray@gmail.com; isabelle.klingelschmitt@u-psud.fr; alicehuertas@gmail.com; olaf.mercier@gmail.com; fadel@ccml.com; gerald.simonneau@bct.aphp.fr; marc.humbert@abc.aphp.fr; dorfmuller@gmail.com; davidmontani@gmail.com</t>
  </si>
  <si>
    <t>Universite Paris Saclay; Assistance Publique Hopitaux Paris (APHP); Hopital Universitaire Antoine-Beclere - APHP; Hopital Universitaire Bicetre - APHP; Universite Paris Saclay; Universite Paris Saclay; Institut National de la Sante et de la Recherche Medicale (Inserm); Hopital Marie Lannelongue; Hopital Marie Lannelongue; Hopital Marie Lannelongue</t>
  </si>
  <si>
    <t>[Perros, Frederic; Cohen-Kaminsky, Sylvia; Gambaryan, Natalia; Girerd, Barbara; Raymond, Nicolas; Klingelschmitt, Isabelle; Huertas, Alice; Mercier, Olaf; Fadel, Elie; Simonneau, Gerald; Humbert, Marc; Dorfmueller, Peter; Montani, David] Univ Paris 11, Fac Med, F-94276 Le Kremlin Bicetre, France; [Perros, Frederic; Cohen-Kaminsky, Sylvia; Gambaryan, Natalia; Girerd, Barbara; Raymond, Nicolas; Klingelschmitt, Isabelle; Huertas, Alice; Simonneau, Gerald; Humbert, Marc; Montani, David] Hop Bicetre, AP HP, Ctr Reference Hypertens Pulm Severe, DHU TORINO,Serv Pneumol &amp; Reanimat Resp, F-94270 Le Kremlin Bicetre, France; [Perros, Frederic; Cohen-Kaminsky, Sylvia; Gambaryan, Natalia; Girerd, Barbara; Raymond, Nicolas; Klingelschmitt, Isabelle; Huertas, Alice; Mercier, Olaf; Fadel, Elie; Simonneau, Gerald; Humbert, Marc; Dorfmueller, Peter; Montani, David] Ctr Chirurg Marie Lannelongue, INSERM UMR S 999, Labex LERMIT Hypertens Arterielle Pulm Physiopath, F-92350 Le Plessis Robinson, France; [Mercier, Olaf; Fadel, Elie] Ctr Chirurg Marie Lannelongue, Serv Chirurg Thorac, F-92350 Le Plessis Robinson, France; [Dorfmueller, Peter] Ctr Chirurg Marie Lannelongue, Serv Anat Pathol, F-92350 Le Plessis Robinson, France</t>
  </si>
  <si>
    <t>Granulysin in pulmonary veno-occlusive disease</t>
  </si>
  <si>
    <t>WOS:000209370404349</t>
  </si>
  <si>
    <t>Cohen-Kaminsky, Sylvia/0000-0002-6341-7482; Perros, Frederic/0000-0001-7730-2427; Montani, David/0000-0002-9358-6922</t>
  </si>
  <si>
    <t>David, Montani/I-6885-2019; Simonneau, Gerald/ABE-6614-2020; Humbert, Marc/AAC-8459-2019; Cohen-Kaminsky, Sylvia/E-4837-2014; Perros, Frederic/N-6921-2017</t>
  </si>
  <si>
    <t>frederic.perros@gmail.com; davidmontani@gmail.com; barbara.girerd19@gmail.com; andreiseferian@yahoo.com; dorfmuller@gmail.com; isabelle.klingelschmitt@u-psud.fr; acourtier@immunid.com; ofilipesantos@immunid.com; gparmentier@immunid.com; sperez@immunid.com; gerald.simonneau@bct.aphp.fr; marc.humbert@bct.aphp.fr; sylvia.cohen-kaminsky@u-psud.fr</t>
  </si>
  <si>
    <t>Hopital Marie Lannelongue; Institut National de la Sante et de la Recherche Medicale (Inserm); Universite Paris Saclay; Assistance Publique Hopitaux Paris (APHP); Hopital Universitaire Antoine-Beclere - APHP; Universite Paris Saclay; Institut National de la Sante et de la Recherche Medicale (Inserm); Hopital Universitaire Bicetre - APHP</t>
  </si>
  <si>
    <t>[Perros, Frederic; Dorfmuller, Peter; Isabelle, Klingel-Schmitt; Cohen-Kaminsky, Sylvia] Univ Paris 11, Ctr Chirurg Marie Lannelongue, Pulm Hypertens Pathophysiol &amp; Therapeut Innovat, INSERM,LabEx LERMIT,DHU TORINO,UMR S 999, F-92350 Le Plessis Robinson, France; [Montani, David; Girerd, Barbara; Sefarian, Andrei; Simonneau, Gerald; Humbert, Marc] Hop Bicetre, Ctr Natl Reference Hypertens Pulm Severe, AP HP, DHU TORINO,INSERM,UMR S 999, F-94270 Le Kremlin Bicetre, France; [Courtier, Anais; Filipe-Santos, Orchidee; Parmentier, Gilles; Perez, Solene] ImmunID Technol, Res &amp; Dev, F-38054 Grenoble, France</t>
  </si>
  <si>
    <t>Pulmonary hypertension; Immunology; Inflammation</t>
  </si>
  <si>
    <t>Lung and circulating immune cell repertoires in PAH</t>
  </si>
  <si>
    <t>Perros, Frederic; Montani, David; Girerd, Barbara; Sefarian, Andrei; Dorfmuller, Peter; Isabelle, Klingel-Schmitt; Courtier, Anais; Filipe-Santos, Orchidee; Parmentier, Gilles; Perez, Solene; Simonneau, Gerald; Humbert, Marc; Cohen-Kaminsky, Sylvia</t>
  </si>
  <si>
    <t>Perros, F; Montani, D; Girerd, B; Sefarian, A; Dorfmuller, P; Isabelle, KS; Courtier, A; Filipe-Santos, O; Parmentier, G; Perez, S; Simonneau, G; Humbert, M; Cohen-Kaminsky, S</t>
  </si>
  <si>
    <t>WOS:000209370404353</t>
  </si>
  <si>
    <t>Huertas, Alice/E-8244-2017; Humbert, Marc/AAC-8459-2019; GUIGNABERT, Christophe/G-3873-2013; David, Montani/I-6885-2019; TU, Ly/G-4035-2013</t>
  </si>
  <si>
    <t>alicehuertas@gmail.com; ly.tu@inserm.fr; natachagam@gmail.com; barbara.girerd19@gmail.com; davidmontani@gmail.com; christophe.guignabert@inserm.fr; marc.humbert@bct.aphp.fr</t>
  </si>
  <si>
    <t>Hopital Marie Lannelongue; Institut National de la Sante et de la Recherche Medicale (Inserm); Universite Paris Saclay; Universite Paris Saclay; Assistance Publique Hopitaux Paris (APHP); Hopital Universitaire Bicetre - APHP; Hopital Universitaire Antoine-Beclere - APHP; Universite Paris Saclay</t>
  </si>
  <si>
    <t>[Huertas, Alice; Tu, Ly; Gambaryan, Natalia; Girerd, Barbara; Montani, David; Guignabert, Christophe; Humbert, Marc] INSERM, U999, LabEx LERMIT, Ctr Chirurg Marie Lannelongue, Le Plessis Robinson, France; [Huertas, Alice; Tu, Ly; Gambaryan, Natalia; Girerd, Barbara; Montani, David; Guignabert, Christophe; Humbert, Marc] Hop Bicetre, Serv Pneumol, Ctr Natl Reference Hypertens Pulm Severe, AP HP,DHU Torino, Le Kremlin Bicetre, France; [Huertas, Alice; Tu, Ly; Gambaryan, Natalia; Girerd, Barbara; Montani, David; Guignabert, Christophe; Humbert, Marc] Univ Paris 11, Fac Med, Le Kremlin Bicetre, France</t>
  </si>
  <si>
    <t>Pulmonary hypertension; Immunology; Circulation</t>
  </si>
  <si>
    <t>Regulatory T cells in pulmonary arterial hypertension</t>
  </si>
  <si>
    <t>Huertas, Alice; Tu, Ly; Gambaryan, Natalia; Girerd, Barbara; Montani, David; Guignabert, Christophe; Humbert, Marc</t>
  </si>
  <si>
    <t>Huertas, A; Tu, L; Gambaryan, N; Girerd, B; Montani, D; Guignabert, C; Humbert, M</t>
  </si>
  <si>
    <t>WOS:000209370402115</t>
  </si>
  <si>
    <t>GUNTHER, Sven/0000-0001-8388-6131; Cohen-Kaminsky, Sylvia/0000-0002-6341-7482; Montani, David/0000-0002-9358-6922; Perros, Frederic/0000-0001-7730-2427</t>
  </si>
  <si>
    <t>Humbert, Marc/AAC-8459-2019; David, Montani/I-6885-2019; Günther, Sven/ACV-7191-2022; Sitbon, Olivier/I-3623-2019; Savale, Laurent/AAJ-9781-2020; GUNTHER, Sven/P-4177-2017; Cohen-Kaminsky, Sylvia/E-4837-2014; Perros, Frederic/N-6921-2017</t>
  </si>
  <si>
    <t>sven.gunther@bct.aphp.fr; mcamillechaumais@gmail.com; peter.dorfmuller@u-psud.fr; xavier.jais@bct.aphp.fr; laurent.savale@bct.aphp.fr; elise.artaud@bct.aphp.fr; frederic.perros@gmail.com; sylvia.cohen-kaminsky@u-psud.fr; olivier.sitbon@bct.aphp.fr; marc.humbert@bct.aphp.fr; gerald.simonneau@bct.aphp.fr; david.montani@bct.aphp.fr</t>
  </si>
  <si>
    <t>Assistance Publique Hopitaux Paris (APHP); Hopital Universitaire Bicetre - APHP; Hopital Universitaire Antoine-Beclere - APHP; Universite Paris Saclay; Hopital Marie Lannelongue; Assistance Publique Hopitaux Paris (APHP); Hopital Universitaire Antoine-Beclere - APHP; Universite Paris Saclay; Hopital Universitaire Bicetre - APHP; Institut National de la Sante et de la Recherche Medicale (Inserm); Hopital Marie Lannelongue; Universite Paris Saclay</t>
  </si>
  <si>
    <t>[Guenther, Sven; Dorfmueller, Peter; Jais, Xavier; Savale, Laurent; Sitbon, Olivier; Humbert, Marc; Simmoneau, Gerald; Montani, David] Hop Bicetre, Dept Pulmonol, F-94270 Le Kremlin Bicetre, France; [Dorfmueller, Peter] Hop Marie Lannelongue, Dept Pathol, F-92350 Le Plessis Robinson, France; [Chaumais, Marie-Camille] Hop Bicetre, Dept Pharm, F-94270 Le Kremlin Bicetre, France; [Perros, Frederic; Cohen-Kaminsky, Silvia] Hop Marie Lannelongue, INSERM, UMR S 999, F-92350 Le Plessis Robinson, France</t>
  </si>
  <si>
    <t>Pulmonary hypertension; Thoracic oncology; Imaging</t>
  </si>
  <si>
    <t>Pulmonary veno-occlusive disease (PVOD) induced by chemotherapy: Experience from the French PH network and literature review</t>
  </si>
  <si>
    <t>Guenther, Sven; Chaumais, Marie-Camille; Dorfmueller, Peter; Jais, Xavier; Savale, Laurent; Artaud-Macari, Elise; Perros, Frederic; Cohen-Kaminsky, Silvia; Sitbon, Olivier; Humbert, Marc; Simmoneau, Gerald; Montani, David</t>
  </si>
  <si>
    <t>Günther, S; Chaumais, MC; Dorfmüller, P; Jaïs, X; Savale, L; Artaud-Macari, E; Perros, F; Cohen-Kaminsky, S; Sitbon, O; Humbert, M; Simmoneau, G; Montani, D</t>
  </si>
  <si>
    <t>WOS:000209370400177</t>
  </si>
  <si>
    <t>ekkehard_gruenig@t-online.de; nazzareno.galie@unibo.it; marc.humbert@abc.aphp.fr; amkeogh@stvincents.com.au; david.langleben@mcgill.ca; ljrubin@ucsd.edu; rudolf.speich@usz.ch; arno.fritsch@bayer.com; neil.davie@bayer.com; ardeschir.ghofrani@innere.med.uni-giessen.de</t>
  </si>
  <si>
    <t>Ruprecht Karls University Heidelberg; University of Bologna; Universite Paris Saclay; Institut National de la Sante et de la Recherche Medicale (Inserm); Assistance Publique Hopitaux Paris (APHP); Hopital Universitaire Antoine-Beclere - APHP; Hopital Universitaire Bicetre - APHP; Universite Paris Saclay; NSW Health; St Vincents Hospital Sydney; Lady Davis Institute; McGill University; University of California System; University of California San Diego; University of Zurich; University Zurich Hospital; Bayer AG; Bayer Healthcare Pharmaceuticals; Justus Liebig University Giessen</t>
  </si>
  <si>
    <t>[Gruenig, Ekkehard] Univ Heidelberg Hosp, Thoraxclin, Thoraxclin Heidelberg, Ctr Pulm Hypertens, Heidelberg, Germany; [Galie, Nazzareno] Univ Bologna, Inst Cardiol, Bologna, Italy; [Humbert, Marc] Univ Paris 11, Le Kremlin Bicetre, France; [Humbert, Marc] INSERM, F-94275 Le Kremlin Bicetre, France; [Humbert, Marc] Hop Bicetre, AP HP, Serv Pneumol, Le Kremlin Bicetre, France; [Keogh, Anne M.] St Vincents Hosp, Heart Lung Transplant Unit, Sydney, NSW 2010, Australia; [Langleben, David] McGill Univ, Jewish Gen Hosp, Lady Davis Inst Med Res, Ctr Pulm Vasc Dis, Montreal, PQ H3T 1E2, Canada; [Rubin, Lewis J.] Univ Calif San Diego, Sch Med, La Jolla, CA 92093 USA; [Speich, Rudolf] Univ Zurich Hosp, Dept Internal Med, Zurich, Switzerland; [Fritsch, Arno; Davie, Neil] Bayer HealthCare Pharmaceut, Global Clin Dev, Wuppertal, Germany; [Ghofrani, Hossein-Ardeschir] Univ Giessen, Dept Internal Med, Giessen, Germany; [Ghofrani, Hossein-Ardeschir] Marburg Lung Ctr UGMLC, Giessen, Germany</t>
  </si>
  <si>
    <t>Pulmonary hypertension; Treatments; Nitric oxide</t>
  </si>
  <si>
    <t>Riociguat for the treatment of pulmonary arterial hypertension (PAH): A responder analysis from the phase III PATENT-1 study</t>
  </si>
  <si>
    <t>Gruenig, Ekkehard; Galie, Nazzareno; Humbert, Marc; Keogh, Anne M.; Langleben, David; Rubin, Lewis J.; Speich, Rudolf; Fritsch, Arno; Davie, Neil; Ghofrani, Hossein-Ardeschir</t>
  </si>
  <si>
    <t>Grünig, E; Galiè, N; Humbert, M; Keogh, AM; Langleben, D; Rubin, LJ; Speich, R; Fritsch, A; Davie, N; Ghofrani, HA</t>
  </si>
  <si>
    <t>WOS:000209370402661</t>
  </si>
  <si>
    <t>Rubin, Lewis/AEW-1719-2022; Humbert, Marc/AAC-8459-2019; Ghofrani, Ardeschir/AAD-5293-2020; Langleben, David/AAJ-9152-2020</t>
  </si>
  <si>
    <t>ardeschir.ghofrani@innere.med.uni-giessen.de; nazzareno.galie@unibo.it; Friedrich.Grimminger@innere.med.uni-giessen.de; marc.humbert@abc.aphp.fr; amkeogh@stvincents.com.au; ljrubin@ucsd.edu; mirko.sikirica@bayer.com; arno.fritsch@bayer.com; neil.davie@bayer.com; stacie.hudgens@adelphivalues.com; nicola.bonner@adelphivalues.com; ba.luong@bayer.com; david.langleben@mcgill.ca</t>
  </si>
  <si>
    <t>Justus Liebig University Giessen; University of Bologna; Universite Paris Saclay; Institut National de la Sante et de la Recherche Medicale (Inserm); Universite Paris Saclay; Assistance Publique Hopitaux Paris (APHP); Hopital Universitaire Bicetre - APHP; Hopital Universitaire Antoine-Beclere - APHP; NSW Health; St Vincents Hospital Sydney; University of California System; University of California San Diego; Bayer AG; Bayer Healthcare Pharmaceuticals; Bayer AG; Bayer Healthcare Pharmaceuticals; Lady Davis Institute; McGill University</t>
  </si>
  <si>
    <t>[Ghofrani, Hossein-Ardeschir; Grimminger, Friedrich] Univ Giessen, Dept Internal Med, Giessen, Germany; [Ghofrani, Hossein-Ardeschir; Grimminger, Friedrich] Marburg Lung Ctr UGMLC, Giessen, Germany; [Galie, Nazzareno] Univ Bologna, Inst Cardiol, Bologna, Italy; [Humbert, Marc] Univ Paris 11, INSERM, U999, Le Kremlin Bicetre, France; [Humbert, Marc] Hop Bicetre, AP HP, Serv Pneumol, Le Kremlin Bicetre, France; [Keogh, Anne M.] St Vincents Hosp, Heart Lung Transplant Unit, Sydney, NSW 2010, Australia; [Rubin, Lewis J.] Univ Calif San Diego, Sch Med, La Jolla, CA 92093 USA; [Sikirica, Mirko; Luong, Ba] Bayer HealthCare Pharmaceut, Global HEOR, Berlin, Germany; [Fritsch, Arno; Davie, Neil] Bayer HealthCare Pharmaceut, Global Clin Dev, Wuppertal, Germany; [Hudgens, Stacie] Adelphi Values US, Healthcare Analyt, Boston, MA USA; [Bonner, Nicola] Adelphi Values UK, Patient Reported Outcomes, Bollington, Cheshire, England; [Langleben, David] McGill Univ, Jewish Gen Hosp, Lady Davis Inst Med Res, Ctr Pulm Vasc Dis, Montreal, PQ H3T 1E2, Canada</t>
  </si>
  <si>
    <t>Pulmonary hypertension; Treatments; Quality of life</t>
  </si>
  <si>
    <t>Impact of riociguat on health-related quality of life (HRQoL) in patients with pulmonary arterial hypertension (PAH)</t>
  </si>
  <si>
    <t>Ghofrani, Hossein-Ardeschir; Galie, Nazzareno; Grimminger, Friedrich; Humbert, Marc; Keogh, Anne M.; Rubin, Lewis J.; Sikirica, Mirko; Fritsch, Arno; Davie, Neil; Hudgens, Stacie; Bonner, Nicola; Luong, Ba; Langleben, David</t>
  </si>
  <si>
    <t>Ghofrani, HA; Galiè, N; Grimminger, F; Humbert, M; Keogh, AM; Rubin, LJ; Sikirica, M; Fritsch, A; Davie, N; Hudgens, S; Bonner, N; Luong, B; Langleben, D</t>
  </si>
  <si>
    <t>WOS:000209370402648</t>
  </si>
  <si>
    <t>mr.ghigna@ccml.fr; christophe.guignabert@inserm.fr; marc.humbert@u-psud.fr; peter.dorfmuller@u-psud.fr</t>
  </si>
  <si>
    <t>Institut National de la Sante et de la Recherche Medicale (Inserm); Hopital Marie Lannelongue; Universite Paris Saclay; Assistance Publique Hopitaux Paris (APHP); Hopital Universitaire Bicetre - APHP</t>
  </si>
  <si>
    <t>[Ghigna, Maria Rosa; Guignabert, Christophe; Humbert, Marc; Dorfmuller, Peter] INSERM, UMR999, F-92350 Le Plessis Robinson, France; [Ghigna, Maria Rosa; Dorfmuller, Peter] Ctr Chrirug Marie Lannelongue, Dept Pathol, F-92350 Le Plessis Robinson, France; [Ghigna, Maria Rosa; Guignabert, Christophe; Humbert, Marc; Dorfmuller, Peter] Univ Paris 11, Sch Med, F-94270 Le Kremlin Bicetre, France; [Humbert, Marc] AP HP, Ctr Reference Hypertens Pulm Severe DHU Thorax In, Serv Pneumol, F-94270 Le Kremlin Bicetre, France</t>
  </si>
  <si>
    <t>Pulmonary hypertension; Genetics</t>
  </si>
  <si>
    <t>A comparative histological study of pulmonary vascular lesions in lungs of patients With idiopathic or heritable PAH</t>
  </si>
  <si>
    <t>Ghigna, Maria Rosa; Guignabert, Christophe; Humbert, Marc; Dorfmuller, Peter</t>
  </si>
  <si>
    <t>Ghigna, MR; Guignabert, C; Humbert, M; Dorfmuller, P</t>
  </si>
  <si>
    <t>WOS:000209370400138</t>
  </si>
  <si>
    <t>Humbert, Marc/AAC-8459-2019; TU, Ly/G-4035-2013; GUIGNABERT, Christophe/G-3873-2013; Adcock, Ian/L-3217-2019; Perros, Frederic/N-6921-2017</t>
  </si>
  <si>
    <t>ngambaryan@gmail.com; chao.meng@imperial.ac.uk; frederic.perros@gmail.com; christophe.guignabert@inserm.fr; ly.tu@inserm.fr; mjc.humbert@gmail.com; ian.adcock@imperial.ac.uk; s.wort@imperial.ac.uk</t>
  </si>
  <si>
    <t>Imperial College London; Institut National de la Sante et de la Recherche Medicale (Inserm); Hopital Marie Lannelongue; Universite Paris Saclay</t>
  </si>
  <si>
    <t>[Gambaryan, Natalia; Meng, Chao; Adcock, Ian; Wort, Stephen] Univ London Imperial Coll Sci Technol &amp; Med, Natl Heart &amp; Lung Inst, Airway Dis Sect, London, England; [Perros, Frederic; Guignabert, Christophe; Tu, Ly; Humbert, Marc] Univ Paris 11, Ctr Chirurg Marie Lannelongue, INSERM, U999, Le Plessis Robinson, France</t>
  </si>
  <si>
    <t>Pulmonary hypertension; Epigenetics; Inflammation</t>
  </si>
  <si>
    <t>Selective inhibition of BET bromodomain and their effect on nuclear factor-kappa B activation in pulmonary arterial hypertension</t>
  </si>
  <si>
    <t>Gambaryan, Natalia; Meng, Chao; Perros, Frederic; Guignabert, Christophe; Tu, Ly; Humbert, Marc; Adcock, Ian; Wort, Stephen</t>
  </si>
  <si>
    <t>Gambaryan, N; Meng, C; Perros, F; Guignabert, C; Tu, L; Humbert, M; Adcock, I; Wort, S</t>
  </si>
  <si>
    <t>WOS:000209370404343</t>
  </si>
  <si>
    <t>Adcock, Ian/L-3217-2019; Humbert, Marc/AAC-8459-2019</t>
  </si>
  <si>
    <t>ngambaryan@gmail.com; chao.meng@imperial.ac.uk; mjc.humbert@gmail.com; ian.adcock@imperial.ac.uk; s.wort@imperial.ac.uk</t>
  </si>
  <si>
    <t>Imperial College London; Hopital Marie Lannelongue; Institut National de la Sante et de la Recherche Medicale (Inserm); Universite Paris Saclay</t>
  </si>
  <si>
    <t>[Gambaryan, Natalia; Meng, Chao; Adcock, Ian; Wort, Stephen] Univ London Imperial Coll Sci Technol &amp; Med, Natl Heart &amp; Lung Inst, Airway Dis Sect, London, England; [Humbert, Marc] Univ Paris 11, Ctr Chirurg Marie Lannelongue, INSERM, U999, Le Plessis Robinson, France</t>
  </si>
  <si>
    <t>H3K27 histone lysine methylation as potential therapeutic target in pulmonary arterial hypertension</t>
  </si>
  <si>
    <t>Gambaryan, Natalia; Meng, Chao; Humbert, Marc; Adcock, Ian; Wort, Stephen</t>
  </si>
  <si>
    <t>Gambaryan, N; Meng, C; Humbert, M; Adcock, I; Wort, S</t>
  </si>
  <si>
    <t>WOS:000209370400178</t>
  </si>
  <si>
    <t>Langleben, David/AAJ-9152-2020; Rubin, Lewis/AEW-1719-2022; Ghofrani, Ardeschir/AAD-5293-2020; Humbert, Marc/AAC-8459-2019; Jing, Zhi-Cheng/AAT-9081-2021</t>
  </si>
  <si>
    <t>nazzareno.galie@unibo.it; Friedrich.Grimminger@innere.med.uni-giessen.de; ekkehard.gruenig@thoraxklinik-heidelberg.de; marc.humbert@abc.aphp.fr; jingzhicheng@vip.163.com; amkeogh@stvincents.com.au; david.langleben@mcgill.ca; ljrubin@ucsd.edu; michael.ochankilama@bayer.com; arno.fritsch@bayer.com; neil.davie@bayer.com; ardeschir.ghofrani@innere.med.uni-giessen.de</t>
  </si>
  <si>
    <t>University of Bologna; Justus Liebig University Giessen; Ruprecht Karls University Heidelberg; Universite Paris Saclay; Institut National de la Sante et de la Recherche Medicale (Inserm); Assistance Publique Hopitaux Paris (APHP); Hopital Universitaire Bicetre - APHP; Hopital Universitaire Antoine-Beclere - APHP; Universite Paris Saclay; Tongji University; NSW Health; St Vincents Hospital Sydney; McGill University; Lady Davis Institute; University of California System; University of California San Diego; Bayer AG; Bayer Healthcare Pharmaceuticals; Bayer AG; Bayer Healthcare Pharmaceuticals</t>
  </si>
  <si>
    <t>[Galie, Nazzareno] Univ Bologna, Inst Cardiol, Bologna, Italy; [Grimminger, Friedrich; Ghofrani, Hossein-Ardeschir] Univ Giessen, Dept Internal Med, D-35390 Giessen, Germany; [Grimminger, Friedrich; Ghofrani, Hossein-Ardeschir] Marburg Lung Ctr UGMLC, Giessen, Germany; [Gruenig, Ekkehard] Univ Heidelberg Hosp, Thoraxclin, Thoraxclin Heidelberg, Ctr Pulm Hypertens, Heidelberg, Germany; [Humbert, Marc] Univ Paris 11, Le Kremlin Bicetre, France; [Humbert, Marc] INSERM, U999, F-94275 Le Kremlin Bicetre, France; [Humbert, Marc] Hop Bicetre, AP HP, Serv Pneumol, Le Kremlin Bicetre, France; [Jing, Zhi-Cheng] Tongji Univ, Sch Med, Shanghai Pulm Hosp, Dept Cardiopulm Circulat, Shanghai 200092, Peoples R China; [Keogh, Anne M.] St Vincents Hosp, Heart Lung Transplant Unit, Sydney, NSW 2010, Australia; [Langleben, David] McGill Univ, Jewish Gen Hosp, Lady Davis Inst Med Res, Ctr Pulm Vasc Dis, Montreal, PQ H3T 1E2, Canada; [Rubin, Lewis J.] Univ Calif San Diego, Sch Med, La Jolla, CA 92093 USA; [Kilama, Michael Ochan] Bayer HealthCare Pharmaceut, Global Clin Dev, Milan, Italy; [Fritsch, Arno; Davie, Neil] Bayer HealthCare Pharmaceut, Global Clin Dev, Wuppertal, Germany</t>
  </si>
  <si>
    <t>Correlation of improvements in hemodynamics and exercise capacity in patients with PAH: Results from the phase III PATENT-1 study</t>
  </si>
  <si>
    <t>Galie, Nazzareno; Grimminger, Friedrich; Gruenig, Ekkehard; Humbert, Marc; Jing, Zhi-Cheng; Keogh, Anne M.; Langleben, David; Rubin, Lewis J.; Kilama, Michael Ochan; Fritsch, Arno; Davie, Neil; Ghofrani, Hossein-Ardeschir</t>
  </si>
  <si>
    <t>Galiè, N; Grimminger, F; Grünig, E; Humbert, M; Jing, ZC; Keogh, AM; Langleben, D; Rubin, LJ; Kilama, MO; Fritsch, A; Davie, N; Ghofrani, HA</t>
  </si>
  <si>
    <t>WOS:000209370400176</t>
  </si>
  <si>
    <t>Launay, David/0000-0003-1840-1817; Montani, David/0000-0002-9358-6922</t>
  </si>
  <si>
    <t>Nunes, Hilario/AAM-8127-2020; Humbert, Marc/AAC-8459-2019; Reynaud-Gaubert, Martine/P-6958-2016; Bertoletti, Laurent/X-1319-2019; Schott, Anne-Marie/V-7580-2018; Launay, David/A-5270-2018; David, Montani/I-6885-2019; Launay, David/H-1674-2016</t>
  </si>
  <si>
    <t>vincent.cottin@chu-lyon.fr; davidmontani@gmail.com; martine.reynaud@mail.ap-hm.fr; kiaslili@yahoo.fr; hilario.nunes@avc.aphp.fr; claire.dromer@chu-bordeaux.fr; Benoit.WALLAERT@CHRU-LILLE.FR; carine.gomez@aphm.fr; SQuetant@chu-grenoble.fr; launayd@gmail.com; e.gomez@chu-nancy.fr; laurent.bertoletti@gmail.com; julie.traclet@chu-lyon.fr; stephanie.polazzi@chu-lyon.fr; sabrina.zeghmar@chu-lyon.fr; anne-marie.schott-pethelaz@chu-lyon.fr; marc.humbert@bct.aphp.fr; jean-francois.cordier@chu-lyon.fr</t>
  </si>
  <si>
    <t>Universite Claude Bernard Lyon 1; CHU Lyon; Universite Paris Saclay; Assistance Publique Hopitaux Paris (APHP); Hopital Universitaire Bicetre - APHP; Aix-Marseille Universite; Assistance Publique-Hopitaux de Marseille; Assistance Publique Hopitaux Paris (APHP); Hopital Universitaire Avicenne - APHP; Universite de Bordeaux; CHU Bordeaux; Universite de Lille; CHU Lille; CHU Grenoble Alpes; Universite de Lille; CHU Lille; CHU de Nancy; CHU de St Etienne; CHU Lyon</t>
  </si>
  <si>
    <t>[Cottin, Vincent; Kiakouama, Lize; Traclet, Julie; Zeghmar, Sabrina; Cordier, Jean-Francois] Univ Lyon 1, Louis Pradel Hosp, Resp Med, F-69365 Lyon, France; [Montani, David; Humbert, Marc] Univ Paris 11, Bicetre Hosp, Resp Med, Paris, France; [Reynaud-Gaubert, Martine; Gomez, Carine] Univ Hosp, Resp Med, Marseille, France; [Nunes, Hilario] Avicenne Univ Hosp, Resp Med, Bobigny, France; [Dromer, Claire] Univ Hosp, Resp Med, Bordeaux, France; [Wallaert, Benoit] Univ Hosp, Resp Med, Lille, France; [Quetant, Stephane] Univ Hosp, Resp Med, Grenoble, France; [Launay, David] Univ Hosp, Internal Med, Lille, France; [Gomez, Emmanuel] Univ Hosp, Resp Med, Nancy, France; [Bertoletti, Laurent] Univ Hosp, Internal Med, St Etienne, France; [Polazzi, Stephanie; Schott, Anne-Marie] Univ Hosp, Pole IMER, Lyon, France</t>
  </si>
  <si>
    <t>Pulmonary hypertension; Interstitial lung disease; Idiopathic pulmonary fibrosis</t>
  </si>
  <si>
    <t>Treatment of severe pulmonary hypertension in patients with interstitial lung disease: Results in 72 patients from the HYPID prospective study</t>
  </si>
  <si>
    <t>Cottin, Vincent; Montani, David; Reynaud-Gaubert, Martine; Kiakouama, Lize; Nunes, Hilario; Dromer, Claire; Wallaert, Benoit; Gomez, Carine; Quetant, Stephane; Launay, David; Gomez, Emmanuel; Bertoletti, Laurent; Traclet, Julie; Polazzi, Stephanie; Zeghmar, Sabrina; Schott, Anne-Marie; Humbert, Marc; Cordier, Jean-Francois</t>
  </si>
  <si>
    <t>Cottin, V; Montani, D; Reynaud-Gaubert, M; Kiakouama, L; Nunes, H; Dromer, C; Wallaert, B; Gomez, C; Quetant, S; Launay, D; Gomez, E; Bertoletti, L; Traclet, J; Polazzi, S; Zeghmar, S; Schott, AM; Humbert, M; Cordier, JF</t>
  </si>
  <si>
    <t>WOS:000209370400487</t>
  </si>
  <si>
    <t>Launay, David/0000-0003-1840-1817; Uzunhan, Yurdagul/0000-0002-1607-1407; Montani, David/0000-0002-9358-6922</t>
  </si>
  <si>
    <t>Humbert, Marc/AAC-8459-2019; Launay, David/A-5270-2018; marchand-adam, sylvain/MTA-8367-2025; David, Montani/I-6885-2019; Schott, Anne-Marie/V-7580-2018; Reynaud-Gaubert, Martine/P-6958-2016; Nunes, Hilario/AAM-8127-2020; Launay, David/H-1674-2016; Uzunhan, Yurdagul/P-5437-2017</t>
  </si>
  <si>
    <t>vincent.cottin@chu-lyon.fr; MartineLouise.REYNAUD@ap-hm.fr; hilario.nunes@avc.aphp.fr; davidmontani@gmail.com; Benoit.WALLAERT@CHRU-LILLE.FR; bcamara@chu-grenoble.fr; chahera.khouatra@chu-lyon.fr; dominique.israel-biet@egp.aphp.fr; yurdagul.uzunhan@avc.aphp.fr; e.gomez@chu-nancy.fr; sylvain.marchand-adam@univ-tours.fr; ana.nieves@ap-hm.fr; xavier.jais@bct.aphp.fr; lstervinou@hotmail.com; julie.traclet@chu-lyon.fr; launayd@gmail.com; claire.dromer@chu-bordeaux.fr; magnier-r@chu-caen.fr; prevot.g@chu-toulouse.fr; stephanie.polazzi@chu-lyon.fr; sabrina.zeghmar@chu-lyon.fr; anne-marie.schott-pethelaz@chu-lyon.fr; marc.humbert@bct.aphp.fr; jean-francois.cordier@chu-lyon.fr</t>
  </si>
  <si>
    <t>Universite Claude Bernard Lyon 1; CHU Lyon; Aix-Marseille Universite; Assistance Publique Hopitaux Paris (APHP); Hopital Universitaire Avicenne - APHP; Universite Paris Saclay; Assistance Publique Hopitaux Paris (APHP); Hopital Universitaire Bicetre - APHP; Universite de Lille; CHU Lille; CHU Grenoble Alpes; Assistance Publique Hopitaux Paris (APHP); Universite Paris Cite; Hopital Universitaire Europeen Georges-Pompidou - APHP; CHU de Nancy; CHU Tours; Universite de Lille; CHU Lille; CHU Bordeaux; Universite de Bordeaux; CHU de Caen NORMANDIE; CHU de Toulouse; CHU Lyon</t>
  </si>
  <si>
    <t>[Cottin, Vincent; Khouatra, Chahera; Traclet, Julie; Zeghmar, Sabrina; Cordier, Jean-Francois] Univ Lyon 1, Louis Pradel Hosp, Resp Med, F-69365 Lyon, France; [Reynaud-Gaubert, Martine; Nieves, Ana] Univ Marseille, Resp Med, Marseille, France; [Nunes, Hilario; Uzunhan, Yuerdagul] Avicenne Univ Hosp, Resp Med, Paris, France; [Montani, David; Jais, Xavier; Humbert, Marc] Univ Paris 11, Bicetre Hosp, Resp Med, Paris, France; [Wallaert, Benoit; Wemeau-Stervinou, Lidwine] Univ Hosp, Resp Med, Lille, France; [Camara, Boubou] Univ Hosp, Resp Med, Grenoble, France; [Israel-Biet, Dominique] HEGP Univ Hosp, Resp Med, Paris, France; [Gomez, Emmanuel] Univ Hosp, Resp Med, Nancy, France; [Marchand-Adam, Sylvain] Univ Hosp, Resp Med, Tours, France; [Launay, David] Univ Hosp, Internal Med, Lille, France; [Dromer, Claire] Univ Hosp, Resp Med, Bordeaux, France; [Magnier, Romain] Univ Hosp, Resp Med, Caen, France; [Prevot, Gregoire] Univ Hosp, Resp Med, Toulouse, France; [Polazzi, Stephanie; Schott, Anne-Marie] Univ Hosp, Pole IMER, Lyon, France</t>
  </si>
  <si>
    <t>Baseline characteristics and survival of patients with pulmonary hypertension in interstitial lung disease in the HYPID study</t>
  </si>
  <si>
    <t>Cottin, Vincent; Reynaud-Gaubert, Martine; Nunes, Hilario; Montani, David; Wallaert, Benoit; Camara, Boubou; Khouatra, Chahera; Israel-Biet, Dominique; Uzunhan, Yuerdagul; Gomez, Emmanuel; Marchand-Adam, Sylvain; Nieves, Ana; Jais, Xavier; Wemeau-Stervinou, Lidwine; Traclet, Julie; Launay, David; Dromer, Claire; Magnier, Romain; Prevot, Gregoire; Polazzi, Stephanie; Zeghmar, Sabrina; Schott, Anne-Marie; Humbert, Marc; Cordier, Jean-Francois</t>
  </si>
  <si>
    <t>Cottin, V; Reynaud-Gaubert, M; Nunes, H; Montani, D; Wallaert, B; Camara, B; Khouatra, C; Israel-Biet, D; Uzunhan, Y; Gomez, E; Marchand-Adam, S; Nieves, A; Jais, X; Wemeau-Stervinou, L; Traclet, J; Launay, D; Dromer, C; Magnier, R; Prévot, G; Polazzi, S; Zeghmar, S; Schott, AM; Humbert, M; Cordier, JF</t>
  </si>
  <si>
    <t>WOS:000209370403375</t>
  </si>
  <si>
    <t>Courand, Pierre-Yves/O-1054-2016; Humbert, Marc/AAC-8459-2019; Simonneau, Gerald/ABE-6614-2020</t>
  </si>
  <si>
    <t>vincent.cottin@chu-lyon.fr; pycourand@hotmail.com; chahera.khouatra@chu-lyon.fr; geraldine.jomir@chu-lyon.fr; christian.scheiber@chu-lyon.fr; julie.traclet@chu-lyon.fr; jean-charles.glerant@chu-lyon.fr; segolene.turquier@chu-lyon.fr; marc.humbert@bct.aphp.fr; gerald.simonneau@bct.aphp.fr; jean-francois.mornex@chu-lyon.fr; jean-francois.cordier@chu-lyon.fr</t>
  </si>
  <si>
    <t>CHU Lyon; Universite Claude Bernard Lyon 1; CHU Lyon; CHU Lyon; Universite Claude Bernard Lyon 1; CHU Lyon; Assistance Publique Hopitaux Paris (APHP); Hopital Universitaire Bicetre - APHP; Universite Paris Saclay</t>
  </si>
  <si>
    <t>[Cottin, Vincent; Khouatra, Chahera; Traclet, Julie; Mornex, Jean-Francois; Cordier, Jean-Francois] Univ Lyon 1, Louis Pradel Hosp, Resp Med, F-69365 Lyon, France; [Courand, Pierre-Yves] Louis Pradel Hosp, Cardiol, Lyon, France; [Pina-Jomir, Geraldine; Scheiber, Christian] Univ Lyon 1, Dept Nucl Med, Louis Pradel Hosp, F-69365 Lyon, France; [Glerant, Jean-Charles; Turquier, Segolene] Louis Pradel Hosp, Dept Resp Physiol, Lyon, France; [Humbert, Marc; Simonneau, Gerald] Univ Paris Sud, Bicetre Hosp, Dept Resp Med, Paris, France</t>
  </si>
  <si>
    <t>Prognostic value of changes in radionuclide right ventricular ejection fraction in pulmonary arterial hypertension</t>
  </si>
  <si>
    <t>Cottin, Vincent; Courand, Pierre-Yves; Khouatra, Chahera; Pina-Jomir, Geraldine; Scheiber, Christian; Traclet, Julie; Glerant, Jean-Charles; Turquier, Segolene; Humbert, Marc; Simonneau, Gerald; Mornex, Jean-Francois; Cordier, Jean-Francois</t>
  </si>
  <si>
    <t>Cottin, V; Courand, PY; Khouatra, C; Pina-Jomir, G; Scheiber, C; Traclet, J; Glerant, JC; Turquier, S; Humbert, M; Simonneau, G; Mornex, JF; Cordier, JF</t>
  </si>
  <si>
    <t>WOS:000209370402655</t>
  </si>
  <si>
    <t>sylvia.cohen-kaminsky@u-psud.fr; mnakhleh@gmail.com; frederic.perros@gmail.com; davidmontani@gmail.com; barbara.girerd19@gmail.com; gilles.garcia@bct.aphp.fr; gerald.simonneau@bct.aphp.fr; hhossam@tx.technion.ac.il; marc.humbert@bct.aphp.fr</t>
  </si>
  <si>
    <t>Institut National de la Sante et de la Recherche Medicale (Inserm); Hopital Marie Lannelongue; Universite Paris Saclay; Technion Israel Institute of Technology; Technion Israel Institute of Technology; Institut National de la Sante et de la Recherche Medicale (Inserm); Assistance Publique Hopitaux Paris (APHP); Hopital Universitaire Antoine-Beclere - APHP; Hopital Universitaire Bicetre - APHP; Universite Paris Saclay</t>
  </si>
  <si>
    <t>[Cohen-Kaminsky, Sylvia; Perros, Frederic] Univ Paris 11, Ctr Chirurg Marie Lannelongue, Pulm Hypertens Pathophysiol &amp; Therapeut Innovat, INSERM UMR S 999,LabEx LERMIT,DHU TORINO,LIA INSE, F-92350 Le Plessis Robinson, France; [Nakhleh, Morad; Haick, Hossam] Technion Israel Inst Technol, LIA INSERM TECHNION, Dept Chem Engn, IL-32000 Haifa, Israel; [Nakhleh, Morad; Haick, Hossam] Technion Israel Inst Technol, LIA INSERM TECHNION, Russell Berrie Nanotechnol Inst, IL-32000 Haifa, Israel; [Montani, David; Girerd, Barbara; Garcia, Gilles; Simonneau, Gerald; Humbert, Marc] Hop Bicetre, AP HP, Ctr Natl Reference Hypertens Pulm Severe, INSERM UMR S 999,DHU TORINO,LIA INSERM TECHNION, F-94270 Le Kremlin Bicetre, France</t>
  </si>
  <si>
    <t>Pulmonary hypertension; Breath test; Biomarkers</t>
  </si>
  <si>
    <t>Explorative breath analysis study for the detection and classification of PAH</t>
  </si>
  <si>
    <t>Cohen-Kaminsky, Sylvia; Nakhleh, Morad; Perros, Frederic; Montani, David; Girerd, Barbara; Garcia, Gilles; Simonneau, Gerald; Haick, Hossam; Humbert, Marc</t>
  </si>
  <si>
    <t>Cohen-Kaminsky, S; Nakhleh, M; Perros, F; Montani, D; Girerd, B; Garcia, G; Simonneau, G; Haick, H; Humbert, M</t>
  </si>
  <si>
    <t>WOS:000324097500017</t>
  </si>
  <si>
    <t>213YV</t>
  </si>
  <si>
    <t>Cardiovascular System &amp; Cardiology; Physiology</t>
  </si>
  <si>
    <t>Cardiac &amp; Cardiovascular Systems; Physiology; Peripheral Vascular Disease</t>
  </si>
  <si>
    <t>10.1152/ajpheart.00258.2013</t>
  </si>
  <si>
    <t>H777</t>
  </si>
  <si>
    <t>H769</t>
  </si>
  <si>
    <t>Am. J. Physiol.-Heart Circul. Physiol.</t>
  </si>
  <si>
    <t>AM J PHYSIOL-HEART C</t>
  </si>
  <si>
    <t>1522-1539</t>
  </si>
  <si>
    <t>0363-6135</t>
  </si>
  <si>
    <t>Humbert, Marc/0000-0003-0703-2892; Castelain, Vincent/0000-0002-9354-6525; CHEMLA, Denis/0000-0001-7479-9896</t>
  </si>
  <si>
    <t>Kaixian, Zhu/P-8294-2019; Castelain, Vincent/ABG-9778-2020; Humbert, Marc/AAC-8459-2019</t>
  </si>
  <si>
    <t>Universite Paris Saclay; Assistance Publique Hopitaux Paris (APHP); Hopital Universitaire Bicetre - APHP; Universites de Strasbourg Etablissements Associes; Universite de Strasbourg; CHU Strasbourg; Universidade de Sao Paulo; Laval University; Universite Paris Saclay; Assistance Publique Hopitaux Paris (APHP); Hopital Universitaire Bicetre - APHP; Hopital Universitaire Antoine-Beclere - APHP; Hopital Marie Lannelongue; Institut National de la Sante et de la Recherche Medicale (Inserm); Hopital Marie Lannelongue</t>
  </si>
  <si>
    <t>[Chemla, Denis; Creuze, Nicolas; Zhu, Kaixian] Univ Paris 11, Fac Med, AP HP, Dept Physiol,EA4533, Le Kremlin Bicetre, France; [Castelain, Vincent] Hop Univ Strasbourg, Serv Reanimat Med, Strasbourg, France; [Hoette, Susana] Univ Sao Paulo, Div Pulm, Sao Paulo, Brazil; [Provencher, Steeve] Univ Laval, Inst Univ Cardiol &amp; Pneumol Quebec, Ctr Rech, Quebec City, PQ, Canada; [Humbert, Marc] Hop Bicetre, AP HP, Serv Pneumol, F-94275 Le Kremlin Bicetre, France; [Humbert, Marc; Herve, Philippe] Ctr Chirurg Marie Lannelongue, Inst Natl Sante &amp; Rech Med UMR S999, Le Plessis Robinson, France; [Herve, Philippe] Ctr Chirurg Marie Lannelongue, Dept Physiol, Le Plessis Robinson, France</t>
  </si>
  <si>
    <t>The contribution of heart rate (HR) to pulmonary artery hemodynamics has been suggested in pulmonary hypertension (PH). Our high-fidelity pressure, retrospective study tested the hypothesis that HR explained the majority of mean pulmonary artery pressure (mPAP) and pulse pressure (PApp) variation in 12 severe precapillary PH patients who performed incremental-load cycling while in the supine position. Seven idiopathic pulmonary arterial hypertension patients and five chronic thromboembolic PH patients were studied. Four to five PAP-thermodilution cardiac output (CO) points (mean: 4.4) were obtained. At rest, mPAP was 57 +/- 9 mmHg, PApp was 51 +/- 11 mmHg, HR was 90 +/- 12 beats/min, and stroke volume (SV) was 50 +/- 22 ml. At peak exercise, mPAP was 76 +/- 10 mmHg, PApp was 67 +/- 11 mmHg, and HR was 123 +/- 18 beats/min (i.e., 71 +/- 10% of maximum HR, each P &lt; 0.05), whereas SV was 51 +/- 20 ml (P = not significant). The input resistance did not change (mPAP/CO = 14.1 +/- 4.1 vs. 13.5 +/- 4.4 mmHg.min.l(-1)). The relative increase in mPAP was related to the relative increase in HR (n = 12, r(2) = 0.74) but not in CO. mPAP was linearly related to CO in 8 of 12 patients (median r(2) = 0.83) and to HR in 12 of 12 patients (median r(2) = 0.985). The parsimony principle favored the latter fit. PApp was linearly related to mPAP in 12 of 12 patients (median r(2) = 0.985), HR in 10 of 12 patients (median r(2) = 0.97), CO in 7 of 12 patients (median r(2) = 0.87), and SV in 1 of 12 patients. A strong linear relationship between HR and mPAP was consistently documented in severe precapillary PH patients who performed supine exercise. The limited value of thermodilution CO to predict mPAP could be explained by unavoidable precision errors in CO measurements, unchanged/decreased SV on exercise, curvilinearity of the mPAP-CO relationship at high flow, or flow-independent additional mechanisms increasing mPAP on exercise.</t>
  </si>
  <si>
    <t>CIRCULATION; HEMODYNAMICS; RESPONSES; FAILURE; VOLUME; REST</t>
  </si>
  <si>
    <t>pulmonary artery pressure; pulmonary hypertension; heart rate; pulse pressure; right ventricle; cardiac output; exercise</t>
  </si>
  <si>
    <t>AMERICAN JOURNAL OF PHYSIOLOGY-HEART AND CIRCULATORY PHYSIOLOGY</t>
  </si>
  <si>
    <t>Strong linear relationship between heart rate and mean pulmonary artery pressure in exercising patients with severe precapillary pulmonary hypertension</t>
  </si>
  <si>
    <t>Chemla, Denis; Castelain, Vincent; Hoette, Susana; Creuze, Nicolas; Provencher, Steeve; Zhu, Kaixian; Humbert, Marc; Herve, Philippe</t>
  </si>
  <si>
    <t>Chemla, D; Castelain, V; Hoette, S; Creuzé, N; Provencher, S; Zhu, KX; Humbert, M; Herve, P</t>
  </si>
  <si>
    <t>WOS:000323220600009</t>
  </si>
  <si>
    <t>202MI</t>
  </si>
  <si>
    <t>10.1517/17425255.2013.804063</t>
  </si>
  <si>
    <t>D Montani, M Humbert, and G Sitbon have been supported by Actelion, Bayer Schering, GlaxoSmithKline, Novartis, Pfizer, Inc., Lilly &amp; Co., and United Therapeutics for consultancy services and as members of their scientific advisory boards.</t>
  </si>
  <si>
    <t>Actelion; Bayer Schering(Bayer AG); GlaxoSmithKline(GlaxoSmithKline); Novartis(Novartis); Pfizer, Inc.(Pfizer); Lilly Co.; United Therapeutics</t>
  </si>
  <si>
    <t>Actelion; Bayer Schering; GlaxoSmithKline; Novartis; Pfizer, Inc.; Lilly Co.; United Therapeutics</t>
  </si>
  <si>
    <t>Chaumais, Marie-Camille/0000-0002-1217-8442; Humbert, Marc/0000-0003-0703-2892; Montani, David/0000-0002-9358-6922; SITBON, Olivier/0000-0002-1942-1951</t>
  </si>
  <si>
    <t>Montani, D (corresponding author), Ctr Chirurg Marie Lannelongue, INSERM, UMR 999, LabEx LERMIT,DHU Thorax Innovat, Le Plessis Robinson, France.</t>
  </si>
  <si>
    <t>Universite Paris Saclay; Assistance Publique Hopitaux Paris (APHP); Hopital Universitaire Antoine-Beclere - APHP; Hopital Marie Lannelongue; Universite Paris Saclay; Institut National de la Sante et de la Recherche Medicale (Inserm); Universite Paris Saclay; Assistance Publique Hopitaux Paris (APHP); Hopital Universitaire Antoine-Beclere - APHP; Universite Paris Saclay; Hopital Universitaire Bicetre - APHP</t>
  </si>
  <si>
    <t>[Chaumais, Marie-Camille] Univ Paris 11, Fac Pharm, F-92290 Chatenay Malabry, France; [Chaumais, Marie-Camille] Hop Antoine Beclere, AP HP, Serv Pharm, DHU Thorax Innovat, Clamart, France; [Chaumais, Marie-Camille; Perrin, Swanny; Sitbon, Olivier; Simonneau, Gerald; Humbert, Marc; Montani, David] Ctr Chirurg Marie Lannelongue, INSERM, UMR 999, LabEx LERMIT,DHU Thorax Innovat, Le Plessis Robinson, France; [Perrin, Swanny; Sitbon, Olivier; Simonneau, Gerald; Humbert, Marc; Montani, David] Univ Paris 11, Fac Med, Le Kremlin Bicetre, France; [Perrin, Swanny; Sitbon, Olivier; Simonneau, Gerald; Humbert, Marc; Montani, David] Hop Bicetre, AP HP, Ctr Reference Hypertens Pulm Severe, Serv Pneumol &amp; Reanimat Resp,DHU Thorax Innovat, F-94270 Le Kremlin Bicetre, France</t>
  </si>
  <si>
    <t>Introduction: Sildenafil citrate is a potent, selective phosphodiesterase type 5 inhibitor approved for the treatment of pulmonary arterial hypertension (PAH) and plays an important role in the management of the disease. Areas covered: In this review, we focus on the current available information on the pharmacokinetics, pharmacodynamics, clinical efficacy and safety of sildenafil citrate in PAH through a MEDLINE literature search. Comparison of sildenafil citrate with tadalafil, another phosphodiesterase type 5 inhibitor was also performed. Expert opinion: In the last few years, considerable progress has been made in the understanding and treatment of PAH. Sildenafil citrate has multiple advantages and whether it is first-line treatment alone or in combination for the mild form of the disease, it is one of the treatments of choice. In terms of its future use, more studies are still needed to better evaluate the benefit/risk balance of sildenafil citrate in pediatric populations.</t>
  </si>
  <si>
    <t>LONG-TERM TREATMENT; ENDOTHELIN RECEPTOR ANTAGONIST; MUSCLE-CELL PROLIFERATION; ARTERIAL-HYPERTENSION; NITRIC-OXIDE; ERECTILE DYSFUNCTION; PHOSPHODIESTERASE-5 INHIBITOR; DOUBLE-BLIND; CITRATE THERAPY; PDE5 INHIBITORS</t>
  </si>
  <si>
    <t>pharmacokinetics; phosphodiesterase type 5 inhibitor; pulmonary arterial hypertension; sildenafil citrate</t>
  </si>
  <si>
    <t>Pharmacokinetic evaluation of sildenafil as a pulmonary hypertension treatment</t>
  </si>
  <si>
    <t>Chaumais, Marie-Camille; Perrin, Swanny; Sitbon, Olivier; Simonneau, Gerald; Humbert, Marc; Montani, David</t>
  </si>
  <si>
    <t>Chaumais, MC; Perrin, S; Sitbon, O; Simonneau, G; Humbert, M; Montani, D</t>
  </si>
  <si>
    <t>WOS:000209370402644</t>
  </si>
  <si>
    <t>Assayag, Patrick/0000-0001-9406-4555; Montani, David/0000-0002-9358-6922; GUNTHER, Sven/0000-0001-8388-6131</t>
  </si>
  <si>
    <t>Humbert, Marc/AAC-8459-2019; Sitbon, Olivier/I-3623-2019; David, Montani/I-6885-2019; Savale, Laurent/AAJ-9781-2020; Simonneau, Gerald/ABE-6614-2020; Günther, Sven/ACV-7191-2022; Assayag, Patrick/GPS-4910-2022; GUNTHER, Sven/P-4177-2017</t>
  </si>
  <si>
    <t>eliseartaudmacari@yahoo.fr; mgilbert_kb@yahoo.fr; romain.persichini@hotmail.fr; raed.rifai@bct.aphp.fr; sguenther78@gmail.com; xavier.jais@bct.aphp.fr; david.montani@gmail.com; patrick.assayag@bct.aphp.fr; marc.humbert@bct.aphp.fr; gerald.simonneau@bct.aphp.fr; olivier.sitbon@bct.aphp.fr; laurent.savale@bct.aphp.fr</t>
  </si>
  <si>
    <t>Universite Paris Saclay; Assistance Publique Hopitaux Paris (APHP); Hopital Universitaire Antoine-Beclere - APHP; Hopital Universitaire Bicetre - APHP; Assistance Publique Hopitaux Paris (APHP); Hopital Universitaire Bicetre - APHP; Hopital Universitaire Antoine-Beclere - APHP; Universite Paris Saclay</t>
  </si>
  <si>
    <t>[Artaud-Macari, Elise; Gilbert, Marion; Persichini, Romain; Gunther, Sven; Jais, Xavier; Montani, David; Humbert, Marc; Simonneau, Gerald; Sitbon, Olivier; Savale, Laurent] Hop Bicetre, Pneumol &amp; ICU, F-94270 Le Kremlin Bicetre, France; [Rifai, Raed; Assayag, Patrick] Hop Bicetre, Cardiol &amp; ICU, F-94270 Le Kremlin Bicetre, France</t>
  </si>
  <si>
    <t>Intensive care; Monitoring; Critically ill patients</t>
  </si>
  <si>
    <t>Accuracy of transpulmonary thermodilution cardiac output measurement (PiCCO) in patients with right heart failure (RHF) due to precapillary pulmonary hypertension (PH)</t>
  </si>
  <si>
    <t>Artaud-Macari, Elise; Gilbert, Marion; Persichini, Romain; Rifai, Raed; Gunther, Sven; Jais, Xavier; Montani, David; Assayag, Patrick; Humbert, Marc; Simonneau, Gerald; Sitbon, Olivier; Savale, Laurent</t>
  </si>
  <si>
    <t>Artaud-Macari, E; Gilbert, M; Persichini, R; Rifai, R; Gunther, S; Jais, X; Montani, D; Assayag, P; Humbert, M; Simonneau, G; Sitbon, O; Savale, L</t>
  </si>
  <si>
    <t>WOS:000209370402654</t>
  </si>
  <si>
    <t>Sitbon, Olivier/I-3623-2019; Günther, Sven/ACV-7191-2022; Savale, Laurent/AAJ-9781-2020; David, Montani/I-6885-2019; Simonneau, Gerald/ABE-6614-2020; Humbert, Marc/AAC-8459-2019; GUNTHER, Sven/P-4177-2017</t>
  </si>
  <si>
    <t>eliseartaudmacari@yahoo.fr; david.montani@bct.aphp.fr; olaf.mercier@gmail.com; romain.persichini@hotmail.fr; svenguenther@arcor.de; xavier.jais@bct.aphp.fr; florence.parent@bct.aphp.fr; marc.humbert@bct.aphp.fr; gerald.imonneau@bct.aphp.fr; olivier.sitbon@bct.aphp.fr; laurent.savale@bct.aphp.fr</t>
  </si>
  <si>
    <t>[Artaud-Macari, Elise; Montani, David; Persichini, Romain; Gunther, Sven; Jais, Xavier; Parent, Florence; Humbert, Marc; Simonneau, Gerald; Sitbon, Olivier; Savale, Laurent] CHU Bicetre, Serv Pneumol, Le Kremlin Bicetre, France; [Mercier, Olaf] Ctr Chirurg Marie Lannelongue, Serv Chirurg Thorac, Le Plessis Robinson, France</t>
  </si>
  <si>
    <t>Characteristics and outcome of patients with pre-capillary pulmonary hypertension who were drained for tamponade: A monocentric study</t>
  </si>
  <si>
    <t>Artaud-Macari, Elise; Montani, David; Mercier, Olaf; Persichini, Romain; Gunther, Sven; Jais, Xavier; Parent, Florence; Humbert, Marc; Simonneau, Gerald; Sitbon, Olivier; Savale, Laurent</t>
  </si>
  <si>
    <t>Artaud-Macari, E; Montani, D; Mercier, O; Persichini, R; Gunther, S; Jais, X; Parent, F; Humbert, M; Simonneau, G; Sitbon, O; Savale, L</t>
  </si>
  <si>
    <t>WOS:000324516100026</t>
  </si>
  <si>
    <t>219OI</t>
  </si>
  <si>
    <t>10.1164/rccm.201303-0467LE</t>
  </si>
  <si>
    <t>Montani, David/0000-0002-9358-6922; Cohen-Kaminsky, Sylvia/0000-0002-6341-7482; Humbert, Marc/0000-0003-0703-2892; Perros, Frederic/0000-0001-7730-2427; Haick, Hossam/0000-0002-2370-4073</t>
  </si>
  <si>
    <t>David, Montani/I-6885-2019; Simonneau, Gerald/ABE-6614-2020; Cohen-Kaminsky, Sylvia/E-4837-2014; Humbert, Marc/AAC-8459-2019; Perros, Frederic/N-6921-2017</t>
  </si>
  <si>
    <t>Cohen-Kaminsky, S (corresponding author), Univ Paris Sud, Fac Med, F-94275 Le Kremlin Bicetre, France.</t>
  </si>
  <si>
    <t>Universite Paris Saclay; Universite Paris Saclay; Institut National de la Sante et de la Recherche Medicale (Inserm); Hopital Marie Lannelongue; Universite Paris Saclay; Assistance Publique Hopitaux Paris (APHP); Hopital Universitaire Antoine-Beclere - APHP; Hopital Universitaire Bicetre - APHP; Technion Israel Institute of Technology</t>
  </si>
  <si>
    <t>[Cohen-Kaminsky, Sylvia; Perros, Frederic; Montani, David; Girerd, Barbara; Garcia, Gilles; Simonneau, Gerald; Humbert, Marc] Univ Paris Sud, Fac Med, F-94275 Le Kremlin Bicetre, France; [Cohen-Kaminsky, Sylvia; Perros, Frederic; Montani, David; Girerd, Barbara; Garcia, Gilles; Simonneau, Gerald; Humbert, Marc] INSERM UMR S 999, LabEx LERMIT, Le Plessis Robinson, France; [Cohen-Kaminsky, Sylvia; Perros, Frederic; Montani, David; Girerd, Barbara; Garcia, Gilles; Simonneau, Gerald; Humbert, Marc] Ctr Chirurg Marie Lannelongue, Le Plessis Robinson, France; [Cohen-Kaminsky, Sylvia; Perros, Frederic; Montani, David; Girerd, Barbara; Garcia, Gilles; Simonneau, Gerald; Humbert, Marc] Hop Bicetre, AP HP, DHU Thorax Innovat, Serv Pneumol, Le Kremlin Bicetre, France; [Cohen-Kaminsky, Sylvia; Nakhleh, Morad; Perros, Frederic; Montani, David; Girerd, Barbara; Garcia, Gilles; Simonneau, Gerald; Haick, Hossam; Humbert, Marc] Int Associated Lab INSERM TECHNION, Le Plessis Robinson, France; [Nakhleh, Morad; Haick, Hossam] Technion Israel Inst Technol, Haifa, Israel</t>
  </si>
  <si>
    <t>LUNG-CANCER</t>
  </si>
  <si>
    <t>A Proof of Concept for the Detection and Classification of Pulmonary Arterial Hypertension through Breath Analysis with a Sensor Array</t>
  </si>
  <si>
    <t>WOS:000324401900009</t>
  </si>
  <si>
    <t>217ZK</t>
  </si>
  <si>
    <t>10.1055/s-0033-1356489</t>
  </si>
  <si>
    <t>Humbert, Marc/0000-0003-0703-2892; Godot, Veronique/0000-0003-3557-308X; SITBON, Olivier/0000-0002-1942-1951</t>
  </si>
  <si>
    <t>Tcherakian, Colas/D-8813-2016; Sitbon, Olivier/I-3623-2019; Humbert, Marc/AAC-8459-2019; Godot, Veronique/A-7863-2015</t>
  </si>
  <si>
    <t>c.tcherakian@hopital-foch.org</t>
  </si>
  <si>
    <t>Tcherakian, C (corresponding author), Hop Foch, Serv Pneumol, 40 Rue Worth, Suresnes, France.</t>
  </si>
  <si>
    <t>Hospital Foch; Universite Paris Saclay; Hospital Foch; Universite Paris Saclay; 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 Institut National de la Sante et de la Recherche Medicale (Inserm); Universite Paris-Est-Creteil-Val-de-Marne (UPEC)</t>
  </si>
  <si>
    <t>[Tcherakian, Colas; Couderc, Louis-Jean] Hop Foch, Serv Pneumol, Suresnes, France; [Tcherakian, Colas; Couderc, Louis-Jean; Devillier, Philippe] Univ Versailles St Quentin En Yvelines, Fac Med Paris Ile de France Ouest, Versailles, France; [Tcherakian, Colas; Couderc, Louis-Jean; Devillier, Philippe] Univ Versailles St Quentin En Yvelines, Hop Foch, UPRES EA220, Versailles, France; [Humbert, Marc; Sitbon, Olivier] Univ Paris Sud, Fac Med, F-94275 Le Kremlin Bicetre, France; [Humbert, Marc; Sitbon, Olivier] Hop Bicetre, AP HP, DHU Thorax Innovat, Serv Pneumol, Le Kremlin Bicetre, France; [Humbert, Marc; Sitbon, Olivier] INSERM, Ctr Chirurg Marie Lannelongue, LabEx LERMIT, UMR S 999, Le Plessis Robinson, France; [Godot, Veronique] Univ Paris EstCreteil, Fac Med Creteil, INSERM, LabEx Vaccinal Res Inst,U955, Paris, France</t>
  </si>
  <si>
    <t>Pulmonary arterial hypertension (PAH) is a severe complication of human immunodeficiency virus (HIV) infection and a leading major cause of death when present. HIV-PAH could be the consequence of multiple hits including the direct effects of HIV proteins, use of illicit drugs, and chronic inflammation. Indeed, HIV infection has long been identified as an immunosuppressive disease but, since the advent of highly active antiretroviral treatments (HAART), HIV infection is considered as an inflammatory disease in which vascular complications have become a major cause of morbidity and death. Conversely to immunosuppression, which correlates with blood CD4 + T cell level, inflammation in HIV infection is due to the lack of gut CD4 + T cell restoration. Such gut T cell depletion favors lipopolysaccharide translocation and, in turn, chronic systemic interleukin-6 overproduction. Conversely to blood CD4 + T cells, gut CD4 + T cells are only partially restored with HAART, usually slowly after several months or years, with a large heterogeneity from one patient to another. These characteristics may cause chronic inflammation, and we hypothesize that PAH may occur because of this inflammatory component despite HAART, even with apparently good response to therapy (i.e., blood CD4 + T cell normalization and undetectable HIV load). Inflammation theory in HIV-PAH (as in other forms of PAH) could open new treatment options.</t>
  </si>
  <si>
    <t>HUMAN-IMMUNODEFICIENCY-VIRUS; ENDOTHELIAL-CELL GROWTH; ANTIRETROVIRAL THERAPY; IMMUNE ACTIVATION; TAT PROTEIN; HUMAN MONOCYTE/MACROPHAGES; MICROBIAL TRANSLOCATION; COAGULATION BIOMARKERS; DISEASE PROGRESSION; PROGNOSTIC-FACTORS</t>
  </si>
  <si>
    <t>human immunodeficiency virus; inflammation; interleukin-6; lipopolysaccharide; pulmonary arterial hypertension</t>
  </si>
  <si>
    <t>Inflammatory Mechanisms in HIV-Associated Pulmonary Arterial Hypertension</t>
  </si>
  <si>
    <t>Tcherakian, Colas; Couderc, Louis-Jean; Humbert, Marc; Godot, Veronique; Sitbon, Olivier; Devillier, Philippe</t>
  </si>
  <si>
    <t>Tcherakian, C; Couderc, LJ; Humbert, M; Godot, V; Sitbon, O; Devillier, P</t>
  </si>
  <si>
    <t>WOS:000324401900003</t>
  </si>
  <si>
    <t>10.1055/s-0033-1355439</t>
  </si>
  <si>
    <t>Souza, Rogerio/0000-0003-2789-9143; Humbert, Marc/0000-0003-0703-2892; Jardim, Carlos/0000-0003-0425-5548</t>
  </si>
  <si>
    <t>Souza, Rogerio/I-3584-2013; Humbert, Marc/AAC-8459-2019; Jardim, Carlos/N-8061-2017</t>
  </si>
  <si>
    <t>Souza, R (corresponding author), Univ Sao Paulo, Sch Med, Inst Heart, Dept Pulm, Av Dr Eneas de Carvalho Aguiar 44-5 &amp; B 2, BR-05403900 Sao Paulo, Brazil.</t>
  </si>
  <si>
    <t>Universidade de Sao Paulo</t>
  </si>
  <si>
    <t>[Souza, Rogerio; Jardim, Carlos] Univ Sao Paulo, Sch Med, Inst Heart, Dept Pulm, BR-05403900 Sao Paulo, Brazil; [Humbert, Marc] Univ South Paris Kremlin Bicetre, Paris, France</t>
  </si>
  <si>
    <t>Idiopathic pulmonary arterial hypertension (IPAH), formerly called primary pulmonary hypertension, is a rare disease (incidence and prevalence rates of approximately one and six cases per million inhabitants, respectively) with different clinical phenotypes. A group of diverse conditions manifest pulmonary arterial hypertension (PAH) and share similar pathological and/or clinical findings with IPAH. By definition, IPAH is diagnosed only after alternative diagnoses have been ruled out. Extensive investigation is needed to determine if PAH is associated with thyroid diseases, infectious diseases, autoimmune conditions, exposure to certain drugs (particularly anorexigens), certain genetic mutations, and so on. The presence of genetic abnormalities and risk factors (such as specific drug exposures) reinforces the multiple hit concept for the development of pulmonary hypertension. Fortunately, within the past two decades, therapeutic options have become available for IPAH, resulting in improved survival and clinical outcomes. At least seven different compounds have been registered for PAH treatment. However, even with aggressive PAH-specific therapy, mortality rates remain high (similar to 40% at 5 years). Given the high mortality rates, the use of combinations of agents that work by different pathways has been advocated (either as add-on therapy or initial up front therapy). Further, new therapeutic agents and treatment strategies are on the near horizon, aiming to further improve survival from the remarkable progress already seen.</t>
  </si>
  <si>
    <t>DOUBLE-BLIND; PREDICTING SURVIVAL; CLINICAL-OUTCOMES; ORAL TREPROSTINIL; THERAPY; BOSENTAN; EPOPROSTENOL; DIAGNOSIS; PROSTACYCLIN; EFFICACY</t>
  </si>
  <si>
    <t>idiopathic pulmonary arterial hypertension; pulmonary arterial hypertension; heritable PAH; epidemiology</t>
  </si>
  <si>
    <t>Idiopathic Pulmonary Arterial Hypertension</t>
  </si>
  <si>
    <t>Souza, Rogerio; Jardim, Carlos; Humbert, Marc</t>
  </si>
  <si>
    <t>Souza, R; Jardim, C; Humbert, M</t>
  </si>
  <si>
    <t>WOS:000326864003225</t>
  </si>
  <si>
    <t>250PA</t>
  </si>
  <si>
    <t>10.1378/chest.1783307</t>
  </si>
  <si>
    <t>1024A</t>
  </si>
  <si>
    <t>Rubin, Lewis/AEW-1719-2022; Menezes, Flavia/JDV-6626-2023; Langleben, David/AAJ-9152-2020; Humbert, Marc/AAC-8459-2019; Ghofrani, Ardeschir/AAD-5293-2020; Jing, Zhi-Cheng/AAT-9081-2021</t>
  </si>
  <si>
    <t>Riociguat for the Treatment of Pulmonary Arterial Hypertension (PAH): 1-Year Results from the PATENT-2 Long-term Extension Study</t>
  </si>
  <si>
    <t>Rubin, Lewis; Galie, Nazzareno; Grimminger, Friedrich; Gruenig, Ekkehard; Humbert, Marc; Jing, Zhi-Cheng; Keogh, Anne; Langleben, David; Fritsch, Arno; Menezes, Flavia; Neuser, Dieter; Ghofrani, Hossein</t>
  </si>
  <si>
    <t>Rubin, L; Galiè, N; Grimminger, F; Grünig, E; Humbert, M; Jing, ZC; Keogh, A; Langleben, D; Fritsch, A; Menezes, F; Neuser, D; Ghofrani, H</t>
  </si>
  <si>
    <t>WOS:000325359206012</t>
  </si>
  <si>
    <t>230RF</t>
  </si>
  <si>
    <t>S1101</t>
  </si>
  <si>
    <t>S1100</t>
  </si>
  <si>
    <t>Chung, Lorinda/0000-0003-0072-6939; FitzGerald, John/0000-0002-8419-7538</t>
  </si>
  <si>
    <t>Distler, Oliver/AAE-6225-2019; Langleben, David/AAJ-9152-2020; Humbert, Marc/AAC-8459-2019; HACHULLA, ERIC/R-8488-2018; furst, daniel/B-7316-2014; FitzGerald, John/T-5539-2018</t>
  </si>
  <si>
    <t>University of Michigan System; University of Michigan; University of Michigan System; University of Michigan; University of California System; University of California Los Angeles; Harvard University; Harvard University Medical Affiliates; Massachusetts General Hospital; Stanford University; University of Zurich; University Zurich Hospital; University of California System; University of California Los Angeles; Universite de Lille; CHU Lille; Hopital Marie Lannelongue; McGill University; Johns Hopkins University; St. Joseph's Hospital and Medical Center</t>
  </si>
  <si>
    <t>[Khanna, Dinesh] Univ Michigan, Med Ctr, Ann Arbor, MI USA; [Gladue, Heather; Visovatti, Scott H.; McLaughlin, Vallerie] Univ Michigan, Ann Arbor, MI 48109 USA; [Fitzgerald, John D.] Univ Calif Los Angeles, Sch Med Rehab 32 59, Los Angeles, CA USA; [Channick, Richard N.] Massachusetts Gen Hosp, Boston, MA 02114 USA; [Chung, Lorinda] Stanford Univ, Med Ctr, Palo Alto, CA 94304 USA; [Distler, Oliver] Univ Zurich Hosp, Dept Rheumatol, CH-8091 Zurich, Switzerland; [Furst, Daniel] Univ Calif Los Angeles, Los Angeles, CA USA; [Hachulla, Eric] Claude Huriez Univ Hosp, Lille, France; [Humbert, Marc] Ctr Chirurg Marie Lannelongue, Le Plessis Robinson, France; [Langleben, David] McGill Univ, Montreal, PQ, Canada; [Mathai, Stephen C.] Johns Hopkins Univ, Baltimore, MD USA; [Saggar, Rajeev] St Josephs Hosp, Phoenix, AZ USA</t>
  </si>
  <si>
    <t>OCT 25-30, 2013</t>
  </si>
  <si>
    <t>77th Annual Meeting of the American-College-of-Rheumatology / 48th Annual Meeting of the Association-of-Rheumatology-Health-Professionals</t>
  </si>
  <si>
    <t>Recommendations For Screening and Detection Of Connective-Tissue Disease Associated Pulmonary Arterial Hypertension</t>
  </si>
  <si>
    <t>Khanna, Dinesh; Gladue, Heather; Fitzgerald, John D.; Channick, Richard N.; Chung, Lorinda; Distler, Oliver; Furst, Daniel; Hachulla, Eric; Humbert, Marc; Langleben, David; Mathai, Stephen C.; Saggar, Rajeev; Visovatti, Scott H.; McLaughlin, Vallerie</t>
  </si>
  <si>
    <t>Khanna, D; Gladue, H; Fitzgerald, JD; Channick, RN; Chung, L; Distler, O; Furst, D; Hachulla, E; Humbert, M; Langleben, D; Mathai, SC; Saggar, R; Visovatti, SH; McLaughlin, V</t>
  </si>
  <si>
    <t>WOS:000324401900001</t>
  </si>
  <si>
    <t>10.1055/s-0033-1356495</t>
  </si>
  <si>
    <t>Humbert, M (corresponding author), INSERM, Ctr Chirurg Marie Lannelongue, LabEx LERMIT, U999, F-92350 Le Plessis Robinson, France.</t>
  </si>
  <si>
    <t>Universite Paris Saclay; Universite Paris Saclay; Assistance Publique Hopitaux Paris (APHP); Hopital Universitaire Antoine-Beclere - APHP; Hopital Universitaire Bicetre - APHP; Hopital Marie Lannelongue; Institut National de la Sante et de la Recherche Medicale (Inserm); Universite Paris Saclay</t>
  </si>
  <si>
    <t>[Humbert, Marc] Univ Paris Sud, Fac Med, F-94275 Le Kremlin Bicetre, France; [Humbert, Marc] Hop Bicetre, AP HP, Serv Pneumol, DHU Thorax Innovat, Le Kremlin Bicetre, France; [Humbert, Marc] INSERM, Ctr Chirurg Marie Lannelongue, LabEx LERMIT, U999, F-92350 Le Plessis Robinson, France</t>
  </si>
  <si>
    <t>Current Challenges in Pulmonary Hypertension</t>
  </si>
  <si>
    <t>WOS:000324401900015</t>
  </si>
  <si>
    <t>10.1055/s-0033-1356494</t>
  </si>
  <si>
    <t>Humbert, Marc/0000-0003-0703-2892; Godinas, Laurent/0000-0003-2214-5879; GUIGNABERT, Christophe/0000-0002-8545-4452; Seferian, Andrei/0000-0003-1007-433X; Perros, Frederic/0000-0001-7730-2427; Montani, David/0000-0002-9358-6922</t>
  </si>
  <si>
    <t>Godinas, Laurette/AAS-1059-2021; David, Montani/I-6885-2019; Bergot, Emmanuel/KHZ-1685-2024; Humbert, Marc/AAC-8459-2019; GUIGNABERT, Christophe/G-3873-2013; Perros, Frederic/N-6921-2017</t>
  </si>
  <si>
    <t>Universite Catholique Louvain; Universite Catholique Louvain Hospital; 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 Universite de Caen Normandie; CHU de Caen NORMANDIE; Universite de Caen Normandie; Institut National de la Sante et de la Recherche Medicale (Inserm)</t>
  </si>
  <si>
    <t>[Godinas, Laurent; Sibille, Yves] Univ Louvain, Clin Univ Mt Godinne, Pulm Sect, Yvoir, Belgium; [Guignabert, Christophe; Seferian, Andrei; Perros, Frederic; Humbert, Marc; Montani, David] Univ Paris Sud, F-94275 Le Kremlin Bicetre, France; [Guignabert, Christophe; Seferian, Andrei; Perros, Frederic; Humbert, Marc; Montani, David] Hop Bicetre, AP HP, Ctr Reference Hypertens Pulm Severe, Serv Pneumol,DHU Thorax Innovat, F-94270 Le Kremlin Bicetre, France; [Guignabert, Christophe; Seferian, Andrei; Perros, Frederic; Humbert, Marc; Montani, David] INSERM, Ctr Chirurg Marie Lannelongue, LabEx LERMIT, U999, Le Plessis Robinson, France; [Bergot, Emmanuel] CHU Caen, Serv Pneumol, F-14000 Caen, France; [Bergot, Emmanuel] HTAP, Ctr Reg Competence, Caen, France; [Bergot, Emmanuel] Univ Caen, INSERM, ER3, F-14032 Caen, France</t>
  </si>
  <si>
    <t>New treatments for pulmonary arterial hypertension (PAH) are a crucial need. The increased proliferation, migration, and survival of pulmonary vascular cells within the pulmonary artery wall in PAH have allowed successful transposition of pathophysiological elements from oncologic researches. Next steps will require translation of these biological advances in PAH therapeutic arsenal and guidelines. This review synthesizes recent data concerning the role of receptor tyrosine kinases and their inhibitors in PAH, with implications in animal models and humans. Results of clinical trials are now accumulating to establish beneficial role of tyrosine kinase inhibitors (TKIs) in PAH and further findings are expected in the near future. Beside this curative approach, evidences of a possible TKI-induced cardiotoxicity are emerging. These safety issues raise concern about a potential amplified harmful effect in PAH, a pathology characterized by an underlying cardiac dysfunction. In addition, analyses of PAH registries shed light on a selective pulmonary vascular toxicity triggered by TKIs, especially dasatinib. These possible dual effects of the TKIs in PAH need to be taken in account for future pharmacological development of this therapeutic class in PAH.</t>
  </si>
  <si>
    <t>GROWTH-FACTOR RECEPTOR; ENDOTHELIAL-CELL PROLIFERATION; MAST-CELLS; MULTIKINASE INHIBITOR; IMATINIB MESYLATE; DASATINIB TREATMENT; PLEXIFORM LESIONS; FACTOR EXPRESSION; TRANSGENIC MICE; HEART-FAILURE</t>
  </si>
  <si>
    <t>pulmonary arterial hypertension; receptor tyrosine kinase; imatinib; sorafenib; dasatinib; cardiotoxicity</t>
  </si>
  <si>
    <t>Tyrosine Kinase Inhibitors in Pulmonary Arterial Hypertension: A Double-Edge Sword?</t>
  </si>
  <si>
    <t>Godinas, Laurent; Guignabert, Christophe; Seferian, Andrei; Perros, Frederic; Bergot, Emmanuel; Sibille, Yves; Humbert, Marc; Montani, David</t>
  </si>
  <si>
    <t>Godinas, L; Guignabert, C; Seferian, A; Perros, F; Bergot, E; Sibille, Y; Humbert, M; Montani, D</t>
  </si>
  <si>
    <t>WOS:000327904700004</t>
  </si>
  <si>
    <t>264TU</t>
  </si>
  <si>
    <t>10.1016/j.rmr.2013.02.018</t>
  </si>
  <si>
    <t>Humbert, Marc/0000-0003-0703-2892; Bourdin, Arnaud/0000-0002-4645-5209; chanez, pascal/0000-0003-4059-0917</t>
  </si>
  <si>
    <t>Bourdin, A (corresponding author), CHU Montpellier, Hop Arnaud De Villeneuve, Dept Malad Resp, 371 Ave Doyen Giraud, F-34295 Montpellier 5, France.</t>
  </si>
  <si>
    <t>Universite de Montpellier; CHU de Montpellier; Universite Paris Saclay; Assistance Publique Hopitaux Paris (APHP); Hopital Universitaire Bicetre - APHP; Universite Paris Saclay; Universite Paris Saclay; Hopital Marie Lannelongue; Institut National de la Sante et de la Recherche Medicale (Inserm); Aix-Marseille Universite; Assistance Publique-Hopitaux de Marseille; Institut National de la Sante et de la Recherche Medicale (Inserm); Institut National de la Sante et de la Recherche Medicale (Inserm); Universite de Montpellier</t>
  </si>
  <si>
    <t>[Charriot, J.; Gamez, A. -S.; Bourdin, A.] CHU Montpellier, Hop Arnaud De Villeneuve, Dept Malad Resp, F-34295 Montpellier 5, France; [Humbert, M.] Univ Paris Sud, Fac Med, F-94276 Le Kremlin Bicetre, France; [Humbert, M.] Hop Kremlin Bicetre, AP HP, Ctr Natl Reference Hypertens Pulm Severe, Serv Pneumol &amp; Reanimat Resp, F-92140 Le Kremlin Bicetre, France; [Humbert, M.] Ctr Chirurg Marie Lannelongue, IPSIT, Inserm U999, F-92350 Le Plessis Robinson, France; [Chanez, P.] Aix Marseille Univ, AP HM, Dept Malad Resp, Inserm U 1067,UMR7733, F-13288 Marseille, France; [Chanez, P.; Bourdin, A.] Univ Montpellier I &amp; II, Inserm U1046, F-34295 Montpellier, France</t>
  </si>
  <si>
    <t>The pathophysiological mechanisms involved in the chronicity and phenotypic heterogeneity of asthma offer the prospect of new therapeutic opportunities. A better clinical and biological characterisation of selected patients has led to the development of targeted therapies. Studies are under way to demonstrate their efficacy and tolerance and also their impact on the natural history of the disease. This revue aims to examine the therapies, developed during the last ten years, that are based on the immunological mechanisms involved in the pathophysiology of asthma, essentially in its severe form. The rapid expansion of human monoclonal antibodies has allowed testing of various immunological pathways. Anti-IgE, anti- IL-5, and anti-IL-13 strategies seem the most promising. Antagonists to TNF-alpha and l'IL-4 have not succeeded in reducing the events related to severe asthma in a convincing manner. Molecules targeted against thymic stromal lymphopoietin (TSLP) and l'IL-9 are under development. These approaches are involved in the development of therapeutic programmes adapted to the patient's phenotype, that is to say a personalised approach to care. (C) 2013 Published by Elsevier Masson SAS on behalf of SPLF.</t>
  </si>
  <si>
    <t>IL-5 MESSENGER-RNA; THYMIC STROMAL LYMPHOPOIETIN; GENOME-WIDE ASSOCIATION; NECROSIS-FACTOR-ALPHA; CD8(+) T-CELLS; AIRWAY INFLAMMATION; MAST-CELLS; ANTI-IGE; DOUBLE-BLIND; RISK-FACTORS</t>
  </si>
  <si>
    <t>Asthma; Phenotypes; Targeted therapies</t>
  </si>
  <si>
    <t>Targeted therapies in severe asthma: The discovery of new molecules</t>
  </si>
  <si>
    <t>Charriot, J.; Gamez, A. -S.; Humbert, M.; Chanez, P.; Bourdin, A.</t>
  </si>
  <si>
    <t>Charriot, J; Gamez, AS; Humbert, M; Chanez, P; Bourdin, A</t>
  </si>
  <si>
    <t>WOS:000325489100045</t>
  </si>
  <si>
    <t>232JF</t>
  </si>
  <si>
    <t>10.1371/journal.pone.0075415</t>
  </si>
  <si>
    <t>e75415</t>
  </si>
  <si>
    <t>OCT 4</t>
  </si>
  <si>
    <t>This work was supported by a clinical research fellowship grant from the British Heart Foundation number F09/043 (LCP). SJW receives unrestricted educational grants from Pfizer, Bayer, GSK and Actelion. IMA receives project grants from the Wellcome Trust (093080) and Medical Research Council (G0801266). It was also supported by the Department of Health's National Institute Health Research Respiratory Disease Biomedical Research Centre at the Royal Brompton and Harefield National Health Service Foundation Trust, Imperial College London and University of Ferrara (GC and AP). The funders had no role in study design, data collection and analysis, decision to publish, or preparation of the manuscript.</t>
  </si>
  <si>
    <t>British Heart Foundation(British Heart Foundation); Pfizer(Pfizer); Bayer(Bayer AG); GSK(GlaxoSmithKline); Actelion; Wellcome Trust(Wellcome Trust); Medical Research Council(UK Research &amp; Innovation (UKRI)Medical Research Council UK (MRC)); Department of Health's National Institute Health Research Respiratory Disease Biomedical Research Centre at the Royal Brompton and Harefield National Health Service Foundation Trust; Imperial College London; University of Ferrara; MRC(UK Research &amp; Innovation (UKRI)Medical Research Council UK (MRC))</t>
  </si>
  <si>
    <t>British Heart Foundation [F09/043]; Pfizer; Bayer; GSK; Actelion; Wellcome Trust [093080]; Medical Research Council [G0801266]; Department of Health's National Institute Health Research Respiratory Disease Biomedical Research Centre at the Royal Brompton and Harefield National Health Service Foundation Trust; Imperial College London; University of Ferrara; MRC [G0801266] Funding Source: UKRI</t>
  </si>
  <si>
    <t>Caramori, Gaetano/0000-0002-9807-327X; Perros, Frederic/0000-0001-7730-2427; Dorfmuller, Peter/0000-0003-2499-6829; Dimopoulos, Konstantinos/0000-0003-1300-0504; Griffiths, Mark/0000-0002-1615-1896; Montani, David/0000-0002-9358-6922; Adcock, Ian/0000-0003-2101-8843; Humbert, Marc/0000-0003-0703-2892; PAPI, ALBERTO/0000-0002-6924-4500; Proudfoot, Alastair/0000-0001-9935-0438</t>
  </si>
  <si>
    <t>Proudfoot, Alastair/AAG-3235-2021; Adcock, Ian/L-3217-2019; David, Montani/I-6885-2019; Caramori, Gaetano/AAS-8611-2020; Papi, alberto/AAC-1888-2019; Dimopoulos, Konstantinos/AAD-5229-2019; Caramori, Gaetano/K-1323-2017; Perros, Frederic/N-6921-2017; Humbert, Marc/AAC-8459-2019</t>
  </si>
  <si>
    <t>Price, LC (corresponding author), Univ London Imperial Coll Sci Technol &amp; Med, Royal Brompton Hosp, Natl Heart &amp; Lung Inst, Unit Crit Care,Fac Med, London, England.</t>
  </si>
  <si>
    <t>Royal Brompton Hospital; Imperial College London; Royal Brompton Hospital; Imperial College London; Imperial College London; Universite Paris Saclay; Institut National de la Sante et de la Recherche Medicale (Inserm); Hopital Marie Lannelongue; Universite Paris Saclay; Assistance Publique Hopitaux Paris (APHP); Hopital Universitaire Antoine-Beclere - APHP; Universite Paris Saclay; Hopital Universitaire Bicetre - APHP; Hopital Marie Lannelongue; University of Ferrara</t>
  </si>
  <si>
    <t>[Price, Laura C.; Meng, Chao; Gambaryan, Natalia; Dimopoulos, Konstantinos; Shao, Dongmin; Mumby, Sharon; Proudfoot, Alastair; Griffiths, Mark; Wort, S. John] Univ London Imperial Coll Sci Technol &amp; Med, Royal Brompton Hosp, Natl Heart &amp; Lung Inst, Unit Crit Care,Fac Med, London, England; [Zhu, Jie] Univ London Imperial Coll Sci Technol &amp; Med, Royal Brompton Hosp, London, England; [Adcock, Ian M.] Univ London Imperial Coll Sci Technol &amp; Med, Fac Med, Natl Heart &amp; Lung Inst, Airways Dis Sect, London, England; [Perros, Frederic; Dorfmuller, Peter; Montani, David; Girerd, Barbara; Humbert, Marc] Univ Paris 11, Le Kremlin Bicetre, France; [Perros, Frederic; Dorfmuller, Peter; Montani, David; Girerd, Barbara; Humbert, Marc] Ctr Chirurg Marie Lannelongue, INSERM, LabEx LERMIT, UMR S 999, Le Plessis Robinson, France; [Montani, David; Girerd, Barbara; Humbert, Marc] Hop Bicetre, AP HP, Serv Pneumol, DHU Thorax Innovat, Le Kremlin Bicetre, France; [Dorfmuller, Peter] Ctr Chirurg Marie Lannelongue, Dept Pathol, Le Plessis Robinson, France; [Caramori, Gaetano; Casolari, Paolo; Papi, Alberto] Univ Ferrara, Sect Resp Dis, Ctr Interdipartimentale Studio Malattie Infiammat, I-44100 Ferrara, Italy</t>
  </si>
  <si>
    <t>Objectives: To assess activation of the inflammatory transcription factor NF-kappa B (NF-kappa B) in human idiopathic pulmonary arterial hypertension (PAH). Background: Idiopathic PAH is a severe progressive disease characterized by pulmonary vascular remodeling and excessive proliferation of vascular cells. Increasing evidence indicates that inflammation is important in disease pathophysiology. Methods: NF-kappa B-p65 and CD68, CD20 and CD45 were measured by immunohistochemistry and confocal microscopy on lung specimens from patients with idiopathic PAH (n = 12) and controls undergoing lung surgery (n = 14). Clinical data were recorded for all patients including invasive pulmonary hemodynamics for the PAH patients. Immunohistochemical images were analyzed by blinded observers to include standard pulmonary vascular morphometry; absolute macrophage counts/mm 2 and p65-positivity (p65+) using composite images and image-analysis software; and cytoplasmic: nuclear p65+ of individual pulmonary arterial endothelial and smooth muscle cells (PASMC) in 10-20 pulmonary arteries or arterioles per subject. The expression of ET-1 and CCL5 (RANTES) in whole lung was determined by RT-qPCR. Results: Macrophage numbers were increased in idiopathic PAH versus controls (49.0 +/- 4.5 vs. 7.95 +/- 1.9 macrophages/100 mm(2), p&lt;0.0001): these macrophages demonstrated more nuclear p65+ than in macrophages from controls (16.9 +/- 2.49 vs. 3.5 +/- 1.25%, p&lt;0.001). An increase in p65+ was also seen in perivascular lymphocytes in patients with PAH. Furthermore, NF-kappa B activation was increased in pulmonary arterial endothelial cells (62.3 +/- 2.9 vs. 14.4 +/- 3.8, p&lt;0.0001) and PASMC (22.6 +/- 2.3 vs. 11.2 +/- 2.0, p&lt;0.001) in patients with PAH versus controls, with similar findings in arterioles. Gene expression of both ET-1 mRNA ((0.213 +/- 0.069 vs. 1.06 +/- 0.23, p&lt;0.01) and CCL5 (RANTES) (0.16 +/- 0.045 vs. 0.26 +/- 0.039, p&lt;0.05) was increased in whole lung homogenates from patients with PAH. Conclusions: NF-kappa B is activated in pulmonary macrophages, lymphocytes, endothelial and PASMC in patients with end-stage idiopathic PAH. Future research should determine whether NF-kappa B activation is a driver or bystander of pulmonary vascular inflammation and if the former, its potential role as a therapeutic target.</t>
  </si>
  <si>
    <t>SMOOTH-MUSCLE-CELLS; TRANSCRIPTION FACTOR; PROINFLAMMATORY CYTOKINES; ALVEOLAR MACROPHAGES; INCREASED EXPRESSION; GROWTH-FACTORS; II RECEPTOR; INTERLEUKIN-6; INFLAMMATION; ENDOTHELIN-1</t>
  </si>
  <si>
    <t>Nuclear Factor κ-B Is Activated in the Pulmonary Vessels of Patients with End-Stage Idiopathic Pulmonary Arterial Hypertension</t>
  </si>
  <si>
    <t>Price, Laura C.; Caramori, Gaetano; Perros, Frederic; Meng, Chao; Gambaryan, Natalia; Dorfmuller, Peter; Montani, David; Casolari, Paolo; Zhu, Jie; Dimopoulos, Konstantinos; Shao, Dongmin; Girerd, Barbara; Mumby, Sharon; Proudfoot, Alastair; Griffiths, Mark; Papi, Alberto; Humbert, Marc; Adcock, Ian M.; Wort, S. John</t>
  </si>
  <si>
    <t>Price, LC; Caramori, G; Perros, F; Meng, C; Gambaryan, N; Dorfmuller, P; Montani, D; Casolari, P; Zhu, J; Dimopoulos, K; Shao, DM; Girerd, B; Mumby, S; Proudfoot, A; Griffiths, M; Papi, A; Humbert, M; Adcock, IM; Wort, SJ</t>
  </si>
  <si>
    <t>WOS:000325894100036</t>
  </si>
  <si>
    <t>gold, Green Published, Green Accepted, Green Submitted</t>
  </si>
  <si>
    <t>237TP</t>
  </si>
  <si>
    <t>10.1371/journal.pone.0077073</t>
  </si>
  <si>
    <t>e77073</t>
  </si>
  <si>
    <t>Mercier, Olaf/0000-0002-4760-6267; Dorfmuller, Peter/0000-0003-2499-6829; Perros, Frederic/0000-0001-7730-2427; Humbert, Marc/0000-0003-0703-2892</t>
  </si>
  <si>
    <t>Institut National de la Sante et de la Recherche Medicale (Inserm); Universite Paris Saclay; Hopital Marie Lannelongue</t>
  </si>
  <si>
    <t>[Izikki, Mohamed; Lecerf, Florence; Guin, Lauriane Lubert; Hoang, Eric; Dorfmueller, Peter; Perros, Frederic; Humbert, Marc; Simonneau, Gerald; Fadel, Elie; Eddahibi, Saadia] INSERM, U999, Le Plessis Robinson, France; [Mercier, Olaf; Lecerf, Florence; Dorfmueller, Peter; Dartevelle, Philippe; Fadel, Elie; Eddahibi, Saadia] Ctr Chirurg Marie Lannelongue, Le Plessis Robinson, France</t>
  </si>
  <si>
    <t>Background: Pulmonary hypertension (PH) is a progressive disorder characterized by an increase in pulmonary artery pressure and structural changes in the pulmonary vasculature. Several observations indicate that growth factors play a key role in PH by modulating pulmonary artery smooth muscle cell (PA-SMC) function. In rats, established monocrotaline-induced PH (MCT-PH) can be reversed by blocking platelet-derived growth factor receptors (PDGF-R), epidermal growth factor receptors (EGF-R), or fibroblast growth factor receptors (FGF-R). All these receptors belong to the receptor tyrosine kinase (RTK) family. Methods and Results: We evaluated whether RTK blockade by the nonspecific growth factor inhibitor, suramin, reversed advanced MCT-PH in rats via its effects on growth-factor signaling pathways. We found that suramin inhibited RTK and ERK1/2 phosphorylation in cultured human PA-SMCs. Suramin inhibited PA-SMC proliferation induced by serum, PDGF, FGF2, or EGF in vitro and ex vivo. Treatment with suramin from day 1 to day 21 after monocrotaline injection attenuated PH development, as shown by lower values for pulmonary artery pressure, right ventricular hypertrophy, and distal vessel muscularization on day 21 compared to control rats. Treatment with suramin from day 21 to day 42 after monocrotaline injection reversed established PH, thereby normalizing the pulmonary artery pressure values and vessel structure. Suramin treatment suppressed PA-SMC proliferation and attenuated both the inflammatory response and the deposition of collagen. Conclusions: RTK blockade by suramin can prevent MCT-PH and reverse established MCT-PH in rats. This study suggests that an anti-RTK strategy that targets multiple RTKs could be useful in the treatment of pulmonary hypertension.</t>
  </si>
  <si>
    <t>MUSCLE-CELL APOPTOSIS; GROWTH-FACTOR; ORGAN-CULTURE; DNA-SYNTHESIS; INHIBITION; PROLIFERATION; CARCINOMA; ARTERIES; BINDING</t>
  </si>
  <si>
    <t>The Beneficial Effect of Suramin on Monocrotaline-Induced Pulmonary Hypertension in Rats</t>
  </si>
  <si>
    <t>Izikki, Mohamed; Mercier, Olaf; Lecerf, Florence; Guin, Lauriane Lubert; Hoang, Eric; Dorfmueller, Peter; Perros, Frederic; Humbert, Marc; Simonneau, Gerald; Dartevelle, Philippe; Fadel, Elie; Eddahibi, Saadia</t>
  </si>
  <si>
    <t>Izikki, M; Mercier, O; Lecerf, F; Guin, LL; Hoang, E; Dorfmüller, P; Perros, F; Humbert, M; Simonneau, G; Dartevelle, P; Fadel, E; Eddahibi, S</t>
  </si>
  <si>
    <t>WOS:000326917100011</t>
  </si>
  <si>
    <t>251GZ</t>
  </si>
  <si>
    <t>10.1161/CIRCULATIONAHA.113.001873</t>
  </si>
  <si>
    <t>OCT 29</t>
  </si>
  <si>
    <t>Drs Rain and Vonk-Noordegraaf were supported by the Netherlands Organization for Health Research and Development (ZonMw 95110079). Drs Handoko (Mozaiek 017.002.122), Vonk-Noordegraaf (VIDI 917.96.306), and van der Velden (VIDI 917.11.344) are supported by the Netherlands Organization for Scientific Research, the Hague, the Netherlands. The National Institute of Health supported Dr Granzier (HL062881). Dr de Man is the recipient of a European Respiratory Society/Marie Curie Joint Research Fellowship (MC 1120-2009). The research leading to these results has received funding from the European Respiratory Society and the European Community's Seventh Framework Program FP7/2007-2013, Marie Curie Actions under grant agreement RESPIRE, PCOFUND-GA-2008-229571.</t>
  </si>
  <si>
    <t>Netherlands Organization for Health Research and Development(Netherlands Organization for Health Research and Development); Netherlands Organization for Scientific Research, the Hague, the Netherlands(Netherlands Organization for Scientific Research (NWO)Netherlands Government); National Institute of Health(United States Department of Health &amp; Human ServicesNational Institutes of Health (NIH) - USA); European Respiratory Society/Marie Curie Joint Research Fellowship; European Respiratory Society; European Community</t>
  </si>
  <si>
    <t>Netherlands Organization for Health Research and Development [ZonMw 95110079]; Netherlands Organization for Scientific Research, the Hague, the Netherlands [Mozaiek 017.002.122, VIDI 917.96.306, VIDI 917.11.344]; National Institute of Health [HL062881]; European Respiratory Society/Marie Curie Joint Research Fellowship [MC 1120-2009]; European Respiratory Society; European Community [PCOFUND-GA-2008-229571]</t>
  </si>
  <si>
    <t>Handoko-de Man, Frances/0000-0002-5776-7793; Stienen, Ger/0000-0001-5829-0328; van der Velden, Jolanda/0000-0001-5224-5788; Gan, Tji/0000-0002-1310-4189; GUIGNABERT, Christophe/0000-0002-8545-4452; Humbert, Marc/0000-0003-0703-2892; Dorfmuller, Peter/0000-0003-2499-6829</t>
  </si>
  <si>
    <t>Macdonald, Peter/Q-3188-2019; van der Velden, J/D-1925-2016; GUIGNABERT, Christophe/G-3873-2013; Humbert, Marc/AAC-8459-2019</t>
  </si>
  <si>
    <t>de Man, FS (corresponding author), Vrije Univ Amsterdam Med Ctr, Dept Pulmonol, Boelelaan 1117, NL-1081 HV Amsterdam, Netherlands.</t>
  </si>
  <si>
    <t>Vrije Universiteit Amsterdam; VU UNIVERSITY MEDICAL CENTER; Vrije Universiteit Amsterdam; VU UNIVERSITY MEDICAL CENTER; Vrije Universiteit Amsterdam; VU UNIVERSITY MEDICAL CENTER; Vrije Universiteit Amsterdam; VU UNIVERSITY MEDICAL CENTER; Universite Paris Saclay; Institut National de la Sante et de la Recherche Medicale (Inserm); Hopital Marie Lannelongue; Assistance Publique Hopitaux Paris (APHP); Hopital Universitaire Bicetre - APHP; Hopital Universitaire Antoine-Beclere - APHP; Universite Paris Saclay; NSW Health; St Vincents Hospital Sydney; Victor Chang Cardiac Research Institute; University of Sydney; University of Arizona</t>
  </si>
  <si>
    <t>[Rain, Silvia; Trip, Pia; Gan, C. Tji-Joong; Westerhof, Nico; Postmus, Piet E.; Vonk-Noordegraaf, Anton; de Man, Frances S.] Vrije Univ Amsterdam Med Ctr, Inst Cardiovasc Res, Dept Pulmonol, NL-1081 HV Amsterdam, Netherlands; [Rain, Silvia; Handoko, M. Louis; Westerhof, Nico; Stienen, Ger J.; Paulus, Walter J.; Ottenheijm, Coen A. C.; van der Velden, Jolanda; de Man, Frances S.] Vrije Univ Amsterdam Med Ctr, Inst Cardiovasc Res, Dept Physiol, NL-1081 HV Amsterdam, Netherlands; [Handoko, M. Louis] Vrije Univ Amsterdam Med Ctr, Inst Cardiovasc Res, Dept Cardiol, NL-1081 HV Amsterdam, Netherlands; [Marcus, J. Tim] Vrije Univ Amsterdam Med Ctr, Inst Cardiovasc Res, Dept Med Phys, NL-1081 HV Amsterdam, Netherlands; [Dorfmueller, Peter; Guignabert, Christophe; Humbert, Marc] Univ Paris 11, Le Kremlin Bicetre, France; [Dorfmueller, Peter; Guignabert, Christophe; Humbert, Marc] Ctr Chirurg Marie Lannelongue, INSERM UMR 999, LabEx LERMIT, Le Plessis Robinson, France; [Humbert, Marc] DHU Thorax Innovat, Serv Pneumol, Hop Bicetre, AP HP, Le Kremlin Bicetre, France; [MacDonald, Peter] St Vincents Hosp, Heart &amp; Lung Transplant Unit, Sydney, NSW 2010, Australia; [MacDonald, Peter] Victor Chang Cardiac Res Inst, Sydney, NSW, Australia; [dos Remedios, Cris] Univ Sydney, Inst Biomed Res, Muscle Res Unit, Sydney, NSW 2006, Australia; [Saripalli, Chandra; Hidalgo, Carlos G.; Granzier, Henk L.] Univ Arizona, Dept Physiol, Sarver Mol Cardiovasc Res Program, Tucson, AZ USA; [van der Velden, Jolanda] ICIN Netherlands Heart Inst, Utrecht, Netherlands</t>
  </si>
  <si>
    <t>Background The role of right ventricular (RV) diastolic stiffness in pulmonary arterial hypertension (PAH) is not well established. Therefore, we investigated the presence and possible underlying mechanisms of RV diastolic stiffness in PAH patients. Methods and Results Single-beat RV pressure-volume analyses were performed in 21 PAH patients and 7 control subjects to study RV diastolic stiffness. Data are presented as meanSEM. RV diastolic stiffness () was significantly increased in PAH patients (PAH, 0.050 +/- 0.005 versus control, 0.029 +/- 0.003; P&lt;0.05) and was closely associated with disease severity. Subsequently, we searched for possible underlying mechanisms using RV tissue of PAH patients undergoing heart/lung transplantation and nonfailing donors. Histological analyses revealed increased cardiomyocyte cross-sectional areas (PAH, 453 +/- 31 m(2) versus control, 218 +/- 21 m(2); P&lt;0.001), indicating RV hypertrophy. In addition, the amount of RV fibrosis was enhanced in PAH tissue (PAH, 9.6 +/- 0.7% versus control, 7.2 +/- 0.6%; P&lt;0.01). To investigate the contribution of stiffening of the sarcomere (the contractile apparatus of RV cardiomyocytes) to RV diastolic stiffness, we isolated and membrane-permeabilized single RV cardiomyocytes. Passive tension at different sarcomere lengths was significantly higher in PAH patients compared with control subjects (&gt;200%; P-interaction&lt;0.001), indicating stiffening of RV sarcomeres. An important regulator of sarcomeric stiffening is the sarcomeric protein titin. Therefore, we investigated titin isoform composition and phosphorylation. No alterations were observed in titin isoform composition (N2BA/N2B ratio: PAH, 0.78 +/- 0.07 versus control, 0.91 +/- 0.08), but titin phosphorylation in RV tissue of PAH patients was significantly reduced (PAH, 0.16 +/- 0.01 arbitrary units versus control, 0.20 +/- 0.01 arbitrary units; P&lt;0.05). Conclusions RV diastolic stiffness is significantly increased in PAH patients, with important contributions from increased collagen and intrinsic stiffening of the RV cardiomyocyte sarcomeres.</t>
  </si>
  <si>
    <t>HEART-FAILURE; EJECTION FRACTION; RESTING TENSION; DYSFUNCTION; PRESSURE; TITIN; STIFFNESS; SURVIVAL; RATS</t>
  </si>
  <si>
    <t>diastole; heart failure; hypertension; pulmonary; sarcomeres</t>
  </si>
  <si>
    <t>Right Ventricular Diastolic Impairment in Patients With Pulmonary Arterial Hypertension</t>
  </si>
  <si>
    <t>Rain, Silvia; Handoko, M. Louis; Trip, Pia; Gan, C. Tji-Joong; Westerhof, Nico; Stienen, Ger J.; Paulus, Walter J.; Ottenheijm, Coen A. C.; Marcus, J. Tim; Dorfmueller, Peter; Guignabert, Christophe; Humbert, Marc; MacDonald, Peter; dos Remedios, Cris; Postmus, Piet E.; Saripalli, Chandra; Hidalgo, Carlos G.; Granzier, Henk L.; Vonk-Noordegraaf, Anton; van der Velden, Jolanda; de Man, Frances S.</t>
  </si>
  <si>
    <t>Rain, S; Handoko, ML; Trip, P; Gan, CTJ; Westerhof, N; Stienen, GJ; Paulus, WJ; Ottenheijm, CAC; Marcus, JT; Dorfmüller, P; Guignabert, C; Humbert, M; MacDonald, P; dos Remedios, C; Postmus, PE; Saripalli, C; Hidalgo, CG; Granzier, HL; Vonk-Noordegraaf, A; van der Velden, J; de Man, FS</t>
  </si>
  <si>
    <t>WOS:000327143700018</t>
  </si>
  <si>
    <t>254DI</t>
  </si>
  <si>
    <t>10.1378/chest.12-2659</t>
  </si>
  <si>
    <t>SITBON, Olivier/0000-0002-1942-1951; CHEMLA, Denis/0000-0001-7479-9896; JAIS, XAVIER/0000-0002-4104-7994; GUNTHER, Sven/0000-0001-8388-6131; Humbert, Marc/0000-0003-0703-2892</t>
  </si>
  <si>
    <t>Simonneau, Gerald/ABE-6614-2020; Günther, Sven/ACV-7191-2022; Sitbon, Olivier/I-3623-2019; Savale, Laurent/AAJ-9781-2020; GUNTHER, Sven/P-4177-2017; Humbert, Marc/AAC-8459-2019</t>
  </si>
  <si>
    <t>Sztrymf, B (corresponding author), Hop Antoine Beclere, 157 Rue Porte Trivaux, F-92140 Clamart, France.</t>
  </si>
  <si>
    <t>Assistance Publique Hopitaux Paris (APHP); Hopital Universitaire Antoine-Beclere - APHP; Assistance Publique Hopitaux Paris (APHP); Hopital Universitaire Antoine-Beclere - APHP; Universite Paris Saclay; Universite Paris Saclay; Assistance Publique Hopitaux Paris (APHP); Hopital Universitaire Bicetre - APHP; Hopital Universitaire Antoine-Beclere - APHP; Institut National de la Sante et de la Recherche Medicale (Inserm)</t>
  </si>
  <si>
    <t>[Sztrymf, Benjamin] Hop Antoine Beclere, AP HP, F-92140 Clamart, France; [Sztrymf, Benjamin; Chemla, Denis] AP HP, EA 4533, Clamart, France; [Sztrymf, Benjamin; Guenther, Sven; Artaud-Macari, Elise; Savale, Laurent; Jais, Xavier; Sitbon, Olivier; Simonneau, Gerald; Humbert, Marc; Chemla, Denis] Univ Paris 11, Fac Med, Le Kremlin Bicetre, France; [Sztrymf, Benjamin; Guenther, Sven; Artaud-Macari, Elise; Savale, Laurent; Jais, Xavier; Sitbon, Olivier; Simonneau, Gerald; Humbert, Marc] Hop Bicetre, AP HP, Serv Pneumol, Le Kremlin Bicetre, France; [Sztrymf, Benjamin; Humbert, Marc] INSERM, U999, F-94275 Le Kremlin Bicetre, France</t>
  </si>
  <si>
    <t>Background: Novel noninvasive tools may improve the management of patients with pulmonary hypertension (PH) experiencing heart failure. Major right ventricle overload leads to decreased stroke volume, which shortens left ventricular ejection time (LVET). Our arterial tonometry study tested the hypothesis that LVET carries prognostic value in patients with precapillary PH with heart failure. Methods: Clinical, biologic, and radial artery tonometry variables were prospectively obtained at admission and at day 3 to 5 in 53 consecutive patients with PH admitted to our ICU for clinical deterioration. LVET was measured from the reconstructed aortic pressure curve. Results: Overall ICU mortality (median stay, 5 days) was 17%. At admission, the LVET was shorter in patients with unfavorable outcome (median, 228 milliseconds [25th-75th percentiles, 212-278 milliseconds] vs 257 milliseconds [237-277 milliseconds], P = .032), whereas other tonometric indices were similar. The LVET at entry (237 milliseconds) had 73% sensitivity and 89% specificity for identifying death in the ICU. Other prognostic factors at admission were higher serum levels of brain natriuretic peptide (BNP) and creatinine and lower natremia. Dobutamine requirement, higher furosemide dose, and higher oxygen flow were associated with unfavorable outcome. At the second evaluation, higher serum levels of creatinine and BNP, higher furosemide dose and oxygen flow, and dobutamine or norepinephrine requirement were associated with poor outcome. The change in LVET between admission and follow-up measurement was not associated with outcome. The 90-day mortality was 28%. Conclusions: Shortened LVET at ICU admission was a prognostic factor in patients with precapillary PH with heart failure. Previously documented prognostic factors were also confirmed in this cohort.</t>
  </si>
  <si>
    <t>CARDIAC MYOSIN ACTIVATOR; WAVE-FORM; ARTERIAL-HYPERTENSION; OMECAMTIV MECARBIL; AORTIC PRESSURE; MECHANISMS; CURVATURE; HYPOXEMIA</t>
  </si>
  <si>
    <t>Left Ventricular Ejection Time in Acute Heart Failure Complicating Precapillary Pulmonary Hypertension</t>
  </si>
  <si>
    <t>Sztrymf, Benjamin; Guenther, Sven; Artaud-Macari, Elise; Savale, Laurent; Jais, Xavier; Sitbon, Olivier; Simonneau, Gerald; Humbert, Marc; Chemla, Denis</t>
  </si>
  <si>
    <t>Sztrymf, B; Günther, S; Artaud-Macari, E; Savale, L; Jaïs, X; Sitbon, O; Simonneau, G; Humbert, M; Chemla, D</t>
  </si>
  <si>
    <t>WOS:000332162905067</t>
  </si>
  <si>
    <t>AC0CR</t>
  </si>
  <si>
    <t>TU, Ly/G-4035-2013; GUIGNABERT, Christophe/G-3873-2013; David, Montani/I-6885-2019; Humbert, Marc/AAC-8459-2019</t>
  </si>
  <si>
    <t>[Andrei, Seferian; Ly, Tu; Carole, Phan; Alice, Huertas; David, Montani; Marc, Humbert; Christophe, Guignabert] INSERM, Cardiovasc Rsch Dept, UMR 999, Le Plessis Robinson, France</t>
  </si>
  <si>
    <t>Pulmonary hypertension; Drugs; Pulmonary circulation; Vascular resistance; Endothelium</t>
  </si>
  <si>
    <t>NOV 16-17, 2013</t>
  </si>
  <si>
    <t>Scientific Sessions and Resuscitation Science Symposium of the American-Heart-Association</t>
  </si>
  <si>
    <t>Effects of Broad Spectrum Tyrosine Kinase Inhibitor on Pulmonary Circulation Homeostasis</t>
  </si>
  <si>
    <t>Andrei, Seferian; Ly, Tu; Carole, Phan; Alice, Huertas; David, Montani; Marc, Humbert; Christophe, Guignabert</t>
  </si>
  <si>
    <t>Andrei, S; Ly, T; Carole, P; Alice, H; David, M; Marc, H; Christophe, G</t>
  </si>
  <si>
    <t>WOS:000327482900010</t>
  </si>
  <si>
    <t>258TZ</t>
  </si>
  <si>
    <t>10.1007/s11906-013-0394-8</t>
  </si>
  <si>
    <t>O'Callaghan, Dermot/0000-0002-0561-5800; Humbert, Marc/0000-0003-0703-2892</t>
  </si>
  <si>
    <t>yanr222@sina.cn; dsocallaghan@mater.ie; marc.humbert@bct.aphp.fr</t>
  </si>
  <si>
    <t>Wu, Y (corresponding author), Fu Wai Hosp, State Key Lab Cardiovasc Dis, Thrombosis Med Ctr, 167 Beilishi Rd, Beijing 100037, Peoples R China.</t>
  </si>
  <si>
    <t>Chinese Academy of Medical Sciences - Peking Union Medical College; Fu Wai Hospital - CAMS; Chinese Academy of Medical Sciences - Peking Union Medical College; Fu Wai Hospital - CAMS; University College Dublin; Mater Misericordiae University Hospital; Universite Paris Saclay; Universite Paris Saclay; Assistance Publique Hopitaux Paris (APHP); Hopital Universitaire Bicetre - APHP; Hopital Universitaire Antoine-Beclere - APHP; Institut National de la Sante et de la Recherche Medicale (Inserm)</t>
  </si>
  <si>
    <t>[Wu, Yan] Fu Wai Hosp, State Key Lab Cardiovasc Dis, Thrombosis Med Ctr, Beijing 100037, Peoples R China; [Wu, Yan] Natl Ctr Cardiovasc Dis, Beijing 100037, Peoples R China; [O'Callaghan, Dermot S.] Mater Misericordiae Univ Hosp, Dept Resp Med, Dublin 7, Ireland; [Humbert, Marc] Univ Paris Sud, Fac Med, F-94275 Le Kremlin Bicetre, France; [Humbert, Marc] Hop Bicetre, AP HP, Serv Pneumol, DHU Thorax Innovat, Le Kremlin Bicetre, France; [Humbert, Marc] INSERM, U999, LabEx LERMIT, F-94275 Le Kremlin Bicetre, France</t>
  </si>
  <si>
    <t>Over the past 20 years, great progress has been made in the treatment of pulmonary arterial hypertension (PAH). Available therapies target one of three principal pathways: the endothelin (ET), nitric oxide (NO) or the prostacyclin (PGI2) pathway. Evidence shows that current drugs, used either as monotherapy or in different combinations, can improve exercise capacity, clinical symptoms, hemodynamics and even survival in PAH. Unfortunately, the disease remains incurable and the prognosis of the disease is still poor. However, existing and novel potent antiproliferative therapies are being explored, and new agents targeting different and/or additional pathways are likely to become available to clinicians in the near future. Promising candidates include tyrosine kinase antagonists (e.g. imatinib); soluble guanylate cyclase stimulators (riociguat); an oral analog of prostacyclin (selexipag); and a tissue targeting endothelin receptor antagonist (macitentan). Phase II or III trials have either been completed or are underway to evaluate the safety and efficacy of these various therapies.</t>
  </si>
  <si>
    <t>ENDOTHELIN RECEPTOR ANTAGONIST; VASOACTIVE-INTESTINAL-PEPTIDE; SEROTONIN REUPTAKE INHIBITORS; RANDOMIZED CONTROLLED-TRIAL; CONNECTIVE-TISSUE DISEASE; PLACEBO-CONTROLLED TRIAL; DOUBLE-BLIND; COMBINATION THERAPY; INHALED ILOPROST; INTRAVENOUS EPOPROSTENOL</t>
  </si>
  <si>
    <t>Pulmonary arterial hypertension; Prostanoids; Phosphodiesterase type-5 inhibitor; Endothelin receptor antagonist; Tyrosine kinase antagonist; Selective serotonin receptor inhibitor; Vasoactive intestinal peptid; Rho-kinase inhibitor; Combination therapy</t>
  </si>
  <si>
    <t>An Update on Medical Therapy for Pulmonary Arterial Hypertension</t>
  </si>
  <si>
    <t>Wu, Yan; O'Callaghan, Dermot S.; Humbert, Marc</t>
  </si>
  <si>
    <t>Wu, Y; O'Callaghan, DS; Humbert, M</t>
  </si>
  <si>
    <t>WOS:000330518700149</t>
  </si>
  <si>
    <t>301FR</t>
  </si>
  <si>
    <t>10.1136/thoraxjnl-2013-204457.149</t>
  </si>
  <si>
    <t>A73</t>
  </si>
  <si>
    <t>Adcock, Ian/L-3217-2019; Humbert, Marc/AAC-8459-2019; Perros, Frederic/N-6921-2017</t>
  </si>
  <si>
    <t>[Shao, D.; Gambaryan, N.; Meng, C.; Adcock, I.; Wort, S.] Univ London Imperial Coll Sci Technol &amp; Med, London, England; [Perros, F.; Humbert, M.] Univ Paris Sud, Paris, France</t>
  </si>
  <si>
    <t>DEC 04-06, 2013</t>
  </si>
  <si>
    <t>THE ROLE OF H3K27 METHYLATION IN VASCULAR ENDOTHELIAL CELL PROLIFERATION AND FUNCTION: IMPLICATIONS FOR PULMONARY ARTERIAL HYPERTENSION</t>
  </si>
  <si>
    <t>Shao, D.; Gambaryan, N.; Meng, C.; Perros, F.; Humbert, M.; Adcock, I.; Wort, S.</t>
  </si>
  <si>
    <t>Shao, D; Gambaryan, N; Meng, C; Perros, F; Humbert, M; Adcock, I; Wort, S</t>
  </si>
  <si>
    <t>WOS:000329086900018</t>
  </si>
  <si>
    <t>281GB</t>
  </si>
  <si>
    <t>10.1016/j.ccm.2013.08.002</t>
  </si>
  <si>
    <t>Humbert, Marc/0000-0003-0703-2892; O'Callaghan, Dermot/0000-0002-0561-5800</t>
  </si>
  <si>
    <t>caroline1597@hotmail.com</t>
  </si>
  <si>
    <t>O'Connell, C (corresponding author), Mater Misericordiae Univ Hosp, Dept Resp Med, 56 Eccles St, Dublin 7, Ireland.</t>
  </si>
  <si>
    <t>Mater Misericordiae University Hospital; University College Dublin; Universite Paris Saclay; Assistance Publique Hopitaux Paris (APHP); Hopital Universitaire Antoine-Beclere - APHP; Hopital Universitaire Bicetre - APHP; Universite Paris Saclay; Universite Paris Saclay; Institut National de la Sante et de la Recherche Medicale (Inserm)</t>
  </si>
  <si>
    <t>[O'Connell, Caroline; O'Callaghan, Dermot S.] Mater Misericordiae Univ Hosp, Dept Resp Med, Dublin 7, Ireland; [Humbert, Marc] Paris South Univ, Fac Med, F-94276 Le Kremlin Bicetre, France; [Humbert, Marc] Hop Bicetre, AP HP, DHU Thorax Innovat, Dept Resp Med, F-94275 Le Kremlin Bicetre, France; [Humbert, Marc] INSERM, U999, LabEx LERMIT, F-92350 Le Plessis Robinson, France</t>
  </si>
  <si>
    <t>Available targeted therapies for pulmonary arterial hypertension are capable only of slowing progression of the disease and a cure remains elusive. However with the improved understanding of the pulmonary vascular remodeling that characterizes the disease, there is optimism that the disconnect between preclinical and clinical studies may be bridged with some of the newer therapies that are now at different stages of clinical evaluation. This article examines the evidence behind these new candidate treatments that may become part of the arsenal available for clinicians managing this devastating disease.</t>
  </si>
  <si>
    <t>CONVERTING ENZYME 2; ENDOTHELIN RECEPTOR ANTAGONIST; VASOACTIVE-INTESTINAL-PEPTIDE; SOLUBLE GUANYLATE-CYCLASE; RHO-KINASE INHIBITOR; PROGENITOR CELLS; MULTIKINASE INHIBITOR; DELIVERY-SYSTEM; NITRIC-OXIDE; SEROTONIN</t>
  </si>
  <si>
    <t>Endothelial progenitor cells; Endothelin receptor antagonists; Guanylate cyclase stimulators; Prostacyclin receptor agonists; Rho-kinase inhibitors; Tyrosine kinase inhibitors</t>
  </si>
  <si>
    <t>Novel Medical Therapies for Pulmonary Arterial Hypertension</t>
  </si>
  <si>
    <t>O'Connell, Caroline; O'Callaghan, Dermot S.; Humbert, Marc</t>
  </si>
  <si>
    <t>O'Connell, C; O'Callaghan, DS; Humbert, M</t>
  </si>
  <si>
    <t>WOS:000326877500013</t>
  </si>
  <si>
    <t>Green Published, hybrid, Green Submitted</t>
  </si>
  <si>
    <t>250TJ</t>
  </si>
  <si>
    <t>10.1136/annrheumdis-2012-202489</t>
  </si>
  <si>
    <t>This is an academic registry and was supported in part by Actelion Pharmaceuticals Ltd., which funded statistical analysis and editorial assistance.</t>
  </si>
  <si>
    <t>SITBON, Olivier/0000-0002-1942-1951; Humbert, Marc/0000-0003-0703-2892; Launay, David/0000-0003-1840-1817; HACHULLA, ERIC/0000-0001-7432-847X</t>
  </si>
  <si>
    <t>Simonneau, Gerald/ABE-6614-2020; Launay, David/A-5270-2018; meroni, pier/K-8473-2016; Sitbon, Olivier/I-3623-2019; HACHULLA, ERIC/R-8488-2018; Humbert, Marc/AAC-8459-2019; Launay, David/H-1674-2016</t>
  </si>
  <si>
    <t>Universite de Lille; CHU Lille; Universite de Lille; Universite Paris Saclay; Universite Paris Saclay; Assistance Publique Hopitaux Paris (APHP); Hopital Universitaire Antoine-Beclere - APHP; Hopital Universitaire Bicetre - APHP; Institut National de la Sante et de la Recherche Medicale (Inserm); Hopital Marie Lannelongue; Universite Paris Saclay; Universite Paris Cite; Assistance Publique Hopitaux Paris (APHP); Hopital Universitaire Cochin - APHP; Actelion Pharmaceuticals Ltd; CHU Lyon</t>
  </si>
  <si>
    <t>[Launay, David; Hachulla, Eric] Univ Lille Nord France, Ctr Reference Sclerodermie Syst, Serv Med Interne, Hop Claude Huriez, Lille, France; [Launay, David; Hachulla, Eric] Univ Lille Nord France, Lab Immunol EA2686, Lille, France; [Sitbon, Olivier; Rottat, Laurence; Simonneau, Gerald; Humbert, Marc] Univ Paris 11, Fac Med, Le Kremlin Bicetre, France; [Sitbon, Olivier; Rottat, Laurence; Simonneau, Gerald; Humbert, Marc] Hop Bicetre, AP HP, Serv Pneumol, DHU Thorax Innovat, Le Kremlin Bicetre, France; [Sitbon, Olivier; Rottat, Laurence; Simonneau, Gerald; Humbert, Marc] Ctr Chirurg Marie Lannelongue, INSERM U999, LabEx LERMIT, Le Plessis Robinson, France; [Mouthon, Luc] Univ Paris 05, Serv Med Interne, Ctr Reference Vascularites Necrosantes &amp; Sclerode, Hop Cochin, Paris, France; [Gressin, Virginie] Actelion Pharmaceut, Paris, France; [Clerson, Pierre] Orgametrie, Roubaix, France; [Cordier, Jean-Francois] Hosp Civils Lyon, Ctr Reference Malad Pulm Rares, Serv Pneumol, Lyon, France</t>
  </si>
  <si>
    <t>Objective To assess the survival and prognostic factors in patients with newly diagnosed incident systemic sclerosis (SSc)-associated pulmonary arterial hypertension (PAH) in the modern management era. Methods Prospectively enrolled SSc patients in the French PAH Network between January 2006 and November 2009, with newly diagnosed PAH and no interstitial lung disease, were analysed (85 patients, mean age 64.912.2years). Median follow-up after PAH diagnosis was 2.32years. Results A majority of patients were in NYHA functional class III-IV (79%). Overall survival was 90% (95% CI 81% to 95%), 78% (95% CI 67% to 86%) and 56% (95% CI 42% to 68%) at 1, 2 and 3years from PAH diagnosis, respectively. Age (HR: 1.05, 95% CI 1.01 to 1.09, p=0.012) and cardiac index (HR: 0.49, 95% CI 0.27 to 0.89, p=0.019) were significant predictors in the univariate analysis. We also observed strong trends for gender, SSc subtypes, New York Heart Association functional class, pulmonary vascular resistance and capacitance to be significant predictors in the univariate analysis. Conversely, six-min walk distance, mean pulmonary arterial and right atrial pressures were not significant predictors. In the multivariate model, gender was the only independent factor associated with survival (HR: 4.76, 95% CI 1.35 to 16.66, p=0.015 for male gender). Conclusions Incident SSc-associated PAH remains a devastating disease even in the modern management era. Age, male gender and cardiac index were the main prognosis factors in this cohort of patients. Early detection of less severe patients should be a priority.</t>
  </si>
  <si>
    <t>INTERSTITIAL LUNG-DISEASE; BRAIN NATRIURETIC PEPTIDE; 6-MINUTE WALK TEST; CLINICAL CHARACTERISTICS; SCLERODERMA SPECTRUM; OUTCOME MEASURE; BOSENTAN; MONOTHERAPY; VALIDATION; SILDENAFIL</t>
  </si>
  <si>
    <t>Systemic Sclerosis; Outcomes research; Treatment</t>
  </si>
  <si>
    <t>Survival in systemic sclerosis-associated pulmonary arterial hypertension in the modern management era</t>
  </si>
  <si>
    <t>Launay, David; Sitbon, Olivier; Hachulla, Eric; Mouthon, Luc; Gressin, Virginie; Rottat, Laurence; Clerson, Pierre; Cordier, Jean-Francois; Simonneau, Gerald; Humbert, Marc</t>
  </si>
  <si>
    <t>Launay, D; Sitbon, O; Hachulla, E; Mouthon, L; Gressin, V; Rottat, L; Clerson, P; Cordier, JF; Simonneau, G; Humbert, M</t>
  </si>
  <si>
    <t>WOS:000327692600022</t>
  </si>
  <si>
    <t>Green Accepted, Green Submitted, hybrid, Green Published</t>
  </si>
  <si>
    <t>261VL</t>
  </si>
  <si>
    <t>10.1002/art.38172</t>
  </si>
  <si>
    <t>Funded by the Scleroderma Foundation and the Pulmonary Hypertension Association, which received unrestricted educational grants from Actelion, Gilead, and United Therapeutics to support development of these recommendations. Dr. Khanna's work was supported by the NIH (National Institute of Arthritis and Musculoskeletal and Skin Diseases grant K24-AR-063120-02). Dr. Chung's work was supported by the Scleroderma Research Foundation. Dr. Mathai's work was supported by the NIH and the Pulmonary Hypertension Association through a jointly sponsored grant (National Heart, Lung, and Blood Institute, K23-HL-093387). Dr. Khanna has received consulting fees, speaking fees, and/or honoraria from United Therapeutics, Roche, Bristol-Myers Squibb, Gilead, Pfizer, Digna Biotech, and Impact Pharmaceutical Services (less than $10,000 each) and from Actelion (more than $10,000). Dr. Channick has received consulting fees, speaking fees, and/or honoraria from Actelion, United Therapeutics, and Bayer (less than $10,000 each). Dr. Chung has received consulting fees, speaking fees, and/or honoraria from Gilead (less than $10,000). Dr. Distler has received consulting fees, speaking fees, and/or honoraria from Bayer, Pfizer, ErgoNex, Bristol-Myers Squibb, Sanofi-Aventis, Sinoxa, United BioSource, Medac, Swedish Orphan Biovitrum, Boehringer Ingelheim Pharma, Novartis, and Active Biotech (less than $10,000 each) and from Actelion and 4D Science (more than $10,000 each); he also has a patent for the use of microRNA-29 for the treatment of systemic sclerosis. Dr. Hachulla has received consulting fees, speaking fees, and/or honoraria from Actelion, Pfizer, Lilly, United Therapeutics, and GlaxoSmithKline (less than $10,000 each). Dr. Humbert has received consulting fees, speaking fees, and/or honoraria from Actelion, Aires Pharmaceuticals, Bayer, GlaxoSmithKline, Novartis, and Pfizer (less than $10,000 each). Dr. Langleben has received consulting fees, speaking fees, and/or honoraria from Actelion, Bayer, Novartis, Pfizer, GlaxoSmithKline, Lilly, and United Therapeutics (less than $10,000 each). Dr. Mathai has received consulting fees, speaking fees, and/or honoraria from Bayer Healthcare, United Therapeutics, and Actelion (less than $10,000 each). Dr. Saggar has received consulting fees, speaking fees, and/or honoraria from United Therapeutics, Gilead, Actelion, and Bayer (less than $10,000 each). Dr. McLaughlin has received consulting fees, speaking fees, and/or honoraria from Merck (less than $10,000) and from Actelion, Bayer, Gilead, and United Therapeutics (more than $10,000 each); she also has received institutional grants and research support from Actelion, Bayer, and Novartis.</t>
  </si>
  <si>
    <t>Scleroderma Foundation; Actelion; Gilead(Gilead Sciences); United Therapeutics; NIH (National Institute of Arthritis and Musculoskeletal and Skin Diseases)(United States Department of Health &amp; Human ServicesNational Institutes of Health (NIH) - USANIH National Institute of Arthritis &amp; Musculoskeletal &amp; Skin Diseases (NIAMS)); Scleroderma Research Foundation; NIH(United States Department of Health &amp; Human ServicesNational Institutes of Health (NIH) - USA); Pulmonary Hypertension Association; National Heart, Lung, and Blood Institute(United States Department of Health &amp; Human ServicesNational Institutes of Health (NIH) - USANIH National Heart Lung &amp; Blood Institute (NHLBI)); Roche(Roche Holding); Bristol-Myers Squibb(Bristol-Myers Squibb); Pfizer(Pfizer); Digna Biotech; Impact Pharmaceutical Services; Bayer(Bayer AG); ErgoNex; Sanofi-Aventis(Sanofi-Aventis); Sinoxa; United BioSource; Medac; Swedish Orphan Biovitrum; Boehringer Ingelheim Pharma(Boehringer Ingelheim); Novartis(Novartis); Active Biotech; 4D Science; Lilly(Eli Lilly); GlaxoSmithKline(GlaxoSmithKline); Aires Pharmaceuticals; Bayer Healthcare(Bayer AGBayer Healthcare Pharmaceuticals); Merck(Merck &amp; Company); National Institute of Arthritis and Musculoskeletal and Skin Diseases(United States Department of Health &amp; Human ServicesNational Institutes of Health (NIH) - USANIH National Institute of Arthritis &amp; Musculoskeletal &amp; Skin Diseases (NIAMS))</t>
  </si>
  <si>
    <t>Scleroderma Foundation; Actelion; Gilead; United Therapeutics; NIH (National Institute of Arthritis and Musculoskeletal and Skin Diseases) [K24-AR-063120-02]; Scleroderma Research Foundation; NIH; Pulmonary Hypertension Association; National Heart, Lung, and Blood Institute [K23-HL-093387]; Roche; Bristol-Myers Squibb; Pfizer; Digna Biotech; Impact Pharmaceutical Services; Bayer; ErgoNex; Sanofi-Aventis; Sinoxa; United BioSource; Medac; Swedish Orphan Biovitrum; Boehringer Ingelheim Pharma; Novartis; Active Biotech; 4D Science; Lilly; GlaxoSmithKline; Aires Pharmaceuticals; Bayer Healthcare; Merck; National Institute of Arthritis and Musculoskeletal and Skin Diseases [K24AR063120] Funding Source: NIH RePORTER</t>
  </si>
  <si>
    <t>Townsend, Whitney/0000-0002-4749-9369; Humbert, Marc/0000-0003-0703-2892; Visovatti, Scott/0000-0002-4595-1657; FitzGerald, John/0000-0002-8419-7538; Chung, Lorinda/0000-0003-0072-6939; HACHULLA, ERIC/0000-0001-7432-847X</t>
  </si>
  <si>
    <t>HACHULLA, ERIC/R-8488-2018; Langleben, David/AAJ-9152-2020; furst, daniel/B-7316-2014; Distler, Oliver/AAE-6225-2019; Humbert, Marc/AAC-8459-2019; FitzGerald, John/T-5539-2018</t>
  </si>
  <si>
    <t>khannad@med.umich.edu</t>
  </si>
  <si>
    <t>Khanna, D (corresponding author), Univ Michigan, Div Rheumatol, Dept Internal Med, Suite 7C27,300 North Ingalls St,SPC 5422, Ann Arbor, MI 48109 USA.</t>
  </si>
  <si>
    <t>University of Michigan System; University of Michigan; Harvard University; Harvard University Medical Affiliates; Massachusetts General Hospital; Stanford University; University of Zurich; University Zurich Hospital; University of California System; University of California Los Angeles; University of California Los Angeles Medical Center; David Geffen School of Medicine at UCLA; Universite de Lille; Universite de Lille; CHU Lille; Institut National de la Sante et de la Recherche Medicale (Inserm); Universite Paris Saclay; Assistance Publique Hopitaux Paris (APHP); Hopital Universitaire Bicetre - APHP; Universite Paris Saclay; Assistance Publique Hopitaux Paris (APHP); Hopital Universitaire Antoine-Beclere - APHP; Hopital Universitaire Bicetre - APHP; McGill University; Johns Hopkins University; St. Joseph's Hospital and Medical Center</t>
  </si>
  <si>
    <t>[Khanna, Dinesh; Gladue, Heather; Visovatti, Scott; Altorok, Nezam; Townsend, Whitney; McLaughlin, Vallerie V.] Univ Michigan, Ann Arbor, MI 48109 USA; [Channick, Richard] Massachusetts Gen Hosp, Boston, MA 02114 USA; [Chung, Lorinda] Stanford Univ, Sch Med, Stanford, CA USA; [Chung, Lorinda] Palo Alto VA Hlth Care Syst, Palo Alto, CA USA; [Distler, Oliver] Univ Zurich Hosp, CH-8091 Zurich, Switzerland; [Furst, Daniel E.; FitzGerald, John] Univ Calif Los Angeles, David Geffen Sch Med, Los Angeles, CA 90095 USA; [Hachulla, Eric] Univ Lille 2, Lille, France; [Hachulla, Eric] Hop Claude Huriez, Lille, France; [Humbert, Marc] Univ Paris Sud, AP HP, INSERM, U999, F-94275 Le Kremlin Bicetre, France; [Humbert, Marc] Hop Bicetre, Le Kremlin Bicetre, France; [Langleben, David] Jewish Gen Hosp, Montreal, PQ, Canada; [Langleben, David] McGill Univ, Montreal, PQ, Canada; [Mathai, Stephen C.] Johns Hopkins Univ, Sch Med, Baltimore, MD USA; [Saggar, Rajeev] St Josephs Hosp, Phoenix, AZ USA</t>
  </si>
  <si>
    <t>ObjectivePulmonary arterial hypertension (PAH) affects up to 15% of patients with connective tissue diseases (CTDs). Previous recommendations developed as part of larger efforts in PAH did not include detailed recommendations for patients with CTD-associated PAH. Therefore, we sought to develop recommendations for screening and early detection of CTD-associated PAH. MethodsWe performed a systematic review of the literature on the screening and diagnosis of PAH in CTD. Using the RAND/University of California, Los Angeles consensus methodology, we developed case scenarios followed by 2 stages of voting. First, international experts from a variety of specialties voted anonymously on the appropriateness of each case scenario. The experts then met face-to-face to discuss and resolve discrepant votes to arrive at consensus recommendations. ResultsThe key recommendation stated that all patients with systemic sclerosis (SSc) should be screened for PAH. In addition, patients with mixed connective tissue disease or other CTDs with scleroderma features (scleroderma spectrum disorders) should be screened for PAH. It was recommended that screening pulmonary function tests (PFTs) with single-breath diffusing capacity for carbon monoxide, transthoracic echocardiogram, and measurement of N-terminal pro-brain natriuretic peptide (NT-proBNP) be performed in all patients with SSc and scleroderma spectrum disorders. In patients with SSc and scleroderma spectrum disorders, transthoracic echocardiogram and PFTs should be performed annually. The full screening panel (transthoracic echocardiogram, PFTs, and measurement of NT-proBNP) should be performed as soon as any new signs or symptoms are present. ConclusionWe provide consensus-based, evidence-driven recommendations for screening and early detection of CTD-associated PAH. It is our hope that these recommendations will lead to earlier detection of CTD-associated PAH and ultimately improve patient outcomes.</t>
  </si>
  <si>
    <t>MODIFYING ANTIRHEUMATIC DRUGS; OF-RHEUMATOLOGY GUIDELINES; BRAIN NATRIURETIC PEPTIDE; SYSTEMIC-SCLEROSIS; GRADING QUALITY; ECHOCARDIOGRAPHY; MANAGEMENT; DIAGNOSIS; PREVALENCE; PREDICTORS</t>
  </si>
  <si>
    <t>Recommendations for Screening and Detection of Connective Tissue Disease-Associated Pulmonary Arterial Hypertension</t>
  </si>
  <si>
    <t>Khanna, Dinesh; Gladue, Heather; Channick, Richard; Chung, Lorinda; Distler, Oliver; Furst, Daniel E.; Hachulla, Eric; Humbert, Marc; Langleben, David; Mathai, Stephen C.; Saggar, Rajeev; Visovatti, Scott; Altorok, Nezam; Townsend, Whitney; FitzGerald, John; McLaughlin, Vallerie V.</t>
  </si>
  <si>
    <t>Khanna, D; Gladue, H; Channick, R; Chung, L; Distler, O; Furst, DE; Hachulla, E; Humbert, M; Langleben, D; Mathai, SC; Saggar, R; Visovatti, S; Altorok, N; Townsend, W; FitzGerald, J; McLaughlin, VV</t>
  </si>
  <si>
    <t>WOS:000326966100004</t>
  </si>
  <si>
    <t>251XE</t>
  </si>
  <si>
    <t>10.1093/ehjci/jet092</t>
  </si>
  <si>
    <t>The authors thank the team of the Laboratory of Surgical Research from Marie Lannelongue Hospital for technical assistance and animal healthcare. This study was supported by the 'Association chirurgicale pour le developpement et l'amelioration des techniques de depistage et de traitement des maladies cardio-vasculaires' (ADETEC, Suresnes, France) and by Stanford Cardiovascular Institute (Palo Alto, CA, USA). The Vivid E9 cardiac ultrasound system (General Electric Medical System) was financed by a grant from 'Cardio-vasculaire-Obesite Domaine D'Interet Majeur' (CODDIM cod100158, Region Ile-de-France, France).</t>
  </si>
  <si>
    <t>'Association chirurgicale pour le developpement et l'amelioration des techniques de depistage et de traitement des maladies cardio-vasculaires' (ADETEC, Suresnes, France); Stanford Cardiovascular Institute (Palo Alto, CA, USA); 'Cardio-vasculaire-Obesite Domaine D'Interet Majeur' (CODDIM, Region Ile-de-France, France)</t>
  </si>
  <si>
    <t>'Association chirurgicale pour le developpement et l'amelioration des techniques de depistage et de traitement des maladies cardio-vasculaires' (ADETEC, Suresnes, France); Stanford Cardiovascular Institute (Palo Alto, CA, USA); 'Cardio-vasculaire-Obesite Domaine D'Interet Majeur' (CODDIM, Region Ile-de-France, France) [100158]</t>
  </si>
  <si>
    <t>Guihaire, J (corresponding author), Univ Paris 11, Marie Lannelongue Hosp, Surg Res Lab, 133 Ave Resistance, Le Plessis Robinson, France.</t>
  </si>
  <si>
    <t>Universite Paris Saclay; Hopital Marie Lannelongue; Universite Paris Saclay; Institut National de la Sante et de la Recherche Medicale (Inserm); Hopital Marie Lannelongue; Stanford University; Universite de Montreal; Assistance Publique Hopitaux Paris (APHP); Hopital Universitaire Bicetre - APHP; Hopital Universitaire Antoine-Beclere - APHP; Universite Paris Saclay; Assistance Publique Hopitaux Paris (APHP); Hopital Universitaire Bicetre - APHP; Hopital Marie Lannelongue; Institut National de la Sante et de la Recherche Medicale (Inserm); Universite Paris Saclay; Universite de Rennes</t>
  </si>
  <si>
    <t>[Guihaire, Julien; Boulate, David; Decante, Benoit; Herve, Philippe; Dartevelle, Philippe; Mercier, Olaf; Fadel, Elie] Univ Paris 11, Marie Lannelongue Hosp, Surg Res Lab, Le Plessis Robinson, France; [Guihaire, Julien; Boulate, David; Decante, Benoit; Herve, Philippe; Dartevelle, Philippe; Mercier, Olaf; Fadel, Elie] Univ Paris 11, Marie Lannelongue Hosp, INSERM, U999, Le Plessis Robinson, France; [Haddad, Francois; Wu, Joseph] Stanford Univ, Div Cardiovasc Med, Palo Alto, CA 94304 USA; [Denault, Andre Y.] Univ Montreal, Div Anesthesiol, Montreal, PQ, Canada; [Humbert, Marc] Univ Paris 11, Hop Bicetre, Serv Pneumol &amp; Reanimat Resp, Le Kremlin Bicetre, France; [Humbert, Marc] AP HP, Fac Med, Le Kremlin Bicetre, France; [Humbert, Marc] Marie Lannelongue Hosp, INSERM, U999, Le Plessis Robinson, France; [Verhoye, Jean-Philippe] Univ Rennes 1, Dept Thorac &amp; Cardiovasc Surg, Rennes, France</t>
  </si>
  <si>
    <t>To investigate the physiological correlates of indices of RV function in a model of chronic pressure overload. Chronic pulmonary hypertension (PH) was induced in piglets by ligation of the left pulmonary artery (PA) followed by weekly embolization of right lower lobe arteries for 5 weeks (the PH group, n 11). These animals were compared with sham-operated animals (controls, n 6). At 6 weeks, a subgroup of five PH pigs underwent surgical reperfusion of the left lung and four others were followed until 12 weeks without treatment. Right ventricular function was assessed using echocardiography and conductance catheter measurements. At 6 weeks, mean PA pressure was higher in PH group compared with controls (35 9 vs. 14 2 mmHg, P 0.01). Although RV elastance (Ees) increased at 6 weeks in the PH group (0.55 0.09 vs. 0.38 0.05mmHg/mL, P 0.001), ventriculararterial coupling measured by the ratio of Ees on PA elastance (Ea) was decreased (0.68 0.17 vs. 1.18 0.18, P 0.001). There was a strong direct relationship between Ees/Ea and indices of RV function, while relationship between Ees and indices of RV function was moderate. Changes in indices of RV function with time and after left lung reperfusion were associated with changes in Ees/Ea. Usual indices of RV function are associated with ventriculararterial coupling rather than with ventricular contractility in a model of chronic pressure overload.</t>
  </si>
  <si>
    <t>TIME-VARYING ELASTANCE; PULMONARY-HYPERTENSION; CARDIOVASCULAR-DISEASE; VOLUME RELATIONS; STATE; PERFORMANCE; VALIDATION; SURVIVAL; HEART</t>
  </si>
  <si>
    <t>Pulmonary hypertension; Right ventricle; Ventricular function; Ventriculararterial coupling; Animal model; Echocardiography</t>
  </si>
  <si>
    <t>Non-invasive indices of right ventricular function are markers of ventriculararterial coupling rather than ventricular contractility: insights from a porcine model of chronic pressure overload</t>
  </si>
  <si>
    <t>Guihaire, Julien; Haddad, Francois; Boulate, David; Decante, Benoit; Denault, Andre Y.; Wu, Joseph; Herve, Philippe; Humbert, Marc; Dartevelle, Philippe; Verhoye, Jean-Philippe; Mercier, Olaf; Fadel, Elie</t>
  </si>
  <si>
    <t>Guihaire, J; Haddad, F; Boulate, D; Decante, B; Denault, AY; Wu, J; Hervé, P; Humbert, M; Dartevelle, P; Verhoye, JP; Mercier, O; Fadel, E</t>
  </si>
  <si>
    <t>WOS:000330518700150</t>
  </si>
  <si>
    <t>10.1136/thoraxjnl-2013-204457.150</t>
  </si>
  <si>
    <t>A74</t>
  </si>
  <si>
    <t>Oliver, Eduardo/0000-0001-9340-882X</t>
  </si>
  <si>
    <t>Humbert, Marc/AAC-8459-2019; Oliver, Eduardo/D-4971-2012</t>
  </si>
  <si>
    <t>Imperial College London; University of London; University College London; Royal Free London NHS Foundation Trust; UCL Medical School; Papworth Hospital; Universite Paris Saclay</t>
  </si>
  <si>
    <t>[George, P. M.; Oliver, E.; Wort, S. J.; Bartlett, N.; Zhao, L.; Mitchell, J. A.] Univ London Imperial Coll Sci Technol &amp; Med, London, England; [Schreiber, B. E.; Holmes, A. M.; Coghlan, G.] Royal Free Hosp, London NW3 2QG, England; [Southwood, M.; Morrell, N. W.] Papworth Hosp NHS Trust, Cambridge, England; [Dorfmuller, P.; Humbert, M.] Univ Paris Sud, Le Kremlin Bicetre, France</t>
  </si>
  <si>
    <t>EVIDENCE THAT TYPE I INTERFERON DRIVES PULMONARY ARTERIAL HYPERTENSION</t>
  </si>
  <si>
    <t>George, P. M.; Oliver, E.; Schreiber, B. E.; Holmes, A. M.; Southwood, M.; Wort, S. J.; Bartlett, N.; Dorfmuller, P.; Morrell, N. W.; Coghlan, G.; Humbert, M.; Zhao, L.; Mitchell, J. A.</t>
  </si>
  <si>
    <t>George, PM; Oliver, E; Schreiber, BE; Holmes, AM; Southwood, M; Wort, SJ; Bartlett, N; Dorfmuller, P; Morrell, NW; Coghlan, G; Humbert, M; Zhao, L; Mitchell, JA</t>
  </si>
  <si>
    <t>WOS:000329459400003</t>
  </si>
  <si>
    <t>286HW</t>
  </si>
  <si>
    <t>10.1016/j.jacc.2013.10.035</t>
  </si>
  <si>
    <t>D21</t>
  </si>
  <si>
    <t>D13</t>
  </si>
  <si>
    <t>DEC 24</t>
  </si>
  <si>
    <t>Dr. Machado has received institutional grant support from Actelion and United Therapeutics; and is on the advisory board of United Therapeutics and Gilead. Dr. Grunig has served on the advisory board of Bayer Healthcare, Actelion, GlaxoSmithKline, Eli Lilly, Novartis, United Therapeutics, Alexion, and Pfizer; and has received consultancy and lecture fees from Bayer Healthcare Pharmaceuticals, Actelion, GlaxoSmithKline, Eli Lilly, Novartis, United Therapeutics, Pfizer, and Alexion. Dr. Geraci has served on the Medical Advisory Board for Flight Attendants Medical Research Institute. Dr. Elliott is employed by Intermountain Healthcare, which has received research grants from Actelion, Bayer, GeNO, Gilead, National Institutes of Health, and United Therapeutics for which he has acted as Principal Investigator; and he has received honoraria and/or consulting fees from Ikaria, CoTherix, and Boehringer Ingelheim. Dr. Humbert has served on the scientific advisory board of and as an investigator for trials involving Actelion, Aires, Bayer, GlaxoSmithKline, Novartis, and Pfizer. All other authors have reported that they have no relationships relevant to the contents of this paper to disclose.</t>
  </si>
  <si>
    <t>Actelion; United Therapeutics; Bayer Healthcare Pharmaceuticals(Bayer AGBayer Healthcare Pharmaceuticals); GlaxoSmithKline(GlaxoSmithKline); Eli Lilly(Eli Lilly); Novartis(Novartis); Pfizer(Pfizer); Alexion(AstraZeneca); Bayer(Bayer AG); GeNO; Gilead(Gilead Sciences); National Institutes of Health(United States Department of Health &amp; Human ServicesNational Institutes of Health (NIH) - USA); Ikaria; CoTherix; Boehringer Ingelheim(Boehringer Ingelheim)</t>
  </si>
  <si>
    <t>Actelion; United Therapeutics; Bayer Healthcare Pharmaceuticals; GlaxoSmithKline; Eli Lilly; Novartis; Pfizer; Alexion; Bayer; GeNO; Gilead; National Institutes of Health; Ikaria; CoTherix; Boehringer Ingelheim</t>
  </si>
  <si>
    <t>Machado, Rajiv David/AAD-7813-2019; Humbert, Marc/AAC-8459-2019</t>
  </si>
  <si>
    <t>Soubrier, F (corresponding author), UPMC, INSERM, UMR S 956, 91 Bvd Hop, F-75634 Paris 13, France.</t>
  </si>
  <si>
    <t>Institut National de la Sante et de la Recherche Medicale (Inserm); Assistance Publique Hopitaux Paris (APHP); Hopital Universitaire Pitie-Salpetriere - APHP; Sorbonne Universite; Sorbonne Universite; Institut National de la Sante et de la Recherche Medicale (Inserm); Columbia University; Columbia University; University of Lincoln; Ruprecht Karls University Heidelberg; Cleveland Clinic Foundation; University of Colorado System; University of Colorado Anschutz Medical Campus; Children's Hospital Colorado; Vanderbilt University; Intermountain Healthcare; Intermountain Medical Center; Utah System of Higher Education; University of Utah; University of London; King's College London; Assistance Publique Hopitaux Paris (APHP); Hopital Universitaire Antoine-Beclere - APHP; Universite Paris Saclay; Hopital Universitaire Bicetre - APHP; Universite Paris Saclay; Assistance Publique Hopitaux Paris (APHP); Hopital Universitaire Bicetre - APHP; Institut National de la Sante et de la Recherche Medicale (Inserm); Universite Paris Saclay; Universite Paris Saclay; Hopital Marie Lannelongue</t>
  </si>
  <si>
    <t>[Soubrier, Florent] Univ Paris 06, INSERM, Hosp Pitie Salpetriere, AP HP,Genet Dept,Unite Mixte Rech Sante UMRS 956, Paris, France; [Soubrier, Florent] ICAN, Paris, France; [Chung, Wendy K.] Columbia Univ, Dept Pediat, Med Ctr, New York, NY 10027 USA; [Chung, Wendy K.] Columbia Univ, Dept Med, Med Ctr, New York, NY USA; [Machado, Rajiv] Lincoln Univ, Sch Life Sci, Lincoln, England; [Gruenig, Ekkehard] Univ Heidelberg Hosp, Ctr Pulm Hypertens, Heidelberg, Germany; [Aldred, Micheala] Cleveland Clin, Genom Med Inst, Cleveland, OH 44106 USA; [Geraci, Mark] Univ Colorado Denver, Div Pulm Sci &amp; Crit Care Med, Aurora, CO USA; [Loyd, James E.; Newman, John H.] Vanderbilt Univ, Med Ctr N, Pulm Hypertens Ctr, Div Allergy Pulm &amp; Crit Care Med, Nashville, TN 37232 USA; [Elliott, C. Gregory] Intermt Med Ctr, Dept Med, Salt Lake City, UT USA; [Elliott, C. Gregory] Univ Utah, Salt Lake City, UT USA; [Trembath, Richard C.] Kings Coll London, Div Genet &amp; Mol Med, London WC2R 2LS, England; [Humbert, Marc] Hop Bicetre, AP HP, Serv Pneumol, Ctr Reference Hypertens Pulm Severe, Le Kremlin Bicetre, France; [Humbert, Marc] Univ Paris 11, Fac Med, Le Kremlin Bicetre, France; [Humbert, Marc] Dept Hosp Univ DHU Thorax Innovat, AP HP, Le Kremlin Bicetre, France; [Humbert, Marc] INSERM, UMR S 999, Le Plessis Robinson, France; [Humbert, Marc] Univ Paris 11, LabEx LERMIT, Ctr Chirurg Marie Lannelongue, Le Plessis Robinson, France</t>
  </si>
  <si>
    <t>Major discoveries have been obtained within the last decade in the field of hereditary predisposition to pulmonary arterial hypertension (PAH). Among them, the identification of bone morphogenetic protein receptor type 2 (BMPR2) as the major predisposing gene and activin A receptor type II-like kinase-1 (ACVRL1, also known as ALK1) as the major gene when PAH is associated with hereditary hemorrhagic telangiectasia. The mutation detection rate for the known genes is approximately 75% in familial PAH, but the mutation shortfall remains unexplained even after careful molecular investigation of these genes. To identify additional genetic variants predisposing to PAH, investigators harnessed the power of next-generation sequencing to successfully identify additional genes that will be described in this report. Furthermore, common genetic predisposing factors for PAH can be identified by genome-wide association studies and are detailed in this paper. The careful study of families and routine genetic diagnosis facilitated natural history studies based on large registries of PAH patients to be set up in different countries. These longitudinal or cross-sectional studies permitted the clinical characterization of PAH in mutation carriers to be accurately described. The availability of molecular genetic diagnosis has openedup a new field for patient care, including genetic counseling for a severe disease, taking into account that the major predisposing gene has a highly variable penetrance between families. Molecular information can be drawn from the genomic study of affected tissues in PAH, in particular, pulmonary vascular tissues and cells, to gain insight into the mechanisms leading to the development of the disease. High-throughput genomic techniques, on the basis of next-generation sequencing, now allow the accurate quantification and analysis of ribonucleic acid, species, including micro-ribonucleic acids, and allow for a genome-wide investigation of epigenetic or regulatory mechanisms, which include deoxyribonucleic acid methylation, histone methylation, and acetylation, or transcription factor binding. (C) 2013 by the American College of Cardiology Foundation</t>
  </si>
  <si>
    <t>BONE MORPHOGENETIC PROTEIN; PERIPHERAL-BLOOD CELLS; ENDOTHELIAL-CELLS; VENOOCCLUSIVE-DISEASE; PLEXIFORM LESIONS; CLINICAL-OUTCOMES; BMPR2 MUTATIONS; EXPRESSION; INHIBITION; ESTROGEN</t>
  </si>
  <si>
    <t>BMPR2; genetics; genomic; pulmonary hypertension</t>
  </si>
  <si>
    <t>Genetics and Genomics of Pulmonary Arterial Hypertension</t>
  </si>
  <si>
    <t>Soubrier, Florent; Chung, Wendy K.; Machado, Rajiv; Gruenig, Ekkehard; Aldred, Micheala; Geraci, Mark; Loyd, James E.; Elliott, C. Gregory; Trembath, Richard C.; Newman, John H.; Humbert, Marc</t>
  </si>
  <si>
    <t>Soubrier, F; Chung, WK; Machado, R; Grünig, E; Aldred, M; Geraci, M; Loyd, JE; Elliott, CG; Trembath, RC; Newman, JH; Humbert, M</t>
  </si>
  <si>
    <t>WOS:000329459400007</t>
  </si>
  <si>
    <t>10.1016/j.jacc.2013.10.023</t>
  </si>
  <si>
    <t>D59</t>
  </si>
  <si>
    <t>D51</t>
  </si>
  <si>
    <t>Dr. McGoon has received institutional grants for studies in which he was the primary investigator from and Medtronic and Gilead; participated in speaking activities for Actelion, Gilead (funded conferences, not speakers' bureaus); was a consultant for Actelion; was the chair of the REVEAL Registry and on the data adjudication committees; on the Data Safety Monitoring Board of Gilead and GlaxoSmithKline; and is on the Advisory Committee of Lung LLC. Dr. Benza has contracted research for Acetlion, Bayer, Gilead, GeNO, Ikaria, and United Therapeutics; and is a consultant for Bayer and United Therapeutics. Dr. Escribano-Subias reports that the Spanish registry of PH is sponsored by a Bayer Schering Pharma educational grant; has received honoraria for sitting on advisory boards and taking at sponsored symposia from Actelion, GlaxoSmithKline, United Therapeutics, Pfizer, Bayer and Ferrer; and has received institutional grants for performing RCTs by the same companies. D. P. Miller is an employee of Icon Clinical Research, which receives research funding from pharmaceutical and biotechnology companies. Dr. Peacock has received honoraria for speaking at meetings (non-promotional) from Actelion, Bayer, Eli Lilly, GlaxoSmithKline, Novartis, Pfizer, and United Therapeutics; travel assistance to conferences from Actelion, Bayer, Eli Lilly, GlaxoSmithKline, Novartis, Pfizer, and United Therapeutics; research grants (educational only) from Actelion and Bayer; and has served on the advisory boards of Actelion, Bayer, Eli Lilly, GlaxoSmithKline, Novartis, and Pfizer. Dr. Pepke-Zaba has received reimbursement of travel expenses to congresses and speakers' fees from Actelion, Pfizer, GlaxoSmithKline, Bayer; has served on the advisory boards of Actelion, Bayer, and GlaxoSmithKline; and has received funds for research and education from Actelion, Pfizer, GlaxoSmithKline, and Bayer. Dr. Pulido has received honoraria for serving as a consultant for Actelion, Bayer, and Pfizer; has received research grants (institutional) from Actelion, Bayer, Gilead, Lilly, Pfizer, and United Therapeutics; has received honoraria for serving on the advisory boards of Actelion and Bayer; and has received lecture fees from Actelion, Bayer, and Pfizer. Dr. Rosenkrantz has received speaker fees and/or renumerations for consulting from Acetelion, Bayer, GlaxoSmithKline, Lilly, Novartis, Pfizer, and United Therapeutics; and research grants from Actelion, Bayer, Novartis, Pfizer, and United Therapeutics. Dr. Suissa has participated in advisory meetings or as a conference speaker for Actelion, AstraZeneca, Bayer, Boehringer- Ingelheim, GlaxoSmithKline, Merck, Novartis, and Pfizer. Dr. Humbert has been a consultant for and a member of the advisory board of Actelion, Aires, Bayer, GlaxoSmithKline, Novartis, Pfizer, and United Therapeutics as well as being an investigator in trials involving these companies. All other authors have reported that they have no relationships relevant to the contents of this paper to disclose.</t>
  </si>
  <si>
    <t>Medtronic(Medtronic); Gilead(Gilead Sciences); Bayer Schering Pharma(Bayer AG); Actelion; Bayer(Bayer AG); Pfizer(Pfizer); GlaxoSmithKline(GlaxoSmithKline); Lilly(Eli Lilly); United Therapeutics; Acetelion</t>
  </si>
  <si>
    <t>Medtronic; Gilead; Bayer Schering Pharma; Actelion; Bayer; Pfizer; GlaxoSmithKline; Lilly; United Therapeutics; Acetelion</t>
  </si>
  <si>
    <t>Humbert, Marc/0000-0003-0703-2892; Escribano, Pilar/0000-0002-6640-4839; Miller, Dave/0000-0003-2947-152X; Cruz Utrilla, Alejandro/0000-0002-3851-4037</t>
  </si>
  <si>
    <t>Pepke-Zaba, Joanna/AGW-3073-2022; Jiang, Xin/AAZ-9178-2021; Benza, Raymond/AAD-4885-2019; Humbert, Marc/AAC-8459-2019; Escribano, Pilar/R-5273-2017</t>
  </si>
  <si>
    <t>mmcgoon@mayo.edu</t>
  </si>
  <si>
    <t>McGoon, MD (corresponding author), Mayo Clin, Mayo Med Sch, E168,200 First St SW, Rochester, MN 55905 USA.</t>
  </si>
  <si>
    <t>Mayo Clinic; Allegheny General Hospital; Chinese Academy of Medical Sciences - Peking Union Medical College; Peking Union Medical College; Fu Wai Hospital - CAMS; Chinese Academy of Medical Sciences - Peking Union Medical College; ICON plc; Papworth Hospital; University of Chicago; University of Cologne; McGill University; Universite Paris Saclay; Assistance Publique Hopitaux Paris (APHP); Hopital Universitaire Antoine-Beclere - APHP; Institut National de la Sante et de la Recherche Medicale (Inserm); Hopital Universitaire Bicetre - APHP</t>
  </si>
  <si>
    <t>[McGoon, Michael D.] Mayo Clin, Div Cardiovasc Dis, Rochester, MN USA; [Benza, Raymond L.] Allegheny Gen Hosp, Div Cardiovasc Dis, Pittsburgh, PA 15212 USA; [Escribano-Subias, Pilar] Univ Hosp, Dept Cardiol, Madrid, Spain; [Escribano-Subias, Pilar] Univ Hosp, Spanish Cardiovasc Res, Madrid, Spain; [Jiang, Xin] Peking Union Med Coll, Fuwai Hosp, Thrombosis Med Ctr, State Key Lab Cardiovasc Dis, Beijing 100021, Peoples R China; [Jiang, Xin] Chinese Acad Med Sci, Beijing 100730, Peoples R China; [Miller, Dave P.] Med Affairs Stat Anal, ICON Clin Res, San Francisco, CA USA; [Peacock, Andrew J.] Reg Heart &amp; Lung Ctr, Scottish Pulm Vasc Unit, Glasgow, Lanark, Scotland; [Pepke-Zaba, Joanna] Papworth Hosp, Pulm Vasc Dis Unit, Cambridge CB3 8RE, England; [Pulido, Tomas] Natl Heart Inst, Cardiopulm Dept, Mexico City, DF, Mexico; [Rich, Stuart] Univ Chicago, Cardiol Sect, Chicago, IL 60637 USA; [Rosenkranz, Stephan] Univ Cologne, Ctr Heart, Dept Cardiol, Clin Internal Med 3, D-50931 Cologne, Germany; [Suissa, Samy] McGill Univ, Jewish Gen Hosp, Ctr Clin Epidemiol, Dept Epidemiol &amp; Biostat, Montreal, PQ H3T 1E2, Canada; [Humbert, Marc] Univ Paris 11, INSERM, Hop Bicetre, AP HP,U999,LabEx LERMIT,DHU Thorax Innovat,Serv P, Le Kremlin Bicetre, France</t>
  </si>
  <si>
    <t>Registries of patients with pulmonary arterial hypertension (PAH) have been instrumental in characterizing the presentation and natural history of the disease and provide a basis for prognostication. Since the initial accumulation of data conducted in the 1980s, subsequent registry databases have yielded information about the demographic factors, treatment, and survival of patients and have permitted comparisons between populations in different eras and environments. Inclusion of patients with all subtypes of PAH has also allowed comparisons of these subpopulations. We describe herein the basic methodology by which PAH registries have been conducted, review key insights provided by registries, summarize issues related to interpretation and comparison of the results, and discuss the utility of data to predict survival outcomes. Potential sources of bias, particularly related to the inclusion of incident and/or prevalent patients and missing data, are addressed. A fundamental observation of current registries is that survival in the modern treatment era has improved compared with that observed previously and that outcomes among PAH subpopulations vary substantially. Continuing systematic clinical surveillance of PAH will be important as treatment evolves and as understanding of mechanisms advance. Considerations for future directions of registry studies include enrollment of a broader population of patients with pulmonary hypertension of all clinical types and severity and continued globalization and collaboration of registry databases. (C) 2013 by the American College of Cardiology Foundation</t>
  </si>
  <si>
    <t>LONG-TERM SURVIVAL; PREDICTING SURVIVAL; CHINESE PATIENTS; REVEAL REGISTRY; DISEASE; INSIGHTS; DEMOGRAPHICS; DIAGNOSIS; INCIDENT; MODEL</t>
  </si>
  <si>
    <t>databases; epidemiology; pulmonary hypertension; registries</t>
  </si>
  <si>
    <t>Pulmonary Arterial Hypertension Epidemiology and Registries</t>
  </si>
  <si>
    <t>McGoon, Michael D.; Benza, Raymond L.; Escribano-Subias, Pilar; Jiang, Xin; Miller, Dave P.; Peacock, Andrew J.; Pepke-Zaba, Joanna; Pulido, Tomas; Rich, Stuart; Rosenkranz, Stephan; Suissa, Samy; Humbert, Marc</t>
  </si>
  <si>
    <t>McGoon, MD; Benza, RL; Escribano-Subias, P; Jiang, X; Miller, DP; Peacock, AJ; Pepke-Zaba, J; Pulido, T; Rich, S; Rosenkranz, S; Suissa, S; Humbert, M</t>
  </si>
  <si>
    <t>WOS:000209838203228</t>
  </si>
  <si>
    <t>A3856</t>
  </si>
  <si>
    <t>Humbert, Marc/AAC-8459-2019; Rubin, Lewis/AEW-1719-2022; Langleben, David/AAJ-9152-2020; Ghofrani, Ardeschir/AAD-5293-2020</t>
  </si>
  <si>
    <t>adam.torbicki@ecz-otwock.pl</t>
  </si>
  <si>
    <t>University of Bologna; University Hospital of Giessen &amp; Marburg; Chinese Academy of Medical Sciences - Peking Union Medical College; Chinese Academy of Medical Sciences - Peking Union Medical College; Fu Wai Hospital - CAMS; Chinese Academy of Medical Sciences - Peking Union Medical College; Peking Union Medical College; Guangdong Academy of Medical Sciences &amp; Guangdong General Hospital; NSW Health; St Vincents Hospital Sydney; McGill University; Lady Davis Institute; University of California System; University of California San Diego; Fudan University; Bayer AG; Bayer Healthcare Pharmaceuticals; Universite Paris Saclay; Institut National de la Sante et de la Recherche Medicale (Inserm); Universite Paris Saclay; Assistance Publique Hopitaux Paris (APHP); Hopital Universitaire Bicetre - APHP; Hopital Universitaire Antoine-Beclere - APHP; Universite Paris Saclay</t>
  </si>
  <si>
    <t>[Torbicki, A.] ECZ Otwock, Med Ctr Postgrad Educ, Dept Pulm Circulat &amp; Thromboembol Dis, Otwock, Poland; [Galie, N.] Univ Bologna, Bologna, Italy; [Ghofrani, H. A.] Univ Hosp Giessen &amp; Marburg, Dept Internal Med, Giessen, Germany; [Ghofrani, H. A.] German Ctr Lung Res DZL, Giessen, Germany; [Ghofrani, H. A.] Imperial Coll London, Dept Med, Giessen, Germany; [He, J.] Chinese Acad Med Sci, Cardiovasc Inst, Pulm Vasc Dis Ctr, Beijing, Peoples R China; [He, J.] Chinese Acad Med Sci, Fu Wai Hosp, Beijing, Peoples R China; [He, J.] Peking Union Med Coll, Beijing, Peoples R China; [Huang, Y.] Guangdong Gen Hosp, Dept Cardiol, Guangzhou, Guangdong, Peoples R China; [Huang, Y.] Guangdong Cardiovasc Inst, Guangzhou, Guangdong, Peoples R China; [Keogh, A. M.] St Vincents Hosp, Sydney, NSW, Australia; [Langleben, D.] McGill Univ, Jewish Gen Hosp, Lady Davis Inst Med Res, Ctr Pulm Vasc Dis, Montreal, PQ, Canada; [Rubin, L. J.] Univ Calif San Diego, La Jolla, CA 92093 USA; [Zhou, D.] Fudan Univ, Shanghai Inst Cardiovasc Dis, Zhongshan Hosp, Dept Cardiol, Shanghai, Peoples R China; [Davie, N.; Fritsch, A.] Bayer HealthCare, Global Clin Dev, Wuppertal, Germany; [Humbert, M.] Univ Paris Sud, Le Kremlin Bicetre, France; [Humbert, M.] Inserm U999, Le Kremlin Bicetre, France; [Humbert, M.] Hop Bicetre, AP HP, Serv Pneumol, Le Kremlin Bicetre, France</t>
  </si>
  <si>
    <t>Reduction In Nt-Probnp And Its Association With Clinical Status In Patients With Pah: Results From The Patent-1 Study With Riociguat</t>
  </si>
  <si>
    <t>Torbicki, A.; Galie, N.; Ghofrani, H. A.; He, J.; Huang, Y.; Keogh, A. M.; Langleben, D.; Rubin, L. J.; Zhou, D.; Davie, N.; Fritsch, A.; Humbert, M.</t>
  </si>
  <si>
    <t>Torbicki, A; Galie, N; Ghofrani, HA; He, J; Huang, Y; Keogh, AM; Langleben, D; Rubin, LJ; Zhou, D; Davie, N; Fritsch, A; Humbert, M</t>
  </si>
  <si>
    <t>WOS:000209838204316</t>
  </si>
  <si>
    <t>A4824</t>
  </si>
  <si>
    <t>Humbert, Marc/AAC-8459-2019; Ricard, Nicolas/AAF-1083-2019; Simonneau, Gerald/ABE-6614-2020; GUIGNABERT, Christophe/G-3873-2013; TU, Ly/G-4035-2013; David, Montani/I-6885-2019</t>
  </si>
  <si>
    <t>[Seferian, A.; Tu, L.; Phan, C.; Huertas, A.; Le Hiress, M.; Ricard, N.; Simonneau, G.; Montani, D.; Humbert, M.; Guignabert, C.] INSERM UMR S 999, Le Plessis Robinson, France</t>
  </si>
  <si>
    <t>Endothelial Toxicity Of The Cancer Therapeutic Agent Dasatinib</t>
  </si>
  <si>
    <t>Seferian, A.; Tu, L.; Phan, C.; Huertas, A.; Le Hiress, M.; Ricard, N.; Simonneau, G.; Montani, D.; Humbert, M.; Guignabert, C.</t>
  </si>
  <si>
    <t>Seferian, A; Tu, L; Phan, C; Huertas, A; Le Hiress, M; Ricard, N; Simonneau, G; Montani, D; Humbert, M; Guignabert, C</t>
  </si>
  <si>
    <t>WOS:000209838204315</t>
  </si>
  <si>
    <t>A4823</t>
  </si>
  <si>
    <t>David, Montani/I-6885-2019; GUIGNABERT, Christophe/G-3873-2013; Ricard, Nicolas/AAF-1083-2019; Humbert, Marc/AAC-8459-2019; TU, Ly/G-4035-2013</t>
  </si>
  <si>
    <t>[Ricard, N.; Tu, L.; Le Hiress, M.; Huertas, A.; Phan, C.; Thuillet, R.; Sattler, C.; Fadel, E.; Seferian, A.; Montani, D.; Dorfmuller, P.; Humbert, M.; Guignabert, C.] INSERM UMR S 999, Le Plessis Robinson, France</t>
  </si>
  <si>
    <t>Increased Pericyte Coverage Mediated By Endothelial Derived Fgf-2 And Il-6 Is A Source Of Smooth Muscle-Like Cells</t>
  </si>
  <si>
    <t>CG</t>
  </si>
  <si>
    <t>Ricard, N.; Tu, L.; Le Hiress, M.; Huertas, A.; Phan, C.; Thuillet, R.; Sattler, C.; Fadel, E.; Seferian, A.; Montani, D.; Dorfmuller, P.; Humbert, M.; Guignabert, C.</t>
  </si>
  <si>
    <t>Ricard, N; Tu, L; Le Hiress, M; Huertas, A; Phan, C; Thuillet, R; Sattler, C; Fadel, E; Seferian, A; Montani, D; Dorfmuller, P; Humbert, M; Guignabert, C</t>
  </si>
  <si>
    <t>WOS:000209838202613</t>
  </si>
  <si>
    <t>GUIGNABERT, Christophe/G-3873-2013; Simonneau, Gerald/ABE-6614-2020; Humbert, Marc/AAC-8459-2019; Ranchoux, Benoît/AAX-6037-2020; TU, Ly/G-4035-2013; Perros, Frederic/N-6921-2017; Cohen-Kaminsky, Sylvia/E-4837-2014</t>
  </si>
  <si>
    <t>benoit.ranchoux@gmail.com</t>
  </si>
  <si>
    <t>Universite Paris Saclay; Institut National de la Sante et de la Recherche Medicale (Inserm); Hopital Marie Lannelongue; INRAE; Vrije Universiteit Amsterdam; Hopital Marie Lannelongue; Universite Paris Saclay; Assistance Publique Hopitaux Paris (APHP); Hopital Universitaire Bicetre - APHP; Hopital Universitaire Antoine-Beclere - APHP; Universite Paris Saclay; Hopital Marie Lannelongue; Universite Paris Saclay; Institut National de la Sante et de la Recherche Medicale (Inserm); Assistance Publique Hopitaux Paris (APHP); Hopital Universitaire Bicetre - APHP; Universite Paris Saclay; Hopital Universitaire Antoine-Beclere - APHP</t>
  </si>
  <si>
    <t>[Ranchoux, B.; Rucker-Martin, C.; Dorfmuller, P.; Guignabert, C.; Tu, L.; Lecerf, F.; Cohen-Kaminsky, S.; Perros, F.] Univ Paris Sud, INSERM UMR S 999, Labex LERMIT, Le Plessis Robinson, France; [Ranchoux, B.; Rucker-Martin, C.; Dorfmuller, P.; Guignabert, C.; Tu, L.; Lecerf, F.; Cohen-Kaminsky, S.; Perros, F.] DHU TORINO, Le Plessis Robinson, France; [Ranchoux, B.; Rucker-Martin, C.; Dorfmuller, P.; Guignabert, C.; Tu, L.; Lecerf, F.; Cohen-Kaminsky, S.; Perros, F.] Ctr Chirurg Marie Lannelongue, Le Plessis Robinson, France; [Pechoux, C.] INRA U1196, Plateau Microscopie Elect Transmiss, Jouy En Josas, France; [Bogaard, H. J.] Vrije Univ Amsterdam, Med Ctr, Amsterdam, Netherlands; [Fadel, E.] Ctr Chirurg Marie Lannelongue, Le Plessis Robinson, France; [Simonneau, G.] Univ Paris Sud, Hop Bicetre, Le Kremlin Bicetre, France; [Humbert, M. J. C.] Univ Paris Sud, Fac Med, Le Kremlin Bicetre, France; [Humbert, M. J. C.] Ctr Chirurg Marie Lannelongue, INSERM U999, LabEx LERMIT, Le Plessis Robinson, France; [Humbert, M. J. C.] Hop Bicetre, AP HP, DHU Thorax Innovat, Serv Pneumol &amp; Reanimat Resp, Le Kremlin Bicetre, France</t>
  </si>
  <si>
    <t>Endothelial-To-Mesenchymal Transition: Evidences For Contribution In Pulmonary Hypertension</t>
  </si>
  <si>
    <t>Ranchoux, B.; Rucker-Martin, C.; Pechoux, C.; Bogaard, H. J.; Dorfmuller, P.; Guignabert, C.; Tu, L.; Lecerf, F.; Fadel, E.; Simonneau, G.; Humbert, M. J. C.; Cohen-Kaminsky, S.; Perros, F.</t>
  </si>
  <si>
    <t>Ranchoux, B; Rucker-Martin, C; Pechoux, C; Bogaard, HJ; Dorfmuller, P; Guignabert, C; Tu, L; Lecerf, F; Fadel, E; Simonneau, G; Humbert, MJC; Cohen-Kaminsky, S; Perros, F</t>
  </si>
  <si>
    <t>WOS:000209838201498</t>
  </si>
  <si>
    <t>A2339</t>
  </si>
  <si>
    <t>Vrije Universiteit Amsterdam; VU UNIVERSITY MEDICAL CENTER; Institut National de la Sante et de la Recherche Medicale (Inserm); Universite Paris Saclay; Universite Paris Saclay; Institut National de la Sante et de la Recherche Medicale (Inserm); Assistance Publique Hopitaux Paris (APHP); Hopital Universitaire Antoine-Beclere - APHP; University of Sydney; University of Arizona</t>
  </si>
  <si>
    <t>[Rain, S.; Bos, D. Da Silva Goncalves; Handoko, M. L.; Westerhof, G.; Stienen, G.; Ottenheijm, C.; Goebel, M.; Bogaard, H. J.; Vonk-Noordegraaf, A.; De Man, F. S.] Vrije Univ Amsterdam Med Ctr, Amsterdam, Netherlands; [Dorfmuller, P.] INSERM UMR S 999, Le Plessis Robinson, France; [Guignabert, C.] Univ Paris Sud, INSERM UMR 999, Le Plessis Robinson, France; [Humbert, M. J. C.] Hop Antoine Beclere, Clamart, France; [Dos Remedios, C.] Univ Sydney, Sydney, NSW, Australia; [Saripalli, C.; Hidalgo, C.; Granzier, H.] Univ Arizona, Tucson, AZ USA</t>
  </si>
  <si>
    <t>Altered β-Adrenergic Receptor Signaling Contributes To The Development Of Right Ventricular Diastolic Dysfunction In Pulmonary Arterial Hypertension</t>
  </si>
  <si>
    <t>Rain, S.; Bos, D. Da Silva Goncalves; Handoko, M. L.; Westerhof, G.; Stienen, G.; Ottenheijm, C.; Goebel, M.; Dorfmuller, P.; Guignabert, C.; Humbert, M. J. C.; Bogaard, H. J.; Dos Remedios, C.; Saripalli, C.; Hidalgo, C.; Granzier, H.; Vonk-Noordegraaf, A.; De Man, F. S.</t>
  </si>
  <si>
    <t>Rain, S; Bos, DDG; Handoko, ML; Westerhof, G; Stienen, G; Ottenheijm, C; Goebel, M; Dorfmuller, P; Guignabert, C; Humbert, MJC; Bogaard, HJ; Dos Remedios, C; Saripalli, C; Hidalgo, C; Granzier, H; Vonk-Noordegraaf, A; De Man, FS</t>
  </si>
  <si>
    <t>WOS:000209838202609</t>
  </si>
  <si>
    <t>A3333</t>
  </si>
  <si>
    <t>Perros, Frederic/0000-0001-7730-2427; Antigny, Fabrice/0000-0002-9515-6571</t>
  </si>
  <si>
    <t>Ranchoux, Benoît/AAX-6037-2020; Humbert, Marc/AAC-8459-2019; Perros, Frederic/N-6921-2017; Antigny, Fabrice/Q-3999-2018</t>
  </si>
  <si>
    <t>Institut National de la Sante et de la Recherche Medicale (Inserm); Universite Paris Saclay; Assistance Publique Hopitaux Paris (APHP); Assistance Publique Hopitaux Paris (APHP); Hopital Universitaire Bicetre - APHP; Hopital Marie Lannelongue; Universite Paris Saclay; Assistance Publique Hopitaux Paris (APHP); Hopital Universitaire Bicetre - APHP; Hopital Universitaire Antoine-Beclere - APHP; Universite Paris Saclay; Institut National de la Sante et de la Recherche Medicale (Inserm); Universite Paris Saclay; Hopital Marie Lannelongue; Assistance Publique Hopitaux Paris (APHP); Hopital Universitaire Antoine-Beclere - APHP; Hopital Universitaire Bicetre - APHP; Universite Paris Saclay; Vrije Universiteit Amsterdam</t>
  </si>
  <si>
    <t>[Perros, F.; Bentebbal, S.; Ranchoux, B.; Dorfmuller, P.; Lecerf, F.; Eddahibi, S.] Univ Paris Sud, INSERM UMR S 999, Labex LERMIT, Le Plessis Robinson, France; [Perros, F.; Bentebbal, S.; Ranchoux, B.; Dorfmuller, P.; Lecerf, F.; Eddahibi, S.] DHU TORINO, AP HP, Ctr Natl Reference Hypertens Pulm Severe, Le Plessis Robinson, France; [Perros, F.; Bentebbal, S.; Ranchoux, B.; Dorfmuller, P.; Lecerf, F.; Eddahibi, S.] Hop Bicetre, Le Plessis Robinson, France; [Perros, F.; Bentebbal, S.; Ranchoux, B.; Dorfmuller, P.; Lecerf, F.; Fadel, E.; Eddahibi, S.] Ctr Chirurg Marie Lannelongue, Le Plessis Robinson, France; [Simonneau, G.] Univ Paris Sud, Hop Bicetre, Le Kremlin Bicetre, France; [Humbert, M. J. C.] Univ Paris Sud, Fac Med, Le Kremlin Bicetre, France; [Humbert, M. J. C.] Ctr Chirurg Marie Lannelongue, INSERM U999, LabEx LERMIT, Le Plessis Robinson, France; [Humbert, M. J. C.] Hop Bicetre, AP HP, DHU Thorax Innovat, Serv Pneumol &amp; Reanimat Resp, Le Kremlin Bicetre, France; [Bogaard, H. J.] Vrije Univ Amsterdam, Med Ctr, Amsterdam, Netherlands</t>
  </si>
  <si>
    <t>Nebivolol For Improving Endothelial Dysfunction, Pulmonary Vascular Remodeling, And Right Heart Function In Pulmonary Hypertension</t>
  </si>
  <si>
    <t>Perros, F.; Bentebbal, S.; Ranchoux, B.; Dorfmuller, P.; Lecerf, F.; Fadel, E.; Simonneau, G.; Humbert, M. J. C.; Bogaard, H. J.; Eddahibi, S.</t>
  </si>
  <si>
    <t>Perros, F; Bentebbal, S; Ranchoux, B; Dorfmuller, P; Lecerf, F; Fadel, E; Simonneau, G; Humbert, MJC; Bogaard, HJ; Eddahibi, S</t>
  </si>
  <si>
    <t>WOS:000209838203491</t>
  </si>
  <si>
    <t>A4137</t>
  </si>
  <si>
    <t>GUIGNABERT, Christophe/G-3873-2013; David, Montani/I-6885-2019; TU, Ly/G-4035-2013; Humbert, Marc/AAC-8459-2019; Ricard, Nicolas/AAF-1083-2019</t>
  </si>
  <si>
    <t>[Le Hiress, M.; Tu, L.; Ricard, N.; Phan, C.; Thuillet, R.; Seferian, A.; Fadel, E.; Montani, D.; Humbert, M.; Huertas, A.; Guignabert, C.] INSERM, UMR S 999, Le Plessis Robinson, France</t>
  </si>
  <si>
    <t>Mif/cd74 Contributes To The Endothelial Proinflammatory Phenotype In Pulmonary Arterial Hypertension</t>
  </si>
  <si>
    <t>Le Hiress, M.; Tu, L.; Ricard, N.; Phan, C.; Thuillet, R.; Seferian, A.; Fadel, E.; Montani, D.; Humbert, M.; Huertas, A.; Guignabert, C.</t>
  </si>
  <si>
    <t>Le Hiress, M; Tu, L; Ricard, N; Phan, C; Thuillet, R; Seferian, A; Fadel, E; Montani, D; Humbert, M; Huertas, A; Guignabert,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</si>
</sst>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695"/>
  <sheetViews>
    <sheetView tabSelected="1" topLeftCell="A996" workbookViewId="0">
      <selection activeCell="A1002" sqref="A1002"/>
    </sheetView>
  </sheetViews>
  <sheetFormatPr baseColWidth="10" defaultColWidth="8.7265625" defaultRowHeight="12.5" x14ac:dyDescent="0.25"/>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87</v>
      </c>
      <c r="AB2" t="s">
        <v>88</v>
      </c>
      <c r="AC2" t="s">
        <v>89</v>
      </c>
      <c r="AD2" t="s">
        <v>90</v>
      </c>
      <c r="AE2" t="s">
        <v>91</v>
      </c>
      <c r="AF2" t="s">
        <v>74</v>
      </c>
      <c r="AG2">
        <v>40</v>
      </c>
      <c r="AH2">
        <v>0</v>
      </c>
      <c r="AI2">
        <v>0</v>
      </c>
      <c r="AJ2">
        <v>1</v>
      </c>
      <c r="AK2">
        <v>1</v>
      </c>
      <c r="AL2" t="s">
        <v>92</v>
      </c>
      <c r="AM2" t="s">
        <v>93</v>
      </c>
      <c r="AN2" t="s">
        <v>94</v>
      </c>
      <c r="AO2" t="s">
        <v>74</v>
      </c>
      <c r="AP2" t="s">
        <v>95</v>
      </c>
      <c r="AQ2" t="s">
        <v>74</v>
      </c>
      <c r="AR2" t="s">
        <v>96</v>
      </c>
      <c r="AS2" t="s">
        <v>97</v>
      </c>
      <c r="AT2" t="s">
        <v>98</v>
      </c>
      <c r="AU2">
        <v>2025</v>
      </c>
      <c r="AV2">
        <v>7</v>
      </c>
      <c r="AW2">
        <v>3</v>
      </c>
      <c r="AX2" t="s">
        <v>74</v>
      </c>
      <c r="AY2" t="s">
        <v>74</v>
      </c>
      <c r="AZ2" t="s">
        <v>74</v>
      </c>
      <c r="BA2" t="s">
        <v>74</v>
      </c>
      <c r="BB2" t="s">
        <v>74</v>
      </c>
      <c r="BC2" t="s">
        <v>74</v>
      </c>
      <c r="BD2">
        <v>101297</v>
      </c>
      <c r="BE2" t="s">
        <v>99</v>
      </c>
      <c r="BF2" t="str">
        <f>HYPERLINK("http://dx.doi.org/10.1016/j.jhepr.2024.101297","http://dx.doi.org/10.1016/j.jhepr.2024.101297")</f>
        <v>http://dx.doi.org/10.1016/j.jhepr.2024.101297</v>
      </c>
      <c r="BG2" t="s">
        <v>74</v>
      </c>
      <c r="BH2" t="s">
        <v>74</v>
      </c>
      <c r="BI2">
        <v>11</v>
      </c>
      <c r="BJ2" t="s">
        <v>100</v>
      </c>
      <c r="BK2" t="s">
        <v>101</v>
      </c>
      <c r="BL2" t="s">
        <v>100</v>
      </c>
      <c r="BM2" t="s">
        <v>102</v>
      </c>
      <c r="BN2">
        <v>39980753</v>
      </c>
      <c r="BO2" t="s">
        <v>103</v>
      </c>
      <c r="BP2" t="s">
        <v>74</v>
      </c>
      <c r="BQ2" t="s">
        <v>74</v>
      </c>
      <c r="BR2" t="s">
        <v>104</v>
      </c>
      <c r="BS2" t="s">
        <v>105</v>
      </c>
      <c r="BT2" t="str">
        <f>HYPERLINK("https%3A%2F%2Fwww.webofscience.com%2Fwos%2Fwoscc%2Ffull-record%2FWOS:001422003500001","View Full Record in Web of Science")</f>
        <v>View Full Record in Web of Science</v>
      </c>
    </row>
    <row r="3" spans="1:72" x14ac:dyDescent="0.25">
      <c r="A3" t="s">
        <v>72</v>
      </c>
      <c r="B3" t="s">
        <v>106</v>
      </c>
      <c r="C3" t="s">
        <v>74</v>
      </c>
      <c r="D3" t="s">
        <v>74</v>
      </c>
      <c r="E3" t="s">
        <v>74</v>
      </c>
      <c r="F3" t="s">
        <v>107</v>
      </c>
      <c r="G3" t="s">
        <v>74</v>
      </c>
      <c r="H3" t="s">
        <v>74</v>
      </c>
      <c r="I3" t="s">
        <v>108</v>
      </c>
      <c r="J3" t="s">
        <v>109</v>
      </c>
      <c r="K3" t="s">
        <v>74</v>
      </c>
      <c r="L3" t="s">
        <v>74</v>
      </c>
      <c r="M3" t="s">
        <v>78</v>
      </c>
      <c r="N3" t="s">
        <v>79</v>
      </c>
      <c r="O3" t="s">
        <v>74</v>
      </c>
      <c r="P3" t="s">
        <v>74</v>
      </c>
      <c r="Q3" t="s">
        <v>74</v>
      </c>
      <c r="R3" t="s">
        <v>74</v>
      </c>
      <c r="S3" t="s">
        <v>74</v>
      </c>
      <c r="T3" t="s">
        <v>110</v>
      </c>
      <c r="U3" t="s">
        <v>111</v>
      </c>
      <c r="V3" t="s">
        <v>112</v>
      </c>
      <c r="W3" t="s">
        <v>113</v>
      </c>
      <c r="X3" t="s">
        <v>114</v>
      </c>
      <c r="Y3" t="s">
        <v>115</v>
      </c>
      <c r="Z3" t="s">
        <v>116</v>
      </c>
      <c r="AA3" t="s">
        <v>117</v>
      </c>
      <c r="AB3" t="s">
        <v>118</v>
      </c>
      <c r="AC3" t="s">
        <v>119</v>
      </c>
      <c r="AD3" t="s">
        <v>120</v>
      </c>
      <c r="AE3" t="s">
        <v>121</v>
      </c>
      <c r="AF3" t="s">
        <v>74</v>
      </c>
      <c r="AG3">
        <v>34</v>
      </c>
      <c r="AH3">
        <v>0</v>
      </c>
      <c r="AI3">
        <v>0</v>
      </c>
      <c r="AJ3">
        <v>0</v>
      </c>
      <c r="AK3">
        <v>0</v>
      </c>
      <c r="AL3" t="s">
        <v>122</v>
      </c>
      <c r="AM3" t="s">
        <v>123</v>
      </c>
      <c r="AN3" t="s">
        <v>124</v>
      </c>
      <c r="AO3" t="s">
        <v>125</v>
      </c>
      <c r="AP3" t="s">
        <v>126</v>
      </c>
      <c r="AQ3" t="s">
        <v>74</v>
      </c>
      <c r="AR3" t="s">
        <v>127</v>
      </c>
      <c r="AS3" t="s">
        <v>128</v>
      </c>
      <c r="AT3" t="s">
        <v>129</v>
      </c>
      <c r="AU3">
        <v>2025</v>
      </c>
      <c r="AV3">
        <v>18</v>
      </c>
      <c r="AW3">
        <v>2</v>
      </c>
      <c r="AX3" t="s">
        <v>74</v>
      </c>
      <c r="AY3" t="s">
        <v>74</v>
      </c>
      <c r="AZ3" t="s">
        <v>74</v>
      </c>
      <c r="BA3" t="s">
        <v>74</v>
      </c>
      <c r="BB3" t="s">
        <v>74</v>
      </c>
      <c r="BC3" t="s">
        <v>74</v>
      </c>
      <c r="BD3" t="s">
        <v>130</v>
      </c>
      <c r="BE3" t="s">
        <v>131</v>
      </c>
      <c r="BF3" t="str">
        <f>HYPERLINK("http://dx.doi.org/10.1161/CIRCINTERVENTIONS.124.014785","http://dx.doi.org/10.1161/CIRCINTERVENTIONS.124.014785")</f>
        <v>http://dx.doi.org/10.1161/CIRCINTERVENTIONS.124.014785</v>
      </c>
      <c r="BG3" t="s">
        <v>74</v>
      </c>
      <c r="BH3" t="s">
        <v>74</v>
      </c>
      <c r="BI3">
        <v>10</v>
      </c>
      <c r="BJ3" t="s">
        <v>132</v>
      </c>
      <c r="BK3" t="s">
        <v>101</v>
      </c>
      <c r="BL3" t="s">
        <v>133</v>
      </c>
      <c r="BM3" t="s">
        <v>134</v>
      </c>
      <c r="BN3">
        <v>39965044</v>
      </c>
      <c r="BO3" t="s">
        <v>74</v>
      </c>
      <c r="BP3" t="s">
        <v>74</v>
      </c>
      <c r="BQ3" t="s">
        <v>74</v>
      </c>
      <c r="BR3" t="s">
        <v>104</v>
      </c>
      <c r="BS3" t="s">
        <v>135</v>
      </c>
      <c r="BT3" t="str">
        <f>HYPERLINK("https%3A%2F%2Fwww.webofscience.com%2Fwos%2Fwoscc%2Ffull-record%2FWOS:001421655700006","View Full Record in Web of Science")</f>
        <v>View Full Record in Web of Science</v>
      </c>
    </row>
    <row r="4" spans="1:72" x14ac:dyDescent="0.25">
      <c r="A4" t="s">
        <v>72</v>
      </c>
      <c r="B4" t="s">
        <v>136</v>
      </c>
      <c r="C4" t="s">
        <v>74</v>
      </c>
      <c r="D4" t="s">
        <v>74</v>
      </c>
      <c r="E4" t="s">
        <v>74</v>
      </c>
      <c r="F4" t="s">
        <v>137</v>
      </c>
      <c r="G4" t="s">
        <v>74</v>
      </c>
      <c r="H4" t="s">
        <v>74</v>
      </c>
      <c r="I4" t="s">
        <v>138</v>
      </c>
      <c r="J4" t="s">
        <v>139</v>
      </c>
      <c r="K4" t="s">
        <v>74</v>
      </c>
      <c r="L4" t="s">
        <v>74</v>
      </c>
      <c r="M4" t="s">
        <v>78</v>
      </c>
      <c r="N4" t="s">
        <v>140</v>
      </c>
      <c r="O4" t="s">
        <v>74</v>
      </c>
      <c r="P4" t="s">
        <v>74</v>
      </c>
      <c r="Q4" t="s">
        <v>74</v>
      </c>
      <c r="R4" t="s">
        <v>74</v>
      </c>
      <c r="S4" t="s">
        <v>74</v>
      </c>
      <c r="T4" t="s">
        <v>74</v>
      </c>
      <c r="U4" t="s">
        <v>74</v>
      </c>
      <c r="V4" t="s">
        <v>74</v>
      </c>
      <c r="W4" t="s">
        <v>141</v>
      </c>
      <c r="X4" t="s">
        <v>142</v>
      </c>
      <c r="Y4" t="s">
        <v>143</v>
      </c>
      <c r="Z4" t="s">
        <v>74</v>
      </c>
      <c r="AA4" t="s">
        <v>144</v>
      </c>
      <c r="AB4" t="s">
        <v>74</v>
      </c>
      <c r="AC4" t="s">
        <v>145</v>
      </c>
      <c r="AD4" t="s">
        <v>146</v>
      </c>
      <c r="AE4" t="s">
        <v>147</v>
      </c>
      <c r="AF4" t="s">
        <v>74</v>
      </c>
      <c r="AG4">
        <v>0</v>
      </c>
      <c r="AH4">
        <v>0</v>
      </c>
      <c r="AI4">
        <v>0</v>
      </c>
      <c r="AJ4">
        <v>0</v>
      </c>
      <c r="AK4">
        <v>0</v>
      </c>
      <c r="AL4" t="s">
        <v>148</v>
      </c>
      <c r="AM4" t="s">
        <v>149</v>
      </c>
      <c r="AN4" t="s">
        <v>150</v>
      </c>
      <c r="AO4" t="s">
        <v>151</v>
      </c>
      <c r="AP4" t="s">
        <v>152</v>
      </c>
      <c r="AQ4" t="s">
        <v>74</v>
      </c>
      <c r="AR4" t="s">
        <v>153</v>
      </c>
      <c r="AS4" t="s">
        <v>154</v>
      </c>
      <c r="AT4" t="s">
        <v>155</v>
      </c>
      <c r="AU4">
        <v>2024</v>
      </c>
      <c r="AV4">
        <v>16</v>
      </c>
      <c r="AW4" t="s">
        <v>156</v>
      </c>
      <c r="AX4" t="s">
        <v>74</v>
      </c>
      <c r="AY4" t="s">
        <v>74</v>
      </c>
      <c r="AZ4" t="s">
        <v>74</v>
      </c>
      <c r="BA4" t="s">
        <v>74</v>
      </c>
      <c r="BB4">
        <v>1175</v>
      </c>
      <c r="BC4">
        <v>1184</v>
      </c>
      <c r="BD4" t="s">
        <v>74</v>
      </c>
      <c r="BE4" t="s">
        <v>157</v>
      </c>
      <c r="BF4" t="str">
        <f>HYPERLINK("http://dx.doi.org/10.1080/1750743X.2024.2436829","http://dx.doi.org/10.1080/1750743X.2024.2436829")</f>
        <v>http://dx.doi.org/10.1080/1750743X.2024.2436829</v>
      </c>
      <c r="BG4" t="s">
        <v>74</v>
      </c>
      <c r="BH4" t="s">
        <v>158</v>
      </c>
      <c r="BI4">
        <v>10</v>
      </c>
      <c r="BJ4" t="s">
        <v>159</v>
      </c>
      <c r="BK4" t="s">
        <v>101</v>
      </c>
      <c r="BL4" t="s">
        <v>159</v>
      </c>
      <c r="BM4" t="s">
        <v>160</v>
      </c>
      <c r="BN4">
        <v>39931841</v>
      </c>
      <c r="BO4" t="s">
        <v>161</v>
      </c>
      <c r="BP4" t="s">
        <v>74</v>
      </c>
      <c r="BQ4" t="s">
        <v>74</v>
      </c>
      <c r="BR4" t="s">
        <v>104</v>
      </c>
      <c r="BS4" t="s">
        <v>162</v>
      </c>
      <c r="BT4" t="str">
        <f>HYPERLINK("https%3A%2F%2Fwww.webofscience.com%2Fwos%2Fwoscc%2Ffull-record%2FWOS:001394732200001","View Full Record in Web of Science")</f>
        <v>View Full Record in Web of Science</v>
      </c>
    </row>
    <row r="5" spans="1:72" x14ac:dyDescent="0.25">
      <c r="A5" t="s">
        <v>72</v>
      </c>
      <c r="B5" t="s">
        <v>163</v>
      </c>
      <c r="C5" t="s">
        <v>74</v>
      </c>
      <c r="D5" t="s">
        <v>74</v>
      </c>
      <c r="E5" t="s">
        <v>74</v>
      </c>
      <c r="F5" t="s">
        <v>164</v>
      </c>
      <c r="G5" t="s">
        <v>74</v>
      </c>
      <c r="H5" t="s">
        <v>74</v>
      </c>
      <c r="I5" t="s">
        <v>165</v>
      </c>
      <c r="J5" t="s">
        <v>166</v>
      </c>
      <c r="K5" t="s">
        <v>74</v>
      </c>
      <c r="L5" t="s">
        <v>74</v>
      </c>
      <c r="M5" t="s">
        <v>78</v>
      </c>
      <c r="N5" t="s">
        <v>52</v>
      </c>
      <c r="O5" t="s">
        <v>74</v>
      </c>
      <c r="P5" t="s">
        <v>74</v>
      </c>
      <c r="Q5" t="s">
        <v>74</v>
      </c>
      <c r="R5" t="s">
        <v>74</v>
      </c>
      <c r="S5" t="s">
        <v>74</v>
      </c>
      <c r="T5" t="s">
        <v>74</v>
      </c>
      <c r="U5" t="s">
        <v>74</v>
      </c>
      <c r="V5" t="s">
        <v>74</v>
      </c>
      <c r="W5" t="s">
        <v>167</v>
      </c>
      <c r="X5" t="s">
        <v>168</v>
      </c>
      <c r="Y5" t="s">
        <v>74</v>
      </c>
      <c r="Z5" t="s">
        <v>74</v>
      </c>
      <c r="AA5" t="s">
        <v>144</v>
      </c>
      <c r="AB5" t="s">
        <v>74</v>
      </c>
      <c r="AC5" t="s">
        <v>74</v>
      </c>
      <c r="AD5" t="s">
        <v>74</v>
      </c>
      <c r="AE5" t="s">
        <v>74</v>
      </c>
      <c r="AF5" t="s">
        <v>74</v>
      </c>
      <c r="AG5">
        <v>0</v>
      </c>
      <c r="AH5">
        <v>0</v>
      </c>
      <c r="AI5">
        <v>0</v>
      </c>
      <c r="AJ5">
        <v>0</v>
      </c>
      <c r="AK5">
        <v>0</v>
      </c>
      <c r="AL5" t="s">
        <v>169</v>
      </c>
      <c r="AM5" t="s">
        <v>170</v>
      </c>
      <c r="AN5" t="s">
        <v>171</v>
      </c>
      <c r="AO5" t="s">
        <v>172</v>
      </c>
      <c r="AP5" t="s">
        <v>173</v>
      </c>
      <c r="AQ5" t="s">
        <v>74</v>
      </c>
      <c r="AR5" t="s">
        <v>174</v>
      </c>
      <c r="AS5" t="s">
        <v>175</v>
      </c>
      <c r="AT5" t="s">
        <v>176</v>
      </c>
      <c r="AU5">
        <v>2025</v>
      </c>
      <c r="AV5">
        <v>241</v>
      </c>
      <c r="AW5" t="s">
        <v>74</v>
      </c>
      <c r="AX5" t="s">
        <v>74</v>
      </c>
      <c r="AY5" t="s">
        <v>74</v>
      </c>
      <c r="AZ5" t="s">
        <v>74</v>
      </c>
      <c r="BA5" t="s">
        <v>74</v>
      </c>
      <c r="BB5" t="s">
        <v>74</v>
      </c>
      <c r="BC5" t="s">
        <v>74</v>
      </c>
      <c r="BD5" t="s">
        <v>74</v>
      </c>
      <c r="BE5" t="s">
        <v>74</v>
      </c>
      <c r="BF5" t="s">
        <v>74</v>
      </c>
      <c r="BG5" t="s">
        <v>74</v>
      </c>
      <c r="BH5" t="s">
        <v>74</v>
      </c>
      <c r="BI5">
        <v>25</v>
      </c>
      <c r="BJ5" t="s">
        <v>177</v>
      </c>
      <c r="BK5" t="s">
        <v>101</v>
      </c>
      <c r="BL5" t="s">
        <v>177</v>
      </c>
      <c r="BM5" t="s">
        <v>178</v>
      </c>
      <c r="BN5" t="s">
        <v>74</v>
      </c>
      <c r="BO5" t="s">
        <v>74</v>
      </c>
      <c r="BP5" t="s">
        <v>74</v>
      </c>
      <c r="BQ5" t="s">
        <v>74</v>
      </c>
      <c r="BR5" t="s">
        <v>104</v>
      </c>
      <c r="BS5" t="s">
        <v>179</v>
      </c>
      <c r="BT5" t="str">
        <f>HYPERLINK("https%3A%2F%2Fwww.webofscience.com%2Fwos%2Fwoscc%2Ffull-record%2FWOS:001414754400020","View Full Record in Web of Science")</f>
        <v>View Full Record in Web of Science</v>
      </c>
    </row>
    <row r="6" spans="1:72" x14ac:dyDescent="0.25">
      <c r="A6" t="s">
        <v>72</v>
      </c>
      <c r="B6" t="s">
        <v>180</v>
      </c>
      <c r="C6" t="s">
        <v>74</v>
      </c>
      <c r="D6" t="s">
        <v>74</v>
      </c>
      <c r="E6" t="s">
        <v>74</v>
      </c>
      <c r="F6" t="s">
        <v>181</v>
      </c>
      <c r="G6" t="s">
        <v>74</v>
      </c>
      <c r="H6" t="s">
        <v>74</v>
      </c>
      <c r="I6" t="s">
        <v>182</v>
      </c>
      <c r="J6" t="s">
        <v>166</v>
      </c>
      <c r="K6" t="s">
        <v>74</v>
      </c>
      <c r="L6" t="s">
        <v>74</v>
      </c>
      <c r="M6" t="s">
        <v>78</v>
      </c>
      <c r="N6" t="s">
        <v>52</v>
      </c>
      <c r="O6" t="s">
        <v>74</v>
      </c>
      <c r="P6" t="s">
        <v>74</v>
      </c>
      <c r="Q6" t="s">
        <v>74</v>
      </c>
      <c r="R6" t="s">
        <v>74</v>
      </c>
      <c r="S6" t="s">
        <v>74</v>
      </c>
      <c r="T6" t="s">
        <v>74</v>
      </c>
      <c r="U6" t="s">
        <v>74</v>
      </c>
      <c r="V6" t="s">
        <v>74</v>
      </c>
      <c r="W6" t="s">
        <v>183</v>
      </c>
      <c r="X6" t="s">
        <v>184</v>
      </c>
      <c r="Y6" t="s">
        <v>74</v>
      </c>
      <c r="Z6" t="s">
        <v>74</v>
      </c>
      <c r="AA6" t="s">
        <v>144</v>
      </c>
      <c r="AB6" t="s">
        <v>74</v>
      </c>
      <c r="AC6" t="s">
        <v>74</v>
      </c>
      <c r="AD6" t="s">
        <v>74</v>
      </c>
      <c r="AE6" t="s">
        <v>74</v>
      </c>
      <c r="AF6" t="s">
        <v>74</v>
      </c>
      <c r="AG6">
        <v>0</v>
      </c>
      <c r="AH6">
        <v>0</v>
      </c>
      <c r="AI6">
        <v>0</v>
      </c>
      <c r="AJ6">
        <v>0</v>
      </c>
      <c r="AK6">
        <v>0</v>
      </c>
      <c r="AL6" t="s">
        <v>169</v>
      </c>
      <c r="AM6" t="s">
        <v>170</v>
      </c>
      <c r="AN6" t="s">
        <v>171</v>
      </c>
      <c r="AO6" t="s">
        <v>172</v>
      </c>
      <c r="AP6" t="s">
        <v>173</v>
      </c>
      <c r="AQ6" t="s">
        <v>74</v>
      </c>
      <c r="AR6" t="s">
        <v>174</v>
      </c>
      <c r="AS6" t="s">
        <v>175</v>
      </c>
      <c r="AT6" t="s">
        <v>176</v>
      </c>
      <c r="AU6">
        <v>2025</v>
      </c>
      <c r="AV6">
        <v>241</v>
      </c>
      <c r="AW6" t="s">
        <v>74</v>
      </c>
      <c r="AX6" t="s">
        <v>74</v>
      </c>
      <c r="AY6" t="s">
        <v>74</v>
      </c>
      <c r="AZ6" t="s">
        <v>74</v>
      </c>
      <c r="BA6" t="s">
        <v>74</v>
      </c>
      <c r="BB6" t="s">
        <v>74</v>
      </c>
      <c r="BC6" t="s">
        <v>74</v>
      </c>
      <c r="BD6" t="s">
        <v>74</v>
      </c>
      <c r="BE6" t="s">
        <v>74</v>
      </c>
      <c r="BF6" t="s">
        <v>74</v>
      </c>
      <c r="BG6" t="s">
        <v>74</v>
      </c>
      <c r="BH6" t="s">
        <v>74</v>
      </c>
      <c r="BI6">
        <v>25</v>
      </c>
      <c r="BJ6" t="s">
        <v>177</v>
      </c>
      <c r="BK6" t="s">
        <v>101</v>
      </c>
      <c r="BL6" t="s">
        <v>177</v>
      </c>
      <c r="BM6" t="s">
        <v>178</v>
      </c>
      <c r="BN6" t="s">
        <v>74</v>
      </c>
      <c r="BO6" t="s">
        <v>74</v>
      </c>
      <c r="BP6" t="s">
        <v>74</v>
      </c>
      <c r="BQ6" t="s">
        <v>74</v>
      </c>
      <c r="BR6" t="s">
        <v>104</v>
      </c>
      <c r="BS6" t="s">
        <v>185</v>
      </c>
      <c r="BT6" t="str">
        <f>HYPERLINK("https%3A%2F%2Fwww.webofscience.com%2Fwos%2Fwoscc%2Ffull-record%2FWOS:001414754400002","View Full Record in Web of Science")</f>
        <v>View Full Record in Web of Science</v>
      </c>
    </row>
    <row r="7" spans="1:72" x14ac:dyDescent="0.25">
      <c r="A7" t="s">
        <v>72</v>
      </c>
      <c r="B7" t="s">
        <v>186</v>
      </c>
      <c r="C7" t="s">
        <v>74</v>
      </c>
      <c r="D7" t="s">
        <v>74</v>
      </c>
      <c r="E7" t="s">
        <v>74</v>
      </c>
      <c r="F7" t="s">
        <v>187</v>
      </c>
      <c r="G7" t="s">
        <v>74</v>
      </c>
      <c r="H7" t="s">
        <v>74</v>
      </c>
      <c r="I7" t="s">
        <v>188</v>
      </c>
      <c r="J7" t="s">
        <v>189</v>
      </c>
      <c r="K7" t="s">
        <v>74</v>
      </c>
      <c r="L7" t="s">
        <v>74</v>
      </c>
      <c r="M7" t="s">
        <v>78</v>
      </c>
      <c r="N7" t="s">
        <v>79</v>
      </c>
      <c r="O7" t="s">
        <v>74</v>
      </c>
      <c r="P7" t="s">
        <v>74</v>
      </c>
      <c r="Q7" t="s">
        <v>74</v>
      </c>
      <c r="R7" t="s">
        <v>74</v>
      </c>
      <c r="S7" t="s">
        <v>74</v>
      </c>
      <c r="T7" t="s">
        <v>190</v>
      </c>
      <c r="U7" t="s">
        <v>74</v>
      </c>
      <c r="V7" t="s">
        <v>191</v>
      </c>
      <c r="W7" t="s">
        <v>192</v>
      </c>
      <c r="X7" t="s">
        <v>193</v>
      </c>
      <c r="Y7" t="s">
        <v>194</v>
      </c>
      <c r="Z7" t="s">
        <v>195</v>
      </c>
      <c r="AA7" t="s">
        <v>196</v>
      </c>
      <c r="AB7" t="s">
        <v>197</v>
      </c>
      <c r="AC7" t="s">
        <v>198</v>
      </c>
      <c r="AD7" t="s">
        <v>198</v>
      </c>
      <c r="AE7" t="s">
        <v>199</v>
      </c>
      <c r="AF7" t="s">
        <v>74</v>
      </c>
      <c r="AG7">
        <v>10</v>
      </c>
      <c r="AH7">
        <v>0</v>
      </c>
      <c r="AI7">
        <v>0</v>
      </c>
      <c r="AJ7">
        <v>1</v>
      </c>
      <c r="AK7">
        <v>1</v>
      </c>
      <c r="AL7" t="s">
        <v>200</v>
      </c>
      <c r="AM7" t="s">
        <v>201</v>
      </c>
      <c r="AN7" t="s">
        <v>202</v>
      </c>
      <c r="AO7" t="s">
        <v>203</v>
      </c>
      <c r="AP7" t="s">
        <v>204</v>
      </c>
      <c r="AQ7" t="s">
        <v>74</v>
      </c>
      <c r="AR7" t="s">
        <v>205</v>
      </c>
      <c r="AS7" t="s">
        <v>206</v>
      </c>
      <c r="AT7" t="s">
        <v>176</v>
      </c>
      <c r="AU7">
        <v>2025</v>
      </c>
      <c r="AV7">
        <v>236</v>
      </c>
      <c r="AW7" t="s">
        <v>74</v>
      </c>
      <c r="AX7" t="s">
        <v>74</v>
      </c>
      <c r="AY7" t="s">
        <v>74</v>
      </c>
      <c r="AZ7" t="s">
        <v>74</v>
      </c>
      <c r="BA7" t="s">
        <v>74</v>
      </c>
      <c r="BB7" t="s">
        <v>74</v>
      </c>
      <c r="BC7" t="s">
        <v>74</v>
      </c>
      <c r="BD7">
        <v>107910</v>
      </c>
      <c r="BE7" t="s">
        <v>207</v>
      </c>
      <c r="BF7" t="str">
        <f>HYPERLINK("http://dx.doi.org/10.1016/j.rmed.2024.107910","http://dx.doi.org/10.1016/j.rmed.2024.107910")</f>
        <v>http://dx.doi.org/10.1016/j.rmed.2024.107910</v>
      </c>
      <c r="BG7" t="s">
        <v>74</v>
      </c>
      <c r="BH7" t="s">
        <v>208</v>
      </c>
      <c r="BI7">
        <v>4</v>
      </c>
      <c r="BJ7" t="s">
        <v>209</v>
      </c>
      <c r="BK7" t="s">
        <v>101</v>
      </c>
      <c r="BL7" t="s">
        <v>210</v>
      </c>
      <c r="BM7" t="s">
        <v>211</v>
      </c>
      <c r="BN7">
        <v>39667586</v>
      </c>
      <c r="BO7" t="s">
        <v>161</v>
      </c>
      <c r="BP7" t="s">
        <v>74</v>
      </c>
      <c r="BQ7" t="s">
        <v>74</v>
      </c>
      <c r="BR7" t="s">
        <v>104</v>
      </c>
      <c r="BS7" t="s">
        <v>212</v>
      </c>
      <c r="BT7" t="str">
        <f>HYPERLINK("https%3A%2F%2Fwww.webofscience.com%2Fwos%2Fwoscc%2Ffull-record%2FWOS:001392610300001","View Full Record in Web of Science")</f>
        <v>View Full Record in Web of Science</v>
      </c>
    </row>
    <row r="8" spans="1:72" x14ac:dyDescent="0.25">
      <c r="A8" t="s">
        <v>72</v>
      </c>
      <c r="B8" t="s">
        <v>213</v>
      </c>
      <c r="C8" t="s">
        <v>74</v>
      </c>
      <c r="D8" t="s">
        <v>74</v>
      </c>
      <c r="E8" t="s">
        <v>74</v>
      </c>
      <c r="F8" t="s">
        <v>214</v>
      </c>
      <c r="G8" t="s">
        <v>74</v>
      </c>
      <c r="H8" t="s">
        <v>74</v>
      </c>
      <c r="I8" t="s">
        <v>215</v>
      </c>
      <c r="J8" t="s">
        <v>216</v>
      </c>
      <c r="K8" t="s">
        <v>74</v>
      </c>
      <c r="L8" t="s">
        <v>74</v>
      </c>
      <c r="M8" t="s">
        <v>78</v>
      </c>
      <c r="N8" t="s">
        <v>217</v>
      </c>
      <c r="O8" t="s">
        <v>74</v>
      </c>
      <c r="P8" t="s">
        <v>74</v>
      </c>
      <c r="Q8" t="s">
        <v>74</v>
      </c>
      <c r="R8" t="s">
        <v>74</v>
      </c>
      <c r="S8" t="s">
        <v>74</v>
      </c>
      <c r="T8" t="s">
        <v>74</v>
      </c>
      <c r="U8" t="s">
        <v>74</v>
      </c>
      <c r="V8" t="s">
        <v>74</v>
      </c>
      <c r="W8" t="s">
        <v>74</v>
      </c>
      <c r="X8" t="s">
        <v>74</v>
      </c>
      <c r="Y8" t="s">
        <v>74</v>
      </c>
      <c r="Z8" t="s">
        <v>74</v>
      </c>
      <c r="AA8" t="s">
        <v>218</v>
      </c>
      <c r="AB8" t="s">
        <v>74</v>
      </c>
      <c r="AC8" t="s">
        <v>74</v>
      </c>
      <c r="AD8" t="s">
        <v>74</v>
      </c>
      <c r="AE8" t="s">
        <v>74</v>
      </c>
      <c r="AF8" t="s">
        <v>74</v>
      </c>
      <c r="AG8">
        <v>1</v>
      </c>
      <c r="AH8">
        <v>0</v>
      </c>
      <c r="AI8">
        <v>0</v>
      </c>
      <c r="AJ8">
        <v>0</v>
      </c>
      <c r="AK8">
        <v>0</v>
      </c>
      <c r="AL8" t="s">
        <v>219</v>
      </c>
      <c r="AM8" t="s">
        <v>220</v>
      </c>
      <c r="AN8" t="s">
        <v>221</v>
      </c>
      <c r="AO8" t="s">
        <v>222</v>
      </c>
      <c r="AP8" t="s">
        <v>223</v>
      </c>
      <c r="AQ8" t="s">
        <v>74</v>
      </c>
      <c r="AR8" t="s">
        <v>224</v>
      </c>
      <c r="AS8" t="s">
        <v>225</v>
      </c>
      <c r="AT8" t="s">
        <v>226</v>
      </c>
      <c r="AU8">
        <v>2024</v>
      </c>
      <c r="AV8">
        <v>64</v>
      </c>
      <c r="AW8">
        <v>6</v>
      </c>
      <c r="AX8" t="s">
        <v>74</v>
      </c>
      <c r="AY8" t="s">
        <v>74</v>
      </c>
      <c r="AZ8" t="s">
        <v>74</v>
      </c>
      <c r="BA8" t="s">
        <v>74</v>
      </c>
      <c r="BB8" t="s">
        <v>74</v>
      </c>
      <c r="BC8" t="s">
        <v>74</v>
      </c>
      <c r="BD8">
        <v>2052341</v>
      </c>
      <c r="BE8" t="s">
        <v>227</v>
      </c>
      <c r="BF8" t="str">
        <f>HYPERLINK("http://dx.doi.org/10.1183/13993003.52341-2020","http://dx.doi.org/10.1183/13993003.52341-2020")</f>
        <v>http://dx.doi.org/10.1183/13993003.52341-2020</v>
      </c>
      <c r="BG8" t="s">
        <v>74</v>
      </c>
      <c r="BH8" t="s">
        <v>74</v>
      </c>
      <c r="BI8">
        <v>1</v>
      </c>
      <c r="BJ8" t="s">
        <v>228</v>
      </c>
      <c r="BK8" t="s">
        <v>101</v>
      </c>
      <c r="BL8" t="s">
        <v>228</v>
      </c>
      <c r="BM8" t="s">
        <v>229</v>
      </c>
      <c r="BN8" t="s">
        <v>74</v>
      </c>
      <c r="BO8" t="s">
        <v>74</v>
      </c>
      <c r="BP8" t="s">
        <v>74</v>
      </c>
      <c r="BQ8" t="s">
        <v>74</v>
      </c>
      <c r="BR8" t="s">
        <v>104</v>
      </c>
      <c r="BS8" t="s">
        <v>230</v>
      </c>
      <c r="BT8" t="str">
        <f>HYPERLINK("https%3A%2F%2Fwww.webofscience.com%2Fwos%2Fwoscc%2Ffull-record%2FWOS:001392102300014","View Full Record in Web of Science")</f>
        <v>View Full Record in Web of Science</v>
      </c>
    </row>
    <row r="9" spans="1:72" x14ac:dyDescent="0.25">
      <c r="A9" t="s">
        <v>72</v>
      </c>
      <c r="B9" t="s">
        <v>231</v>
      </c>
      <c r="C9" t="s">
        <v>74</v>
      </c>
      <c r="D9" t="s">
        <v>74</v>
      </c>
      <c r="E9" t="s">
        <v>74</v>
      </c>
      <c r="F9" t="s">
        <v>232</v>
      </c>
      <c r="G9" t="s">
        <v>74</v>
      </c>
      <c r="H9" t="s">
        <v>233</v>
      </c>
      <c r="I9" t="s">
        <v>234</v>
      </c>
      <c r="J9" t="s">
        <v>216</v>
      </c>
      <c r="K9" t="s">
        <v>74</v>
      </c>
      <c r="L9" t="s">
        <v>74</v>
      </c>
      <c r="M9" t="s">
        <v>78</v>
      </c>
      <c r="N9" t="s">
        <v>79</v>
      </c>
      <c r="O9" t="s">
        <v>74</v>
      </c>
      <c r="P9" t="s">
        <v>74</v>
      </c>
      <c r="Q9" t="s">
        <v>74</v>
      </c>
      <c r="R9" t="s">
        <v>74</v>
      </c>
      <c r="S9" t="s">
        <v>74</v>
      </c>
      <c r="T9" t="s">
        <v>74</v>
      </c>
      <c r="U9" t="s">
        <v>235</v>
      </c>
      <c r="V9" t="s">
        <v>236</v>
      </c>
      <c r="W9" t="s">
        <v>237</v>
      </c>
      <c r="X9" t="s">
        <v>238</v>
      </c>
      <c r="Y9" t="s">
        <v>239</v>
      </c>
      <c r="Z9" t="s">
        <v>240</v>
      </c>
      <c r="AA9" t="s">
        <v>241</v>
      </c>
      <c r="AB9" t="s">
        <v>242</v>
      </c>
      <c r="AC9" t="s">
        <v>243</v>
      </c>
      <c r="AD9" t="s">
        <v>243</v>
      </c>
      <c r="AE9" t="s">
        <v>244</v>
      </c>
      <c r="AF9" t="s">
        <v>74</v>
      </c>
      <c r="AG9">
        <v>17</v>
      </c>
      <c r="AH9">
        <v>4</v>
      </c>
      <c r="AI9">
        <v>4</v>
      </c>
      <c r="AJ9">
        <v>0</v>
      </c>
      <c r="AK9">
        <v>0</v>
      </c>
      <c r="AL9" t="s">
        <v>219</v>
      </c>
      <c r="AM9" t="s">
        <v>220</v>
      </c>
      <c r="AN9" t="s">
        <v>221</v>
      </c>
      <c r="AO9" t="s">
        <v>222</v>
      </c>
      <c r="AP9" t="s">
        <v>223</v>
      </c>
      <c r="AQ9" t="s">
        <v>74</v>
      </c>
      <c r="AR9" t="s">
        <v>224</v>
      </c>
      <c r="AS9" t="s">
        <v>225</v>
      </c>
      <c r="AT9" t="s">
        <v>226</v>
      </c>
      <c r="AU9">
        <v>2024</v>
      </c>
      <c r="AV9">
        <v>64</v>
      </c>
      <c r="AW9">
        <v>6</v>
      </c>
      <c r="AX9" t="s">
        <v>74</v>
      </c>
      <c r="AY9" t="s">
        <v>74</v>
      </c>
      <c r="AZ9" t="s">
        <v>74</v>
      </c>
      <c r="BA9" t="s">
        <v>74</v>
      </c>
      <c r="BB9" t="s">
        <v>74</v>
      </c>
      <c r="BC9" t="s">
        <v>74</v>
      </c>
      <c r="BD9">
        <v>2400698</v>
      </c>
      <c r="BE9" t="s">
        <v>245</v>
      </c>
      <c r="BF9" t="str">
        <f>HYPERLINK("http://dx.doi.org/10.1183/13993003.00698-2024","http://dx.doi.org/10.1183/13993003.00698-2024")</f>
        <v>http://dx.doi.org/10.1183/13993003.00698-2024</v>
      </c>
      <c r="BG9" t="s">
        <v>74</v>
      </c>
      <c r="BH9" t="s">
        <v>74</v>
      </c>
      <c r="BI9">
        <v>12</v>
      </c>
      <c r="BJ9" t="s">
        <v>228</v>
      </c>
      <c r="BK9" t="s">
        <v>101</v>
      </c>
      <c r="BL9" t="s">
        <v>228</v>
      </c>
      <c r="BM9" t="s">
        <v>229</v>
      </c>
      <c r="BN9">
        <v>39603672</v>
      </c>
      <c r="BO9" t="s">
        <v>246</v>
      </c>
      <c r="BP9" t="s">
        <v>74</v>
      </c>
      <c r="BQ9" t="s">
        <v>74</v>
      </c>
      <c r="BR9" t="s">
        <v>104</v>
      </c>
      <c r="BS9" t="s">
        <v>247</v>
      </c>
      <c r="BT9" t="str">
        <f>HYPERLINK("https%3A%2F%2Fwww.webofscience.com%2Fwos%2Fwoscc%2Ffull-record%2FWOS:001392102300010","View Full Record in Web of Science")</f>
        <v>View Full Record in Web of Science</v>
      </c>
    </row>
    <row r="10" spans="1:72" x14ac:dyDescent="0.25">
      <c r="A10" t="s">
        <v>72</v>
      </c>
      <c r="B10" t="s">
        <v>248</v>
      </c>
      <c r="C10" t="s">
        <v>74</v>
      </c>
      <c r="D10" t="s">
        <v>74</v>
      </c>
      <c r="E10" t="s">
        <v>74</v>
      </c>
      <c r="F10" t="s">
        <v>249</v>
      </c>
      <c r="G10" t="s">
        <v>74</v>
      </c>
      <c r="H10" t="s">
        <v>74</v>
      </c>
      <c r="I10" t="s">
        <v>250</v>
      </c>
      <c r="J10" t="s">
        <v>251</v>
      </c>
      <c r="K10" t="s">
        <v>74</v>
      </c>
      <c r="L10" t="s">
        <v>74</v>
      </c>
      <c r="M10" t="s">
        <v>78</v>
      </c>
      <c r="N10" t="s">
        <v>140</v>
      </c>
      <c r="O10" t="s">
        <v>74</v>
      </c>
      <c r="P10" t="s">
        <v>74</v>
      </c>
      <c r="Q10" t="s">
        <v>74</v>
      </c>
      <c r="R10" t="s">
        <v>74</v>
      </c>
      <c r="S10" t="s">
        <v>74</v>
      </c>
      <c r="T10" t="s">
        <v>252</v>
      </c>
      <c r="U10" t="s">
        <v>74</v>
      </c>
      <c r="V10" t="s">
        <v>74</v>
      </c>
      <c r="W10" t="s">
        <v>253</v>
      </c>
      <c r="X10" t="s">
        <v>254</v>
      </c>
      <c r="Y10" t="s">
        <v>255</v>
      </c>
      <c r="Z10" t="s">
        <v>256</v>
      </c>
      <c r="AA10" t="s">
        <v>144</v>
      </c>
      <c r="AB10" t="s">
        <v>257</v>
      </c>
      <c r="AC10" t="s">
        <v>74</v>
      </c>
      <c r="AD10" t="s">
        <v>74</v>
      </c>
      <c r="AE10" t="s">
        <v>74</v>
      </c>
      <c r="AF10" t="s">
        <v>74</v>
      </c>
      <c r="AG10">
        <v>6</v>
      </c>
      <c r="AH10">
        <v>0</v>
      </c>
      <c r="AI10">
        <v>0</v>
      </c>
      <c r="AJ10">
        <v>0</v>
      </c>
      <c r="AK10">
        <v>0</v>
      </c>
      <c r="AL10" t="s">
        <v>122</v>
      </c>
      <c r="AM10" t="s">
        <v>123</v>
      </c>
      <c r="AN10" t="s">
        <v>124</v>
      </c>
      <c r="AO10" t="s">
        <v>258</v>
      </c>
      <c r="AP10" t="s">
        <v>259</v>
      </c>
      <c r="AQ10" t="s">
        <v>74</v>
      </c>
      <c r="AR10" t="s">
        <v>251</v>
      </c>
      <c r="AS10" t="s">
        <v>260</v>
      </c>
      <c r="AT10" t="s">
        <v>261</v>
      </c>
      <c r="AU10">
        <v>2024</v>
      </c>
      <c r="AV10">
        <v>150</v>
      </c>
      <c r="AW10">
        <v>21</v>
      </c>
      <c r="AX10" t="s">
        <v>74</v>
      </c>
      <c r="AY10" t="s">
        <v>74</v>
      </c>
      <c r="AZ10" t="s">
        <v>74</v>
      </c>
      <c r="BA10" t="s">
        <v>74</v>
      </c>
      <c r="BB10">
        <v>1653</v>
      </c>
      <c r="BC10">
        <v>1655</v>
      </c>
      <c r="BD10" t="s">
        <v>74</v>
      </c>
      <c r="BE10" t="s">
        <v>262</v>
      </c>
      <c r="BF10" t="str">
        <f>HYPERLINK("http://dx.doi.org/10.1161/CIRCULATIONAHA.124.070104","http://dx.doi.org/10.1161/CIRCULATIONAHA.124.070104")</f>
        <v>http://dx.doi.org/10.1161/CIRCULATIONAHA.124.070104</v>
      </c>
      <c r="BG10" t="s">
        <v>74</v>
      </c>
      <c r="BH10" t="s">
        <v>74</v>
      </c>
      <c r="BI10">
        <v>3</v>
      </c>
      <c r="BJ10" t="s">
        <v>263</v>
      </c>
      <c r="BK10" t="s">
        <v>101</v>
      </c>
      <c r="BL10" t="s">
        <v>133</v>
      </c>
      <c r="BM10" t="s">
        <v>264</v>
      </c>
      <c r="BN10">
        <v>39556653</v>
      </c>
      <c r="BO10" t="s">
        <v>74</v>
      </c>
      <c r="BP10" t="s">
        <v>74</v>
      </c>
      <c r="BQ10" t="s">
        <v>74</v>
      </c>
      <c r="BR10" t="s">
        <v>104</v>
      </c>
      <c r="BS10" t="s">
        <v>265</v>
      </c>
      <c r="BT10" t="str">
        <f>HYPERLINK("https%3A%2F%2Fwww.webofscience.com%2Fwos%2Fwoscc%2Ffull-record%2FWOS:001392944200008","View Full Record in Web of Science")</f>
        <v>View Full Record in Web of Science</v>
      </c>
    </row>
    <row r="11" spans="1:72" x14ac:dyDescent="0.25">
      <c r="A11" t="s">
        <v>72</v>
      </c>
      <c r="B11" t="s">
        <v>266</v>
      </c>
      <c r="C11" t="s">
        <v>74</v>
      </c>
      <c r="D11" t="s">
        <v>74</v>
      </c>
      <c r="E11" t="s">
        <v>74</v>
      </c>
      <c r="F11" t="s">
        <v>267</v>
      </c>
      <c r="G11" t="s">
        <v>74</v>
      </c>
      <c r="H11" t="s">
        <v>74</v>
      </c>
      <c r="I11" t="s">
        <v>268</v>
      </c>
      <c r="J11" t="s">
        <v>269</v>
      </c>
      <c r="K11" t="s">
        <v>74</v>
      </c>
      <c r="L11" t="s">
        <v>74</v>
      </c>
      <c r="M11" t="s">
        <v>78</v>
      </c>
      <c r="N11" t="s">
        <v>79</v>
      </c>
      <c r="O11" t="s">
        <v>74</v>
      </c>
      <c r="P11" t="s">
        <v>74</v>
      </c>
      <c r="Q11" t="s">
        <v>74</v>
      </c>
      <c r="R11" t="s">
        <v>74</v>
      </c>
      <c r="S11" t="s">
        <v>74</v>
      </c>
      <c r="T11" t="s">
        <v>270</v>
      </c>
      <c r="U11" t="s">
        <v>271</v>
      </c>
      <c r="V11" t="s">
        <v>272</v>
      </c>
      <c r="W11" t="s">
        <v>273</v>
      </c>
      <c r="X11" t="s">
        <v>274</v>
      </c>
      <c r="Y11" t="s">
        <v>275</v>
      </c>
      <c r="Z11" t="s">
        <v>276</v>
      </c>
      <c r="AA11" t="s">
        <v>277</v>
      </c>
      <c r="AB11" t="s">
        <v>278</v>
      </c>
      <c r="AC11" t="s">
        <v>279</v>
      </c>
      <c r="AD11" t="s">
        <v>280</v>
      </c>
      <c r="AE11" t="s">
        <v>281</v>
      </c>
      <c r="AF11" t="s">
        <v>74</v>
      </c>
      <c r="AG11">
        <v>28</v>
      </c>
      <c r="AH11">
        <v>0</v>
      </c>
      <c r="AI11">
        <v>0</v>
      </c>
      <c r="AJ11">
        <v>0</v>
      </c>
      <c r="AK11">
        <v>0</v>
      </c>
      <c r="AL11" t="s">
        <v>282</v>
      </c>
      <c r="AM11" t="s">
        <v>283</v>
      </c>
      <c r="AN11" t="s">
        <v>284</v>
      </c>
      <c r="AO11" t="s">
        <v>285</v>
      </c>
      <c r="AP11" t="s">
        <v>74</v>
      </c>
      <c r="AQ11" t="s">
        <v>74</v>
      </c>
      <c r="AR11" t="s">
        <v>286</v>
      </c>
      <c r="AS11" t="s">
        <v>287</v>
      </c>
      <c r="AT11" t="s">
        <v>288</v>
      </c>
      <c r="AU11">
        <v>2024</v>
      </c>
      <c r="AV11">
        <v>14</v>
      </c>
      <c r="AW11">
        <v>1</v>
      </c>
      <c r="AX11" t="s">
        <v>74</v>
      </c>
      <c r="AY11" t="s">
        <v>74</v>
      </c>
      <c r="AZ11" t="s">
        <v>74</v>
      </c>
      <c r="BA11" t="s">
        <v>74</v>
      </c>
      <c r="BB11" t="s">
        <v>74</v>
      </c>
      <c r="BC11" t="s">
        <v>74</v>
      </c>
      <c r="BD11">
        <v>28308</v>
      </c>
      <c r="BE11" t="s">
        <v>289</v>
      </c>
      <c r="BF11" t="str">
        <f>HYPERLINK("http://dx.doi.org/10.1038/s41598-024-79623-5","http://dx.doi.org/10.1038/s41598-024-79623-5")</f>
        <v>http://dx.doi.org/10.1038/s41598-024-79623-5</v>
      </c>
      <c r="BG11" t="s">
        <v>74</v>
      </c>
      <c r="BH11" t="s">
        <v>74</v>
      </c>
      <c r="BI11">
        <v>11</v>
      </c>
      <c r="BJ11" t="s">
        <v>290</v>
      </c>
      <c r="BK11" t="s">
        <v>101</v>
      </c>
      <c r="BL11" t="s">
        <v>291</v>
      </c>
      <c r="BM11" t="s">
        <v>292</v>
      </c>
      <c r="BN11">
        <v>39550495</v>
      </c>
      <c r="BO11" t="s">
        <v>293</v>
      </c>
      <c r="BP11" t="s">
        <v>74</v>
      </c>
      <c r="BQ11" t="s">
        <v>74</v>
      </c>
      <c r="BR11" t="s">
        <v>104</v>
      </c>
      <c r="BS11" t="s">
        <v>294</v>
      </c>
      <c r="BT11" t="str">
        <f>HYPERLINK("https%3A%2F%2Fwww.webofscience.com%2Fwos%2Fwoscc%2Ffull-record%2FWOS:001356316700011","View Full Record in Web of Science")</f>
        <v>View Full Record in Web of Science</v>
      </c>
    </row>
    <row r="12" spans="1:72" x14ac:dyDescent="0.25">
      <c r="A12" t="s">
        <v>72</v>
      </c>
      <c r="B12" t="s">
        <v>295</v>
      </c>
      <c r="C12" t="s">
        <v>74</v>
      </c>
      <c r="D12" t="s">
        <v>74</v>
      </c>
      <c r="E12" t="s">
        <v>74</v>
      </c>
      <c r="F12" t="s">
        <v>296</v>
      </c>
      <c r="G12" t="s">
        <v>74</v>
      </c>
      <c r="H12" t="s">
        <v>74</v>
      </c>
      <c r="I12" t="s">
        <v>297</v>
      </c>
      <c r="J12" t="s">
        <v>298</v>
      </c>
      <c r="K12" t="s">
        <v>74</v>
      </c>
      <c r="L12" t="s">
        <v>74</v>
      </c>
      <c r="M12" t="s">
        <v>78</v>
      </c>
      <c r="N12" t="s">
        <v>299</v>
      </c>
      <c r="O12" t="s">
        <v>74</v>
      </c>
      <c r="P12" t="s">
        <v>74</v>
      </c>
      <c r="Q12" t="s">
        <v>74</v>
      </c>
      <c r="R12" t="s">
        <v>74</v>
      </c>
      <c r="S12" t="s">
        <v>74</v>
      </c>
      <c r="T12" t="s">
        <v>300</v>
      </c>
      <c r="U12" t="s">
        <v>301</v>
      </c>
      <c r="V12" t="s">
        <v>302</v>
      </c>
      <c r="W12" t="s">
        <v>303</v>
      </c>
      <c r="X12" t="s">
        <v>304</v>
      </c>
      <c r="Y12" t="s">
        <v>305</v>
      </c>
      <c r="Z12" t="s">
        <v>306</v>
      </c>
      <c r="AA12" t="s">
        <v>307</v>
      </c>
      <c r="AB12" t="s">
        <v>74</v>
      </c>
      <c r="AC12" t="s">
        <v>74</v>
      </c>
      <c r="AD12" t="s">
        <v>74</v>
      </c>
      <c r="AE12" t="s">
        <v>74</v>
      </c>
      <c r="AF12" t="s">
        <v>74</v>
      </c>
      <c r="AG12">
        <v>187</v>
      </c>
      <c r="AH12">
        <v>0</v>
      </c>
      <c r="AI12">
        <v>0</v>
      </c>
      <c r="AJ12">
        <v>3</v>
      </c>
      <c r="AK12">
        <v>3</v>
      </c>
      <c r="AL12" t="s">
        <v>308</v>
      </c>
      <c r="AM12" t="s">
        <v>309</v>
      </c>
      <c r="AN12" t="s">
        <v>310</v>
      </c>
      <c r="AO12" t="s">
        <v>311</v>
      </c>
      <c r="AP12" t="s">
        <v>312</v>
      </c>
      <c r="AQ12" t="s">
        <v>74</v>
      </c>
      <c r="AR12" t="s">
        <v>313</v>
      </c>
      <c r="AS12" t="s">
        <v>314</v>
      </c>
      <c r="AT12" t="s">
        <v>315</v>
      </c>
      <c r="AU12">
        <v>2024</v>
      </c>
      <c r="AV12">
        <v>68</v>
      </c>
      <c r="AW12" t="s">
        <v>74</v>
      </c>
      <c r="AX12" t="s">
        <v>74</v>
      </c>
      <c r="AY12" t="s">
        <v>74</v>
      </c>
      <c r="AZ12" t="s">
        <v>74</v>
      </c>
      <c r="BA12" t="s">
        <v>74</v>
      </c>
      <c r="BB12" t="s">
        <v>74</v>
      </c>
      <c r="BC12" t="s">
        <v>74</v>
      </c>
      <c r="BD12">
        <v>101240</v>
      </c>
      <c r="BE12" t="s">
        <v>316</v>
      </c>
      <c r="BF12" t="str">
        <f>HYPERLINK("http://dx.doi.org/10.1016/j.blre.2024.101240","http://dx.doi.org/10.1016/j.blre.2024.101240")</f>
        <v>http://dx.doi.org/10.1016/j.blre.2024.101240</v>
      </c>
      <c r="BG12" t="s">
        <v>74</v>
      </c>
      <c r="BH12" t="s">
        <v>317</v>
      </c>
      <c r="BI12">
        <v>13</v>
      </c>
      <c r="BJ12" t="s">
        <v>318</v>
      </c>
      <c r="BK12" t="s">
        <v>101</v>
      </c>
      <c r="BL12" t="s">
        <v>318</v>
      </c>
      <c r="BM12" t="s">
        <v>319</v>
      </c>
      <c r="BN12">
        <v>39245607</v>
      </c>
      <c r="BO12" t="s">
        <v>74</v>
      </c>
      <c r="BP12" t="s">
        <v>74</v>
      </c>
      <c r="BQ12" t="s">
        <v>74</v>
      </c>
      <c r="BR12" t="s">
        <v>104</v>
      </c>
      <c r="BS12" t="s">
        <v>320</v>
      </c>
      <c r="BT12" t="str">
        <f>HYPERLINK("https%3A%2F%2Fwww.webofscience.com%2Fwos%2Fwoscc%2Ffull-record%2FWOS:001358396300001","View Full Record in Web of Science")</f>
        <v>View Full Record in Web of Science</v>
      </c>
    </row>
    <row r="13" spans="1:72" x14ac:dyDescent="0.25">
      <c r="A13" t="s">
        <v>72</v>
      </c>
      <c r="B13" t="s">
        <v>321</v>
      </c>
      <c r="C13" t="s">
        <v>74</v>
      </c>
      <c r="D13" t="s">
        <v>74</v>
      </c>
      <c r="E13" t="s">
        <v>74</v>
      </c>
      <c r="F13" t="s">
        <v>322</v>
      </c>
      <c r="G13" t="s">
        <v>74</v>
      </c>
      <c r="H13" t="s">
        <v>74</v>
      </c>
      <c r="I13" t="s">
        <v>323</v>
      </c>
      <c r="J13" t="s">
        <v>324</v>
      </c>
      <c r="K13" t="s">
        <v>74</v>
      </c>
      <c r="L13" t="s">
        <v>74</v>
      </c>
      <c r="M13" t="s">
        <v>78</v>
      </c>
      <c r="N13" t="s">
        <v>79</v>
      </c>
      <c r="O13" t="s">
        <v>74</v>
      </c>
      <c r="P13" t="s">
        <v>74</v>
      </c>
      <c r="Q13" t="s">
        <v>74</v>
      </c>
      <c r="R13" t="s">
        <v>74</v>
      </c>
      <c r="S13" t="s">
        <v>74</v>
      </c>
      <c r="T13" t="s">
        <v>325</v>
      </c>
      <c r="U13" t="s">
        <v>326</v>
      </c>
      <c r="V13" t="s">
        <v>327</v>
      </c>
      <c r="W13" t="s">
        <v>328</v>
      </c>
      <c r="X13" t="s">
        <v>329</v>
      </c>
      <c r="Y13" t="s">
        <v>330</v>
      </c>
      <c r="Z13" t="s">
        <v>331</v>
      </c>
      <c r="AA13" t="s">
        <v>332</v>
      </c>
      <c r="AB13" t="s">
        <v>333</v>
      </c>
      <c r="AC13" t="s">
        <v>334</v>
      </c>
      <c r="AD13" t="s">
        <v>335</v>
      </c>
      <c r="AE13" t="s">
        <v>336</v>
      </c>
      <c r="AF13" t="s">
        <v>74</v>
      </c>
      <c r="AG13">
        <v>28</v>
      </c>
      <c r="AH13">
        <v>3</v>
      </c>
      <c r="AI13">
        <v>3</v>
      </c>
      <c r="AJ13">
        <v>1</v>
      </c>
      <c r="AK13">
        <v>1</v>
      </c>
      <c r="AL13" t="s">
        <v>92</v>
      </c>
      <c r="AM13" t="s">
        <v>93</v>
      </c>
      <c r="AN13" t="s">
        <v>94</v>
      </c>
      <c r="AO13" t="s">
        <v>337</v>
      </c>
      <c r="AP13" t="s">
        <v>338</v>
      </c>
      <c r="AQ13" t="s">
        <v>74</v>
      </c>
      <c r="AR13" t="s">
        <v>324</v>
      </c>
      <c r="AS13" t="s">
        <v>339</v>
      </c>
      <c r="AT13" t="s">
        <v>315</v>
      </c>
      <c r="AU13">
        <v>2024</v>
      </c>
      <c r="AV13">
        <v>166</v>
      </c>
      <c r="AW13">
        <v>5</v>
      </c>
      <c r="AX13" t="s">
        <v>74</v>
      </c>
      <c r="AY13" t="s">
        <v>74</v>
      </c>
      <c r="AZ13" t="s">
        <v>74</v>
      </c>
      <c r="BA13" t="s">
        <v>74</v>
      </c>
      <c r="BB13">
        <v>1173</v>
      </c>
      <c r="BC13">
        <v>1183</v>
      </c>
      <c r="BD13" t="s">
        <v>74</v>
      </c>
      <c r="BE13" t="s">
        <v>340</v>
      </c>
      <c r="BF13" t="str">
        <f>HYPERLINK("http://dx.doi.org/10.1016/j.chest.2024.06.3808","http://dx.doi.org/10.1016/j.chest.2024.06.3808")</f>
        <v>http://dx.doi.org/10.1016/j.chest.2024.06.3808</v>
      </c>
      <c r="BG13" t="s">
        <v>74</v>
      </c>
      <c r="BH13" t="s">
        <v>317</v>
      </c>
      <c r="BI13">
        <v>11</v>
      </c>
      <c r="BJ13" t="s">
        <v>341</v>
      </c>
      <c r="BK13" t="s">
        <v>101</v>
      </c>
      <c r="BL13" t="s">
        <v>342</v>
      </c>
      <c r="BM13" t="s">
        <v>343</v>
      </c>
      <c r="BN13">
        <v>39059577</v>
      </c>
      <c r="BO13" t="s">
        <v>74</v>
      </c>
      <c r="BP13" t="s">
        <v>74</v>
      </c>
      <c r="BQ13" t="s">
        <v>74</v>
      </c>
      <c r="BR13" t="s">
        <v>104</v>
      </c>
      <c r="BS13" t="s">
        <v>344</v>
      </c>
      <c r="BT13" t="str">
        <f>HYPERLINK("https%3A%2F%2Fwww.webofscience.com%2Fwos%2Fwoscc%2Ffull-record%2FWOS:001355652700001","View Full Record in Web of Science")</f>
        <v>View Full Record in Web of Science</v>
      </c>
    </row>
    <row r="14" spans="1:72" x14ac:dyDescent="0.25">
      <c r="A14" t="s">
        <v>72</v>
      </c>
      <c r="B14" t="s">
        <v>345</v>
      </c>
      <c r="C14" t="s">
        <v>74</v>
      </c>
      <c r="D14" t="s">
        <v>74</v>
      </c>
      <c r="E14" t="s">
        <v>74</v>
      </c>
      <c r="F14" t="s">
        <v>346</v>
      </c>
      <c r="G14" t="s">
        <v>74</v>
      </c>
      <c r="H14" t="s">
        <v>347</v>
      </c>
      <c r="I14" t="s">
        <v>348</v>
      </c>
      <c r="J14" t="s">
        <v>349</v>
      </c>
      <c r="K14" t="s">
        <v>74</v>
      </c>
      <c r="L14" t="s">
        <v>74</v>
      </c>
      <c r="M14" t="s">
        <v>78</v>
      </c>
      <c r="N14" t="s">
        <v>299</v>
      </c>
      <c r="O14" t="s">
        <v>74</v>
      </c>
      <c r="P14" t="s">
        <v>74</v>
      </c>
      <c r="Q14" t="s">
        <v>74</v>
      </c>
      <c r="R14" t="s">
        <v>74</v>
      </c>
      <c r="S14" t="s">
        <v>74</v>
      </c>
      <c r="T14" t="s">
        <v>350</v>
      </c>
      <c r="U14" t="s">
        <v>351</v>
      </c>
      <c r="V14" t="s">
        <v>352</v>
      </c>
      <c r="W14" t="s">
        <v>353</v>
      </c>
      <c r="X14" t="s">
        <v>354</v>
      </c>
      <c r="Y14" t="s">
        <v>355</v>
      </c>
      <c r="Z14" t="s">
        <v>331</v>
      </c>
      <c r="AA14" t="s">
        <v>356</v>
      </c>
      <c r="AB14" t="s">
        <v>357</v>
      </c>
      <c r="AC14" t="s">
        <v>358</v>
      </c>
      <c r="AD14" t="s">
        <v>359</v>
      </c>
      <c r="AE14" t="s">
        <v>360</v>
      </c>
      <c r="AF14" t="s">
        <v>74</v>
      </c>
      <c r="AG14">
        <v>151</v>
      </c>
      <c r="AH14">
        <v>2</v>
      </c>
      <c r="AI14">
        <v>2</v>
      </c>
      <c r="AJ14">
        <v>0</v>
      </c>
      <c r="AK14">
        <v>0</v>
      </c>
      <c r="AL14" t="s">
        <v>92</v>
      </c>
      <c r="AM14" t="s">
        <v>361</v>
      </c>
      <c r="AN14" t="s">
        <v>362</v>
      </c>
      <c r="AO14" t="s">
        <v>74</v>
      </c>
      <c r="AP14" t="s">
        <v>363</v>
      </c>
      <c r="AQ14" t="s">
        <v>74</v>
      </c>
      <c r="AR14" t="s">
        <v>364</v>
      </c>
      <c r="AS14" t="s">
        <v>365</v>
      </c>
      <c r="AT14" t="s">
        <v>315</v>
      </c>
      <c r="AU14">
        <v>2024</v>
      </c>
      <c r="AV14">
        <v>86</v>
      </c>
      <c r="AW14" t="s">
        <v>74</v>
      </c>
      <c r="AX14" t="s">
        <v>74</v>
      </c>
      <c r="AY14" t="s">
        <v>74</v>
      </c>
      <c r="AZ14" t="s">
        <v>74</v>
      </c>
      <c r="BA14" t="s">
        <v>74</v>
      </c>
      <c r="BB14" t="s">
        <v>74</v>
      </c>
      <c r="BC14" t="s">
        <v>74</v>
      </c>
      <c r="BD14">
        <v>101123</v>
      </c>
      <c r="BE14" t="s">
        <v>366</v>
      </c>
      <c r="BF14" t="str">
        <f>HYPERLINK("http://dx.doi.org/10.1016/j.resmer.2024.101123","http://dx.doi.org/10.1016/j.resmer.2024.101123")</f>
        <v>http://dx.doi.org/10.1016/j.resmer.2024.101123</v>
      </c>
      <c r="BG14" t="s">
        <v>74</v>
      </c>
      <c r="BH14" t="s">
        <v>74</v>
      </c>
      <c r="BI14">
        <v>16</v>
      </c>
      <c r="BJ14" t="s">
        <v>228</v>
      </c>
      <c r="BK14" t="s">
        <v>101</v>
      </c>
      <c r="BL14" t="s">
        <v>228</v>
      </c>
      <c r="BM14" t="s">
        <v>367</v>
      </c>
      <c r="BN14">
        <v>38972109</v>
      </c>
      <c r="BO14" t="s">
        <v>74</v>
      </c>
      <c r="BP14" t="s">
        <v>74</v>
      </c>
      <c r="BQ14" t="s">
        <v>74</v>
      </c>
      <c r="BR14" t="s">
        <v>104</v>
      </c>
      <c r="BS14" t="s">
        <v>368</v>
      </c>
      <c r="BT14" t="str">
        <f>HYPERLINK("https%3A%2F%2Fwww.webofscience.com%2Fwos%2Fwoscc%2Ffull-record%2FWOS:001272372100001","View Full Record in Web of Science")</f>
        <v>View Full Record in Web of Science</v>
      </c>
    </row>
    <row r="15" spans="1:72" x14ac:dyDescent="0.25">
      <c r="A15" t="s">
        <v>72</v>
      </c>
      <c r="B15" t="s">
        <v>369</v>
      </c>
      <c r="C15" t="s">
        <v>74</v>
      </c>
      <c r="D15" t="s">
        <v>74</v>
      </c>
      <c r="E15" t="s">
        <v>74</v>
      </c>
      <c r="F15" t="s">
        <v>370</v>
      </c>
      <c r="G15" t="s">
        <v>74</v>
      </c>
      <c r="H15" t="s">
        <v>74</v>
      </c>
      <c r="I15" t="s">
        <v>371</v>
      </c>
      <c r="J15" t="s">
        <v>216</v>
      </c>
      <c r="K15" t="s">
        <v>74</v>
      </c>
      <c r="L15" t="s">
        <v>74</v>
      </c>
      <c r="M15" t="s">
        <v>78</v>
      </c>
      <c r="N15" t="s">
        <v>79</v>
      </c>
      <c r="O15" t="s">
        <v>74</v>
      </c>
      <c r="P15" t="s">
        <v>74</v>
      </c>
      <c r="Q15" t="s">
        <v>74</v>
      </c>
      <c r="R15" t="s">
        <v>74</v>
      </c>
      <c r="S15" t="s">
        <v>74</v>
      </c>
      <c r="T15" t="s">
        <v>74</v>
      </c>
      <c r="U15" t="s">
        <v>372</v>
      </c>
      <c r="V15" t="s">
        <v>373</v>
      </c>
      <c r="W15" t="s">
        <v>374</v>
      </c>
      <c r="X15" t="s">
        <v>375</v>
      </c>
      <c r="Y15" t="s">
        <v>376</v>
      </c>
      <c r="Z15" t="s">
        <v>377</v>
      </c>
      <c r="AA15" t="s">
        <v>378</v>
      </c>
      <c r="AB15" t="s">
        <v>379</v>
      </c>
      <c r="AC15" t="s">
        <v>380</v>
      </c>
      <c r="AD15" t="s">
        <v>380</v>
      </c>
      <c r="AE15" t="s">
        <v>381</v>
      </c>
      <c r="AF15" t="s">
        <v>74</v>
      </c>
      <c r="AG15">
        <v>19</v>
      </c>
      <c r="AH15">
        <v>2</v>
      </c>
      <c r="AI15">
        <v>2</v>
      </c>
      <c r="AJ15">
        <v>0</v>
      </c>
      <c r="AK15">
        <v>0</v>
      </c>
      <c r="AL15" t="s">
        <v>219</v>
      </c>
      <c r="AM15" t="s">
        <v>220</v>
      </c>
      <c r="AN15" t="s">
        <v>221</v>
      </c>
      <c r="AO15" t="s">
        <v>222</v>
      </c>
      <c r="AP15" t="s">
        <v>223</v>
      </c>
      <c r="AQ15" t="s">
        <v>74</v>
      </c>
      <c r="AR15" t="s">
        <v>224</v>
      </c>
      <c r="AS15" t="s">
        <v>225</v>
      </c>
      <c r="AT15" t="s">
        <v>315</v>
      </c>
      <c r="AU15">
        <v>2024</v>
      </c>
      <c r="AV15">
        <v>64</v>
      </c>
      <c r="AW15">
        <v>5</v>
      </c>
      <c r="AX15" t="s">
        <v>74</v>
      </c>
      <c r="AY15" t="s">
        <v>74</v>
      </c>
      <c r="AZ15" t="s">
        <v>74</v>
      </c>
      <c r="BA15" t="s">
        <v>74</v>
      </c>
      <c r="BB15" t="s">
        <v>74</v>
      </c>
      <c r="BC15" t="s">
        <v>74</v>
      </c>
      <c r="BD15">
        <v>2401110</v>
      </c>
      <c r="BE15" t="s">
        <v>382</v>
      </c>
      <c r="BF15" t="str">
        <f>HYPERLINK("http://dx.doi.org/10.1183/13993003.01110-2024","http://dx.doi.org/10.1183/13993003.01110-2024")</f>
        <v>http://dx.doi.org/10.1183/13993003.01110-2024</v>
      </c>
      <c r="BG15" t="s">
        <v>74</v>
      </c>
      <c r="BH15" t="s">
        <v>74</v>
      </c>
      <c r="BI15">
        <v>13</v>
      </c>
      <c r="BJ15" t="s">
        <v>228</v>
      </c>
      <c r="BK15" t="s">
        <v>101</v>
      </c>
      <c r="BL15" t="s">
        <v>228</v>
      </c>
      <c r="BM15" t="s">
        <v>383</v>
      </c>
      <c r="BN15">
        <v>39255991</v>
      </c>
      <c r="BO15" t="s">
        <v>161</v>
      </c>
      <c r="BP15" t="s">
        <v>74</v>
      </c>
      <c r="BQ15" t="s">
        <v>74</v>
      </c>
      <c r="BR15" t="s">
        <v>104</v>
      </c>
      <c r="BS15" t="s">
        <v>384</v>
      </c>
      <c r="BT15" t="str">
        <f>HYPERLINK("https%3A%2F%2Fwww.webofscience.com%2Fwos%2Fwoscc%2Ffull-record%2FWOS:001379762400007","View Full Record in Web of Science")</f>
        <v>View Full Record in Web of Science</v>
      </c>
    </row>
    <row r="16" spans="1:72" x14ac:dyDescent="0.25">
      <c r="A16" t="s">
        <v>72</v>
      </c>
      <c r="B16" t="s">
        <v>385</v>
      </c>
      <c r="C16" t="s">
        <v>74</v>
      </c>
      <c r="D16" t="s">
        <v>74</v>
      </c>
      <c r="E16" t="s">
        <v>74</v>
      </c>
      <c r="F16" t="s">
        <v>386</v>
      </c>
      <c r="G16" t="s">
        <v>74</v>
      </c>
      <c r="H16" t="s">
        <v>74</v>
      </c>
      <c r="I16" t="s">
        <v>387</v>
      </c>
      <c r="J16" t="s">
        <v>388</v>
      </c>
      <c r="K16" t="s">
        <v>74</v>
      </c>
      <c r="L16" t="s">
        <v>74</v>
      </c>
      <c r="M16" t="s">
        <v>78</v>
      </c>
      <c r="N16" t="s">
        <v>79</v>
      </c>
      <c r="O16" t="s">
        <v>74</v>
      </c>
      <c r="P16" t="s">
        <v>74</v>
      </c>
      <c r="Q16" t="s">
        <v>74</v>
      </c>
      <c r="R16" t="s">
        <v>74</v>
      </c>
      <c r="S16" t="s">
        <v>74</v>
      </c>
      <c r="T16" t="s">
        <v>74</v>
      </c>
      <c r="U16" t="s">
        <v>389</v>
      </c>
      <c r="V16" t="s">
        <v>390</v>
      </c>
      <c r="W16" t="s">
        <v>391</v>
      </c>
      <c r="X16" t="s">
        <v>392</v>
      </c>
      <c r="Y16" t="s">
        <v>393</v>
      </c>
      <c r="Z16" t="s">
        <v>377</v>
      </c>
      <c r="AA16" t="s">
        <v>394</v>
      </c>
      <c r="AB16" t="s">
        <v>74</v>
      </c>
      <c r="AC16" t="s">
        <v>395</v>
      </c>
      <c r="AD16" t="s">
        <v>395</v>
      </c>
      <c r="AE16" t="s">
        <v>396</v>
      </c>
      <c r="AF16" t="s">
        <v>74</v>
      </c>
      <c r="AG16">
        <v>23</v>
      </c>
      <c r="AH16">
        <v>3</v>
      </c>
      <c r="AI16">
        <v>3</v>
      </c>
      <c r="AJ16">
        <v>1</v>
      </c>
      <c r="AK16">
        <v>1</v>
      </c>
      <c r="AL16" t="s">
        <v>397</v>
      </c>
      <c r="AM16" t="s">
        <v>398</v>
      </c>
      <c r="AN16" t="s">
        <v>399</v>
      </c>
      <c r="AO16" t="s">
        <v>400</v>
      </c>
      <c r="AP16" t="s">
        <v>74</v>
      </c>
      <c r="AQ16" t="s">
        <v>74</v>
      </c>
      <c r="AR16" t="s">
        <v>401</v>
      </c>
      <c r="AS16" t="s">
        <v>402</v>
      </c>
      <c r="AT16" t="s">
        <v>315</v>
      </c>
      <c r="AU16">
        <v>2024</v>
      </c>
      <c r="AV16">
        <v>12</v>
      </c>
      <c r="AW16">
        <v>11</v>
      </c>
      <c r="AX16" t="s">
        <v>74</v>
      </c>
      <c r="AY16" t="s">
        <v>74</v>
      </c>
      <c r="AZ16" t="s">
        <v>74</v>
      </c>
      <c r="BA16" t="s">
        <v>74</v>
      </c>
      <c r="BB16">
        <v>865</v>
      </c>
      <c r="BC16">
        <v>876</v>
      </c>
      <c r="BD16" t="s">
        <v>74</v>
      </c>
      <c r="BE16" t="s">
        <v>403</v>
      </c>
      <c r="BF16" t="str">
        <f>HYPERLINK("http://dx.doi.org/10.1016/S2213-2600(24)00226-1","http://dx.doi.org/10.1016/S2213-2600(24)00226-1")</f>
        <v>http://dx.doi.org/10.1016/S2213-2600(24)00226-1</v>
      </c>
      <c r="BG16" t="s">
        <v>74</v>
      </c>
      <c r="BH16" t="s">
        <v>404</v>
      </c>
      <c r="BI16">
        <v>12</v>
      </c>
      <c r="BJ16" t="s">
        <v>341</v>
      </c>
      <c r="BK16" t="s">
        <v>101</v>
      </c>
      <c r="BL16" t="s">
        <v>342</v>
      </c>
      <c r="BM16" t="s">
        <v>405</v>
      </c>
      <c r="BN16">
        <v>39307144</v>
      </c>
      <c r="BO16" t="s">
        <v>74</v>
      </c>
      <c r="BP16" t="s">
        <v>74</v>
      </c>
      <c r="BQ16" t="s">
        <v>74</v>
      </c>
      <c r="BR16" t="s">
        <v>104</v>
      </c>
      <c r="BS16" t="s">
        <v>406</v>
      </c>
      <c r="BT16" t="str">
        <f>HYPERLINK("https%3A%2F%2Fwww.webofscience.com%2Fwos%2Fwoscc%2Ffull-record%2FWOS:001348585900001","View Full Record in Web of Science")</f>
        <v>View Full Record in Web of Science</v>
      </c>
    </row>
    <row r="17" spans="1:72" x14ac:dyDescent="0.25">
      <c r="A17" t="s">
        <v>72</v>
      </c>
      <c r="B17" t="s">
        <v>407</v>
      </c>
      <c r="C17" t="s">
        <v>74</v>
      </c>
      <c r="D17" t="s">
        <v>74</v>
      </c>
      <c r="E17" t="s">
        <v>74</v>
      </c>
      <c r="F17" t="s">
        <v>408</v>
      </c>
      <c r="G17" t="s">
        <v>74</v>
      </c>
      <c r="H17" t="s">
        <v>74</v>
      </c>
      <c r="I17" t="s">
        <v>409</v>
      </c>
      <c r="J17" t="s">
        <v>216</v>
      </c>
      <c r="K17" t="s">
        <v>74</v>
      </c>
      <c r="L17" t="s">
        <v>74</v>
      </c>
      <c r="M17" t="s">
        <v>78</v>
      </c>
      <c r="N17" t="s">
        <v>79</v>
      </c>
      <c r="O17" t="s">
        <v>74</v>
      </c>
      <c r="P17" t="s">
        <v>74</v>
      </c>
      <c r="Q17" t="s">
        <v>74</v>
      </c>
      <c r="R17" t="s">
        <v>74</v>
      </c>
      <c r="S17" t="s">
        <v>74</v>
      </c>
      <c r="T17" t="s">
        <v>74</v>
      </c>
      <c r="U17" t="s">
        <v>410</v>
      </c>
      <c r="V17" t="s">
        <v>411</v>
      </c>
      <c r="W17" t="s">
        <v>412</v>
      </c>
      <c r="X17" t="s">
        <v>413</v>
      </c>
      <c r="Y17" t="s">
        <v>414</v>
      </c>
      <c r="Z17" t="s">
        <v>377</v>
      </c>
      <c r="AA17" t="s">
        <v>415</v>
      </c>
      <c r="AB17" t="s">
        <v>416</v>
      </c>
      <c r="AC17" t="s">
        <v>417</v>
      </c>
      <c r="AD17" t="s">
        <v>418</v>
      </c>
      <c r="AE17" t="s">
        <v>419</v>
      </c>
      <c r="AF17" t="s">
        <v>74</v>
      </c>
      <c r="AG17">
        <v>133</v>
      </c>
      <c r="AH17">
        <v>14</v>
      </c>
      <c r="AI17">
        <v>14</v>
      </c>
      <c r="AJ17">
        <v>0</v>
      </c>
      <c r="AK17">
        <v>0</v>
      </c>
      <c r="AL17" t="s">
        <v>219</v>
      </c>
      <c r="AM17" t="s">
        <v>220</v>
      </c>
      <c r="AN17" t="s">
        <v>221</v>
      </c>
      <c r="AO17" t="s">
        <v>222</v>
      </c>
      <c r="AP17" t="s">
        <v>223</v>
      </c>
      <c r="AQ17" t="s">
        <v>74</v>
      </c>
      <c r="AR17" t="s">
        <v>224</v>
      </c>
      <c r="AS17" t="s">
        <v>225</v>
      </c>
      <c r="AT17" t="s">
        <v>420</v>
      </c>
      <c r="AU17">
        <v>2024</v>
      </c>
      <c r="AV17">
        <v>64</v>
      </c>
      <c r="AW17">
        <v>4</v>
      </c>
      <c r="AX17" t="s">
        <v>74</v>
      </c>
      <c r="AY17" t="s">
        <v>74</v>
      </c>
      <c r="AZ17" t="s">
        <v>74</v>
      </c>
      <c r="BA17" t="s">
        <v>74</v>
      </c>
      <c r="BB17" t="s">
        <v>74</v>
      </c>
      <c r="BC17" t="s">
        <v>74</v>
      </c>
      <c r="BD17">
        <v>2401095</v>
      </c>
      <c r="BE17" t="s">
        <v>421</v>
      </c>
      <c r="BF17" t="str">
        <f>HYPERLINK("http://dx.doi.org/10.1183/13993003.01095-2024","http://dx.doi.org/10.1183/13993003.01095-2024")</f>
        <v>http://dx.doi.org/10.1183/13993003.01095-2024</v>
      </c>
      <c r="BG17" t="s">
        <v>74</v>
      </c>
      <c r="BH17" t="s">
        <v>74</v>
      </c>
      <c r="BI17">
        <v>19</v>
      </c>
      <c r="BJ17" t="s">
        <v>228</v>
      </c>
      <c r="BK17" t="s">
        <v>101</v>
      </c>
      <c r="BL17" t="s">
        <v>228</v>
      </c>
      <c r="BM17" t="s">
        <v>422</v>
      </c>
      <c r="BN17">
        <v>39209474</v>
      </c>
      <c r="BO17" t="s">
        <v>161</v>
      </c>
      <c r="BP17" t="s">
        <v>74</v>
      </c>
      <c r="BQ17" t="s">
        <v>74</v>
      </c>
      <c r="BR17" t="s">
        <v>104</v>
      </c>
      <c r="BS17" t="s">
        <v>423</v>
      </c>
      <c r="BT17" t="str">
        <f>HYPERLINK("https%3A%2F%2Fwww.webofscience.com%2Fwos%2Fwoscc%2Ffull-record%2FWOS:001415910700036","View Full Record in Web of Science")</f>
        <v>View Full Record in Web of Science</v>
      </c>
    </row>
    <row r="18" spans="1:72" x14ac:dyDescent="0.25">
      <c r="A18" t="s">
        <v>72</v>
      </c>
      <c r="B18" t="s">
        <v>424</v>
      </c>
      <c r="C18" t="s">
        <v>74</v>
      </c>
      <c r="D18" t="s">
        <v>74</v>
      </c>
      <c r="E18" t="s">
        <v>74</v>
      </c>
      <c r="F18" t="s">
        <v>425</v>
      </c>
      <c r="G18" t="s">
        <v>74</v>
      </c>
      <c r="H18" t="s">
        <v>74</v>
      </c>
      <c r="I18" t="s">
        <v>426</v>
      </c>
      <c r="J18" t="s">
        <v>216</v>
      </c>
      <c r="K18" t="s">
        <v>74</v>
      </c>
      <c r="L18" t="s">
        <v>74</v>
      </c>
      <c r="M18" t="s">
        <v>78</v>
      </c>
      <c r="N18" t="s">
        <v>140</v>
      </c>
      <c r="O18" t="s">
        <v>74</v>
      </c>
      <c r="P18" t="s">
        <v>74</v>
      </c>
      <c r="Q18" t="s">
        <v>74</v>
      </c>
      <c r="R18" t="s">
        <v>74</v>
      </c>
      <c r="S18" t="s">
        <v>74</v>
      </c>
      <c r="T18" t="s">
        <v>74</v>
      </c>
      <c r="U18" t="s">
        <v>74</v>
      </c>
      <c r="V18" t="s">
        <v>74</v>
      </c>
      <c r="W18" t="s">
        <v>427</v>
      </c>
      <c r="X18" t="s">
        <v>428</v>
      </c>
      <c r="Y18" t="s">
        <v>429</v>
      </c>
      <c r="Z18" t="s">
        <v>377</v>
      </c>
      <c r="AA18" t="s">
        <v>144</v>
      </c>
      <c r="AB18" t="s">
        <v>257</v>
      </c>
      <c r="AC18" t="s">
        <v>417</v>
      </c>
      <c r="AD18" t="s">
        <v>418</v>
      </c>
      <c r="AE18" t="s">
        <v>430</v>
      </c>
      <c r="AF18" t="s">
        <v>74</v>
      </c>
      <c r="AG18">
        <v>10</v>
      </c>
      <c r="AH18">
        <v>3</v>
      </c>
      <c r="AI18">
        <v>3</v>
      </c>
      <c r="AJ18">
        <v>1</v>
      </c>
      <c r="AK18">
        <v>1</v>
      </c>
      <c r="AL18" t="s">
        <v>219</v>
      </c>
      <c r="AM18" t="s">
        <v>220</v>
      </c>
      <c r="AN18" t="s">
        <v>221</v>
      </c>
      <c r="AO18" t="s">
        <v>222</v>
      </c>
      <c r="AP18" t="s">
        <v>223</v>
      </c>
      <c r="AQ18" t="s">
        <v>74</v>
      </c>
      <c r="AR18" t="s">
        <v>224</v>
      </c>
      <c r="AS18" t="s">
        <v>225</v>
      </c>
      <c r="AT18" t="s">
        <v>420</v>
      </c>
      <c r="AU18">
        <v>2024</v>
      </c>
      <c r="AV18">
        <v>64</v>
      </c>
      <c r="AW18">
        <v>4</v>
      </c>
      <c r="AX18" t="s">
        <v>74</v>
      </c>
      <c r="AY18" t="s">
        <v>74</v>
      </c>
      <c r="AZ18" t="s">
        <v>74</v>
      </c>
      <c r="BA18" t="s">
        <v>74</v>
      </c>
      <c r="BB18" t="s">
        <v>74</v>
      </c>
      <c r="BC18" t="s">
        <v>74</v>
      </c>
      <c r="BD18">
        <v>2401222</v>
      </c>
      <c r="BE18" t="s">
        <v>74</v>
      </c>
      <c r="BF18" t="s">
        <v>74</v>
      </c>
      <c r="BG18" t="s">
        <v>74</v>
      </c>
      <c r="BH18" t="s">
        <v>74</v>
      </c>
      <c r="BI18">
        <v>5</v>
      </c>
      <c r="BJ18" t="s">
        <v>228</v>
      </c>
      <c r="BK18" t="s">
        <v>101</v>
      </c>
      <c r="BL18" t="s">
        <v>228</v>
      </c>
      <c r="BM18" t="s">
        <v>422</v>
      </c>
      <c r="BN18">
        <v>39209470</v>
      </c>
      <c r="BO18" t="s">
        <v>161</v>
      </c>
      <c r="BP18" t="s">
        <v>74</v>
      </c>
      <c r="BQ18" t="s">
        <v>74</v>
      </c>
      <c r="BR18" t="s">
        <v>104</v>
      </c>
      <c r="BS18" t="s">
        <v>431</v>
      </c>
      <c r="BT18" t="str">
        <f>HYPERLINK("https%3A%2F%2Fwww.webofscience.com%2Fwos%2Fwoscc%2Ffull-record%2FWOS:001415910700022","View Full Record in Web of Science")</f>
        <v>View Full Record in Web of Science</v>
      </c>
    </row>
    <row r="19" spans="1:72" x14ac:dyDescent="0.25">
      <c r="A19" t="s">
        <v>72</v>
      </c>
      <c r="B19" t="s">
        <v>432</v>
      </c>
      <c r="C19" t="s">
        <v>74</v>
      </c>
      <c r="D19" t="s">
        <v>74</v>
      </c>
      <c r="E19" t="s">
        <v>74</v>
      </c>
      <c r="F19" t="s">
        <v>433</v>
      </c>
      <c r="G19" t="s">
        <v>74</v>
      </c>
      <c r="H19" t="s">
        <v>74</v>
      </c>
      <c r="I19" t="s">
        <v>434</v>
      </c>
      <c r="J19" t="s">
        <v>435</v>
      </c>
      <c r="K19" t="s">
        <v>74</v>
      </c>
      <c r="L19" t="s">
        <v>74</v>
      </c>
      <c r="M19" t="s">
        <v>78</v>
      </c>
      <c r="N19" t="s">
        <v>79</v>
      </c>
      <c r="O19" t="s">
        <v>74</v>
      </c>
      <c r="P19" t="s">
        <v>74</v>
      </c>
      <c r="Q19" t="s">
        <v>74</v>
      </c>
      <c r="R19" t="s">
        <v>74</v>
      </c>
      <c r="S19" t="s">
        <v>74</v>
      </c>
      <c r="T19" t="s">
        <v>436</v>
      </c>
      <c r="U19" t="s">
        <v>437</v>
      </c>
      <c r="V19" t="s">
        <v>438</v>
      </c>
      <c r="W19" t="s">
        <v>439</v>
      </c>
      <c r="X19" t="s">
        <v>440</v>
      </c>
      <c r="Y19" t="s">
        <v>441</v>
      </c>
      <c r="Z19" t="s">
        <v>442</v>
      </c>
      <c r="AA19" t="s">
        <v>443</v>
      </c>
      <c r="AB19" t="s">
        <v>444</v>
      </c>
      <c r="AC19" t="s">
        <v>445</v>
      </c>
      <c r="AD19" t="s">
        <v>446</v>
      </c>
      <c r="AE19" t="s">
        <v>447</v>
      </c>
      <c r="AF19" t="s">
        <v>74</v>
      </c>
      <c r="AG19">
        <v>48</v>
      </c>
      <c r="AH19">
        <v>0</v>
      </c>
      <c r="AI19">
        <v>0</v>
      </c>
      <c r="AJ19">
        <v>5</v>
      </c>
      <c r="AK19">
        <v>5</v>
      </c>
      <c r="AL19" t="s">
        <v>169</v>
      </c>
      <c r="AM19" t="s">
        <v>170</v>
      </c>
      <c r="AN19" t="s">
        <v>171</v>
      </c>
      <c r="AO19" t="s">
        <v>448</v>
      </c>
      <c r="AP19" t="s">
        <v>449</v>
      </c>
      <c r="AQ19" t="s">
        <v>74</v>
      </c>
      <c r="AR19" t="s">
        <v>450</v>
      </c>
      <c r="AS19" t="s">
        <v>451</v>
      </c>
      <c r="AT19" t="s">
        <v>420</v>
      </c>
      <c r="AU19">
        <v>2024</v>
      </c>
      <c r="AV19">
        <v>14</v>
      </c>
      <c r="AW19">
        <v>4</v>
      </c>
      <c r="AX19" t="s">
        <v>74</v>
      </c>
      <c r="AY19" t="s">
        <v>74</v>
      </c>
      <c r="AZ19" t="s">
        <v>74</v>
      </c>
      <c r="BA19" t="s">
        <v>74</v>
      </c>
      <c r="BB19" t="s">
        <v>74</v>
      </c>
      <c r="BC19" t="s">
        <v>74</v>
      </c>
      <c r="BD19" t="s">
        <v>452</v>
      </c>
      <c r="BE19" t="s">
        <v>453</v>
      </c>
      <c r="BF19" t="str">
        <f>HYPERLINK("http://dx.doi.org/10.1002/pul2.12434","http://dx.doi.org/10.1002/pul2.12434")</f>
        <v>http://dx.doi.org/10.1002/pul2.12434</v>
      </c>
      <c r="BG19" t="s">
        <v>74</v>
      </c>
      <c r="BH19" t="s">
        <v>74</v>
      </c>
      <c r="BI19">
        <v>11</v>
      </c>
      <c r="BJ19" t="s">
        <v>209</v>
      </c>
      <c r="BK19" t="s">
        <v>101</v>
      </c>
      <c r="BL19" t="s">
        <v>210</v>
      </c>
      <c r="BM19" t="s">
        <v>454</v>
      </c>
      <c r="BN19">
        <v>39444497</v>
      </c>
      <c r="BO19" t="s">
        <v>455</v>
      </c>
      <c r="BP19" t="s">
        <v>74</v>
      </c>
      <c r="BQ19" t="s">
        <v>74</v>
      </c>
      <c r="BR19" t="s">
        <v>104</v>
      </c>
      <c r="BS19" t="s">
        <v>456</v>
      </c>
      <c r="BT19" t="str">
        <f>HYPERLINK("https%3A%2F%2Fwww.webofscience.com%2Fwos%2Fwoscc%2Ffull-record%2FWOS:001368260800001","View Full Record in Web of Science")</f>
        <v>View Full Record in Web of Science</v>
      </c>
    </row>
    <row r="20" spans="1:72" x14ac:dyDescent="0.25">
      <c r="A20" t="s">
        <v>72</v>
      </c>
      <c r="B20" t="s">
        <v>457</v>
      </c>
      <c r="C20" t="s">
        <v>74</v>
      </c>
      <c r="D20" t="s">
        <v>74</v>
      </c>
      <c r="E20" t="s">
        <v>74</v>
      </c>
      <c r="F20" t="s">
        <v>458</v>
      </c>
      <c r="G20" t="s">
        <v>74</v>
      </c>
      <c r="H20" t="s">
        <v>74</v>
      </c>
      <c r="I20" t="s">
        <v>459</v>
      </c>
      <c r="J20" t="s">
        <v>216</v>
      </c>
      <c r="K20" t="s">
        <v>74</v>
      </c>
      <c r="L20" t="s">
        <v>74</v>
      </c>
      <c r="M20" t="s">
        <v>78</v>
      </c>
      <c r="N20" t="s">
        <v>460</v>
      </c>
      <c r="O20" t="s">
        <v>74</v>
      </c>
      <c r="P20" t="s">
        <v>74</v>
      </c>
      <c r="Q20" t="s">
        <v>74</v>
      </c>
      <c r="R20" t="s">
        <v>74</v>
      </c>
      <c r="S20" t="s">
        <v>74</v>
      </c>
      <c r="T20" t="s">
        <v>74</v>
      </c>
      <c r="U20" t="s">
        <v>74</v>
      </c>
      <c r="V20" t="s">
        <v>74</v>
      </c>
      <c r="W20" t="s">
        <v>461</v>
      </c>
      <c r="X20" t="s">
        <v>462</v>
      </c>
      <c r="Y20" t="s">
        <v>463</v>
      </c>
      <c r="Z20" t="s">
        <v>276</v>
      </c>
      <c r="AA20" t="s">
        <v>464</v>
      </c>
      <c r="AB20" t="s">
        <v>465</v>
      </c>
      <c r="AC20" t="s">
        <v>466</v>
      </c>
      <c r="AD20" t="s">
        <v>467</v>
      </c>
      <c r="AE20" t="s">
        <v>468</v>
      </c>
      <c r="AF20" t="s">
        <v>74</v>
      </c>
      <c r="AG20">
        <v>14</v>
      </c>
      <c r="AH20">
        <v>1</v>
      </c>
      <c r="AI20">
        <v>1</v>
      </c>
      <c r="AJ20">
        <v>0</v>
      </c>
      <c r="AK20">
        <v>0</v>
      </c>
      <c r="AL20" t="s">
        <v>219</v>
      </c>
      <c r="AM20" t="s">
        <v>220</v>
      </c>
      <c r="AN20" t="s">
        <v>221</v>
      </c>
      <c r="AO20" t="s">
        <v>222</v>
      </c>
      <c r="AP20" t="s">
        <v>223</v>
      </c>
      <c r="AQ20" t="s">
        <v>74</v>
      </c>
      <c r="AR20" t="s">
        <v>224</v>
      </c>
      <c r="AS20" t="s">
        <v>225</v>
      </c>
      <c r="AT20" t="s">
        <v>420</v>
      </c>
      <c r="AU20">
        <v>2024</v>
      </c>
      <c r="AV20">
        <v>64</v>
      </c>
      <c r="AW20">
        <v>4</v>
      </c>
      <c r="AX20" t="s">
        <v>74</v>
      </c>
      <c r="AY20" t="s">
        <v>74</v>
      </c>
      <c r="AZ20" t="s">
        <v>74</v>
      </c>
      <c r="BA20" t="s">
        <v>74</v>
      </c>
      <c r="BB20" t="s">
        <v>74</v>
      </c>
      <c r="BC20" t="s">
        <v>74</v>
      </c>
      <c r="BD20">
        <v>2401483</v>
      </c>
      <c r="BE20" t="s">
        <v>469</v>
      </c>
      <c r="BF20" t="str">
        <f>HYPERLINK("http://dx.doi.org/10.1183/13993003.01483-2024","http://dx.doi.org/10.1183/13993003.01483-2024")</f>
        <v>http://dx.doi.org/10.1183/13993003.01483-2024</v>
      </c>
      <c r="BG20" t="s">
        <v>74</v>
      </c>
      <c r="BH20" t="s">
        <v>74</v>
      </c>
      <c r="BI20">
        <v>5</v>
      </c>
      <c r="BJ20" t="s">
        <v>228</v>
      </c>
      <c r="BK20" t="s">
        <v>101</v>
      </c>
      <c r="BL20" t="s">
        <v>228</v>
      </c>
      <c r="BM20" t="s">
        <v>422</v>
      </c>
      <c r="BN20">
        <v>39227073</v>
      </c>
      <c r="BO20" t="s">
        <v>470</v>
      </c>
      <c r="BP20" t="s">
        <v>74</v>
      </c>
      <c r="BQ20" t="s">
        <v>74</v>
      </c>
      <c r="BR20" t="s">
        <v>104</v>
      </c>
      <c r="BS20" t="s">
        <v>471</v>
      </c>
      <c r="BT20" t="str">
        <f>HYPERLINK("https%3A%2F%2Fwww.webofscience.com%2Fwos%2Fwoscc%2Ffull-record%2FWOS:001415910700006","View Full Record in Web of Science")</f>
        <v>View Full Record in Web of Science</v>
      </c>
    </row>
    <row r="21" spans="1:72" x14ac:dyDescent="0.25">
      <c r="A21" t="s">
        <v>72</v>
      </c>
      <c r="B21" t="s">
        <v>472</v>
      </c>
      <c r="C21" t="s">
        <v>74</v>
      </c>
      <c r="D21" t="s">
        <v>74</v>
      </c>
      <c r="E21" t="s">
        <v>74</v>
      </c>
      <c r="F21" t="s">
        <v>473</v>
      </c>
      <c r="G21" t="s">
        <v>74</v>
      </c>
      <c r="H21" t="s">
        <v>74</v>
      </c>
      <c r="I21" t="s">
        <v>474</v>
      </c>
      <c r="J21" t="s">
        <v>475</v>
      </c>
      <c r="K21" t="s">
        <v>74</v>
      </c>
      <c r="L21" t="s">
        <v>74</v>
      </c>
      <c r="M21" t="s">
        <v>78</v>
      </c>
      <c r="N21" t="s">
        <v>79</v>
      </c>
      <c r="O21" t="s">
        <v>74</v>
      </c>
      <c r="P21" t="s">
        <v>74</v>
      </c>
      <c r="Q21" t="s">
        <v>74</v>
      </c>
      <c r="R21" t="s">
        <v>74</v>
      </c>
      <c r="S21" t="s">
        <v>74</v>
      </c>
      <c r="T21" t="s">
        <v>476</v>
      </c>
      <c r="U21" t="s">
        <v>477</v>
      </c>
      <c r="V21" t="s">
        <v>478</v>
      </c>
      <c r="W21" t="s">
        <v>479</v>
      </c>
      <c r="X21" t="s">
        <v>480</v>
      </c>
      <c r="Y21" t="s">
        <v>481</v>
      </c>
      <c r="Z21" t="s">
        <v>74</v>
      </c>
      <c r="AA21" t="s">
        <v>482</v>
      </c>
      <c r="AB21" t="s">
        <v>483</v>
      </c>
      <c r="AC21" t="s">
        <v>74</v>
      </c>
      <c r="AD21" t="s">
        <v>74</v>
      </c>
      <c r="AE21" t="s">
        <v>484</v>
      </c>
      <c r="AF21" t="s">
        <v>74</v>
      </c>
      <c r="AG21">
        <v>33</v>
      </c>
      <c r="AH21">
        <v>5</v>
      </c>
      <c r="AI21">
        <v>5</v>
      </c>
      <c r="AJ21">
        <v>0</v>
      </c>
      <c r="AK21">
        <v>0</v>
      </c>
      <c r="AL21" t="s">
        <v>485</v>
      </c>
      <c r="AM21" t="s">
        <v>486</v>
      </c>
      <c r="AN21" t="s">
        <v>487</v>
      </c>
      <c r="AO21" t="s">
        <v>488</v>
      </c>
      <c r="AP21" t="s">
        <v>489</v>
      </c>
      <c r="AQ21" t="s">
        <v>74</v>
      </c>
      <c r="AR21" t="s">
        <v>490</v>
      </c>
      <c r="AS21" t="s">
        <v>491</v>
      </c>
      <c r="AT21" t="s">
        <v>492</v>
      </c>
      <c r="AU21">
        <v>2024</v>
      </c>
      <c r="AV21">
        <v>168</v>
      </c>
      <c r="AW21">
        <v>3</v>
      </c>
      <c r="AX21" t="s">
        <v>74</v>
      </c>
      <c r="AY21" t="s">
        <v>74</v>
      </c>
      <c r="AZ21" t="s">
        <v>74</v>
      </c>
      <c r="BA21" t="s">
        <v>74</v>
      </c>
      <c r="BB21">
        <v>943</v>
      </c>
      <c r="BC21">
        <v>954</v>
      </c>
      <c r="BD21" t="s">
        <v>74</v>
      </c>
      <c r="BE21" t="s">
        <v>493</v>
      </c>
      <c r="BF21" t="str">
        <f>HYPERLINK("http://dx.doi.org/10.1016/j.jtcvs.2023.11.045","http://dx.doi.org/10.1016/j.jtcvs.2023.11.045")</f>
        <v>http://dx.doi.org/10.1016/j.jtcvs.2023.11.045</v>
      </c>
      <c r="BG21" t="s">
        <v>74</v>
      </c>
      <c r="BH21" t="s">
        <v>494</v>
      </c>
      <c r="BI21">
        <v>12</v>
      </c>
      <c r="BJ21" t="s">
        <v>495</v>
      </c>
      <c r="BK21" t="s">
        <v>101</v>
      </c>
      <c r="BL21" t="s">
        <v>496</v>
      </c>
      <c r="BM21" t="s">
        <v>497</v>
      </c>
      <c r="BN21">
        <v>38052251</v>
      </c>
      <c r="BO21" t="s">
        <v>74</v>
      </c>
      <c r="BP21" t="s">
        <v>74</v>
      </c>
      <c r="BQ21" t="s">
        <v>74</v>
      </c>
      <c r="BR21" t="s">
        <v>104</v>
      </c>
      <c r="BS21" t="s">
        <v>498</v>
      </c>
      <c r="BT21" t="str">
        <f>HYPERLINK("https%3A%2F%2Fwww.webofscience.com%2Fwos%2Fwoscc%2Ffull-record%2FWOS:001318641200001","View Full Record in Web of Science")</f>
        <v>View Full Record in Web of Science</v>
      </c>
    </row>
    <row r="22" spans="1:72" x14ac:dyDescent="0.25">
      <c r="A22" t="s">
        <v>72</v>
      </c>
      <c r="B22" t="s">
        <v>499</v>
      </c>
      <c r="C22" t="s">
        <v>74</v>
      </c>
      <c r="D22" t="s">
        <v>74</v>
      </c>
      <c r="E22" t="s">
        <v>74</v>
      </c>
      <c r="F22" t="s">
        <v>500</v>
      </c>
      <c r="G22" t="s">
        <v>74</v>
      </c>
      <c r="H22" t="s">
        <v>74</v>
      </c>
      <c r="I22" t="s">
        <v>501</v>
      </c>
      <c r="J22" t="s">
        <v>216</v>
      </c>
      <c r="K22" t="s">
        <v>74</v>
      </c>
      <c r="L22" t="s">
        <v>74</v>
      </c>
      <c r="M22" t="s">
        <v>78</v>
      </c>
      <c r="N22" t="s">
        <v>52</v>
      </c>
      <c r="O22" t="s">
        <v>502</v>
      </c>
      <c r="P22" t="s">
        <v>503</v>
      </c>
      <c r="Q22" t="s">
        <v>504</v>
      </c>
      <c r="R22" t="s">
        <v>505</v>
      </c>
      <c r="S22" t="s">
        <v>74</v>
      </c>
      <c r="T22" t="s">
        <v>74</v>
      </c>
      <c r="U22" t="s">
        <v>74</v>
      </c>
      <c r="V22" t="s">
        <v>74</v>
      </c>
      <c r="W22" t="s">
        <v>506</v>
      </c>
      <c r="X22" t="s">
        <v>507</v>
      </c>
      <c r="Y22" t="s">
        <v>74</v>
      </c>
      <c r="Z22" t="s">
        <v>508</v>
      </c>
      <c r="AA22" t="s">
        <v>144</v>
      </c>
      <c r="AB22" t="s">
        <v>509</v>
      </c>
      <c r="AC22" t="s">
        <v>74</v>
      </c>
      <c r="AD22" t="s">
        <v>74</v>
      </c>
      <c r="AE22" t="s">
        <v>74</v>
      </c>
      <c r="AF22" t="s">
        <v>74</v>
      </c>
      <c r="AG22">
        <v>0</v>
      </c>
      <c r="AH22">
        <v>0</v>
      </c>
      <c r="AI22">
        <v>0</v>
      </c>
      <c r="AJ22">
        <v>0</v>
      </c>
      <c r="AK22">
        <v>0</v>
      </c>
      <c r="AL22" t="s">
        <v>219</v>
      </c>
      <c r="AM22" t="s">
        <v>220</v>
      </c>
      <c r="AN22" t="s">
        <v>221</v>
      </c>
      <c r="AO22" t="s">
        <v>222</v>
      </c>
      <c r="AP22" t="s">
        <v>223</v>
      </c>
      <c r="AQ22" t="s">
        <v>74</v>
      </c>
      <c r="AR22" t="s">
        <v>224</v>
      </c>
      <c r="AS22" t="s">
        <v>225</v>
      </c>
      <c r="AT22" t="s">
        <v>492</v>
      </c>
      <c r="AU22">
        <v>2024</v>
      </c>
      <c r="AV22">
        <v>64</v>
      </c>
      <c r="AW22" t="s">
        <v>74</v>
      </c>
      <c r="AX22" t="s">
        <v>74</v>
      </c>
      <c r="AY22">
        <v>68</v>
      </c>
      <c r="AZ22" t="s">
        <v>74</v>
      </c>
      <c r="BA22" t="s">
        <v>510</v>
      </c>
      <c r="BB22" t="s">
        <v>74</v>
      </c>
      <c r="BC22" t="s">
        <v>74</v>
      </c>
      <c r="BD22" t="s">
        <v>74</v>
      </c>
      <c r="BE22" t="s">
        <v>511</v>
      </c>
      <c r="BF22" t="str">
        <f>HYPERLINK("http://dx.doi.org/10.1183/13993003.congress-2024.OA1874","http://dx.doi.org/10.1183/13993003.congress-2024.OA1874")</f>
        <v>http://dx.doi.org/10.1183/13993003.congress-2024.OA1874</v>
      </c>
      <c r="BG22" t="s">
        <v>74</v>
      </c>
      <c r="BH22" t="s">
        <v>74</v>
      </c>
      <c r="BI22">
        <v>2</v>
      </c>
      <c r="BJ22" t="s">
        <v>228</v>
      </c>
      <c r="BK22" t="s">
        <v>512</v>
      </c>
      <c r="BL22" t="s">
        <v>228</v>
      </c>
      <c r="BM22" t="s">
        <v>513</v>
      </c>
      <c r="BN22" t="s">
        <v>74</v>
      </c>
      <c r="BO22" t="s">
        <v>74</v>
      </c>
      <c r="BP22" t="s">
        <v>74</v>
      </c>
      <c r="BQ22" t="s">
        <v>74</v>
      </c>
      <c r="BR22" t="s">
        <v>104</v>
      </c>
      <c r="BS22" t="s">
        <v>514</v>
      </c>
      <c r="BT22" t="str">
        <f>HYPERLINK("https%3A%2F%2Fwww.webofscience.com%2Fwos%2Fwoscc%2Ffull-record%2FWOS:001356743500035","View Full Record in Web of Science")</f>
        <v>View Full Record in Web of Science</v>
      </c>
    </row>
    <row r="23" spans="1:72" x14ac:dyDescent="0.25">
      <c r="A23" t="s">
        <v>72</v>
      </c>
      <c r="B23" t="s">
        <v>515</v>
      </c>
      <c r="C23" t="s">
        <v>74</v>
      </c>
      <c r="D23" t="s">
        <v>74</v>
      </c>
      <c r="E23" t="s">
        <v>74</v>
      </c>
      <c r="F23" t="s">
        <v>516</v>
      </c>
      <c r="G23" t="s">
        <v>74</v>
      </c>
      <c r="H23" t="s">
        <v>517</v>
      </c>
      <c r="I23" t="s">
        <v>518</v>
      </c>
      <c r="J23" t="s">
        <v>216</v>
      </c>
      <c r="K23" t="s">
        <v>74</v>
      </c>
      <c r="L23" t="s">
        <v>74</v>
      </c>
      <c r="M23" t="s">
        <v>78</v>
      </c>
      <c r="N23" t="s">
        <v>79</v>
      </c>
      <c r="O23" t="s">
        <v>74</v>
      </c>
      <c r="P23" t="s">
        <v>74</v>
      </c>
      <c r="Q23" t="s">
        <v>74</v>
      </c>
      <c r="R23" t="s">
        <v>74</v>
      </c>
      <c r="S23" t="s">
        <v>74</v>
      </c>
      <c r="T23" t="s">
        <v>74</v>
      </c>
      <c r="U23" t="s">
        <v>519</v>
      </c>
      <c r="V23" t="s">
        <v>520</v>
      </c>
      <c r="W23" t="s">
        <v>521</v>
      </c>
      <c r="X23" t="s">
        <v>522</v>
      </c>
      <c r="Y23" t="s">
        <v>523</v>
      </c>
      <c r="Z23" t="s">
        <v>524</v>
      </c>
      <c r="AA23" t="s">
        <v>525</v>
      </c>
      <c r="AB23" t="s">
        <v>74</v>
      </c>
      <c r="AC23" t="s">
        <v>526</v>
      </c>
      <c r="AD23" t="s">
        <v>527</v>
      </c>
      <c r="AE23" t="s">
        <v>528</v>
      </c>
      <c r="AF23" t="s">
        <v>74</v>
      </c>
      <c r="AG23">
        <v>28</v>
      </c>
      <c r="AH23">
        <v>6</v>
      </c>
      <c r="AI23">
        <v>6</v>
      </c>
      <c r="AJ23">
        <v>0</v>
      </c>
      <c r="AK23">
        <v>0</v>
      </c>
      <c r="AL23" t="s">
        <v>219</v>
      </c>
      <c r="AM23" t="s">
        <v>220</v>
      </c>
      <c r="AN23" t="s">
        <v>221</v>
      </c>
      <c r="AO23" t="s">
        <v>222</v>
      </c>
      <c r="AP23" t="s">
        <v>223</v>
      </c>
      <c r="AQ23" t="s">
        <v>74</v>
      </c>
      <c r="AR23" t="s">
        <v>224</v>
      </c>
      <c r="AS23" t="s">
        <v>225</v>
      </c>
      <c r="AT23" t="s">
        <v>529</v>
      </c>
      <c r="AU23">
        <v>2024</v>
      </c>
      <c r="AV23">
        <v>64</v>
      </c>
      <c r="AW23">
        <v>3</v>
      </c>
      <c r="AX23" t="s">
        <v>74</v>
      </c>
      <c r="AY23" t="s">
        <v>74</v>
      </c>
      <c r="AZ23" t="s">
        <v>74</v>
      </c>
      <c r="BA23" t="s">
        <v>74</v>
      </c>
      <c r="BB23" t="s">
        <v>74</v>
      </c>
      <c r="BC23" t="s">
        <v>74</v>
      </c>
      <c r="BD23">
        <v>2400197</v>
      </c>
      <c r="BE23" t="s">
        <v>74</v>
      </c>
      <c r="BF23" t="s">
        <v>74</v>
      </c>
      <c r="BG23" t="s">
        <v>74</v>
      </c>
      <c r="BH23" t="s">
        <v>74</v>
      </c>
      <c r="BI23">
        <v>15</v>
      </c>
      <c r="BJ23" t="s">
        <v>228</v>
      </c>
      <c r="BK23" t="s">
        <v>101</v>
      </c>
      <c r="BL23" t="s">
        <v>228</v>
      </c>
      <c r="BM23" t="s">
        <v>530</v>
      </c>
      <c r="BN23" t="s">
        <v>74</v>
      </c>
      <c r="BO23" t="s">
        <v>74</v>
      </c>
      <c r="BP23" t="s">
        <v>74</v>
      </c>
      <c r="BQ23" t="s">
        <v>74</v>
      </c>
      <c r="BR23" t="s">
        <v>104</v>
      </c>
      <c r="BS23" t="s">
        <v>531</v>
      </c>
      <c r="BT23" t="str">
        <f>HYPERLINK("https%3A%2F%2Fwww.webofscience.com%2Fwos%2Fwoscc%2Ffull-record%2FWOS:001322513500001","View Full Record in Web of Science")</f>
        <v>View Full Record in Web of Science</v>
      </c>
    </row>
    <row r="24" spans="1:72" x14ac:dyDescent="0.25">
      <c r="A24" t="s">
        <v>72</v>
      </c>
      <c r="B24" t="s">
        <v>532</v>
      </c>
      <c r="C24" t="s">
        <v>74</v>
      </c>
      <c r="D24" t="s">
        <v>74</v>
      </c>
      <c r="E24" t="s">
        <v>74</v>
      </c>
      <c r="F24" t="s">
        <v>533</v>
      </c>
      <c r="G24" t="s">
        <v>74</v>
      </c>
      <c r="H24" t="s">
        <v>74</v>
      </c>
      <c r="I24" t="s">
        <v>534</v>
      </c>
      <c r="J24" t="s">
        <v>216</v>
      </c>
      <c r="K24" t="s">
        <v>74</v>
      </c>
      <c r="L24" t="s">
        <v>74</v>
      </c>
      <c r="M24" t="s">
        <v>78</v>
      </c>
      <c r="N24" t="s">
        <v>52</v>
      </c>
      <c r="O24" t="s">
        <v>502</v>
      </c>
      <c r="P24" t="s">
        <v>503</v>
      </c>
      <c r="Q24" t="s">
        <v>504</v>
      </c>
      <c r="R24" t="s">
        <v>505</v>
      </c>
      <c r="S24" t="s">
        <v>74</v>
      </c>
      <c r="T24" t="s">
        <v>74</v>
      </c>
      <c r="U24" t="s">
        <v>74</v>
      </c>
      <c r="V24" t="s">
        <v>74</v>
      </c>
      <c r="W24" t="s">
        <v>535</v>
      </c>
      <c r="X24" t="s">
        <v>536</v>
      </c>
      <c r="Y24" t="s">
        <v>74</v>
      </c>
      <c r="Z24" t="s">
        <v>537</v>
      </c>
      <c r="AA24" t="s">
        <v>538</v>
      </c>
      <c r="AB24" t="s">
        <v>74</v>
      </c>
      <c r="AC24" t="s">
        <v>74</v>
      </c>
      <c r="AD24" t="s">
        <v>74</v>
      </c>
      <c r="AE24" t="s">
        <v>74</v>
      </c>
      <c r="AF24" t="s">
        <v>74</v>
      </c>
      <c r="AG24">
        <v>0</v>
      </c>
      <c r="AH24">
        <v>0</v>
      </c>
      <c r="AI24">
        <v>0</v>
      </c>
      <c r="AJ24">
        <v>0</v>
      </c>
      <c r="AK24">
        <v>0</v>
      </c>
      <c r="AL24" t="s">
        <v>219</v>
      </c>
      <c r="AM24" t="s">
        <v>220</v>
      </c>
      <c r="AN24" t="s">
        <v>221</v>
      </c>
      <c r="AO24" t="s">
        <v>222</v>
      </c>
      <c r="AP24" t="s">
        <v>223</v>
      </c>
      <c r="AQ24" t="s">
        <v>74</v>
      </c>
      <c r="AR24" t="s">
        <v>224</v>
      </c>
      <c r="AS24" t="s">
        <v>225</v>
      </c>
      <c r="AT24" t="s">
        <v>492</v>
      </c>
      <c r="AU24">
        <v>2024</v>
      </c>
      <c r="AV24">
        <v>64</v>
      </c>
      <c r="AW24" t="s">
        <v>74</v>
      </c>
      <c r="AX24" t="s">
        <v>74</v>
      </c>
      <c r="AY24">
        <v>68</v>
      </c>
      <c r="AZ24" t="s">
        <v>74</v>
      </c>
      <c r="BA24" t="s">
        <v>74</v>
      </c>
      <c r="BB24" t="s">
        <v>74</v>
      </c>
      <c r="BC24" t="s">
        <v>74</v>
      </c>
      <c r="BD24" t="s">
        <v>539</v>
      </c>
      <c r="BE24" t="s">
        <v>540</v>
      </c>
      <c r="BF24" t="str">
        <f>HYPERLINK("http://dx.doi.org/10.1183/13993003.congress-2024.OA1875","http://dx.doi.org/10.1183/13993003.congress-2024.OA1875")</f>
        <v>http://dx.doi.org/10.1183/13993003.congress-2024.OA1875</v>
      </c>
      <c r="BG24" t="s">
        <v>74</v>
      </c>
      <c r="BH24" t="s">
        <v>74</v>
      </c>
      <c r="BI24">
        <v>2</v>
      </c>
      <c r="BJ24" t="s">
        <v>228</v>
      </c>
      <c r="BK24" t="s">
        <v>512</v>
      </c>
      <c r="BL24" t="s">
        <v>228</v>
      </c>
      <c r="BM24" t="s">
        <v>513</v>
      </c>
      <c r="BN24" t="s">
        <v>74</v>
      </c>
      <c r="BO24" t="s">
        <v>74</v>
      </c>
      <c r="BP24" t="s">
        <v>74</v>
      </c>
      <c r="BQ24" t="s">
        <v>74</v>
      </c>
      <c r="BR24" t="s">
        <v>104</v>
      </c>
      <c r="BS24" t="s">
        <v>541</v>
      </c>
      <c r="BT24" t="str">
        <f>HYPERLINK("https%3A%2F%2Fwww.webofscience.com%2Fwos%2Fwoscc%2Ffull-record%2FWOS:001356743500058","View Full Record in Web of Science")</f>
        <v>View Full Record in Web of Science</v>
      </c>
    </row>
    <row r="25" spans="1:72" x14ac:dyDescent="0.25">
      <c r="A25" t="s">
        <v>72</v>
      </c>
      <c r="B25" t="s">
        <v>542</v>
      </c>
      <c r="C25" t="s">
        <v>74</v>
      </c>
      <c r="D25" t="s">
        <v>74</v>
      </c>
      <c r="E25" t="s">
        <v>74</v>
      </c>
      <c r="F25" t="s">
        <v>543</v>
      </c>
      <c r="G25" t="s">
        <v>74</v>
      </c>
      <c r="H25" t="s">
        <v>74</v>
      </c>
      <c r="I25" t="s">
        <v>544</v>
      </c>
      <c r="J25" t="s">
        <v>216</v>
      </c>
      <c r="K25" t="s">
        <v>74</v>
      </c>
      <c r="L25" t="s">
        <v>74</v>
      </c>
      <c r="M25" t="s">
        <v>78</v>
      </c>
      <c r="N25" t="s">
        <v>52</v>
      </c>
      <c r="O25" t="s">
        <v>502</v>
      </c>
      <c r="P25" t="s">
        <v>503</v>
      </c>
      <c r="Q25" t="s">
        <v>504</v>
      </c>
      <c r="R25" t="s">
        <v>505</v>
      </c>
      <c r="S25" t="s">
        <v>74</v>
      </c>
      <c r="T25" t="s">
        <v>74</v>
      </c>
      <c r="U25" t="s">
        <v>74</v>
      </c>
      <c r="V25" t="s">
        <v>74</v>
      </c>
      <c r="W25" t="s">
        <v>545</v>
      </c>
      <c r="X25" t="s">
        <v>546</v>
      </c>
      <c r="Y25" t="s">
        <v>74</v>
      </c>
      <c r="Z25" t="s">
        <v>547</v>
      </c>
      <c r="AA25" t="s">
        <v>144</v>
      </c>
      <c r="AB25" t="s">
        <v>74</v>
      </c>
      <c r="AC25" t="s">
        <v>74</v>
      </c>
      <c r="AD25" t="s">
        <v>74</v>
      </c>
      <c r="AE25" t="s">
        <v>74</v>
      </c>
      <c r="AF25" t="s">
        <v>74</v>
      </c>
      <c r="AG25">
        <v>0</v>
      </c>
      <c r="AH25">
        <v>0</v>
      </c>
      <c r="AI25">
        <v>0</v>
      </c>
      <c r="AJ25">
        <v>0</v>
      </c>
      <c r="AK25">
        <v>0</v>
      </c>
      <c r="AL25" t="s">
        <v>219</v>
      </c>
      <c r="AM25" t="s">
        <v>220</v>
      </c>
      <c r="AN25" t="s">
        <v>221</v>
      </c>
      <c r="AO25" t="s">
        <v>222</v>
      </c>
      <c r="AP25" t="s">
        <v>223</v>
      </c>
      <c r="AQ25" t="s">
        <v>74</v>
      </c>
      <c r="AR25" t="s">
        <v>224</v>
      </c>
      <c r="AS25" t="s">
        <v>225</v>
      </c>
      <c r="AT25" t="s">
        <v>492</v>
      </c>
      <c r="AU25">
        <v>2024</v>
      </c>
      <c r="AV25">
        <v>64</v>
      </c>
      <c r="AW25" t="s">
        <v>74</v>
      </c>
      <c r="AX25" t="s">
        <v>74</v>
      </c>
      <c r="AY25">
        <v>68</v>
      </c>
      <c r="AZ25" t="s">
        <v>74</v>
      </c>
      <c r="BA25" t="s">
        <v>548</v>
      </c>
      <c r="BB25" t="s">
        <v>74</v>
      </c>
      <c r="BC25" t="s">
        <v>74</v>
      </c>
      <c r="BD25" t="s">
        <v>74</v>
      </c>
      <c r="BE25" t="s">
        <v>549</v>
      </c>
      <c r="BF25" t="str">
        <f>HYPERLINK("http://dx.doi.org/10.1183/13993003.congress-2024.PA5229","http://dx.doi.org/10.1183/13993003.congress-2024.PA5229")</f>
        <v>http://dx.doi.org/10.1183/13993003.congress-2024.PA5229</v>
      </c>
      <c r="BG25" t="s">
        <v>74</v>
      </c>
      <c r="BH25" t="s">
        <v>74</v>
      </c>
      <c r="BI25">
        <v>3</v>
      </c>
      <c r="BJ25" t="s">
        <v>228</v>
      </c>
      <c r="BK25" t="s">
        <v>512</v>
      </c>
      <c r="BL25" t="s">
        <v>228</v>
      </c>
      <c r="BM25" t="s">
        <v>550</v>
      </c>
      <c r="BN25" t="s">
        <v>74</v>
      </c>
      <c r="BO25" t="s">
        <v>74</v>
      </c>
      <c r="BP25" t="s">
        <v>74</v>
      </c>
      <c r="BQ25" t="s">
        <v>74</v>
      </c>
      <c r="BR25" t="s">
        <v>104</v>
      </c>
      <c r="BS25" t="s">
        <v>551</v>
      </c>
      <c r="BT25" t="str">
        <f>HYPERLINK("https%3A%2F%2Fwww.webofscience.com%2Fwos%2Fwoscc%2Ffull-record%2FWOS:001377217600010","View Full Record in Web of Science")</f>
        <v>View Full Record in Web of Science</v>
      </c>
    </row>
    <row r="26" spans="1:72" x14ac:dyDescent="0.25">
      <c r="A26" t="s">
        <v>72</v>
      </c>
      <c r="B26" t="s">
        <v>552</v>
      </c>
      <c r="C26" t="s">
        <v>74</v>
      </c>
      <c r="D26" t="s">
        <v>74</v>
      </c>
      <c r="E26" t="s">
        <v>74</v>
      </c>
      <c r="F26" t="s">
        <v>553</v>
      </c>
      <c r="G26" t="s">
        <v>74</v>
      </c>
      <c r="H26" t="s">
        <v>74</v>
      </c>
      <c r="I26" t="s">
        <v>554</v>
      </c>
      <c r="J26" t="s">
        <v>216</v>
      </c>
      <c r="K26" t="s">
        <v>74</v>
      </c>
      <c r="L26" t="s">
        <v>74</v>
      </c>
      <c r="M26" t="s">
        <v>78</v>
      </c>
      <c r="N26" t="s">
        <v>52</v>
      </c>
      <c r="O26" t="s">
        <v>502</v>
      </c>
      <c r="P26" t="s">
        <v>503</v>
      </c>
      <c r="Q26" t="s">
        <v>504</v>
      </c>
      <c r="R26" t="s">
        <v>505</v>
      </c>
      <c r="S26" t="s">
        <v>74</v>
      </c>
      <c r="T26" t="s">
        <v>74</v>
      </c>
      <c r="U26" t="s">
        <v>74</v>
      </c>
      <c r="V26" t="s">
        <v>74</v>
      </c>
      <c r="W26" t="s">
        <v>555</v>
      </c>
      <c r="X26" t="s">
        <v>556</v>
      </c>
      <c r="Y26" t="s">
        <v>74</v>
      </c>
      <c r="Z26" t="s">
        <v>74</v>
      </c>
      <c r="AA26" t="s">
        <v>557</v>
      </c>
      <c r="AB26" t="s">
        <v>74</v>
      </c>
      <c r="AC26" t="s">
        <v>74</v>
      </c>
      <c r="AD26" t="s">
        <v>74</v>
      </c>
      <c r="AE26" t="s">
        <v>74</v>
      </c>
      <c r="AF26" t="s">
        <v>74</v>
      </c>
      <c r="AG26">
        <v>0</v>
      </c>
      <c r="AH26">
        <v>0</v>
      </c>
      <c r="AI26">
        <v>0</v>
      </c>
      <c r="AJ26">
        <v>2</v>
      </c>
      <c r="AK26">
        <v>2</v>
      </c>
      <c r="AL26" t="s">
        <v>219</v>
      </c>
      <c r="AM26" t="s">
        <v>220</v>
      </c>
      <c r="AN26" t="s">
        <v>221</v>
      </c>
      <c r="AO26" t="s">
        <v>222</v>
      </c>
      <c r="AP26" t="s">
        <v>223</v>
      </c>
      <c r="AQ26" t="s">
        <v>74</v>
      </c>
      <c r="AR26" t="s">
        <v>224</v>
      </c>
      <c r="AS26" t="s">
        <v>225</v>
      </c>
      <c r="AT26" t="s">
        <v>492</v>
      </c>
      <c r="AU26">
        <v>2024</v>
      </c>
      <c r="AV26">
        <v>64</v>
      </c>
      <c r="AW26" t="s">
        <v>74</v>
      </c>
      <c r="AX26" t="s">
        <v>74</v>
      </c>
      <c r="AY26">
        <v>68</v>
      </c>
      <c r="AZ26" t="s">
        <v>74</v>
      </c>
      <c r="BA26" t="s">
        <v>558</v>
      </c>
      <c r="BB26" t="s">
        <v>74</v>
      </c>
      <c r="BC26" t="s">
        <v>74</v>
      </c>
      <c r="BD26" t="s">
        <v>74</v>
      </c>
      <c r="BE26" t="s">
        <v>559</v>
      </c>
      <c r="BF26" t="str">
        <f>HYPERLINK("http://dx.doi.org/10.1183/13993003.congress-2024.PA1605","http://dx.doi.org/10.1183/13993003.congress-2024.PA1605")</f>
        <v>http://dx.doi.org/10.1183/13993003.congress-2024.PA1605</v>
      </c>
      <c r="BG26" t="s">
        <v>74</v>
      </c>
      <c r="BH26" t="s">
        <v>74</v>
      </c>
      <c r="BI26">
        <v>3</v>
      </c>
      <c r="BJ26" t="s">
        <v>228</v>
      </c>
      <c r="BK26" t="s">
        <v>512</v>
      </c>
      <c r="BL26" t="s">
        <v>228</v>
      </c>
      <c r="BM26" t="s">
        <v>550</v>
      </c>
      <c r="BN26" t="s">
        <v>74</v>
      </c>
      <c r="BO26" t="s">
        <v>74</v>
      </c>
      <c r="BP26" t="s">
        <v>74</v>
      </c>
      <c r="BQ26" t="s">
        <v>74</v>
      </c>
      <c r="BR26" t="s">
        <v>104</v>
      </c>
      <c r="BS26" t="s">
        <v>560</v>
      </c>
      <c r="BT26" t="str">
        <f>HYPERLINK("https%3A%2F%2Fwww.webofscience.com%2Fwos%2Fwoscc%2Ffull-record%2FWOS:001377217600003","View Full Record in Web of Science")</f>
        <v>View Full Record in Web of Science</v>
      </c>
    </row>
    <row r="27" spans="1:72" x14ac:dyDescent="0.25">
      <c r="A27" t="s">
        <v>72</v>
      </c>
      <c r="B27" t="s">
        <v>561</v>
      </c>
      <c r="C27" t="s">
        <v>74</v>
      </c>
      <c r="D27" t="s">
        <v>74</v>
      </c>
      <c r="E27" t="s">
        <v>74</v>
      </c>
      <c r="F27" t="s">
        <v>562</v>
      </c>
      <c r="G27" t="s">
        <v>74</v>
      </c>
      <c r="H27" t="s">
        <v>74</v>
      </c>
      <c r="I27" t="s">
        <v>563</v>
      </c>
      <c r="J27" t="s">
        <v>564</v>
      </c>
      <c r="K27" t="s">
        <v>74</v>
      </c>
      <c r="L27" t="s">
        <v>74</v>
      </c>
      <c r="M27" t="s">
        <v>78</v>
      </c>
      <c r="N27" t="s">
        <v>460</v>
      </c>
      <c r="O27" t="s">
        <v>74</v>
      </c>
      <c r="P27" t="s">
        <v>74</v>
      </c>
      <c r="Q27" t="s">
        <v>74</v>
      </c>
      <c r="R27" t="s">
        <v>74</v>
      </c>
      <c r="S27" t="s">
        <v>74</v>
      </c>
      <c r="T27" t="s">
        <v>74</v>
      </c>
      <c r="U27" t="s">
        <v>565</v>
      </c>
      <c r="V27" t="s">
        <v>74</v>
      </c>
      <c r="W27" t="s">
        <v>566</v>
      </c>
      <c r="X27" t="s">
        <v>567</v>
      </c>
      <c r="Y27" t="s">
        <v>568</v>
      </c>
      <c r="Z27" t="s">
        <v>569</v>
      </c>
      <c r="AA27" t="s">
        <v>144</v>
      </c>
      <c r="AB27" t="s">
        <v>74</v>
      </c>
      <c r="AC27" t="s">
        <v>74</v>
      </c>
      <c r="AD27" t="s">
        <v>74</v>
      </c>
      <c r="AE27" t="s">
        <v>74</v>
      </c>
      <c r="AF27" t="s">
        <v>74</v>
      </c>
      <c r="AG27">
        <v>17</v>
      </c>
      <c r="AH27">
        <v>0</v>
      </c>
      <c r="AI27">
        <v>0</v>
      </c>
      <c r="AJ27">
        <v>0</v>
      </c>
      <c r="AK27">
        <v>0</v>
      </c>
      <c r="AL27" t="s">
        <v>570</v>
      </c>
      <c r="AM27" t="s">
        <v>571</v>
      </c>
      <c r="AN27" t="s">
        <v>572</v>
      </c>
      <c r="AO27" t="s">
        <v>573</v>
      </c>
      <c r="AP27" t="s">
        <v>574</v>
      </c>
      <c r="AQ27" t="s">
        <v>74</v>
      </c>
      <c r="AR27" t="s">
        <v>575</v>
      </c>
      <c r="AS27" t="s">
        <v>576</v>
      </c>
      <c r="AT27" t="s">
        <v>492</v>
      </c>
      <c r="AU27">
        <v>2024</v>
      </c>
      <c r="AV27">
        <v>60</v>
      </c>
      <c r="AW27">
        <v>9</v>
      </c>
      <c r="AX27" t="s">
        <v>74</v>
      </c>
      <c r="AY27" t="s">
        <v>74</v>
      </c>
      <c r="AZ27" t="s">
        <v>74</v>
      </c>
      <c r="BA27" t="s">
        <v>74</v>
      </c>
      <c r="BB27">
        <v>590</v>
      </c>
      <c r="BC27">
        <v>592</v>
      </c>
      <c r="BD27" t="s">
        <v>74</v>
      </c>
      <c r="BE27" t="s">
        <v>577</v>
      </c>
      <c r="BF27" t="str">
        <f>HYPERLINK("http://dx.doi.org/10.1016/j.arbres.2024.05.006","http://dx.doi.org/10.1016/j.arbres.2024.05.006")</f>
        <v>http://dx.doi.org/10.1016/j.arbres.2024.05.006</v>
      </c>
      <c r="BG27" t="s">
        <v>74</v>
      </c>
      <c r="BH27" t="s">
        <v>494</v>
      </c>
      <c r="BI27">
        <v>3</v>
      </c>
      <c r="BJ27" t="s">
        <v>228</v>
      </c>
      <c r="BK27" t="s">
        <v>101</v>
      </c>
      <c r="BL27" t="s">
        <v>228</v>
      </c>
      <c r="BM27" t="s">
        <v>578</v>
      </c>
      <c r="BN27">
        <v>38834496</v>
      </c>
      <c r="BO27" t="s">
        <v>74</v>
      </c>
      <c r="BP27" t="s">
        <v>74</v>
      </c>
      <c r="BQ27" t="s">
        <v>74</v>
      </c>
      <c r="BR27" t="s">
        <v>104</v>
      </c>
      <c r="BS27" t="s">
        <v>579</v>
      </c>
      <c r="BT27" t="str">
        <f>HYPERLINK("https%3A%2F%2Fwww.webofscience.com%2Fwos%2Fwoscc%2Ffull-record%2FWOS:001418007500001","View Full Record in Web of Science")</f>
        <v>View Full Record in Web of Science</v>
      </c>
    </row>
    <row r="28" spans="1:72" x14ac:dyDescent="0.25">
      <c r="A28" t="s">
        <v>72</v>
      </c>
      <c r="B28" t="s">
        <v>580</v>
      </c>
      <c r="C28" t="s">
        <v>74</v>
      </c>
      <c r="D28" t="s">
        <v>74</v>
      </c>
      <c r="E28" t="s">
        <v>74</v>
      </c>
      <c r="F28" t="s">
        <v>581</v>
      </c>
      <c r="G28" t="s">
        <v>74</v>
      </c>
      <c r="H28" t="s">
        <v>74</v>
      </c>
      <c r="I28" t="s">
        <v>582</v>
      </c>
      <c r="J28" t="s">
        <v>216</v>
      </c>
      <c r="K28" t="s">
        <v>74</v>
      </c>
      <c r="L28" t="s">
        <v>74</v>
      </c>
      <c r="M28" t="s">
        <v>78</v>
      </c>
      <c r="N28" t="s">
        <v>52</v>
      </c>
      <c r="O28" t="s">
        <v>502</v>
      </c>
      <c r="P28" t="s">
        <v>503</v>
      </c>
      <c r="Q28" t="s">
        <v>504</v>
      </c>
      <c r="R28" t="s">
        <v>505</v>
      </c>
      <c r="S28" t="s">
        <v>74</v>
      </c>
      <c r="T28" t="s">
        <v>74</v>
      </c>
      <c r="U28" t="s">
        <v>74</v>
      </c>
      <c r="V28" t="s">
        <v>74</v>
      </c>
      <c r="W28" t="s">
        <v>583</v>
      </c>
      <c r="X28" t="s">
        <v>584</v>
      </c>
      <c r="Y28" t="s">
        <v>74</v>
      </c>
      <c r="Z28" t="s">
        <v>569</v>
      </c>
      <c r="AA28" t="s">
        <v>144</v>
      </c>
      <c r="AB28" t="s">
        <v>74</v>
      </c>
      <c r="AC28" t="s">
        <v>74</v>
      </c>
      <c r="AD28" t="s">
        <v>74</v>
      </c>
      <c r="AE28" t="s">
        <v>74</v>
      </c>
      <c r="AF28" t="s">
        <v>74</v>
      </c>
      <c r="AG28">
        <v>0</v>
      </c>
      <c r="AH28">
        <v>0</v>
      </c>
      <c r="AI28">
        <v>0</v>
      </c>
      <c r="AJ28">
        <v>0</v>
      </c>
      <c r="AK28">
        <v>0</v>
      </c>
      <c r="AL28" t="s">
        <v>219</v>
      </c>
      <c r="AM28" t="s">
        <v>220</v>
      </c>
      <c r="AN28" t="s">
        <v>221</v>
      </c>
      <c r="AO28" t="s">
        <v>222</v>
      </c>
      <c r="AP28" t="s">
        <v>223</v>
      </c>
      <c r="AQ28" t="s">
        <v>74</v>
      </c>
      <c r="AR28" t="s">
        <v>224</v>
      </c>
      <c r="AS28" t="s">
        <v>225</v>
      </c>
      <c r="AT28" t="s">
        <v>492</v>
      </c>
      <c r="AU28">
        <v>2024</v>
      </c>
      <c r="AV28">
        <v>64</v>
      </c>
      <c r="AW28" t="s">
        <v>74</v>
      </c>
      <c r="AX28" t="s">
        <v>74</v>
      </c>
      <c r="AY28">
        <v>68</v>
      </c>
      <c r="AZ28" t="s">
        <v>74</v>
      </c>
      <c r="BA28" t="s">
        <v>74</v>
      </c>
      <c r="BB28" t="s">
        <v>74</v>
      </c>
      <c r="BC28" t="s">
        <v>74</v>
      </c>
      <c r="BD28" t="s">
        <v>585</v>
      </c>
      <c r="BE28" t="s">
        <v>586</v>
      </c>
      <c r="BF28" t="str">
        <f>HYPERLINK("http://dx.doi.org/10.1183/13993003.congress-2024.PA1271","http://dx.doi.org/10.1183/13993003.congress-2024.PA1271")</f>
        <v>http://dx.doi.org/10.1183/13993003.congress-2024.PA1271</v>
      </c>
      <c r="BG28" t="s">
        <v>74</v>
      </c>
      <c r="BH28" t="s">
        <v>74</v>
      </c>
      <c r="BI28">
        <v>2</v>
      </c>
      <c r="BJ28" t="s">
        <v>228</v>
      </c>
      <c r="BK28" t="s">
        <v>512</v>
      </c>
      <c r="BL28" t="s">
        <v>228</v>
      </c>
      <c r="BM28" t="s">
        <v>587</v>
      </c>
      <c r="BN28" t="s">
        <v>74</v>
      </c>
      <c r="BO28" t="s">
        <v>74</v>
      </c>
      <c r="BP28" t="s">
        <v>74</v>
      </c>
      <c r="BQ28" t="s">
        <v>74</v>
      </c>
      <c r="BR28" t="s">
        <v>104</v>
      </c>
      <c r="BS28" t="s">
        <v>588</v>
      </c>
      <c r="BT28" t="str">
        <f>HYPERLINK("https%3A%2F%2Fwww.webofscience.com%2Fwos%2Fwoscc%2Ffull-record%2FWOS:001356254200055","View Full Record in Web of Science")</f>
        <v>View Full Record in Web of Science</v>
      </c>
    </row>
    <row r="29" spans="1:72" x14ac:dyDescent="0.25">
      <c r="A29" t="s">
        <v>72</v>
      </c>
      <c r="B29" t="s">
        <v>589</v>
      </c>
      <c r="C29" t="s">
        <v>74</v>
      </c>
      <c r="D29" t="s">
        <v>74</v>
      </c>
      <c r="E29" t="s">
        <v>74</v>
      </c>
      <c r="F29" t="s">
        <v>590</v>
      </c>
      <c r="G29" t="s">
        <v>74</v>
      </c>
      <c r="H29" t="s">
        <v>74</v>
      </c>
      <c r="I29" t="s">
        <v>591</v>
      </c>
      <c r="J29" t="s">
        <v>592</v>
      </c>
      <c r="K29" t="s">
        <v>74</v>
      </c>
      <c r="L29" t="s">
        <v>74</v>
      </c>
      <c r="M29" t="s">
        <v>78</v>
      </c>
      <c r="N29" t="s">
        <v>52</v>
      </c>
      <c r="O29" t="s">
        <v>74</v>
      </c>
      <c r="P29" t="s">
        <v>74</v>
      </c>
      <c r="Q29" t="s">
        <v>74</v>
      </c>
      <c r="R29" t="s">
        <v>74</v>
      </c>
      <c r="S29" t="s">
        <v>74</v>
      </c>
      <c r="T29" t="s">
        <v>74</v>
      </c>
      <c r="U29" t="s">
        <v>74</v>
      </c>
      <c r="V29" t="s">
        <v>74</v>
      </c>
      <c r="W29" t="s">
        <v>593</v>
      </c>
      <c r="X29" t="s">
        <v>594</v>
      </c>
      <c r="Y29" t="s">
        <v>74</v>
      </c>
      <c r="Z29" t="s">
        <v>74</v>
      </c>
      <c r="AA29" t="s">
        <v>144</v>
      </c>
      <c r="AB29" t="s">
        <v>74</v>
      </c>
      <c r="AC29" t="s">
        <v>74</v>
      </c>
      <c r="AD29" t="s">
        <v>74</v>
      </c>
      <c r="AE29" t="s">
        <v>74</v>
      </c>
      <c r="AF29" t="s">
        <v>74</v>
      </c>
      <c r="AG29">
        <v>0</v>
      </c>
      <c r="AH29">
        <v>0</v>
      </c>
      <c r="AI29">
        <v>0</v>
      </c>
      <c r="AJ29">
        <v>0</v>
      </c>
      <c r="AK29">
        <v>0</v>
      </c>
      <c r="AL29" t="s">
        <v>595</v>
      </c>
      <c r="AM29" t="s">
        <v>596</v>
      </c>
      <c r="AN29" t="s">
        <v>597</v>
      </c>
      <c r="AO29" t="s">
        <v>598</v>
      </c>
      <c r="AP29" t="s">
        <v>74</v>
      </c>
      <c r="AQ29" t="s">
        <v>74</v>
      </c>
      <c r="AR29" t="s">
        <v>592</v>
      </c>
      <c r="AS29" t="s">
        <v>599</v>
      </c>
      <c r="AT29" t="s">
        <v>492</v>
      </c>
      <c r="AU29">
        <v>2024</v>
      </c>
      <c r="AV29">
        <v>47</v>
      </c>
      <c r="AW29">
        <v>9</v>
      </c>
      <c r="AX29" t="s">
        <v>74</v>
      </c>
      <c r="AY29" t="s">
        <v>74</v>
      </c>
      <c r="AZ29" t="s">
        <v>74</v>
      </c>
      <c r="BA29" t="s">
        <v>600</v>
      </c>
      <c r="BB29" t="s">
        <v>74</v>
      </c>
      <c r="BC29" t="s">
        <v>74</v>
      </c>
      <c r="BD29" t="s">
        <v>74</v>
      </c>
      <c r="BE29" t="s">
        <v>74</v>
      </c>
      <c r="BF29" t="s">
        <v>74</v>
      </c>
      <c r="BG29" t="s">
        <v>74</v>
      </c>
      <c r="BH29" t="s">
        <v>74</v>
      </c>
      <c r="BI29">
        <v>55</v>
      </c>
      <c r="BJ29" t="s">
        <v>601</v>
      </c>
      <c r="BK29" t="s">
        <v>101</v>
      </c>
      <c r="BL29" t="s">
        <v>601</v>
      </c>
      <c r="BM29" t="s">
        <v>602</v>
      </c>
      <c r="BN29" t="s">
        <v>74</v>
      </c>
      <c r="BO29" t="s">
        <v>74</v>
      </c>
      <c r="BP29" t="s">
        <v>74</v>
      </c>
      <c r="BQ29" t="s">
        <v>74</v>
      </c>
      <c r="BR29" t="s">
        <v>104</v>
      </c>
      <c r="BS29" t="s">
        <v>603</v>
      </c>
      <c r="BT29" t="str">
        <f>HYPERLINK("https%3A%2F%2Fwww.webofscience.com%2Fwos%2Fwoscc%2Ffull-record%2FWOS:001346434900035","View Full Record in Web of Science")</f>
        <v>View Full Record in Web of Science</v>
      </c>
    </row>
    <row r="30" spans="1:72" x14ac:dyDescent="0.25">
      <c r="A30" t="s">
        <v>72</v>
      </c>
      <c r="B30" t="s">
        <v>604</v>
      </c>
      <c r="C30" t="s">
        <v>74</v>
      </c>
      <c r="D30" t="s">
        <v>74</v>
      </c>
      <c r="E30" t="s">
        <v>74</v>
      </c>
      <c r="F30" t="s">
        <v>605</v>
      </c>
      <c r="G30" t="s">
        <v>74</v>
      </c>
      <c r="H30" t="s">
        <v>74</v>
      </c>
      <c r="I30" t="s">
        <v>606</v>
      </c>
      <c r="J30" t="s">
        <v>216</v>
      </c>
      <c r="K30" t="s">
        <v>74</v>
      </c>
      <c r="L30" t="s">
        <v>74</v>
      </c>
      <c r="M30" t="s">
        <v>78</v>
      </c>
      <c r="N30" t="s">
        <v>52</v>
      </c>
      <c r="O30" t="s">
        <v>502</v>
      </c>
      <c r="P30" t="s">
        <v>503</v>
      </c>
      <c r="Q30" t="s">
        <v>504</v>
      </c>
      <c r="R30" t="s">
        <v>505</v>
      </c>
      <c r="S30" t="s">
        <v>74</v>
      </c>
      <c r="T30" t="s">
        <v>74</v>
      </c>
      <c r="U30" t="s">
        <v>74</v>
      </c>
      <c r="V30" t="s">
        <v>74</v>
      </c>
      <c r="W30" t="s">
        <v>74</v>
      </c>
      <c r="X30" t="s">
        <v>74</v>
      </c>
      <c r="Y30" t="s">
        <v>74</v>
      </c>
      <c r="Z30" t="s">
        <v>607</v>
      </c>
      <c r="AA30" t="s">
        <v>608</v>
      </c>
      <c r="AB30" t="s">
        <v>74</v>
      </c>
      <c r="AC30" t="s">
        <v>74</v>
      </c>
      <c r="AD30" t="s">
        <v>74</v>
      </c>
      <c r="AE30" t="s">
        <v>74</v>
      </c>
      <c r="AF30" t="s">
        <v>74</v>
      </c>
      <c r="AG30">
        <v>0</v>
      </c>
      <c r="AH30">
        <v>0</v>
      </c>
      <c r="AI30">
        <v>0</v>
      </c>
      <c r="AJ30">
        <v>0</v>
      </c>
      <c r="AK30">
        <v>0</v>
      </c>
      <c r="AL30" t="s">
        <v>219</v>
      </c>
      <c r="AM30" t="s">
        <v>220</v>
      </c>
      <c r="AN30" t="s">
        <v>221</v>
      </c>
      <c r="AO30" t="s">
        <v>222</v>
      </c>
      <c r="AP30" t="s">
        <v>223</v>
      </c>
      <c r="AQ30" t="s">
        <v>74</v>
      </c>
      <c r="AR30" t="s">
        <v>224</v>
      </c>
      <c r="AS30" t="s">
        <v>225</v>
      </c>
      <c r="AT30" t="s">
        <v>492</v>
      </c>
      <c r="AU30">
        <v>2024</v>
      </c>
      <c r="AV30">
        <v>64</v>
      </c>
      <c r="AW30" t="s">
        <v>74</v>
      </c>
      <c r="AX30" t="s">
        <v>74</v>
      </c>
      <c r="AY30">
        <v>68</v>
      </c>
      <c r="AZ30" t="s">
        <v>74</v>
      </c>
      <c r="BA30" t="s">
        <v>74</v>
      </c>
      <c r="BB30" t="s">
        <v>74</v>
      </c>
      <c r="BC30" t="s">
        <v>74</v>
      </c>
      <c r="BD30" t="s">
        <v>609</v>
      </c>
      <c r="BE30" t="s">
        <v>610</v>
      </c>
      <c r="BF30" t="str">
        <f>HYPERLINK("http://dx.doi.org/10.1183/13993003.congress-2024.PA2497","http://dx.doi.org/10.1183/13993003.congress-2024.PA2497")</f>
        <v>http://dx.doi.org/10.1183/13993003.congress-2024.PA2497</v>
      </c>
      <c r="BG30" t="s">
        <v>74</v>
      </c>
      <c r="BH30" t="s">
        <v>74</v>
      </c>
      <c r="BI30">
        <v>2</v>
      </c>
      <c r="BJ30" t="s">
        <v>228</v>
      </c>
      <c r="BK30" t="s">
        <v>512</v>
      </c>
      <c r="BL30" t="s">
        <v>228</v>
      </c>
      <c r="BM30" t="s">
        <v>611</v>
      </c>
      <c r="BN30" t="s">
        <v>74</v>
      </c>
      <c r="BO30" t="s">
        <v>612</v>
      </c>
      <c r="BP30" t="s">
        <v>74</v>
      </c>
      <c r="BQ30" t="s">
        <v>74</v>
      </c>
      <c r="BR30" t="s">
        <v>104</v>
      </c>
      <c r="BS30" t="s">
        <v>613</v>
      </c>
      <c r="BT30" t="str">
        <f>HYPERLINK("https%3A%2F%2Fwww.webofscience.com%2Fwos%2Fwoscc%2Ffull-record%2FWOS:001352764200022","View Full Record in Web of Science")</f>
        <v>View Full Record in Web of Science</v>
      </c>
    </row>
    <row r="31" spans="1:72" x14ac:dyDescent="0.25">
      <c r="A31" t="s">
        <v>72</v>
      </c>
      <c r="B31" t="s">
        <v>614</v>
      </c>
      <c r="C31" t="s">
        <v>74</v>
      </c>
      <c r="D31" t="s">
        <v>74</v>
      </c>
      <c r="E31" t="s">
        <v>74</v>
      </c>
      <c r="F31" t="s">
        <v>615</v>
      </c>
      <c r="G31" t="s">
        <v>74</v>
      </c>
      <c r="H31" t="s">
        <v>74</v>
      </c>
      <c r="I31" t="s">
        <v>616</v>
      </c>
      <c r="J31" t="s">
        <v>216</v>
      </c>
      <c r="K31" t="s">
        <v>74</v>
      </c>
      <c r="L31" t="s">
        <v>74</v>
      </c>
      <c r="M31" t="s">
        <v>78</v>
      </c>
      <c r="N31" t="s">
        <v>52</v>
      </c>
      <c r="O31" t="s">
        <v>502</v>
      </c>
      <c r="P31" t="s">
        <v>503</v>
      </c>
      <c r="Q31" t="s">
        <v>504</v>
      </c>
      <c r="R31" t="s">
        <v>505</v>
      </c>
      <c r="S31" t="s">
        <v>74</v>
      </c>
      <c r="T31" t="s">
        <v>74</v>
      </c>
      <c r="U31" t="s">
        <v>74</v>
      </c>
      <c r="V31" t="s">
        <v>74</v>
      </c>
      <c r="W31" t="s">
        <v>617</v>
      </c>
      <c r="X31" t="s">
        <v>618</v>
      </c>
      <c r="Y31" t="s">
        <v>74</v>
      </c>
      <c r="Z31" t="s">
        <v>619</v>
      </c>
      <c r="AA31" t="s">
        <v>144</v>
      </c>
      <c r="AB31" t="s">
        <v>74</v>
      </c>
      <c r="AC31" t="s">
        <v>74</v>
      </c>
      <c r="AD31" t="s">
        <v>74</v>
      </c>
      <c r="AE31" t="s">
        <v>74</v>
      </c>
      <c r="AF31" t="s">
        <v>74</v>
      </c>
      <c r="AG31">
        <v>0</v>
      </c>
      <c r="AH31">
        <v>0</v>
      </c>
      <c r="AI31">
        <v>0</v>
      </c>
      <c r="AJ31">
        <v>0</v>
      </c>
      <c r="AK31">
        <v>0</v>
      </c>
      <c r="AL31" t="s">
        <v>219</v>
      </c>
      <c r="AM31" t="s">
        <v>220</v>
      </c>
      <c r="AN31" t="s">
        <v>221</v>
      </c>
      <c r="AO31" t="s">
        <v>222</v>
      </c>
      <c r="AP31" t="s">
        <v>223</v>
      </c>
      <c r="AQ31" t="s">
        <v>74</v>
      </c>
      <c r="AR31" t="s">
        <v>224</v>
      </c>
      <c r="AS31" t="s">
        <v>225</v>
      </c>
      <c r="AT31" t="s">
        <v>492</v>
      </c>
      <c r="AU31">
        <v>2024</v>
      </c>
      <c r="AV31">
        <v>64</v>
      </c>
      <c r="AW31" t="s">
        <v>74</v>
      </c>
      <c r="AX31" t="s">
        <v>74</v>
      </c>
      <c r="AY31">
        <v>68</v>
      </c>
      <c r="AZ31" t="s">
        <v>74</v>
      </c>
      <c r="BA31" t="s">
        <v>74</v>
      </c>
      <c r="BB31" t="s">
        <v>74</v>
      </c>
      <c r="BC31" t="s">
        <v>74</v>
      </c>
      <c r="BD31" t="s">
        <v>620</v>
      </c>
      <c r="BE31" t="s">
        <v>621</v>
      </c>
      <c r="BF31" t="str">
        <f>HYPERLINK("http://dx.doi.org/10.1183/13993003.congress-2024.PA4780","http://dx.doi.org/10.1183/13993003.congress-2024.PA4780")</f>
        <v>http://dx.doi.org/10.1183/13993003.congress-2024.PA4780</v>
      </c>
      <c r="BG31" t="s">
        <v>74</v>
      </c>
      <c r="BH31" t="s">
        <v>74</v>
      </c>
      <c r="BI31">
        <v>2</v>
      </c>
      <c r="BJ31" t="s">
        <v>228</v>
      </c>
      <c r="BK31" t="s">
        <v>512</v>
      </c>
      <c r="BL31" t="s">
        <v>228</v>
      </c>
      <c r="BM31" t="s">
        <v>622</v>
      </c>
      <c r="BN31" t="s">
        <v>74</v>
      </c>
      <c r="BO31" t="s">
        <v>74</v>
      </c>
      <c r="BP31" t="s">
        <v>74</v>
      </c>
      <c r="BQ31" t="s">
        <v>74</v>
      </c>
      <c r="BR31" t="s">
        <v>104</v>
      </c>
      <c r="BS31" t="s">
        <v>623</v>
      </c>
      <c r="BT31" t="str">
        <f>HYPERLINK("https%3A%2F%2Fwww.webofscience.com%2Fwos%2Fwoscc%2Ffull-record%2FWOS:001356288100009","View Full Record in Web of Science")</f>
        <v>View Full Record in Web of Science</v>
      </c>
    </row>
    <row r="32" spans="1:72" x14ac:dyDescent="0.25">
      <c r="A32" t="s">
        <v>72</v>
      </c>
      <c r="B32" t="s">
        <v>624</v>
      </c>
      <c r="C32" t="s">
        <v>74</v>
      </c>
      <c r="D32" t="s">
        <v>74</v>
      </c>
      <c r="E32" t="s">
        <v>74</v>
      </c>
      <c r="F32" t="s">
        <v>625</v>
      </c>
      <c r="G32" t="s">
        <v>74</v>
      </c>
      <c r="H32" t="s">
        <v>74</v>
      </c>
      <c r="I32" t="s">
        <v>626</v>
      </c>
      <c r="J32" t="s">
        <v>216</v>
      </c>
      <c r="K32" t="s">
        <v>74</v>
      </c>
      <c r="L32" t="s">
        <v>74</v>
      </c>
      <c r="M32" t="s">
        <v>78</v>
      </c>
      <c r="N32" t="s">
        <v>52</v>
      </c>
      <c r="O32" t="s">
        <v>502</v>
      </c>
      <c r="P32" t="s">
        <v>503</v>
      </c>
      <c r="Q32" t="s">
        <v>504</v>
      </c>
      <c r="R32" t="s">
        <v>505</v>
      </c>
      <c r="S32" t="s">
        <v>74</v>
      </c>
      <c r="T32" t="s">
        <v>74</v>
      </c>
      <c r="U32" t="s">
        <v>74</v>
      </c>
      <c r="V32" t="s">
        <v>74</v>
      </c>
      <c r="W32" t="s">
        <v>627</v>
      </c>
      <c r="X32" t="s">
        <v>628</v>
      </c>
      <c r="Y32" t="s">
        <v>74</v>
      </c>
      <c r="Z32" t="s">
        <v>629</v>
      </c>
      <c r="AA32" t="s">
        <v>630</v>
      </c>
      <c r="AB32" t="s">
        <v>74</v>
      </c>
      <c r="AC32" t="s">
        <v>74</v>
      </c>
      <c r="AD32" t="s">
        <v>74</v>
      </c>
      <c r="AE32" t="s">
        <v>74</v>
      </c>
      <c r="AF32" t="s">
        <v>74</v>
      </c>
      <c r="AG32">
        <v>0</v>
      </c>
      <c r="AH32">
        <v>0</v>
      </c>
      <c r="AI32">
        <v>0</v>
      </c>
      <c r="AJ32">
        <v>0</v>
      </c>
      <c r="AK32">
        <v>0</v>
      </c>
      <c r="AL32" t="s">
        <v>219</v>
      </c>
      <c r="AM32" t="s">
        <v>220</v>
      </c>
      <c r="AN32" t="s">
        <v>221</v>
      </c>
      <c r="AO32" t="s">
        <v>222</v>
      </c>
      <c r="AP32" t="s">
        <v>223</v>
      </c>
      <c r="AQ32" t="s">
        <v>74</v>
      </c>
      <c r="AR32" t="s">
        <v>224</v>
      </c>
      <c r="AS32" t="s">
        <v>225</v>
      </c>
      <c r="AT32" t="s">
        <v>492</v>
      </c>
      <c r="AU32">
        <v>2024</v>
      </c>
      <c r="AV32">
        <v>64</v>
      </c>
      <c r="AW32" t="s">
        <v>74</v>
      </c>
      <c r="AX32" t="s">
        <v>74</v>
      </c>
      <c r="AY32">
        <v>68</v>
      </c>
      <c r="AZ32" t="s">
        <v>74</v>
      </c>
      <c r="BA32" t="s">
        <v>74</v>
      </c>
      <c r="BB32" t="s">
        <v>74</v>
      </c>
      <c r="BC32" t="s">
        <v>74</v>
      </c>
      <c r="BD32" t="s">
        <v>631</v>
      </c>
      <c r="BE32" t="s">
        <v>632</v>
      </c>
      <c r="BF32" t="str">
        <f>HYPERLINK("http://dx.doi.org/10.1183/13993003.congress-2024.PA2500","http://dx.doi.org/10.1183/13993003.congress-2024.PA2500")</f>
        <v>http://dx.doi.org/10.1183/13993003.congress-2024.PA2500</v>
      </c>
      <c r="BG32" t="s">
        <v>74</v>
      </c>
      <c r="BH32" t="s">
        <v>74</v>
      </c>
      <c r="BI32">
        <v>2</v>
      </c>
      <c r="BJ32" t="s">
        <v>228</v>
      </c>
      <c r="BK32" t="s">
        <v>512</v>
      </c>
      <c r="BL32" t="s">
        <v>228</v>
      </c>
      <c r="BM32" t="s">
        <v>611</v>
      </c>
      <c r="BN32" t="s">
        <v>74</v>
      </c>
      <c r="BO32" t="s">
        <v>74</v>
      </c>
      <c r="BP32" t="s">
        <v>74</v>
      </c>
      <c r="BQ32" t="s">
        <v>74</v>
      </c>
      <c r="BR32" t="s">
        <v>104</v>
      </c>
      <c r="BS32" t="s">
        <v>633</v>
      </c>
      <c r="BT32" t="str">
        <f>HYPERLINK("https%3A%2F%2Fwww.webofscience.com%2Fwos%2Fwoscc%2Ffull-record%2FWOS:001352764200037","View Full Record in Web of Science")</f>
        <v>View Full Record in Web of Science</v>
      </c>
    </row>
    <row r="33" spans="1:72" x14ac:dyDescent="0.25">
      <c r="A33" t="s">
        <v>72</v>
      </c>
      <c r="B33" t="s">
        <v>634</v>
      </c>
      <c r="C33" t="s">
        <v>74</v>
      </c>
      <c r="D33" t="s">
        <v>74</v>
      </c>
      <c r="E33" t="s">
        <v>74</v>
      </c>
      <c r="F33" t="s">
        <v>635</v>
      </c>
      <c r="G33" t="s">
        <v>74</v>
      </c>
      <c r="H33" t="s">
        <v>74</v>
      </c>
      <c r="I33" t="s">
        <v>636</v>
      </c>
      <c r="J33" t="s">
        <v>637</v>
      </c>
      <c r="K33" t="s">
        <v>74</v>
      </c>
      <c r="L33" t="s">
        <v>74</v>
      </c>
      <c r="M33" t="s">
        <v>78</v>
      </c>
      <c r="N33" t="s">
        <v>79</v>
      </c>
      <c r="O33" t="s">
        <v>74</v>
      </c>
      <c r="P33" t="s">
        <v>74</v>
      </c>
      <c r="Q33" t="s">
        <v>74</v>
      </c>
      <c r="R33" t="s">
        <v>74</v>
      </c>
      <c r="S33" t="s">
        <v>74</v>
      </c>
      <c r="T33" t="s">
        <v>638</v>
      </c>
      <c r="U33" t="s">
        <v>639</v>
      </c>
      <c r="V33" t="s">
        <v>640</v>
      </c>
      <c r="W33" t="s">
        <v>641</v>
      </c>
      <c r="X33" t="s">
        <v>642</v>
      </c>
      <c r="Y33" t="s">
        <v>643</v>
      </c>
      <c r="Z33" t="s">
        <v>86</v>
      </c>
      <c r="AA33" t="s">
        <v>644</v>
      </c>
      <c r="AB33" t="s">
        <v>645</v>
      </c>
      <c r="AC33" t="s">
        <v>646</v>
      </c>
      <c r="AD33" t="s">
        <v>647</v>
      </c>
      <c r="AE33" t="s">
        <v>648</v>
      </c>
      <c r="AF33" t="s">
        <v>74</v>
      </c>
      <c r="AG33">
        <v>48</v>
      </c>
      <c r="AH33">
        <v>7</v>
      </c>
      <c r="AI33">
        <v>7</v>
      </c>
      <c r="AJ33">
        <v>1</v>
      </c>
      <c r="AK33">
        <v>3</v>
      </c>
      <c r="AL33" t="s">
        <v>649</v>
      </c>
      <c r="AM33" t="s">
        <v>486</v>
      </c>
      <c r="AN33" t="s">
        <v>650</v>
      </c>
      <c r="AO33" t="s">
        <v>651</v>
      </c>
      <c r="AP33" t="s">
        <v>652</v>
      </c>
      <c r="AQ33" t="s">
        <v>74</v>
      </c>
      <c r="AR33" t="s">
        <v>653</v>
      </c>
      <c r="AS33" t="s">
        <v>654</v>
      </c>
      <c r="AT33" t="s">
        <v>529</v>
      </c>
      <c r="AU33">
        <v>2024</v>
      </c>
      <c r="AV33">
        <v>210</v>
      </c>
      <c r="AW33">
        <v>5</v>
      </c>
      <c r="AX33" t="s">
        <v>74</v>
      </c>
      <c r="AY33" t="s">
        <v>74</v>
      </c>
      <c r="AZ33" t="s">
        <v>74</v>
      </c>
      <c r="BA33" t="s">
        <v>74</v>
      </c>
      <c r="BB33">
        <v>648</v>
      </c>
      <c r="BC33">
        <v>661</v>
      </c>
      <c r="BD33" t="s">
        <v>74</v>
      </c>
      <c r="BE33" t="s">
        <v>655</v>
      </c>
      <c r="BF33" t="str">
        <f>HYPERLINK("http://dx.doi.org/10.1164/rccm.202307-1289OC","http://dx.doi.org/10.1164/rccm.202307-1289OC")</f>
        <v>http://dx.doi.org/10.1164/rccm.202307-1289OC</v>
      </c>
      <c r="BG33" t="s">
        <v>74</v>
      </c>
      <c r="BH33" t="s">
        <v>74</v>
      </c>
      <c r="BI33">
        <v>14</v>
      </c>
      <c r="BJ33" t="s">
        <v>341</v>
      </c>
      <c r="BK33" t="s">
        <v>101</v>
      </c>
      <c r="BL33" t="s">
        <v>342</v>
      </c>
      <c r="BM33" t="s">
        <v>656</v>
      </c>
      <c r="BN33">
        <v>38626313</v>
      </c>
      <c r="BO33" t="s">
        <v>74</v>
      </c>
      <c r="BP33" t="s">
        <v>74</v>
      </c>
      <c r="BQ33" t="s">
        <v>74</v>
      </c>
      <c r="BR33" t="s">
        <v>104</v>
      </c>
      <c r="BS33" t="s">
        <v>657</v>
      </c>
      <c r="BT33" t="str">
        <f>HYPERLINK("https%3A%2F%2Fwww.webofscience.com%2Fwos%2Fwoscc%2Ffull-record%2FWOS:001412890800016","View Full Record in Web of Science")</f>
        <v>View Full Record in Web of Science</v>
      </c>
    </row>
    <row r="34" spans="1:72" x14ac:dyDescent="0.25">
      <c r="A34" t="s">
        <v>72</v>
      </c>
      <c r="B34" t="s">
        <v>658</v>
      </c>
      <c r="C34" t="s">
        <v>74</v>
      </c>
      <c r="D34" t="s">
        <v>74</v>
      </c>
      <c r="E34" t="s">
        <v>74</v>
      </c>
      <c r="F34" t="s">
        <v>659</v>
      </c>
      <c r="G34" t="s">
        <v>74</v>
      </c>
      <c r="H34" t="s">
        <v>74</v>
      </c>
      <c r="I34" t="s">
        <v>660</v>
      </c>
      <c r="J34" t="s">
        <v>216</v>
      </c>
      <c r="K34" t="s">
        <v>74</v>
      </c>
      <c r="L34" t="s">
        <v>74</v>
      </c>
      <c r="M34" t="s">
        <v>78</v>
      </c>
      <c r="N34" t="s">
        <v>52</v>
      </c>
      <c r="O34" t="s">
        <v>502</v>
      </c>
      <c r="P34" t="s">
        <v>503</v>
      </c>
      <c r="Q34" t="s">
        <v>504</v>
      </c>
      <c r="R34" t="s">
        <v>505</v>
      </c>
      <c r="S34" t="s">
        <v>74</v>
      </c>
      <c r="T34" t="s">
        <v>74</v>
      </c>
      <c r="U34" t="s">
        <v>74</v>
      </c>
      <c r="V34" t="s">
        <v>74</v>
      </c>
      <c r="W34" t="s">
        <v>661</v>
      </c>
      <c r="X34" t="s">
        <v>662</v>
      </c>
      <c r="Y34" t="s">
        <v>663</v>
      </c>
      <c r="Z34" t="s">
        <v>664</v>
      </c>
      <c r="AA34" t="s">
        <v>665</v>
      </c>
      <c r="AB34" t="s">
        <v>74</v>
      </c>
      <c r="AC34" t="s">
        <v>74</v>
      </c>
      <c r="AD34" t="s">
        <v>74</v>
      </c>
      <c r="AE34" t="s">
        <v>74</v>
      </c>
      <c r="AF34" t="s">
        <v>74</v>
      </c>
      <c r="AG34">
        <v>0</v>
      </c>
      <c r="AH34">
        <v>0</v>
      </c>
      <c r="AI34">
        <v>0</v>
      </c>
      <c r="AJ34">
        <v>0</v>
      </c>
      <c r="AK34">
        <v>0</v>
      </c>
      <c r="AL34" t="s">
        <v>219</v>
      </c>
      <c r="AM34" t="s">
        <v>220</v>
      </c>
      <c r="AN34" t="s">
        <v>221</v>
      </c>
      <c r="AO34" t="s">
        <v>222</v>
      </c>
      <c r="AP34" t="s">
        <v>223</v>
      </c>
      <c r="AQ34" t="s">
        <v>74</v>
      </c>
      <c r="AR34" t="s">
        <v>224</v>
      </c>
      <c r="AS34" t="s">
        <v>225</v>
      </c>
      <c r="AT34" t="s">
        <v>492</v>
      </c>
      <c r="AU34">
        <v>2024</v>
      </c>
      <c r="AV34">
        <v>64</v>
      </c>
      <c r="AW34" t="s">
        <v>74</v>
      </c>
      <c r="AX34" t="s">
        <v>74</v>
      </c>
      <c r="AY34">
        <v>68</v>
      </c>
      <c r="AZ34" t="s">
        <v>74</v>
      </c>
      <c r="BA34" t="s">
        <v>74</v>
      </c>
      <c r="BB34" t="s">
        <v>74</v>
      </c>
      <c r="BC34" t="s">
        <v>74</v>
      </c>
      <c r="BD34" t="s">
        <v>666</v>
      </c>
      <c r="BE34" t="s">
        <v>667</v>
      </c>
      <c r="BF34" t="str">
        <f>HYPERLINK("http://dx.doi.org/10.1183/13993003.congress-2024.PA1604","http://dx.doi.org/10.1183/13993003.congress-2024.PA1604")</f>
        <v>http://dx.doi.org/10.1183/13993003.congress-2024.PA1604</v>
      </c>
      <c r="BG34" t="s">
        <v>74</v>
      </c>
      <c r="BH34" t="s">
        <v>74</v>
      </c>
      <c r="BI34">
        <v>3</v>
      </c>
      <c r="BJ34" t="s">
        <v>228</v>
      </c>
      <c r="BK34" t="s">
        <v>512</v>
      </c>
      <c r="BL34" t="s">
        <v>228</v>
      </c>
      <c r="BM34" t="s">
        <v>668</v>
      </c>
      <c r="BN34" t="s">
        <v>74</v>
      </c>
      <c r="BO34" t="s">
        <v>74</v>
      </c>
      <c r="BP34" t="s">
        <v>74</v>
      </c>
      <c r="BQ34" t="s">
        <v>74</v>
      </c>
      <c r="BR34" t="s">
        <v>104</v>
      </c>
      <c r="BS34" t="s">
        <v>669</v>
      </c>
      <c r="BT34" t="str">
        <f>HYPERLINK("https%3A%2F%2Fwww.webofscience.com%2Fwos%2Fwoscc%2Ffull-record%2FWOS:001356673700060","View Full Record in Web of Science")</f>
        <v>View Full Record in Web of Science</v>
      </c>
    </row>
    <row r="35" spans="1:72" x14ac:dyDescent="0.25">
      <c r="A35" t="s">
        <v>72</v>
      </c>
      <c r="B35" t="s">
        <v>670</v>
      </c>
      <c r="C35" t="s">
        <v>74</v>
      </c>
      <c r="D35" t="s">
        <v>74</v>
      </c>
      <c r="E35" t="s">
        <v>74</v>
      </c>
      <c r="F35" t="s">
        <v>671</v>
      </c>
      <c r="G35" t="s">
        <v>74</v>
      </c>
      <c r="H35" t="s">
        <v>74</v>
      </c>
      <c r="I35" t="s">
        <v>672</v>
      </c>
      <c r="J35" t="s">
        <v>216</v>
      </c>
      <c r="K35" t="s">
        <v>74</v>
      </c>
      <c r="L35" t="s">
        <v>74</v>
      </c>
      <c r="M35" t="s">
        <v>78</v>
      </c>
      <c r="N35" t="s">
        <v>52</v>
      </c>
      <c r="O35" t="s">
        <v>74</v>
      </c>
      <c r="P35" t="s">
        <v>74</v>
      </c>
      <c r="Q35" t="s">
        <v>74</v>
      </c>
      <c r="R35" t="s">
        <v>74</v>
      </c>
      <c r="S35" t="s">
        <v>74</v>
      </c>
      <c r="T35" t="s">
        <v>74</v>
      </c>
      <c r="U35" t="s">
        <v>74</v>
      </c>
      <c r="V35" t="s">
        <v>74</v>
      </c>
      <c r="W35" t="s">
        <v>673</v>
      </c>
      <c r="X35" t="s">
        <v>674</v>
      </c>
      <c r="Y35" t="s">
        <v>675</v>
      </c>
      <c r="Z35" t="s">
        <v>676</v>
      </c>
      <c r="AA35" t="s">
        <v>677</v>
      </c>
      <c r="AB35" t="s">
        <v>678</v>
      </c>
      <c r="AC35" t="s">
        <v>74</v>
      </c>
      <c r="AD35" t="s">
        <v>74</v>
      </c>
      <c r="AE35" t="s">
        <v>74</v>
      </c>
      <c r="AF35" t="s">
        <v>74</v>
      </c>
      <c r="AG35">
        <v>0</v>
      </c>
      <c r="AH35">
        <v>0</v>
      </c>
      <c r="AI35">
        <v>0</v>
      </c>
      <c r="AJ35">
        <v>0</v>
      </c>
      <c r="AK35">
        <v>0</v>
      </c>
      <c r="AL35" t="s">
        <v>219</v>
      </c>
      <c r="AM35" t="s">
        <v>220</v>
      </c>
      <c r="AN35" t="s">
        <v>221</v>
      </c>
      <c r="AO35" t="s">
        <v>222</v>
      </c>
      <c r="AP35" t="s">
        <v>223</v>
      </c>
      <c r="AQ35" t="s">
        <v>74</v>
      </c>
      <c r="AR35" t="s">
        <v>224</v>
      </c>
      <c r="AS35" t="s">
        <v>225</v>
      </c>
      <c r="AT35" t="s">
        <v>492</v>
      </c>
      <c r="AU35">
        <v>2024</v>
      </c>
      <c r="AV35">
        <v>64</v>
      </c>
      <c r="AW35" t="s">
        <v>74</v>
      </c>
      <c r="AX35" t="s">
        <v>74</v>
      </c>
      <c r="AY35">
        <v>68</v>
      </c>
      <c r="AZ35" t="s">
        <v>74</v>
      </c>
      <c r="BA35" t="s">
        <v>74</v>
      </c>
      <c r="BB35" t="s">
        <v>74</v>
      </c>
      <c r="BC35" t="s">
        <v>74</v>
      </c>
      <c r="BD35" t="s">
        <v>679</v>
      </c>
      <c r="BE35" t="s">
        <v>680</v>
      </c>
      <c r="BF35" t="str">
        <f>HYPERLINK("http://dx.doi.org/10.1183/13993003.congress-2024.PA3430","http://dx.doi.org/10.1183/13993003.congress-2024.PA3430")</f>
        <v>http://dx.doi.org/10.1183/13993003.congress-2024.PA3430</v>
      </c>
      <c r="BG35" t="s">
        <v>74</v>
      </c>
      <c r="BH35" t="s">
        <v>74</v>
      </c>
      <c r="BI35">
        <v>3</v>
      </c>
      <c r="BJ35" t="s">
        <v>228</v>
      </c>
      <c r="BK35" t="s">
        <v>101</v>
      </c>
      <c r="BL35" t="s">
        <v>228</v>
      </c>
      <c r="BM35" t="s">
        <v>681</v>
      </c>
      <c r="BN35" t="s">
        <v>74</v>
      </c>
      <c r="BO35" t="s">
        <v>74</v>
      </c>
      <c r="BP35" t="s">
        <v>74</v>
      </c>
      <c r="BQ35" t="s">
        <v>74</v>
      </c>
      <c r="BR35" t="s">
        <v>104</v>
      </c>
      <c r="BS35" t="s">
        <v>682</v>
      </c>
      <c r="BT35" t="str">
        <f>HYPERLINK("https%3A%2F%2Fwww.webofscience.com%2Fwos%2Fwoscc%2Ffull-record%2FWOS:001356314100082","View Full Record in Web of Science")</f>
        <v>View Full Record in Web of Science</v>
      </c>
    </row>
    <row r="36" spans="1:72" x14ac:dyDescent="0.25">
      <c r="A36" t="s">
        <v>72</v>
      </c>
      <c r="B36" t="s">
        <v>683</v>
      </c>
      <c r="C36" t="s">
        <v>74</v>
      </c>
      <c r="D36" t="s">
        <v>74</v>
      </c>
      <c r="E36" t="s">
        <v>74</v>
      </c>
      <c r="F36" t="s">
        <v>684</v>
      </c>
      <c r="G36" t="s">
        <v>74</v>
      </c>
      <c r="H36" t="s">
        <v>74</v>
      </c>
      <c r="I36" t="s">
        <v>685</v>
      </c>
      <c r="J36" t="s">
        <v>216</v>
      </c>
      <c r="K36" t="s">
        <v>74</v>
      </c>
      <c r="L36" t="s">
        <v>74</v>
      </c>
      <c r="M36" t="s">
        <v>78</v>
      </c>
      <c r="N36" t="s">
        <v>52</v>
      </c>
      <c r="O36" t="s">
        <v>74</v>
      </c>
      <c r="P36" t="s">
        <v>74</v>
      </c>
      <c r="Q36" t="s">
        <v>74</v>
      </c>
      <c r="R36" t="s">
        <v>74</v>
      </c>
      <c r="S36" t="s">
        <v>74</v>
      </c>
      <c r="T36" t="s">
        <v>74</v>
      </c>
      <c r="U36" t="s">
        <v>74</v>
      </c>
      <c r="V36" t="s">
        <v>74</v>
      </c>
      <c r="W36" t="s">
        <v>686</v>
      </c>
      <c r="X36" t="s">
        <v>687</v>
      </c>
      <c r="Y36" t="s">
        <v>74</v>
      </c>
      <c r="Z36" t="s">
        <v>688</v>
      </c>
      <c r="AA36" t="s">
        <v>689</v>
      </c>
      <c r="AB36" t="s">
        <v>74</v>
      </c>
      <c r="AC36" t="s">
        <v>74</v>
      </c>
      <c r="AD36" t="s">
        <v>74</v>
      </c>
      <c r="AE36" t="s">
        <v>74</v>
      </c>
      <c r="AF36" t="s">
        <v>74</v>
      </c>
      <c r="AG36">
        <v>0</v>
      </c>
      <c r="AH36">
        <v>0</v>
      </c>
      <c r="AI36">
        <v>0</v>
      </c>
      <c r="AJ36">
        <v>0</v>
      </c>
      <c r="AK36">
        <v>0</v>
      </c>
      <c r="AL36" t="s">
        <v>219</v>
      </c>
      <c r="AM36" t="s">
        <v>220</v>
      </c>
      <c r="AN36" t="s">
        <v>221</v>
      </c>
      <c r="AO36" t="s">
        <v>222</v>
      </c>
      <c r="AP36" t="s">
        <v>223</v>
      </c>
      <c r="AQ36" t="s">
        <v>74</v>
      </c>
      <c r="AR36" t="s">
        <v>224</v>
      </c>
      <c r="AS36" t="s">
        <v>225</v>
      </c>
      <c r="AT36" t="s">
        <v>492</v>
      </c>
      <c r="AU36">
        <v>2024</v>
      </c>
      <c r="AV36">
        <v>64</v>
      </c>
      <c r="AW36" t="s">
        <v>74</v>
      </c>
      <c r="AX36" t="s">
        <v>74</v>
      </c>
      <c r="AY36">
        <v>68</v>
      </c>
      <c r="AZ36" t="s">
        <v>74</v>
      </c>
      <c r="BA36" t="s">
        <v>74</v>
      </c>
      <c r="BB36" t="s">
        <v>74</v>
      </c>
      <c r="BC36" t="s">
        <v>74</v>
      </c>
      <c r="BD36" t="s">
        <v>690</v>
      </c>
      <c r="BE36" t="s">
        <v>691</v>
      </c>
      <c r="BF36" t="str">
        <f>HYPERLINK("http://dx.doi.org/10.1183/13993003.congress-2024.PA3417","http://dx.doi.org/10.1183/13993003.congress-2024.PA3417")</f>
        <v>http://dx.doi.org/10.1183/13993003.congress-2024.PA3417</v>
      </c>
      <c r="BG36" t="s">
        <v>74</v>
      </c>
      <c r="BH36" t="s">
        <v>74</v>
      </c>
      <c r="BI36">
        <v>3</v>
      </c>
      <c r="BJ36" t="s">
        <v>228</v>
      </c>
      <c r="BK36" t="s">
        <v>101</v>
      </c>
      <c r="BL36" t="s">
        <v>228</v>
      </c>
      <c r="BM36" t="s">
        <v>681</v>
      </c>
      <c r="BN36" t="s">
        <v>74</v>
      </c>
      <c r="BO36" t="s">
        <v>74</v>
      </c>
      <c r="BP36" t="s">
        <v>74</v>
      </c>
      <c r="BQ36" t="s">
        <v>74</v>
      </c>
      <c r="BR36" t="s">
        <v>104</v>
      </c>
      <c r="BS36" t="s">
        <v>692</v>
      </c>
      <c r="BT36" t="str">
        <f>HYPERLINK("https%3A%2F%2Fwww.webofscience.com%2Fwos%2Fwoscc%2Ffull-record%2FWOS:001356314100094","View Full Record in Web of Science")</f>
        <v>View Full Record in Web of Science</v>
      </c>
    </row>
    <row r="37" spans="1:72" x14ac:dyDescent="0.25">
      <c r="A37" t="s">
        <v>72</v>
      </c>
      <c r="B37" t="s">
        <v>693</v>
      </c>
      <c r="C37" t="s">
        <v>74</v>
      </c>
      <c r="D37" t="s">
        <v>74</v>
      </c>
      <c r="E37" t="s">
        <v>74</v>
      </c>
      <c r="F37" t="s">
        <v>694</v>
      </c>
      <c r="G37" t="s">
        <v>74</v>
      </c>
      <c r="H37" t="s">
        <v>74</v>
      </c>
      <c r="I37" t="s">
        <v>695</v>
      </c>
      <c r="J37" t="s">
        <v>216</v>
      </c>
      <c r="K37" t="s">
        <v>74</v>
      </c>
      <c r="L37" t="s">
        <v>74</v>
      </c>
      <c r="M37" t="s">
        <v>78</v>
      </c>
      <c r="N37" t="s">
        <v>79</v>
      </c>
      <c r="O37" t="s">
        <v>74</v>
      </c>
      <c r="P37" t="s">
        <v>74</v>
      </c>
      <c r="Q37" t="s">
        <v>74</v>
      </c>
      <c r="R37" t="s">
        <v>74</v>
      </c>
      <c r="S37" t="s">
        <v>74</v>
      </c>
      <c r="T37" t="s">
        <v>74</v>
      </c>
      <c r="U37" t="s">
        <v>696</v>
      </c>
      <c r="V37" t="s">
        <v>697</v>
      </c>
      <c r="W37" t="s">
        <v>698</v>
      </c>
      <c r="X37" t="s">
        <v>699</v>
      </c>
      <c r="Y37" t="s">
        <v>700</v>
      </c>
      <c r="Z37" t="s">
        <v>701</v>
      </c>
      <c r="AA37" t="s">
        <v>702</v>
      </c>
      <c r="AB37" t="s">
        <v>703</v>
      </c>
      <c r="AC37" t="s">
        <v>704</v>
      </c>
      <c r="AD37" t="s">
        <v>705</v>
      </c>
      <c r="AE37" t="s">
        <v>706</v>
      </c>
      <c r="AF37" t="s">
        <v>74</v>
      </c>
      <c r="AG37">
        <v>148</v>
      </c>
      <c r="AH37">
        <v>5</v>
      </c>
      <c r="AI37">
        <v>5</v>
      </c>
      <c r="AJ37">
        <v>11</v>
      </c>
      <c r="AK37">
        <v>14</v>
      </c>
      <c r="AL37" t="s">
        <v>219</v>
      </c>
      <c r="AM37" t="s">
        <v>220</v>
      </c>
      <c r="AN37" t="s">
        <v>221</v>
      </c>
      <c r="AO37" t="s">
        <v>222</v>
      </c>
      <c r="AP37" t="s">
        <v>223</v>
      </c>
      <c r="AQ37" t="s">
        <v>74</v>
      </c>
      <c r="AR37" t="s">
        <v>224</v>
      </c>
      <c r="AS37" t="s">
        <v>225</v>
      </c>
      <c r="AT37" t="s">
        <v>529</v>
      </c>
      <c r="AU37">
        <v>2024</v>
      </c>
      <c r="AV37">
        <v>64</v>
      </c>
      <c r="AW37">
        <v>3</v>
      </c>
      <c r="AX37" t="s">
        <v>74</v>
      </c>
      <c r="AY37" t="s">
        <v>74</v>
      </c>
      <c r="AZ37" t="s">
        <v>74</v>
      </c>
      <c r="BA37" t="s">
        <v>74</v>
      </c>
      <c r="BB37" t="s">
        <v>74</v>
      </c>
      <c r="BC37" t="s">
        <v>74</v>
      </c>
      <c r="BD37">
        <v>2301633</v>
      </c>
      <c r="BE37" t="s">
        <v>707</v>
      </c>
      <c r="BF37" t="str">
        <f>HYPERLINK("http://dx.doi.org/10.1183/13993003.01633-2023","http://dx.doi.org/10.1183/13993003.01633-2023")</f>
        <v>http://dx.doi.org/10.1183/13993003.01633-2023</v>
      </c>
      <c r="BG37" t="s">
        <v>74</v>
      </c>
      <c r="BH37" t="s">
        <v>74</v>
      </c>
      <c r="BI37">
        <v>18</v>
      </c>
      <c r="BJ37" t="s">
        <v>228</v>
      </c>
      <c r="BK37" t="s">
        <v>101</v>
      </c>
      <c r="BL37" t="s">
        <v>228</v>
      </c>
      <c r="BM37" t="s">
        <v>530</v>
      </c>
      <c r="BN37">
        <v>38964779</v>
      </c>
      <c r="BO37" t="s">
        <v>74</v>
      </c>
      <c r="BP37" t="s">
        <v>74</v>
      </c>
      <c r="BQ37" t="s">
        <v>74</v>
      </c>
      <c r="BR37" t="s">
        <v>104</v>
      </c>
      <c r="BS37" t="s">
        <v>708</v>
      </c>
      <c r="BT37" t="str">
        <f>HYPERLINK("https%3A%2F%2Fwww.webofscience.com%2Fwos%2Fwoscc%2Ffull-record%2FWOS:001322513500008","View Full Record in Web of Science")</f>
        <v>View Full Record in Web of Science</v>
      </c>
    </row>
    <row r="38" spans="1:72" x14ac:dyDescent="0.25">
      <c r="A38" t="s">
        <v>72</v>
      </c>
      <c r="B38" t="s">
        <v>709</v>
      </c>
      <c r="C38" t="s">
        <v>74</v>
      </c>
      <c r="D38" t="s">
        <v>74</v>
      </c>
      <c r="E38" t="s">
        <v>74</v>
      </c>
      <c r="F38" t="s">
        <v>710</v>
      </c>
      <c r="G38" t="s">
        <v>74</v>
      </c>
      <c r="H38" t="s">
        <v>74</v>
      </c>
      <c r="I38" t="s">
        <v>711</v>
      </c>
      <c r="J38" t="s">
        <v>712</v>
      </c>
      <c r="K38" t="s">
        <v>74</v>
      </c>
      <c r="L38" t="s">
        <v>74</v>
      </c>
      <c r="M38" t="s">
        <v>78</v>
      </c>
      <c r="N38" t="s">
        <v>299</v>
      </c>
      <c r="O38" t="s">
        <v>74</v>
      </c>
      <c r="P38" t="s">
        <v>74</v>
      </c>
      <c r="Q38" t="s">
        <v>74</v>
      </c>
      <c r="R38" t="s">
        <v>74</v>
      </c>
      <c r="S38" t="s">
        <v>74</v>
      </c>
      <c r="T38" t="s">
        <v>713</v>
      </c>
      <c r="U38" t="s">
        <v>714</v>
      </c>
      <c r="V38" t="s">
        <v>715</v>
      </c>
      <c r="W38" t="s">
        <v>716</v>
      </c>
      <c r="X38" t="s">
        <v>717</v>
      </c>
      <c r="Y38" t="s">
        <v>718</v>
      </c>
      <c r="Z38" t="s">
        <v>719</v>
      </c>
      <c r="AA38" t="s">
        <v>720</v>
      </c>
      <c r="AB38" t="s">
        <v>257</v>
      </c>
      <c r="AC38" t="s">
        <v>74</v>
      </c>
      <c r="AD38" t="s">
        <v>74</v>
      </c>
      <c r="AE38" t="s">
        <v>74</v>
      </c>
      <c r="AF38" t="s">
        <v>74</v>
      </c>
      <c r="AG38">
        <v>46</v>
      </c>
      <c r="AH38">
        <v>3</v>
      </c>
      <c r="AI38">
        <v>3</v>
      </c>
      <c r="AJ38">
        <v>1</v>
      </c>
      <c r="AK38">
        <v>1</v>
      </c>
      <c r="AL38" t="s">
        <v>649</v>
      </c>
      <c r="AM38" t="s">
        <v>486</v>
      </c>
      <c r="AN38" t="s">
        <v>650</v>
      </c>
      <c r="AO38" t="s">
        <v>721</v>
      </c>
      <c r="AP38" t="s">
        <v>722</v>
      </c>
      <c r="AQ38" t="s">
        <v>74</v>
      </c>
      <c r="AR38" t="s">
        <v>723</v>
      </c>
      <c r="AS38" t="s">
        <v>724</v>
      </c>
      <c r="AT38" t="s">
        <v>725</v>
      </c>
      <c r="AU38">
        <v>2024</v>
      </c>
      <c r="AV38">
        <v>21</v>
      </c>
      <c r="AW38">
        <v>8</v>
      </c>
      <c r="AX38" t="s">
        <v>74</v>
      </c>
      <c r="AY38" t="s">
        <v>74</v>
      </c>
      <c r="AZ38" t="s">
        <v>74</v>
      </c>
      <c r="BA38" t="s">
        <v>74</v>
      </c>
      <c r="BB38">
        <v>1194</v>
      </c>
      <c r="BC38">
        <v>1203</v>
      </c>
      <c r="BD38" t="s">
        <v>74</v>
      </c>
      <c r="BE38" t="s">
        <v>726</v>
      </c>
      <c r="BF38" t="str">
        <f>HYPERLINK("http://dx.doi.org/10.1513/AnnalsATS.202311-942OC","http://dx.doi.org/10.1513/AnnalsATS.202311-942OC")</f>
        <v>http://dx.doi.org/10.1513/AnnalsATS.202311-942OC</v>
      </c>
      <c r="BG38" t="s">
        <v>74</v>
      </c>
      <c r="BH38" t="s">
        <v>74</v>
      </c>
      <c r="BI38">
        <v>10</v>
      </c>
      <c r="BJ38" t="s">
        <v>228</v>
      </c>
      <c r="BK38" t="s">
        <v>101</v>
      </c>
      <c r="BL38" t="s">
        <v>228</v>
      </c>
      <c r="BM38" t="s">
        <v>727</v>
      </c>
      <c r="BN38">
        <v>38820258</v>
      </c>
      <c r="BO38" t="s">
        <v>74</v>
      </c>
      <c r="BP38" t="s">
        <v>74</v>
      </c>
      <c r="BQ38" t="s">
        <v>74</v>
      </c>
      <c r="BR38" t="s">
        <v>104</v>
      </c>
      <c r="BS38" t="s">
        <v>728</v>
      </c>
      <c r="BT38" t="str">
        <f>HYPERLINK("https%3A%2F%2Fwww.webofscience.com%2Fwos%2Fwoscc%2Ffull-record%2FWOS:001293697100011","View Full Record in Web of Science")</f>
        <v>View Full Record in Web of Science</v>
      </c>
    </row>
    <row r="39" spans="1:72" x14ac:dyDescent="0.25">
      <c r="A39" t="s">
        <v>72</v>
      </c>
      <c r="B39" t="s">
        <v>729</v>
      </c>
      <c r="C39" t="s">
        <v>74</v>
      </c>
      <c r="D39" t="s">
        <v>74</v>
      </c>
      <c r="E39" t="s">
        <v>74</v>
      </c>
      <c r="F39" t="s">
        <v>730</v>
      </c>
      <c r="G39" t="s">
        <v>74</v>
      </c>
      <c r="H39" t="s">
        <v>74</v>
      </c>
      <c r="I39" t="s">
        <v>731</v>
      </c>
      <c r="J39" t="s">
        <v>216</v>
      </c>
      <c r="K39" t="s">
        <v>74</v>
      </c>
      <c r="L39" t="s">
        <v>74</v>
      </c>
      <c r="M39" t="s">
        <v>78</v>
      </c>
      <c r="N39" t="s">
        <v>460</v>
      </c>
      <c r="O39" t="s">
        <v>74</v>
      </c>
      <c r="P39" t="s">
        <v>74</v>
      </c>
      <c r="Q39" t="s">
        <v>74</v>
      </c>
      <c r="R39" t="s">
        <v>74</v>
      </c>
      <c r="S39" t="s">
        <v>74</v>
      </c>
      <c r="T39" t="s">
        <v>74</v>
      </c>
      <c r="U39" t="s">
        <v>732</v>
      </c>
      <c r="V39" t="s">
        <v>74</v>
      </c>
      <c r="W39" t="s">
        <v>733</v>
      </c>
      <c r="X39" t="s">
        <v>734</v>
      </c>
      <c r="Y39" t="s">
        <v>735</v>
      </c>
      <c r="Z39" t="s">
        <v>736</v>
      </c>
      <c r="AA39" t="s">
        <v>737</v>
      </c>
      <c r="AB39" t="s">
        <v>738</v>
      </c>
      <c r="AC39" t="s">
        <v>739</v>
      </c>
      <c r="AD39" t="s">
        <v>740</v>
      </c>
      <c r="AE39" t="s">
        <v>741</v>
      </c>
      <c r="AF39" t="s">
        <v>74</v>
      </c>
      <c r="AG39">
        <v>16</v>
      </c>
      <c r="AH39">
        <v>3</v>
      </c>
      <c r="AI39">
        <v>3</v>
      </c>
      <c r="AJ39">
        <v>0</v>
      </c>
      <c r="AK39">
        <v>0</v>
      </c>
      <c r="AL39" t="s">
        <v>219</v>
      </c>
      <c r="AM39" t="s">
        <v>220</v>
      </c>
      <c r="AN39" t="s">
        <v>221</v>
      </c>
      <c r="AO39" t="s">
        <v>222</v>
      </c>
      <c r="AP39" t="s">
        <v>223</v>
      </c>
      <c r="AQ39" t="s">
        <v>74</v>
      </c>
      <c r="AR39" t="s">
        <v>224</v>
      </c>
      <c r="AS39" t="s">
        <v>225</v>
      </c>
      <c r="AT39" t="s">
        <v>742</v>
      </c>
      <c r="AU39">
        <v>2024</v>
      </c>
      <c r="AV39">
        <v>64</v>
      </c>
      <c r="AW39">
        <v>2</v>
      </c>
      <c r="AX39" t="s">
        <v>74</v>
      </c>
      <c r="AY39" t="s">
        <v>74</v>
      </c>
      <c r="AZ39" t="s">
        <v>74</v>
      </c>
      <c r="BA39" t="s">
        <v>74</v>
      </c>
      <c r="BB39" t="s">
        <v>74</v>
      </c>
      <c r="BC39" t="s">
        <v>74</v>
      </c>
      <c r="BD39">
        <v>2400967</v>
      </c>
      <c r="BE39" t="s">
        <v>743</v>
      </c>
      <c r="BF39" t="str">
        <f>HYPERLINK("http://dx.doi.org/10.1183/13993003.00967-2024","http://dx.doi.org/10.1183/13993003.00967-2024")</f>
        <v>http://dx.doi.org/10.1183/13993003.00967-2024</v>
      </c>
      <c r="BG39" t="s">
        <v>74</v>
      </c>
      <c r="BH39" t="s">
        <v>74</v>
      </c>
      <c r="BI39">
        <v>5</v>
      </c>
      <c r="BJ39" t="s">
        <v>228</v>
      </c>
      <c r="BK39" t="s">
        <v>101</v>
      </c>
      <c r="BL39" t="s">
        <v>228</v>
      </c>
      <c r="BM39" t="s">
        <v>744</v>
      </c>
      <c r="BN39">
        <v>38964777</v>
      </c>
      <c r="BO39" t="s">
        <v>246</v>
      </c>
      <c r="BP39" t="s">
        <v>74</v>
      </c>
      <c r="BQ39" t="s">
        <v>74</v>
      </c>
      <c r="BR39" t="s">
        <v>104</v>
      </c>
      <c r="BS39" t="s">
        <v>745</v>
      </c>
      <c r="BT39" t="str">
        <f>HYPERLINK("https%3A%2F%2Fwww.webofscience.com%2Fwos%2Fwoscc%2Ffull-record%2FWOS:001381674700006","View Full Record in Web of Science")</f>
        <v>View Full Record in Web of Science</v>
      </c>
    </row>
    <row r="40" spans="1:72" x14ac:dyDescent="0.25">
      <c r="A40" t="s">
        <v>72</v>
      </c>
      <c r="B40" t="s">
        <v>746</v>
      </c>
      <c r="C40" t="s">
        <v>74</v>
      </c>
      <c r="D40" t="s">
        <v>74</v>
      </c>
      <c r="E40" t="s">
        <v>74</v>
      </c>
      <c r="F40" t="s">
        <v>747</v>
      </c>
      <c r="G40" t="s">
        <v>74</v>
      </c>
      <c r="H40" t="s">
        <v>74</v>
      </c>
      <c r="I40" t="s">
        <v>748</v>
      </c>
      <c r="J40" t="s">
        <v>749</v>
      </c>
      <c r="K40" t="s">
        <v>74</v>
      </c>
      <c r="L40" t="s">
        <v>74</v>
      </c>
      <c r="M40" t="s">
        <v>78</v>
      </c>
      <c r="N40" t="s">
        <v>79</v>
      </c>
      <c r="O40" t="s">
        <v>74</v>
      </c>
      <c r="P40" t="s">
        <v>74</v>
      </c>
      <c r="Q40" t="s">
        <v>74</v>
      </c>
      <c r="R40" t="s">
        <v>74</v>
      </c>
      <c r="S40" t="s">
        <v>74</v>
      </c>
      <c r="T40" t="s">
        <v>750</v>
      </c>
      <c r="U40" t="s">
        <v>751</v>
      </c>
      <c r="V40" t="s">
        <v>752</v>
      </c>
      <c r="W40" t="s">
        <v>753</v>
      </c>
      <c r="X40" t="s">
        <v>754</v>
      </c>
      <c r="Y40" t="s">
        <v>755</v>
      </c>
      <c r="Z40" t="s">
        <v>756</v>
      </c>
      <c r="AA40" t="s">
        <v>757</v>
      </c>
      <c r="AB40" t="s">
        <v>758</v>
      </c>
      <c r="AC40" t="s">
        <v>759</v>
      </c>
      <c r="AD40" t="s">
        <v>760</v>
      </c>
      <c r="AE40" t="s">
        <v>761</v>
      </c>
      <c r="AF40" t="s">
        <v>74</v>
      </c>
      <c r="AG40">
        <v>52</v>
      </c>
      <c r="AH40">
        <v>1</v>
      </c>
      <c r="AI40">
        <v>1</v>
      </c>
      <c r="AJ40">
        <v>4</v>
      </c>
      <c r="AK40">
        <v>7</v>
      </c>
      <c r="AL40" t="s">
        <v>169</v>
      </c>
      <c r="AM40" t="s">
        <v>170</v>
      </c>
      <c r="AN40" t="s">
        <v>171</v>
      </c>
      <c r="AO40" t="s">
        <v>74</v>
      </c>
      <c r="AP40" t="s">
        <v>762</v>
      </c>
      <c r="AQ40" t="s">
        <v>74</v>
      </c>
      <c r="AR40" t="s">
        <v>763</v>
      </c>
      <c r="AS40" t="s">
        <v>764</v>
      </c>
      <c r="AT40" t="s">
        <v>765</v>
      </c>
      <c r="AU40">
        <v>2024</v>
      </c>
      <c r="AV40">
        <v>13</v>
      </c>
      <c r="AW40">
        <v>14</v>
      </c>
      <c r="AX40" t="s">
        <v>74</v>
      </c>
      <c r="AY40" t="s">
        <v>74</v>
      </c>
      <c r="AZ40" t="s">
        <v>74</v>
      </c>
      <c r="BA40" t="s">
        <v>74</v>
      </c>
      <c r="BB40" t="s">
        <v>74</v>
      </c>
      <c r="BC40" t="s">
        <v>74</v>
      </c>
      <c r="BD40" t="s">
        <v>766</v>
      </c>
      <c r="BE40" t="s">
        <v>767</v>
      </c>
      <c r="BF40" t="str">
        <f>HYPERLINK("http://dx.doi.org/10.1161/JAHA.124.034621","http://dx.doi.org/10.1161/JAHA.124.034621")</f>
        <v>http://dx.doi.org/10.1161/JAHA.124.034621</v>
      </c>
      <c r="BG40" t="s">
        <v>74</v>
      </c>
      <c r="BH40" t="s">
        <v>74</v>
      </c>
      <c r="BI40">
        <v>22</v>
      </c>
      <c r="BJ40" t="s">
        <v>132</v>
      </c>
      <c r="BK40" t="s">
        <v>101</v>
      </c>
      <c r="BL40" t="s">
        <v>133</v>
      </c>
      <c r="BM40" t="s">
        <v>768</v>
      </c>
      <c r="BN40">
        <v>38979789</v>
      </c>
      <c r="BO40" t="s">
        <v>103</v>
      </c>
      <c r="BP40" t="s">
        <v>74</v>
      </c>
      <c r="BQ40" t="s">
        <v>74</v>
      </c>
      <c r="BR40" t="s">
        <v>104</v>
      </c>
      <c r="BS40" t="s">
        <v>769</v>
      </c>
      <c r="BT40" t="str">
        <f>HYPERLINK("https%3A%2F%2Fwww.webofscience.com%2Fwos%2Fwoscc%2Ffull-record%2FWOS:001272458600019","View Full Record in Web of Science")</f>
        <v>View Full Record in Web of Science</v>
      </c>
    </row>
    <row r="41" spans="1:72" x14ac:dyDescent="0.25">
      <c r="A41" t="s">
        <v>72</v>
      </c>
      <c r="B41" t="s">
        <v>770</v>
      </c>
      <c r="C41" t="s">
        <v>74</v>
      </c>
      <c r="D41" t="s">
        <v>74</v>
      </c>
      <c r="E41" t="s">
        <v>74</v>
      </c>
      <c r="F41" t="s">
        <v>771</v>
      </c>
      <c r="G41" t="s">
        <v>74</v>
      </c>
      <c r="H41" t="s">
        <v>74</v>
      </c>
      <c r="I41" t="s">
        <v>772</v>
      </c>
      <c r="J41" t="s">
        <v>435</v>
      </c>
      <c r="K41" t="s">
        <v>74</v>
      </c>
      <c r="L41" t="s">
        <v>74</v>
      </c>
      <c r="M41" t="s">
        <v>78</v>
      </c>
      <c r="N41" t="s">
        <v>79</v>
      </c>
      <c r="O41" t="s">
        <v>74</v>
      </c>
      <c r="P41" t="s">
        <v>74</v>
      </c>
      <c r="Q41" t="s">
        <v>74</v>
      </c>
      <c r="R41" t="s">
        <v>74</v>
      </c>
      <c r="S41" t="s">
        <v>74</v>
      </c>
      <c r="T41" t="s">
        <v>773</v>
      </c>
      <c r="U41" t="s">
        <v>774</v>
      </c>
      <c r="V41" t="s">
        <v>775</v>
      </c>
      <c r="W41" t="s">
        <v>776</v>
      </c>
      <c r="X41" t="s">
        <v>777</v>
      </c>
      <c r="Y41" t="s">
        <v>778</v>
      </c>
      <c r="Z41" t="s">
        <v>779</v>
      </c>
      <c r="AA41" t="s">
        <v>780</v>
      </c>
      <c r="AB41" t="s">
        <v>781</v>
      </c>
      <c r="AC41" t="s">
        <v>782</v>
      </c>
      <c r="AD41" t="s">
        <v>783</v>
      </c>
      <c r="AE41" t="s">
        <v>784</v>
      </c>
      <c r="AF41" t="s">
        <v>74</v>
      </c>
      <c r="AG41">
        <v>41</v>
      </c>
      <c r="AH41">
        <v>0</v>
      </c>
      <c r="AI41">
        <v>0</v>
      </c>
      <c r="AJ41">
        <v>0</v>
      </c>
      <c r="AK41">
        <v>0</v>
      </c>
      <c r="AL41" t="s">
        <v>169</v>
      </c>
      <c r="AM41" t="s">
        <v>170</v>
      </c>
      <c r="AN41" t="s">
        <v>171</v>
      </c>
      <c r="AO41" t="s">
        <v>448</v>
      </c>
      <c r="AP41" t="s">
        <v>449</v>
      </c>
      <c r="AQ41" t="s">
        <v>74</v>
      </c>
      <c r="AR41" t="s">
        <v>450</v>
      </c>
      <c r="AS41" t="s">
        <v>451</v>
      </c>
      <c r="AT41" t="s">
        <v>785</v>
      </c>
      <c r="AU41">
        <v>2024</v>
      </c>
      <c r="AV41">
        <v>14</v>
      </c>
      <c r="AW41">
        <v>3</v>
      </c>
      <c r="AX41" t="s">
        <v>74</v>
      </c>
      <c r="AY41" t="s">
        <v>74</v>
      </c>
      <c r="AZ41" t="s">
        <v>74</v>
      </c>
      <c r="BA41" t="s">
        <v>74</v>
      </c>
      <c r="BB41" t="s">
        <v>74</v>
      </c>
      <c r="BC41" t="s">
        <v>74</v>
      </c>
      <c r="BD41" t="s">
        <v>786</v>
      </c>
      <c r="BE41" t="s">
        <v>787</v>
      </c>
      <c r="BF41" t="str">
        <f>HYPERLINK("http://dx.doi.org/10.1002/pul2.12432","http://dx.doi.org/10.1002/pul2.12432")</f>
        <v>http://dx.doi.org/10.1002/pul2.12432</v>
      </c>
      <c r="BG41" t="s">
        <v>74</v>
      </c>
      <c r="BH41" t="s">
        <v>74</v>
      </c>
      <c r="BI41">
        <v>10</v>
      </c>
      <c r="BJ41" t="s">
        <v>209</v>
      </c>
      <c r="BK41" t="s">
        <v>101</v>
      </c>
      <c r="BL41" t="s">
        <v>210</v>
      </c>
      <c r="BM41" t="s">
        <v>788</v>
      </c>
      <c r="BN41">
        <v>39234392</v>
      </c>
      <c r="BO41" t="s">
        <v>293</v>
      </c>
      <c r="BP41" t="s">
        <v>74</v>
      </c>
      <c r="BQ41" t="s">
        <v>74</v>
      </c>
      <c r="BR41" t="s">
        <v>104</v>
      </c>
      <c r="BS41" t="s">
        <v>789</v>
      </c>
      <c r="BT41" t="str">
        <f>HYPERLINK("https%3A%2F%2Fwww.webofscience.com%2Fwos%2Fwoscc%2Ffull-record%2FWOS:001304594200001","View Full Record in Web of Science")</f>
        <v>View Full Record in Web of Science</v>
      </c>
    </row>
    <row r="42" spans="1:72" x14ac:dyDescent="0.25">
      <c r="A42" t="s">
        <v>72</v>
      </c>
      <c r="B42" t="s">
        <v>790</v>
      </c>
      <c r="C42" t="s">
        <v>74</v>
      </c>
      <c r="D42" t="s">
        <v>74</v>
      </c>
      <c r="E42" t="s">
        <v>74</v>
      </c>
      <c r="F42" t="s">
        <v>791</v>
      </c>
      <c r="G42" t="s">
        <v>74</v>
      </c>
      <c r="H42" t="s">
        <v>74</v>
      </c>
      <c r="I42" t="s">
        <v>792</v>
      </c>
      <c r="J42" t="s">
        <v>793</v>
      </c>
      <c r="K42" t="s">
        <v>74</v>
      </c>
      <c r="L42" t="s">
        <v>74</v>
      </c>
      <c r="M42" t="s">
        <v>78</v>
      </c>
      <c r="N42" t="s">
        <v>79</v>
      </c>
      <c r="O42" t="s">
        <v>74</v>
      </c>
      <c r="P42" t="s">
        <v>74</v>
      </c>
      <c r="Q42" t="s">
        <v>74</v>
      </c>
      <c r="R42" t="s">
        <v>74</v>
      </c>
      <c r="S42" t="s">
        <v>74</v>
      </c>
      <c r="T42" t="s">
        <v>74</v>
      </c>
      <c r="U42" t="s">
        <v>794</v>
      </c>
      <c r="V42" t="s">
        <v>795</v>
      </c>
      <c r="W42" t="s">
        <v>796</v>
      </c>
      <c r="X42" t="s">
        <v>797</v>
      </c>
      <c r="Y42" t="s">
        <v>798</v>
      </c>
      <c r="Z42" t="s">
        <v>799</v>
      </c>
      <c r="AA42" t="s">
        <v>800</v>
      </c>
      <c r="AB42" t="s">
        <v>801</v>
      </c>
      <c r="AC42" t="s">
        <v>74</v>
      </c>
      <c r="AD42" t="s">
        <v>74</v>
      </c>
      <c r="AE42" t="s">
        <v>802</v>
      </c>
      <c r="AF42" t="s">
        <v>74</v>
      </c>
      <c r="AG42">
        <v>27</v>
      </c>
      <c r="AH42">
        <v>0</v>
      </c>
      <c r="AI42">
        <v>0</v>
      </c>
      <c r="AJ42">
        <v>0</v>
      </c>
      <c r="AK42">
        <v>0</v>
      </c>
      <c r="AL42" t="s">
        <v>219</v>
      </c>
      <c r="AM42" t="s">
        <v>220</v>
      </c>
      <c r="AN42" t="s">
        <v>221</v>
      </c>
      <c r="AO42" t="s">
        <v>74</v>
      </c>
      <c r="AP42" t="s">
        <v>803</v>
      </c>
      <c r="AQ42" t="s">
        <v>74</v>
      </c>
      <c r="AR42" t="s">
        <v>804</v>
      </c>
      <c r="AS42" t="s">
        <v>805</v>
      </c>
      <c r="AT42" t="s">
        <v>806</v>
      </c>
      <c r="AU42">
        <v>2024</v>
      </c>
      <c r="AV42">
        <v>10</v>
      </c>
      <c r="AW42">
        <v>4</v>
      </c>
      <c r="AX42" t="s">
        <v>74</v>
      </c>
      <c r="AY42" t="s">
        <v>74</v>
      </c>
      <c r="AZ42" t="s">
        <v>74</v>
      </c>
      <c r="BA42" t="s">
        <v>74</v>
      </c>
      <c r="BB42" t="s">
        <v>74</v>
      </c>
      <c r="BC42" t="s">
        <v>74</v>
      </c>
      <c r="BD42">
        <v>109</v>
      </c>
      <c r="BE42" t="s">
        <v>807</v>
      </c>
      <c r="BF42" t="str">
        <f>HYPERLINK("http://dx.doi.org/10.1183/23120541.00109-2024","http://dx.doi.org/10.1183/23120541.00109-2024")</f>
        <v>http://dx.doi.org/10.1183/23120541.00109-2024</v>
      </c>
      <c r="BG42" t="s">
        <v>74</v>
      </c>
      <c r="BH42" t="s">
        <v>74</v>
      </c>
      <c r="BI42">
        <v>7</v>
      </c>
      <c r="BJ42" t="s">
        <v>228</v>
      </c>
      <c r="BK42" t="s">
        <v>101</v>
      </c>
      <c r="BL42" t="s">
        <v>228</v>
      </c>
      <c r="BM42" t="s">
        <v>808</v>
      </c>
      <c r="BN42">
        <v>39135662</v>
      </c>
      <c r="BO42" t="s">
        <v>809</v>
      </c>
      <c r="BP42" t="s">
        <v>74</v>
      </c>
      <c r="BQ42" t="s">
        <v>74</v>
      </c>
      <c r="BR42" t="s">
        <v>104</v>
      </c>
      <c r="BS42" t="s">
        <v>810</v>
      </c>
      <c r="BT42" t="str">
        <f>HYPERLINK("https%3A%2F%2Fwww.webofscience.com%2Fwos%2Fwoscc%2Ffull-record%2FWOS:001306447200002","View Full Record in Web of Science")</f>
        <v>View Full Record in Web of Science</v>
      </c>
    </row>
    <row r="43" spans="1:72" x14ac:dyDescent="0.25">
      <c r="A43" t="s">
        <v>72</v>
      </c>
      <c r="B43" t="s">
        <v>811</v>
      </c>
      <c r="C43" t="s">
        <v>74</v>
      </c>
      <c r="D43" t="s">
        <v>74</v>
      </c>
      <c r="E43" t="s">
        <v>74</v>
      </c>
      <c r="F43" t="s">
        <v>812</v>
      </c>
      <c r="G43" t="s">
        <v>74</v>
      </c>
      <c r="H43" t="s">
        <v>74</v>
      </c>
      <c r="I43" t="s">
        <v>813</v>
      </c>
      <c r="J43" t="s">
        <v>814</v>
      </c>
      <c r="K43" t="s">
        <v>74</v>
      </c>
      <c r="L43" t="s">
        <v>74</v>
      </c>
      <c r="M43" t="s">
        <v>78</v>
      </c>
      <c r="N43" t="s">
        <v>299</v>
      </c>
      <c r="O43" t="s">
        <v>74</v>
      </c>
      <c r="P43" t="s">
        <v>74</v>
      </c>
      <c r="Q43" t="s">
        <v>74</v>
      </c>
      <c r="R43" t="s">
        <v>74</v>
      </c>
      <c r="S43" t="s">
        <v>74</v>
      </c>
      <c r="T43" t="s">
        <v>74</v>
      </c>
      <c r="U43" t="s">
        <v>815</v>
      </c>
      <c r="V43" t="s">
        <v>816</v>
      </c>
      <c r="W43" t="s">
        <v>817</v>
      </c>
      <c r="X43" t="s">
        <v>818</v>
      </c>
      <c r="Y43" t="s">
        <v>819</v>
      </c>
      <c r="Z43" t="s">
        <v>820</v>
      </c>
      <c r="AA43" t="s">
        <v>821</v>
      </c>
      <c r="AB43" t="s">
        <v>822</v>
      </c>
      <c r="AC43" t="s">
        <v>74</v>
      </c>
      <c r="AD43" t="s">
        <v>74</v>
      </c>
      <c r="AE43" t="s">
        <v>74</v>
      </c>
      <c r="AF43" t="s">
        <v>74</v>
      </c>
      <c r="AG43">
        <v>61</v>
      </c>
      <c r="AH43">
        <v>3</v>
      </c>
      <c r="AI43">
        <v>3</v>
      </c>
      <c r="AJ43">
        <v>0</v>
      </c>
      <c r="AK43">
        <v>0</v>
      </c>
      <c r="AL43" t="s">
        <v>219</v>
      </c>
      <c r="AM43" t="s">
        <v>220</v>
      </c>
      <c r="AN43" t="s">
        <v>221</v>
      </c>
      <c r="AO43" t="s">
        <v>823</v>
      </c>
      <c r="AP43" t="s">
        <v>824</v>
      </c>
      <c r="AQ43" t="s">
        <v>74</v>
      </c>
      <c r="AR43" t="s">
        <v>825</v>
      </c>
      <c r="AS43" t="s">
        <v>826</v>
      </c>
      <c r="AT43" t="s">
        <v>806</v>
      </c>
      <c r="AU43">
        <v>2024</v>
      </c>
      <c r="AV43">
        <v>33</v>
      </c>
      <c r="AW43">
        <v>173</v>
      </c>
      <c r="AX43" t="s">
        <v>74</v>
      </c>
      <c r="AY43" t="s">
        <v>74</v>
      </c>
      <c r="AZ43" t="s">
        <v>74</v>
      </c>
      <c r="BA43" t="s">
        <v>74</v>
      </c>
      <c r="BB43" t="s">
        <v>74</v>
      </c>
      <c r="BC43" t="s">
        <v>74</v>
      </c>
      <c r="BD43">
        <v>240006</v>
      </c>
      <c r="BE43" t="s">
        <v>827</v>
      </c>
      <c r="BF43" t="str">
        <f>HYPERLINK("http://dx.doi.org/10.1183/16000617.0006-2024","http://dx.doi.org/10.1183/16000617.0006-2024")</f>
        <v>http://dx.doi.org/10.1183/16000617.0006-2024</v>
      </c>
      <c r="BG43" t="s">
        <v>74</v>
      </c>
      <c r="BH43" t="s">
        <v>74</v>
      </c>
      <c r="BI43">
        <v>16</v>
      </c>
      <c r="BJ43" t="s">
        <v>228</v>
      </c>
      <c r="BK43" t="s">
        <v>101</v>
      </c>
      <c r="BL43" t="s">
        <v>228</v>
      </c>
      <c r="BM43" t="s">
        <v>828</v>
      </c>
      <c r="BN43">
        <v>38960611</v>
      </c>
      <c r="BO43" t="s">
        <v>809</v>
      </c>
      <c r="BP43" t="s">
        <v>74</v>
      </c>
      <c r="BQ43" t="s">
        <v>74</v>
      </c>
      <c r="BR43" t="s">
        <v>104</v>
      </c>
      <c r="BS43" t="s">
        <v>829</v>
      </c>
      <c r="BT43" t="str">
        <f>HYPERLINK("https%3A%2F%2Fwww.webofscience.com%2Fwos%2Fwoscc%2Ffull-record%2FWOS:001265845800001","View Full Record in Web of Science")</f>
        <v>View Full Record in Web of Science</v>
      </c>
    </row>
    <row r="44" spans="1:72" x14ac:dyDescent="0.25">
      <c r="A44" t="s">
        <v>72</v>
      </c>
      <c r="B44" t="s">
        <v>830</v>
      </c>
      <c r="C44" t="s">
        <v>74</v>
      </c>
      <c r="D44" t="s">
        <v>74</v>
      </c>
      <c r="E44" t="s">
        <v>74</v>
      </c>
      <c r="F44" t="s">
        <v>831</v>
      </c>
      <c r="G44" t="s">
        <v>74</v>
      </c>
      <c r="H44" t="s">
        <v>74</v>
      </c>
      <c r="I44" t="s">
        <v>832</v>
      </c>
      <c r="J44" t="s">
        <v>833</v>
      </c>
      <c r="K44" t="s">
        <v>74</v>
      </c>
      <c r="L44" t="s">
        <v>74</v>
      </c>
      <c r="M44" t="s">
        <v>78</v>
      </c>
      <c r="N44" t="s">
        <v>79</v>
      </c>
      <c r="O44" t="s">
        <v>74</v>
      </c>
      <c r="P44" t="s">
        <v>74</v>
      </c>
      <c r="Q44" t="s">
        <v>74</v>
      </c>
      <c r="R44" t="s">
        <v>74</v>
      </c>
      <c r="S44" t="s">
        <v>74</v>
      </c>
      <c r="T44" t="s">
        <v>834</v>
      </c>
      <c r="U44" t="s">
        <v>835</v>
      </c>
      <c r="V44" t="s">
        <v>836</v>
      </c>
      <c r="W44" t="s">
        <v>837</v>
      </c>
      <c r="X44" t="s">
        <v>838</v>
      </c>
      <c r="Y44" t="s">
        <v>441</v>
      </c>
      <c r="Z44" t="s">
        <v>442</v>
      </c>
      <c r="AA44" t="s">
        <v>839</v>
      </c>
      <c r="AB44" t="s">
        <v>840</v>
      </c>
      <c r="AC44" t="s">
        <v>841</v>
      </c>
      <c r="AD44" t="s">
        <v>842</v>
      </c>
      <c r="AE44" t="s">
        <v>843</v>
      </c>
      <c r="AF44" t="s">
        <v>74</v>
      </c>
      <c r="AG44">
        <v>48</v>
      </c>
      <c r="AH44">
        <v>2</v>
      </c>
      <c r="AI44">
        <v>2</v>
      </c>
      <c r="AJ44">
        <v>0</v>
      </c>
      <c r="AK44">
        <v>2</v>
      </c>
      <c r="AL44" t="s">
        <v>649</v>
      </c>
      <c r="AM44" t="s">
        <v>486</v>
      </c>
      <c r="AN44" t="s">
        <v>650</v>
      </c>
      <c r="AO44" t="s">
        <v>844</v>
      </c>
      <c r="AP44" t="s">
        <v>845</v>
      </c>
      <c r="AQ44" t="s">
        <v>74</v>
      </c>
      <c r="AR44" t="s">
        <v>846</v>
      </c>
      <c r="AS44" t="s">
        <v>847</v>
      </c>
      <c r="AT44" t="s">
        <v>785</v>
      </c>
      <c r="AU44">
        <v>2024</v>
      </c>
      <c r="AV44">
        <v>71</v>
      </c>
      <c r="AW44">
        <v>1</v>
      </c>
      <c r="AX44" t="s">
        <v>74</v>
      </c>
      <c r="AY44" t="s">
        <v>74</v>
      </c>
      <c r="AZ44" t="s">
        <v>74</v>
      </c>
      <c r="BA44" t="s">
        <v>74</v>
      </c>
      <c r="BB44">
        <v>95</v>
      </c>
      <c r="BC44">
        <v>109</v>
      </c>
      <c r="BD44" t="s">
        <v>74</v>
      </c>
      <c r="BE44" t="s">
        <v>848</v>
      </c>
      <c r="BF44" t="str">
        <f>HYPERLINK("http://dx.doi.org/10.1165/rcmb.2023-0185OC","http://dx.doi.org/10.1165/rcmb.2023-0185OC")</f>
        <v>http://dx.doi.org/10.1165/rcmb.2023-0185OC</v>
      </c>
      <c r="BG44" t="s">
        <v>74</v>
      </c>
      <c r="BH44" t="s">
        <v>74</v>
      </c>
      <c r="BI44">
        <v>15</v>
      </c>
      <c r="BJ44" t="s">
        <v>849</v>
      </c>
      <c r="BK44" t="s">
        <v>101</v>
      </c>
      <c r="BL44" t="s">
        <v>849</v>
      </c>
      <c r="BM44" t="s">
        <v>850</v>
      </c>
      <c r="BN44">
        <v>38546978</v>
      </c>
      <c r="BO44" t="s">
        <v>74</v>
      </c>
      <c r="BP44" t="s">
        <v>74</v>
      </c>
      <c r="BQ44" t="s">
        <v>74</v>
      </c>
      <c r="BR44" t="s">
        <v>104</v>
      </c>
      <c r="BS44" t="s">
        <v>851</v>
      </c>
      <c r="BT44" t="str">
        <f>HYPERLINK("https%3A%2F%2Fwww.webofscience.com%2Fwos%2Fwoscc%2Ffull-record%2FWOS:001267484600013","View Full Record in Web of Science")</f>
        <v>View Full Record in Web of Science</v>
      </c>
    </row>
    <row r="45" spans="1:72" x14ac:dyDescent="0.25">
      <c r="A45" t="s">
        <v>72</v>
      </c>
      <c r="B45" t="s">
        <v>852</v>
      </c>
      <c r="C45" t="s">
        <v>74</v>
      </c>
      <c r="D45" t="s">
        <v>74</v>
      </c>
      <c r="E45" t="s">
        <v>74</v>
      </c>
      <c r="F45" t="s">
        <v>853</v>
      </c>
      <c r="G45" t="s">
        <v>74</v>
      </c>
      <c r="H45" t="s">
        <v>74</v>
      </c>
      <c r="I45" t="s">
        <v>854</v>
      </c>
      <c r="J45" t="s">
        <v>793</v>
      </c>
      <c r="K45" t="s">
        <v>74</v>
      </c>
      <c r="L45" t="s">
        <v>74</v>
      </c>
      <c r="M45" t="s">
        <v>78</v>
      </c>
      <c r="N45" t="s">
        <v>460</v>
      </c>
      <c r="O45" t="s">
        <v>74</v>
      </c>
      <c r="P45" t="s">
        <v>74</v>
      </c>
      <c r="Q45" t="s">
        <v>74</v>
      </c>
      <c r="R45" t="s">
        <v>74</v>
      </c>
      <c r="S45" t="s">
        <v>74</v>
      </c>
      <c r="T45" t="s">
        <v>74</v>
      </c>
      <c r="U45" t="s">
        <v>74</v>
      </c>
      <c r="V45" t="s">
        <v>74</v>
      </c>
      <c r="W45" t="s">
        <v>855</v>
      </c>
      <c r="X45" t="s">
        <v>856</v>
      </c>
      <c r="Y45" t="s">
        <v>857</v>
      </c>
      <c r="Z45" t="s">
        <v>858</v>
      </c>
      <c r="AA45" t="s">
        <v>144</v>
      </c>
      <c r="AB45" t="s">
        <v>257</v>
      </c>
      <c r="AC45" t="s">
        <v>859</v>
      </c>
      <c r="AD45" t="s">
        <v>860</v>
      </c>
      <c r="AE45" t="s">
        <v>861</v>
      </c>
      <c r="AF45" t="s">
        <v>74</v>
      </c>
      <c r="AG45">
        <v>14</v>
      </c>
      <c r="AH45">
        <v>0</v>
      </c>
      <c r="AI45">
        <v>0</v>
      </c>
      <c r="AJ45">
        <v>0</v>
      </c>
      <c r="AK45">
        <v>0</v>
      </c>
      <c r="AL45" t="s">
        <v>219</v>
      </c>
      <c r="AM45" t="s">
        <v>220</v>
      </c>
      <c r="AN45" t="s">
        <v>221</v>
      </c>
      <c r="AO45" t="s">
        <v>74</v>
      </c>
      <c r="AP45" t="s">
        <v>803</v>
      </c>
      <c r="AQ45" t="s">
        <v>74</v>
      </c>
      <c r="AR45" t="s">
        <v>804</v>
      </c>
      <c r="AS45" t="s">
        <v>805</v>
      </c>
      <c r="AT45" t="s">
        <v>806</v>
      </c>
      <c r="AU45">
        <v>2024</v>
      </c>
      <c r="AV45">
        <v>10</v>
      </c>
      <c r="AW45">
        <v>4</v>
      </c>
      <c r="AX45" t="s">
        <v>74</v>
      </c>
      <c r="AY45" t="s">
        <v>74</v>
      </c>
      <c r="AZ45" t="s">
        <v>74</v>
      </c>
      <c r="BA45" t="s">
        <v>74</v>
      </c>
      <c r="BB45" t="s">
        <v>74</v>
      </c>
      <c r="BC45" t="s">
        <v>74</v>
      </c>
      <c r="BD45" t="s">
        <v>862</v>
      </c>
      <c r="BE45" t="s">
        <v>863</v>
      </c>
      <c r="BF45" t="str">
        <f>HYPERLINK("http://dx.doi.org/10.1183/23120541.00976-2023","http://dx.doi.org/10.1183/23120541.00976-2023")</f>
        <v>http://dx.doi.org/10.1183/23120541.00976-2023</v>
      </c>
      <c r="BG45" t="s">
        <v>74</v>
      </c>
      <c r="BH45" t="s">
        <v>74</v>
      </c>
      <c r="BI45">
        <v>5</v>
      </c>
      <c r="BJ45" t="s">
        <v>228</v>
      </c>
      <c r="BK45" t="s">
        <v>101</v>
      </c>
      <c r="BL45" t="s">
        <v>228</v>
      </c>
      <c r="BM45" t="s">
        <v>864</v>
      </c>
      <c r="BN45">
        <v>38978545</v>
      </c>
      <c r="BO45" t="s">
        <v>865</v>
      </c>
      <c r="BP45" t="s">
        <v>74</v>
      </c>
      <c r="BQ45" t="s">
        <v>74</v>
      </c>
      <c r="BR45" t="s">
        <v>104</v>
      </c>
      <c r="BS45" t="s">
        <v>866</v>
      </c>
      <c r="BT45" t="str">
        <f>HYPERLINK("https%3A%2F%2Fwww.webofscience.com%2Fwos%2Fwoscc%2Ffull-record%2FWOS:001263845400017","View Full Record in Web of Science")</f>
        <v>View Full Record in Web of Science</v>
      </c>
    </row>
    <row r="46" spans="1:72" x14ac:dyDescent="0.25">
      <c r="A46" t="s">
        <v>72</v>
      </c>
      <c r="B46" t="s">
        <v>867</v>
      </c>
      <c r="C46" t="s">
        <v>74</v>
      </c>
      <c r="D46" t="s">
        <v>74</v>
      </c>
      <c r="E46" t="s">
        <v>74</v>
      </c>
      <c r="F46" t="s">
        <v>868</v>
      </c>
      <c r="G46" t="s">
        <v>74</v>
      </c>
      <c r="H46" t="s">
        <v>74</v>
      </c>
      <c r="I46" t="s">
        <v>869</v>
      </c>
      <c r="J46" t="s">
        <v>870</v>
      </c>
      <c r="K46" t="s">
        <v>74</v>
      </c>
      <c r="L46" t="s">
        <v>74</v>
      </c>
      <c r="M46" t="s">
        <v>78</v>
      </c>
      <c r="N46" t="s">
        <v>79</v>
      </c>
      <c r="O46" t="s">
        <v>74</v>
      </c>
      <c r="P46" t="s">
        <v>74</v>
      </c>
      <c r="Q46" t="s">
        <v>74</v>
      </c>
      <c r="R46" t="s">
        <v>74</v>
      </c>
      <c r="S46" t="s">
        <v>74</v>
      </c>
      <c r="T46" t="s">
        <v>871</v>
      </c>
      <c r="U46" t="s">
        <v>872</v>
      </c>
      <c r="V46" t="s">
        <v>873</v>
      </c>
      <c r="W46" t="s">
        <v>874</v>
      </c>
      <c r="X46" t="s">
        <v>875</v>
      </c>
      <c r="Y46" t="s">
        <v>876</v>
      </c>
      <c r="Z46" t="s">
        <v>877</v>
      </c>
      <c r="AA46" t="s">
        <v>878</v>
      </c>
      <c r="AB46" t="s">
        <v>879</v>
      </c>
      <c r="AC46" t="s">
        <v>880</v>
      </c>
      <c r="AD46" t="s">
        <v>880</v>
      </c>
      <c r="AE46" t="s">
        <v>881</v>
      </c>
      <c r="AF46" t="s">
        <v>74</v>
      </c>
      <c r="AG46">
        <v>34</v>
      </c>
      <c r="AH46">
        <v>6</v>
      </c>
      <c r="AI46">
        <v>6</v>
      </c>
      <c r="AJ46">
        <v>6</v>
      </c>
      <c r="AK46">
        <v>6</v>
      </c>
      <c r="AL46" t="s">
        <v>882</v>
      </c>
      <c r="AM46" t="s">
        <v>883</v>
      </c>
      <c r="AN46" t="s">
        <v>884</v>
      </c>
      <c r="AO46" t="s">
        <v>885</v>
      </c>
      <c r="AP46" t="s">
        <v>74</v>
      </c>
      <c r="AQ46" t="s">
        <v>74</v>
      </c>
      <c r="AR46" t="s">
        <v>886</v>
      </c>
      <c r="AS46" t="s">
        <v>887</v>
      </c>
      <c r="AT46" t="s">
        <v>888</v>
      </c>
      <c r="AU46">
        <v>2024</v>
      </c>
      <c r="AV46">
        <v>105</v>
      </c>
      <c r="AW46" t="s">
        <v>889</v>
      </c>
      <c r="AX46" t="s">
        <v>74</v>
      </c>
      <c r="AY46" t="s">
        <v>74</v>
      </c>
      <c r="AZ46" t="s">
        <v>74</v>
      </c>
      <c r="BA46" t="s">
        <v>74</v>
      </c>
      <c r="BB46">
        <v>266</v>
      </c>
      <c r="BC46">
        <v>272</v>
      </c>
      <c r="BD46" t="s">
        <v>74</v>
      </c>
      <c r="BE46" t="s">
        <v>890</v>
      </c>
      <c r="BF46" t="str">
        <f>HYPERLINK("http://dx.doi.org/10.1016/j.diii.2024.01.009","http://dx.doi.org/10.1016/j.diii.2024.01.009")</f>
        <v>http://dx.doi.org/10.1016/j.diii.2024.01.009</v>
      </c>
      <c r="BG46" t="s">
        <v>74</v>
      </c>
      <c r="BH46" t="s">
        <v>891</v>
      </c>
      <c r="BI46">
        <v>7</v>
      </c>
      <c r="BJ46" t="s">
        <v>892</v>
      </c>
      <c r="BK46" t="s">
        <v>101</v>
      </c>
      <c r="BL46" t="s">
        <v>892</v>
      </c>
      <c r="BM46" t="s">
        <v>893</v>
      </c>
      <c r="BN46">
        <v>38368175</v>
      </c>
      <c r="BO46" t="s">
        <v>74</v>
      </c>
      <c r="BP46" t="s">
        <v>74</v>
      </c>
      <c r="BQ46" t="s">
        <v>74</v>
      </c>
      <c r="BR46" t="s">
        <v>104</v>
      </c>
      <c r="BS46" t="s">
        <v>894</v>
      </c>
      <c r="BT46" t="str">
        <f>HYPERLINK("https%3A%2F%2Fwww.webofscience.com%2Fwos%2Fwoscc%2Ffull-record%2FWOS:001262826600001","View Full Record in Web of Science")</f>
        <v>View Full Record in Web of Science</v>
      </c>
    </row>
    <row r="47" spans="1:72" x14ac:dyDescent="0.25">
      <c r="A47" t="s">
        <v>72</v>
      </c>
      <c r="B47" t="s">
        <v>895</v>
      </c>
      <c r="C47" t="s">
        <v>74</v>
      </c>
      <c r="D47" t="s">
        <v>74</v>
      </c>
      <c r="E47" t="s">
        <v>74</v>
      </c>
      <c r="F47" t="s">
        <v>896</v>
      </c>
      <c r="G47" t="s">
        <v>74</v>
      </c>
      <c r="H47" t="s">
        <v>74</v>
      </c>
      <c r="I47" t="s">
        <v>897</v>
      </c>
      <c r="J47" t="s">
        <v>898</v>
      </c>
      <c r="K47" t="s">
        <v>74</v>
      </c>
      <c r="L47" t="s">
        <v>74</v>
      </c>
      <c r="M47" t="s">
        <v>78</v>
      </c>
      <c r="N47" t="s">
        <v>79</v>
      </c>
      <c r="O47" t="s">
        <v>74</v>
      </c>
      <c r="P47" t="s">
        <v>74</v>
      </c>
      <c r="Q47" t="s">
        <v>74</v>
      </c>
      <c r="R47" t="s">
        <v>74</v>
      </c>
      <c r="S47" t="s">
        <v>74</v>
      </c>
      <c r="T47" t="s">
        <v>74</v>
      </c>
      <c r="U47" t="s">
        <v>899</v>
      </c>
      <c r="V47" t="s">
        <v>900</v>
      </c>
      <c r="W47" t="s">
        <v>901</v>
      </c>
      <c r="X47" t="s">
        <v>902</v>
      </c>
      <c r="Y47" t="s">
        <v>903</v>
      </c>
      <c r="Z47" t="s">
        <v>904</v>
      </c>
      <c r="AA47" t="s">
        <v>905</v>
      </c>
      <c r="AB47" t="s">
        <v>906</v>
      </c>
      <c r="AC47" t="s">
        <v>74</v>
      </c>
      <c r="AD47" t="s">
        <v>74</v>
      </c>
      <c r="AE47" t="s">
        <v>74</v>
      </c>
      <c r="AF47" t="s">
        <v>74</v>
      </c>
      <c r="AG47">
        <v>58</v>
      </c>
      <c r="AH47">
        <v>9</v>
      </c>
      <c r="AI47">
        <v>9</v>
      </c>
      <c r="AJ47">
        <v>7</v>
      </c>
      <c r="AK47">
        <v>19</v>
      </c>
      <c r="AL47" t="s">
        <v>907</v>
      </c>
      <c r="AM47" t="s">
        <v>908</v>
      </c>
      <c r="AN47" t="s">
        <v>909</v>
      </c>
      <c r="AO47" t="s">
        <v>910</v>
      </c>
      <c r="AP47" t="s">
        <v>911</v>
      </c>
      <c r="AQ47" t="s">
        <v>74</v>
      </c>
      <c r="AR47" t="s">
        <v>912</v>
      </c>
      <c r="AS47" t="s">
        <v>913</v>
      </c>
      <c r="AT47" t="s">
        <v>914</v>
      </c>
      <c r="AU47">
        <v>2024</v>
      </c>
      <c r="AV47">
        <v>36</v>
      </c>
      <c r="AW47">
        <v>6</v>
      </c>
      <c r="AX47" t="s">
        <v>74</v>
      </c>
      <c r="AY47" t="s">
        <v>74</v>
      </c>
      <c r="AZ47" t="s">
        <v>74</v>
      </c>
      <c r="BA47" t="s">
        <v>74</v>
      </c>
      <c r="BB47" t="s">
        <v>74</v>
      </c>
      <c r="BC47" t="s">
        <v>74</v>
      </c>
      <c r="BD47" t="s">
        <v>74</v>
      </c>
      <c r="BE47" t="s">
        <v>915</v>
      </c>
      <c r="BF47" t="str">
        <f>HYPERLINK("http://dx.doi.org/10.1016/j.cmet.2024.04.010","http://dx.doi.org/10.1016/j.cmet.2024.04.010")</f>
        <v>http://dx.doi.org/10.1016/j.cmet.2024.04.010</v>
      </c>
      <c r="BG47" t="s">
        <v>74</v>
      </c>
      <c r="BH47" t="s">
        <v>891</v>
      </c>
      <c r="BI47">
        <v>25</v>
      </c>
      <c r="BJ47" t="s">
        <v>916</v>
      </c>
      <c r="BK47" t="s">
        <v>101</v>
      </c>
      <c r="BL47" t="s">
        <v>916</v>
      </c>
      <c r="BM47" t="s">
        <v>917</v>
      </c>
      <c r="BN47">
        <v>38701775</v>
      </c>
      <c r="BO47" t="s">
        <v>74</v>
      </c>
      <c r="BP47" t="s">
        <v>74</v>
      </c>
      <c r="BQ47" t="s">
        <v>74</v>
      </c>
      <c r="BR47" t="s">
        <v>104</v>
      </c>
      <c r="BS47" t="s">
        <v>918</v>
      </c>
      <c r="BT47" t="str">
        <f>HYPERLINK("https%3A%2F%2Fwww.webofscience.com%2Fwos%2Fwoscc%2Ffull-record%2FWOS:001257436500001","View Full Record in Web of Science")</f>
        <v>View Full Record in Web of Science</v>
      </c>
    </row>
    <row r="48" spans="1:72" x14ac:dyDescent="0.25">
      <c r="A48" t="s">
        <v>72</v>
      </c>
      <c r="B48" t="s">
        <v>919</v>
      </c>
      <c r="C48" t="s">
        <v>74</v>
      </c>
      <c r="D48" t="s">
        <v>74</v>
      </c>
      <c r="E48" t="s">
        <v>74</v>
      </c>
      <c r="F48" t="s">
        <v>920</v>
      </c>
      <c r="G48" t="s">
        <v>74</v>
      </c>
      <c r="H48" t="s">
        <v>921</v>
      </c>
      <c r="I48" t="s">
        <v>922</v>
      </c>
      <c r="J48" t="s">
        <v>216</v>
      </c>
      <c r="K48" t="s">
        <v>74</v>
      </c>
      <c r="L48" t="s">
        <v>74</v>
      </c>
      <c r="M48" t="s">
        <v>78</v>
      </c>
      <c r="N48" t="s">
        <v>79</v>
      </c>
      <c r="O48" t="s">
        <v>74</v>
      </c>
      <c r="P48" t="s">
        <v>74</v>
      </c>
      <c r="Q48" t="s">
        <v>74</v>
      </c>
      <c r="R48" t="s">
        <v>74</v>
      </c>
      <c r="S48" t="s">
        <v>74</v>
      </c>
      <c r="T48" t="s">
        <v>74</v>
      </c>
      <c r="U48" t="s">
        <v>923</v>
      </c>
      <c r="V48" t="s">
        <v>924</v>
      </c>
      <c r="W48" t="s">
        <v>925</v>
      </c>
      <c r="X48" t="s">
        <v>926</v>
      </c>
      <c r="Y48" t="s">
        <v>927</v>
      </c>
      <c r="Z48" t="s">
        <v>331</v>
      </c>
      <c r="AA48" t="s">
        <v>928</v>
      </c>
      <c r="AB48" t="s">
        <v>929</v>
      </c>
      <c r="AC48" t="s">
        <v>930</v>
      </c>
      <c r="AD48" t="s">
        <v>931</v>
      </c>
      <c r="AE48" t="s">
        <v>932</v>
      </c>
      <c r="AF48" t="s">
        <v>74</v>
      </c>
      <c r="AG48">
        <v>62</v>
      </c>
      <c r="AH48">
        <v>3</v>
      </c>
      <c r="AI48">
        <v>3</v>
      </c>
      <c r="AJ48">
        <v>0</v>
      </c>
      <c r="AK48">
        <v>2</v>
      </c>
      <c r="AL48" t="s">
        <v>219</v>
      </c>
      <c r="AM48" t="s">
        <v>220</v>
      </c>
      <c r="AN48" t="s">
        <v>221</v>
      </c>
      <c r="AO48" t="s">
        <v>222</v>
      </c>
      <c r="AP48" t="s">
        <v>223</v>
      </c>
      <c r="AQ48" t="s">
        <v>74</v>
      </c>
      <c r="AR48" t="s">
        <v>224</v>
      </c>
      <c r="AS48" t="s">
        <v>225</v>
      </c>
      <c r="AT48" t="s">
        <v>933</v>
      </c>
      <c r="AU48">
        <v>2024</v>
      </c>
      <c r="AV48">
        <v>63</v>
      </c>
      <c r="AW48">
        <v>6</v>
      </c>
      <c r="AX48" t="s">
        <v>74</v>
      </c>
      <c r="AY48" t="s">
        <v>74</v>
      </c>
      <c r="AZ48" t="s">
        <v>74</v>
      </c>
      <c r="BA48" t="s">
        <v>74</v>
      </c>
      <c r="BB48" t="s">
        <v>74</v>
      </c>
      <c r="BC48" t="s">
        <v>74</v>
      </c>
      <c r="BD48">
        <v>2302158</v>
      </c>
      <c r="BE48" t="s">
        <v>934</v>
      </c>
      <c r="BF48" t="str">
        <f>HYPERLINK("http://dx.doi.org/10.1183/13993003.02158-2023","http://dx.doi.org/10.1183/13993003.02158-2023")</f>
        <v>http://dx.doi.org/10.1183/13993003.02158-2023</v>
      </c>
      <c r="BG48" t="s">
        <v>74</v>
      </c>
      <c r="BH48" t="s">
        <v>74</v>
      </c>
      <c r="BI48">
        <v>19</v>
      </c>
      <c r="BJ48" t="s">
        <v>228</v>
      </c>
      <c r="BK48" t="s">
        <v>101</v>
      </c>
      <c r="BL48" t="s">
        <v>228</v>
      </c>
      <c r="BM48" t="s">
        <v>935</v>
      </c>
      <c r="BN48">
        <v>38697649</v>
      </c>
      <c r="BO48" t="s">
        <v>74</v>
      </c>
      <c r="BP48" t="s">
        <v>74</v>
      </c>
      <c r="BQ48" t="s">
        <v>74</v>
      </c>
      <c r="BR48" t="s">
        <v>104</v>
      </c>
      <c r="BS48" t="s">
        <v>936</v>
      </c>
      <c r="BT48" t="str">
        <f>HYPERLINK("https%3A%2F%2Fwww.webofscience.com%2Fwos%2Fwoscc%2Ffull-record%2FWOS:001267570500004","View Full Record in Web of Science")</f>
        <v>View Full Record in Web of Science</v>
      </c>
    </row>
    <row r="49" spans="1:72" x14ac:dyDescent="0.25">
      <c r="A49" t="s">
        <v>72</v>
      </c>
      <c r="B49" t="s">
        <v>937</v>
      </c>
      <c r="C49" t="s">
        <v>74</v>
      </c>
      <c r="D49" t="s">
        <v>74</v>
      </c>
      <c r="E49" t="s">
        <v>74</v>
      </c>
      <c r="F49" t="s">
        <v>938</v>
      </c>
      <c r="G49" t="s">
        <v>74</v>
      </c>
      <c r="H49" t="s">
        <v>74</v>
      </c>
      <c r="I49" t="s">
        <v>939</v>
      </c>
      <c r="J49" t="s">
        <v>216</v>
      </c>
      <c r="K49" t="s">
        <v>74</v>
      </c>
      <c r="L49" t="s">
        <v>74</v>
      </c>
      <c r="M49" t="s">
        <v>78</v>
      </c>
      <c r="N49" t="s">
        <v>140</v>
      </c>
      <c r="O49" t="s">
        <v>74</v>
      </c>
      <c r="P49" t="s">
        <v>74</v>
      </c>
      <c r="Q49" t="s">
        <v>74</v>
      </c>
      <c r="R49" t="s">
        <v>74</v>
      </c>
      <c r="S49" t="s">
        <v>74</v>
      </c>
      <c r="T49" t="s">
        <v>74</v>
      </c>
      <c r="U49" t="s">
        <v>940</v>
      </c>
      <c r="V49" t="s">
        <v>74</v>
      </c>
      <c r="W49" t="s">
        <v>941</v>
      </c>
      <c r="X49" t="s">
        <v>942</v>
      </c>
      <c r="Y49" t="s">
        <v>943</v>
      </c>
      <c r="Z49" t="s">
        <v>240</v>
      </c>
      <c r="AA49" t="s">
        <v>780</v>
      </c>
      <c r="AB49" t="s">
        <v>944</v>
      </c>
      <c r="AC49" t="s">
        <v>74</v>
      </c>
      <c r="AD49" t="s">
        <v>74</v>
      </c>
      <c r="AE49" t="s">
        <v>74</v>
      </c>
      <c r="AF49" t="s">
        <v>74</v>
      </c>
      <c r="AG49">
        <v>27</v>
      </c>
      <c r="AH49">
        <v>0</v>
      </c>
      <c r="AI49">
        <v>0</v>
      </c>
      <c r="AJ49">
        <v>0</v>
      </c>
      <c r="AK49">
        <v>0</v>
      </c>
      <c r="AL49" t="s">
        <v>219</v>
      </c>
      <c r="AM49" t="s">
        <v>220</v>
      </c>
      <c r="AN49" t="s">
        <v>221</v>
      </c>
      <c r="AO49" t="s">
        <v>222</v>
      </c>
      <c r="AP49" t="s">
        <v>223</v>
      </c>
      <c r="AQ49" t="s">
        <v>74</v>
      </c>
      <c r="AR49" t="s">
        <v>224</v>
      </c>
      <c r="AS49" t="s">
        <v>225</v>
      </c>
      <c r="AT49" t="s">
        <v>933</v>
      </c>
      <c r="AU49">
        <v>2024</v>
      </c>
      <c r="AV49">
        <v>63</v>
      </c>
      <c r="AW49">
        <v>6</v>
      </c>
      <c r="AX49" t="s">
        <v>74</v>
      </c>
      <c r="AY49" t="s">
        <v>74</v>
      </c>
      <c r="AZ49" t="s">
        <v>74</v>
      </c>
      <c r="BA49" t="s">
        <v>74</v>
      </c>
      <c r="BB49" t="s">
        <v>74</v>
      </c>
      <c r="BC49" t="s">
        <v>74</v>
      </c>
      <c r="BD49">
        <v>2400765</v>
      </c>
      <c r="BE49" t="s">
        <v>945</v>
      </c>
      <c r="BF49" t="str">
        <f>HYPERLINK("http://dx.doi.org/10.1183/13993003.00765-2024","http://dx.doi.org/10.1183/13993003.00765-2024")</f>
        <v>http://dx.doi.org/10.1183/13993003.00765-2024</v>
      </c>
      <c r="BG49" t="s">
        <v>74</v>
      </c>
      <c r="BH49" t="s">
        <v>74</v>
      </c>
      <c r="BI49">
        <v>4</v>
      </c>
      <c r="BJ49" t="s">
        <v>228</v>
      </c>
      <c r="BK49" t="s">
        <v>101</v>
      </c>
      <c r="BL49" t="s">
        <v>228</v>
      </c>
      <c r="BM49" t="s">
        <v>946</v>
      </c>
      <c r="BN49">
        <v>38843938</v>
      </c>
      <c r="BO49" t="s">
        <v>74</v>
      </c>
      <c r="BP49" t="s">
        <v>74</v>
      </c>
      <c r="BQ49" t="s">
        <v>74</v>
      </c>
      <c r="BR49" t="s">
        <v>104</v>
      </c>
      <c r="BS49" t="s">
        <v>947</v>
      </c>
      <c r="BT49" t="str">
        <f>HYPERLINK("https%3A%2F%2Fwww.webofscience.com%2Fwos%2Fwoscc%2Ffull-record%2FWOS:001251165100006","View Full Record in Web of Science")</f>
        <v>View Full Record in Web of Science</v>
      </c>
    </row>
    <row r="50" spans="1:72" x14ac:dyDescent="0.25">
      <c r="A50" t="s">
        <v>72</v>
      </c>
      <c r="B50" t="s">
        <v>604</v>
      </c>
      <c r="C50" t="s">
        <v>74</v>
      </c>
      <c r="D50" t="s">
        <v>74</v>
      </c>
      <c r="E50" t="s">
        <v>74</v>
      </c>
      <c r="F50" t="s">
        <v>605</v>
      </c>
      <c r="G50" t="s">
        <v>74</v>
      </c>
      <c r="H50" t="s">
        <v>948</v>
      </c>
      <c r="I50" t="s">
        <v>606</v>
      </c>
      <c r="J50" t="s">
        <v>793</v>
      </c>
      <c r="K50" t="s">
        <v>74</v>
      </c>
      <c r="L50" t="s">
        <v>74</v>
      </c>
      <c r="M50" t="s">
        <v>78</v>
      </c>
      <c r="N50" t="s">
        <v>79</v>
      </c>
      <c r="O50" t="s">
        <v>74</v>
      </c>
      <c r="P50" t="s">
        <v>74</v>
      </c>
      <c r="Q50" t="s">
        <v>74</v>
      </c>
      <c r="R50" t="s">
        <v>74</v>
      </c>
      <c r="S50" t="s">
        <v>74</v>
      </c>
      <c r="T50" t="s">
        <v>74</v>
      </c>
      <c r="U50" t="s">
        <v>949</v>
      </c>
      <c r="V50" t="s">
        <v>950</v>
      </c>
      <c r="W50" t="s">
        <v>951</v>
      </c>
      <c r="X50" t="s">
        <v>952</v>
      </c>
      <c r="Y50" t="s">
        <v>953</v>
      </c>
      <c r="Z50" t="s">
        <v>954</v>
      </c>
      <c r="AA50" t="s">
        <v>955</v>
      </c>
      <c r="AB50" t="s">
        <v>956</v>
      </c>
      <c r="AC50" t="s">
        <v>957</v>
      </c>
      <c r="AD50" t="s">
        <v>958</v>
      </c>
      <c r="AE50" t="s">
        <v>959</v>
      </c>
      <c r="AF50" t="s">
        <v>74</v>
      </c>
      <c r="AG50">
        <v>42</v>
      </c>
      <c r="AH50">
        <v>0</v>
      </c>
      <c r="AI50">
        <v>0</v>
      </c>
      <c r="AJ50">
        <v>0</v>
      </c>
      <c r="AK50">
        <v>0</v>
      </c>
      <c r="AL50" t="s">
        <v>219</v>
      </c>
      <c r="AM50" t="s">
        <v>220</v>
      </c>
      <c r="AN50" t="s">
        <v>221</v>
      </c>
      <c r="AO50" t="s">
        <v>74</v>
      </c>
      <c r="AP50" t="s">
        <v>803</v>
      </c>
      <c r="AQ50" t="s">
        <v>74</v>
      </c>
      <c r="AR50" t="s">
        <v>804</v>
      </c>
      <c r="AS50" t="s">
        <v>805</v>
      </c>
      <c r="AT50" t="s">
        <v>960</v>
      </c>
      <c r="AU50">
        <v>2024</v>
      </c>
      <c r="AV50">
        <v>10</v>
      </c>
      <c r="AW50">
        <v>3</v>
      </c>
      <c r="AX50" t="s">
        <v>74</v>
      </c>
      <c r="AY50" t="s">
        <v>74</v>
      </c>
      <c r="AZ50" t="s">
        <v>74</v>
      </c>
      <c r="BA50" t="s">
        <v>74</v>
      </c>
      <c r="BB50" t="s">
        <v>74</v>
      </c>
      <c r="BC50" t="s">
        <v>74</v>
      </c>
      <c r="BD50" t="s">
        <v>74</v>
      </c>
      <c r="BE50" t="s">
        <v>961</v>
      </c>
      <c r="BF50" t="str">
        <f>HYPERLINK("http://dx.doi.org/10.1183/23120541.00654-2023","http://dx.doi.org/10.1183/23120541.00654-2023")</f>
        <v>http://dx.doi.org/10.1183/23120541.00654-2023</v>
      </c>
      <c r="BG50" t="s">
        <v>74</v>
      </c>
      <c r="BH50" t="s">
        <v>74</v>
      </c>
      <c r="BI50">
        <v>11</v>
      </c>
      <c r="BJ50" t="s">
        <v>228</v>
      </c>
      <c r="BK50" t="s">
        <v>101</v>
      </c>
      <c r="BL50" t="s">
        <v>228</v>
      </c>
      <c r="BM50" t="s">
        <v>962</v>
      </c>
      <c r="BN50">
        <v>38770007</v>
      </c>
      <c r="BO50" t="s">
        <v>293</v>
      </c>
      <c r="BP50" t="s">
        <v>74</v>
      </c>
      <c r="BQ50" t="s">
        <v>74</v>
      </c>
      <c r="BR50" t="s">
        <v>104</v>
      </c>
      <c r="BS50" t="s">
        <v>963</v>
      </c>
      <c r="BT50" t="str">
        <f>HYPERLINK("https%3A%2F%2Fwww.webofscience.com%2Fwos%2Fwoscc%2Ffull-record%2FWOS:001259009400010","View Full Record in Web of Science")</f>
        <v>View Full Record in Web of Science</v>
      </c>
    </row>
    <row r="51" spans="1:72" x14ac:dyDescent="0.25">
      <c r="A51" t="s">
        <v>72</v>
      </c>
      <c r="B51" t="s">
        <v>964</v>
      </c>
      <c r="C51" t="s">
        <v>74</v>
      </c>
      <c r="D51" t="s">
        <v>74</v>
      </c>
      <c r="E51" t="s">
        <v>74</v>
      </c>
      <c r="F51" t="s">
        <v>965</v>
      </c>
      <c r="G51" t="s">
        <v>74</v>
      </c>
      <c r="H51" t="s">
        <v>74</v>
      </c>
      <c r="I51" t="s">
        <v>966</v>
      </c>
      <c r="J51" t="s">
        <v>216</v>
      </c>
      <c r="K51" t="s">
        <v>74</v>
      </c>
      <c r="L51" t="s">
        <v>74</v>
      </c>
      <c r="M51" t="s">
        <v>78</v>
      </c>
      <c r="N51" t="s">
        <v>460</v>
      </c>
      <c r="O51" t="s">
        <v>74</v>
      </c>
      <c r="P51" t="s">
        <v>74</v>
      </c>
      <c r="Q51" t="s">
        <v>74</v>
      </c>
      <c r="R51" t="s">
        <v>74</v>
      </c>
      <c r="S51" t="s">
        <v>74</v>
      </c>
      <c r="T51" t="s">
        <v>74</v>
      </c>
      <c r="U51" t="s">
        <v>967</v>
      </c>
      <c r="V51" t="s">
        <v>74</v>
      </c>
      <c r="W51" t="s">
        <v>968</v>
      </c>
      <c r="X51" t="s">
        <v>969</v>
      </c>
      <c r="Y51" t="s">
        <v>970</v>
      </c>
      <c r="Z51" t="s">
        <v>971</v>
      </c>
      <c r="AA51" t="s">
        <v>972</v>
      </c>
      <c r="AB51" t="s">
        <v>973</v>
      </c>
      <c r="AC51" t="s">
        <v>974</v>
      </c>
      <c r="AD51" t="s">
        <v>975</v>
      </c>
      <c r="AE51" t="s">
        <v>976</v>
      </c>
      <c r="AF51" t="s">
        <v>74</v>
      </c>
      <c r="AG51">
        <v>16</v>
      </c>
      <c r="AH51">
        <v>0</v>
      </c>
      <c r="AI51">
        <v>0</v>
      </c>
      <c r="AJ51">
        <v>0</v>
      </c>
      <c r="AK51">
        <v>2</v>
      </c>
      <c r="AL51" t="s">
        <v>219</v>
      </c>
      <c r="AM51" t="s">
        <v>220</v>
      </c>
      <c r="AN51" t="s">
        <v>221</v>
      </c>
      <c r="AO51" t="s">
        <v>222</v>
      </c>
      <c r="AP51" t="s">
        <v>223</v>
      </c>
      <c r="AQ51" t="s">
        <v>74</v>
      </c>
      <c r="AR51" t="s">
        <v>224</v>
      </c>
      <c r="AS51" t="s">
        <v>225</v>
      </c>
      <c r="AT51" t="s">
        <v>960</v>
      </c>
      <c r="AU51">
        <v>2024</v>
      </c>
      <c r="AV51">
        <v>63</v>
      </c>
      <c r="AW51">
        <v>5</v>
      </c>
      <c r="AX51" t="s">
        <v>74</v>
      </c>
      <c r="AY51" t="s">
        <v>74</v>
      </c>
      <c r="AZ51" t="s">
        <v>74</v>
      </c>
      <c r="BA51" t="s">
        <v>74</v>
      </c>
      <c r="BB51" t="s">
        <v>74</v>
      </c>
      <c r="BC51" t="s">
        <v>74</v>
      </c>
      <c r="BD51">
        <v>2301649</v>
      </c>
      <c r="BE51" t="s">
        <v>977</v>
      </c>
      <c r="BF51" t="str">
        <f>HYPERLINK("http://dx.doi.org/10.1183/13993003.01649-2023","http://dx.doi.org/10.1183/13993003.01649-2023")</f>
        <v>http://dx.doi.org/10.1183/13993003.01649-2023</v>
      </c>
      <c r="BG51" t="s">
        <v>74</v>
      </c>
      <c r="BH51" t="s">
        <v>74</v>
      </c>
      <c r="BI51">
        <v>4</v>
      </c>
      <c r="BJ51" t="s">
        <v>228</v>
      </c>
      <c r="BK51" t="s">
        <v>101</v>
      </c>
      <c r="BL51" t="s">
        <v>228</v>
      </c>
      <c r="BM51" t="s">
        <v>978</v>
      </c>
      <c r="BN51">
        <v>38754963</v>
      </c>
      <c r="BO51" t="s">
        <v>161</v>
      </c>
      <c r="BP51" t="s">
        <v>74</v>
      </c>
      <c r="BQ51" t="s">
        <v>74</v>
      </c>
      <c r="BR51" t="s">
        <v>104</v>
      </c>
      <c r="BS51" t="s">
        <v>979</v>
      </c>
      <c r="BT51" t="str">
        <f>HYPERLINK("https%3A%2F%2Fwww.webofscience.com%2Fwos%2Fwoscc%2Ffull-record%2FWOS:001241275700005","View Full Record in Web of Science")</f>
        <v>View Full Record in Web of Science</v>
      </c>
    </row>
    <row r="52" spans="1:72" x14ac:dyDescent="0.25">
      <c r="A52" t="s">
        <v>72</v>
      </c>
      <c r="B52" t="s">
        <v>980</v>
      </c>
      <c r="C52" t="s">
        <v>74</v>
      </c>
      <c r="D52" t="s">
        <v>74</v>
      </c>
      <c r="E52" t="s">
        <v>74</v>
      </c>
      <c r="F52" t="s">
        <v>981</v>
      </c>
      <c r="G52" t="s">
        <v>74</v>
      </c>
      <c r="H52" t="s">
        <v>74</v>
      </c>
      <c r="I52" t="s">
        <v>982</v>
      </c>
      <c r="J52" t="s">
        <v>983</v>
      </c>
      <c r="K52" t="s">
        <v>74</v>
      </c>
      <c r="L52" t="s">
        <v>74</v>
      </c>
      <c r="M52" t="s">
        <v>78</v>
      </c>
      <c r="N52" t="s">
        <v>52</v>
      </c>
      <c r="O52" t="s">
        <v>984</v>
      </c>
      <c r="P52" t="s">
        <v>985</v>
      </c>
      <c r="Q52" t="s">
        <v>986</v>
      </c>
      <c r="R52" t="s">
        <v>987</v>
      </c>
      <c r="S52" t="s">
        <v>74</v>
      </c>
      <c r="T52" t="s">
        <v>74</v>
      </c>
      <c r="U52" t="s">
        <v>74</v>
      </c>
      <c r="V52" t="s">
        <v>74</v>
      </c>
      <c r="W52" t="s">
        <v>988</v>
      </c>
      <c r="X52" t="s">
        <v>989</v>
      </c>
      <c r="Y52" t="s">
        <v>74</v>
      </c>
      <c r="Z52" t="s">
        <v>74</v>
      </c>
      <c r="AA52" t="s">
        <v>990</v>
      </c>
      <c r="AB52" t="s">
        <v>74</v>
      </c>
      <c r="AC52" t="s">
        <v>74</v>
      </c>
      <c r="AD52" t="s">
        <v>74</v>
      </c>
      <c r="AE52" t="s">
        <v>74</v>
      </c>
      <c r="AF52" t="s">
        <v>74</v>
      </c>
      <c r="AG52">
        <v>0</v>
      </c>
      <c r="AH52">
        <v>2</v>
      </c>
      <c r="AI52">
        <v>2</v>
      </c>
      <c r="AJ52">
        <v>0</v>
      </c>
      <c r="AK52">
        <v>0</v>
      </c>
      <c r="AL52" t="s">
        <v>991</v>
      </c>
      <c r="AM52" t="s">
        <v>486</v>
      </c>
      <c r="AN52" t="s">
        <v>992</v>
      </c>
      <c r="AO52" t="s">
        <v>993</v>
      </c>
      <c r="AP52" t="s">
        <v>994</v>
      </c>
      <c r="AQ52" t="s">
        <v>74</v>
      </c>
      <c r="AR52" t="s">
        <v>995</v>
      </c>
      <c r="AS52" t="s">
        <v>996</v>
      </c>
      <c r="AT52" t="s">
        <v>997</v>
      </c>
      <c r="AU52">
        <v>2024</v>
      </c>
      <c r="AV52">
        <v>43</v>
      </c>
      <c r="AW52">
        <v>4</v>
      </c>
      <c r="AX52" t="s">
        <v>74</v>
      </c>
      <c r="AY52" t="s">
        <v>998</v>
      </c>
      <c r="AZ52" t="s">
        <v>74</v>
      </c>
      <c r="BA52">
        <v>161</v>
      </c>
      <c r="BB52" t="s">
        <v>999</v>
      </c>
      <c r="BC52" t="s">
        <v>999</v>
      </c>
      <c r="BD52" t="s">
        <v>74</v>
      </c>
      <c r="BE52" t="s">
        <v>74</v>
      </c>
      <c r="BF52" t="s">
        <v>74</v>
      </c>
      <c r="BG52" t="s">
        <v>74</v>
      </c>
      <c r="BH52" t="s">
        <v>74</v>
      </c>
      <c r="BI52">
        <v>1</v>
      </c>
      <c r="BJ52" t="s">
        <v>1000</v>
      </c>
      <c r="BK52" t="s">
        <v>512</v>
      </c>
      <c r="BL52" t="s">
        <v>1001</v>
      </c>
      <c r="BM52" t="s">
        <v>1002</v>
      </c>
      <c r="BN52" t="s">
        <v>74</v>
      </c>
      <c r="BO52" t="s">
        <v>74</v>
      </c>
      <c r="BP52" t="s">
        <v>74</v>
      </c>
      <c r="BQ52" t="s">
        <v>74</v>
      </c>
      <c r="BR52" t="s">
        <v>104</v>
      </c>
      <c r="BS52" t="s">
        <v>1003</v>
      </c>
      <c r="BT52" t="str">
        <f>HYPERLINK("https%3A%2F%2Fwww.webofscience.com%2Fwos%2Fwoscc%2Ffull-record%2FWOS:001281353100159","View Full Record in Web of Science")</f>
        <v>View Full Record in Web of Science</v>
      </c>
    </row>
    <row r="53" spans="1:72" x14ac:dyDescent="0.25">
      <c r="A53" t="s">
        <v>72</v>
      </c>
      <c r="B53" t="s">
        <v>1004</v>
      </c>
      <c r="C53" t="s">
        <v>74</v>
      </c>
      <c r="D53" t="s">
        <v>74</v>
      </c>
      <c r="E53" t="s">
        <v>74</v>
      </c>
      <c r="F53" t="s">
        <v>1005</v>
      </c>
      <c r="G53" t="s">
        <v>74</v>
      </c>
      <c r="H53" t="s">
        <v>948</v>
      </c>
      <c r="I53" t="s">
        <v>1006</v>
      </c>
      <c r="J53" t="s">
        <v>216</v>
      </c>
      <c r="K53" t="s">
        <v>74</v>
      </c>
      <c r="L53" t="s">
        <v>74</v>
      </c>
      <c r="M53" t="s">
        <v>78</v>
      </c>
      <c r="N53" t="s">
        <v>79</v>
      </c>
      <c r="O53" t="s">
        <v>74</v>
      </c>
      <c r="P53" t="s">
        <v>74</v>
      </c>
      <c r="Q53" t="s">
        <v>74</v>
      </c>
      <c r="R53" t="s">
        <v>74</v>
      </c>
      <c r="S53" t="s">
        <v>74</v>
      </c>
      <c r="T53" t="s">
        <v>74</v>
      </c>
      <c r="U53" t="s">
        <v>1007</v>
      </c>
      <c r="V53" t="s">
        <v>1008</v>
      </c>
      <c r="W53" t="s">
        <v>1009</v>
      </c>
      <c r="X53" t="s">
        <v>1010</v>
      </c>
      <c r="Y53" t="s">
        <v>1011</v>
      </c>
      <c r="Z53" t="s">
        <v>331</v>
      </c>
      <c r="AA53" t="s">
        <v>1012</v>
      </c>
      <c r="AB53" t="s">
        <v>1013</v>
      </c>
      <c r="AC53" t="s">
        <v>1014</v>
      </c>
      <c r="AD53" t="s">
        <v>1015</v>
      </c>
      <c r="AE53" t="s">
        <v>1016</v>
      </c>
      <c r="AF53" t="s">
        <v>74</v>
      </c>
      <c r="AG53">
        <v>45</v>
      </c>
      <c r="AH53">
        <v>8</v>
      </c>
      <c r="AI53">
        <v>8</v>
      </c>
      <c r="AJ53">
        <v>1</v>
      </c>
      <c r="AK53">
        <v>2</v>
      </c>
      <c r="AL53" t="s">
        <v>219</v>
      </c>
      <c r="AM53" t="s">
        <v>220</v>
      </c>
      <c r="AN53" t="s">
        <v>221</v>
      </c>
      <c r="AO53" t="s">
        <v>222</v>
      </c>
      <c r="AP53" t="s">
        <v>223</v>
      </c>
      <c r="AQ53" t="s">
        <v>74</v>
      </c>
      <c r="AR53" t="s">
        <v>224</v>
      </c>
      <c r="AS53" t="s">
        <v>225</v>
      </c>
      <c r="AT53" t="s">
        <v>1017</v>
      </c>
      <c r="AU53">
        <v>2024</v>
      </c>
      <c r="AV53">
        <v>63</v>
      </c>
      <c r="AW53">
        <v>4</v>
      </c>
      <c r="AX53" t="s">
        <v>74</v>
      </c>
      <c r="AY53" t="s">
        <v>74</v>
      </c>
      <c r="AZ53" t="s">
        <v>74</v>
      </c>
      <c r="BA53" t="s">
        <v>74</v>
      </c>
      <c r="BB53" t="s">
        <v>74</v>
      </c>
      <c r="BC53" t="s">
        <v>74</v>
      </c>
      <c r="BD53">
        <v>2301634</v>
      </c>
      <c r="BE53" t="s">
        <v>1018</v>
      </c>
      <c r="BF53" t="str">
        <f>HYPERLINK("http://dx.doi.org/10.1183/13993003.01634-2023","http://dx.doi.org/10.1183/13993003.01634-2023")</f>
        <v>http://dx.doi.org/10.1183/13993003.01634-2023</v>
      </c>
      <c r="BG53" t="s">
        <v>74</v>
      </c>
      <c r="BH53" t="s">
        <v>74</v>
      </c>
      <c r="BI53">
        <v>15</v>
      </c>
      <c r="BJ53" t="s">
        <v>228</v>
      </c>
      <c r="BK53" t="s">
        <v>101</v>
      </c>
      <c r="BL53" t="s">
        <v>228</v>
      </c>
      <c r="BM53" t="s">
        <v>1019</v>
      </c>
      <c r="BN53">
        <v>38514094</v>
      </c>
      <c r="BO53" t="s">
        <v>74</v>
      </c>
      <c r="BP53" t="s">
        <v>74</v>
      </c>
      <c r="BQ53" t="s">
        <v>74</v>
      </c>
      <c r="BR53" t="s">
        <v>104</v>
      </c>
      <c r="BS53" t="s">
        <v>1020</v>
      </c>
      <c r="BT53" t="str">
        <f>HYPERLINK("https%3A%2F%2Fwww.webofscience.com%2Fwos%2Fwoscc%2Ffull-record%2FWOS:001208899300008","View Full Record in Web of Science")</f>
        <v>View Full Record in Web of Science</v>
      </c>
    </row>
    <row r="54" spans="1:72" x14ac:dyDescent="0.25">
      <c r="A54" t="s">
        <v>72</v>
      </c>
      <c r="B54" t="s">
        <v>1021</v>
      </c>
      <c r="C54" t="s">
        <v>74</v>
      </c>
      <c r="D54" t="s">
        <v>74</v>
      </c>
      <c r="E54" t="s">
        <v>74</v>
      </c>
      <c r="F54" t="s">
        <v>1022</v>
      </c>
      <c r="G54" t="s">
        <v>74</v>
      </c>
      <c r="H54" t="s">
        <v>74</v>
      </c>
      <c r="I54" t="s">
        <v>1023</v>
      </c>
      <c r="J54" t="s">
        <v>1024</v>
      </c>
      <c r="K54" t="s">
        <v>74</v>
      </c>
      <c r="L54" t="s">
        <v>74</v>
      </c>
      <c r="M54" t="s">
        <v>78</v>
      </c>
      <c r="N54" t="s">
        <v>79</v>
      </c>
      <c r="O54" t="s">
        <v>74</v>
      </c>
      <c r="P54" t="s">
        <v>74</v>
      </c>
      <c r="Q54" t="s">
        <v>74</v>
      </c>
      <c r="R54" t="s">
        <v>74</v>
      </c>
      <c r="S54" t="s">
        <v>74</v>
      </c>
      <c r="T54" t="s">
        <v>74</v>
      </c>
      <c r="U54" t="s">
        <v>1025</v>
      </c>
      <c r="V54" t="s">
        <v>1026</v>
      </c>
      <c r="W54" t="s">
        <v>1027</v>
      </c>
      <c r="X54" t="s">
        <v>1028</v>
      </c>
      <c r="Y54" t="s">
        <v>1029</v>
      </c>
      <c r="Z54" t="s">
        <v>1030</v>
      </c>
      <c r="AA54" t="s">
        <v>1031</v>
      </c>
      <c r="AB54" t="s">
        <v>1032</v>
      </c>
      <c r="AC54" t="s">
        <v>74</v>
      </c>
      <c r="AD54" t="s">
        <v>74</v>
      </c>
      <c r="AE54" t="s">
        <v>74</v>
      </c>
      <c r="AF54" t="s">
        <v>74</v>
      </c>
      <c r="AG54">
        <v>8</v>
      </c>
      <c r="AH54">
        <v>7</v>
      </c>
      <c r="AI54">
        <v>7</v>
      </c>
      <c r="AJ54">
        <v>3</v>
      </c>
      <c r="AK54">
        <v>3</v>
      </c>
      <c r="AL54" t="s">
        <v>1033</v>
      </c>
      <c r="AM54" t="s">
        <v>1034</v>
      </c>
      <c r="AN54" t="s">
        <v>1035</v>
      </c>
      <c r="AO54" t="s">
        <v>1036</v>
      </c>
      <c r="AP54" t="s">
        <v>1037</v>
      </c>
      <c r="AQ54" t="s">
        <v>74</v>
      </c>
      <c r="AR54" t="s">
        <v>1024</v>
      </c>
      <c r="AS54" t="s">
        <v>1038</v>
      </c>
      <c r="AT54" t="s">
        <v>997</v>
      </c>
      <c r="AU54">
        <v>2024</v>
      </c>
      <c r="AV54">
        <v>20</v>
      </c>
      <c r="AW54">
        <v>8</v>
      </c>
      <c r="AX54" t="s">
        <v>74</v>
      </c>
      <c r="AY54" t="s">
        <v>74</v>
      </c>
      <c r="AZ54" t="s">
        <v>74</v>
      </c>
      <c r="BA54" t="s">
        <v>74</v>
      </c>
      <c r="BB54" t="s">
        <v>1039</v>
      </c>
      <c r="BC54" t="s">
        <v>1040</v>
      </c>
      <c r="BD54" t="s">
        <v>74</v>
      </c>
      <c r="BE54" t="s">
        <v>1041</v>
      </c>
      <c r="BF54" t="str">
        <f>HYPERLINK("http://dx.doi.org/10.4244/EIJ-D-23-00643","http://dx.doi.org/10.4244/EIJ-D-23-00643")</f>
        <v>http://dx.doi.org/10.4244/EIJ-D-23-00643</v>
      </c>
      <c r="BG54" t="s">
        <v>74</v>
      </c>
      <c r="BH54" t="s">
        <v>74</v>
      </c>
      <c r="BI54">
        <v>8</v>
      </c>
      <c r="BJ54" t="s">
        <v>132</v>
      </c>
      <c r="BK54" t="s">
        <v>101</v>
      </c>
      <c r="BL54" t="s">
        <v>133</v>
      </c>
      <c r="BM54" t="s">
        <v>1042</v>
      </c>
      <c r="BN54">
        <v>38629422</v>
      </c>
      <c r="BO54" t="s">
        <v>74</v>
      </c>
      <c r="BP54" t="s">
        <v>74</v>
      </c>
      <c r="BQ54" t="s">
        <v>74</v>
      </c>
      <c r="BR54" t="s">
        <v>104</v>
      </c>
      <c r="BS54" t="s">
        <v>1043</v>
      </c>
      <c r="BT54" t="str">
        <f>HYPERLINK("https%3A%2F%2Fwww.webofscience.com%2Fwos%2Fwoscc%2Ffull-record%2FWOS:001346226500006","View Full Record in Web of Science")</f>
        <v>View Full Record in Web of Science</v>
      </c>
    </row>
    <row r="55" spans="1:72" x14ac:dyDescent="0.25">
      <c r="A55" t="s">
        <v>72</v>
      </c>
      <c r="B55" t="s">
        <v>1044</v>
      </c>
      <c r="C55" t="s">
        <v>74</v>
      </c>
      <c r="D55" t="s">
        <v>74</v>
      </c>
      <c r="E55" t="s">
        <v>74</v>
      </c>
      <c r="F55" t="s">
        <v>1045</v>
      </c>
      <c r="G55" t="s">
        <v>74</v>
      </c>
      <c r="H55" t="s">
        <v>74</v>
      </c>
      <c r="I55" t="s">
        <v>1046</v>
      </c>
      <c r="J55" t="s">
        <v>1047</v>
      </c>
      <c r="K55" t="s">
        <v>74</v>
      </c>
      <c r="L55" t="s">
        <v>74</v>
      </c>
      <c r="M55" t="s">
        <v>78</v>
      </c>
      <c r="N55" t="s">
        <v>299</v>
      </c>
      <c r="O55" t="s">
        <v>74</v>
      </c>
      <c r="P55" t="s">
        <v>74</v>
      </c>
      <c r="Q55" t="s">
        <v>74</v>
      </c>
      <c r="R55" t="s">
        <v>74</v>
      </c>
      <c r="S55" t="s">
        <v>74</v>
      </c>
      <c r="T55" t="s">
        <v>1048</v>
      </c>
      <c r="U55" t="s">
        <v>1049</v>
      </c>
      <c r="V55" t="s">
        <v>1050</v>
      </c>
      <c r="W55" t="s">
        <v>1051</v>
      </c>
      <c r="X55" t="s">
        <v>1052</v>
      </c>
      <c r="Y55" t="s">
        <v>1053</v>
      </c>
      <c r="Z55" t="s">
        <v>377</v>
      </c>
      <c r="AA55" t="s">
        <v>144</v>
      </c>
      <c r="AB55" t="s">
        <v>74</v>
      </c>
      <c r="AC55" t="s">
        <v>74</v>
      </c>
      <c r="AD55" t="s">
        <v>74</v>
      </c>
      <c r="AE55" t="s">
        <v>74</v>
      </c>
      <c r="AF55" t="s">
        <v>74</v>
      </c>
      <c r="AG55">
        <v>176</v>
      </c>
      <c r="AH55">
        <v>1</v>
      </c>
      <c r="AI55">
        <v>1</v>
      </c>
      <c r="AJ55">
        <v>1</v>
      </c>
      <c r="AK55">
        <v>7</v>
      </c>
      <c r="AL55" t="s">
        <v>1054</v>
      </c>
      <c r="AM55" t="s">
        <v>486</v>
      </c>
      <c r="AN55" t="s">
        <v>1055</v>
      </c>
      <c r="AO55" t="s">
        <v>1056</v>
      </c>
      <c r="AP55" t="s">
        <v>1057</v>
      </c>
      <c r="AQ55" t="s">
        <v>74</v>
      </c>
      <c r="AR55" t="s">
        <v>1058</v>
      </c>
      <c r="AS55" t="s">
        <v>1059</v>
      </c>
      <c r="AT55" t="s">
        <v>1060</v>
      </c>
      <c r="AU55">
        <v>2024</v>
      </c>
      <c r="AV55">
        <v>45</v>
      </c>
      <c r="AW55">
        <v>3</v>
      </c>
      <c r="AX55" t="s">
        <v>74</v>
      </c>
      <c r="AY55" t="s">
        <v>74</v>
      </c>
      <c r="AZ55" t="s">
        <v>74</v>
      </c>
      <c r="BA55" t="s">
        <v>74</v>
      </c>
      <c r="BB55">
        <v>419</v>
      </c>
      <c r="BC55">
        <v>434</v>
      </c>
      <c r="BD55" t="s">
        <v>74</v>
      </c>
      <c r="BE55" t="s">
        <v>1061</v>
      </c>
      <c r="BF55" t="str">
        <f>HYPERLINK("http://dx.doi.org/10.1055/s-0044-1782217","http://dx.doi.org/10.1055/s-0044-1782217")</f>
        <v>http://dx.doi.org/10.1055/s-0044-1782217</v>
      </c>
      <c r="BG55" t="s">
        <v>74</v>
      </c>
      <c r="BH55" t="s">
        <v>1062</v>
      </c>
      <c r="BI55">
        <v>16</v>
      </c>
      <c r="BJ55" t="s">
        <v>341</v>
      </c>
      <c r="BK55" t="s">
        <v>101</v>
      </c>
      <c r="BL55" t="s">
        <v>342</v>
      </c>
      <c r="BM55" t="s">
        <v>1063</v>
      </c>
      <c r="BN55">
        <v>38499196</v>
      </c>
      <c r="BO55" t="s">
        <v>74</v>
      </c>
      <c r="BP55" t="s">
        <v>74</v>
      </c>
      <c r="BQ55" t="s">
        <v>74</v>
      </c>
      <c r="BR55" t="s">
        <v>104</v>
      </c>
      <c r="BS55" t="s">
        <v>1064</v>
      </c>
      <c r="BT55" t="str">
        <f>HYPERLINK("https%3A%2F%2Fwww.webofscience.com%2Fwos%2Fwoscc%2Ffull-record%2FWOS:001186741200001","View Full Record in Web of Science")</f>
        <v>View Full Record in Web of Science</v>
      </c>
    </row>
    <row r="56" spans="1:72" x14ac:dyDescent="0.25">
      <c r="A56" t="s">
        <v>72</v>
      </c>
      <c r="B56" t="s">
        <v>1065</v>
      </c>
      <c r="C56" t="s">
        <v>74</v>
      </c>
      <c r="D56" t="s">
        <v>74</v>
      </c>
      <c r="E56" t="s">
        <v>74</v>
      </c>
      <c r="F56" t="s">
        <v>1066</v>
      </c>
      <c r="G56" t="s">
        <v>74</v>
      </c>
      <c r="H56" t="s">
        <v>74</v>
      </c>
      <c r="I56" t="s">
        <v>1067</v>
      </c>
      <c r="J56" t="s">
        <v>1068</v>
      </c>
      <c r="K56" t="s">
        <v>74</v>
      </c>
      <c r="L56" t="s">
        <v>74</v>
      </c>
      <c r="M56" t="s">
        <v>78</v>
      </c>
      <c r="N56" t="s">
        <v>140</v>
      </c>
      <c r="O56" t="s">
        <v>74</v>
      </c>
      <c r="P56" t="s">
        <v>74</v>
      </c>
      <c r="Q56" t="s">
        <v>74</v>
      </c>
      <c r="R56" t="s">
        <v>74</v>
      </c>
      <c r="S56" t="s">
        <v>74</v>
      </c>
      <c r="T56" t="s">
        <v>74</v>
      </c>
      <c r="U56" t="s">
        <v>74</v>
      </c>
      <c r="V56" t="s">
        <v>74</v>
      </c>
      <c r="W56" t="s">
        <v>1069</v>
      </c>
      <c r="X56" t="s">
        <v>1070</v>
      </c>
      <c r="Y56" t="s">
        <v>1071</v>
      </c>
      <c r="Z56" t="s">
        <v>377</v>
      </c>
      <c r="AA56" t="s">
        <v>1072</v>
      </c>
      <c r="AB56" t="s">
        <v>74</v>
      </c>
      <c r="AC56" t="s">
        <v>74</v>
      </c>
      <c r="AD56" t="s">
        <v>74</v>
      </c>
      <c r="AE56" t="s">
        <v>74</v>
      </c>
      <c r="AF56" t="s">
        <v>74</v>
      </c>
      <c r="AG56">
        <v>15</v>
      </c>
      <c r="AH56">
        <v>2</v>
      </c>
      <c r="AI56">
        <v>2</v>
      </c>
      <c r="AJ56">
        <v>0</v>
      </c>
      <c r="AK56">
        <v>2</v>
      </c>
      <c r="AL56" t="s">
        <v>1073</v>
      </c>
      <c r="AM56" t="s">
        <v>1074</v>
      </c>
      <c r="AN56" t="s">
        <v>1075</v>
      </c>
      <c r="AO56" t="s">
        <v>1076</v>
      </c>
      <c r="AP56" t="s">
        <v>1077</v>
      </c>
      <c r="AQ56" t="s">
        <v>74</v>
      </c>
      <c r="AR56" t="s">
        <v>1078</v>
      </c>
      <c r="AS56" t="s">
        <v>1079</v>
      </c>
      <c r="AT56" t="s">
        <v>933</v>
      </c>
      <c r="AU56">
        <v>2024</v>
      </c>
      <c r="AV56">
        <v>45</v>
      </c>
      <c r="AW56">
        <v>21</v>
      </c>
      <c r="AX56" t="s">
        <v>74</v>
      </c>
      <c r="AY56" t="s">
        <v>74</v>
      </c>
      <c r="AZ56" t="s">
        <v>1080</v>
      </c>
      <c r="BA56" t="s">
        <v>74</v>
      </c>
      <c r="BB56">
        <v>1953</v>
      </c>
      <c r="BC56">
        <v>1955</v>
      </c>
      <c r="BD56" t="s">
        <v>74</v>
      </c>
      <c r="BE56" t="s">
        <v>1081</v>
      </c>
      <c r="BF56" t="str">
        <f>HYPERLINK("http://dx.doi.org/10.1093/eurheartj/ehae106","http://dx.doi.org/10.1093/eurheartj/ehae106")</f>
        <v>http://dx.doi.org/10.1093/eurheartj/ehae106</v>
      </c>
      <c r="BG56" t="s">
        <v>74</v>
      </c>
      <c r="BH56" t="s">
        <v>1062</v>
      </c>
      <c r="BI56">
        <v>3</v>
      </c>
      <c r="BJ56" t="s">
        <v>132</v>
      </c>
      <c r="BK56" t="s">
        <v>101</v>
      </c>
      <c r="BL56" t="s">
        <v>133</v>
      </c>
      <c r="BM56" t="s">
        <v>1082</v>
      </c>
      <c r="BN56">
        <v>38442135</v>
      </c>
      <c r="BO56" t="s">
        <v>74</v>
      </c>
      <c r="BP56" t="s">
        <v>74</v>
      </c>
      <c r="BQ56" t="s">
        <v>74</v>
      </c>
      <c r="BR56" t="s">
        <v>104</v>
      </c>
      <c r="BS56" t="s">
        <v>1083</v>
      </c>
      <c r="BT56" t="str">
        <f>HYPERLINK("https%3A%2F%2Fwww.webofscience.com%2Fwos%2Fwoscc%2Ffull-record%2FWOS:001179987900001","View Full Record in Web of Science")</f>
        <v>View Full Record in Web of Science</v>
      </c>
    </row>
    <row r="57" spans="1:72" x14ac:dyDescent="0.25">
      <c r="A57" t="s">
        <v>72</v>
      </c>
      <c r="B57" t="s">
        <v>1084</v>
      </c>
      <c r="C57" t="s">
        <v>74</v>
      </c>
      <c r="D57" t="s">
        <v>74</v>
      </c>
      <c r="E57" t="s">
        <v>74</v>
      </c>
      <c r="F57" t="s">
        <v>1085</v>
      </c>
      <c r="G57" t="s">
        <v>74</v>
      </c>
      <c r="H57" t="s">
        <v>74</v>
      </c>
      <c r="I57" t="s">
        <v>1086</v>
      </c>
      <c r="J57" t="s">
        <v>216</v>
      </c>
      <c r="K57" t="s">
        <v>74</v>
      </c>
      <c r="L57" t="s">
        <v>74</v>
      </c>
      <c r="M57" t="s">
        <v>78</v>
      </c>
      <c r="N57" t="s">
        <v>460</v>
      </c>
      <c r="O57" t="s">
        <v>74</v>
      </c>
      <c r="P57" t="s">
        <v>74</v>
      </c>
      <c r="Q57" t="s">
        <v>74</v>
      </c>
      <c r="R57" t="s">
        <v>74</v>
      </c>
      <c r="S57" t="s">
        <v>74</v>
      </c>
      <c r="T57" t="s">
        <v>74</v>
      </c>
      <c r="U57" t="s">
        <v>1087</v>
      </c>
      <c r="V57" t="s">
        <v>74</v>
      </c>
      <c r="W57" t="s">
        <v>1088</v>
      </c>
      <c r="X57" t="s">
        <v>1089</v>
      </c>
      <c r="Y57" t="s">
        <v>1090</v>
      </c>
      <c r="Z57" t="s">
        <v>1091</v>
      </c>
      <c r="AA57" t="s">
        <v>1092</v>
      </c>
      <c r="AB57" t="s">
        <v>1093</v>
      </c>
      <c r="AC57" t="s">
        <v>1094</v>
      </c>
      <c r="AD57" t="s">
        <v>1095</v>
      </c>
      <c r="AE57" t="s">
        <v>1096</v>
      </c>
      <c r="AF57" t="s">
        <v>74</v>
      </c>
      <c r="AG57">
        <v>32</v>
      </c>
      <c r="AH57">
        <v>4</v>
      </c>
      <c r="AI57">
        <v>4</v>
      </c>
      <c r="AJ57">
        <v>0</v>
      </c>
      <c r="AK57">
        <v>0</v>
      </c>
      <c r="AL57" t="s">
        <v>219</v>
      </c>
      <c r="AM57" t="s">
        <v>220</v>
      </c>
      <c r="AN57" t="s">
        <v>221</v>
      </c>
      <c r="AO57" t="s">
        <v>222</v>
      </c>
      <c r="AP57" t="s">
        <v>223</v>
      </c>
      <c r="AQ57" t="s">
        <v>74</v>
      </c>
      <c r="AR57" t="s">
        <v>224</v>
      </c>
      <c r="AS57" t="s">
        <v>225</v>
      </c>
      <c r="AT57" t="s">
        <v>1097</v>
      </c>
      <c r="AU57">
        <v>2024</v>
      </c>
      <c r="AV57">
        <v>63</v>
      </c>
      <c r="AW57">
        <v>3</v>
      </c>
      <c r="AX57" t="s">
        <v>74</v>
      </c>
      <c r="AY57" t="s">
        <v>74</v>
      </c>
      <c r="AZ57" t="s">
        <v>74</v>
      </c>
      <c r="BA57" t="s">
        <v>74</v>
      </c>
      <c r="BB57" t="s">
        <v>74</v>
      </c>
      <c r="BC57" t="s">
        <v>74</v>
      </c>
      <c r="BD57">
        <v>2302280</v>
      </c>
      <c r="BE57" t="s">
        <v>1098</v>
      </c>
      <c r="BF57" t="str">
        <f>HYPERLINK("http://dx.doi.org/10.1183/13993003.02280-2023","http://dx.doi.org/10.1183/13993003.02280-2023")</f>
        <v>http://dx.doi.org/10.1183/13993003.02280-2023</v>
      </c>
      <c r="BG57" t="s">
        <v>74</v>
      </c>
      <c r="BH57" t="s">
        <v>74</v>
      </c>
      <c r="BI57">
        <v>5</v>
      </c>
      <c r="BJ57" t="s">
        <v>228</v>
      </c>
      <c r="BK57" t="s">
        <v>101</v>
      </c>
      <c r="BL57" t="s">
        <v>228</v>
      </c>
      <c r="BM57" t="s">
        <v>1099</v>
      </c>
      <c r="BN57">
        <v>38359964</v>
      </c>
      <c r="BO57" t="s">
        <v>246</v>
      </c>
      <c r="BP57" t="s">
        <v>74</v>
      </c>
      <c r="BQ57" t="s">
        <v>74</v>
      </c>
      <c r="BR57" t="s">
        <v>104</v>
      </c>
      <c r="BS57" t="s">
        <v>1100</v>
      </c>
      <c r="BT57" t="str">
        <f>HYPERLINK("https%3A%2F%2Fwww.webofscience.com%2Fwos%2Fwoscc%2Ffull-record%2FWOS:001221182000010","View Full Record in Web of Science")</f>
        <v>View Full Record in Web of Science</v>
      </c>
    </row>
    <row r="58" spans="1:72" x14ac:dyDescent="0.25">
      <c r="A58" t="s">
        <v>72</v>
      </c>
      <c r="B58" t="s">
        <v>1101</v>
      </c>
      <c r="C58" t="s">
        <v>74</v>
      </c>
      <c r="D58" t="s">
        <v>74</v>
      </c>
      <c r="E58" t="s">
        <v>74</v>
      </c>
      <c r="F58" t="s">
        <v>1102</v>
      </c>
      <c r="G58" t="s">
        <v>74</v>
      </c>
      <c r="H58" t="s">
        <v>74</v>
      </c>
      <c r="I58" t="s">
        <v>1103</v>
      </c>
      <c r="J58" t="s">
        <v>1104</v>
      </c>
      <c r="K58" t="s">
        <v>74</v>
      </c>
      <c r="L58" t="s">
        <v>74</v>
      </c>
      <c r="M58" t="s">
        <v>78</v>
      </c>
      <c r="N58" t="s">
        <v>299</v>
      </c>
      <c r="O58" t="s">
        <v>74</v>
      </c>
      <c r="P58" t="s">
        <v>74</v>
      </c>
      <c r="Q58" t="s">
        <v>74</v>
      </c>
      <c r="R58" t="s">
        <v>74</v>
      </c>
      <c r="S58" t="s">
        <v>74</v>
      </c>
      <c r="T58" t="s">
        <v>1105</v>
      </c>
      <c r="U58" t="s">
        <v>1106</v>
      </c>
      <c r="V58" t="s">
        <v>1107</v>
      </c>
      <c r="W58" t="s">
        <v>1108</v>
      </c>
      <c r="X58" t="s">
        <v>1109</v>
      </c>
      <c r="Y58" t="s">
        <v>1110</v>
      </c>
      <c r="Z58" t="s">
        <v>331</v>
      </c>
      <c r="AA58" t="s">
        <v>1111</v>
      </c>
      <c r="AB58" t="s">
        <v>1112</v>
      </c>
      <c r="AC58" t="s">
        <v>74</v>
      </c>
      <c r="AD58" t="s">
        <v>74</v>
      </c>
      <c r="AE58" t="s">
        <v>74</v>
      </c>
      <c r="AF58" t="s">
        <v>74</v>
      </c>
      <c r="AG58">
        <v>59</v>
      </c>
      <c r="AH58">
        <v>2</v>
      </c>
      <c r="AI58">
        <v>2</v>
      </c>
      <c r="AJ58">
        <v>4</v>
      </c>
      <c r="AK58">
        <v>5</v>
      </c>
      <c r="AL58" t="s">
        <v>1113</v>
      </c>
      <c r="AM58" t="s">
        <v>1114</v>
      </c>
      <c r="AN58" t="s">
        <v>1115</v>
      </c>
      <c r="AO58" t="s">
        <v>74</v>
      </c>
      <c r="AP58" t="s">
        <v>1116</v>
      </c>
      <c r="AQ58" t="s">
        <v>74</v>
      </c>
      <c r="AR58" t="s">
        <v>1117</v>
      </c>
      <c r="AS58" t="s">
        <v>1118</v>
      </c>
      <c r="AT58" t="s">
        <v>98</v>
      </c>
      <c r="AU58">
        <v>2024</v>
      </c>
      <c r="AV58">
        <v>11</v>
      </c>
      <c r="AW58">
        <v>3</v>
      </c>
      <c r="AX58" t="s">
        <v>74</v>
      </c>
      <c r="AY58" t="s">
        <v>74</v>
      </c>
      <c r="AZ58" t="s">
        <v>74</v>
      </c>
      <c r="BA58" t="s">
        <v>74</v>
      </c>
      <c r="BB58" t="s">
        <v>74</v>
      </c>
      <c r="BC58" t="s">
        <v>74</v>
      </c>
      <c r="BD58">
        <v>78</v>
      </c>
      <c r="BE58" t="s">
        <v>1119</v>
      </c>
      <c r="BF58" t="str">
        <f>HYPERLINK("http://dx.doi.org/10.3390/jcdd11030078","http://dx.doi.org/10.3390/jcdd11030078")</f>
        <v>http://dx.doi.org/10.3390/jcdd11030078</v>
      </c>
      <c r="BG58" t="s">
        <v>74</v>
      </c>
      <c r="BH58" t="s">
        <v>74</v>
      </c>
      <c r="BI58">
        <v>12</v>
      </c>
      <c r="BJ58" t="s">
        <v>132</v>
      </c>
      <c r="BK58" t="s">
        <v>101</v>
      </c>
      <c r="BL58" t="s">
        <v>133</v>
      </c>
      <c r="BM58" t="s">
        <v>1120</v>
      </c>
      <c r="BN58">
        <v>38535101</v>
      </c>
      <c r="BO58" t="s">
        <v>809</v>
      </c>
      <c r="BP58" t="s">
        <v>74</v>
      </c>
      <c r="BQ58" t="s">
        <v>74</v>
      </c>
      <c r="BR58" t="s">
        <v>104</v>
      </c>
      <c r="BS58" t="s">
        <v>1121</v>
      </c>
      <c r="BT58" t="str">
        <f>HYPERLINK("https%3A%2F%2Fwww.webofscience.com%2Fwos%2Fwoscc%2Ffull-record%2FWOS:001193370500001","View Full Record in Web of Science")</f>
        <v>View Full Record in Web of Science</v>
      </c>
    </row>
    <row r="59" spans="1:72" x14ac:dyDescent="0.25">
      <c r="A59" t="s">
        <v>72</v>
      </c>
      <c r="B59" t="s">
        <v>1122</v>
      </c>
      <c r="C59" t="s">
        <v>74</v>
      </c>
      <c r="D59" t="s">
        <v>74</v>
      </c>
      <c r="E59" t="s">
        <v>74</v>
      </c>
      <c r="F59" t="s">
        <v>1123</v>
      </c>
      <c r="G59" t="s">
        <v>74</v>
      </c>
      <c r="H59" t="s">
        <v>74</v>
      </c>
      <c r="I59" t="s">
        <v>1124</v>
      </c>
      <c r="J59" t="s">
        <v>833</v>
      </c>
      <c r="K59" t="s">
        <v>74</v>
      </c>
      <c r="L59" t="s">
        <v>74</v>
      </c>
      <c r="M59" t="s">
        <v>78</v>
      </c>
      <c r="N59" t="s">
        <v>460</v>
      </c>
      <c r="O59" t="s">
        <v>74</v>
      </c>
      <c r="P59" t="s">
        <v>74</v>
      </c>
      <c r="Q59" t="s">
        <v>74</v>
      </c>
      <c r="R59" t="s">
        <v>74</v>
      </c>
      <c r="S59" t="s">
        <v>74</v>
      </c>
      <c r="T59" t="s">
        <v>74</v>
      </c>
      <c r="U59" t="s">
        <v>74</v>
      </c>
      <c r="V59" t="s">
        <v>74</v>
      </c>
      <c r="W59" t="s">
        <v>1125</v>
      </c>
      <c r="X59" t="s">
        <v>1126</v>
      </c>
      <c r="Y59" t="s">
        <v>1127</v>
      </c>
      <c r="Z59" t="s">
        <v>331</v>
      </c>
      <c r="AA59" t="s">
        <v>1128</v>
      </c>
      <c r="AB59" t="s">
        <v>1129</v>
      </c>
      <c r="AC59" t="s">
        <v>74</v>
      </c>
      <c r="AD59" t="s">
        <v>74</v>
      </c>
      <c r="AE59" t="s">
        <v>74</v>
      </c>
      <c r="AF59" t="s">
        <v>74</v>
      </c>
      <c r="AG59">
        <v>9</v>
      </c>
      <c r="AH59">
        <v>0</v>
      </c>
      <c r="AI59">
        <v>0</v>
      </c>
      <c r="AJ59">
        <v>0</v>
      </c>
      <c r="AK59">
        <v>1</v>
      </c>
      <c r="AL59" t="s">
        <v>649</v>
      </c>
      <c r="AM59" t="s">
        <v>486</v>
      </c>
      <c r="AN59" t="s">
        <v>650</v>
      </c>
      <c r="AO59" t="s">
        <v>844</v>
      </c>
      <c r="AP59" t="s">
        <v>845</v>
      </c>
      <c r="AQ59" t="s">
        <v>74</v>
      </c>
      <c r="AR59" t="s">
        <v>846</v>
      </c>
      <c r="AS59" t="s">
        <v>847</v>
      </c>
      <c r="AT59" t="s">
        <v>129</v>
      </c>
      <c r="AU59">
        <v>2024</v>
      </c>
      <c r="AV59">
        <v>70</v>
      </c>
      <c r="AW59">
        <v>2</v>
      </c>
      <c r="AX59" t="s">
        <v>74</v>
      </c>
      <c r="AY59" t="s">
        <v>74</v>
      </c>
      <c r="AZ59" t="s">
        <v>74</v>
      </c>
      <c r="BA59" t="s">
        <v>74</v>
      </c>
      <c r="BB59">
        <v>143</v>
      </c>
      <c r="BC59">
        <v>145</v>
      </c>
      <c r="BD59" t="s">
        <v>74</v>
      </c>
      <c r="BE59" t="s">
        <v>74</v>
      </c>
      <c r="BF59" t="s">
        <v>74</v>
      </c>
      <c r="BG59" t="s">
        <v>74</v>
      </c>
      <c r="BH59" t="s">
        <v>74</v>
      </c>
      <c r="BI59">
        <v>4</v>
      </c>
      <c r="BJ59" t="s">
        <v>849</v>
      </c>
      <c r="BK59" t="s">
        <v>101</v>
      </c>
      <c r="BL59" t="s">
        <v>849</v>
      </c>
      <c r="BM59" t="s">
        <v>1130</v>
      </c>
      <c r="BN59">
        <v>38299797</v>
      </c>
      <c r="BO59" t="s">
        <v>74</v>
      </c>
      <c r="BP59" t="s">
        <v>74</v>
      </c>
      <c r="BQ59" t="s">
        <v>74</v>
      </c>
      <c r="BR59" t="s">
        <v>104</v>
      </c>
      <c r="BS59" t="s">
        <v>1131</v>
      </c>
      <c r="BT59" t="str">
        <f>HYPERLINK("https%3A%2F%2Fwww.webofscience.com%2Fwos%2Fwoscc%2Ffull-record%2FWOS:001183679400010","View Full Record in Web of Science")</f>
        <v>View Full Record in Web of Science</v>
      </c>
    </row>
    <row r="60" spans="1:72" x14ac:dyDescent="0.25">
      <c r="A60" t="s">
        <v>72</v>
      </c>
      <c r="B60" t="s">
        <v>1132</v>
      </c>
      <c r="C60" t="s">
        <v>74</v>
      </c>
      <c r="D60" t="s">
        <v>74</v>
      </c>
      <c r="E60" t="s">
        <v>74</v>
      </c>
      <c r="F60" t="s">
        <v>1133</v>
      </c>
      <c r="G60" t="s">
        <v>74</v>
      </c>
      <c r="H60" t="s">
        <v>74</v>
      </c>
      <c r="I60" t="s">
        <v>1134</v>
      </c>
      <c r="J60" t="s">
        <v>1135</v>
      </c>
      <c r="K60" t="s">
        <v>74</v>
      </c>
      <c r="L60" t="s">
        <v>74</v>
      </c>
      <c r="M60" t="s">
        <v>78</v>
      </c>
      <c r="N60" t="s">
        <v>79</v>
      </c>
      <c r="O60" t="s">
        <v>74</v>
      </c>
      <c r="P60" t="s">
        <v>74</v>
      </c>
      <c r="Q60" t="s">
        <v>74</v>
      </c>
      <c r="R60" t="s">
        <v>74</v>
      </c>
      <c r="S60" t="s">
        <v>74</v>
      </c>
      <c r="T60" t="s">
        <v>74</v>
      </c>
      <c r="U60" t="s">
        <v>1136</v>
      </c>
      <c r="V60" t="s">
        <v>1137</v>
      </c>
      <c r="W60" t="s">
        <v>1138</v>
      </c>
      <c r="X60" t="s">
        <v>1139</v>
      </c>
      <c r="Y60" t="s">
        <v>1140</v>
      </c>
      <c r="Z60" t="s">
        <v>1141</v>
      </c>
      <c r="AA60" t="s">
        <v>144</v>
      </c>
      <c r="AB60" t="s">
        <v>1142</v>
      </c>
      <c r="AC60" t="s">
        <v>1143</v>
      </c>
      <c r="AD60" t="s">
        <v>1144</v>
      </c>
      <c r="AE60" t="s">
        <v>1145</v>
      </c>
      <c r="AF60" t="s">
        <v>74</v>
      </c>
      <c r="AG60">
        <v>28</v>
      </c>
      <c r="AH60">
        <v>53</v>
      </c>
      <c r="AI60">
        <v>53</v>
      </c>
      <c r="AJ60">
        <v>5</v>
      </c>
      <c r="AK60">
        <v>17</v>
      </c>
      <c r="AL60" t="s">
        <v>991</v>
      </c>
      <c r="AM60" t="s">
        <v>486</v>
      </c>
      <c r="AN60" t="s">
        <v>992</v>
      </c>
      <c r="AO60" t="s">
        <v>1146</v>
      </c>
      <c r="AP60" t="s">
        <v>1147</v>
      </c>
      <c r="AQ60" t="s">
        <v>74</v>
      </c>
      <c r="AR60" t="s">
        <v>1135</v>
      </c>
      <c r="AS60" t="s">
        <v>1148</v>
      </c>
      <c r="AT60" t="s">
        <v>1149</v>
      </c>
      <c r="AU60">
        <v>2024</v>
      </c>
      <c r="AV60">
        <v>403</v>
      </c>
      <c r="AW60">
        <v>10423</v>
      </c>
      <c r="AX60" t="s">
        <v>74</v>
      </c>
      <c r="AY60" t="s">
        <v>74</v>
      </c>
      <c r="AZ60" t="s">
        <v>74</v>
      </c>
      <c r="BA60" t="s">
        <v>74</v>
      </c>
      <c r="BB60" t="s">
        <v>74</v>
      </c>
      <c r="BC60" t="s">
        <v>74</v>
      </c>
      <c r="BD60" t="s">
        <v>74</v>
      </c>
      <c r="BE60" t="s">
        <v>1150</v>
      </c>
      <c r="BF60" t="str">
        <f>HYPERLINK("http://dx.doi.org/10.1016/S0140-6736(23)02284-5","http://dx.doi.org/10.1016/S0140-6736(23)02284-5")</f>
        <v>http://dx.doi.org/10.1016/S0140-6736(23)02284-5</v>
      </c>
      <c r="BG60" t="s">
        <v>74</v>
      </c>
      <c r="BH60" t="s">
        <v>1151</v>
      </c>
      <c r="BI60">
        <v>11</v>
      </c>
      <c r="BJ60" t="s">
        <v>1152</v>
      </c>
      <c r="BK60" t="s">
        <v>101</v>
      </c>
      <c r="BL60" t="s">
        <v>1153</v>
      </c>
      <c r="BM60" t="s">
        <v>1154</v>
      </c>
      <c r="BN60">
        <v>38071986</v>
      </c>
      <c r="BO60" t="s">
        <v>103</v>
      </c>
      <c r="BP60" t="s">
        <v>1155</v>
      </c>
      <c r="BQ60" t="s">
        <v>1156</v>
      </c>
      <c r="BR60" t="s">
        <v>104</v>
      </c>
      <c r="BS60" t="s">
        <v>1157</v>
      </c>
      <c r="BT60" t="str">
        <f>HYPERLINK("https%3A%2F%2Fwww.webofscience.com%2Fwos%2Fwoscc%2Ffull-record%2FWOS:001167867400001","View Full Record in Web of Science")</f>
        <v>View Full Record in Web of Science</v>
      </c>
    </row>
    <row r="61" spans="1:72" x14ac:dyDescent="0.25">
      <c r="A61" t="s">
        <v>72</v>
      </c>
      <c r="B61" t="s">
        <v>1158</v>
      </c>
      <c r="C61" t="s">
        <v>74</v>
      </c>
      <c r="D61" t="s">
        <v>74</v>
      </c>
      <c r="E61" t="s">
        <v>74</v>
      </c>
      <c r="F61" t="s">
        <v>1159</v>
      </c>
      <c r="G61" t="s">
        <v>74</v>
      </c>
      <c r="H61" t="s">
        <v>74</v>
      </c>
      <c r="I61" t="s">
        <v>1160</v>
      </c>
      <c r="J61" t="s">
        <v>1161</v>
      </c>
      <c r="K61" t="s">
        <v>74</v>
      </c>
      <c r="L61" t="s">
        <v>74</v>
      </c>
      <c r="M61" t="s">
        <v>78</v>
      </c>
      <c r="N61" t="s">
        <v>79</v>
      </c>
      <c r="O61" t="s">
        <v>74</v>
      </c>
      <c r="P61" t="s">
        <v>74</v>
      </c>
      <c r="Q61" t="s">
        <v>74</v>
      </c>
      <c r="R61" t="s">
        <v>74</v>
      </c>
      <c r="S61" t="s">
        <v>74</v>
      </c>
      <c r="T61" t="s">
        <v>1162</v>
      </c>
      <c r="U61" t="s">
        <v>1163</v>
      </c>
      <c r="V61" t="s">
        <v>74</v>
      </c>
      <c r="W61" t="s">
        <v>1164</v>
      </c>
      <c r="X61" t="s">
        <v>1165</v>
      </c>
      <c r="Y61" t="s">
        <v>1166</v>
      </c>
      <c r="Z61" t="s">
        <v>86</v>
      </c>
      <c r="AA61" t="s">
        <v>1167</v>
      </c>
      <c r="AB61" t="s">
        <v>1168</v>
      </c>
      <c r="AC61" t="s">
        <v>74</v>
      </c>
      <c r="AD61" t="s">
        <v>74</v>
      </c>
      <c r="AE61" t="s">
        <v>74</v>
      </c>
      <c r="AF61" t="s">
        <v>74</v>
      </c>
      <c r="AG61">
        <v>40</v>
      </c>
      <c r="AH61">
        <v>3</v>
      </c>
      <c r="AI61">
        <v>3</v>
      </c>
      <c r="AJ61">
        <v>0</v>
      </c>
      <c r="AK61">
        <v>4</v>
      </c>
      <c r="AL61" t="s">
        <v>1169</v>
      </c>
      <c r="AM61" t="s">
        <v>123</v>
      </c>
      <c r="AN61" t="s">
        <v>1170</v>
      </c>
      <c r="AO61" t="s">
        <v>1171</v>
      </c>
      <c r="AP61" t="s">
        <v>1172</v>
      </c>
      <c r="AQ61" t="s">
        <v>74</v>
      </c>
      <c r="AR61" t="s">
        <v>1173</v>
      </c>
      <c r="AS61" t="s">
        <v>1174</v>
      </c>
      <c r="AT61" t="s">
        <v>98</v>
      </c>
      <c r="AU61">
        <v>2024</v>
      </c>
      <c r="AV61">
        <v>45</v>
      </c>
      <c r="AW61">
        <v>1</v>
      </c>
      <c r="AX61" t="s">
        <v>74</v>
      </c>
      <c r="AY61" t="s">
        <v>74</v>
      </c>
      <c r="AZ61" t="s">
        <v>74</v>
      </c>
      <c r="BA61" t="s">
        <v>74</v>
      </c>
      <c r="BB61">
        <v>185</v>
      </c>
      <c r="BC61">
        <v>197</v>
      </c>
      <c r="BD61" t="s">
        <v>74</v>
      </c>
      <c r="BE61" t="s">
        <v>1175</v>
      </c>
      <c r="BF61" t="str">
        <f>HYPERLINK("http://dx.doi.org/10.1016/j.ccm.2023.08.007","http://dx.doi.org/10.1016/j.ccm.2023.08.007")</f>
        <v>http://dx.doi.org/10.1016/j.ccm.2023.08.007</v>
      </c>
      <c r="BG61" t="s">
        <v>74</v>
      </c>
      <c r="BH61" t="s">
        <v>1151</v>
      </c>
      <c r="BI61">
        <v>13</v>
      </c>
      <c r="BJ61" t="s">
        <v>228</v>
      </c>
      <c r="BK61" t="s">
        <v>101</v>
      </c>
      <c r="BL61" t="s">
        <v>228</v>
      </c>
      <c r="BM61" t="s">
        <v>1176</v>
      </c>
      <c r="BN61">
        <v>38245366</v>
      </c>
      <c r="BO61" t="s">
        <v>74</v>
      </c>
      <c r="BP61" t="s">
        <v>74</v>
      </c>
      <c r="BQ61" t="s">
        <v>74</v>
      </c>
      <c r="BR61" t="s">
        <v>104</v>
      </c>
      <c r="BS61" t="s">
        <v>1177</v>
      </c>
      <c r="BT61" t="str">
        <f>HYPERLINK("https%3A%2F%2Fwww.webofscience.com%2Fwos%2Fwoscc%2Ffull-record%2FWOS:001170842100001","View Full Record in Web of Science")</f>
        <v>View Full Record in Web of Science</v>
      </c>
    </row>
    <row r="62" spans="1:72" x14ac:dyDescent="0.25">
      <c r="A62" t="s">
        <v>72</v>
      </c>
      <c r="B62" t="s">
        <v>1178</v>
      </c>
      <c r="C62" t="s">
        <v>74</v>
      </c>
      <c r="D62" t="s">
        <v>74</v>
      </c>
      <c r="E62" t="s">
        <v>74</v>
      </c>
      <c r="F62" t="s">
        <v>1179</v>
      </c>
      <c r="G62" t="s">
        <v>74</v>
      </c>
      <c r="H62" t="s">
        <v>74</v>
      </c>
      <c r="I62" t="s">
        <v>1180</v>
      </c>
      <c r="J62" t="s">
        <v>1181</v>
      </c>
      <c r="K62" t="s">
        <v>74</v>
      </c>
      <c r="L62" t="s">
        <v>74</v>
      </c>
      <c r="M62" t="s">
        <v>78</v>
      </c>
      <c r="N62" t="s">
        <v>217</v>
      </c>
      <c r="O62" t="s">
        <v>74</v>
      </c>
      <c r="P62" t="s">
        <v>74</v>
      </c>
      <c r="Q62" t="s">
        <v>74</v>
      </c>
      <c r="R62" t="s">
        <v>74</v>
      </c>
      <c r="S62" t="s">
        <v>74</v>
      </c>
      <c r="T62" t="s">
        <v>74</v>
      </c>
      <c r="U62" t="s">
        <v>74</v>
      </c>
      <c r="V62" t="s">
        <v>74</v>
      </c>
      <c r="W62" t="s">
        <v>1182</v>
      </c>
      <c r="X62" t="s">
        <v>1183</v>
      </c>
      <c r="Y62" t="s">
        <v>1184</v>
      </c>
      <c r="Z62" t="s">
        <v>1185</v>
      </c>
      <c r="AA62" t="s">
        <v>1186</v>
      </c>
      <c r="AB62" t="s">
        <v>1187</v>
      </c>
      <c r="AC62" t="s">
        <v>74</v>
      </c>
      <c r="AD62" t="s">
        <v>74</v>
      </c>
      <c r="AE62" t="s">
        <v>74</v>
      </c>
      <c r="AF62" t="s">
        <v>74</v>
      </c>
      <c r="AG62">
        <v>0</v>
      </c>
      <c r="AH62">
        <v>2</v>
      </c>
      <c r="AI62">
        <v>2</v>
      </c>
      <c r="AJ62">
        <v>1</v>
      </c>
      <c r="AK62">
        <v>3</v>
      </c>
      <c r="AL62" t="s">
        <v>282</v>
      </c>
      <c r="AM62" t="s">
        <v>283</v>
      </c>
      <c r="AN62" t="s">
        <v>284</v>
      </c>
      <c r="AO62" t="s">
        <v>1188</v>
      </c>
      <c r="AP62" t="s">
        <v>74</v>
      </c>
      <c r="AQ62" t="s">
        <v>74</v>
      </c>
      <c r="AR62" t="s">
        <v>1189</v>
      </c>
      <c r="AS62" t="s">
        <v>1190</v>
      </c>
      <c r="AT62" t="s">
        <v>1191</v>
      </c>
      <c r="AU62">
        <v>2024</v>
      </c>
      <c r="AV62">
        <v>10</v>
      </c>
      <c r="AW62">
        <v>1</v>
      </c>
      <c r="AX62" t="s">
        <v>74</v>
      </c>
      <c r="AY62" t="s">
        <v>74</v>
      </c>
      <c r="AZ62" t="s">
        <v>74</v>
      </c>
      <c r="BA62" t="s">
        <v>74</v>
      </c>
      <c r="BB62" t="s">
        <v>74</v>
      </c>
      <c r="BC62" t="s">
        <v>74</v>
      </c>
      <c r="BD62">
        <v>5</v>
      </c>
      <c r="BE62" t="s">
        <v>1192</v>
      </c>
      <c r="BF62" t="str">
        <f>HYPERLINK("http://dx.doi.org/10.1038/s41572-024-00493-2","http://dx.doi.org/10.1038/s41572-024-00493-2")</f>
        <v>http://dx.doi.org/10.1038/s41572-024-00493-2</v>
      </c>
      <c r="BG62" t="s">
        <v>74</v>
      </c>
      <c r="BH62" t="s">
        <v>74</v>
      </c>
      <c r="BI62">
        <v>1</v>
      </c>
      <c r="BJ62" t="s">
        <v>1152</v>
      </c>
      <c r="BK62" t="s">
        <v>101</v>
      </c>
      <c r="BL62" t="s">
        <v>1153</v>
      </c>
      <c r="BM62" t="s">
        <v>1193</v>
      </c>
      <c r="BN62">
        <v>38233482</v>
      </c>
      <c r="BO62" t="s">
        <v>1194</v>
      </c>
      <c r="BP62" t="s">
        <v>74</v>
      </c>
      <c r="BQ62" t="s">
        <v>74</v>
      </c>
      <c r="BR62" t="s">
        <v>104</v>
      </c>
      <c r="BS62" t="s">
        <v>1195</v>
      </c>
      <c r="BT62" t="str">
        <f>HYPERLINK("https%3A%2F%2Fwww.webofscience.com%2Fwos%2Fwoscc%2Ffull-record%2FWOS:001146264300001","View Full Record in Web of Science")</f>
        <v>View Full Record in Web of Science</v>
      </c>
    </row>
    <row r="63" spans="1:72" x14ac:dyDescent="0.25">
      <c r="A63" t="s">
        <v>72</v>
      </c>
      <c r="B63" t="s">
        <v>1196</v>
      </c>
      <c r="C63" t="s">
        <v>74</v>
      </c>
      <c r="D63" t="s">
        <v>74</v>
      </c>
      <c r="E63" t="s">
        <v>74</v>
      </c>
      <c r="F63" t="s">
        <v>1197</v>
      </c>
      <c r="G63" t="s">
        <v>74</v>
      </c>
      <c r="H63" t="s">
        <v>74</v>
      </c>
      <c r="I63" t="s">
        <v>1198</v>
      </c>
      <c r="J63" t="s">
        <v>1199</v>
      </c>
      <c r="K63" t="s">
        <v>74</v>
      </c>
      <c r="L63" t="s">
        <v>74</v>
      </c>
      <c r="M63" t="s">
        <v>78</v>
      </c>
      <c r="N63" t="s">
        <v>79</v>
      </c>
      <c r="O63" t="s">
        <v>74</v>
      </c>
      <c r="P63" t="s">
        <v>74</v>
      </c>
      <c r="Q63" t="s">
        <v>74</v>
      </c>
      <c r="R63" t="s">
        <v>74</v>
      </c>
      <c r="S63" t="s">
        <v>74</v>
      </c>
      <c r="T63" t="s">
        <v>74</v>
      </c>
      <c r="U63" t="s">
        <v>1200</v>
      </c>
      <c r="V63" t="s">
        <v>1201</v>
      </c>
      <c r="W63" t="s">
        <v>1202</v>
      </c>
      <c r="X63" t="s">
        <v>1203</v>
      </c>
      <c r="Y63" t="s">
        <v>1204</v>
      </c>
      <c r="Z63" t="s">
        <v>1205</v>
      </c>
      <c r="AA63" t="s">
        <v>1206</v>
      </c>
      <c r="AB63" t="s">
        <v>1207</v>
      </c>
      <c r="AC63" t="s">
        <v>1208</v>
      </c>
      <c r="AD63" t="s">
        <v>1209</v>
      </c>
      <c r="AE63" t="s">
        <v>1210</v>
      </c>
      <c r="AF63" t="s">
        <v>74</v>
      </c>
      <c r="AG63">
        <v>58</v>
      </c>
      <c r="AH63">
        <v>7</v>
      </c>
      <c r="AI63">
        <v>7</v>
      </c>
      <c r="AJ63">
        <v>2</v>
      </c>
      <c r="AK63">
        <v>10</v>
      </c>
      <c r="AL63" t="s">
        <v>1211</v>
      </c>
      <c r="AM63" t="s">
        <v>1212</v>
      </c>
      <c r="AN63" t="s">
        <v>1213</v>
      </c>
      <c r="AO63" t="s">
        <v>1214</v>
      </c>
      <c r="AP63" t="s">
        <v>1215</v>
      </c>
      <c r="AQ63" t="s">
        <v>74</v>
      </c>
      <c r="AR63" t="s">
        <v>1216</v>
      </c>
      <c r="AS63" t="s">
        <v>1217</v>
      </c>
      <c r="AT63" t="s">
        <v>1218</v>
      </c>
      <c r="AU63">
        <v>2024</v>
      </c>
      <c r="AV63">
        <v>16</v>
      </c>
      <c r="AW63">
        <v>729</v>
      </c>
      <c r="AX63" t="s">
        <v>74</v>
      </c>
      <c r="AY63" t="s">
        <v>74</v>
      </c>
      <c r="AZ63" t="s">
        <v>74</v>
      </c>
      <c r="BA63" t="s">
        <v>74</v>
      </c>
      <c r="BB63" t="s">
        <v>74</v>
      </c>
      <c r="BC63" t="s">
        <v>74</v>
      </c>
      <c r="BD63" t="s">
        <v>1219</v>
      </c>
      <c r="BE63" t="s">
        <v>1220</v>
      </c>
      <c r="BF63" t="str">
        <f>HYPERLINK("http://dx.doi.org/10.1126/scitranslmed.add2029","http://dx.doi.org/10.1126/scitranslmed.add2029")</f>
        <v>http://dx.doi.org/10.1126/scitranslmed.add2029</v>
      </c>
      <c r="BG63" t="s">
        <v>74</v>
      </c>
      <c r="BH63" t="s">
        <v>74</v>
      </c>
      <c r="BI63">
        <v>17</v>
      </c>
      <c r="BJ63" t="s">
        <v>1221</v>
      </c>
      <c r="BK63" t="s">
        <v>101</v>
      </c>
      <c r="BL63" t="s">
        <v>1222</v>
      </c>
      <c r="BM63" t="s">
        <v>1223</v>
      </c>
      <c r="BN63">
        <v>38198571</v>
      </c>
      <c r="BO63" t="s">
        <v>1224</v>
      </c>
      <c r="BP63" t="s">
        <v>74</v>
      </c>
      <c r="BQ63" t="s">
        <v>74</v>
      </c>
      <c r="BR63" t="s">
        <v>104</v>
      </c>
      <c r="BS63" t="s">
        <v>1225</v>
      </c>
      <c r="BT63" t="str">
        <f>HYPERLINK("https%3A%2F%2Fwww.webofscience.com%2Fwos%2Fwoscc%2Ffull-record%2FWOS:001139915000004","View Full Record in Web of Science")</f>
        <v>View Full Record in Web of Science</v>
      </c>
    </row>
    <row r="64" spans="1:72" x14ac:dyDescent="0.25">
      <c r="A64" t="s">
        <v>72</v>
      </c>
      <c r="B64" t="s">
        <v>1178</v>
      </c>
      <c r="C64" t="s">
        <v>74</v>
      </c>
      <c r="D64" t="s">
        <v>74</v>
      </c>
      <c r="E64" t="s">
        <v>74</v>
      </c>
      <c r="F64" t="s">
        <v>1179</v>
      </c>
      <c r="G64" t="s">
        <v>74</v>
      </c>
      <c r="H64" t="s">
        <v>74</v>
      </c>
      <c r="I64" t="s">
        <v>1226</v>
      </c>
      <c r="J64" t="s">
        <v>1181</v>
      </c>
      <c r="K64" t="s">
        <v>74</v>
      </c>
      <c r="L64" t="s">
        <v>74</v>
      </c>
      <c r="M64" t="s">
        <v>78</v>
      </c>
      <c r="N64" t="s">
        <v>79</v>
      </c>
      <c r="O64" t="s">
        <v>74</v>
      </c>
      <c r="P64" t="s">
        <v>74</v>
      </c>
      <c r="Q64" t="s">
        <v>74</v>
      </c>
      <c r="R64" t="s">
        <v>74</v>
      </c>
      <c r="S64" t="s">
        <v>74</v>
      </c>
      <c r="T64" t="s">
        <v>74</v>
      </c>
      <c r="U64" t="s">
        <v>1227</v>
      </c>
      <c r="V64" t="s">
        <v>1228</v>
      </c>
      <c r="W64" t="s">
        <v>1229</v>
      </c>
      <c r="X64" t="s">
        <v>1230</v>
      </c>
      <c r="Y64" t="s">
        <v>1184</v>
      </c>
      <c r="Z64" t="s">
        <v>1185</v>
      </c>
      <c r="AA64" t="s">
        <v>1231</v>
      </c>
      <c r="AB64" t="s">
        <v>1232</v>
      </c>
      <c r="AC64" t="s">
        <v>74</v>
      </c>
      <c r="AD64" t="s">
        <v>74</v>
      </c>
      <c r="AE64" t="s">
        <v>74</v>
      </c>
      <c r="AF64" t="s">
        <v>74</v>
      </c>
      <c r="AG64">
        <v>235</v>
      </c>
      <c r="AH64">
        <v>76</v>
      </c>
      <c r="AI64">
        <v>81</v>
      </c>
      <c r="AJ64">
        <v>91</v>
      </c>
      <c r="AK64">
        <v>138</v>
      </c>
      <c r="AL64" t="s">
        <v>282</v>
      </c>
      <c r="AM64" t="s">
        <v>283</v>
      </c>
      <c r="AN64" t="s">
        <v>284</v>
      </c>
      <c r="AO64" t="s">
        <v>1188</v>
      </c>
      <c r="AP64" t="s">
        <v>74</v>
      </c>
      <c r="AQ64" t="s">
        <v>74</v>
      </c>
      <c r="AR64" t="s">
        <v>1189</v>
      </c>
      <c r="AS64" t="s">
        <v>1190</v>
      </c>
      <c r="AT64" t="s">
        <v>1233</v>
      </c>
      <c r="AU64">
        <v>2024</v>
      </c>
      <c r="AV64">
        <v>10</v>
      </c>
      <c r="AW64">
        <v>1</v>
      </c>
      <c r="AX64" t="s">
        <v>74</v>
      </c>
      <c r="AY64" t="s">
        <v>74</v>
      </c>
      <c r="AZ64" t="s">
        <v>74</v>
      </c>
      <c r="BA64" t="s">
        <v>74</v>
      </c>
      <c r="BB64" t="s">
        <v>74</v>
      </c>
      <c r="BC64" t="s">
        <v>74</v>
      </c>
      <c r="BD64">
        <v>1</v>
      </c>
      <c r="BE64" t="s">
        <v>1234</v>
      </c>
      <c r="BF64" t="str">
        <f>HYPERLINK("http://dx.doi.org/10.1038/s41572-023-00486-7","http://dx.doi.org/10.1038/s41572-023-00486-7")</f>
        <v>http://dx.doi.org/10.1038/s41572-023-00486-7</v>
      </c>
      <c r="BG64" t="s">
        <v>74</v>
      </c>
      <c r="BH64" t="s">
        <v>74</v>
      </c>
      <c r="BI64">
        <v>20</v>
      </c>
      <c r="BJ64" t="s">
        <v>1152</v>
      </c>
      <c r="BK64" t="s">
        <v>101</v>
      </c>
      <c r="BL64" t="s">
        <v>1153</v>
      </c>
      <c r="BM64" t="s">
        <v>1235</v>
      </c>
      <c r="BN64">
        <v>38177157</v>
      </c>
      <c r="BO64" t="s">
        <v>74</v>
      </c>
      <c r="BP64" t="s">
        <v>1155</v>
      </c>
      <c r="BQ64" t="s">
        <v>1155</v>
      </c>
      <c r="BR64" t="s">
        <v>104</v>
      </c>
      <c r="BS64" t="s">
        <v>1236</v>
      </c>
      <c r="BT64" t="str">
        <f>HYPERLINK("https%3A%2F%2Fwww.webofscience.com%2Fwos%2Fwoscc%2Ffull-record%2FWOS:001169509700001","View Full Record in Web of Science")</f>
        <v>View Full Record in Web of Science</v>
      </c>
    </row>
    <row r="65" spans="1:72" x14ac:dyDescent="0.25">
      <c r="A65" t="s">
        <v>72</v>
      </c>
      <c r="B65" t="s">
        <v>1237</v>
      </c>
      <c r="C65" t="s">
        <v>74</v>
      </c>
      <c r="D65" t="s">
        <v>74</v>
      </c>
      <c r="E65" t="s">
        <v>74</v>
      </c>
      <c r="F65" t="s">
        <v>1238</v>
      </c>
      <c r="G65" t="s">
        <v>74</v>
      </c>
      <c r="H65" t="s">
        <v>948</v>
      </c>
      <c r="I65" t="s">
        <v>1239</v>
      </c>
      <c r="J65" t="s">
        <v>793</v>
      </c>
      <c r="K65" t="s">
        <v>74</v>
      </c>
      <c r="L65" t="s">
        <v>74</v>
      </c>
      <c r="M65" t="s">
        <v>78</v>
      </c>
      <c r="N65" t="s">
        <v>79</v>
      </c>
      <c r="O65" t="s">
        <v>74</v>
      </c>
      <c r="P65" t="s">
        <v>74</v>
      </c>
      <c r="Q65" t="s">
        <v>74</v>
      </c>
      <c r="R65" t="s">
        <v>74</v>
      </c>
      <c r="S65" t="s">
        <v>74</v>
      </c>
      <c r="T65" t="s">
        <v>74</v>
      </c>
      <c r="U65" t="s">
        <v>1240</v>
      </c>
      <c r="V65" t="s">
        <v>1241</v>
      </c>
      <c r="W65" t="s">
        <v>1242</v>
      </c>
      <c r="X65" t="s">
        <v>1243</v>
      </c>
      <c r="Y65" t="s">
        <v>1244</v>
      </c>
      <c r="Z65" t="s">
        <v>331</v>
      </c>
      <c r="AA65" t="s">
        <v>1245</v>
      </c>
      <c r="AB65" t="s">
        <v>1246</v>
      </c>
      <c r="AC65" t="s">
        <v>74</v>
      </c>
      <c r="AD65" t="s">
        <v>74</v>
      </c>
      <c r="AE65" t="s">
        <v>74</v>
      </c>
      <c r="AF65" t="s">
        <v>74</v>
      </c>
      <c r="AG65">
        <v>15</v>
      </c>
      <c r="AH65">
        <v>7</v>
      </c>
      <c r="AI65">
        <v>7</v>
      </c>
      <c r="AJ65">
        <v>0</v>
      </c>
      <c r="AK65">
        <v>2</v>
      </c>
      <c r="AL65" t="s">
        <v>219</v>
      </c>
      <c r="AM65" t="s">
        <v>220</v>
      </c>
      <c r="AN65" t="s">
        <v>221</v>
      </c>
      <c r="AO65" t="s">
        <v>74</v>
      </c>
      <c r="AP65" t="s">
        <v>803</v>
      </c>
      <c r="AQ65" t="s">
        <v>74</v>
      </c>
      <c r="AR65" t="s">
        <v>804</v>
      </c>
      <c r="AS65" t="s">
        <v>805</v>
      </c>
      <c r="AT65" t="s">
        <v>1247</v>
      </c>
      <c r="AU65">
        <v>2024</v>
      </c>
      <c r="AV65">
        <v>10</v>
      </c>
      <c r="AW65">
        <v>1</v>
      </c>
      <c r="AX65" t="s">
        <v>74</v>
      </c>
      <c r="AY65" t="s">
        <v>74</v>
      </c>
      <c r="AZ65" t="s">
        <v>74</v>
      </c>
      <c r="BA65" t="s">
        <v>74</v>
      </c>
      <c r="BB65" t="s">
        <v>74</v>
      </c>
      <c r="BC65" t="s">
        <v>74</v>
      </c>
      <c r="BD65" t="s">
        <v>1248</v>
      </c>
      <c r="BE65" t="s">
        <v>1249</v>
      </c>
      <c r="BF65" t="str">
        <f>HYPERLINK("http://dx.doi.org/10.1183/23120541.00612-2023","http://dx.doi.org/10.1183/23120541.00612-2023")</f>
        <v>http://dx.doi.org/10.1183/23120541.00612-2023</v>
      </c>
      <c r="BG65" t="s">
        <v>74</v>
      </c>
      <c r="BH65" t="s">
        <v>74</v>
      </c>
      <c r="BI65">
        <v>13</v>
      </c>
      <c r="BJ65" t="s">
        <v>228</v>
      </c>
      <c r="BK65" t="s">
        <v>101</v>
      </c>
      <c r="BL65" t="s">
        <v>228</v>
      </c>
      <c r="BM65" t="s">
        <v>1250</v>
      </c>
      <c r="BN65">
        <v>38226059</v>
      </c>
      <c r="BO65" t="s">
        <v>293</v>
      </c>
      <c r="BP65" t="s">
        <v>74</v>
      </c>
      <c r="BQ65" t="s">
        <v>74</v>
      </c>
      <c r="BR65" t="s">
        <v>104</v>
      </c>
      <c r="BS65" t="s">
        <v>1251</v>
      </c>
      <c r="BT65" t="str">
        <f>HYPERLINK("https%3A%2F%2Fwww.webofscience.com%2Fwos%2Fwoscc%2Ffull-record%2FWOS:001141090300014","View Full Record in Web of Science")</f>
        <v>View Full Record in Web of Science</v>
      </c>
    </row>
    <row r="66" spans="1:72" x14ac:dyDescent="0.25">
      <c r="A66" t="s">
        <v>72</v>
      </c>
      <c r="B66" t="s">
        <v>1252</v>
      </c>
      <c r="C66" t="s">
        <v>74</v>
      </c>
      <c r="D66" t="s">
        <v>74</v>
      </c>
      <c r="E66" t="s">
        <v>74</v>
      </c>
      <c r="F66" t="s">
        <v>1253</v>
      </c>
      <c r="G66" t="s">
        <v>74</v>
      </c>
      <c r="H66" t="s">
        <v>74</v>
      </c>
      <c r="I66" t="s">
        <v>1254</v>
      </c>
      <c r="J66" t="s">
        <v>435</v>
      </c>
      <c r="K66" t="s">
        <v>74</v>
      </c>
      <c r="L66" t="s">
        <v>74</v>
      </c>
      <c r="M66" t="s">
        <v>78</v>
      </c>
      <c r="N66" t="s">
        <v>79</v>
      </c>
      <c r="O66" t="s">
        <v>74</v>
      </c>
      <c r="P66" t="s">
        <v>74</v>
      </c>
      <c r="Q66" t="s">
        <v>74</v>
      </c>
      <c r="R66" t="s">
        <v>74</v>
      </c>
      <c r="S66" t="s">
        <v>74</v>
      </c>
      <c r="T66" t="s">
        <v>1255</v>
      </c>
      <c r="U66" t="s">
        <v>1256</v>
      </c>
      <c r="V66" t="s">
        <v>1257</v>
      </c>
      <c r="W66" t="s">
        <v>1258</v>
      </c>
      <c r="X66" t="s">
        <v>1259</v>
      </c>
      <c r="Y66" t="s">
        <v>1260</v>
      </c>
      <c r="Z66" t="s">
        <v>1261</v>
      </c>
      <c r="AA66" t="s">
        <v>1262</v>
      </c>
      <c r="AB66" t="s">
        <v>1263</v>
      </c>
      <c r="AC66" t="s">
        <v>1264</v>
      </c>
      <c r="AD66" t="s">
        <v>1264</v>
      </c>
      <c r="AE66" t="s">
        <v>1265</v>
      </c>
      <c r="AF66" t="s">
        <v>74</v>
      </c>
      <c r="AG66">
        <v>35</v>
      </c>
      <c r="AH66">
        <v>1</v>
      </c>
      <c r="AI66">
        <v>1</v>
      </c>
      <c r="AJ66">
        <v>0</v>
      </c>
      <c r="AK66">
        <v>2</v>
      </c>
      <c r="AL66" t="s">
        <v>169</v>
      </c>
      <c r="AM66" t="s">
        <v>170</v>
      </c>
      <c r="AN66" t="s">
        <v>171</v>
      </c>
      <c r="AO66" t="s">
        <v>448</v>
      </c>
      <c r="AP66" t="s">
        <v>449</v>
      </c>
      <c r="AQ66" t="s">
        <v>74</v>
      </c>
      <c r="AR66" t="s">
        <v>450</v>
      </c>
      <c r="AS66" t="s">
        <v>451</v>
      </c>
      <c r="AT66" t="s">
        <v>176</v>
      </c>
      <c r="AU66">
        <v>2024</v>
      </c>
      <c r="AV66">
        <v>14</v>
      </c>
      <c r="AW66">
        <v>1</v>
      </c>
      <c r="AX66" t="s">
        <v>74</v>
      </c>
      <c r="AY66" t="s">
        <v>74</v>
      </c>
      <c r="AZ66" t="s">
        <v>74</v>
      </c>
      <c r="BA66" t="s">
        <v>74</v>
      </c>
      <c r="BB66" t="s">
        <v>74</v>
      </c>
      <c r="BC66" t="s">
        <v>74</v>
      </c>
      <c r="BD66" t="s">
        <v>1266</v>
      </c>
      <c r="BE66" t="s">
        <v>1267</v>
      </c>
      <c r="BF66" t="str">
        <f>HYPERLINK("http://dx.doi.org/10.1002/pul2.12352","http://dx.doi.org/10.1002/pul2.12352")</f>
        <v>http://dx.doi.org/10.1002/pul2.12352</v>
      </c>
      <c r="BG66" t="s">
        <v>74</v>
      </c>
      <c r="BH66" t="s">
        <v>74</v>
      </c>
      <c r="BI66">
        <v>13</v>
      </c>
      <c r="BJ66" t="s">
        <v>209</v>
      </c>
      <c r="BK66" t="s">
        <v>101</v>
      </c>
      <c r="BL66" t="s">
        <v>210</v>
      </c>
      <c r="BM66" t="s">
        <v>1268</v>
      </c>
      <c r="BN66">
        <v>38532768</v>
      </c>
      <c r="BO66" t="s">
        <v>809</v>
      </c>
      <c r="BP66" t="s">
        <v>74</v>
      </c>
      <c r="BQ66" t="s">
        <v>74</v>
      </c>
      <c r="BR66" t="s">
        <v>104</v>
      </c>
      <c r="BS66" t="s">
        <v>1269</v>
      </c>
      <c r="BT66" t="str">
        <f>HYPERLINK("https%3A%2F%2Fwww.webofscience.com%2Fwos%2Fwoscc%2Ffull-record%2FWOS:001190304000001","View Full Record in Web of Science")</f>
        <v>View Full Record in Web of Science</v>
      </c>
    </row>
    <row r="67" spans="1:72" x14ac:dyDescent="0.25">
      <c r="A67" t="s">
        <v>72</v>
      </c>
      <c r="B67" t="s">
        <v>1270</v>
      </c>
      <c r="C67" t="s">
        <v>74</v>
      </c>
      <c r="D67" t="s">
        <v>74</v>
      </c>
      <c r="E67" t="s">
        <v>74</v>
      </c>
      <c r="F67" t="s">
        <v>1271</v>
      </c>
      <c r="G67" t="s">
        <v>74</v>
      </c>
      <c r="H67" t="s">
        <v>74</v>
      </c>
      <c r="I67" t="s">
        <v>1272</v>
      </c>
      <c r="J67" t="s">
        <v>793</v>
      </c>
      <c r="K67" t="s">
        <v>74</v>
      </c>
      <c r="L67" t="s">
        <v>74</v>
      </c>
      <c r="M67" t="s">
        <v>78</v>
      </c>
      <c r="N67" t="s">
        <v>79</v>
      </c>
      <c r="O67" t="s">
        <v>74</v>
      </c>
      <c r="P67" t="s">
        <v>74</v>
      </c>
      <c r="Q67" t="s">
        <v>74</v>
      </c>
      <c r="R67" t="s">
        <v>74</v>
      </c>
      <c r="S67" t="s">
        <v>74</v>
      </c>
      <c r="T67" t="s">
        <v>74</v>
      </c>
      <c r="U67" t="s">
        <v>1273</v>
      </c>
      <c r="V67" t="s">
        <v>1274</v>
      </c>
      <c r="W67" t="s">
        <v>1275</v>
      </c>
      <c r="X67" t="s">
        <v>1276</v>
      </c>
      <c r="Y67" t="s">
        <v>1277</v>
      </c>
      <c r="Z67" t="s">
        <v>1278</v>
      </c>
      <c r="AA67" t="s">
        <v>1279</v>
      </c>
      <c r="AB67" t="s">
        <v>1280</v>
      </c>
      <c r="AC67" t="s">
        <v>1281</v>
      </c>
      <c r="AD67" t="s">
        <v>1282</v>
      </c>
      <c r="AE67" t="s">
        <v>1283</v>
      </c>
      <c r="AF67" t="s">
        <v>74</v>
      </c>
      <c r="AG67">
        <v>35</v>
      </c>
      <c r="AH67">
        <v>0</v>
      </c>
      <c r="AI67">
        <v>0</v>
      </c>
      <c r="AJ67">
        <v>0</v>
      </c>
      <c r="AK67">
        <v>0</v>
      </c>
      <c r="AL67" t="s">
        <v>219</v>
      </c>
      <c r="AM67" t="s">
        <v>220</v>
      </c>
      <c r="AN67" t="s">
        <v>221</v>
      </c>
      <c r="AO67" t="s">
        <v>74</v>
      </c>
      <c r="AP67" t="s">
        <v>803</v>
      </c>
      <c r="AQ67" t="s">
        <v>74</v>
      </c>
      <c r="AR67" t="s">
        <v>804</v>
      </c>
      <c r="AS67" t="s">
        <v>805</v>
      </c>
      <c r="AT67" t="s">
        <v>1247</v>
      </c>
      <c r="AU67">
        <v>2024</v>
      </c>
      <c r="AV67">
        <v>10</v>
      </c>
      <c r="AW67">
        <v>1</v>
      </c>
      <c r="AX67" t="s">
        <v>74</v>
      </c>
      <c r="AY67" t="s">
        <v>74</v>
      </c>
      <c r="AZ67" t="s">
        <v>74</v>
      </c>
      <c r="BA67" t="s">
        <v>74</v>
      </c>
      <c r="BB67" t="s">
        <v>74</v>
      </c>
      <c r="BC67" t="s">
        <v>74</v>
      </c>
      <c r="BD67" t="s">
        <v>74</v>
      </c>
      <c r="BE67" t="s">
        <v>1284</v>
      </c>
      <c r="BF67" t="str">
        <f>HYPERLINK("http://dx.doi.org/10.1183/23120541.00521-2023","http://dx.doi.org/10.1183/23120541.00521-2023")</f>
        <v>http://dx.doi.org/10.1183/23120541.00521-2023</v>
      </c>
      <c r="BG67" t="s">
        <v>74</v>
      </c>
      <c r="BH67" t="s">
        <v>74</v>
      </c>
      <c r="BI67">
        <v>11</v>
      </c>
      <c r="BJ67" t="s">
        <v>228</v>
      </c>
      <c r="BK67" t="s">
        <v>101</v>
      </c>
      <c r="BL67" t="s">
        <v>228</v>
      </c>
      <c r="BM67" t="s">
        <v>1285</v>
      </c>
      <c r="BN67">
        <v>38259809</v>
      </c>
      <c r="BO67" t="s">
        <v>809</v>
      </c>
      <c r="BP67" t="s">
        <v>74</v>
      </c>
      <c r="BQ67" t="s">
        <v>74</v>
      </c>
      <c r="BR67" t="s">
        <v>104</v>
      </c>
      <c r="BS67" t="s">
        <v>1286</v>
      </c>
      <c r="BT67" t="str">
        <f>HYPERLINK("https%3A%2F%2Fwww.webofscience.com%2Fwos%2Fwoscc%2Ffull-record%2FWOS:001150057300004","View Full Record in Web of Science")</f>
        <v>View Full Record in Web of Science</v>
      </c>
    </row>
    <row r="68" spans="1:72" x14ac:dyDescent="0.25">
      <c r="A68" t="s">
        <v>72</v>
      </c>
      <c r="B68" t="s">
        <v>1287</v>
      </c>
      <c r="C68" t="s">
        <v>74</v>
      </c>
      <c r="D68" t="s">
        <v>74</v>
      </c>
      <c r="E68" t="s">
        <v>74</v>
      </c>
      <c r="F68" t="s">
        <v>1288</v>
      </c>
      <c r="G68" t="s">
        <v>74</v>
      </c>
      <c r="H68" t="s">
        <v>74</v>
      </c>
      <c r="I68" t="s">
        <v>1289</v>
      </c>
      <c r="J68" t="s">
        <v>983</v>
      </c>
      <c r="K68" t="s">
        <v>74</v>
      </c>
      <c r="L68" t="s">
        <v>74</v>
      </c>
      <c r="M68" t="s">
        <v>78</v>
      </c>
      <c r="N68" t="s">
        <v>79</v>
      </c>
      <c r="O68" t="s">
        <v>74</v>
      </c>
      <c r="P68" t="s">
        <v>74</v>
      </c>
      <c r="Q68" t="s">
        <v>74</v>
      </c>
      <c r="R68" t="s">
        <v>74</v>
      </c>
      <c r="S68" t="s">
        <v>74</v>
      </c>
      <c r="T68" t="s">
        <v>1290</v>
      </c>
      <c r="U68" t="s">
        <v>1291</v>
      </c>
      <c r="V68" t="s">
        <v>1292</v>
      </c>
      <c r="W68" t="s">
        <v>1293</v>
      </c>
      <c r="X68" t="s">
        <v>1294</v>
      </c>
      <c r="Y68" t="s">
        <v>1295</v>
      </c>
      <c r="Z68" t="s">
        <v>1296</v>
      </c>
      <c r="AA68" t="s">
        <v>1297</v>
      </c>
      <c r="AB68" t="s">
        <v>1298</v>
      </c>
      <c r="AC68" t="s">
        <v>1299</v>
      </c>
      <c r="AD68" t="s">
        <v>1300</v>
      </c>
      <c r="AE68" t="s">
        <v>1301</v>
      </c>
      <c r="AF68" t="s">
        <v>74</v>
      </c>
      <c r="AG68">
        <v>25</v>
      </c>
      <c r="AH68">
        <v>0</v>
      </c>
      <c r="AI68">
        <v>0</v>
      </c>
      <c r="AJ68">
        <v>2</v>
      </c>
      <c r="AK68">
        <v>2</v>
      </c>
      <c r="AL68" t="s">
        <v>991</v>
      </c>
      <c r="AM68" t="s">
        <v>486</v>
      </c>
      <c r="AN68" t="s">
        <v>992</v>
      </c>
      <c r="AO68" t="s">
        <v>993</v>
      </c>
      <c r="AP68" t="s">
        <v>994</v>
      </c>
      <c r="AQ68" t="s">
        <v>74</v>
      </c>
      <c r="AR68" t="s">
        <v>995</v>
      </c>
      <c r="AS68" t="s">
        <v>996</v>
      </c>
      <c r="AT68" t="s">
        <v>176</v>
      </c>
      <c r="AU68">
        <v>2024</v>
      </c>
      <c r="AV68">
        <v>43</v>
      </c>
      <c r="AW68">
        <v>1</v>
      </c>
      <c r="AX68" t="s">
        <v>74</v>
      </c>
      <c r="AY68" t="s">
        <v>74</v>
      </c>
      <c r="AZ68" t="s">
        <v>74</v>
      </c>
      <c r="BA68" t="s">
        <v>74</v>
      </c>
      <c r="BB68">
        <v>120</v>
      </c>
      <c r="BC68">
        <v>133</v>
      </c>
      <c r="BD68" t="s">
        <v>74</v>
      </c>
      <c r="BE68" t="s">
        <v>1302</v>
      </c>
      <c r="BF68" t="str">
        <f>HYPERLINK("http://dx.doi.org/10.1016/j.healun.2023.09.003","http://dx.doi.org/10.1016/j.healun.2023.09.003")</f>
        <v>http://dx.doi.org/10.1016/j.healun.2023.09.003</v>
      </c>
      <c r="BG68" t="s">
        <v>74</v>
      </c>
      <c r="BH68" t="s">
        <v>1303</v>
      </c>
      <c r="BI68">
        <v>14</v>
      </c>
      <c r="BJ68" t="s">
        <v>1000</v>
      </c>
      <c r="BK68" t="s">
        <v>101</v>
      </c>
      <c r="BL68" t="s">
        <v>1001</v>
      </c>
      <c r="BM68" t="s">
        <v>1304</v>
      </c>
      <c r="BN68">
        <v>37704159</v>
      </c>
      <c r="BO68" t="s">
        <v>74</v>
      </c>
      <c r="BP68" t="s">
        <v>74</v>
      </c>
      <c r="BQ68" t="s">
        <v>74</v>
      </c>
      <c r="BR68" t="s">
        <v>104</v>
      </c>
      <c r="BS68" t="s">
        <v>1305</v>
      </c>
      <c r="BT68" t="str">
        <f>HYPERLINK("https%3A%2F%2Fwww.webofscience.com%2Fwos%2Fwoscc%2Ffull-record%2FWOS:001137958000001","View Full Record in Web of Science")</f>
        <v>View Full Record in Web of Science</v>
      </c>
    </row>
    <row r="69" spans="1:72" x14ac:dyDescent="0.25">
      <c r="A69" t="s">
        <v>72</v>
      </c>
      <c r="B69" t="s">
        <v>1306</v>
      </c>
      <c r="C69" t="s">
        <v>74</v>
      </c>
      <c r="D69" t="s">
        <v>74</v>
      </c>
      <c r="E69" t="s">
        <v>74</v>
      </c>
      <c r="F69" t="s">
        <v>1307</v>
      </c>
      <c r="G69" t="s">
        <v>74</v>
      </c>
      <c r="H69" t="s">
        <v>74</v>
      </c>
      <c r="I69" t="s">
        <v>1308</v>
      </c>
      <c r="J69" t="s">
        <v>1047</v>
      </c>
      <c r="K69" t="s">
        <v>74</v>
      </c>
      <c r="L69" t="s">
        <v>74</v>
      </c>
      <c r="M69" t="s">
        <v>78</v>
      </c>
      <c r="N69" t="s">
        <v>140</v>
      </c>
      <c r="O69" t="s">
        <v>74</v>
      </c>
      <c r="P69" t="s">
        <v>74</v>
      </c>
      <c r="Q69" t="s">
        <v>74</v>
      </c>
      <c r="R69" t="s">
        <v>74</v>
      </c>
      <c r="S69" t="s">
        <v>74</v>
      </c>
      <c r="T69" t="s">
        <v>74</v>
      </c>
      <c r="U69" t="s">
        <v>74</v>
      </c>
      <c r="V69" t="s">
        <v>74</v>
      </c>
      <c r="W69" t="s">
        <v>1309</v>
      </c>
      <c r="X69" t="s">
        <v>1310</v>
      </c>
      <c r="Y69" t="s">
        <v>1311</v>
      </c>
      <c r="Z69" t="s">
        <v>1312</v>
      </c>
      <c r="AA69" t="s">
        <v>144</v>
      </c>
      <c r="AB69" t="s">
        <v>257</v>
      </c>
      <c r="AC69" t="s">
        <v>74</v>
      </c>
      <c r="AD69" t="s">
        <v>74</v>
      </c>
      <c r="AE69" t="s">
        <v>74</v>
      </c>
      <c r="AF69" t="s">
        <v>74</v>
      </c>
      <c r="AG69">
        <v>1</v>
      </c>
      <c r="AH69">
        <v>0</v>
      </c>
      <c r="AI69">
        <v>0</v>
      </c>
      <c r="AJ69">
        <v>0</v>
      </c>
      <c r="AK69">
        <v>2</v>
      </c>
      <c r="AL69" t="s">
        <v>1054</v>
      </c>
      <c r="AM69" t="s">
        <v>486</v>
      </c>
      <c r="AN69" t="s">
        <v>1055</v>
      </c>
      <c r="AO69" t="s">
        <v>1056</v>
      </c>
      <c r="AP69" t="s">
        <v>1057</v>
      </c>
      <c r="AQ69" t="s">
        <v>74</v>
      </c>
      <c r="AR69" t="s">
        <v>1058</v>
      </c>
      <c r="AS69" t="s">
        <v>1059</v>
      </c>
      <c r="AT69" t="s">
        <v>226</v>
      </c>
      <c r="AU69">
        <v>2023</v>
      </c>
      <c r="AV69">
        <v>44</v>
      </c>
      <c r="AW69">
        <v>6</v>
      </c>
      <c r="AX69" t="s">
        <v>74</v>
      </c>
      <c r="AY69" t="s">
        <v>74</v>
      </c>
      <c r="AZ69" t="s">
        <v>74</v>
      </c>
      <c r="BA69" t="s">
        <v>74</v>
      </c>
      <c r="BB69">
        <v>719</v>
      </c>
      <c r="BC69">
        <v>720</v>
      </c>
      <c r="BD69" t="s">
        <v>74</v>
      </c>
      <c r="BE69" t="s">
        <v>1313</v>
      </c>
      <c r="BF69" t="str">
        <f>HYPERLINK("http://dx.doi.org/10.1055/s-0043-1772751","http://dx.doi.org/10.1055/s-0043-1772751")</f>
        <v>http://dx.doi.org/10.1055/s-0043-1772751</v>
      </c>
      <c r="BG69" t="s">
        <v>74</v>
      </c>
      <c r="BH69" t="s">
        <v>74</v>
      </c>
      <c r="BI69">
        <v>2</v>
      </c>
      <c r="BJ69" t="s">
        <v>341</v>
      </c>
      <c r="BK69" t="s">
        <v>101</v>
      </c>
      <c r="BL69" t="s">
        <v>342</v>
      </c>
      <c r="BM69" t="s">
        <v>1314</v>
      </c>
      <c r="BN69">
        <v>37903490</v>
      </c>
      <c r="BO69" t="s">
        <v>74</v>
      </c>
      <c r="BP69" t="s">
        <v>74</v>
      </c>
      <c r="BQ69" t="s">
        <v>74</v>
      </c>
      <c r="BR69" t="s">
        <v>104</v>
      </c>
      <c r="BS69" t="s">
        <v>1315</v>
      </c>
      <c r="BT69" t="str">
        <f>HYPERLINK("https%3A%2F%2Fwww.webofscience.com%2Fwos%2Fwoscc%2Ffull-record%2FWOS:001100856900001","View Full Record in Web of Science")</f>
        <v>View Full Record in Web of Science</v>
      </c>
    </row>
    <row r="70" spans="1:72" x14ac:dyDescent="0.25">
      <c r="A70" t="s">
        <v>72</v>
      </c>
      <c r="B70" t="s">
        <v>1316</v>
      </c>
      <c r="C70" t="s">
        <v>74</v>
      </c>
      <c r="D70" t="s">
        <v>74</v>
      </c>
      <c r="E70" t="s">
        <v>74</v>
      </c>
      <c r="F70" t="s">
        <v>1317</v>
      </c>
      <c r="G70" t="s">
        <v>74</v>
      </c>
      <c r="H70" t="s">
        <v>74</v>
      </c>
      <c r="I70" t="s">
        <v>1318</v>
      </c>
      <c r="J70" t="s">
        <v>1319</v>
      </c>
      <c r="K70" t="s">
        <v>74</v>
      </c>
      <c r="L70" t="s">
        <v>74</v>
      </c>
      <c r="M70" t="s">
        <v>78</v>
      </c>
      <c r="N70" t="s">
        <v>1320</v>
      </c>
      <c r="O70" t="s">
        <v>74</v>
      </c>
      <c r="P70" t="s">
        <v>74</v>
      </c>
      <c r="Q70" t="s">
        <v>74</v>
      </c>
      <c r="R70" t="s">
        <v>74</v>
      </c>
      <c r="S70" t="s">
        <v>74</v>
      </c>
      <c r="T70" t="s">
        <v>1321</v>
      </c>
      <c r="U70" t="s">
        <v>1322</v>
      </c>
      <c r="V70" t="s">
        <v>1323</v>
      </c>
      <c r="W70" t="s">
        <v>1324</v>
      </c>
      <c r="X70" t="s">
        <v>1325</v>
      </c>
      <c r="Y70" t="s">
        <v>1326</v>
      </c>
      <c r="Z70" t="s">
        <v>1327</v>
      </c>
      <c r="AA70" t="s">
        <v>1328</v>
      </c>
      <c r="AB70" t="s">
        <v>1329</v>
      </c>
      <c r="AC70" t="s">
        <v>74</v>
      </c>
      <c r="AD70" t="s">
        <v>74</v>
      </c>
      <c r="AE70" t="s">
        <v>74</v>
      </c>
      <c r="AF70" t="s">
        <v>74</v>
      </c>
      <c r="AG70">
        <v>72</v>
      </c>
      <c r="AH70">
        <v>1</v>
      </c>
      <c r="AI70">
        <v>1</v>
      </c>
      <c r="AJ70">
        <v>1</v>
      </c>
      <c r="AK70">
        <v>6</v>
      </c>
      <c r="AL70" t="s">
        <v>1330</v>
      </c>
      <c r="AM70" t="s">
        <v>1331</v>
      </c>
      <c r="AN70" t="s">
        <v>1332</v>
      </c>
      <c r="AO70" t="s">
        <v>1333</v>
      </c>
      <c r="AP70" t="s">
        <v>1334</v>
      </c>
      <c r="AQ70" t="s">
        <v>74</v>
      </c>
      <c r="AR70" t="s">
        <v>1335</v>
      </c>
      <c r="AS70" t="s">
        <v>1336</v>
      </c>
      <c r="AT70" t="s">
        <v>1337</v>
      </c>
      <c r="AU70">
        <v>2023</v>
      </c>
      <c r="AV70" t="s">
        <v>74</v>
      </c>
      <c r="AW70" t="s">
        <v>74</v>
      </c>
      <c r="AX70" t="s">
        <v>74</v>
      </c>
      <c r="AY70" t="s">
        <v>74</v>
      </c>
      <c r="AZ70" t="s">
        <v>74</v>
      </c>
      <c r="BA70" t="s">
        <v>74</v>
      </c>
      <c r="BB70" t="s">
        <v>74</v>
      </c>
      <c r="BC70" t="s">
        <v>74</v>
      </c>
      <c r="BD70" t="s">
        <v>74</v>
      </c>
      <c r="BE70" t="s">
        <v>1338</v>
      </c>
      <c r="BF70" t="str">
        <f>HYPERLINK("http://dx.doi.org/10.1177/00332941231219788","http://dx.doi.org/10.1177/00332941231219788")</f>
        <v>http://dx.doi.org/10.1177/00332941231219788</v>
      </c>
      <c r="BG70" t="s">
        <v>74</v>
      </c>
      <c r="BH70" t="s">
        <v>1339</v>
      </c>
      <c r="BI70">
        <v>19</v>
      </c>
      <c r="BJ70" t="s">
        <v>1340</v>
      </c>
      <c r="BK70" t="s">
        <v>1341</v>
      </c>
      <c r="BL70" t="s">
        <v>1342</v>
      </c>
      <c r="BM70" t="s">
        <v>1343</v>
      </c>
      <c r="BN70">
        <v>38032051</v>
      </c>
      <c r="BO70" t="s">
        <v>470</v>
      </c>
      <c r="BP70" t="s">
        <v>74</v>
      </c>
      <c r="BQ70" t="s">
        <v>74</v>
      </c>
      <c r="BR70" t="s">
        <v>104</v>
      </c>
      <c r="BS70" t="s">
        <v>1344</v>
      </c>
      <c r="BT70" t="str">
        <f>HYPERLINK("https%3A%2F%2Fwww.webofscience.com%2Fwos%2Fwoscc%2Ffull-record%2FWOS:001111088300001","View Full Record in Web of Science")</f>
        <v>View Full Record in Web of Science</v>
      </c>
    </row>
    <row r="71" spans="1:72" x14ac:dyDescent="0.25">
      <c r="A71" t="s">
        <v>72</v>
      </c>
      <c r="B71" t="s">
        <v>1345</v>
      </c>
      <c r="C71" t="s">
        <v>74</v>
      </c>
      <c r="D71" t="s">
        <v>74</v>
      </c>
      <c r="E71" t="s">
        <v>74</v>
      </c>
      <c r="F71" t="s">
        <v>1346</v>
      </c>
      <c r="G71" t="s">
        <v>74</v>
      </c>
      <c r="H71" t="s">
        <v>74</v>
      </c>
      <c r="I71" t="s">
        <v>1347</v>
      </c>
      <c r="J71" t="s">
        <v>1348</v>
      </c>
      <c r="K71" t="s">
        <v>74</v>
      </c>
      <c r="L71" t="s">
        <v>74</v>
      </c>
      <c r="M71" t="s">
        <v>1349</v>
      </c>
      <c r="N71" t="s">
        <v>140</v>
      </c>
      <c r="O71" t="s">
        <v>74</v>
      </c>
      <c r="P71" t="s">
        <v>74</v>
      </c>
      <c r="Q71" t="s">
        <v>74</v>
      </c>
      <c r="R71" t="s">
        <v>74</v>
      </c>
      <c r="S71" t="s">
        <v>74</v>
      </c>
      <c r="T71" t="s">
        <v>1350</v>
      </c>
      <c r="U71" t="s">
        <v>1351</v>
      </c>
      <c r="V71" t="s">
        <v>1352</v>
      </c>
      <c r="W71" t="s">
        <v>1353</v>
      </c>
      <c r="X71" t="s">
        <v>1354</v>
      </c>
      <c r="Y71" t="s">
        <v>1355</v>
      </c>
      <c r="Z71" t="s">
        <v>331</v>
      </c>
      <c r="AA71" t="s">
        <v>1356</v>
      </c>
      <c r="AB71" t="s">
        <v>1357</v>
      </c>
      <c r="AC71" t="s">
        <v>74</v>
      </c>
      <c r="AD71" t="s">
        <v>74</v>
      </c>
      <c r="AE71" t="s">
        <v>74</v>
      </c>
      <c r="AF71" t="s">
        <v>74</v>
      </c>
      <c r="AG71">
        <v>106</v>
      </c>
      <c r="AH71">
        <v>0</v>
      </c>
      <c r="AI71">
        <v>0</v>
      </c>
      <c r="AJ71">
        <v>0</v>
      </c>
      <c r="AK71">
        <v>2</v>
      </c>
      <c r="AL71" t="s">
        <v>1358</v>
      </c>
      <c r="AM71" t="s">
        <v>1359</v>
      </c>
      <c r="AN71" t="s">
        <v>1360</v>
      </c>
      <c r="AO71" t="s">
        <v>1361</v>
      </c>
      <c r="AP71" t="s">
        <v>1362</v>
      </c>
      <c r="AQ71" t="s">
        <v>74</v>
      </c>
      <c r="AR71" t="s">
        <v>1363</v>
      </c>
      <c r="AS71" t="s">
        <v>1364</v>
      </c>
      <c r="AT71" t="s">
        <v>1365</v>
      </c>
      <c r="AU71">
        <v>2023</v>
      </c>
      <c r="AV71">
        <v>40</v>
      </c>
      <c r="AW71" t="s">
        <v>1366</v>
      </c>
      <c r="AX71" t="s">
        <v>74</v>
      </c>
      <c r="AY71" t="s">
        <v>74</v>
      </c>
      <c r="AZ71" t="s">
        <v>74</v>
      </c>
      <c r="BA71" t="s">
        <v>74</v>
      </c>
      <c r="BB71">
        <v>838</v>
      </c>
      <c r="BC71">
        <v>852</v>
      </c>
      <c r="BD71" t="s">
        <v>74</v>
      </c>
      <c r="BE71" t="s">
        <v>1367</v>
      </c>
      <c r="BF71" t="str">
        <f>HYPERLINK("http://dx.doi.org/10.1016/j.rmr.2023.10.004","http://dx.doi.org/10.1016/j.rmr.2023.10.004")</f>
        <v>http://dx.doi.org/10.1016/j.rmr.2023.10.004</v>
      </c>
      <c r="BG71" t="s">
        <v>74</v>
      </c>
      <c r="BH71" t="s">
        <v>1339</v>
      </c>
      <c r="BI71">
        <v>15</v>
      </c>
      <c r="BJ71" t="s">
        <v>228</v>
      </c>
      <c r="BK71" t="s">
        <v>101</v>
      </c>
      <c r="BL71" t="s">
        <v>228</v>
      </c>
      <c r="BM71" t="s">
        <v>1368</v>
      </c>
      <c r="BN71">
        <v>37923650</v>
      </c>
      <c r="BO71" t="s">
        <v>74</v>
      </c>
      <c r="BP71" t="s">
        <v>74</v>
      </c>
      <c r="BQ71" t="s">
        <v>74</v>
      </c>
      <c r="BR71" t="s">
        <v>104</v>
      </c>
      <c r="BS71" t="s">
        <v>1369</v>
      </c>
      <c r="BT71" t="str">
        <f>HYPERLINK("https%3A%2F%2Fwww.webofscience.com%2Fwos%2Fwoscc%2Ffull-record%2FWOS:001131061300001","View Full Record in Web of Science")</f>
        <v>View Full Record in Web of Science</v>
      </c>
    </row>
    <row r="72" spans="1:72" x14ac:dyDescent="0.25">
      <c r="A72" t="s">
        <v>72</v>
      </c>
      <c r="B72" t="s">
        <v>1370</v>
      </c>
      <c r="C72" t="s">
        <v>74</v>
      </c>
      <c r="D72" t="s">
        <v>74</v>
      </c>
      <c r="E72" t="s">
        <v>74</v>
      </c>
      <c r="F72" t="s">
        <v>1371</v>
      </c>
      <c r="G72" t="s">
        <v>74</v>
      </c>
      <c r="H72" t="s">
        <v>74</v>
      </c>
      <c r="I72" t="s">
        <v>1372</v>
      </c>
      <c r="J72" t="s">
        <v>251</v>
      </c>
      <c r="K72" t="s">
        <v>74</v>
      </c>
      <c r="L72" t="s">
        <v>74</v>
      </c>
      <c r="M72" t="s">
        <v>78</v>
      </c>
      <c r="N72" t="s">
        <v>52</v>
      </c>
      <c r="O72" t="s">
        <v>1373</v>
      </c>
      <c r="P72" t="s">
        <v>1374</v>
      </c>
      <c r="Q72" t="s">
        <v>1375</v>
      </c>
      <c r="R72" t="s">
        <v>1376</v>
      </c>
      <c r="S72" t="s">
        <v>74</v>
      </c>
      <c r="T72" t="s">
        <v>1226</v>
      </c>
      <c r="U72" t="s">
        <v>74</v>
      </c>
      <c r="V72" t="s">
        <v>74</v>
      </c>
      <c r="W72" t="s">
        <v>74</v>
      </c>
      <c r="X72" t="s">
        <v>74</v>
      </c>
      <c r="Y72" t="s">
        <v>74</v>
      </c>
      <c r="Z72" t="s">
        <v>74</v>
      </c>
      <c r="AA72" t="s">
        <v>1377</v>
      </c>
      <c r="AB72" t="s">
        <v>74</v>
      </c>
      <c r="AC72" t="s">
        <v>74</v>
      </c>
      <c r="AD72" t="s">
        <v>74</v>
      </c>
      <c r="AE72" t="s">
        <v>74</v>
      </c>
      <c r="AF72" t="s">
        <v>74</v>
      </c>
      <c r="AG72">
        <v>0</v>
      </c>
      <c r="AH72">
        <v>0</v>
      </c>
      <c r="AI72">
        <v>0</v>
      </c>
      <c r="AJ72">
        <v>0</v>
      </c>
      <c r="AK72">
        <v>0</v>
      </c>
      <c r="AL72" t="s">
        <v>122</v>
      </c>
      <c r="AM72" t="s">
        <v>123</v>
      </c>
      <c r="AN72" t="s">
        <v>124</v>
      </c>
      <c r="AO72" t="s">
        <v>258</v>
      </c>
      <c r="AP72" t="s">
        <v>259</v>
      </c>
      <c r="AQ72" t="s">
        <v>74</v>
      </c>
      <c r="AR72" t="s">
        <v>251</v>
      </c>
      <c r="AS72" t="s">
        <v>260</v>
      </c>
      <c r="AT72" t="s">
        <v>1378</v>
      </c>
      <c r="AU72">
        <v>2023</v>
      </c>
      <c r="AV72">
        <v>148</v>
      </c>
      <c r="AW72" t="s">
        <v>74</v>
      </c>
      <c r="AX72" t="s">
        <v>74</v>
      </c>
      <c r="AY72">
        <v>1</v>
      </c>
      <c r="AZ72" t="s">
        <v>74</v>
      </c>
      <c r="BA72" t="s">
        <v>1379</v>
      </c>
      <c r="BB72" t="s">
        <v>74</v>
      </c>
      <c r="BC72" t="s">
        <v>74</v>
      </c>
      <c r="BD72" t="s">
        <v>74</v>
      </c>
      <c r="BE72" t="s">
        <v>1380</v>
      </c>
      <c r="BF72" t="str">
        <f>HYPERLINK("http://dx.doi.org/10.1161/circ.148.suppl_1.13038","http://dx.doi.org/10.1161/circ.148.suppl_1.13038")</f>
        <v>http://dx.doi.org/10.1161/circ.148.suppl_1.13038</v>
      </c>
      <c r="BG72" t="s">
        <v>74</v>
      </c>
      <c r="BH72" t="s">
        <v>74</v>
      </c>
      <c r="BI72">
        <v>3</v>
      </c>
      <c r="BJ72" t="s">
        <v>263</v>
      </c>
      <c r="BK72" t="s">
        <v>512</v>
      </c>
      <c r="BL72" t="s">
        <v>133</v>
      </c>
      <c r="BM72" t="s">
        <v>1381</v>
      </c>
      <c r="BN72" t="s">
        <v>74</v>
      </c>
      <c r="BO72" t="s">
        <v>74</v>
      </c>
      <c r="BP72" t="s">
        <v>74</v>
      </c>
      <c r="BQ72" t="s">
        <v>74</v>
      </c>
      <c r="BR72" t="s">
        <v>104</v>
      </c>
      <c r="BS72" t="s">
        <v>1382</v>
      </c>
      <c r="BT72" t="str">
        <f>HYPERLINK("https%3A%2F%2Fwww.webofscience.com%2Fwos%2Fwoscc%2Ffull-record%2FWOS:001157891302045","View Full Record in Web of Science")</f>
        <v>View Full Record in Web of Science</v>
      </c>
    </row>
    <row r="73" spans="1:72" x14ac:dyDescent="0.25">
      <c r="A73" t="s">
        <v>72</v>
      </c>
      <c r="B73" t="s">
        <v>1383</v>
      </c>
      <c r="C73" t="s">
        <v>74</v>
      </c>
      <c r="D73" t="s">
        <v>74</v>
      </c>
      <c r="E73" t="s">
        <v>74</v>
      </c>
      <c r="F73" t="s">
        <v>1384</v>
      </c>
      <c r="G73" t="s">
        <v>74</v>
      </c>
      <c r="H73" t="s">
        <v>74</v>
      </c>
      <c r="I73" t="s">
        <v>1385</v>
      </c>
      <c r="J73" t="s">
        <v>251</v>
      </c>
      <c r="K73" t="s">
        <v>74</v>
      </c>
      <c r="L73" t="s">
        <v>74</v>
      </c>
      <c r="M73" t="s">
        <v>78</v>
      </c>
      <c r="N73" t="s">
        <v>52</v>
      </c>
      <c r="O73" t="s">
        <v>1373</v>
      </c>
      <c r="P73" t="s">
        <v>1374</v>
      </c>
      <c r="Q73" t="s">
        <v>1375</v>
      </c>
      <c r="R73" t="s">
        <v>1376</v>
      </c>
      <c r="S73" t="s">
        <v>74</v>
      </c>
      <c r="T73" t="s">
        <v>1386</v>
      </c>
      <c r="U73" t="s">
        <v>74</v>
      </c>
      <c r="V73" t="s">
        <v>74</v>
      </c>
      <c r="W73" t="s">
        <v>74</v>
      </c>
      <c r="X73" t="s">
        <v>74</v>
      </c>
      <c r="Y73" t="s">
        <v>74</v>
      </c>
      <c r="Z73" t="s">
        <v>74</v>
      </c>
      <c r="AA73" t="s">
        <v>1387</v>
      </c>
      <c r="AB73" t="s">
        <v>74</v>
      </c>
      <c r="AC73" t="s">
        <v>74</v>
      </c>
      <c r="AD73" t="s">
        <v>74</v>
      </c>
      <c r="AE73" t="s">
        <v>74</v>
      </c>
      <c r="AF73" t="s">
        <v>74</v>
      </c>
      <c r="AG73">
        <v>0</v>
      </c>
      <c r="AH73">
        <v>0</v>
      </c>
      <c r="AI73">
        <v>0</v>
      </c>
      <c r="AJ73">
        <v>0</v>
      </c>
      <c r="AK73">
        <v>0</v>
      </c>
      <c r="AL73" t="s">
        <v>122</v>
      </c>
      <c r="AM73" t="s">
        <v>123</v>
      </c>
      <c r="AN73" t="s">
        <v>124</v>
      </c>
      <c r="AO73" t="s">
        <v>258</v>
      </c>
      <c r="AP73" t="s">
        <v>259</v>
      </c>
      <c r="AQ73" t="s">
        <v>74</v>
      </c>
      <c r="AR73" t="s">
        <v>251</v>
      </c>
      <c r="AS73" t="s">
        <v>260</v>
      </c>
      <c r="AT73" t="s">
        <v>1378</v>
      </c>
      <c r="AU73">
        <v>2023</v>
      </c>
      <c r="AV73">
        <v>148</v>
      </c>
      <c r="AW73" t="s">
        <v>74</v>
      </c>
      <c r="AX73" t="s">
        <v>74</v>
      </c>
      <c r="AY73">
        <v>1</v>
      </c>
      <c r="AZ73" t="s">
        <v>74</v>
      </c>
      <c r="BA73" t="s">
        <v>1388</v>
      </c>
      <c r="BB73" t="s">
        <v>74</v>
      </c>
      <c r="BC73" t="s">
        <v>74</v>
      </c>
      <c r="BD73" t="s">
        <v>74</v>
      </c>
      <c r="BE73" t="s">
        <v>1389</v>
      </c>
      <c r="BF73" t="str">
        <f>HYPERLINK("http://dx.doi.org/10.1161/circ.148.suppl_1.14319","http://dx.doi.org/10.1161/circ.148.suppl_1.14319")</f>
        <v>http://dx.doi.org/10.1161/circ.148.suppl_1.14319</v>
      </c>
      <c r="BG73" t="s">
        <v>74</v>
      </c>
      <c r="BH73" t="s">
        <v>74</v>
      </c>
      <c r="BI73">
        <v>2</v>
      </c>
      <c r="BJ73" t="s">
        <v>263</v>
      </c>
      <c r="BK73" t="s">
        <v>512</v>
      </c>
      <c r="BL73" t="s">
        <v>133</v>
      </c>
      <c r="BM73" t="s">
        <v>1381</v>
      </c>
      <c r="BN73" t="s">
        <v>74</v>
      </c>
      <c r="BO73" t="s">
        <v>74</v>
      </c>
      <c r="BP73" t="s">
        <v>74</v>
      </c>
      <c r="BQ73" t="s">
        <v>74</v>
      </c>
      <c r="BR73" t="s">
        <v>104</v>
      </c>
      <c r="BS73" t="s">
        <v>1390</v>
      </c>
      <c r="BT73" t="str">
        <f>HYPERLINK("https%3A%2F%2Fwww.webofscience.com%2Fwos%2Fwoscc%2Ffull-record%2FWOS:001157891303332","View Full Record in Web of Science")</f>
        <v>View Full Record in Web of Science</v>
      </c>
    </row>
    <row r="74" spans="1:72" x14ac:dyDescent="0.25">
      <c r="A74" t="s">
        <v>72</v>
      </c>
      <c r="B74" t="s">
        <v>1391</v>
      </c>
      <c r="C74" t="s">
        <v>74</v>
      </c>
      <c r="D74" t="s">
        <v>74</v>
      </c>
      <c r="E74" t="s">
        <v>74</v>
      </c>
      <c r="F74" t="s">
        <v>1392</v>
      </c>
      <c r="G74" t="s">
        <v>74</v>
      </c>
      <c r="H74" t="s">
        <v>74</v>
      </c>
      <c r="I74" t="s">
        <v>1393</v>
      </c>
      <c r="J74" t="s">
        <v>251</v>
      </c>
      <c r="K74" t="s">
        <v>74</v>
      </c>
      <c r="L74" t="s">
        <v>74</v>
      </c>
      <c r="M74" t="s">
        <v>78</v>
      </c>
      <c r="N74" t="s">
        <v>52</v>
      </c>
      <c r="O74" t="s">
        <v>1373</v>
      </c>
      <c r="P74" t="s">
        <v>1374</v>
      </c>
      <c r="Q74" t="s">
        <v>1375</v>
      </c>
      <c r="R74" t="s">
        <v>1376</v>
      </c>
      <c r="S74" t="s">
        <v>74</v>
      </c>
      <c r="T74" t="s">
        <v>1394</v>
      </c>
      <c r="U74" t="s">
        <v>74</v>
      </c>
      <c r="V74" t="s">
        <v>74</v>
      </c>
      <c r="W74" t="s">
        <v>74</v>
      </c>
      <c r="X74" t="s">
        <v>74</v>
      </c>
      <c r="Y74" t="s">
        <v>74</v>
      </c>
      <c r="Z74" t="s">
        <v>74</v>
      </c>
      <c r="AA74" t="s">
        <v>1395</v>
      </c>
      <c r="AB74" t="s">
        <v>1396</v>
      </c>
      <c r="AC74" t="s">
        <v>74</v>
      </c>
      <c r="AD74" t="s">
        <v>74</v>
      </c>
      <c r="AE74" t="s">
        <v>74</v>
      </c>
      <c r="AF74" t="s">
        <v>74</v>
      </c>
      <c r="AG74">
        <v>0</v>
      </c>
      <c r="AH74">
        <v>0</v>
      </c>
      <c r="AI74">
        <v>0</v>
      </c>
      <c r="AJ74">
        <v>0</v>
      </c>
      <c r="AK74">
        <v>1</v>
      </c>
      <c r="AL74" t="s">
        <v>122</v>
      </c>
      <c r="AM74" t="s">
        <v>123</v>
      </c>
      <c r="AN74" t="s">
        <v>124</v>
      </c>
      <c r="AO74" t="s">
        <v>258</v>
      </c>
      <c r="AP74" t="s">
        <v>259</v>
      </c>
      <c r="AQ74" t="s">
        <v>74</v>
      </c>
      <c r="AR74" t="s">
        <v>251</v>
      </c>
      <c r="AS74" t="s">
        <v>260</v>
      </c>
      <c r="AT74" t="s">
        <v>1378</v>
      </c>
      <c r="AU74">
        <v>2023</v>
      </c>
      <c r="AV74">
        <v>148</v>
      </c>
      <c r="AW74" t="s">
        <v>74</v>
      </c>
      <c r="AX74" t="s">
        <v>74</v>
      </c>
      <c r="AY74">
        <v>1</v>
      </c>
      <c r="AZ74" t="s">
        <v>74</v>
      </c>
      <c r="BA74" t="s">
        <v>1397</v>
      </c>
      <c r="BB74" t="s">
        <v>74</v>
      </c>
      <c r="BC74" t="s">
        <v>74</v>
      </c>
      <c r="BD74" t="s">
        <v>74</v>
      </c>
      <c r="BE74" t="s">
        <v>1398</v>
      </c>
      <c r="BF74" t="str">
        <f>HYPERLINK("http://dx.doi.org/10.1161/circ.148.suppl_1.14275","http://dx.doi.org/10.1161/circ.148.suppl_1.14275")</f>
        <v>http://dx.doi.org/10.1161/circ.148.suppl_1.14275</v>
      </c>
      <c r="BG74" t="s">
        <v>74</v>
      </c>
      <c r="BH74" t="s">
        <v>74</v>
      </c>
      <c r="BI74">
        <v>3</v>
      </c>
      <c r="BJ74" t="s">
        <v>263</v>
      </c>
      <c r="BK74" t="s">
        <v>512</v>
      </c>
      <c r="BL74" t="s">
        <v>133</v>
      </c>
      <c r="BM74" t="s">
        <v>1381</v>
      </c>
      <c r="BN74" t="s">
        <v>74</v>
      </c>
      <c r="BO74" t="s">
        <v>74</v>
      </c>
      <c r="BP74" t="s">
        <v>74</v>
      </c>
      <c r="BQ74" t="s">
        <v>74</v>
      </c>
      <c r="BR74" t="s">
        <v>104</v>
      </c>
      <c r="BS74" t="s">
        <v>1399</v>
      </c>
      <c r="BT74" t="str">
        <f>HYPERLINK("https%3A%2F%2Fwww.webofscience.com%2Fwos%2Fwoscc%2Ffull-record%2FWOS:001157891303300","View Full Record in Web of Science")</f>
        <v>View Full Record in Web of Science</v>
      </c>
    </row>
    <row r="75" spans="1:72" x14ac:dyDescent="0.25">
      <c r="A75" t="s">
        <v>72</v>
      </c>
      <c r="B75" t="s">
        <v>1400</v>
      </c>
      <c r="C75" t="s">
        <v>74</v>
      </c>
      <c r="D75" t="s">
        <v>74</v>
      </c>
      <c r="E75" t="s">
        <v>74</v>
      </c>
      <c r="F75" t="s">
        <v>1401</v>
      </c>
      <c r="G75" t="s">
        <v>74</v>
      </c>
      <c r="H75" t="s">
        <v>74</v>
      </c>
      <c r="I75" t="s">
        <v>1402</v>
      </c>
      <c r="J75" t="s">
        <v>793</v>
      </c>
      <c r="K75" t="s">
        <v>74</v>
      </c>
      <c r="L75" t="s">
        <v>74</v>
      </c>
      <c r="M75" t="s">
        <v>78</v>
      </c>
      <c r="N75" t="s">
        <v>79</v>
      </c>
      <c r="O75" t="s">
        <v>74</v>
      </c>
      <c r="P75" t="s">
        <v>74</v>
      </c>
      <c r="Q75" t="s">
        <v>74</v>
      </c>
      <c r="R75" t="s">
        <v>74</v>
      </c>
      <c r="S75" t="s">
        <v>74</v>
      </c>
      <c r="T75" t="s">
        <v>74</v>
      </c>
      <c r="U75" t="s">
        <v>1403</v>
      </c>
      <c r="V75" t="s">
        <v>1404</v>
      </c>
      <c r="W75" t="s">
        <v>1405</v>
      </c>
      <c r="X75" t="s">
        <v>1406</v>
      </c>
      <c r="Y75" t="s">
        <v>1407</v>
      </c>
      <c r="Z75" t="s">
        <v>1408</v>
      </c>
      <c r="AA75" t="s">
        <v>1409</v>
      </c>
      <c r="AB75" t="s">
        <v>1410</v>
      </c>
      <c r="AC75" t="s">
        <v>1411</v>
      </c>
      <c r="AD75" t="s">
        <v>1412</v>
      </c>
      <c r="AE75" t="s">
        <v>1413</v>
      </c>
      <c r="AF75" t="s">
        <v>74</v>
      </c>
      <c r="AG75">
        <v>42</v>
      </c>
      <c r="AH75">
        <v>1</v>
      </c>
      <c r="AI75">
        <v>1</v>
      </c>
      <c r="AJ75">
        <v>2</v>
      </c>
      <c r="AK75">
        <v>6</v>
      </c>
      <c r="AL75" t="s">
        <v>219</v>
      </c>
      <c r="AM75" t="s">
        <v>220</v>
      </c>
      <c r="AN75" t="s">
        <v>221</v>
      </c>
      <c r="AO75" t="s">
        <v>74</v>
      </c>
      <c r="AP75" t="s">
        <v>803</v>
      </c>
      <c r="AQ75" t="s">
        <v>74</v>
      </c>
      <c r="AR75" t="s">
        <v>804</v>
      </c>
      <c r="AS75" t="s">
        <v>805</v>
      </c>
      <c r="AT75" t="s">
        <v>1414</v>
      </c>
      <c r="AU75">
        <v>2023</v>
      </c>
      <c r="AV75">
        <v>9</v>
      </c>
      <c r="AW75">
        <v>6</v>
      </c>
      <c r="AX75" t="s">
        <v>74</v>
      </c>
      <c r="AY75" t="s">
        <v>74</v>
      </c>
      <c r="AZ75" t="s">
        <v>74</v>
      </c>
      <c r="BA75" t="s">
        <v>74</v>
      </c>
      <c r="BB75" t="s">
        <v>74</v>
      </c>
      <c r="BC75" t="s">
        <v>74</v>
      </c>
      <c r="BD75" t="s">
        <v>1415</v>
      </c>
      <c r="BE75" t="s">
        <v>1416</v>
      </c>
      <c r="BF75" t="str">
        <f>HYPERLINK("http://dx.doi.org/10.1183/23120541.00590-2023","http://dx.doi.org/10.1183/23120541.00590-2023")</f>
        <v>http://dx.doi.org/10.1183/23120541.00590-2023</v>
      </c>
      <c r="BG75" t="s">
        <v>74</v>
      </c>
      <c r="BH75" t="s">
        <v>74</v>
      </c>
      <c r="BI75">
        <v>10</v>
      </c>
      <c r="BJ75" t="s">
        <v>228</v>
      </c>
      <c r="BK75" t="s">
        <v>101</v>
      </c>
      <c r="BL75" t="s">
        <v>228</v>
      </c>
      <c r="BM75" t="s">
        <v>1417</v>
      </c>
      <c r="BN75">
        <v>38020570</v>
      </c>
      <c r="BO75" t="s">
        <v>1418</v>
      </c>
      <c r="BP75" t="s">
        <v>74</v>
      </c>
      <c r="BQ75" t="s">
        <v>74</v>
      </c>
      <c r="BR75" t="s">
        <v>104</v>
      </c>
      <c r="BS75" t="s">
        <v>1419</v>
      </c>
      <c r="BT75" t="str">
        <f>HYPERLINK("https%3A%2F%2Fwww.webofscience.com%2Fwos%2Fwoscc%2Ffull-record%2FWOS:001109425200010","View Full Record in Web of Science")</f>
        <v>View Full Record in Web of Science</v>
      </c>
    </row>
    <row r="76" spans="1:72" x14ac:dyDescent="0.25">
      <c r="A76" t="s">
        <v>72</v>
      </c>
      <c r="B76" t="s">
        <v>1420</v>
      </c>
      <c r="C76" t="s">
        <v>74</v>
      </c>
      <c r="D76" t="s">
        <v>74</v>
      </c>
      <c r="E76" t="s">
        <v>74</v>
      </c>
      <c r="F76" t="s">
        <v>1421</v>
      </c>
      <c r="G76" t="s">
        <v>74</v>
      </c>
      <c r="H76" t="s">
        <v>74</v>
      </c>
      <c r="I76" t="s">
        <v>1422</v>
      </c>
      <c r="J76" t="s">
        <v>216</v>
      </c>
      <c r="K76" t="s">
        <v>74</v>
      </c>
      <c r="L76" t="s">
        <v>74</v>
      </c>
      <c r="M76" t="s">
        <v>78</v>
      </c>
      <c r="N76" t="s">
        <v>140</v>
      </c>
      <c r="O76" t="s">
        <v>74</v>
      </c>
      <c r="P76" t="s">
        <v>74</v>
      </c>
      <c r="Q76" t="s">
        <v>74</v>
      </c>
      <c r="R76" t="s">
        <v>74</v>
      </c>
      <c r="S76" t="s">
        <v>74</v>
      </c>
      <c r="T76" t="s">
        <v>74</v>
      </c>
      <c r="U76" t="s">
        <v>74</v>
      </c>
      <c r="V76" t="s">
        <v>74</v>
      </c>
      <c r="W76" t="s">
        <v>1423</v>
      </c>
      <c r="X76" t="s">
        <v>1424</v>
      </c>
      <c r="Y76" t="s">
        <v>1425</v>
      </c>
      <c r="Z76" t="s">
        <v>377</v>
      </c>
      <c r="AA76" t="s">
        <v>144</v>
      </c>
      <c r="AB76" t="s">
        <v>257</v>
      </c>
      <c r="AC76" t="s">
        <v>74</v>
      </c>
      <c r="AD76" t="s">
        <v>74</v>
      </c>
      <c r="AE76" t="s">
        <v>74</v>
      </c>
      <c r="AF76" t="s">
        <v>74</v>
      </c>
      <c r="AG76">
        <v>13</v>
      </c>
      <c r="AH76">
        <v>10</v>
      </c>
      <c r="AI76">
        <v>9</v>
      </c>
      <c r="AJ76">
        <v>1</v>
      </c>
      <c r="AK76">
        <v>3</v>
      </c>
      <c r="AL76" t="s">
        <v>219</v>
      </c>
      <c r="AM76" t="s">
        <v>220</v>
      </c>
      <c r="AN76" t="s">
        <v>221</v>
      </c>
      <c r="AO76" t="s">
        <v>222</v>
      </c>
      <c r="AP76" t="s">
        <v>223</v>
      </c>
      <c r="AQ76" t="s">
        <v>74</v>
      </c>
      <c r="AR76" t="s">
        <v>224</v>
      </c>
      <c r="AS76" t="s">
        <v>225</v>
      </c>
      <c r="AT76" t="s">
        <v>1414</v>
      </c>
      <c r="AU76">
        <v>2023</v>
      </c>
      <c r="AV76">
        <v>62</v>
      </c>
      <c r="AW76">
        <v>5</v>
      </c>
      <c r="AX76" t="s">
        <v>74</v>
      </c>
      <c r="AY76" t="s">
        <v>74</v>
      </c>
      <c r="AZ76" t="s">
        <v>74</v>
      </c>
      <c r="BA76" t="s">
        <v>74</v>
      </c>
      <c r="BB76" t="s">
        <v>74</v>
      </c>
      <c r="BC76" t="s">
        <v>74</v>
      </c>
      <c r="BD76">
        <v>2301726</v>
      </c>
      <c r="BE76" t="s">
        <v>1426</v>
      </c>
      <c r="BF76" t="str">
        <f>HYPERLINK("http://dx.doi.org/10.1183/13993003.01726-2023","http://dx.doi.org/10.1183/13993003.01726-2023")</f>
        <v>http://dx.doi.org/10.1183/13993003.01726-2023</v>
      </c>
      <c r="BG76" t="s">
        <v>74</v>
      </c>
      <c r="BH76" t="s">
        <v>74</v>
      </c>
      <c r="BI76">
        <v>3</v>
      </c>
      <c r="BJ76" t="s">
        <v>228</v>
      </c>
      <c r="BK76" t="s">
        <v>101</v>
      </c>
      <c r="BL76" t="s">
        <v>228</v>
      </c>
      <c r="BM76" t="s">
        <v>1427</v>
      </c>
      <c r="BN76">
        <v>37918877</v>
      </c>
      <c r="BO76" t="s">
        <v>1194</v>
      </c>
      <c r="BP76" t="s">
        <v>74</v>
      </c>
      <c r="BQ76" t="s">
        <v>74</v>
      </c>
      <c r="BR76" t="s">
        <v>104</v>
      </c>
      <c r="BS76" t="s">
        <v>1428</v>
      </c>
      <c r="BT76" t="str">
        <f>HYPERLINK("https%3A%2F%2Fwww.webofscience.com%2Fwos%2Fwoscc%2Ffull-record%2FWOS:001165123000009","View Full Record in Web of Science")</f>
        <v>View Full Record in Web of Science</v>
      </c>
    </row>
    <row r="77" spans="1:72" x14ac:dyDescent="0.25">
      <c r="A77" t="s">
        <v>72</v>
      </c>
      <c r="B77" t="s">
        <v>1429</v>
      </c>
      <c r="C77" t="s">
        <v>74</v>
      </c>
      <c r="D77" t="s">
        <v>74</v>
      </c>
      <c r="E77" t="s">
        <v>74</v>
      </c>
      <c r="F77" t="s">
        <v>1430</v>
      </c>
      <c r="G77" t="s">
        <v>74</v>
      </c>
      <c r="H77" t="s">
        <v>74</v>
      </c>
      <c r="I77" t="s">
        <v>1431</v>
      </c>
      <c r="J77" t="s">
        <v>216</v>
      </c>
      <c r="K77" t="s">
        <v>74</v>
      </c>
      <c r="L77" t="s">
        <v>74</v>
      </c>
      <c r="M77" t="s">
        <v>78</v>
      </c>
      <c r="N77" t="s">
        <v>460</v>
      </c>
      <c r="O77" t="s">
        <v>74</v>
      </c>
      <c r="P77" t="s">
        <v>74</v>
      </c>
      <c r="Q77" t="s">
        <v>74</v>
      </c>
      <c r="R77" t="s">
        <v>74</v>
      </c>
      <c r="S77" t="s">
        <v>74</v>
      </c>
      <c r="T77" t="s">
        <v>74</v>
      </c>
      <c r="U77" t="s">
        <v>1432</v>
      </c>
      <c r="V77" t="s">
        <v>74</v>
      </c>
      <c r="W77" t="s">
        <v>1433</v>
      </c>
      <c r="X77" t="s">
        <v>1434</v>
      </c>
      <c r="Y77" t="s">
        <v>1435</v>
      </c>
      <c r="Z77" t="s">
        <v>74</v>
      </c>
      <c r="AA77" t="s">
        <v>1436</v>
      </c>
      <c r="AB77" t="s">
        <v>1437</v>
      </c>
      <c r="AC77" t="s">
        <v>74</v>
      </c>
      <c r="AD77" t="s">
        <v>74</v>
      </c>
      <c r="AE77" t="s">
        <v>74</v>
      </c>
      <c r="AF77" t="s">
        <v>74</v>
      </c>
      <c r="AG77">
        <v>15</v>
      </c>
      <c r="AH77">
        <v>4</v>
      </c>
      <c r="AI77">
        <v>4</v>
      </c>
      <c r="AJ77">
        <v>0</v>
      </c>
      <c r="AK77">
        <v>0</v>
      </c>
      <c r="AL77" t="s">
        <v>219</v>
      </c>
      <c r="AM77" t="s">
        <v>220</v>
      </c>
      <c r="AN77" t="s">
        <v>221</v>
      </c>
      <c r="AO77" t="s">
        <v>222</v>
      </c>
      <c r="AP77" t="s">
        <v>223</v>
      </c>
      <c r="AQ77" t="s">
        <v>74</v>
      </c>
      <c r="AR77" t="s">
        <v>224</v>
      </c>
      <c r="AS77" t="s">
        <v>225</v>
      </c>
      <c r="AT77" t="s">
        <v>1414</v>
      </c>
      <c r="AU77">
        <v>2023</v>
      </c>
      <c r="AV77">
        <v>62</v>
      </c>
      <c r="AW77">
        <v>5</v>
      </c>
      <c r="AX77" t="s">
        <v>74</v>
      </c>
      <c r="AY77" t="s">
        <v>74</v>
      </c>
      <c r="AZ77" t="s">
        <v>74</v>
      </c>
      <c r="BA77" t="s">
        <v>74</v>
      </c>
      <c r="BB77" t="s">
        <v>74</v>
      </c>
      <c r="BC77" t="s">
        <v>74</v>
      </c>
      <c r="BD77">
        <v>2300517</v>
      </c>
      <c r="BE77" t="s">
        <v>1438</v>
      </c>
      <c r="BF77" t="str">
        <f>HYPERLINK("http://dx.doi.org/10.1183/13993003.00517-2023","http://dx.doi.org/10.1183/13993003.00517-2023")</f>
        <v>http://dx.doi.org/10.1183/13993003.00517-2023</v>
      </c>
      <c r="BG77" t="s">
        <v>74</v>
      </c>
      <c r="BH77" t="s">
        <v>74</v>
      </c>
      <c r="BI77">
        <v>5</v>
      </c>
      <c r="BJ77" t="s">
        <v>228</v>
      </c>
      <c r="BK77" t="s">
        <v>101</v>
      </c>
      <c r="BL77" t="s">
        <v>228</v>
      </c>
      <c r="BM77" t="s">
        <v>1427</v>
      </c>
      <c r="BN77">
        <v>37802632</v>
      </c>
      <c r="BO77" t="s">
        <v>74</v>
      </c>
      <c r="BP77" t="s">
        <v>74</v>
      </c>
      <c r="BQ77" t="s">
        <v>74</v>
      </c>
      <c r="BR77" t="s">
        <v>104</v>
      </c>
      <c r="BS77" t="s">
        <v>1439</v>
      </c>
      <c r="BT77" t="str">
        <f>HYPERLINK("https%3A%2F%2Fwww.webofscience.com%2Fwos%2Fwoscc%2Ffull-record%2FWOS:001165123000002","View Full Record in Web of Science")</f>
        <v>View Full Record in Web of Science</v>
      </c>
    </row>
    <row r="78" spans="1:72" x14ac:dyDescent="0.25">
      <c r="A78" t="s">
        <v>72</v>
      </c>
      <c r="B78" t="s">
        <v>1440</v>
      </c>
      <c r="C78" t="s">
        <v>74</v>
      </c>
      <c r="D78" t="s">
        <v>74</v>
      </c>
      <c r="E78" t="s">
        <v>74</v>
      </c>
      <c r="F78" t="s">
        <v>1441</v>
      </c>
      <c r="G78" t="s">
        <v>74</v>
      </c>
      <c r="H78" t="s">
        <v>74</v>
      </c>
      <c r="I78" t="s">
        <v>1442</v>
      </c>
      <c r="J78" t="s">
        <v>793</v>
      </c>
      <c r="K78" t="s">
        <v>74</v>
      </c>
      <c r="L78" t="s">
        <v>74</v>
      </c>
      <c r="M78" t="s">
        <v>78</v>
      </c>
      <c r="N78" t="s">
        <v>299</v>
      </c>
      <c r="O78" t="s">
        <v>74</v>
      </c>
      <c r="P78" t="s">
        <v>74</v>
      </c>
      <c r="Q78" t="s">
        <v>74</v>
      </c>
      <c r="R78" t="s">
        <v>74</v>
      </c>
      <c r="S78" t="s">
        <v>74</v>
      </c>
      <c r="T78" t="s">
        <v>74</v>
      </c>
      <c r="U78" t="s">
        <v>1443</v>
      </c>
      <c r="V78" t="s">
        <v>1444</v>
      </c>
      <c r="W78" t="s">
        <v>1445</v>
      </c>
      <c r="X78" t="s">
        <v>1446</v>
      </c>
      <c r="Y78" t="s">
        <v>1447</v>
      </c>
      <c r="Z78" t="s">
        <v>1448</v>
      </c>
      <c r="AA78" t="s">
        <v>1449</v>
      </c>
      <c r="AB78" t="s">
        <v>1450</v>
      </c>
      <c r="AC78" t="s">
        <v>1451</v>
      </c>
      <c r="AD78" t="s">
        <v>1452</v>
      </c>
      <c r="AE78" t="s">
        <v>1453</v>
      </c>
      <c r="AF78" t="s">
        <v>74</v>
      </c>
      <c r="AG78">
        <v>68</v>
      </c>
      <c r="AH78">
        <v>1</v>
      </c>
      <c r="AI78">
        <v>1</v>
      </c>
      <c r="AJ78">
        <v>0</v>
      </c>
      <c r="AK78">
        <v>1</v>
      </c>
      <c r="AL78" t="s">
        <v>219</v>
      </c>
      <c r="AM78" t="s">
        <v>220</v>
      </c>
      <c r="AN78" t="s">
        <v>221</v>
      </c>
      <c r="AO78" t="s">
        <v>74</v>
      </c>
      <c r="AP78" t="s">
        <v>803</v>
      </c>
      <c r="AQ78" t="s">
        <v>74</v>
      </c>
      <c r="AR78" t="s">
        <v>804</v>
      </c>
      <c r="AS78" t="s">
        <v>805</v>
      </c>
      <c r="AT78" t="s">
        <v>1414</v>
      </c>
      <c r="AU78">
        <v>2023</v>
      </c>
      <c r="AV78">
        <v>9</v>
      </c>
      <c r="AW78">
        <v>6</v>
      </c>
      <c r="AX78" t="s">
        <v>74</v>
      </c>
      <c r="AY78" t="s">
        <v>74</v>
      </c>
      <c r="AZ78" t="s">
        <v>74</v>
      </c>
      <c r="BA78" t="s">
        <v>74</v>
      </c>
      <c r="BB78" t="s">
        <v>74</v>
      </c>
      <c r="BC78" t="s">
        <v>74</v>
      </c>
      <c r="BD78" t="s">
        <v>1454</v>
      </c>
      <c r="BE78" t="s">
        <v>1455</v>
      </c>
      <c r="BF78" t="str">
        <f>HYPERLINK("http://dx.doi.org/10.1183/23120541.00350-2023","http://dx.doi.org/10.1183/23120541.00350-2023")</f>
        <v>http://dx.doi.org/10.1183/23120541.00350-2023</v>
      </c>
      <c r="BG78" t="s">
        <v>74</v>
      </c>
      <c r="BH78" t="s">
        <v>74</v>
      </c>
      <c r="BI78">
        <v>10</v>
      </c>
      <c r="BJ78" t="s">
        <v>228</v>
      </c>
      <c r="BK78" t="s">
        <v>101</v>
      </c>
      <c r="BL78" t="s">
        <v>228</v>
      </c>
      <c r="BM78" t="s">
        <v>1456</v>
      </c>
      <c r="BN78">
        <v>37965230</v>
      </c>
      <c r="BO78" t="s">
        <v>809</v>
      </c>
      <c r="BP78" t="s">
        <v>74</v>
      </c>
      <c r="BQ78" t="s">
        <v>74</v>
      </c>
      <c r="BR78" t="s">
        <v>104</v>
      </c>
      <c r="BS78" t="s">
        <v>1457</v>
      </c>
      <c r="BT78" t="str">
        <f>HYPERLINK("https%3A%2F%2Fwww.webofscience.com%2Fwos%2Fwoscc%2Ffull-record%2FWOS:001098066600006","View Full Record in Web of Science")</f>
        <v>View Full Record in Web of Science</v>
      </c>
    </row>
    <row r="79" spans="1:72" x14ac:dyDescent="0.25">
      <c r="A79" t="s">
        <v>72</v>
      </c>
      <c r="B79" t="s">
        <v>1458</v>
      </c>
      <c r="C79" t="s">
        <v>74</v>
      </c>
      <c r="D79" t="s">
        <v>74</v>
      </c>
      <c r="E79" t="s">
        <v>74</v>
      </c>
      <c r="F79" t="s">
        <v>1459</v>
      </c>
      <c r="G79" t="s">
        <v>74</v>
      </c>
      <c r="H79" t="s">
        <v>74</v>
      </c>
      <c r="I79" t="s">
        <v>1460</v>
      </c>
      <c r="J79" t="s">
        <v>1461</v>
      </c>
      <c r="K79" t="s">
        <v>74</v>
      </c>
      <c r="L79" t="s">
        <v>74</v>
      </c>
      <c r="M79" t="s">
        <v>78</v>
      </c>
      <c r="N79" t="s">
        <v>299</v>
      </c>
      <c r="O79" t="s">
        <v>74</v>
      </c>
      <c r="P79" t="s">
        <v>74</v>
      </c>
      <c r="Q79" t="s">
        <v>74</v>
      </c>
      <c r="R79" t="s">
        <v>74</v>
      </c>
      <c r="S79" t="s">
        <v>74</v>
      </c>
      <c r="T79" t="s">
        <v>1462</v>
      </c>
      <c r="U79" t="s">
        <v>1463</v>
      </c>
      <c r="V79" t="s">
        <v>1464</v>
      </c>
      <c r="W79" t="s">
        <v>1465</v>
      </c>
      <c r="X79" t="s">
        <v>1466</v>
      </c>
      <c r="Y79" t="s">
        <v>1467</v>
      </c>
      <c r="Z79" t="s">
        <v>524</v>
      </c>
      <c r="AA79" t="s">
        <v>1468</v>
      </c>
      <c r="AB79" t="s">
        <v>1469</v>
      </c>
      <c r="AC79" t="s">
        <v>74</v>
      </c>
      <c r="AD79" t="s">
        <v>74</v>
      </c>
      <c r="AE79" t="s">
        <v>74</v>
      </c>
      <c r="AF79" t="s">
        <v>74</v>
      </c>
      <c r="AG79">
        <v>119</v>
      </c>
      <c r="AH79">
        <v>0</v>
      </c>
      <c r="AI79">
        <v>0</v>
      </c>
      <c r="AJ79">
        <v>2</v>
      </c>
      <c r="AK79">
        <v>10</v>
      </c>
      <c r="AL79" t="s">
        <v>148</v>
      </c>
      <c r="AM79" t="s">
        <v>149</v>
      </c>
      <c r="AN79" t="s">
        <v>150</v>
      </c>
      <c r="AO79" t="s">
        <v>1470</v>
      </c>
      <c r="AP79" t="s">
        <v>1471</v>
      </c>
      <c r="AQ79" t="s">
        <v>74</v>
      </c>
      <c r="AR79" t="s">
        <v>1472</v>
      </c>
      <c r="AS79" t="s">
        <v>1473</v>
      </c>
      <c r="AT79" t="s">
        <v>1474</v>
      </c>
      <c r="AU79">
        <v>2023</v>
      </c>
      <c r="AV79">
        <v>24</v>
      </c>
      <c r="AW79">
        <v>18</v>
      </c>
      <c r="AX79" t="s">
        <v>74</v>
      </c>
      <c r="AY79" t="s">
        <v>74</v>
      </c>
      <c r="AZ79" t="s">
        <v>74</v>
      </c>
      <c r="BA79" t="s">
        <v>74</v>
      </c>
      <c r="BB79">
        <v>2101</v>
      </c>
      <c r="BC79">
        <v>2115</v>
      </c>
      <c r="BD79" t="s">
        <v>74</v>
      </c>
      <c r="BE79" t="s">
        <v>1475</v>
      </c>
      <c r="BF79" t="str">
        <f>HYPERLINK("http://dx.doi.org/10.1080/14656566.2023.2273395","http://dx.doi.org/10.1080/14656566.2023.2273395")</f>
        <v>http://dx.doi.org/10.1080/14656566.2023.2273395</v>
      </c>
      <c r="BG79" t="s">
        <v>74</v>
      </c>
      <c r="BH79" t="s">
        <v>1476</v>
      </c>
      <c r="BI79">
        <v>15</v>
      </c>
      <c r="BJ79" t="s">
        <v>1477</v>
      </c>
      <c r="BK79" t="s">
        <v>101</v>
      </c>
      <c r="BL79" t="s">
        <v>1477</v>
      </c>
      <c r="BM79" t="s">
        <v>1478</v>
      </c>
      <c r="BN79">
        <v>37869785</v>
      </c>
      <c r="BO79" t="s">
        <v>74</v>
      </c>
      <c r="BP79" t="s">
        <v>74</v>
      </c>
      <c r="BQ79" t="s">
        <v>74</v>
      </c>
      <c r="BR79" t="s">
        <v>104</v>
      </c>
      <c r="BS79" t="s">
        <v>1479</v>
      </c>
      <c r="BT79" t="str">
        <f>HYPERLINK("https%3A%2F%2Fwww.webofscience.com%2Fwos%2Fwoscc%2Ffull-record%2FWOS:001095747900001","View Full Record in Web of Science")</f>
        <v>View Full Record in Web of Science</v>
      </c>
    </row>
    <row r="80" spans="1:72" x14ac:dyDescent="0.25">
      <c r="A80" t="s">
        <v>72</v>
      </c>
      <c r="B80" t="s">
        <v>1480</v>
      </c>
      <c r="C80" t="s">
        <v>74</v>
      </c>
      <c r="D80" t="s">
        <v>74</v>
      </c>
      <c r="E80" t="s">
        <v>74</v>
      </c>
      <c r="F80" t="s">
        <v>1481</v>
      </c>
      <c r="G80" t="s">
        <v>74</v>
      </c>
      <c r="H80" t="s">
        <v>74</v>
      </c>
      <c r="I80" t="s">
        <v>1482</v>
      </c>
      <c r="J80" t="s">
        <v>1483</v>
      </c>
      <c r="K80" t="s">
        <v>74</v>
      </c>
      <c r="L80" t="s">
        <v>74</v>
      </c>
      <c r="M80" t="s">
        <v>78</v>
      </c>
      <c r="N80" t="s">
        <v>460</v>
      </c>
      <c r="O80" t="s">
        <v>74</v>
      </c>
      <c r="P80" t="s">
        <v>74</v>
      </c>
      <c r="Q80" t="s">
        <v>74</v>
      </c>
      <c r="R80" t="s">
        <v>74</v>
      </c>
      <c r="S80" t="s">
        <v>74</v>
      </c>
      <c r="T80" t="s">
        <v>74</v>
      </c>
      <c r="U80" t="s">
        <v>74</v>
      </c>
      <c r="V80" t="s">
        <v>74</v>
      </c>
      <c r="W80" t="s">
        <v>1484</v>
      </c>
      <c r="X80" t="s">
        <v>1485</v>
      </c>
      <c r="Y80" t="s">
        <v>1486</v>
      </c>
      <c r="Z80" t="s">
        <v>1487</v>
      </c>
      <c r="AA80" t="s">
        <v>1488</v>
      </c>
      <c r="AB80" t="s">
        <v>1489</v>
      </c>
      <c r="AC80" t="s">
        <v>1490</v>
      </c>
      <c r="AD80" t="s">
        <v>1491</v>
      </c>
      <c r="AE80" t="s">
        <v>1492</v>
      </c>
      <c r="AF80" t="s">
        <v>74</v>
      </c>
      <c r="AG80">
        <v>5</v>
      </c>
      <c r="AH80">
        <v>5</v>
      </c>
      <c r="AI80">
        <v>5</v>
      </c>
      <c r="AJ80">
        <v>0</v>
      </c>
      <c r="AK80">
        <v>3</v>
      </c>
      <c r="AL80" t="s">
        <v>397</v>
      </c>
      <c r="AM80" t="s">
        <v>398</v>
      </c>
      <c r="AN80" t="s">
        <v>399</v>
      </c>
      <c r="AO80" t="s">
        <v>1493</v>
      </c>
      <c r="AP80" t="s">
        <v>1494</v>
      </c>
      <c r="AQ80" t="s">
        <v>74</v>
      </c>
      <c r="AR80" t="s">
        <v>1495</v>
      </c>
      <c r="AS80" t="s">
        <v>1496</v>
      </c>
      <c r="AT80" t="s">
        <v>420</v>
      </c>
      <c r="AU80">
        <v>2023</v>
      </c>
      <c r="AV80">
        <v>11</v>
      </c>
      <c r="AW80">
        <v>10</v>
      </c>
      <c r="AX80" t="s">
        <v>74</v>
      </c>
      <c r="AY80" t="s">
        <v>74</v>
      </c>
      <c r="AZ80" t="s">
        <v>74</v>
      </c>
      <c r="BA80" t="s">
        <v>74</v>
      </c>
      <c r="BB80">
        <v>1457</v>
      </c>
      <c r="BC80">
        <v>1459</v>
      </c>
      <c r="BD80" t="s">
        <v>74</v>
      </c>
      <c r="BE80" t="s">
        <v>1497</v>
      </c>
      <c r="BF80" t="str">
        <f>HYPERLINK("http://dx.doi.org/10.1016/j.jchf.2023.05.030","http://dx.doi.org/10.1016/j.jchf.2023.05.030")</f>
        <v>http://dx.doi.org/10.1016/j.jchf.2023.05.030</v>
      </c>
      <c r="BG80" t="s">
        <v>74</v>
      </c>
      <c r="BH80" t="s">
        <v>1476</v>
      </c>
      <c r="BI80">
        <v>3</v>
      </c>
      <c r="BJ80" t="s">
        <v>132</v>
      </c>
      <c r="BK80" t="s">
        <v>101</v>
      </c>
      <c r="BL80" t="s">
        <v>133</v>
      </c>
      <c r="BM80" t="s">
        <v>1498</v>
      </c>
      <c r="BN80">
        <v>37452806</v>
      </c>
      <c r="BO80" t="s">
        <v>1194</v>
      </c>
      <c r="BP80" t="s">
        <v>74</v>
      </c>
      <c r="BQ80" t="s">
        <v>74</v>
      </c>
      <c r="BR80" t="s">
        <v>104</v>
      </c>
      <c r="BS80" t="s">
        <v>1499</v>
      </c>
      <c r="BT80" t="str">
        <f>HYPERLINK("https%3A%2F%2Fwww.webofscience.com%2Fwos%2Fwoscc%2Ffull-record%2FWOS:001096464400001","View Full Record in Web of Science")</f>
        <v>View Full Record in Web of Science</v>
      </c>
    </row>
    <row r="81" spans="1:72" x14ac:dyDescent="0.25">
      <c r="A81" t="s">
        <v>72</v>
      </c>
      <c r="B81" t="s">
        <v>1500</v>
      </c>
      <c r="C81" t="s">
        <v>74</v>
      </c>
      <c r="D81" t="s">
        <v>74</v>
      </c>
      <c r="E81" t="s">
        <v>74</v>
      </c>
      <c r="F81" t="s">
        <v>1501</v>
      </c>
      <c r="G81" t="s">
        <v>74</v>
      </c>
      <c r="H81" t="s">
        <v>74</v>
      </c>
      <c r="I81" t="s">
        <v>1502</v>
      </c>
      <c r="J81" t="s">
        <v>1503</v>
      </c>
      <c r="K81" t="s">
        <v>74</v>
      </c>
      <c r="L81" t="s">
        <v>74</v>
      </c>
      <c r="M81" t="s">
        <v>78</v>
      </c>
      <c r="N81" t="s">
        <v>79</v>
      </c>
      <c r="O81" t="s">
        <v>74</v>
      </c>
      <c r="P81" t="s">
        <v>74</v>
      </c>
      <c r="Q81" t="s">
        <v>74</v>
      </c>
      <c r="R81" t="s">
        <v>74</v>
      </c>
      <c r="S81" t="s">
        <v>74</v>
      </c>
      <c r="T81" t="s">
        <v>1504</v>
      </c>
      <c r="U81" t="s">
        <v>1505</v>
      </c>
      <c r="V81" t="s">
        <v>1506</v>
      </c>
      <c r="W81" t="s">
        <v>1507</v>
      </c>
      <c r="X81" t="s">
        <v>1508</v>
      </c>
      <c r="Y81" t="s">
        <v>1509</v>
      </c>
      <c r="Z81" t="s">
        <v>1510</v>
      </c>
      <c r="AA81" t="s">
        <v>1511</v>
      </c>
      <c r="AB81" t="s">
        <v>1512</v>
      </c>
      <c r="AC81" t="s">
        <v>1513</v>
      </c>
      <c r="AD81" t="s">
        <v>1514</v>
      </c>
      <c r="AE81" t="s">
        <v>1515</v>
      </c>
      <c r="AF81" t="s">
        <v>74</v>
      </c>
      <c r="AG81">
        <v>66</v>
      </c>
      <c r="AH81">
        <v>1</v>
      </c>
      <c r="AI81">
        <v>1</v>
      </c>
      <c r="AJ81">
        <v>0</v>
      </c>
      <c r="AK81">
        <v>1</v>
      </c>
      <c r="AL81" t="s">
        <v>92</v>
      </c>
      <c r="AM81" t="s">
        <v>93</v>
      </c>
      <c r="AN81" t="s">
        <v>94</v>
      </c>
      <c r="AO81" t="s">
        <v>1516</v>
      </c>
      <c r="AP81" t="s">
        <v>1517</v>
      </c>
      <c r="AQ81" t="s">
        <v>74</v>
      </c>
      <c r="AR81" t="s">
        <v>1518</v>
      </c>
      <c r="AS81" t="s">
        <v>1519</v>
      </c>
      <c r="AT81" t="s">
        <v>226</v>
      </c>
      <c r="AU81">
        <v>2023</v>
      </c>
      <c r="AV81">
        <v>318</v>
      </c>
      <c r="AW81" t="s">
        <v>74</v>
      </c>
      <c r="AX81" t="s">
        <v>74</v>
      </c>
      <c r="AY81" t="s">
        <v>74</v>
      </c>
      <c r="AZ81" t="s">
        <v>74</v>
      </c>
      <c r="BA81" t="s">
        <v>74</v>
      </c>
      <c r="BB81" t="s">
        <v>74</v>
      </c>
      <c r="BC81" t="s">
        <v>74</v>
      </c>
      <c r="BD81">
        <v>104164</v>
      </c>
      <c r="BE81" t="s">
        <v>1520</v>
      </c>
      <c r="BF81" t="str">
        <f>HYPERLINK("http://dx.doi.org/10.1016/j.resp.2023.104164","http://dx.doi.org/10.1016/j.resp.2023.104164")</f>
        <v>http://dx.doi.org/10.1016/j.resp.2023.104164</v>
      </c>
      <c r="BG81" t="s">
        <v>74</v>
      </c>
      <c r="BH81" t="s">
        <v>1521</v>
      </c>
      <c r="BI81">
        <v>10</v>
      </c>
      <c r="BJ81" t="s">
        <v>1522</v>
      </c>
      <c r="BK81" t="s">
        <v>101</v>
      </c>
      <c r="BL81" t="s">
        <v>1522</v>
      </c>
      <c r="BM81" t="s">
        <v>1523</v>
      </c>
      <c r="BN81">
        <v>37739151</v>
      </c>
      <c r="BO81" t="s">
        <v>1524</v>
      </c>
      <c r="BP81" t="s">
        <v>74</v>
      </c>
      <c r="BQ81" t="s">
        <v>74</v>
      </c>
      <c r="BR81" t="s">
        <v>104</v>
      </c>
      <c r="BS81" t="s">
        <v>1525</v>
      </c>
      <c r="BT81" t="str">
        <f>HYPERLINK("https%3A%2F%2Fwww.webofscience.com%2Fwos%2Fwoscc%2Ffull-record%2FWOS:001088801600001","View Full Record in Web of Science")</f>
        <v>View Full Record in Web of Science</v>
      </c>
    </row>
    <row r="82" spans="1:72" x14ac:dyDescent="0.25">
      <c r="A82" t="s">
        <v>72</v>
      </c>
      <c r="B82" t="s">
        <v>1526</v>
      </c>
      <c r="C82" t="s">
        <v>74</v>
      </c>
      <c r="D82" t="s">
        <v>74</v>
      </c>
      <c r="E82" t="s">
        <v>74</v>
      </c>
      <c r="F82" t="s">
        <v>1527</v>
      </c>
      <c r="G82" t="s">
        <v>74</v>
      </c>
      <c r="H82" t="s">
        <v>74</v>
      </c>
      <c r="I82" t="s">
        <v>1528</v>
      </c>
      <c r="J82" t="s">
        <v>1529</v>
      </c>
      <c r="K82" t="s">
        <v>74</v>
      </c>
      <c r="L82" t="s">
        <v>74</v>
      </c>
      <c r="M82" t="s">
        <v>78</v>
      </c>
      <c r="N82" t="s">
        <v>140</v>
      </c>
      <c r="O82" t="s">
        <v>74</v>
      </c>
      <c r="P82" t="s">
        <v>74</v>
      </c>
      <c r="Q82" t="s">
        <v>74</v>
      </c>
      <c r="R82" t="s">
        <v>74</v>
      </c>
      <c r="S82" t="s">
        <v>74</v>
      </c>
      <c r="T82" t="s">
        <v>74</v>
      </c>
      <c r="U82" t="s">
        <v>74</v>
      </c>
      <c r="V82" t="s">
        <v>74</v>
      </c>
      <c r="W82" t="s">
        <v>1530</v>
      </c>
      <c r="X82" t="s">
        <v>1531</v>
      </c>
      <c r="Y82" t="s">
        <v>1532</v>
      </c>
      <c r="Z82" t="s">
        <v>377</v>
      </c>
      <c r="AA82" t="s">
        <v>144</v>
      </c>
      <c r="AB82" t="s">
        <v>257</v>
      </c>
      <c r="AC82" t="s">
        <v>74</v>
      </c>
      <c r="AD82" t="s">
        <v>74</v>
      </c>
      <c r="AE82" t="s">
        <v>74</v>
      </c>
      <c r="AF82" t="s">
        <v>74</v>
      </c>
      <c r="AG82">
        <v>2</v>
      </c>
      <c r="AH82">
        <v>1</v>
      </c>
      <c r="AI82">
        <v>1</v>
      </c>
      <c r="AJ82">
        <v>0</v>
      </c>
      <c r="AK82">
        <v>0</v>
      </c>
      <c r="AL82" t="s">
        <v>1358</v>
      </c>
      <c r="AM82" t="s">
        <v>1359</v>
      </c>
      <c r="AN82" t="s">
        <v>1360</v>
      </c>
      <c r="AO82" t="s">
        <v>1533</v>
      </c>
      <c r="AP82" t="s">
        <v>1534</v>
      </c>
      <c r="AQ82" t="s">
        <v>74</v>
      </c>
      <c r="AR82" t="s">
        <v>1535</v>
      </c>
      <c r="AS82" t="s">
        <v>1536</v>
      </c>
      <c r="AT82" t="s">
        <v>492</v>
      </c>
      <c r="AU82">
        <v>2023</v>
      </c>
      <c r="AV82">
        <v>52</v>
      </c>
      <c r="AW82">
        <v>3</v>
      </c>
      <c r="AX82" t="s">
        <v>74</v>
      </c>
      <c r="AY82" t="s">
        <v>74</v>
      </c>
      <c r="AZ82" t="s">
        <v>74</v>
      </c>
      <c r="BA82" t="s">
        <v>74</v>
      </c>
      <c r="BB82" t="s">
        <v>74</v>
      </c>
      <c r="BC82" t="s">
        <v>74</v>
      </c>
      <c r="BD82">
        <v>104172</v>
      </c>
      <c r="BE82" t="s">
        <v>1537</v>
      </c>
      <c r="BF82" t="str">
        <f>HYPERLINK("http://dx.doi.org/10.1016/j.lpm.2023.104172","http://dx.doi.org/10.1016/j.lpm.2023.104172")</f>
        <v>http://dx.doi.org/10.1016/j.lpm.2023.104172</v>
      </c>
      <c r="BG82" t="s">
        <v>74</v>
      </c>
      <c r="BH82" t="s">
        <v>1521</v>
      </c>
      <c r="BI82">
        <v>1</v>
      </c>
      <c r="BJ82" t="s">
        <v>1152</v>
      </c>
      <c r="BK82" t="s">
        <v>101</v>
      </c>
      <c r="BL82" t="s">
        <v>1153</v>
      </c>
      <c r="BM82" t="s">
        <v>1538</v>
      </c>
      <c r="BN82">
        <v>37699508</v>
      </c>
      <c r="BO82" t="s">
        <v>74</v>
      </c>
      <c r="BP82" t="s">
        <v>74</v>
      </c>
      <c r="BQ82" t="s">
        <v>74</v>
      </c>
      <c r="BR82" t="s">
        <v>104</v>
      </c>
      <c r="BS82" t="s">
        <v>1539</v>
      </c>
      <c r="BT82" t="str">
        <f>HYPERLINK("https%3A%2F%2Fwww.webofscience.com%2Fwos%2Fwoscc%2Ffull-record%2FWOS:001092142400001","View Full Record in Web of Science")</f>
        <v>View Full Record in Web of Science</v>
      </c>
    </row>
    <row r="83" spans="1:72" x14ac:dyDescent="0.25">
      <c r="A83" t="s">
        <v>72</v>
      </c>
      <c r="B83" t="s">
        <v>1540</v>
      </c>
      <c r="C83" t="s">
        <v>74</v>
      </c>
      <c r="D83" t="s">
        <v>74</v>
      </c>
      <c r="E83" t="s">
        <v>74</v>
      </c>
      <c r="F83" t="s">
        <v>1541</v>
      </c>
      <c r="G83" t="s">
        <v>74</v>
      </c>
      <c r="H83" t="s">
        <v>74</v>
      </c>
      <c r="I83" t="s">
        <v>1542</v>
      </c>
      <c r="J83" t="s">
        <v>216</v>
      </c>
      <c r="K83" t="s">
        <v>74</v>
      </c>
      <c r="L83" t="s">
        <v>74</v>
      </c>
      <c r="M83" t="s">
        <v>78</v>
      </c>
      <c r="N83" t="s">
        <v>52</v>
      </c>
      <c r="O83" t="s">
        <v>1543</v>
      </c>
      <c r="P83" t="s">
        <v>1544</v>
      </c>
      <c r="Q83" t="s">
        <v>1545</v>
      </c>
      <c r="R83" t="s">
        <v>505</v>
      </c>
      <c r="S83" t="s">
        <v>74</v>
      </c>
      <c r="T83" t="s">
        <v>74</v>
      </c>
      <c r="U83" t="s">
        <v>74</v>
      </c>
      <c r="V83" t="s">
        <v>74</v>
      </c>
      <c r="W83" t="s">
        <v>1546</v>
      </c>
      <c r="X83" t="s">
        <v>1547</v>
      </c>
      <c r="Y83" t="s">
        <v>74</v>
      </c>
      <c r="Z83" t="s">
        <v>1548</v>
      </c>
      <c r="AA83" t="s">
        <v>1549</v>
      </c>
      <c r="AB83" t="s">
        <v>257</v>
      </c>
      <c r="AC83" t="s">
        <v>74</v>
      </c>
      <c r="AD83" t="s">
        <v>74</v>
      </c>
      <c r="AE83" t="s">
        <v>74</v>
      </c>
      <c r="AF83" t="s">
        <v>74</v>
      </c>
      <c r="AG83">
        <v>0</v>
      </c>
      <c r="AH83">
        <v>0</v>
      </c>
      <c r="AI83">
        <v>0</v>
      </c>
      <c r="AJ83">
        <v>0</v>
      </c>
      <c r="AK83">
        <v>0</v>
      </c>
      <c r="AL83" t="s">
        <v>219</v>
      </c>
      <c r="AM83" t="s">
        <v>220</v>
      </c>
      <c r="AN83" t="s">
        <v>221</v>
      </c>
      <c r="AO83" t="s">
        <v>222</v>
      </c>
      <c r="AP83" t="s">
        <v>223</v>
      </c>
      <c r="AQ83" t="s">
        <v>74</v>
      </c>
      <c r="AR83" t="s">
        <v>224</v>
      </c>
      <c r="AS83" t="s">
        <v>225</v>
      </c>
      <c r="AT83" t="s">
        <v>1550</v>
      </c>
      <c r="AU83">
        <v>2023</v>
      </c>
      <c r="AV83">
        <v>62</v>
      </c>
      <c r="AW83" t="s">
        <v>74</v>
      </c>
      <c r="AX83" t="s">
        <v>74</v>
      </c>
      <c r="AY83">
        <v>67</v>
      </c>
      <c r="AZ83" t="s">
        <v>74</v>
      </c>
      <c r="BA83" t="s">
        <v>74</v>
      </c>
      <c r="BB83" t="s">
        <v>74</v>
      </c>
      <c r="BC83" t="s">
        <v>74</v>
      </c>
      <c r="BD83" t="s">
        <v>74</v>
      </c>
      <c r="BE83" t="s">
        <v>1551</v>
      </c>
      <c r="BF83" t="str">
        <f>HYPERLINK("http://dx.doi.org/10.1183/13993003.congress-2023.PA3957","http://dx.doi.org/10.1183/13993003.congress-2023.PA3957")</f>
        <v>http://dx.doi.org/10.1183/13993003.congress-2023.PA3957</v>
      </c>
      <c r="BG83" t="s">
        <v>74</v>
      </c>
      <c r="BH83" t="s">
        <v>74</v>
      </c>
      <c r="BI83">
        <v>3</v>
      </c>
      <c r="BJ83" t="s">
        <v>228</v>
      </c>
      <c r="BK83" t="s">
        <v>512</v>
      </c>
      <c r="BL83" t="s">
        <v>228</v>
      </c>
      <c r="BM83" t="s">
        <v>1552</v>
      </c>
      <c r="BN83" t="s">
        <v>74</v>
      </c>
      <c r="BO83" t="s">
        <v>74</v>
      </c>
      <c r="BP83" t="s">
        <v>74</v>
      </c>
      <c r="BQ83" t="s">
        <v>74</v>
      </c>
      <c r="BR83" t="s">
        <v>104</v>
      </c>
      <c r="BS83" t="s">
        <v>1553</v>
      </c>
      <c r="BT83" t="str">
        <f>HYPERLINK("https%3A%2F%2Fwww.webofscience.com%2Fwos%2Fwoscc%2Ffull-record%2FWOS:001109120507084","View Full Record in Web of Science")</f>
        <v>View Full Record in Web of Science</v>
      </c>
    </row>
    <row r="84" spans="1:72" x14ac:dyDescent="0.25">
      <c r="A84" t="s">
        <v>72</v>
      </c>
      <c r="B84" t="s">
        <v>1554</v>
      </c>
      <c r="C84" t="s">
        <v>74</v>
      </c>
      <c r="D84" t="s">
        <v>74</v>
      </c>
      <c r="E84" t="s">
        <v>74</v>
      </c>
      <c r="F84" t="s">
        <v>1555</v>
      </c>
      <c r="G84" t="s">
        <v>74</v>
      </c>
      <c r="H84" t="s">
        <v>74</v>
      </c>
      <c r="I84" t="s">
        <v>1556</v>
      </c>
      <c r="J84" t="s">
        <v>216</v>
      </c>
      <c r="K84" t="s">
        <v>74</v>
      </c>
      <c r="L84" t="s">
        <v>74</v>
      </c>
      <c r="M84" t="s">
        <v>78</v>
      </c>
      <c r="N84" t="s">
        <v>52</v>
      </c>
      <c r="O84" t="s">
        <v>1543</v>
      </c>
      <c r="P84" t="s">
        <v>1544</v>
      </c>
      <c r="Q84" t="s">
        <v>1545</v>
      </c>
      <c r="R84" t="s">
        <v>505</v>
      </c>
      <c r="S84" t="s">
        <v>74</v>
      </c>
      <c r="T84" t="s">
        <v>74</v>
      </c>
      <c r="U84" t="s">
        <v>74</v>
      </c>
      <c r="V84" t="s">
        <v>74</v>
      </c>
      <c r="W84" t="s">
        <v>1557</v>
      </c>
      <c r="X84" t="s">
        <v>1558</v>
      </c>
      <c r="Y84" t="s">
        <v>74</v>
      </c>
      <c r="Z84" t="s">
        <v>508</v>
      </c>
      <c r="AA84" t="s">
        <v>1549</v>
      </c>
      <c r="AB84" t="s">
        <v>257</v>
      </c>
      <c r="AC84" t="s">
        <v>74</v>
      </c>
      <c r="AD84" t="s">
        <v>74</v>
      </c>
      <c r="AE84" t="s">
        <v>74</v>
      </c>
      <c r="AF84" t="s">
        <v>74</v>
      </c>
      <c r="AG84">
        <v>0</v>
      </c>
      <c r="AH84">
        <v>1</v>
      </c>
      <c r="AI84">
        <v>1</v>
      </c>
      <c r="AJ84">
        <v>0</v>
      </c>
      <c r="AK84">
        <v>0</v>
      </c>
      <c r="AL84" t="s">
        <v>219</v>
      </c>
      <c r="AM84" t="s">
        <v>220</v>
      </c>
      <c r="AN84" t="s">
        <v>221</v>
      </c>
      <c r="AO84" t="s">
        <v>222</v>
      </c>
      <c r="AP84" t="s">
        <v>223</v>
      </c>
      <c r="AQ84" t="s">
        <v>74</v>
      </c>
      <c r="AR84" t="s">
        <v>224</v>
      </c>
      <c r="AS84" t="s">
        <v>225</v>
      </c>
      <c r="AT84" t="s">
        <v>1550</v>
      </c>
      <c r="AU84">
        <v>2023</v>
      </c>
      <c r="AV84">
        <v>62</v>
      </c>
      <c r="AW84" t="s">
        <v>74</v>
      </c>
      <c r="AX84" t="s">
        <v>74</v>
      </c>
      <c r="AY84">
        <v>67</v>
      </c>
      <c r="AZ84" t="s">
        <v>74</v>
      </c>
      <c r="BA84" t="s">
        <v>74</v>
      </c>
      <c r="BB84" t="s">
        <v>74</v>
      </c>
      <c r="BC84" t="s">
        <v>74</v>
      </c>
      <c r="BD84" t="s">
        <v>1559</v>
      </c>
      <c r="BE84" t="s">
        <v>1560</v>
      </c>
      <c r="BF84" t="str">
        <f>HYPERLINK("http://dx.doi.org/10.1183/13993003.congress-2023.PA1202","http://dx.doi.org/10.1183/13993003.congress-2023.PA1202")</f>
        <v>http://dx.doi.org/10.1183/13993003.congress-2023.PA1202</v>
      </c>
      <c r="BG84" t="s">
        <v>74</v>
      </c>
      <c r="BH84" t="s">
        <v>74</v>
      </c>
      <c r="BI84">
        <v>3</v>
      </c>
      <c r="BJ84" t="s">
        <v>228</v>
      </c>
      <c r="BK84" t="s">
        <v>512</v>
      </c>
      <c r="BL84" t="s">
        <v>228</v>
      </c>
      <c r="BM84" t="s">
        <v>1552</v>
      </c>
      <c r="BN84" t="s">
        <v>74</v>
      </c>
      <c r="BO84" t="s">
        <v>74</v>
      </c>
      <c r="BP84" t="s">
        <v>74</v>
      </c>
      <c r="BQ84" t="s">
        <v>74</v>
      </c>
      <c r="BR84" t="s">
        <v>104</v>
      </c>
      <c r="BS84" t="s">
        <v>1561</v>
      </c>
      <c r="BT84" t="str">
        <f>HYPERLINK("https%3A%2F%2Fwww.webofscience.com%2Fwos%2Fwoscc%2Ffull-record%2FWOS:001109120502358","View Full Record in Web of Science")</f>
        <v>View Full Record in Web of Science</v>
      </c>
    </row>
    <row r="85" spans="1:72" x14ac:dyDescent="0.25">
      <c r="A85" t="s">
        <v>72</v>
      </c>
      <c r="B85" t="s">
        <v>1562</v>
      </c>
      <c r="C85" t="s">
        <v>74</v>
      </c>
      <c r="D85" t="s">
        <v>74</v>
      </c>
      <c r="E85" t="s">
        <v>74</v>
      </c>
      <c r="F85" t="s">
        <v>1563</v>
      </c>
      <c r="G85" t="s">
        <v>74</v>
      </c>
      <c r="H85" t="s">
        <v>74</v>
      </c>
      <c r="I85" t="s">
        <v>1564</v>
      </c>
      <c r="J85" t="s">
        <v>216</v>
      </c>
      <c r="K85" t="s">
        <v>74</v>
      </c>
      <c r="L85" t="s">
        <v>74</v>
      </c>
      <c r="M85" t="s">
        <v>78</v>
      </c>
      <c r="N85" t="s">
        <v>52</v>
      </c>
      <c r="O85" t="s">
        <v>1543</v>
      </c>
      <c r="P85" t="s">
        <v>1544</v>
      </c>
      <c r="Q85" t="s">
        <v>1545</v>
      </c>
      <c r="R85" t="s">
        <v>505</v>
      </c>
      <c r="S85" t="s">
        <v>74</v>
      </c>
      <c r="T85" t="s">
        <v>74</v>
      </c>
      <c r="U85" t="s">
        <v>74</v>
      </c>
      <c r="V85" t="s">
        <v>74</v>
      </c>
      <c r="W85" t="s">
        <v>1565</v>
      </c>
      <c r="X85" t="s">
        <v>1566</v>
      </c>
      <c r="Y85" t="s">
        <v>74</v>
      </c>
      <c r="Z85" t="s">
        <v>1567</v>
      </c>
      <c r="AA85" t="s">
        <v>1568</v>
      </c>
      <c r="AB85" t="s">
        <v>1569</v>
      </c>
      <c r="AC85" t="s">
        <v>74</v>
      </c>
      <c r="AD85" t="s">
        <v>74</v>
      </c>
      <c r="AE85" t="s">
        <v>74</v>
      </c>
      <c r="AF85" t="s">
        <v>74</v>
      </c>
      <c r="AG85">
        <v>0</v>
      </c>
      <c r="AH85">
        <v>0</v>
      </c>
      <c r="AI85">
        <v>0</v>
      </c>
      <c r="AJ85">
        <v>0</v>
      </c>
      <c r="AK85">
        <v>1</v>
      </c>
      <c r="AL85" t="s">
        <v>219</v>
      </c>
      <c r="AM85" t="s">
        <v>220</v>
      </c>
      <c r="AN85" t="s">
        <v>221</v>
      </c>
      <c r="AO85" t="s">
        <v>222</v>
      </c>
      <c r="AP85" t="s">
        <v>223</v>
      </c>
      <c r="AQ85" t="s">
        <v>74</v>
      </c>
      <c r="AR85" t="s">
        <v>224</v>
      </c>
      <c r="AS85" t="s">
        <v>225</v>
      </c>
      <c r="AT85" t="s">
        <v>1550</v>
      </c>
      <c r="AU85">
        <v>2023</v>
      </c>
      <c r="AV85">
        <v>62</v>
      </c>
      <c r="AW85" t="s">
        <v>74</v>
      </c>
      <c r="AX85" t="s">
        <v>74</v>
      </c>
      <c r="AY85">
        <v>67</v>
      </c>
      <c r="AZ85" t="s">
        <v>74</v>
      </c>
      <c r="BA85" t="s">
        <v>74</v>
      </c>
      <c r="BB85" t="s">
        <v>74</v>
      </c>
      <c r="BC85" t="s">
        <v>74</v>
      </c>
      <c r="BD85" t="s">
        <v>74</v>
      </c>
      <c r="BE85" t="s">
        <v>1570</v>
      </c>
      <c r="BF85" t="str">
        <f>HYPERLINK("http://dx.doi.org/10.1183/13993003.congress-2023.PA495","http://dx.doi.org/10.1183/13993003.congress-2023.PA495")</f>
        <v>http://dx.doi.org/10.1183/13993003.congress-2023.PA495</v>
      </c>
      <c r="BG85" t="s">
        <v>74</v>
      </c>
      <c r="BH85" t="s">
        <v>74</v>
      </c>
      <c r="BI85">
        <v>3</v>
      </c>
      <c r="BJ85" t="s">
        <v>228</v>
      </c>
      <c r="BK85" t="s">
        <v>512</v>
      </c>
      <c r="BL85" t="s">
        <v>228</v>
      </c>
      <c r="BM85" t="s">
        <v>1552</v>
      </c>
      <c r="BN85" t="s">
        <v>74</v>
      </c>
      <c r="BO85" t="s">
        <v>74</v>
      </c>
      <c r="BP85" t="s">
        <v>74</v>
      </c>
      <c r="BQ85" t="s">
        <v>74</v>
      </c>
      <c r="BR85" t="s">
        <v>104</v>
      </c>
      <c r="BS85" t="s">
        <v>1571</v>
      </c>
      <c r="BT85" t="str">
        <f>HYPERLINK("https%3A%2F%2Fwww.webofscience.com%2Fwos%2Fwoscc%2Ffull-record%2FWOS:001109120501353","View Full Record in Web of Science")</f>
        <v>View Full Record in Web of Science</v>
      </c>
    </row>
    <row r="86" spans="1:72" x14ac:dyDescent="0.25">
      <c r="A86" t="s">
        <v>72</v>
      </c>
      <c r="B86" t="s">
        <v>1572</v>
      </c>
      <c r="C86" t="s">
        <v>74</v>
      </c>
      <c r="D86" t="s">
        <v>74</v>
      </c>
      <c r="E86" t="s">
        <v>74</v>
      </c>
      <c r="F86" t="s">
        <v>1573</v>
      </c>
      <c r="G86" t="s">
        <v>74</v>
      </c>
      <c r="H86" t="s">
        <v>74</v>
      </c>
      <c r="I86" t="s">
        <v>922</v>
      </c>
      <c r="J86" t="s">
        <v>216</v>
      </c>
      <c r="K86" t="s">
        <v>74</v>
      </c>
      <c r="L86" t="s">
        <v>74</v>
      </c>
      <c r="M86" t="s">
        <v>78</v>
      </c>
      <c r="N86" t="s">
        <v>52</v>
      </c>
      <c r="O86" t="s">
        <v>1543</v>
      </c>
      <c r="P86" t="s">
        <v>1544</v>
      </c>
      <c r="Q86" t="s">
        <v>1545</v>
      </c>
      <c r="R86" t="s">
        <v>505</v>
      </c>
      <c r="S86" t="s">
        <v>74</v>
      </c>
      <c r="T86" t="s">
        <v>74</v>
      </c>
      <c r="U86" t="s">
        <v>74</v>
      </c>
      <c r="V86" t="s">
        <v>74</v>
      </c>
      <c r="W86" t="s">
        <v>1574</v>
      </c>
      <c r="X86" t="s">
        <v>1575</v>
      </c>
      <c r="Y86" t="s">
        <v>74</v>
      </c>
      <c r="Z86" t="s">
        <v>1576</v>
      </c>
      <c r="AA86" t="s">
        <v>1577</v>
      </c>
      <c r="AB86" t="s">
        <v>1578</v>
      </c>
      <c r="AC86" t="s">
        <v>74</v>
      </c>
      <c r="AD86" t="s">
        <v>74</v>
      </c>
      <c r="AE86" t="s">
        <v>74</v>
      </c>
      <c r="AF86" t="s">
        <v>74</v>
      </c>
      <c r="AG86">
        <v>0</v>
      </c>
      <c r="AH86">
        <v>0</v>
      </c>
      <c r="AI86">
        <v>0</v>
      </c>
      <c r="AJ86">
        <v>0</v>
      </c>
      <c r="AK86">
        <v>1</v>
      </c>
      <c r="AL86" t="s">
        <v>219</v>
      </c>
      <c r="AM86" t="s">
        <v>220</v>
      </c>
      <c r="AN86" t="s">
        <v>221</v>
      </c>
      <c r="AO86" t="s">
        <v>222</v>
      </c>
      <c r="AP86" t="s">
        <v>223</v>
      </c>
      <c r="AQ86" t="s">
        <v>74</v>
      </c>
      <c r="AR86" t="s">
        <v>224</v>
      </c>
      <c r="AS86" t="s">
        <v>225</v>
      </c>
      <c r="AT86" t="s">
        <v>1550</v>
      </c>
      <c r="AU86">
        <v>2023</v>
      </c>
      <c r="AV86">
        <v>62</v>
      </c>
      <c r="AW86" t="s">
        <v>74</v>
      </c>
      <c r="AX86" t="s">
        <v>74</v>
      </c>
      <c r="AY86">
        <v>67</v>
      </c>
      <c r="AZ86" t="s">
        <v>74</v>
      </c>
      <c r="BA86" t="s">
        <v>74</v>
      </c>
      <c r="BB86" t="s">
        <v>74</v>
      </c>
      <c r="BC86" t="s">
        <v>74</v>
      </c>
      <c r="BD86" t="s">
        <v>1579</v>
      </c>
      <c r="BE86" t="s">
        <v>1580</v>
      </c>
      <c r="BF86" t="str">
        <f>HYPERLINK("http://dx.doi.org/10.1183/13993003.congress-2023.OA3160","http://dx.doi.org/10.1183/13993003.congress-2023.OA3160")</f>
        <v>http://dx.doi.org/10.1183/13993003.congress-2023.OA3160</v>
      </c>
      <c r="BG86" t="s">
        <v>74</v>
      </c>
      <c r="BH86" t="s">
        <v>74</v>
      </c>
      <c r="BI86">
        <v>3</v>
      </c>
      <c r="BJ86" t="s">
        <v>228</v>
      </c>
      <c r="BK86" t="s">
        <v>512</v>
      </c>
      <c r="BL86" t="s">
        <v>228</v>
      </c>
      <c r="BM86" t="s">
        <v>1552</v>
      </c>
      <c r="BN86" t="s">
        <v>74</v>
      </c>
      <c r="BO86" t="s">
        <v>74</v>
      </c>
      <c r="BP86" t="s">
        <v>74</v>
      </c>
      <c r="BQ86" t="s">
        <v>74</v>
      </c>
      <c r="BR86" t="s">
        <v>104</v>
      </c>
      <c r="BS86" t="s">
        <v>1581</v>
      </c>
      <c r="BT86" t="str">
        <f>HYPERLINK("https%3A%2F%2Fwww.webofscience.com%2Fwos%2Fwoscc%2Ffull-record%2FWOS:001109120500299","View Full Record in Web of Science")</f>
        <v>View Full Record in Web of Science</v>
      </c>
    </row>
    <row r="87" spans="1:72" x14ac:dyDescent="0.25">
      <c r="A87" t="s">
        <v>72</v>
      </c>
      <c r="B87" t="s">
        <v>1582</v>
      </c>
      <c r="C87" t="s">
        <v>74</v>
      </c>
      <c r="D87" t="s">
        <v>74</v>
      </c>
      <c r="E87" t="s">
        <v>74</v>
      </c>
      <c r="F87" t="s">
        <v>1583</v>
      </c>
      <c r="G87" t="s">
        <v>74</v>
      </c>
      <c r="H87" t="s">
        <v>74</v>
      </c>
      <c r="I87" t="s">
        <v>1584</v>
      </c>
      <c r="J87" t="s">
        <v>216</v>
      </c>
      <c r="K87" t="s">
        <v>74</v>
      </c>
      <c r="L87" t="s">
        <v>74</v>
      </c>
      <c r="M87" t="s">
        <v>78</v>
      </c>
      <c r="N87" t="s">
        <v>52</v>
      </c>
      <c r="O87" t="s">
        <v>1543</v>
      </c>
      <c r="P87" t="s">
        <v>1544</v>
      </c>
      <c r="Q87" t="s">
        <v>1545</v>
      </c>
      <c r="R87" t="s">
        <v>505</v>
      </c>
      <c r="S87" t="s">
        <v>74</v>
      </c>
      <c r="T87" t="s">
        <v>1585</v>
      </c>
      <c r="U87" t="s">
        <v>74</v>
      </c>
      <c r="V87" t="s">
        <v>74</v>
      </c>
      <c r="W87" t="s">
        <v>1586</v>
      </c>
      <c r="X87" t="s">
        <v>1587</v>
      </c>
      <c r="Y87" t="s">
        <v>74</v>
      </c>
      <c r="Z87" t="s">
        <v>1141</v>
      </c>
      <c r="AA87" t="s">
        <v>144</v>
      </c>
      <c r="AB87" t="s">
        <v>257</v>
      </c>
      <c r="AC87" t="s">
        <v>74</v>
      </c>
      <c r="AD87" t="s">
        <v>74</v>
      </c>
      <c r="AE87" t="s">
        <v>74</v>
      </c>
      <c r="AF87" t="s">
        <v>74</v>
      </c>
      <c r="AG87">
        <v>0</v>
      </c>
      <c r="AH87">
        <v>1</v>
      </c>
      <c r="AI87">
        <v>1</v>
      </c>
      <c r="AJ87">
        <v>0</v>
      </c>
      <c r="AK87">
        <v>2</v>
      </c>
      <c r="AL87" t="s">
        <v>219</v>
      </c>
      <c r="AM87" t="s">
        <v>220</v>
      </c>
      <c r="AN87" t="s">
        <v>221</v>
      </c>
      <c r="AO87" t="s">
        <v>222</v>
      </c>
      <c r="AP87" t="s">
        <v>223</v>
      </c>
      <c r="AQ87" t="s">
        <v>74</v>
      </c>
      <c r="AR87" t="s">
        <v>224</v>
      </c>
      <c r="AS87" t="s">
        <v>225</v>
      </c>
      <c r="AT87" t="s">
        <v>1550</v>
      </c>
      <c r="AU87">
        <v>2023</v>
      </c>
      <c r="AV87">
        <v>62</v>
      </c>
      <c r="AW87" t="s">
        <v>74</v>
      </c>
      <c r="AX87" t="s">
        <v>74</v>
      </c>
      <c r="AY87">
        <v>67</v>
      </c>
      <c r="AZ87" t="s">
        <v>74</v>
      </c>
      <c r="BA87" t="s">
        <v>74</v>
      </c>
      <c r="BB87" t="s">
        <v>74</v>
      </c>
      <c r="BC87" t="s">
        <v>74</v>
      </c>
      <c r="BD87" t="s">
        <v>1588</v>
      </c>
      <c r="BE87" t="s">
        <v>1589</v>
      </c>
      <c r="BF87" t="str">
        <f>HYPERLINK("http://dx.doi.org/10.1183/13993003.congress-2023.RCT798","http://dx.doi.org/10.1183/13993003.congress-2023.RCT798")</f>
        <v>http://dx.doi.org/10.1183/13993003.congress-2023.RCT798</v>
      </c>
      <c r="BG87" t="s">
        <v>74</v>
      </c>
      <c r="BH87" t="s">
        <v>74</v>
      </c>
      <c r="BI87">
        <v>3</v>
      </c>
      <c r="BJ87" t="s">
        <v>228</v>
      </c>
      <c r="BK87" t="s">
        <v>512</v>
      </c>
      <c r="BL87" t="s">
        <v>228</v>
      </c>
      <c r="BM87" t="s">
        <v>1552</v>
      </c>
      <c r="BN87" t="s">
        <v>74</v>
      </c>
      <c r="BO87" t="s">
        <v>74</v>
      </c>
      <c r="BP87" t="s">
        <v>74</v>
      </c>
      <c r="BQ87" t="s">
        <v>74</v>
      </c>
      <c r="BR87" t="s">
        <v>104</v>
      </c>
      <c r="BS87" t="s">
        <v>1590</v>
      </c>
      <c r="BT87" t="str">
        <f>HYPERLINK("https%3A%2F%2Fwww.webofscience.com%2Fwos%2Fwoscc%2Ffull-record%2FWOS:001109120509193","View Full Record in Web of Science")</f>
        <v>View Full Record in Web of Science</v>
      </c>
    </row>
    <row r="88" spans="1:72" x14ac:dyDescent="0.25">
      <c r="A88" t="s">
        <v>72</v>
      </c>
      <c r="B88" t="s">
        <v>1591</v>
      </c>
      <c r="C88" t="s">
        <v>74</v>
      </c>
      <c r="D88" t="s">
        <v>74</v>
      </c>
      <c r="E88" t="s">
        <v>74</v>
      </c>
      <c r="F88" t="s">
        <v>1592</v>
      </c>
      <c r="G88" t="s">
        <v>74</v>
      </c>
      <c r="H88" t="s">
        <v>74</v>
      </c>
      <c r="I88" t="s">
        <v>1593</v>
      </c>
      <c r="J88" t="s">
        <v>216</v>
      </c>
      <c r="K88" t="s">
        <v>74</v>
      </c>
      <c r="L88" t="s">
        <v>74</v>
      </c>
      <c r="M88" t="s">
        <v>78</v>
      </c>
      <c r="N88" t="s">
        <v>52</v>
      </c>
      <c r="O88" t="s">
        <v>1543</v>
      </c>
      <c r="P88" t="s">
        <v>1544</v>
      </c>
      <c r="Q88" t="s">
        <v>1545</v>
      </c>
      <c r="R88" t="s">
        <v>505</v>
      </c>
      <c r="S88" t="s">
        <v>74</v>
      </c>
      <c r="T88" t="s">
        <v>74</v>
      </c>
      <c r="U88" t="s">
        <v>74</v>
      </c>
      <c r="V88" t="s">
        <v>74</v>
      </c>
      <c r="W88" t="s">
        <v>1594</v>
      </c>
      <c r="X88" t="s">
        <v>1595</v>
      </c>
      <c r="Y88" t="s">
        <v>74</v>
      </c>
      <c r="Z88" t="s">
        <v>1596</v>
      </c>
      <c r="AA88" t="s">
        <v>1549</v>
      </c>
      <c r="AB88" t="s">
        <v>257</v>
      </c>
      <c r="AC88" t="s">
        <v>74</v>
      </c>
      <c r="AD88" t="s">
        <v>74</v>
      </c>
      <c r="AE88" t="s">
        <v>74</v>
      </c>
      <c r="AF88" t="s">
        <v>74</v>
      </c>
      <c r="AG88">
        <v>0</v>
      </c>
      <c r="AH88">
        <v>0</v>
      </c>
      <c r="AI88">
        <v>0</v>
      </c>
      <c r="AJ88">
        <v>0</v>
      </c>
      <c r="AK88">
        <v>0</v>
      </c>
      <c r="AL88" t="s">
        <v>219</v>
      </c>
      <c r="AM88" t="s">
        <v>220</v>
      </c>
      <c r="AN88" t="s">
        <v>221</v>
      </c>
      <c r="AO88" t="s">
        <v>222</v>
      </c>
      <c r="AP88" t="s">
        <v>223</v>
      </c>
      <c r="AQ88" t="s">
        <v>74</v>
      </c>
      <c r="AR88" t="s">
        <v>224</v>
      </c>
      <c r="AS88" t="s">
        <v>225</v>
      </c>
      <c r="AT88" t="s">
        <v>1550</v>
      </c>
      <c r="AU88">
        <v>2023</v>
      </c>
      <c r="AV88">
        <v>62</v>
      </c>
      <c r="AW88" t="s">
        <v>74</v>
      </c>
      <c r="AX88" t="s">
        <v>74</v>
      </c>
      <c r="AY88">
        <v>67</v>
      </c>
      <c r="AZ88" t="s">
        <v>74</v>
      </c>
      <c r="BA88" t="s">
        <v>74</v>
      </c>
      <c r="BB88" t="s">
        <v>74</v>
      </c>
      <c r="BC88" t="s">
        <v>74</v>
      </c>
      <c r="BD88" t="s">
        <v>1597</v>
      </c>
      <c r="BE88" t="s">
        <v>1598</v>
      </c>
      <c r="BF88" t="str">
        <f>HYPERLINK("http://dx.doi.org/10.1183/13993003.congress-2023.PA5180","http://dx.doi.org/10.1183/13993003.congress-2023.PA5180")</f>
        <v>http://dx.doi.org/10.1183/13993003.congress-2023.PA5180</v>
      </c>
      <c r="BG88" t="s">
        <v>74</v>
      </c>
      <c r="BH88" t="s">
        <v>74</v>
      </c>
      <c r="BI88">
        <v>3</v>
      </c>
      <c r="BJ88" t="s">
        <v>228</v>
      </c>
      <c r="BK88" t="s">
        <v>512</v>
      </c>
      <c r="BL88" t="s">
        <v>228</v>
      </c>
      <c r="BM88" t="s">
        <v>1552</v>
      </c>
      <c r="BN88" t="s">
        <v>74</v>
      </c>
      <c r="BO88" t="s">
        <v>74</v>
      </c>
      <c r="BP88" t="s">
        <v>74</v>
      </c>
      <c r="BQ88" t="s">
        <v>74</v>
      </c>
      <c r="BR88" t="s">
        <v>104</v>
      </c>
      <c r="BS88" t="s">
        <v>1599</v>
      </c>
      <c r="BT88" t="str">
        <f>HYPERLINK("https%3A%2F%2Fwww.webofscience.com%2Fwos%2Fwoscc%2Ffull-record%2FWOS:001109120509001","View Full Record in Web of Science")</f>
        <v>View Full Record in Web of Science</v>
      </c>
    </row>
    <row r="89" spans="1:72" x14ac:dyDescent="0.25">
      <c r="A89" t="s">
        <v>72</v>
      </c>
      <c r="B89" t="s">
        <v>1600</v>
      </c>
      <c r="C89" t="s">
        <v>74</v>
      </c>
      <c r="D89" t="s">
        <v>74</v>
      </c>
      <c r="E89" t="s">
        <v>74</v>
      </c>
      <c r="F89" t="s">
        <v>1601</v>
      </c>
      <c r="G89" t="s">
        <v>74</v>
      </c>
      <c r="H89" t="s">
        <v>74</v>
      </c>
      <c r="I89" t="s">
        <v>1602</v>
      </c>
      <c r="J89" t="s">
        <v>216</v>
      </c>
      <c r="K89" t="s">
        <v>74</v>
      </c>
      <c r="L89" t="s">
        <v>74</v>
      </c>
      <c r="M89" t="s">
        <v>78</v>
      </c>
      <c r="N89" t="s">
        <v>52</v>
      </c>
      <c r="O89" t="s">
        <v>1543</v>
      </c>
      <c r="P89" t="s">
        <v>1544</v>
      </c>
      <c r="Q89" t="s">
        <v>1545</v>
      </c>
      <c r="R89" t="s">
        <v>505</v>
      </c>
      <c r="S89" t="s">
        <v>74</v>
      </c>
      <c r="T89" t="s">
        <v>74</v>
      </c>
      <c r="U89" t="s">
        <v>74</v>
      </c>
      <c r="V89" t="s">
        <v>74</v>
      </c>
      <c r="W89" t="s">
        <v>1603</v>
      </c>
      <c r="X89" t="s">
        <v>1604</v>
      </c>
      <c r="Y89" t="s">
        <v>74</v>
      </c>
      <c r="Z89" t="s">
        <v>1605</v>
      </c>
      <c r="AA89" t="s">
        <v>1549</v>
      </c>
      <c r="AB89" t="s">
        <v>257</v>
      </c>
      <c r="AC89" t="s">
        <v>74</v>
      </c>
      <c r="AD89" t="s">
        <v>74</v>
      </c>
      <c r="AE89" t="s">
        <v>74</v>
      </c>
      <c r="AF89" t="s">
        <v>74</v>
      </c>
      <c r="AG89">
        <v>0</v>
      </c>
      <c r="AH89">
        <v>0</v>
      </c>
      <c r="AI89">
        <v>0</v>
      </c>
      <c r="AJ89">
        <v>0</v>
      </c>
      <c r="AK89">
        <v>1</v>
      </c>
      <c r="AL89" t="s">
        <v>219</v>
      </c>
      <c r="AM89" t="s">
        <v>220</v>
      </c>
      <c r="AN89" t="s">
        <v>221</v>
      </c>
      <c r="AO89" t="s">
        <v>222</v>
      </c>
      <c r="AP89" t="s">
        <v>223</v>
      </c>
      <c r="AQ89" t="s">
        <v>74</v>
      </c>
      <c r="AR89" t="s">
        <v>224</v>
      </c>
      <c r="AS89" t="s">
        <v>225</v>
      </c>
      <c r="AT89" t="s">
        <v>1550</v>
      </c>
      <c r="AU89">
        <v>2023</v>
      </c>
      <c r="AV89">
        <v>62</v>
      </c>
      <c r="AW89" t="s">
        <v>74</v>
      </c>
      <c r="AX89" t="s">
        <v>74</v>
      </c>
      <c r="AY89">
        <v>67</v>
      </c>
      <c r="AZ89" t="s">
        <v>74</v>
      </c>
      <c r="BA89" t="s">
        <v>74</v>
      </c>
      <c r="BB89" t="s">
        <v>74</v>
      </c>
      <c r="BC89" t="s">
        <v>74</v>
      </c>
      <c r="BD89" t="s">
        <v>1606</v>
      </c>
      <c r="BE89" t="s">
        <v>1607</v>
      </c>
      <c r="BF89" t="str">
        <f>HYPERLINK("http://dx.doi.org/10.1183/13993003.congress-2023.PA1766","http://dx.doi.org/10.1183/13993003.congress-2023.PA1766")</f>
        <v>http://dx.doi.org/10.1183/13993003.congress-2023.PA1766</v>
      </c>
      <c r="BG89" t="s">
        <v>74</v>
      </c>
      <c r="BH89" t="s">
        <v>74</v>
      </c>
      <c r="BI89">
        <v>3</v>
      </c>
      <c r="BJ89" t="s">
        <v>228</v>
      </c>
      <c r="BK89" t="s">
        <v>512</v>
      </c>
      <c r="BL89" t="s">
        <v>228</v>
      </c>
      <c r="BM89" t="s">
        <v>1552</v>
      </c>
      <c r="BN89" t="s">
        <v>74</v>
      </c>
      <c r="BO89" t="s">
        <v>74</v>
      </c>
      <c r="BP89" t="s">
        <v>74</v>
      </c>
      <c r="BQ89" t="s">
        <v>74</v>
      </c>
      <c r="BR89" t="s">
        <v>104</v>
      </c>
      <c r="BS89" t="s">
        <v>1608</v>
      </c>
      <c r="BT89" t="str">
        <f>HYPERLINK("https%3A%2F%2Fwww.webofscience.com%2Fwos%2Fwoscc%2Ffull-record%2FWOS:001109120503252","View Full Record in Web of Science")</f>
        <v>View Full Record in Web of Science</v>
      </c>
    </row>
    <row r="90" spans="1:72" x14ac:dyDescent="0.25">
      <c r="A90" t="s">
        <v>72</v>
      </c>
      <c r="B90" t="s">
        <v>1609</v>
      </c>
      <c r="C90" t="s">
        <v>74</v>
      </c>
      <c r="D90" t="s">
        <v>74</v>
      </c>
      <c r="E90" t="s">
        <v>74</v>
      </c>
      <c r="F90" t="s">
        <v>1610</v>
      </c>
      <c r="G90" t="s">
        <v>74</v>
      </c>
      <c r="H90" t="s">
        <v>74</v>
      </c>
      <c r="I90" t="s">
        <v>1611</v>
      </c>
      <c r="J90" t="s">
        <v>216</v>
      </c>
      <c r="K90" t="s">
        <v>74</v>
      </c>
      <c r="L90" t="s">
        <v>74</v>
      </c>
      <c r="M90" t="s">
        <v>78</v>
      </c>
      <c r="N90" t="s">
        <v>52</v>
      </c>
      <c r="O90" t="s">
        <v>1543</v>
      </c>
      <c r="P90" t="s">
        <v>1544</v>
      </c>
      <c r="Q90" t="s">
        <v>1545</v>
      </c>
      <c r="R90" t="s">
        <v>505</v>
      </c>
      <c r="S90" t="s">
        <v>74</v>
      </c>
      <c r="T90" t="s">
        <v>74</v>
      </c>
      <c r="U90" t="s">
        <v>74</v>
      </c>
      <c r="V90" t="s">
        <v>74</v>
      </c>
      <c r="W90" t="s">
        <v>1612</v>
      </c>
      <c r="X90" t="s">
        <v>1613</v>
      </c>
      <c r="Y90" t="s">
        <v>74</v>
      </c>
      <c r="Z90" t="s">
        <v>1614</v>
      </c>
      <c r="AA90" t="s">
        <v>1615</v>
      </c>
      <c r="AB90" t="s">
        <v>1616</v>
      </c>
      <c r="AC90" t="s">
        <v>74</v>
      </c>
      <c r="AD90" t="s">
        <v>74</v>
      </c>
      <c r="AE90" t="s">
        <v>74</v>
      </c>
      <c r="AF90" t="s">
        <v>74</v>
      </c>
      <c r="AG90">
        <v>0</v>
      </c>
      <c r="AH90">
        <v>1</v>
      </c>
      <c r="AI90">
        <v>1</v>
      </c>
      <c r="AJ90">
        <v>0</v>
      </c>
      <c r="AK90">
        <v>0</v>
      </c>
      <c r="AL90" t="s">
        <v>219</v>
      </c>
      <c r="AM90" t="s">
        <v>220</v>
      </c>
      <c r="AN90" t="s">
        <v>221</v>
      </c>
      <c r="AO90" t="s">
        <v>222</v>
      </c>
      <c r="AP90" t="s">
        <v>223</v>
      </c>
      <c r="AQ90" t="s">
        <v>74</v>
      </c>
      <c r="AR90" t="s">
        <v>224</v>
      </c>
      <c r="AS90" t="s">
        <v>225</v>
      </c>
      <c r="AT90" t="s">
        <v>1550</v>
      </c>
      <c r="AU90">
        <v>2023</v>
      </c>
      <c r="AV90">
        <v>62</v>
      </c>
      <c r="AW90" t="s">
        <v>74</v>
      </c>
      <c r="AX90" t="s">
        <v>74</v>
      </c>
      <c r="AY90">
        <v>67</v>
      </c>
      <c r="AZ90" t="s">
        <v>74</v>
      </c>
      <c r="BA90" t="s">
        <v>74</v>
      </c>
      <c r="BB90" t="s">
        <v>74</v>
      </c>
      <c r="BC90" t="s">
        <v>74</v>
      </c>
      <c r="BD90" t="s">
        <v>1617</v>
      </c>
      <c r="BE90" t="s">
        <v>1618</v>
      </c>
      <c r="BF90" t="str">
        <f>HYPERLINK("http://dx.doi.org/10.1183/13993003.congress-2023.PA452","http://dx.doi.org/10.1183/13993003.congress-2023.PA452")</f>
        <v>http://dx.doi.org/10.1183/13993003.congress-2023.PA452</v>
      </c>
      <c r="BG90" t="s">
        <v>74</v>
      </c>
      <c r="BH90" t="s">
        <v>74</v>
      </c>
      <c r="BI90">
        <v>3</v>
      </c>
      <c r="BJ90" t="s">
        <v>228</v>
      </c>
      <c r="BK90" t="s">
        <v>512</v>
      </c>
      <c r="BL90" t="s">
        <v>228</v>
      </c>
      <c r="BM90" t="s">
        <v>1552</v>
      </c>
      <c r="BN90" t="s">
        <v>74</v>
      </c>
      <c r="BO90" t="s">
        <v>103</v>
      </c>
      <c r="BP90" t="s">
        <v>74</v>
      </c>
      <c r="BQ90" t="s">
        <v>74</v>
      </c>
      <c r="BR90" t="s">
        <v>104</v>
      </c>
      <c r="BS90" t="s">
        <v>1619</v>
      </c>
      <c r="BT90" t="str">
        <f>HYPERLINK("https%3A%2F%2Fwww.webofscience.com%2Fwos%2Fwoscc%2Ffull-record%2FWOS:001109120501311","View Full Record in Web of Science")</f>
        <v>View Full Record in Web of Science</v>
      </c>
    </row>
    <row r="91" spans="1:72" x14ac:dyDescent="0.25">
      <c r="A91" t="s">
        <v>72</v>
      </c>
      <c r="B91" t="s">
        <v>1620</v>
      </c>
      <c r="C91" t="s">
        <v>74</v>
      </c>
      <c r="D91" t="s">
        <v>74</v>
      </c>
      <c r="E91" t="s">
        <v>74</v>
      </c>
      <c r="F91" t="s">
        <v>1621</v>
      </c>
      <c r="G91" t="s">
        <v>74</v>
      </c>
      <c r="H91" t="s">
        <v>74</v>
      </c>
      <c r="I91" t="s">
        <v>1622</v>
      </c>
      <c r="J91" t="s">
        <v>216</v>
      </c>
      <c r="K91" t="s">
        <v>74</v>
      </c>
      <c r="L91" t="s">
        <v>74</v>
      </c>
      <c r="M91" t="s">
        <v>78</v>
      </c>
      <c r="N91" t="s">
        <v>52</v>
      </c>
      <c r="O91" t="s">
        <v>1543</v>
      </c>
      <c r="P91" t="s">
        <v>1544</v>
      </c>
      <c r="Q91" t="s">
        <v>1545</v>
      </c>
      <c r="R91" t="s">
        <v>505</v>
      </c>
      <c r="S91" t="s">
        <v>74</v>
      </c>
      <c r="T91" t="s">
        <v>74</v>
      </c>
      <c r="U91" t="s">
        <v>74</v>
      </c>
      <c r="V91" t="s">
        <v>74</v>
      </c>
      <c r="W91" t="s">
        <v>1623</v>
      </c>
      <c r="X91" t="s">
        <v>1624</v>
      </c>
      <c r="Y91" t="s">
        <v>74</v>
      </c>
      <c r="Z91" t="s">
        <v>1625</v>
      </c>
      <c r="AA91" t="s">
        <v>1626</v>
      </c>
      <c r="AB91" t="s">
        <v>257</v>
      </c>
      <c r="AC91" t="s">
        <v>74</v>
      </c>
      <c r="AD91" t="s">
        <v>74</v>
      </c>
      <c r="AE91" t="s">
        <v>74</v>
      </c>
      <c r="AF91" t="s">
        <v>74</v>
      </c>
      <c r="AG91">
        <v>0</v>
      </c>
      <c r="AH91">
        <v>3</v>
      </c>
      <c r="AI91">
        <v>3</v>
      </c>
      <c r="AJ91">
        <v>1</v>
      </c>
      <c r="AK91">
        <v>1</v>
      </c>
      <c r="AL91" t="s">
        <v>219</v>
      </c>
      <c r="AM91" t="s">
        <v>220</v>
      </c>
      <c r="AN91" t="s">
        <v>221</v>
      </c>
      <c r="AO91" t="s">
        <v>222</v>
      </c>
      <c r="AP91" t="s">
        <v>223</v>
      </c>
      <c r="AQ91" t="s">
        <v>74</v>
      </c>
      <c r="AR91" t="s">
        <v>224</v>
      </c>
      <c r="AS91" t="s">
        <v>225</v>
      </c>
      <c r="AT91" t="s">
        <v>1550</v>
      </c>
      <c r="AU91">
        <v>2023</v>
      </c>
      <c r="AV91">
        <v>62</v>
      </c>
      <c r="AW91" t="s">
        <v>74</v>
      </c>
      <c r="AX91" t="s">
        <v>74</v>
      </c>
      <c r="AY91">
        <v>67</v>
      </c>
      <c r="AZ91" t="s">
        <v>74</v>
      </c>
      <c r="BA91" t="s">
        <v>74</v>
      </c>
      <c r="BB91" t="s">
        <v>74</v>
      </c>
      <c r="BC91" t="s">
        <v>74</v>
      </c>
      <c r="BD91" t="s">
        <v>74</v>
      </c>
      <c r="BE91" t="s">
        <v>1627</v>
      </c>
      <c r="BF91" t="str">
        <f>HYPERLINK("http://dx.doi.org/10.1183/13993003.congress2023.OA739","http://dx.doi.org/10.1183/13993003.congress2023.OA739")</f>
        <v>http://dx.doi.org/10.1183/13993003.congress2023.OA739</v>
      </c>
      <c r="BG91" t="s">
        <v>74</v>
      </c>
      <c r="BH91" t="s">
        <v>74</v>
      </c>
      <c r="BI91">
        <v>3</v>
      </c>
      <c r="BJ91" t="s">
        <v>228</v>
      </c>
      <c r="BK91" t="s">
        <v>512</v>
      </c>
      <c r="BL91" t="s">
        <v>228</v>
      </c>
      <c r="BM91" t="s">
        <v>1552</v>
      </c>
      <c r="BN91" t="s">
        <v>74</v>
      </c>
      <c r="BO91" t="s">
        <v>74</v>
      </c>
      <c r="BP91" t="s">
        <v>74</v>
      </c>
      <c r="BQ91" t="s">
        <v>74</v>
      </c>
      <c r="BR91" t="s">
        <v>104</v>
      </c>
      <c r="BS91" t="s">
        <v>1628</v>
      </c>
      <c r="BT91" t="str">
        <f>HYPERLINK("https%3A%2F%2Fwww.webofscience.com%2Fwos%2Fwoscc%2Ffull-record%2FWOS:001109120500002","View Full Record in Web of Science")</f>
        <v>View Full Record in Web of Science</v>
      </c>
    </row>
    <row r="92" spans="1:72" x14ac:dyDescent="0.25">
      <c r="A92" t="s">
        <v>72</v>
      </c>
      <c r="B92" t="s">
        <v>1629</v>
      </c>
      <c r="C92" t="s">
        <v>74</v>
      </c>
      <c r="D92" t="s">
        <v>74</v>
      </c>
      <c r="E92" t="s">
        <v>74</v>
      </c>
      <c r="F92" t="s">
        <v>1630</v>
      </c>
      <c r="G92" t="s">
        <v>74</v>
      </c>
      <c r="H92" t="s">
        <v>74</v>
      </c>
      <c r="I92" t="s">
        <v>1631</v>
      </c>
      <c r="J92" t="s">
        <v>216</v>
      </c>
      <c r="K92" t="s">
        <v>74</v>
      </c>
      <c r="L92" t="s">
        <v>74</v>
      </c>
      <c r="M92" t="s">
        <v>78</v>
      </c>
      <c r="N92" t="s">
        <v>52</v>
      </c>
      <c r="O92" t="s">
        <v>1543</v>
      </c>
      <c r="P92" t="s">
        <v>1544</v>
      </c>
      <c r="Q92" t="s">
        <v>1545</v>
      </c>
      <c r="R92" t="s">
        <v>505</v>
      </c>
      <c r="S92" t="s">
        <v>74</v>
      </c>
      <c r="T92" t="s">
        <v>74</v>
      </c>
      <c r="U92" t="s">
        <v>74</v>
      </c>
      <c r="V92" t="s">
        <v>74</v>
      </c>
      <c r="W92" t="s">
        <v>1632</v>
      </c>
      <c r="X92" t="s">
        <v>1633</v>
      </c>
      <c r="Y92" t="s">
        <v>74</v>
      </c>
      <c r="Z92" t="s">
        <v>1634</v>
      </c>
      <c r="AA92" t="s">
        <v>1635</v>
      </c>
      <c r="AB92" t="s">
        <v>257</v>
      </c>
      <c r="AC92" t="s">
        <v>74</v>
      </c>
      <c r="AD92" t="s">
        <v>74</v>
      </c>
      <c r="AE92" t="s">
        <v>74</v>
      </c>
      <c r="AF92" t="s">
        <v>74</v>
      </c>
      <c r="AG92">
        <v>0</v>
      </c>
      <c r="AH92">
        <v>0</v>
      </c>
      <c r="AI92">
        <v>0</v>
      </c>
      <c r="AJ92">
        <v>0</v>
      </c>
      <c r="AK92">
        <v>1</v>
      </c>
      <c r="AL92" t="s">
        <v>219</v>
      </c>
      <c r="AM92" t="s">
        <v>220</v>
      </c>
      <c r="AN92" t="s">
        <v>221</v>
      </c>
      <c r="AO92" t="s">
        <v>222</v>
      </c>
      <c r="AP92" t="s">
        <v>223</v>
      </c>
      <c r="AQ92" t="s">
        <v>74</v>
      </c>
      <c r="AR92" t="s">
        <v>224</v>
      </c>
      <c r="AS92" t="s">
        <v>225</v>
      </c>
      <c r="AT92" t="s">
        <v>1550</v>
      </c>
      <c r="AU92">
        <v>2023</v>
      </c>
      <c r="AV92">
        <v>62</v>
      </c>
      <c r="AW92" t="s">
        <v>74</v>
      </c>
      <c r="AX92" t="s">
        <v>74</v>
      </c>
      <c r="AY92">
        <v>67</v>
      </c>
      <c r="AZ92" t="s">
        <v>74</v>
      </c>
      <c r="BA92" t="s">
        <v>1636</v>
      </c>
      <c r="BB92" t="s">
        <v>74</v>
      </c>
      <c r="BC92" t="s">
        <v>74</v>
      </c>
      <c r="BD92" t="s">
        <v>74</v>
      </c>
      <c r="BE92" t="s">
        <v>1637</v>
      </c>
      <c r="BF92" t="str">
        <f>HYPERLINK("http://dx.doi.org/10.1183/13993003.congress-2023.PA1193","http://dx.doi.org/10.1183/13993003.congress-2023.PA1193")</f>
        <v>http://dx.doi.org/10.1183/13993003.congress-2023.PA1193</v>
      </c>
      <c r="BG92" t="s">
        <v>74</v>
      </c>
      <c r="BH92" t="s">
        <v>74</v>
      </c>
      <c r="BI92">
        <v>3</v>
      </c>
      <c r="BJ92" t="s">
        <v>228</v>
      </c>
      <c r="BK92" t="s">
        <v>512</v>
      </c>
      <c r="BL92" t="s">
        <v>228</v>
      </c>
      <c r="BM92" t="s">
        <v>1552</v>
      </c>
      <c r="BN92" t="s">
        <v>74</v>
      </c>
      <c r="BO92" t="s">
        <v>74</v>
      </c>
      <c r="BP92" t="s">
        <v>74</v>
      </c>
      <c r="BQ92" t="s">
        <v>74</v>
      </c>
      <c r="BR92" t="s">
        <v>104</v>
      </c>
      <c r="BS92" t="s">
        <v>1638</v>
      </c>
      <c r="BT92" t="str">
        <f>HYPERLINK("https%3A%2F%2Fwww.webofscience.com%2Fwos%2Fwoscc%2Ffull-record%2FWOS:001109120502349","View Full Record in Web of Science")</f>
        <v>View Full Record in Web of Science</v>
      </c>
    </row>
    <row r="93" spans="1:72" x14ac:dyDescent="0.25">
      <c r="A93" t="s">
        <v>72</v>
      </c>
      <c r="B93" t="s">
        <v>1639</v>
      </c>
      <c r="C93" t="s">
        <v>74</v>
      </c>
      <c r="D93" t="s">
        <v>74</v>
      </c>
      <c r="E93" t="s">
        <v>74</v>
      </c>
      <c r="F93" t="s">
        <v>1640</v>
      </c>
      <c r="G93" t="s">
        <v>74</v>
      </c>
      <c r="H93" t="s">
        <v>74</v>
      </c>
      <c r="I93" t="s">
        <v>1641</v>
      </c>
      <c r="J93" t="s">
        <v>216</v>
      </c>
      <c r="K93" t="s">
        <v>74</v>
      </c>
      <c r="L93" t="s">
        <v>74</v>
      </c>
      <c r="M93" t="s">
        <v>78</v>
      </c>
      <c r="N93" t="s">
        <v>52</v>
      </c>
      <c r="O93" t="s">
        <v>1543</v>
      </c>
      <c r="P93" t="s">
        <v>1544</v>
      </c>
      <c r="Q93" t="s">
        <v>1545</v>
      </c>
      <c r="R93" t="s">
        <v>505</v>
      </c>
      <c r="S93" t="s">
        <v>74</v>
      </c>
      <c r="T93" t="s">
        <v>74</v>
      </c>
      <c r="U93" t="s">
        <v>74</v>
      </c>
      <c r="V93" t="s">
        <v>74</v>
      </c>
      <c r="W93" t="s">
        <v>1642</v>
      </c>
      <c r="X93" t="s">
        <v>1643</v>
      </c>
      <c r="Y93" t="s">
        <v>74</v>
      </c>
      <c r="Z93" t="s">
        <v>1644</v>
      </c>
      <c r="AA93" t="s">
        <v>1645</v>
      </c>
      <c r="AB93" t="s">
        <v>1646</v>
      </c>
      <c r="AC93" t="s">
        <v>74</v>
      </c>
      <c r="AD93" t="s">
        <v>74</v>
      </c>
      <c r="AE93" t="s">
        <v>74</v>
      </c>
      <c r="AF93" t="s">
        <v>74</v>
      </c>
      <c r="AG93">
        <v>0</v>
      </c>
      <c r="AH93">
        <v>0</v>
      </c>
      <c r="AI93">
        <v>0</v>
      </c>
      <c r="AJ93">
        <v>0</v>
      </c>
      <c r="AK93">
        <v>0</v>
      </c>
      <c r="AL93" t="s">
        <v>219</v>
      </c>
      <c r="AM93" t="s">
        <v>220</v>
      </c>
      <c r="AN93" t="s">
        <v>221</v>
      </c>
      <c r="AO93" t="s">
        <v>222</v>
      </c>
      <c r="AP93" t="s">
        <v>223</v>
      </c>
      <c r="AQ93" t="s">
        <v>74</v>
      </c>
      <c r="AR93" t="s">
        <v>224</v>
      </c>
      <c r="AS93" t="s">
        <v>225</v>
      </c>
      <c r="AT93" t="s">
        <v>1550</v>
      </c>
      <c r="AU93">
        <v>2023</v>
      </c>
      <c r="AV93">
        <v>62</v>
      </c>
      <c r="AW93" t="s">
        <v>74</v>
      </c>
      <c r="AX93" t="s">
        <v>74</v>
      </c>
      <c r="AY93">
        <v>67</v>
      </c>
      <c r="AZ93" t="s">
        <v>74</v>
      </c>
      <c r="BA93" t="s">
        <v>74</v>
      </c>
      <c r="BB93" t="s">
        <v>74</v>
      </c>
      <c r="BC93" t="s">
        <v>74</v>
      </c>
      <c r="BD93" t="s">
        <v>1647</v>
      </c>
      <c r="BE93" t="s">
        <v>1648</v>
      </c>
      <c r="BF93" t="str">
        <f>HYPERLINK("http://dx.doi.org/10.1183/13993003.congress-2023.PA443","http://dx.doi.org/10.1183/13993003.congress-2023.PA443")</f>
        <v>http://dx.doi.org/10.1183/13993003.congress-2023.PA443</v>
      </c>
      <c r="BG93" t="s">
        <v>74</v>
      </c>
      <c r="BH93" t="s">
        <v>74</v>
      </c>
      <c r="BI93">
        <v>3</v>
      </c>
      <c r="BJ93" t="s">
        <v>228</v>
      </c>
      <c r="BK93" t="s">
        <v>512</v>
      </c>
      <c r="BL93" t="s">
        <v>228</v>
      </c>
      <c r="BM93" t="s">
        <v>1552</v>
      </c>
      <c r="BN93" t="s">
        <v>74</v>
      </c>
      <c r="BO93" t="s">
        <v>74</v>
      </c>
      <c r="BP93" t="s">
        <v>74</v>
      </c>
      <c r="BQ93" t="s">
        <v>74</v>
      </c>
      <c r="BR93" t="s">
        <v>104</v>
      </c>
      <c r="BS93" t="s">
        <v>1649</v>
      </c>
      <c r="BT93" t="str">
        <f>HYPERLINK("https%3A%2F%2Fwww.webofscience.com%2Fwos%2Fwoscc%2Ffull-record%2FWOS:001109120501302","View Full Record in Web of Science")</f>
        <v>View Full Record in Web of Science</v>
      </c>
    </row>
    <row r="94" spans="1:72" x14ac:dyDescent="0.25">
      <c r="A94" t="s">
        <v>72</v>
      </c>
      <c r="B94" t="s">
        <v>1650</v>
      </c>
      <c r="C94" t="s">
        <v>74</v>
      </c>
      <c r="D94" t="s">
        <v>74</v>
      </c>
      <c r="E94" t="s">
        <v>74</v>
      </c>
      <c r="F94" t="s">
        <v>1651</v>
      </c>
      <c r="G94" t="s">
        <v>74</v>
      </c>
      <c r="H94" t="s">
        <v>74</v>
      </c>
      <c r="I94" t="s">
        <v>1652</v>
      </c>
      <c r="J94" t="s">
        <v>793</v>
      </c>
      <c r="K94" t="s">
        <v>74</v>
      </c>
      <c r="L94" t="s">
        <v>74</v>
      </c>
      <c r="M94" t="s">
        <v>78</v>
      </c>
      <c r="N94" t="s">
        <v>79</v>
      </c>
      <c r="O94" t="s">
        <v>74</v>
      </c>
      <c r="P94" t="s">
        <v>74</v>
      </c>
      <c r="Q94" t="s">
        <v>74</v>
      </c>
      <c r="R94" t="s">
        <v>74</v>
      </c>
      <c r="S94" t="s">
        <v>74</v>
      </c>
      <c r="T94" t="s">
        <v>74</v>
      </c>
      <c r="U94" t="s">
        <v>1653</v>
      </c>
      <c r="V94" t="s">
        <v>1654</v>
      </c>
      <c r="W94" t="s">
        <v>1655</v>
      </c>
      <c r="X94" t="s">
        <v>1656</v>
      </c>
      <c r="Y94" t="s">
        <v>1657</v>
      </c>
      <c r="Z94" t="s">
        <v>1658</v>
      </c>
      <c r="AA94" t="s">
        <v>1659</v>
      </c>
      <c r="AB94" t="s">
        <v>257</v>
      </c>
      <c r="AC94" t="s">
        <v>1660</v>
      </c>
      <c r="AD94" t="s">
        <v>1661</v>
      </c>
      <c r="AE94" t="s">
        <v>1662</v>
      </c>
      <c r="AF94" t="s">
        <v>74</v>
      </c>
      <c r="AG94">
        <v>19</v>
      </c>
      <c r="AH94">
        <v>1</v>
      </c>
      <c r="AI94">
        <v>1</v>
      </c>
      <c r="AJ94">
        <v>0</v>
      </c>
      <c r="AK94">
        <v>0</v>
      </c>
      <c r="AL94" t="s">
        <v>219</v>
      </c>
      <c r="AM94" t="s">
        <v>220</v>
      </c>
      <c r="AN94" t="s">
        <v>221</v>
      </c>
      <c r="AO94" t="s">
        <v>74</v>
      </c>
      <c r="AP94" t="s">
        <v>803</v>
      </c>
      <c r="AQ94" t="s">
        <v>74</v>
      </c>
      <c r="AR94" t="s">
        <v>804</v>
      </c>
      <c r="AS94" t="s">
        <v>805</v>
      </c>
      <c r="AT94" t="s">
        <v>529</v>
      </c>
      <c r="AU94">
        <v>2023</v>
      </c>
      <c r="AV94">
        <v>9</v>
      </c>
      <c r="AW94">
        <v>5</v>
      </c>
      <c r="AX94" t="s">
        <v>74</v>
      </c>
      <c r="AY94" t="s">
        <v>74</v>
      </c>
      <c r="AZ94" t="s">
        <v>74</v>
      </c>
      <c r="BA94" t="s">
        <v>74</v>
      </c>
      <c r="BB94" t="s">
        <v>74</v>
      </c>
      <c r="BC94" t="s">
        <v>74</v>
      </c>
      <c r="BD94">
        <v>37</v>
      </c>
      <c r="BE94" t="s">
        <v>1663</v>
      </c>
      <c r="BF94" t="str">
        <f>HYPERLINK("http://dx.doi.org/10.1183/23120541.00037-2023","http://dx.doi.org/10.1183/23120541.00037-2023")</f>
        <v>http://dx.doi.org/10.1183/23120541.00037-2023</v>
      </c>
      <c r="BG94" t="s">
        <v>74</v>
      </c>
      <c r="BH94" t="s">
        <v>74</v>
      </c>
      <c r="BI94">
        <v>9</v>
      </c>
      <c r="BJ94" t="s">
        <v>228</v>
      </c>
      <c r="BK94" t="s">
        <v>101</v>
      </c>
      <c r="BL94" t="s">
        <v>228</v>
      </c>
      <c r="BM94" t="s">
        <v>1664</v>
      </c>
      <c r="BN94">
        <v>37859672</v>
      </c>
      <c r="BO94" t="s">
        <v>1665</v>
      </c>
      <c r="BP94" t="s">
        <v>74</v>
      </c>
      <c r="BQ94" t="s">
        <v>74</v>
      </c>
      <c r="BR94" t="s">
        <v>104</v>
      </c>
      <c r="BS94" t="s">
        <v>1666</v>
      </c>
      <c r="BT94" t="str">
        <f>HYPERLINK("https%3A%2F%2Fwww.webofscience.com%2Fwos%2Fwoscc%2Ffull-record%2FWOS:001082824400001","View Full Record in Web of Science")</f>
        <v>View Full Record in Web of Science</v>
      </c>
    </row>
    <row r="95" spans="1:72" x14ac:dyDescent="0.25">
      <c r="A95" t="s">
        <v>72</v>
      </c>
      <c r="B95" t="s">
        <v>1667</v>
      </c>
      <c r="C95" t="s">
        <v>74</v>
      </c>
      <c r="D95" t="s">
        <v>74</v>
      </c>
      <c r="E95" t="s">
        <v>74</v>
      </c>
      <c r="F95" t="s">
        <v>1668</v>
      </c>
      <c r="G95" t="s">
        <v>74</v>
      </c>
      <c r="H95" t="s">
        <v>74</v>
      </c>
      <c r="I95" t="s">
        <v>1669</v>
      </c>
      <c r="J95" t="s">
        <v>637</v>
      </c>
      <c r="K95" t="s">
        <v>74</v>
      </c>
      <c r="L95" t="s">
        <v>74</v>
      </c>
      <c r="M95" t="s">
        <v>78</v>
      </c>
      <c r="N95" t="s">
        <v>79</v>
      </c>
      <c r="O95" t="s">
        <v>74</v>
      </c>
      <c r="P95" t="s">
        <v>74</v>
      </c>
      <c r="Q95" t="s">
        <v>74</v>
      </c>
      <c r="R95" t="s">
        <v>74</v>
      </c>
      <c r="S95" t="s">
        <v>74</v>
      </c>
      <c r="T95" t="s">
        <v>1670</v>
      </c>
      <c r="U95" t="s">
        <v>1671</v>
      </c>
      <c r="V95" t="s">
        <v>1672</v>
      </c>
      <c r="W95" t="s">
        <v>1673</v>
      </c>
      <c r="X95" t="s">
        <v>1674</v>
      </c>
      <c r="Y95" t="s">
        <v>1675</v>
      </c>
      <c r="Z95" t="s">
        <v>331</v>
      </c>
      <c r="AA95" t="s">
        <v>1676</v>
      </c>
      <c r="AB95" t="s">
        <v>1677</v>
      </c>
      <c r="AC95" t="s">
        <v>74</v>
      </c>
      <c r="AD95" t="s">
        <v>74</v>
      </c>
      <c r="AE95" t="s">
        <v>74</v>
      </c>
      <c r="AF95" t="s">
        <v>74</v>
      </c>
      <c r="AG95">
        <v>64</v>
      </c>
      <c r="AH95">
        <v>7</v>
      </c>
      <c r="AI95">
        <v>7</v>
      </c>
      <c r="AJ95">
        <v>8</v>
      </c>
      <c r="AK95">
        <v>22</v>
      </c>
      <c r="AL95" t="s">
        <v>649</v>
      </c>
      <c r="AM95" t="s">
        <v>486</v>
      </c>
      <c r="AN95" t="s">
        <v>650</v>
      </c>
      <c r="AO95" t="s">
        <v>651</v>
      </c>
      <c r="AP95" t="s">
        <v>652</v>
      </c>
      <c r="AQ95" t="s">
        <v>74</v>
      </c>
      <c r="AR95" t="s">
        <v>653</v>
      </c>
      <c r="AS95" t="s">
        <v>654</v>
      </c>
      <c r="AT95" t="s">
        <v>529</v>
      </c>
      <c r="AU95">
        <v>2023</v>
      </c>
      <c r="AV95">
        <v>208</v>
      </c>
      <c r="AW95">
        <v>5</v>
      </c>
      <c r="AX95" t="s">
        <v>74</v>
      </c>
      <c r="AY95" t="s">
        <v>74</v>
      </c>
      <c r="AZ95" t="s">
        <v>74</v>
      </c>
      <c r="BA95" t="s">
        <v>74</v>
      </c>
      <c r="BB95">
        <v>600</v>
      </c>
      <c r="BC95">
        <v>612</v>
      </c>
      <c r="BD95" t="s">
        <v>74</v>
      </c>
      <c r="BE95" t="s">
        <v>1678</v>
      </c>
      <c r="BF95" t="str">
        <f>HYPERLINK("http://dx.doi.org/10.1164/rccm.202210-1941OC","http://dx.doi.org/10.1164/rccm.202210-1941OC")</f>
        <v>http://dx.doi.org/10.1164/rccm.202210-1941OC</v>
      </c>
      <c r="BG95" t="s">
        <v>74</v>
      </c>
      <c r="BH95" t="s">
        <v>74</v>
      </c>
      <c r="BI95">
        <v>13</v>
      </c>
      <c r="BJ95" t="s">
        <v>341</v>
      </c>
      <c r="BK95" t="s">
        <v>101</v>
      </c>
      <c r="BL95" t="s">
        <v>342</v>
      </c>
      <c r="BM95" t="s">
        <v>1679</v>
      </c>
      <c r="BN95">
        <v>37311222</v>
      </c>
      <c r="BO95" t="s">
        <v>74</v>
      </c>
      <c r="BP95" t="s">
        <v>74</v>
      </c>
      <c r="BQ95" t="s">
        <v>74</v>
      </c>
      <c r="BR95" t="s">
        <v>104</v>
      </c>
      <c r="BS95" t="s">
        <v>1680</v>
      </c>
      <c r="BT95" t="str">
        <f>HYPERLINK("https%3A%2F%2Fwww.webofscience.com%2Fwos%2Fwoscc%2Ffull-record%2FWOS:001064158700016","View Full Record in Web of Science")</f>
        <v>View Full Record in Web of Science</v>
      </c>
    </row>
    <row r="96" spans="1:72" x14ac:dyDescent="0.25">
      <c r="A96" t="s">
        <v>72</v>
      </c>
      <c r="B96" t="s">
        <v>1681</v>
      </c>
      <c r="C96" t="s">
        <v>74</v>
      </c>
      <c r="D96" t="s">
        <v>74</v>
      </c>
      <c r="E96" t="s">
        <v>74</v>
      </c>
      <c r="F96" t="s">
        <v>1682</v>
      </c>
      <c r="G96" t="s">
        <v>74</v>
      </c>
      <c r="H96" t="s">
        <v>74</v>
      </c>
      <c r="I96" t="s">
        <v>1683</v>
      </c>
      <c r="J96" t="s">
        <v>216</v>
      </c>
      <c r="K96" t="s">
        <v>74</v>
      </c>
      <c r="L96" t="s">
        <v>74</v>
      </c>
      <c r="M96" t="s">
        <v>78</v>
      </c>
      <c r="N96" t="s">
        <v>79</v>
      </c>
      <c r="O96" t="s">
        <v>74</v>
      </c>
      <c r="P96" t="s">
        <v>74</v>
      </c>
      <c r="Q96" t="s">
        <v>74</v>
      </c>
      <c r="R96" t="s">
        <v>74</v>
      </c>
      <c r="S96" t="s">
        <v>74</v>
      </c>
      <c r="T96" t="s">
        <v>74</v>
      </c>
      <c r="U96" t="s">
        <v>1684</v>
      </c>
      <c r="V96" t="s">
        <v>1685</v>
      </c>
      <c r="W96" t="s">
        <v>1686</v>
      </c>
      <c r="X96" t="s">
        <v>1687</v>
      </c>
      <c r="Y96" t="s">
        <v>1688</v>
      </c>
      <c r="Z96" t="s">
        <v>1689</v>
      </c>
      <c r="AA96" t="s">
        <v>1690</v>
      </c>
      <c r="AB96" t="s">
        <v>1691</v>
      </c>
      <c r="AC96" t="s">
        <v>1692</v>
      </c>
      <c r="AD96" t="s">
        <v>1693</v>
      </c>
      <c r="AE96" t="s">
        <v>1694</v>
      </c>
      <c r="AF96" t="s">
        <v>74</v>
      </c>
      <c r="AG96">
        <v>24</v>
      </c>
      <c r="AH96">
        <v>32</v>
      </c>
      <c r="AI96">
        <v>33</v>
      </c>
      <c r="AJ96">
        <v>0</v>
      </c>
      <c r="AK96">
        <v>2</v>
      </c>
      <c r="AL96" t="s">
        <v>219</v>
      </c>
      <c r="AM96" t="s">
        <v>220</v>
      </c>
      <c r="AN96" t="s">
        <v>221</v>
      </c>
      <c r="AO96" t="s">
        <v>222</v>
      </c>
      <c r="AP96" t="s">
        <v>223</v>
      </c>
      <c r="AQ96" t="s">
        <v>74</v>
      </c>
      <c r="AR96" t="s">
        <v>224</v>
      </c>
      <c r="AS96" t="s">
        <v>225</v>
      </c>
      <c r="AT96" t="s">
        <v>529</v>
      </c>
      <c r="AU96">
        <v>2023</v>
      </c>
      <c r="AV96">
        <v>62</v>
      </c>
      <c r="AW96">
        <v>3</v>
      </c>
      <c r="AX96" t="s">
        <v>74</v>
      </c>
      <c r="AY96" t="s">
        <v>74</v>
      </c>
      <c r="AZ96" t="s">
        <v>74</v>
      </c>
      <c r="BA96" t="s">
        <v>74</v>
      </c>
      <c r="BB96" t="s">
        <v>74</v>
      </c>
      <c r="BC96" t="s">
        <v>74</v>
      </c>
      <c r="BD96">
        <v>2301107</v>
      </c>
      <c r="BE96" t="s">
        <v>1695</v>
      </c>
      <c r="BF96" t="str">
        <f>HYPERLINK("http://dx.doi.org/10.1183/13993003.01107-2023","http://dx.doi.org/10.1183/13993003.01107-2023")</f>
        <v>http://dx.doi.org/10.1183/13993003.01107-2023</v>
      </c>
      <c r="BG96" t="s">
        <v>74</v>
      </c>
      <c r="BH96" t="s">
        <v>74</v>
      </c>
      <c r="BI96">
        <v>16</v>
      </c>
      <c r="BJ96" t="s">
        <v>228</v>
      </c>
      <c r="BK96" t="s">
        <v>101</v>
      </c>
      <c r="BL96" t="s">
        <v>228</v>
      </c>
      <c r="BM96" t="s">
        <v>1696</v>
      </c>
      <c r="BN96">
        <v>37696565</v>
      </c>
      <c r="BO96" t="s">
        <v>246</v>
      </c>
      <c r="BP96" t="s">
        <v>74</v>
      </c>
      <c r="BQ96" t="s">
        <v>74</v>
      </c>
      <c r="BR96" t="s">
        <v>104</v>
      </c>
      <c r="BS96" t="s">
        <v>1697</v>
      </c>
      <c r="BT96" t="str">
        <f>HYPERLINK("https%3A%2F%2Fwww.webofscience.com%2Fwos%2Fwoscc%2Ffull-record%2FWOS:001083011900010","View Full Record in Web of Science")</f>
        <v>View Full Record in Web of Science</v>
      </c>
    </row>
    <row r="97" spans="1:72" x14ac:dyDescent="0.25">
      <c r="A97" t="s">
        <v>72</v>
      </c>
      <c r="B97" t="s">
        <v>1698</v>
      </c>
      <c r="C97" t="s">
        <v>74</v>
      </c>
      <c r="D97" t="s">
        <v>74</v>
      </c>
      <c r="E97" t="s">
        <v>74</v>
      </c>
      <c r="F97" t="s">
        <v>1699</v>
      </c>
      <c r="G97" t="s">
        <v>74</v>
      </c>
      <c r="H97" t="s">
        <v>74</v>
      </c>
      <c r="I97" t="s">
        <v>1700</v>
      </c>
      <c r="J97" t="s">
        <v>1529</v>
      </c>
      <c r="K97" t="s">
        <v>74</v>
      </c>
      <c r="L97" t="s">
        <v>74</v>
      </c>
      <c r="M97" t="s">
        <v>78</v>
      </c>
      <c r="N97" t="s">
        <v>299</v>
      </c>
      <c r="O97" t="s">
        <v>74</v>
      </c>
      <c r="P97" t="s">
        <v>74</v>
      </c>
      <c r="Q97" t="s">
        <v>74</v>
      </c>
      <c r="R97" t="s">
        <v>74</v>
      </c>
      <c r="S97" t="s">
        <v>74</v>
      </c>
      <c r="T97" t="s">
        <v>1701</v>
      </c>
      <c r="U97" t="s">
        <v>1702</v>
      </c>
      <c r="V97" t="s">
        <v>1703</v>
      </c>
      <c r="W97" t="s">
        <v>1704</v>
      </c>
      <c r="X97" t="s">
        <v>1705</v>
      </c>
      <c r="Y97" t="s">
        <v>1706</v>
      </c>
      <c r="Z97" t="s">
        <v>508</v>
      </c>
      <c r="AA97" t="s">
        <v>1707</v>
      </c>
      <c r="AB97" t="s">
        <v>1708</v>
      </c>
      <c r="AC97" t="s">
        <v>74</v>
      </c>
      <c r="AD97" t="s">
        <v>74</v>
      </c>
      <c r="AE97" t="s">
        <v>74</v>
      </c>
      <c r="AF97" t="s">
        <v>74</v>
      </c>
      <c r="AG97">
        <v>168</v>
      </c>
      <c r="AH97">
        <v>8</v>
      </c>
      <c r="AI97">
        <v>8</v>
      </c>
      <c r="AJ97">
        <v>7</v>
      </c>
      <c r="AK97">
        <v>15</v>
      </c>
      <c r="AL97" t="s">
        <v>1358</v>
      </c>
      <c r="AM97" t="s">
        <v>1359</v>
      </c>
      <c r="AN97" t="s">
        <v>1360</v>
      </c>
      <c r="AO97" t="s">
        <v>1533</v>
      </c>
      <c r="AP97" t="s">
        <v>1534</v>
      </c>
      <c r="AQ97" t="s">
        <v>74</v>
      </c>
      <c r="AR97" t="s">
        <v>1535</v>
      </c>
      <c r="AS97" t="s">
        <v>1536</v>
      </c>
      <c r="AT97" t="s">
        <v>492</v>
      </c>
      <c r="AU97">
        <v>2023</v>
      </c>
      <c r="AV97">
        <v>52</v>
      </c>
      <c r="AW97">
        <v>3</v>
      </c>
      <c r="AX97" t="s">
        <v>74</v>
      </c>
      <c r="AY97" t="s">
        <v>74</v>
      </c>
      <c r="AZ97" t="s">
        <v>74</v>
      </c>
      <c r="BA97" t="s">
        <v>74</v>
      </c>
      <c r="BB97" t="s">
        <v>74</v>
      </c>
      <c r="BC97" t="s">
        <v>74</v>
      </c>
      <c r="BD97">
        <v>104168</v>
      </c>
      <c r="BE97" t="s">
        <v>1709</v>
      </c>
      <c r="BF97" t="str">
        <f>HYPERLINK("http://dx.doi.org/10.1016/j.lpm.2023.104168","http://dx.doi.org/10.1016/j.lpm.2023.104168")</f>
        <v>http://dx.doi.org/10.1016/j.lpm.2023.104168</v>
      </c>
      <c r="BG97" t="s">
        <v>74</v>
      </c>
      <c r="BH97" t="s">
        <v>1710</v>
      </c>
      <c r="BI97">
        <v>13</v>
      </c>
      <c r="BJ97" t="s">
        <v>1152</v>
      </c>
      <c r="BK97" t="s">
        <v>101</v>
      </c>
      <c r="BL97" t="s">
        <v>1153</v>
      </c>
      <c r="BM97" t="s">
        <v>1711</v>
      </c>
      <c r="BN97">
        <v>37516248</v>
      </c>
      <c r="BO97" t="s">
        <v>1194</v>
      </c>
      <c r="BP97" t="s">
        <v>74</v>
      </c>
      <c r="BQ97" t="s">
        <v>74</v>
      </c>
      <c r="BR97" t="s">
        <v>104</v>
      </c>
      <c r="BS97" t="s">
        <v>1712</v>
      </c>
      <c r="BT97" t="str">
        <f>HYPERLINK("https%3A%2F%2Fwww.webofscience.com%2Fwos%2Fwoscc%2Ffull-record%2FWOS:001073651500001","View Full Record in Web of Science")</f>
        <v>View Full Record in Web of Science</v>
      </c>
    </row>
    <row r="98" spans="1:72" x14ac:dyDescent="0.25">
      <c r="A98" t="s">
        <v>72</v>
      </c>
      <c r="B98" t="s">
        <v>1713</v>
      </c>
      <c r="C98" t="s">
        <v>74</v>
      </c>
      <c r="D98" t="s">
        <v>74</v>
      </c>
      <c r="E98" t="s">
        <v>74</v>
      </c>
      <c r="F98" t="s">
        <v>1714</v>
      </c>
      <c r="G98" t="s">
        <v>74</v>
      </c>
      <c r="H98" t="s">
        <v>74</v>
      </c>
      <c r="I98" t="s">
        <v>1715</v>
      </c>
      <c r="J98" t="s">
        <v>388</v>
      </c>
      <c r="K98" t="s">
        <v>74</v>
      </c>
      <c r="L98" t="s">
        <v>74</v>
      </c>
      <c r="M98" t="s">
        <v>78</v>
      </c>
      <c r="N98" t="s">
        <v>79</v>
      </c>
      <c r="O98" t="s">
        <v>74</v>
      </c>
      <c r="P98" t="s">
        <v>74</v>
      </c>
      <c r="Q98" t="s">
        <v>74</v>
      </c>
      <c r="R98" t="s">
        <v>74</v>
      </c>
      <c r="S98" t="s">
        <v>74</v>
      </c>
      <c r="T98" t="s">
        <v>74</v>
      </c>
      <c r="U98" t="s">
        <v>1716</v>
      </c>
      <c r="V98" t="s">
        <v>1717</v>
      </c>
      <c r="W98" t="s">
        <v>1718</v>
      </c>
      <c r="X98" t="s">
        <v>1719</v>
      </c>
      <c r="Y98" t="s">
        <v>1720</v>
      </c>
      <c r="Z98" t="s">
        <v>377</v>
      </c>
      <c r="AA98" t="s">
        <v>1721</v>
      </c>
      <c r="AB98" t="s">
        <v>357</v>
      </c>
      <c r="AC98" t="s">
        <v>74</v>
      </c>
      <c r="AD98" t="s">
        <v>74</v>
      </c>
      <c r="AE98" t="s">
        <v>74</v>
      </c>
      <c r="AF98" t="s">
        <v>74</v>
      </c>
      <c r="AG98">
        <v>158</v>
      </c>
      <c r="AH98">
        <v>42</v>
      </c>
      <c r="AI98">
        <v>44</v>
      </c>
      <c r="AJ98">
        <v>11</v>
      </c>
      <c r="AK98">
        <v>34</v>
      </c>
      <c r="AL98" t="s">
        <v>397</v>
      </c>
      <c r="AM98" t="s">
        <v>398</v>
      </c>
      <c r="AN98" t="s">
        <v>399</v>
      </c>
      <c r="AO98" t="s">
        <v>400</v>
      </c>
      <c r="AP98" t="s">
        <v>74</v>
      </c>
      <c r="AQ98" t="s">
        <v>74</v>
      </c>
      <c r="AR98" t="s">
        <v>401</v>
      </c>
      <c r="AS98" t="s">
        <v>402</v>
      </c>
      <c r="AT98" t="s">
        <v>492</v>
      </c>
      <c r="AU98">
        <v>2023</v>
      </c>
      <c r="AV98">
        <v>11</v>
      </c>
      <c r="AW98">
        <v>9</v>
      </c>
      <c r="AX98" t="s">
        <v>74</v>
      </c>
      <c r="AY98" t="s">
        <v>74</v>
      </c>
      <c r="AZ98" t="s">
        <v>74</v>
      </c>
      <c r="BA98" t="s">
        <v>74</v>
      </c>
      <c r="BB98">
        <v>804</v>
      </c>
      <c r="BC98">
        <v>819</v>
      </c>
      <c r="BD98" t="s">
        <v>74</v>
      </c>
      <c r="BE98" t="s">
        <v>1722</v>
      </c>
      <c r="BF98" t="str">
        <f>HYPERLINK("http://dx.doi.org/10.1016/S2213-2600(23)00264-3","http://dx.doi.org/10.1016/S2213-2600(23)00264-3")</f>
        <v>http://dx.doi.org/10.1016/S2213-2600(23)00264-3</v>
      </c>
      <c r="BG98" t="s">
        <v>74</v>
      </c>
      <c r="BH98" t="s">
        <v>1710</v>
      </c>
      <c r="BI98">
        <v>16</v>
      </c>
      <c r="BJ98" t="s">
        <v>341</v>
      </c>
      <c r="BK98" t="s">
        <v>101</v>
      </c>
      <c r="BL98" t="s">
        <v>342</v>
      </c>
      <c r="BM98" t="s">
        <v>1723</v>
      </c>
      <c r="BN98">
        <v>37591298</v>
      </c>
      <c r="BO98" t="s">
        <v>1194</v>
      </c>
      <c r="BP98" t="s">
        <v>1155</v>
      </c>
      <c r="BQ98" t="s">
        <v>1156</v>
      </c>
      <c r="BR98" t="s">
        <v>104</v>
      </c>
      <c r="BS98" t="s">
        <v>1724</v>
      </c>
      <c r="BT98" t="str">
        <f>HYPERLINK("https%3A%2F%2Fwww.webofscience.com%2Fwos%2Fwoscc%2Ffull-record%2FWOS:001069309100001","View Full Record in Web of Science")</f>
        <v>View Full Record in Web of Science</v>
      </c>
    </row>
    <row r="99" spans="1:72" x14ac:dyDescent="0.25">
      <c r="A99" t="s">
        <v>72</v>
      </c>
      <c r="B99" t="s">
        <v>1725</v>
      </c>
      <c r="C99" t="s">
        <v>74</v>
      </c>
      <c r="D99" t="s">
        <v>74</v>
      </c>
      <c r="E99" t="s">
        <v>74</v>
      </c>
      <c r="F99" t="s">
        <v>1726</v>
      </c>
      <c r="G99" t="s">
        <v>74</v>
      </c>
      <c r="H99" t="s">
        <v>74</v>
      </c>
      <c r="I99" t="s">
        <v>1727</v>
      </c>
      <c r="J99" t="s">
        <v>1728</v>
      </c>
      <c r="K99" t="s">
        <v>74</v>
      </c>
      <c r="L99" t="s">
        <v>74</v>
      </c>
      <c r="M99" t="s">
        <v>78</v>
      </c>
      <c r="N99" t="s">
        <v>1729</v>
      </c>
      <c r="O99" t="s">
        <v>74</v>
      </c>
      <c r="P99" t="s">
        <v>74</v>
      </c>
      <c r="Q99" t="s">
        <v>74</v>
      </c>
      <c r="R99" t="s">
        <v>74</v>
      </c>
      <c r="S99" t="s">
        <v>74</v>
      </c>
      <c r="T99" t="s">
        <v>1730</v>
      </c>
      <c r="U99" t="s">
        <v>1731</v>
      </c>
      <c r="V99" t="s">
        <v>1732</v>
      </c>
      <c r="W99" t="s">
        <v>1733</v>
      </c>
      <c r="X99" t="s">
        <v>1734</v>
      </c>
      <c r="Y99" t="s">
        <v>1735</v>
      </c>
      <c r="Z99" t="s">
        <v>331</v>
      </c>
      <c r="AA99" t="s">
        <v>1736</v>
      </c>
      <c r="AB99" t="s">
        <v>1737</v>
      </c>
      <c r="AC99" t="s">
        <v>74</v>
      </c>
      <c r="AD99" t="s">
        <v>74</v>
      </c>
      <c r="AE99" t="s">
        <v>74</v>
      </c>
      <c r="AF99" t="s">
        <v>74</v>
      </c>
      <c r="AG99">
        <v>109</v>
      </c>
      <c r="AH99">
        <v>3</v>
      </c>
      <c r="AI99">
        <v>3</v>
      </c>
      <c r="AJ99">
        <v>2</v>
      </c>
      <c r="AK99">
        <v>2</v>
      </c>
      <c r="AL99" t="s">
        <v>148</v>
      </c>
      <c r="AM99" t="s">
        <v>149</v>
      </c>
      <c r="AN99" t="s">
        <v>150</v>
      </c>
      <c r="AO99" t="s">
        <v>1738</v>
      </c>
      <c r="AP99" t="s">
        <v>1739</v>
      </c>
      <c r="AQ99" t="s">
        <v>74</v>
      </c>
      <c r="AR99" t="s">
        <v>1740</v>
      </c>
      <c r="AS99" t="s">
        <v>1741</v>
      </c>
      <c r="AT99" t="s">
        <v>1742</v>
      </c>
      <c r="AU99">
        <v>2023</v>
      </c>
      <c r="AV99" t="s">
        <v>74</v>
      </c>
      <c r="AW99" t="s">
        <v>74</v>
      </c>
      <c r="AX99" t="s">
        <v>74</v>
      </c>
      <c r="AY99" t="s">
        <v>74</v>
      </c>
      <c r="AZ99" t="s">
        <v>74</v>
      </c>
      <c r="BA99" t="s">
        <v>74</v>
      </c>
      <c r="BB99" t="s">
        <v>74</v>
      </c>
      <c r="BC99" t="s">
        <v>74</v>
      </c>
      <c r="BD99" t="s">
        <v>74</v>
      </c>
      <c r="BE99" t="s">
        <v>1743</v>
      </c>
      <c r="BF99" t="str">
        <f>HYPERLINK("http://dx.doi.org/10.1080/17476348.2023.2247989","http://dx.doi.org/10.1080/17476348.2023.2247989")</f>
        <v>http://dx.doi.org/10.1080/17476348.2023.2247989</v>
      </c>
      <c r="BG99" t="s">
        <v>74</v>
      </c>
      <c r="BH99" t="s">
        <v>1710</v>
      </c>
      <c r="BI99">
        <v>15</v>
      </c>
      <c r="BJ99" t="s">
        <v>228</v>
      </c>
      <c r="BK99" t="s">
        <v>101</v>
      </c>
      <c r="BL99" t="s">
        <v>228</v>
      </c>
      <c r="BM99" t="s">
        <v>1744</v>
      </c>
      <c r="BN99">
        <v>37578057</v>
      </c>
      <c r="BO99" t="s">
        <v>74</v>
      </c>
      <c r="BP99" t="s">
        <v>74</v>
      </c>
      <c r="BQ99" t="s">
        <v>74</v>
      </c>
      <c r="BR99" t="s">
        <v>104</v>
      </c>
      <c r="BS99" t="s">
        <v>1745</v>
      </c>
      <c r="BT99" t="str">
        <f>HYPERLINK("https%3A%2F%2Fwww.webofscience.com%2Fwos%2Fwoscc%2Ffull-record%2FWOS:001168559200001","View Full Record in Web of Science")</f>
        <v>View Full Record in Web of Science</v>
      </c>
    </row>
    <row r="100" spans="1:72" x14ac:dyDescent="0.25">
      <c r="A100" t="s">
        <v>72</v>
      </c>
      <c r="B100" t="s">
        <v>1746</v>
      </c>
      <c r="C100" t="s">
        <v>74</v>
      </c>
      <c r="D100" t="s">
        <v>74</v>
      </c>
      <c r="E100" t="s">
        <v>74</v>
      </c>
      <c r="F100" t="s">
        <v>1747</v>
      </c>
      <c r="G100" t="s">
        <v>74</v>
      </c>
      <c r="H100" t="s">
        <v>74</v>
      </c>
      <c r="I100" t="s">
        <v>1748</v>
      </c>
      <c r="J100" t="s">
        <v>1047</v>
      </c>
      <c r="K100" t="s">
        <v>74</v>
      </c>
      <c r="L100" t="s">
        <v>74</v>
      </c>
      <c r="M100" t="s">
        <v>78</v>
      </c>
      <c r="N100" t="s">
        <v>1729</v>
      </c>
      <c r="O100" t="s">
        <v>74</v>
      </c>
      <c r="P100" t="s">
        <v>74</v>
      </c>
      <c r="Q100" t="s">
        <v>74</v>
      </c>
      <c r="R100" t="s">
        <v>74</v>
      </c>
      <c r="S100" t="s">
        <v>74</v>
      </c>
      <c r="T100" t="s">
        <v>1749</v>
      </c>
      <c r="U100" t="s">
        <v>1750</v>
      </c>
      <c r="V100" t="s">
        <v>1751</v>
      </c>
      <c r="W100" t="s">
        <v>1752</v>
      </c>
      <c r="X100" t="s">
        <v>1753</v>
      </c>
      <c r="Y100" t="s">
        <v>1754</v>
      </c>
      <c r="Z100" t="s">
        <v>331</v>
      </c>
      <c r="AA100" t="s">
        <v>1549</v>
      </c>
      <c r="AB100" t="s">
        <v>257</v>
      </c>
      <c r="AC100" t="s">
        <v>74</v>
      </c>
      <c r="AD100" t="s">
        <v>74</v>
      </c>
      <c r="AE100" t="s">
        <v>74</v>
      </c>
      <c r="AF100" t="s">
        <v>74</v>
      </c>
      <c r="AG100">
        <v>40</v>
      </c>
      <c r="AH100">
        <v>1</v>
      </c>
      <c r="AI100">
        <v>1</v>
      </c>
      <c r="AJ100">
        <v>0</v>
      </c>
      <c r="AK100">
        <v>1</v>
      </c>
      <c r="AL100" t="s">
        <v>1054</v>
      </c>
      <c r="AM100" t="s">
        <v>486</v>
      </c>
      <c r="AN100" t="s">
        <v>1055</v>
      </c>
      <c r="AO100" t="s">
        <v>1056</v>
      </c>
      <c r="AP100" t="s">
        <v>1057</v>
      </c>
      <c r="AQ100" t="s">
        <v>74</v>
      </c>
      <c r="AR100" t="s">
        <v>1058</v>
      </c>
      <c r="AS100" t="s">
        <v>1059</v>
      </c>
      <c r="AT100" t="s">
        <v>1755</v>
      </c>
      <c r="AU100">
        <v>2023</v>
      </c>
      <c r="AV100" t="s">
        <v>74</v>
      </c>
      <c r="AW100" t="s">
        <v>74</v>
      </c>
      <c r="AX100" t="s">
        <v>74</v>
      </c>
      <c r="AY100" t="s">
        <v>74</v>
      </c>
      <c r="AZ100" t="s">
        <v>74</v>
      </c>
      <c r="BA100" t="s">
        <v>74</v>
      </c>
      <c r="BB100" t="s">
        <v>74</v>
      </c>
      <c r="BC100" t="s">
        <v>74</v>
      </c>
      <c r="BD100" t="s">
        <v>74</v>
      </c>
      <c r="BE100" t="s">
        <v>1756</v>
      </c>
      <c r="BF100" t="str">
        <f>HYPERLINK("http://dx.doi.org/10.1055/s-0043-1770115","http://dx.doi.org/10.1055/s-0043-1770115")</f>
        <v>http://dx.doi.org/10.1055/s-0043-1770115</v>
      </c>
      <c r="BG100" t="s">
        <v>74</v>
      </c>
      <c r="BH100" t="s">
        <v>1710</v>
      </c>
      <c r="BI100">
        <v>7</v>
      </c>
      <c r="BJ100" t="s">
        <v>341</v>
      </c>
      <c r="BK100" t="s">
        <v>101</v>
      </c>
      <c r="BL100" t="s">
        <v>342</v>
      </c>
      <c r="BM100" t="s">
        <v>1757</v>
      </c>
      <c r="BN100">
        <v>37595614</v>
      </c>
      <c r="BO100" t="s">
        <v>74</v>
      </c>
      <c r="BP100" t="s">
        <v>74</v>
      </c>
      <c r="BQ100" t="s">
        <v>74</v>
      </c>
      <c r="BR100" t="s">
        <v>104</v>
      </c>
      <c r="BS100" t="s">
        <v>1758</v>
      </c>
      <c r="BT100" t="str">
        <f>HYPERLINK("https%3A%2F%2Fwww.webofscience.com%2Fwos%2Fwoscc%2Ffull-record%2FWOS:001050878100001","View Full Record in Web of Science")</f>
        <v>View Full Record in Web of Science</v>
      </c>
    </row>
    <row r="101" spans="1:72" x14ac:dyDescent="0.25">
      <c r="A101" t="s">
        <v>72</v>
      </c>
      <c r="B101" t="s">
        <v>1759</v>
      </c>
      <c r="C101" t="s">
        <v>74</v>
      </c>
      <c r="D101" t="s">
        <v>74</v>
      </c>
      <c r="E101" t="s">
        <v>74</v>
      </c>
      <c r="F101" t="s">
        <v>1760</v>
      </c>
      <c r="G101" t="s">
        <v>74</v>
      </c>
      <c r="H101" t="s">
        <v>74</v>
      </c>
      <c r="I101" t="s">
        <v>1761</v>
      </c>
      <c r="J101" t="s">
        <v>324</v>
      </c>
      <c r="K101" t="s">
        <v>74</v>
      </c>
      <c r="L101" t="s">
        <v>74</v>
      </c>
      <c r="M101" t="s">
        <v>78</v>
      </c>
      <c r="N101" t="s">
        <v>79</v>
      </c>
      <c r="O101" t="s">
        <v>74</v>
      </c>
      <c r="P101" t="s">
        <v>74</v>
      </c>
      <c r="Q101" t="s">
        <v>74</v>
      </c>
      <c r="R101" t="s">
        <v>74</v>
      </c>
      <c r="S101" t="s">
        <v>74</v>
      </c>
      <c r="T101" t="s">
        <v>1762</v>
      </c>
      <c r="U101" t="s">
        <v>1763</v>
      </c>
      <c r="V101" t="s">
        <v>1764</v>
      </c>
      <c r="W101" t="s">
        <v>1765</v>
      </c>
      <c r="X101" t="s">
        <v>1766</v>
      </c>
      <c r="Y101" t="s">
        <v>1767</v>
      </c>
      <c r="Z101" t="s">
        <v>331</v>
      </c>
      <c r="AA101" t="s">
        <v>1635</v>
      </c>
      <c r="AB101" t="s">
        <v>1768</v>
      </c>
      <c r="AC101" t="s">
        <v>74</v>
      </c>
      <c r="AD101" t="s">
        <v>74</v>
      </c>
      <c r="AE101" t="s">
        <v>74</v>
      </c>
      <c r="AF101" t="s">
        <v>74</v>
      </c>
      <c r="AG101">
        <v>20</v>
      </c>
      <c r="AH101">
        <v>3</v>
      </c>
      <c r="AI101">
        <v>3</v>
      </c>
      <c r="AJ101">
        <v>0</v>
      </c>
      <c r="AK101">
        <v>5</v>
      </c>
      <c r="AL101" t="s">
        <v>92</v>
      </c>
      <c r="AM101" t="s">
        <v>93</v>
      </c>
      <c r="AN101" t="s">
        <v>94</v>
      </c>
      <c r="AO101" t="s">
        <v>337</v>
      </c>
      <c r="AP101" t="s">
        <v>338</v>
      </c>
      <c r="AQ101" t="s">
        <v>74</v>
      </c>
      <c r="AR101" t="s">
        <v>324</v>
      </c>
      <c r="AS101" t="s">
        <v>339</v>
      </c>
      <c r="AT101" t="s">
        <v>725</v>
      </c>
      <c r="AU101">
        <v>2023</v>
      </c>
      <c r="AV101">
        <v>164</v>
      </c>
      <c r="AW101">
        <v>2</v>
      </c>
      <c r="AX101" t="s">
        <v>74</v>
      </c>
      <c r="AY101" t="s">
        <v>74</v>
      </c>
      <c r="AZ101" t="s">
        <v>74</v>
      </c>
      <c r="BA101" t="s">
        <v>74</v>
      </c>
      <c r="BB101" t="s">
        <v>1769</v>
      </c>
      <c r="BC101" t="s">
        <v>1770</v>
      </c>
      <c r="BD101" t="s">
        <v>74</v>
      </c>
      <c r="BE101" t="s">
        <v>1771</v>
      </c>
      <c r="BF101" t="str">
        <f>HYPERLINK("http://dx.doi.org/10.1016/j.chest.2023.04.031","http://dx.doi.org/10.1016/j.chest.2023.04.031")</f>
        <v>http://dx.doi.org/10.1016/j.chest.2023.04.031</v>
      </c>
      <c r="BG101" t="s">
        <v>74</v>
      </c>
      <c r="BH101" t="s">
        <v>1710</v>
      </c>
      <c r="BI101">
        <v>4</v>
      </c>
      <c r="BJ101" t="s">
        <v>341</v>
      </c>
      <c r="BK101" t="s">
        <v>101</v>
      </c>
      <c r="BL101" t="s">
        <v>342</v>
      </c>
      <c r="BM101" t="s">
        <v>1772</v>
      </c>
      <c r="BN101">
        <v>37094738</v>
      </c>
      <c r="BO101" t="s">
        <v>1194</v>
      </c>
      <c r="BP101" t="s">
        <v>74</v>
      </c>
      <c r="BQ101" t="s">
        <v>74</v>
      </c>
      <c r="BR101" t="s">
        <v>104</v>
      </c>
      <c r="BS101" t="s">
        <v>1773</v>
      </c>
      <c r="BT101" t="str">
        <f>HYPERLINK("https%3A%2F%2Fwww.webofscience.com%2Fwos%2Fwoscc%2Ffull-record%2FWOS:001109069600001","View Full Record in Web of Science")</f>
        <v>View Full Record in Web of Science</v>
      </c>
    </row>
    <row r="102" spans="1:72" x14ac:dyDescent="0.25">
      <c r="A102" t="s">
        <v>72</v>
      </c>
      <c r="B102" t="s">
        <v>1774</v>
      </c>
      <c r="C102" t="s">
        <v>74</v>
      </c>
      <c r="D102" t="s">
        <v>74</v>
      </c>
      <c r="E102" t="s">
        <v>74</v>
      </c>
      <c r="F102" t="s">
        <v>1775</v>
      </c>
      <c r="G102" t="s">
        <v>74</v>
      </c>
      <c r="H102" t="s">
        <v>74</v>
      </c>
      <c r="I102" t="s">
        <v>1776</v>
      </c>
      <c r="J102" t="s">
        <v>1777</v>
      </c>
      <c r="K102" t="s">
        <v>74</v>
      </c>
      <c r="L102" t="s">
        <v>74</v>
      </c>
      <c r="M102" t="s">
        <v>78</v>
      </c>
      <c r="N102" t="s">
        <v>52</v>
      </c>
      <c r="O102" t="s">
        <v>74</v>
      </c>
      <c r="P102" t="s">
        <v>74</v>
      </c>
      <c r="Q102" t="s">
        <v>74</v>
      </c>
      <c r="R102" t="s">
        <v>74</v>
      </c>
      <c r="S102" t="s">
        <v>74</v>
      </c>
      <c r="T102" t="s">
        <v>74</v>
      </c>
      <c r="U102" t="s">
        <v>74</v>
      </c>
      <c r="V102" t="s">
        <v>74</v>
      </c>
      <c r="W102" t="s">
        <v>1778</v>
      </c>
      <c r="X102" t="s">
        <v>1779</v>
      </c>
      <c r="Y102" t="s">
        <v>74</v>
      </c>
      <c r="Z102" t="s">
        <v>74</v>
      </c>
      <c r="AA102" t="s">
        <v>1780</v>
      </c>
      <c r="AB102" t="s">
        <v>74</v>
      </c>
      <c r="AC102" t="s">
        <v>74</v>
      </c>
      <c r="AD102" t="s">
        <v>74</v>
      </c>
      <c r="AE102" t="s">
        <v>74</v>
      </c>
      <c r="AF102" t="s">
        <v>74</v>
      </c>
      <c r="AG102">
        <v>0</v>
      </c>
      <c r="AH102">
        <v>0</v>
      </c>
      <c r="AI102">
        <v>0</v>
      </c>
      <c r="AJ102">
        <v>0</v>
      </c>
      <c r="AK102">
        <v>0</v>
      </c>
      <c r="AL102" t="s">
        <v>1781</v>
      </c>
      <c r="AM102" t="s">
        <v>1782</v>
      </c>
      <c r="AN102" t="s">
        <v>1783</v>
      </c>
      <c r="AO102" t="s">
        <v>1784</v>
      </c>
      <c r="AP102" t="s">
        <v>1785</v>
      </c>
      <c r="AQ102" t="s">
        <v>74</v>
      </c>
      <c r="AR102" t="s">
        <v>1777</v>
      </c>
      <c r="AS102" t="s">
        <v>1786</v>
      </c>
      <c r="AT102" t="s">
        <v>725</v>
      </c>
      <c r="AU102">
        <v>2023</v>
      </c>
      <c r="AV102">
        <v>26</v>
      </c>
      <c r="AW102">
        <v>1</v>
      </c>
      <c r="AX102" t="s">
        <v>74</v>
      </c>
      <c r="AY102" t="s">
        <v>998</v>
      </c>
      <c r="AZ102" t="s">
        <v>74</v>
      </c>
      <c r="BA102" t="s">
        <v>1787</v>
      </c>
      <c r="BB102" t="s">
        <v>1788</v>
      </c>
      <c r="BC102" t="s">
        <v>1788</v>
      </c>
      <c r="BD102" t="s">
        <v>74</v>
      </c>
      <c r="BE102" t="s">
        <v>74</v>
      </c>
      <c r="BF102" t="s">
        <v>74</v>
      </c>
      <c r="BG102" t="s">
        <v>74</v>
      </c>
      <c r="BH102" t="s">
        <v>74</v>
      </c>
      <c r="BI102">
        <v>1</v>
      </c>
      <c r="BJ102" t="s">
        <v>1789</v>
      </c>
      <c r="BK102" t="s">
        <v>101</v>
      </c>
      <c r="BL102" t="s">
        <v>133</v>
      </c>
      <c r="BM102" t="s">
        <v>1790</v>
      </c>
      <c r="BN102" t="s">
        <v>74</v>
      </c>
      <c r="BO102" t="s">
        <v>74</v>
      </c>
      <c r="BP102" t="s">
        <v>74</v>
      </c>
      <c r="BQ102" t="s">
        <v>74</v>
      </c>
      <c r="BR102" t="s">
        <v>104</v>
      </c>
      <c r="BS102" t="s">
        <v>1791</v>
      </c>
      <c r="BT102" t="str">
        <f>HYPERLINK("https%3A%2F%2Fwww.webofscience.com%2Fwos%2Fwoscc%2Ffull-record%2FWOS:001167047600026","View Full Record in Web of Science")</f>
        <v>View Full Record in Web of Science</v>
      </c>
    </row>
    <row r="103" spans="1:72" x14ac:dyDescent="0.25">
      <c r="A103" t="s">
        <v>72</v>
      </c>
      <c r="B103" t="s">
        <v>1792</v>
      </c>
      <c r="C103" t="s">
        <v>74</v>
      </c>
      <c r="D103" t="s">
        <v>74</v>
      </c>
      <c r="E103" t="s">
        <v>74</v>
      </c>
      <c r="F103" t="s">
        <v>1793</v>
      </c>
      <c r="G103" t="s">
        <v>74</v>
      </c>
      <c r="H103" t="s">
        <v>74</v>
      </c>
      <c r="I103" t="s">
        <v>1794</v>
      </c>
      <c r="J103" t="s">
        <v>592</v>
      </c>
      <c r="K103" t="s">
        <v>74</v>
      </c>
      <c r="L103" t="s">
        <v>74</v>
      </c>
      <c r="M103" t="s">
        <v>1795</v>
      </c>
      <c r="N103" t="s">
        <v>52</v>
      </c>
      <c r="O103" t="s">
        <v>74</v>
      </c>
      <c r="P103" t="s">
        <v>74</v>
      </c>
      <c r="Q103" t="s">
        <v>74</v>
      </c>
      <c r="R103" t="s">
        <v>74</v>
      </c>
      <c r="S103" t="s">
        <v>74</v>
      </c>
      <c r="T103" t="s">
        <v>74</v>
      </c>
      <c r="U103" t="s">
        <v>74</v>
      </c>
      <c r="V103" t="s">
        <v>74</v>
      </c>
      <c r="W103" t="s">
        <v>1796</v>
      </c>
      <c r="X103" t="s">
        <v>1797</v>
      </c>
      <c r="Y103" t="s">
        <v>74</v>
      </c>
      <c r="Z103" t="s">
        <v>74</v>
      </c>
      <c r="AA103" t="s">
        <v>1798</v>
      </c>
      <c r="AB103" t="s">
        <v>74</v>
      </c>
      <c r="AC103" t="s">
        <v>74</v>
      </c>
      <c r="AD103" t="s">
        <v>74</v>
      </c>
      <c r="AE103" t="s">
        <v>74</v>
      </c>
      <c r="AF103" t="s">
        <v>74</v>
      </c>
      <c r="AG103">
        <v>0</v>
      </c>
      <c r="AH103">
        <v>0</v>
      </c>
      <c r="AI103">
        <v>0</v>
      </c>
      <c r="AJ103">
        <v>0</v>
      </c>
      <c r="AK103">
        <v>0</v>
      </c>
      <c r="AL103" t="s">
        <v>595</v>
      </c>
      <c r="AM103" t="s">
        <v>596</v>
      </c>
      <c r="AN103" t="s">
        <v>597</v>
      </c>
      <c r="AO103" t="s">
        <v>598</v>
      </c>
      <c r="AP103" t="s">
        <v>74</v>
      </c>
      <c r="AQ103" t="s">
        <v>74</v>
      </c>
      <c r="AR103" t="s">
        <v>592</v>
      </c>
      <c r="AS103" t="s">
        <v>599</v>
      </c>
      <c r="AT103" t="s">
        <v>725</v>
      </c>
      <c r="AU103">
        <v>2023</v>
      </c>
      <c r="AV103">
        <v>46</v>
      </c>
      <c r="AW103">
        <v>8</v>
      </c>
      <c r="AX103" t="s">
        <v>74</v>
      </c>
      <c r="AY103" t="s">
        <v>74</v>
      </c>
      <c r="AZ103" t="s">
        <v>74</v>
      </c>
      <c r="BA103" t="s">
        <v>1799</v>
      </c>
      <c r="BB103">
        <v>544</v>
      </c>
      <c r="BC103">
        <v>545</v>
      </c>
      <c r="BD103" t="s">
        <v>74</v>
      </c>
      <c r="BE103" t="s">
        <v>74</v>
      </c>
      <c r="BF103" t="s">
        <v>74</v>
      </c>
      <c r="BG103" t="s">
        <v>74</v>
      </c>
      <c r="BH103" t="s">
        <v>74</v>
      </c>
      <c r="BI103">
        <v>2</v>
      </c>
      <c r="BJ103" t="s">
        <v>601</v>
      </c>
      <c r="BK103" t="s">
        <v>101</v>
      </c>
      <c r="BL103" t="s">
        <v>601</v>
      </c>
      <c r="BM103" t="s">
        <v>1800</v>
      </c>
      <c r="BN103" t="s">
        <v>74</v>
      </c>
      <c r="BO103" t="s">
        <v>74</v>
      </c>
      <c r="BP103" t="s">
        <v>74</v>
      </c>
      <c r="BQ103" t="s">
        <v>74</v>
      </c>
      <c r="BR103" t="s">
        <v>104</v>
      </c>
      <c r="BS103" t="s">
        <v>1801</v>
      </c>
      <c r="BT103" t="str">
        <f>HYPERLINK("https%3A%2F%2Fwww.webofscience.com%2Fwos%2Fwoscc%2Ffull-record%2FWOS:001163010900069","View Full Record in Web of Science")</f>
        <v>View Full Record in Web of Science</v>
      </c>
    </row>
    <row r="104" spans="1:72" x14ac:dyDescent="0.25">
      <c r="A104" t="s">
        <v>72</v>
      </c>
      <c r="B104" t="s">
        <v>1802</v>
      </c>
      <c r="C104" t="s">
        <v>74</v>
      </c>
      <c r="D104" t="s">
        <v>74</v>
      </c>
      <c r="E104" t="s">
        <v>74</v>
      </c>
      <c r="F104" t="s">
        <v>1803</v>
      </c>
      <c r="G104" t="s">
        <v>74</v>
      </c>
      <c r="H104" t="s">
        <v>74</v>
      </c>
      <c r="I104" t="s">
        <v>1804</v>
      </c>
      <c r="J104" t="s">
        <v>1805</v>
      </c>
      <c r="K104" t="s">
        <v>74</v>
      </c>
      <c r="L104" t="s">
        <v>74</v>
      </c>
      <c r="M104" t="s">
        <v>78</v>
      </c>
      <c r="N104" t="s">
        <v>79</v>
      </c>
      <c r="O104" t="s">
        <v>74</v>
      </c>
      <c r="P104" t="s">
        <v>74</v>
      </c>
      <c r="Q104" t="s">
        <v>74</v>
      </c>
      <c r="R104" t="s">
        <v>74</v>
      </c>
      <c r="S104" t="s">
        <v>74</v>
      </c>
      <c r="T104" t="s">
        <v>1806</v>
      </c>
      <c r="U104" t="s">
        <v>1807</v>
      </c>
      <c r="V104" t="s">
        <v>1808</v>
      </c>
      <c r="W104" t="s">
        <v>1809</v>
      </c>
      <c r="X104" t="s">
        <v>1810</v>
      </c>
      <c r="Y104" t="s">
        <v>1811</v>
      </c>
      <c r="Z104" t="s">
        <v>442</v>
      </c>
      <c r="AA104" t="s">
        <v>1812</v>
      </c>
      <c r="AB104" t="s">
        <v>1813</v>
      </c>
      <c r="AC104" t="s">
        <v>1814</v>
      </c>
      <c r="AD104" t="s">
        <v>1815</v>
      </c>
      <c r="AE104" t="s">
        <v>1816</v>
      </c>
      <c r="AF104" t="s">
        <v>74</v>
      </c>
      <c r="AG104">
        <v>54</v>
      </c>
      <c r="AH104">
        <v>12</v>
      </c>
      <c r="AI104">
        <v>13</v>
      </c>
      <c r="AJ104">
        <v>0</v>
      </c>
      <c r="AK104">
        <v>1</v>
      </c>
      <c r="AL104" t="s">
        <v>1817</v>
      </c>
      <c r="AM104" t="s">
        <v>1818</v>
      </c>
      <c r="AN104" t="s">
        <v>1819</v>
      </c>
      <c r="AO104" t="s">
        <v>1820</v>
      </c>
      <c r="AP104" t="s">
        <v>1821</v>
      </c>
      <c r="AQ104" t="s">
        <v>74</v>
      </c>
      <c r="AR104" t="s">
        <v>1822</v>
      </c>
      <c r="AS104" t="s">
        <v>1823</v>
      </c>
      <c r="AT104" t="s">
        <v>742</v>
      </c>
      <c r="AU104">
        <v>2023</v>
      </c>
      <c r="AV104">
        <v>325</v>
      </c>
      <c r="AW104">
        <v>2</v>
      </c>
      <c r="AX104" t="s">
        <v>74</v>
      </c>
      <c r="AY104" t="s">
        <v>74</v>
      </c>
      <c r="AZ104" t="s">
        <v>74</v>
      </c>
      <c r="BA104" t="s">
        <v>74</v>
      </c>
      <c r="BB104" t="s">
        <v>1824</v>
      </c>
      <c r="BC104" t="s">
        <v>1825</v>
      </c>
      <c r="BD104" t="s">
        <v>74</v>
      </c>
      <c r="BE104" t="s">
        <v>1826</v>
      </c>
      <c r="BF104" t="str">
        <f>HYPERLINK("http://dx.doi.org/10.1152/ajplung.00011.2023","http://dx.doi.org/10.1152/ajplung.00011.2023")</f>
        <v>http://dx.doi.org/10.1152/ajplung.00011.2023</v>
      </c>
      <c r="BG104" t="s">
        <v>74</v>
      </c>
      <c r="BH104" t="s">
        <v>74</v>
      </c>
      <c r="BI104">
        <v>16</v>
      </c>
      <c r="BJ104" t="s">
        <v>1522</v>
      </c>
      <c r="BK104" t="s">
        <v>101</v>
      </c>
      <c r="BL104" t="s">
        <v>1522</v>
      </c>
      <c r="BM104" t="s">
        <v>1827</v>
      </c>
      <c r="BN104">
        <v>37366608</v>
      </c>
      <c r="BO104" t="s">
        <v>74</v>
      </c>
      <c r="BP104" t="s">
        <v>74</v>
      </c>
      <c r="BQ104" t="s">
        <v>74</v>
      </c>
      <c r="BR104" t="s">
        <v>104</v>
      </c>
      <c r="BS104" t="s">
        <v>1828</v>
      </c>
      <c r="BT104" t="str">
        <f>HYPERLINK("https%3A%2F%2Fwww.webofscience.com%2Fwos%2Fwoscc%2Ffull-record%2FWOS:001059334000008","View Full Record in Web of Science")</f>
        <v>View Full Record in Web of Science</v>
      </c>
    </row>
    <row r="105" spans="1:72" x14ac:dyDescent="0.25">
      <c r="A105" t="s">
        <v>72</v>
      </c>
      <c r="B105" t="s">
        <v>1829</v>
      </c>
      <c r="C105" t="s">
        <v>74</v>
      </c>
      <c r="D105" t="s">
        <v>74</v>
      </c>
      <c r="E105" t="s">
        <v>74</v>
      </c>
      <c r="F105" t="s">
        <v>1830</v>
      </c>
      <c r="G105" t="s">
        <v>74</v>
      </c>
      <c r="H105" t="s">
        <v>74</v>
      </c>
      <c r="I105" t="s">
        <v>1831</v>
      </c>
      <c r="J105" t="s">
        <v>637</v>
      </c>
      <c r="K105" t="s">
        <v>74</v>
      </c>
      <c r="L105" t="s">
        <v>74</v>
      </c>
      <c r="M105" t="s">
        <v>78</v>
      </c>
      <c r="N105" t="s">
        <v>140</v>
      </c>
      <c r="O105" t="s">
        <v>74</v>
      </c>
      <c r="P105" t="s">
        <v>74</v>
      </c>
      <c r="Q105" t="s">
        <v>74</v>
      </c>
      <c r="R105" t="s">
        <v>74</v>
      </c>
      <c r="S105" t="s">
        <v>74</v>
      </c>
      <c r="T105" t="s">
        <v>74</v>
      </c>
      <c r="U105" t="s">
        <v>1832</v>
      </c>
      <c r="V105" t="s">
        <v>74</v>
      </c>
      <c r="W105" t="s">
        <v>1833</v>
      </c>
      <c r="X105" t="s">
        <v>1834</v>
      </c>
      <c r="Y105" t="s">
        <v>1835</v>
      </c>
      <c r="Z105" t="s">
        <v>74</v>
      </c>
      <c r="AA105" t="s">
        <v>780</v>
      </c>
      <c r="AB105" t="s">
        <v>1836</v>
      </c>
      <c r="AC105" t="s">
        <v>74</v>
      </c>
      <c r="AD105" t="s">
        <v>74</v>
      </c>
      <c r="AE105" t="s">
        <v>74</v>
      </c>
      <c r="AF105" t="s">
        <v>74</v>
      </c>
      <c r="AG105">
        <v>14</v>
      </c>
      <c r="AH105">
        <v>2</v>
      </c>
      <c r="AI105">
        <v>2</v>
      </c>
      <c r="AJ105">
        <v>0</v>
      </c>
      <c r="AK105">
        <v>1</v>
      </c>
      <c r="AL105" t="s">
        <v>649</v>
      </c>
      <c r="AM105" t="s">
        <v>486</v>
      </c>
      <c r="AN105" t="s">
        <v>650</v>
      </c>
      <c r="AO105" t="s">
        <v>651</v>
      </c>
      <c r="AP105" t="s">
        <v>652</v>
      </c>
      <c r="AQ105" t="s">
        <v>74</v>
      </c>
      <c r="AR105" t="s">
        <v>653</v>
      </c>
      <c r="AS105" t="s">
        <v>654</v>
      </c>
      <c r="AT105" t="s">
        <v>742</v>
      </c>
      <c r="AU105">
        <v>2023</v>
      </c>
      <c r="AV105">
        <v>208</v>
      </c>
      <c r="AW105">
        <v>3</v>
      </c>
      <c r="AX105" t="s">
        <v>74</v>
      </c>
      <c r="AY105" t="s">
        <v>74</v>
      </c>
      <c r="AZ105" t="s">
        <v>74</v>
      </c>
      <c r="BA105" t="s">
        <v>74</v>
      </c>
      <c r="BB105">
        <v>231</v>
      </c>
      <c r="BC105">
        <v>233</v>
      </c>
      <c r="BD105" t="s">
        <v>74</v>
      </c>
      <c r="BE105" t="s">
        <v>1837</v>
      </c>
      <c r="BF105" t="str">
        <f>HYPERLINK("http://dx.doi.org/10.1164/rccm.202306-0990ED","http://dx.doi.org/10.1164/rccm.202306-0990ED")</f>
        <v>http://dx.doi.org/10.1164/rccm.202306-0990ED</v>
      </c>
      <c r="BG105" t="s">
        <v>74</v>
      </c>
      <c r="BH105" t="s">
        <v>74</v>
      </c>
      <c r="BI105">
        <v>4</v>
      </c>
      <c r="BJ105" t="s">
        <v>341</v>
      </c>
      <c r="BK105" t="s">
        <v>101</v>
      </c>
      <c r="BL105" t="s">
        <v>342</v>
      </c>
      <c r="BM105" t="s">
        <v>1838</v>
      </c>
      <c r="BN105">
        <v>37348119</v>
      </c>
      <c r="BO105" t="s">
        <v>246</v>
      </c>
      <c r="BP105" t="s">
        <v>74</v>
      </c>
      <c r="BQ105" t="s">
        <v>74</v>
      </c>
      <c r="BR105" t="s">
        <v>104</v>
      </c>
      <c r="BS105" t="s">
        <v>1839</v>
      </c>
      <c r="BT105" t="str">
        <f>HYPERLINK("https%3A%2F%2Fwww.webofscience.com%2Fwos%2Fwoscc%2Ffull-record%2FWOS:001045323700010","View Full Record in Web of Science")</f>
        <v>View Full Record in Web of Science</v>
      </c>
    </row>
    <row r="106" spans="1:72" x14ac:dyDescent="0.25">
      <c r="A106" t="s">
        <v>72</v>
      </c>
      <c r="B106" t="s">
        <v>1840</v>
      </c>
      <c r="C106" t="s">
        <v>74</v>
      </c>
      <c r="D106" t="s">
        <v>74</v>
      </c>
      <c r="E106" t="s">
        <v>74</v>
      </c>
      <c r="F106" t="s">
        <v>1841</v>
      </c>
      <c r="G106" t="s">
        <v>74</v>
      </c>
      <c r="H106" t="s">
        <v>74</v>
      </c>
      <c r="I106" t="s">
        <v>1842</v>
      </c>
      <c r="J106" t="s">
        <v>1843</v>
      </c>
      <c r="K106" t="s">
        <v>74</v>
      </c>
      <c r="L106" t="s">
        <v>74</v>
      </c>
      <c r="M106" t="s">
        <v>78</v>
      </c>
      <c r="N106" t="s">
        <v>79</v>
      </c>
      <c r="O106" t="s">
        <v>74</v>
      </c>
      <c r="P106" t="s">
        <v>74</v>
      </c>
      <c r="Q106" t="s">
        <v>74</v>
      </c>
      <c r="R106" t="s">
        <v>74</v>
      </c>
      <c r="S106" t="s">
        <v>74</v>
      </c>
      <c r="T106" t="s">
        <v>1844</v>
      </c>
      <c r="U106" t="s">
        <v>1845</v>
      </c>
      <c r="V106" t="s">
        <v>1846</v>
      </c>
      <c r="W106" t="s">
        <v>1847</v>
      </c>
      <c r="X106" t="s">
        <v>1848</v>
      </c>
      <c r="Y106" t="s">
        <v>1849</v>
      </c>
      <c r="Z106" t="s">
        <v>1614</v>
      </c>
      <c r="AA106" t="s">
        <v>1850</v>
      </c>
      <c r="AB106" t="s">
        <v>1851</v>
      </c>
      <c r="AC106" t="s">
        <v>1852</v>
      </c>
      <c r="AD106" t="s">
        <v>74</v>
      </c>
      <c r="AE106" t="s">
        <v>1853</v>
      </c>
      <c r="AF106" t="s">
        <v>74</v>
      </c>
      <c r="AG106">
        <v>51</v>
      </c>
      <c r="AH106">
        <v>6</v>
      </c>
      <c r="AI106">
        <v>6</v>
      </c>
      <c r="AJ106">
        <v>0</v>
      </c>
      <c r="AK106">
        <v>2</v>
      </c>
      <c r="AL106" t="s">
        <v>1854</v>
      </c>
      <c r="AM106" t="s">
        <v>201</v>
      </c>
      <c r="AN106" t="s">
        <v>1855</v>
      </c>
      <c r="AO106" t="s">
        <v>74</v>
      </c>
      <c r="AP106" t="s">
        <v>1856</v>
      </c>
      <c r="AQ106" t="s">
        <v>74</v>
      </c>
      <c r="AR106" t="s">
        <v>1857</v>
      </c>
      <c r="AS106" t="s">
        <v>1858</v>
      </c>
      <c r="AT106" t="s">
        <v>1859</v>
      </c>
      <c r="AU106">
        <v>2023</v>
      </c>
      <c r="AV106">
        <v>24</v>
      </c>
      <c r="AW106">
        <v>1</v>
      </c>
      <c r="AX106" t="s">
        <v>74</v>
      </c>
      <c r="AY106" t="s">
        <v>74</v>
      </c>
      <c r="AZ106" t="s">
        <v>74</v>
      </c>
      <c r="BA106" t="s">
        <v>74</v>
      </c>
      <c r="BB106" t="s">
        <v>74</v>
      </c>
      <c r="BC106" t="s">
        <v>74</v>
      </c>
      <c r="BD106">
        <v>193</v>
      </c>
      <c r="BE106" t="s">
        <v>1860</v>
      </c>
      <c r="BF106" t="str">
        <f>HYPERLINK("http://dx.doi.org/10.1186/s12931-023-02499-y","http://dx.doi.org/10.1186/s12931-023-02499-y")</f>
        <v>http://dx.doi.org/10.1186/s12931-023-02499-y</v>
      </c>
      <c r="BG106" t="s">
        <v>74</v>
      </c>
      <c r="BH106" t="s">
        <v>74</v>
      </c>
      <c r="BI106">
        <v>16</v>
      </c>
      <c r="BJ106" t="s">
        <v>228</v>
      </c>
      <c r="BK106" t="s">
        <v>101</v>
      </c>
      <c r="BL106" t="s">
        <v>228</v>
      </c>
      <c r="BM106" t="s">
        <v>1861</v>
      </c>
      <c r="BN106">
        <v>37516840</v>
      </c>
      <c r="BO106" t="s">
        <v>1862</v>
      </c>
      <c r="BP106" t="s">
        <v>74</v>
      </c>
      <c r="BQ106" t="s">
        <v>74</v>
      </c>
      <c r="BR106" t="s">
        <v>104</v>
      </c>
      <c r="BS106" t="s">
        <v>1863</v>
      </c>
      <c r="BT106" t="str">
        <f>HYPERLINK("https%3A%2F%2Fwww.webofscience.com%2Fwos%2Fwoscc%2Ffull-record%2FWOS:001036906800002","View Full Record in Web of Science")</f>
        <v>View Full Record in Web of Science</v>
      </c>
    </row>
    <row r="107" spans="1:72" x14ac:dyDescent="0.25">
      <c r="A107" t="s">
        <v>72</v>
      </c>
      <c r="B107" t="s">
        <v>1864</v>
      </c>
      <c r="C107" t="s">
        <v>74</v>
      </c>
      <c r="D107" t="s">
        <v>74</v>
      </c>
      <c r="E107" t="s">
        <v>74</v>
      </c>
      <c r="F107" t="s">
        <v>1865</v>
      </c>
      <c r="G107" t="s">
        <v>74</v>
      </c>
      <c r="H107" t="s">
        <v>74</v>
      </c>
      <c r="I107" t="s">
        <v>1866</v>
      </c>
      <c r="J107" t="s">
        <v>1047</v>
      </c>
      <c r="K107" t="s">
        <v>74</v>
      </c>
      <c r="L107" t="s">
        <v>74</v>
      </c>
      <c r="M107" t="s">
        <v>78</v>
      </c>
      <c r="N107" t="s">
        <v>299</v>
      </c>
      <c r="O107" t="s">
        <v>74</v>
      </c>
      <c r="P107" t="s">
        <v>74</v>
      </c>
      <c r="Q107" t="s">
        <v>74</v>
      </c>
      <c r="R107" t="s">
        <v>74</v>
      </c>
      <c r="S107" t="s">
        <v>74</v>
      </c>
      <c r="T107" t="s">
        <v>1867</v>
      </c>
      <c r="U107" t="s">
        <v>1868</v>
      </c>
      <c r="V107" t="s">
        <v>1869</v>
      </c>
      <c r="W107" t="s">
        <v>1870</v>
      </c>
      <c r="X107" t="s">
        <v>1871</v>
      </c>
      <c r="Y107" t="s">
        <v>1872</v>
      </c>
      <c r="Z107" t="s">
        <v>74</v>
      </c>
      <c r="AA107" t="s">
        <v>1873</v>
      </c>
      <c r="AB107" t="s">
        <v>257</v>
      </c>
      <c r="AC107" t="s">
        <v>74</v>
      </c>
      <c r="AD107" t="s">
        <v>74</v>
      </c>
      <c r="AE107" t="s">
        <v>74</v>
      </c>
      <c r="AF107" t="s">
        <v>74</v>
      </c>
      <c r="AG107">
        <v>53</v>
      </c>
      <c r="AH107">
        <v>2</v>
      </c>
      <c r="AI107">
        <v>2</v>
      </c>
      <c r="AJ107">
        <v>0</v>
      </c>
      <c r="AK107">
        <v>2</v>
      </c>
      <c r="AL107" t="s">
        <v>1054</v>
      </c>
      <c r="AM107" t="s">
        <v>486</v>
      </c>
      <c r="AN107" t="s">
        <v>1055</v>
      </c>
      <c r="AO107" t="s">
        <v>1056</v>
      </c>
      <c r="AP107" t="s">
        <v>1057</v>
      </c>
      <c r="AQ107" t="s">
        <v>74</v>
      </c>
      <c r="AR107" t="s">
        <v>1058</v>
      </c>
      <c r="AS107" t="s">
        <v>1059</v>
      </c>
      <c r="AT107" t="s">
        <v>226</v>
      </c>
      <c r="AU107">
        <v>2023</v>
      </c>
      <c r="AV107">
        <v>44</v>
      </c>
      <c r="AW107">
        <v>6</v>
      </c>
      <c r="AX107" t="s">
        <v>74</v>
      </c>
      <c r="AY107" t="s">
        <v>74</v>
      </c>
      <c r="AZ107" t="s">
        <v>74</v>
      </c>
      <c r="BA107" t="s">
        <v>74</v>
      </c>
      <c r="BB107">
        <v>762</v>
      </c>
      <c r="BC107">
        <v>770</v>
      </c>
      <c r="BD107" t="s">
        <v>74</v>
      </c>
      <c r="BE107" t="s">
        <v>1874</v>
      </c>
      <c r="BF107" t="str">
        <f>HYPERLINK("http://dx.doi.org/10.1055/s-0043-1770119","http://dx.doi.org/10.1055/s-0043-1770119")</f>
        <v>http://dx.doi.org/10.1055/s-0043-1770119</v>
      </c>
      <c r="BG107" t="s">
        <v>74</v>
      </c>
      <c r="BH107" t="s">
        <v>1875</v>
      </c>
      <c r="BI107">
        <v>9</v>
      </c>
      <c r="BJ107" t="s">
        <v>341</v>
      </c>
      <c r="BK107" t="s">
        <v>101</v>
      </c>
      <c r="BL107" t="s">
        <v>342</v>
      </c>
      <c r="BM107" t="s">
        <v>1314</v>
      </c>
      <c r="BN107">
        <v>37369216</v>
      </c>
      <c r="BO107" t="s">
        <v>74</v>
      </c>
      <c r="BP107" t="s">
        <v>74</v>
      </c>
      <c r="BQ107" t="s">
        <v>74</v>
      </c>
      <c r="BR107" t="s">
        <v>104</v>
      </c>
      <c r="BS107" t="s">
        <v>1876</v>
      </c>
      <c r="BT107" t="str">
        <f>HYPERLINK("https%3A%2F%2Fwww.webofscience.com%2Fwos%2Fwoscc%2Ffull-record%2FWOS:001020744000003","View Full Record in Web of Science")</f>
        <v>View Full Record in Web of Science</v>
      </c>
    </row>
    <row r="108" spans="1:72" x14ac:dyDescent="0.25">
      <c r="A108" t="s">
        <v>72</v>
      </c>
      <c r="B108" t="s">
        <v>1877</v>
      </c>
      <c r="C108" t="s">
        <v>74</v>
      </c>
      <c r="D108" t="s">
        <v>74</v>
      </c>
      <c r="E108" t="s">
        <v>74</v>
      </c>
      <c r="F108" t="s">
        <v>1878</v>
      </c>
      <c r="G108" t="s">
        <v>74</v>
      </c>
      <c r="H108" t="s">
        <v>74</v>
      </c>
      <c r="I108" t="s">
        <v>1879</v>
      </c>
      <c r="J108" t="s">
        <v>1047</v>
      </c>
      <c r="K108" t="s">
        <v>74</v>
      </c>
      <c r="L108" t="s">
        <v>74</v>
      </c>
      <c r="M108" t="s">
        <v>78</v>
      </c>
      <c r="N108" t="s">
        <v>299</v>
      </c>
      <c r="O108" t="s">
        <v>74</v>
      </c>
      <c r="P108" t="s">
        <v>74</v>
      </c>
      <c r="Q108" t="s">
        <v>74</v>
      </c>
      <c r="R108" t="s">
        <v>74</v>
      </c>
      <c r="S108" t="s">
        <v>74</v>
      </c>
      <c r="T108" t="s">
        <v>1880</v>
      </c>
      <c r="U108" t="s">
        <v>1881</v>
      </c>
      <c r="V108" t="s">
        <v>1882</v>
      </c>
      <c r="W108" t="s">
        <v>1883</v>
      </c>
      <c r="X108" t="s">
        <v>1884</v>
      </c>
      <c r="Y108" t="s">
        <v>1053</v>
      </c>
      <c r="Z108" t="s">
        <v>377</v>
      </c>
      <c r="AA108" t="s">
        <v>144</v>
      </c>
      <c r="AB108" t="s">
        <v>257</v>
      </c>
      <c r="AC108" t="s">
        <v>1885</v>
      </c>
      <c r="AD108" t="s">
        <v>1886</v>
      </c>
      <c r="AE108" t="s">
        <v>1887</v>
      </c>
      <c r="AF108" t="s">
        <v>74</v>
      </c>
      <c r="AG108">
        <v>146</v>
      </c>
      <c r="AH108">
        <v>2</v>
      </c>
      <c r="AI108">
        <v>2</v>
      </c>
      <c r="AJ108">
        <v>1</v>
      </c>
      <c r="AK108">
        <v>10</v>
      </c>
      <c r="AL108" t="s">
        <v>1054</v>
      </c>
      <c r="AM108" t="s">
        <v>486</v>
      </c>
      <c r="AN108" t="s">
        <v>1055</v>
      </c>
      <c r="AO108" t="s">
        <v>1056</v>
      </c>
      <c r="AP108" t="s">
        <v>1057</v>
      </c>
      <c r="AQ108" t="s">
        <v>74</v>
      </c>
      <c r="AR108" t="s">
        <v>1058</v>
      </c>
      <c r="AS108" t="s">
        <v>1059</v>
      </c>
      <c r="AT108" t="s">
        <v>226</v>
      </c>
      <c r="AU108">
        <v>2023</v>
      </c>
      <c r="AV108">
        <v>44</v>
      </c>
      <c r="AW108">
        <v>6</v>
      </c>
      <c r="AX108" t="s">
        <v>74</v>
      </c>
      <c r="AY108" t="s">
        <v>74</v>
      </c>
      <c r="AZ108" t="s">
        <v>74</v>
      </c>
      <c r="BA108" t="s">
        <v>74</v>
      </c>
      <c r="BB108">
        <v>746</v>
      </c>
      <c r="BC108">
        <v>761</v>
      </c>
      <c r="BD108" t="s">
        <v>74</v>
      </c>
      <c r="BE108" t="s">
        <v>1888</v>
      </c>
      <c r="BF108" t="str">
        <f>HYPERLINK("http://dx.doi.org/10.1055/s-0043-1770118","http://dx.doi.org/10.1055/s-0043-1770118")</f>
        <v>http://dx.doi.org/10.1055/s-0043-1770118</v>
      </c>
      <c r="BG108" t="s">
        <v>74</v>
      </c>
      <c r="BH108" t="s">
        <v>1875</v>
      </c>
      <c r="BI108">
        <v>16</v>
      </c>
      <c r="BJ108" t="s">
        <v>341</v>
      </c>
      <c r="BK108" t="s">
        <v>101</v>
      </c>
      <c r="BL108" t="s">
        <v>342</v>
      </c>
      <c r="BM108" t="s">
        <v>1314</v>
      </c>
      <c r="BN108">
        <v>37369218</v>
      </c>
      <c r="BO108" t="s">
        <v>74</v>
      </c>
      <c r="BP108" t="s">
        <v>74</v>
      </c>
      <c r="BQ108" t="s">
        <v>74</v>
      </c>
      <c r="BR108" t="s">
        <v>104</v>
      </c>
      <c r="BS108" t="s">
        <v>1889</v>
      </c>
      <c r="BT108" t="str">
        <f>HYPERLINK("https%3A%2F%2Fwww.webofscience.com%2Fwos%2Fwoscc%2Ffull-record%2FWOS:001020744000002","View Full Record in Web of Science")</f>
        <v>View Full Record in Web of Science</v>
      </c>
    </row>
    <row r="109" spans="1:72" x14ac:dyDescent="0.25">
      <c r="A109" t="s">
        <v>72</v>
      </c>
      <c r="B109" t="s">
        <v>1890</v>
      </c>
      <c r="C109" t="s">
        <v>74</v>
      </c>
      <c r="D109" t="s">
        <v>74</v>
      </c>
      <c r="E109" t="s">
        <v>74</v>
      </c>
      <c r="F109" t="s">
        <v>1891</v>
      </c>
      <c r="G109" t="s">
        <v>74</v>
      </c>
      <c r="H109" t="s">
        <v>74</v>
      </c>
      <c r="I109" t="s">
        <v>1892</v>
      </c>
      <c r="J109" t="s">
        <v>251</v>
      </c>
      <c r="K109" t="s">
        <v>74</v>
      </c>
      <c r="L109" t="s">
        <v>74</v>
      </c>
      <c r="M109" t="s">
        <v>78</v>
      </c>
      <c r="N109" t="s">
        <v>79</v>
      </c>
      <c r="O109" t="s">
        <v>74</v>
      </c>
      <c r="P109" t="s">
        <v>74</v>
      </c>
      <c r="Q109" t="s">
        <v>74</v>
      </c>
      <c r="R109" t="s">
        <v>74</v>
      </c>
      <c r="S109" t="s">
        <v>74</v>
      </c>
      <c r="T109" t="s">
        <v>1893</v>
      </c>
      <c r="U109" t="s">
        <v>1894</v>
      </c>
      <c r="V109" t="s">
        <v>1895</v>
      </c>
      <c r="W109" t="s">
        <v>1896</v>
      </c>
      <c r="X109" t="s">
        <v>1897</v>
      </c>
      <c r="Y109" t="s">
        <v>1898</v>
      </c>
      <c r="Z109" t="s">
        <v>1899</v>
      </c>
      <c r="AA109" t="s">
        <v>1900</v>
      </c>
      <c r="AB109" t="s">
        <v>1901</v>
      </c>
      <c r="AC109" t="s">
        <v>1902</v>
      </c>
      <c r="AD109" t="s">
        <v>1903</v>
      </c>
      <c r="AE109" t="s">
        <v>1904</v>
      </c>
      <c r="AF109" t="s">
        <v>74</v>
      </c>
      <c r="AG109">
        <v>44</v>
      </c>
      <c r="AH109">
        <v>31</v>
      </c>
      <c r="AI109">
        <v>30</v>
      </c>
      <c r="AJ109">
        <v>3</v>
      </c>
      <c r="AK109">
        <v>11</v>
      </c>
      <c r="AL109" t="s">
        <v>122</v>
      </c>
      <c r="AM109" t="s">
        <v>123</v>
      </c>
      <c r="AN109" t="s">
        <v>124</v>
      </c>
      <c r="AO109" t="s">
        <v>258</v>
      </c>
      <c r="AP109" t="s">
        <v>259</v>
      </c>
      <c r="AQ109" t="s">
        <v>74</v>
      </c>
      <c r="AR109" t="s">
        <v>251</v>
      </c>
      <c r="AS109" t="s">
        <v>260</v>
      </c>
      <c r="AT109" t="s">
        <v>1905</v>
      </c>
      <c r="AU109">
        <v>2023</v>
      </c>
      <c r="AV109">
        <v>147</v>
      </c>
      <c r="AW109">
        <v>24</v>
      </c>
      <c r="AX109" t="s">
        <v>74</v>
      </c>
      <c r="AY109" t="s">
        <v>74</v>
      </c>
      <c r="AZ109" t="s">
        <v>74</v>
      </c>
      <c r="BA109" t="s">
        <v>74</v>
      </c>
      <c r="BB109">
        <v>1809</v>
      </c>
      <c r="BC109">
        <v>1822</v>
      </c>
      <c r="BD109" t="s">
        <v>74</v>
      </c>
      <c r="BE109" t="s">
        <v>1906</v>
      </c>
      <c r="BF109" t="str">
        <f>HYPERLINK("http://dx.doi.org/10.1161/CIRCULATIONAHA.122.061501","http://dx.doi.org/10.1161/CIRCULATIONAHA.122.061501")</f>
        <v>http://dx.doi.org/10.1161/CIRCULATIONAHA.122.061501</v>
      </c>
      <c r="BG109" t="s">
        <v>74</v>
      </c>
      <c r="BH109" t="s">
        <v>74</v>
      </c>
      <c r="BI109">
        <v>14</v>
      </c>
      <c r="BJ109" t="s">
        <v>263</v>
      </c>
      <c r="BK109" t="s">
        <v>101</v>
      </c>
      <c r="BL109" t="s">
        <v>133</v>
      </c>
      <c r="BM109" t="s">
        <v>1907</v>
      </c>
      <c r="BN109">
        <v>37096577</v>
      </c>
      <c r="BO109" t="s">
        <v>1908</v>
      </c>
      <c r="BP109" t="s">
        <v>74</v>
      </c>
      <c r="BQ109" t="s">
        <v>74</v>
      </c>
      <c r="BR109" t="s">
        <v>104</v>
      </c>
      <c r="BS109" t="s">
        <v>1909</v>
      </c>
      <c r="BT109" t="str">
        <f>HYPERLINK("https%3A%2F%2Fwww.webofscience.com%2Fwos%2Fwoscc%2Ffull-record%2FWOS:001003906500005","View Full Record in Web of Science")</f>
        <v>View Full Record in Web of Science</v>
      </c>
    </row>
    <row r="110" spans="1:72" x14ac:dyDescent="0.25">
      <c r="A110" t="s">
        <v>72</v>
      </c>
      <c r="B110" t="s">
        <v>1910</v>
      </c>
      <c r="C110" t="s">
        <v>74</v>
      </c>
      <c r="D110" t="s">
        <v>74</v>
      </c>
      <c r="E110" t="s">
        <v>74</v>
      </c>
      <c r="F110" t="s">
        <v>1911</v>
      </c>
      <c r="G110" t="s">
        <v>74</v>
      </c>
      <c r="H110" t="s">
        <v>74</v>
      </c>
      <c r="I110" t="s">
        <v>1912</v>
      </c>
      <c r="J110" t="s">
        <v>216</v>
      </c>
      <c r="K110" t="s">
        <v>74</v>
      </c>
      <c r="L110" t="s">
        <v>74</v>
      </c>
      <c r="M110" t="s">
        <v>78</v>
      </c>
      <c r="N110" t="s">
        <v>140</v>
      </c>
      <c r="O110" t="s">
        <v>74</v>
      </c>
      <c r="P110" t="s">
        <v>74</v>
      </c>
      <c r="Q110" t="s">
        <v>74</v>
      </c>
      <c r="R110" t="s">
        <v>74</v>
      </c>
      <c r="S110" t="s">
        <v>74</v>
      </c>
      <c r="T110" t="s">
        <v>74</v>
      </c>
      <c r="U110" t="s">
        <v>1913</v>
      </c>
      <c r="V110" t="s">
        <v>74</v>
      </c>
      <c r="W110" t="s">
        <v>1914</v>
      </c>
      <c r="X110" t="s">
        <v>1915</v>
      </c>
      <c r="Y110" t="s">
        <v>1916</v>
      </c>
      <c r="Z110" t="s">
        <v>1917</v>
      </c>
      <c r="AA110" t="s">
        <v>780</v>
      </c>
      <c r="AB110" t="s">
        <v>1918</v>
      </c>
      <c r="AC110" t="s">
        <v>74</v>
      </c>
      <c r="AD110" t="s">
        <v>74</v>
      </c>
      <c r="AE110" t="s">
        <v>74</v>
      </c>
      <c r="AF110" t="s">
        <v>74</v>
      </c>
      <c r="AG110">
        <v>36</v>
      </c>
      <c r="AH110">
        <v>1</v>
      </c>
      <c r="AI110">
        <v>1</v>
      </c>
      <c r="AJ110">
        <v>0</v>
      </c>
      <c r="AK110">
        <v>1</v>
      </c>
      <c r="AL110" t="s">
        <v>219</v>
      </c>
      <c r="AM110" t="s">
        <v>220</v>
      </c>
      <c r="AN110" t="s">
        <v>221</v>
      </c>
      <c r="AO110" t="s">
        <v>222</v>
      </c>
      <c r="AP110" t="s">
        <v>223</v>
      </c>
      <c r="AQ110" t="s">
        <v>74</v>
      </c>
      <c r="AR110" t="s">
        <v>224</v>
      </c>
      <c r="AS110" t="s">
        <v>225</v>
      </c>
      <c r="AT110" t="s">
        <v>933</v>
      </c>
      <c r="AU110">
        <v>2023</v>
      </c>
      <c r="AV110">
        <v>61</v>
      </c>
      <c r="AW110">
        <v>6</v>
      </c>
      <c r="AX110" t="s">
        <v>74</v>
      </c>
      <c r="AY110" t="s">
        <v>74</v>
      </c>
      <c r="AZ110" t="s">
        <v>74</v>
      </c>
      <c r="BA110" t="s">
        <v>74</v>
      </c>
      <c r="BB110" t="s">
        <v>74</v>
      </c>
      <c r="BC110" t="s">
        <v>74</v>
      </c>
      <c r="BD110">
        <v>2300944</v>
      </c>
      <c r="BE110" t="s">
        <v>1919</v>
      </c>
      <c r="BF110" t="str">
        <f>HYPERLINK("http://dx.doi.org/10.1183/13993003.00944-2023","http://dx.doi.org/10.1183/13993003.00944-2023")</f>
        <v>http://dx.doi.org/10.1183/13993003.00944-2023</v>
      </c>
      <c r="BG110" t="s">
        <v>74</v>
      </c>
      <c r="BH110" t="s">
        <v>74</v>
      </c>
      <c r="BI110">
        <v>5</v>
      </c>
      <c r="BJ110" t="s">
        <v>228</v>
      </c>
      <c r="BK110" t="s">
        <v>101</v>
      </c>
      <c r="BL110" t="s">
        <v>228</v>
      </c>
      <c r="BM110" t="s">
        <v>1920</v>
      </c>
      <c r="BN110">
        <v>37385654</v>
      </c>
      <c r="BO110" t="s">
        <v>74</v>
      </c>
      <c r="BP110" t="s">
        <v>74</v>
      </c>
      <c r="BQ110" t="s">
        <v>74</v>
      </c>
      <c r="BR110" t="s">
        <v>104</v>
      </c>
      <c r="BS110" t="s">
        <v>1921</v>
      </c>
      <c r="BT110" t="str">
        <f>HYPERLINK("https%3A%2F%2Fwww.webofscience.com%2Fwos%2Fwoscc%2Ffull-record%2FWOS:001027645900001","View Full Record in Web of Science")</f>
        <v>View Full Record in Web of Science</v>
      </c>
    </row>
    <row r="111" spans="1:72" x14ac:dyDescent="0.25">
      <c r="A111" t="s">
        <v>72</v>
      </c>
      <c r="B111" t="s">
        <v>1922</v>
      </c>
      <c r="C111" t="s">
        <v>74</v>
      </c>
      <c r="D111" t="s">
        <v>74</v>
      </c>
      <c r="E111" t="s">
        <v>74</v>
      </c>
      <c r="F111" t="s">
        <v>1923</v>
      </c>
      <c r="G111" t="s">
        <v>74</v>
      </c>
      <c r="H111" t="s">
        <v>74</v>
      </c>
      <c r="I111" t="s">
        <v>922</v>
      </c>
      <c r="J111" t="s">
        <v>1924</v>
      </c>
      <c r="K111" t="s">
        <v>74</v>
      </c>
      <c r="L111" t="s">
        <v>74</v>
      </c>
      <c r="M111" t="s">
        <v>78</v>
      </c>
      <c r="N111" t="s">
        <v>52</v>
      </c>
      <c r="O111" t="s">
        <v>74</v>
      </c>
      <c r="P111" t="s">
        <v>74</v>
      </c>
      <c r="Q111" t="s">
        <v>74</v>
      </c>
      <c r="R111" t="s">
        <v>74</v>
      </c>
      <c r="S111" t="s">
        <v>74</v>
      </c>
      <c r="T111" t="s">
        <v>1925</v>
      </c>
      <c r="U111" t="s">
        <v>74</v>
      </c>
      <c r="V111" t="s">
        <v>74</v>
      </c>
      <c r="W111" t="s">
        <v>1926</v>
      </c>
      <c r="X111" t="s">
        <v>1927</v>
      </c>
      <c r="Y111" t="s">
        <v>74</v>
      </c>
      <c r="Z111" t="s">
        <v>74</v>
      </c>
      <c r="AA111" t="s">
        <v>1928</v>
      </c>
      <c r="AB111" t="s">
        <v>74</v>
      </c>
      <c r="AC111" t="s">
        <v>74</v>
      </c>
      <c r="AD111" t="s">
        <v>74</v>
      </c>
      <c r="AE111" t="s">
        <v>74</v>
      </c>
      <c r="AF111" t="s">
        <v>74</v>
      </c>
      <c r="AG111">
        <v>0</v>
      </c>
      <c r="AH111">
        <v>0</v>
      </c>
      <c r="AI111">
        <v>0</v>
      </c>
      <c r="AJ111">
        <v>0</v>
      </c>
      <c r="AK111">
        <v>1</v>
      </c>
      <c r="AL111" t="s">
        <v>169</v>
      </c>
      <c r="AM111" t="s">
        <v>170</v>
      </c>
      <c r="AN111" t="s">
        <v>171</v>
      </c>
      <c r="AO111" t="s">
        <v>1929</v>
      </c>
      <c r="AP111" t="s">
        <v>1930</v>
      </c>
      <c r="AQ111" t="s">
        <v>74</v>
      </c>
      <c r="AR111" t="s">
        <v>1931</v>
      </c>
      <c r="AS111" t="s">
        <v>1932</v>
      </c>
      <c r="AT111" t="s">
        <v>1060</v>
      </c>
      <c r="AU111">
        <v>2023</v>
      </c>
      <c r="AV111">
        <v>37</v>
      </c>
      <c r="AW111" t="s">
        <v>74</v>
      </c>
      <c r="AX111" t="s">
        <v>74</v>
      </c>
      <c r="AY111">
        <v>1</v>
      </c>
      <c r="AZ111" t="s">
        <v>74</v>
      </c>
      <c r="BA111" t="s">
        <v>1933</v>
      </c>
      <c r="BB111">
        <v>70</v>
      </c>
      <c r="BC111">
        <v>70</v>
      </c>
      <c r="BD111" t="s">
        <v>74</v>
      </c>
      <c r="BE111" t="s">
        <v>74</v>
      </c>
      <c r="BF111" t="s">
        <v>74</v>
      </c>
      <c r="BG111" t="s">
        <v>74</v>
      </c>
      <c r="BH111" t="s">
        <v>74</v>
      </c>
      <c r="BI111">
        <v>1</v>
      </c>
      <c r="BJ111" t="s">
        <v>1477</v>
      </c>
      <c r="BK111" t="s">
        <v>101</v>
      </c>
      <c r="BL111" t="s">
        <v>1477</v>
      </c>
      <c r="BM111" t="s">
        <v>1934</v>
      </c>
      <c r="BN111" t="s">
        <v>74</v>
      </c>
      <c r="BO111" t="s">
        <v>74</v>
      </c>
      <c r="BP111" t="s">
        <v>74</v>
      </c>
      <c r="BQ111" t="s">
        <v>74</v>
      </c>
      <c r="BR111" t="s">
        <v>104</v>
      </c>
      <c r="BS111" t="s">
        <v>1935</v>
      </c>
      <c r="BT111" t="str">
        <f>HYPERLINK("https%3A%2F%2Fwww.webofscience.com%2Fwos%2Fwoscc%2Ffull-record%2FWOS:001043020800111","View Full Record in Web of Science")</f>
        <v>View Full Record in Web of Science</v>
      </c>
    </row>
    <row r="112" spans="1:72" x14ac:dyDescent="0.25">
      <c r="A112" t="s">
        <v>72</v>
      </c>
      <c r="B112" t="s">
        <v>1936</v>
      </c>
      <c r="C112" t="s">
        <v>74</v>
      </c>
      <c r="D112" t="s">
        <v>74</v>
      </c>
      <c r="E112" t="s">
        <v>74</v>
      </c>
      <c r="F112" t="s">
        <v>1937</v>
      </c>
      <c r="G112" t="s">
        <v>74</v>
      </c>
      <c r="H112" t="s">
        <v>74</v>
      </c>
      <c r="I112" t="s">
        <v>1938</v>
      </c>
      <c r="J112" t="s">
        <v>1939</v>
      </c>
      <c r="K112" t="s">
        <v>74</v>
      </c>
      <c r="L112" t="s">
        <v>74</v>
      </c>
      <c r="M112" t="s">
        <v>78</v>
      </c>
      <c r="N112" t="s">
        <v>79</v>
      </c>
      <c r="O112" t="s">
        <v>74</v>
      </c>
      <c r="P112" t="s">
        <v>74</v>
      </c>
      <c r="Q112" t="s">
        <v>74</v>
      </c>
      <c r="R112" t="s">
        <v>74</v>
      </c>
      <c r="S112" t="s">
        <v>74</v>
      </c>
      <c r="T112" t="s">
        <v>1940</v>
      </c>
      <c r="U112" t="s">
        <v>1941</v>
      </c>
      <c r="V112" t="s">
        <v>1942</v>
      </c>
      <c r="W112" t="s">
        <v>1943</v>
      </c>
      <c r="X112" t="s">
        <v>1944</v>
      </c>
      <c r="Y112" t="s">
        <v>1945</v>
      </c>
      <c r="Z112" t="s">
        <v>86</v>
      </c>
      <c r="AA112" t="s">
        <v>1946</v>
      </c>
      <c r="AB112" t="s">
        <v>1947</v>
      </c>
      <c r="AC112" t="s">
        <v>74</v>
      </c>
      <c r="AD112" t="s">
        <v>74</v>
      </c>
      <c r="AE112" t="s">
        <v>74</v>
      </c>
      <c r="AF112" t="s">
        <v>74</v>
      </c>
      <c r="AG112">
        <v>37</v>
      </c>
      <c r="AH112">
        <v>1</v>
      </c>
      <c r="AI112">
        <v>1</v>
      </c>
      <c r="AJ112">
        <v>0</v>
      </c>
      <c r="AK112">
        <v>1</v>
      </c>
      <c r="AL112" t="s">
        <v>1073</v>
      </c>
      <c r="AM112" t="s">
        <v>1074</v>
      </c>
      <c r="AN112" t="s">
        <v>1075</v>
      </c>
      <c r="AO112" t="s">
        <v>1948</v>
      </c>
      <c r="AP112" t="s">
        <v>1949</v>
      </c>
      <c r="AQ112" t="s">
        <v>74</v>
      </c>
      <c r="AR112" t="s">
        <v>1950</v>
      </c>
      <c r="AS112" t="s">
        <v>1951</v>
      </c>
      <c r="AT112" t="s">
        <v>1952</v>
      </c>
      <c r="AU112">
        <v>2023</v>
      </c>
      <c r="AV112">
        <v>24</v>
      </c>
      <c r="AW112">
        <v>11</v>
      </c>
      <c r="AX112" t="s">
        <v>74</v>
      </c>
      <c r="AY112" t="s">
        <v>74</v>
      </c>
      <c r="AZ112" t="s">
        <v>74</v>
      </c>
      <c r="BA112" t="s">
        <v>74</v>
      </c>
      <c r="BB112">
        <v>1518</v>
      </c>
      <c r="BC112">
        <v>1527</v>
      </c>
      <c r="BD112" t="s">
        <v>74</v>
      </c>
      <c r="BE112" t="s">
        <v>1953</v>
      </c>
      <c r="BF112" t="str">
        <f>HYPERLINK("http://dx.doi.org/10.1093/ehjci/jead104","http://dx.doi.org/10.1093/ehjci/jead104")</f>
        <v>http://dx.doi.org/10.1093/ehjci/jead104</v>
      </c>
      <c r="BG112" t="s">
        <v>74</v>
      </c>
      <c r="BH112" t="s">
        <v>1954</v>
      </c>
      <c r="BI112">
        <v>10</v>
      </c>
      <c r="BJ112" t="s">
        <v>1955</v>
      </c>
      <c r="BK112" t="s">
        <v>101</v>
      </c>
      <c r="BL112" t="s">
        <v>1956</v>
      </c>
      <c r="BM112" t="s">
        <v>1957</v>
      </c>
      <c r="BN112">
        <v>37194564</v>
      </c>
      <c r="BO112" t="s">
        <v>74</v>
      </c>
      <c r="BP112" t="s">
        <v>74</v>
      </c>
      <c r="BQ112" t="s">
        <v>74</v>
      </c>
      <c r="BR112" t="s">
        <v>104</v>
      </c>
      <c r="BS112" t="s">
        <v>1958</v>
      </c>
      <c r="BT112" t="str">
        <f>HYPERLINK("https%3A%2F%2Fwww.webofscience.com%2Fwos%2Fwoscc%2Ffull-record%2FWOS:000987731100001","View Full Record in Web of Science")</f>
        <v>View Full Record in Web of Science</v>
      </c>
    </row>
    <row r="113" spans="1:72" x14ac:dyDescent="0.25">
      <c r="A113" t="s">
        <v>72</v>
      </c>
      <c r="B113" t="s">
        <v>1959</v>
      </c>
      <c r="C113" t="s">
        <v>74</v>
      </c>
      <c r="D113" t="s">
        <v>74</v>
      </c>
      <c r="E113" t="s">
        <v>74</v>
      </c>
      <c r="F113" t="s">
        <v>1960</v>
      </c>
      <c r="G113" t="s">
        <v>74</v>
      </c>
      <c r="H113" t="s">
        <v>74</v>
      </c>
      <c r="I113" t="s">
        <v>1961</v>
      </c>
      <c r="J113" t="s">
        <v>1962</v>
      </c>
      <c r="K113" t="s">
        <v>74</v>
      </c>
      <c r="L113" t="s">
        <v>74</v>
      </c>
      <c r="M113" t="s">
        <v>78</v>
      </c>
      <c r="N113" t="s">
        <v>52</v>
      </c>
      <c r="O113" t="s">
        <v>1963</v>
      </c>
      <c r="P113" t="s">
        <v>1964</v>
      </c>
      <c r="Q113" t="s">
        <v>504</v>
      </c>
      <c r="R113" t="s">
        <v>1965</v>
      </c>
      <c r="S113" t="s">
        <v>74</v>
      </c>
      <c r="T113" t="s">
        <v>74</v>
      </c>
      <c r="U113" t="s">
        <v>74</v>
      </c>
      <c r="V113" t="s">
        <v>74</v>
      </c>
      <c r="W113" t="s">
        <v>1966</v>
      </c>
      <c r="X113" t="s">
        <v>1967</v>
      </c>
      <c r="Y113" t="s">
        <v>74</v>
      </c>
      <c r="Z113" t="s">
        <v>74</v>
      </c>
      <c r="AA113" t="s">
        <v>1968</v>
      </c>
      <c r="AB113" t="s">
        <v>74</v>
      </c>
      <c r="AC113" t="s">
        <v>1969</v>
      </c>
      <c r="AD113" t="s">
        <v>74</v>
      </c>
      <c r="AE113" t="s">
        <v>1970</v>
      </c>
      <c r="AF113" t="s">
        <v>74</v>
      </c>
      <c r="AG113">
        <v>2</v>
      </c>
      <c r="AH113">
        <v>0</v>
      </c>
      <c r="AI113">
        <v>0</v>
      </c>
      <c r="AJ113">
        <v>0</v>
      </c>
      <c r="AK113">
        <v>0</v>
      </c>
      <c r="AL113" t="s">
        <v>1971</v>
      </c>
      <c r="AM113" t="s">
        <v>201</v>
      </c>
      <c r="AN113" t="s">
        <v>1972</v>
      </c>
      <c r="AO113" t="s">
        <v>1973</v>
      </c>
      <c r="AP113" t="s">
        <v>1974</v>
      </c>
      <c r="AQ113" t="s">
        <v>74</v>
      </c>
      <c r="AR113" t="s">
        <v>1975</v>
      </c>
      <c r="AS113" t="s">
        <v>1976</v>
      </c>
      <c r="AT113" t="s">
        <v>1977</v>
      </c>
      <c r="AU113">
        <v>2023</v>
      </c>
      <c r="AV113">
        <v>31</v>
      </c>
      <c r="AW113" t="s">
        <v>74</v>
      </c>
      <c r="AX113" t="s">
        <v>74</v>
      </c>
      <c r="AY113">
        <v>1</v>
      </c>
      <c r="AZ113" t="s">
        <v>74</v>
      </c>
      <c r="BA113" t="s">
        <v>1978</v>
      </c>
      <c r="BB113">
        <v>30</v>
      </c>
      <c r="BC113">
        <v>31</v>
      </c>
      <c r="BD113" t="s">
        <v>74</v>
      </c>
      <c r="BE113" t="s">
        <v>74</v>
      </c>
      <c r="BF113" t="s">
        <v>74</v>
      </c>
      <c r="BG113" t="s">
        <v>74</v>
      </c>
      <c r="BH113" t="s">
        <v>74</v>
      </c>
      <c r="BI113">
        <v>2</v>
      </c>
      <c r="BJ113" t="s">
        <v>1979</v>
      </c>
      <c r="BK113" t="s">
        <v>512</v>
      </c>
      <c r="BL113" t="s">
        <v>1979</v>
      </c>
      <c r="BM113" t="s">
        <v>1980</v>
      </c>
      <c r="BN113" t="s">
        <v>74</v>
      </c>
      <c r="BO113" t="s">
        <v>74</v>
      </c>
      <c r="BP113" t="s">
        <v>74</v>
      </c>
      <c r="BQ113" t="s">
        <v>74</v>
      </c>
      <c r="BR113" t="s">
        <v>104</v>
      </c>
      <c r="BS113" t="s">
        <v>1981</v>
      </c>
      <c r="BT113" t="str">
        <f>HYPERLINK("https%3A%2F%2Fwww.webofscience.com%2Fwos%2Fwoscc%2Ffull-record%2FWOS:001050507000061","View Full Record in Web of Science")</f>
        <v>View Full Record in Web of Science</v>
      </c>
    </row>
    <row r="114" spans="1:72" x14ac:dyDescent="0.25">
      <c r="A114" t="s">
        <v>72</v>
      </c>
      <c r="B114" t="s">
        <v>1982</v>
      </c>
      <c r="C114" t="s">
        <v>74</v>
      </c>
      <c r="D114" t="s">
        <v>74</v>
      </c>
      <c r="E114" t="s">
        <v>74</v>
      </c>
      <c r="F114" t="s">
        <v>1983</v>
      </c>
      <c r="G114" t="s">
        <v>74</v>
      </c>
      <c r="H114" t="s">
        <v>74</v>
      </c>
      <c r="I114" t="s">
        <v>1984</v>
      </c>
      <c r="J114" t="s">
        <v>793</v>
      </c>
      <c r="K114" t="s">
        <v>74</v>
      </c>
      <c r="L114" t="s">
        <v>74</v>
      </c>
      <c r="M114" t="s">
        <v>78</v>
      </c>
      <c r="N114" t="s">
        <v>79</v>
      </c>
      <c r="O114" t="s">
        <v>74</v>
      </c>
      <c r="P114" t="s">
        <v>74</v>
      </c>
      <c r="Q114" t="s">
        <v>74</v>
      </c>
      <c r="R114" t="s">
        <v>74</v>
      </c>
      <c r="S114" t="s">
        <v>74</v>
      </c>
      <c r="T114" t="s">
        <v>74</v>
      </c>
      <c r="U114" t="s">
        <v>1985</v>
      </c>
      <c r="V114" t="s">
        <v>1986</v>
      </c>
      <c r="W114" t="s">
        <v>1987</v>
      </c>
      <c r="X114" t="s">
        <v>1988</v>
      </c>
      <c r="Y114" t="s">
        <v>1989</v>
      </c>
      <c r="Z114" t="s">
        <v>1990</v>
      </c>
      <c r="AA114" t="s">
        <v>1991</v>
      </c>
      <c r="AB114" t="s">
        <v>1992</v>
      </c>
      <c r="AC114" t="s">
        <v>1993</v>
      </c>
      <c r="AD114" t="s">
        <v>1994</v>
      </c>
      <c r="AE114" t="s">
        <v>1995</v>
      </c>
      <c r="AF114" t="s">
        <v>74</v>
      </c>
      <c r="AG114">
        <v>38</v>
      </c>
      <c r="AH114">
        <v>7</v>
      </c>
      <c r="AI114">
        <v>7</v>
      </c>
      <c r="AJ114">
        <v>0</v>
      </c>
      <c r="AK114">
        <v>3</v>
      </c>
      <c r="AL114" t="s">
        <v>219</v>
      </c>
      <c r="AM114" t="s">
        <v>220</v>
      </c>
      <c r="AN114" t="s">
        <v>221</v>
      </c>
      <c r="AO114" t="s">
        <v>74</v>
      </c>
      <c r="AP114" t="s">
        <v>803</v>
      </c>
      <c r="AQ114" t="s">
        <v>74</v>
      </c>
      <c r="AR114" t="s">
        <v>804</v>
      </c>
      <c r="AS114" t="s">
        <v>805</v>
      </c>
      <c r="AT114" t="s">
        <v>960</v>
      </c>
      <c r="AU114">
        <v>2023</v>
      </c>
      <c r="AV114">
        <v>9</v>
      </c>
      <c r="AW114">
        <v>3</v>
      </c>
      <c r="AX114" t="s">
        <v>74</v>
      </c>
      <c r="AY114" t="s">
        <v>74</v>
      </c>
      <c r="AZ114" t="s">
        <v>74</v>
      </c>
      <c r="BA114" t="s">
        <v>74</v>
      </c>
      <c r="BB114" t="s">
        <v>74</v>
      </c>
      <c r="BC114" t="s">
        <v>74</v>
      </c>
      <c r="BD114" t="s">
        <v>1996</v>
      </c>
      <c r="BE114" t="s">
        <v>1997</v>
      </c>
      <c r="BF114" t="str">
        <f>HYPERLINK("http://dx.doi.org/10.1183/23120541.00717-2022","http://dx.doi.org/10.1183/23120541.00717-2022")</f>
        <v>http://dx.doi.org/10.1183/23120541.00717-2022</v>
      </c>
      <c r="BG114" t="s">
        <v>74</v>
      </c>
      <c r="BH114" t="s">
        <v>74</v>
      </c>
      <c r="BI114">
        <v>13</v>
      </c>
      <c r="BJ114" t="s">
        <v>228</v>
      </c>
      <c r="BK114" t="s">
        <v>101</v>
      </c>
      <c r="BL114" t="s">
        <v>228</v>
      </c>
      <c r="BM114" t="s">
        <v>1998</v>
      </c>
      <c r="BN114">
        <v>37260457</v>
      </c>
      <c r="BO114" t="s">
        <v>1418</v>
      </c>
      <c r="BP114" t="s">
        <v>74</v>
      </c>
      <c r="BQ114" t="s">
        <v>74</v>
      </c>
      <c r="BR114" t="s">
        <v>104</v>
      </c>
      <c r="BS114" t="s">
        <v>1999</v>
      </c>
      <c r="BT114" t="str">
        <f>HYPERLINK("https%3A%2F%2Fwww.webofscience.com%2Fwos%2Fwoscc%2Ffull-record%2FWOS:000994352900009","View Full Record in Web of Science")</f>
        <v>View Full Record in Web of Science</v>
      </c>
    </row>
    <row r="115" spans="1:72" x14ac:dyDescent="0.25">
      <c r="A115" t="s">
        <v>72</v>
      </c>
      <c r="B115" t="s">
        <v>2000</v>
      </c>
      <c r="C115" t="s">
        <v>74</v>
      </c>
      <c r="D115" t="s">
        <v>74</v>
      </c>
      <c r="E115" t="s">
        <v>74</v>
      </c>
      <c r="F115" t="s">
        <v>2001</v>
      </c>
      <c r="G115" t="s">
        <v>74</v>
      </c>
      <c r="H115" t="s">
        <v>74</v>
      </c>
      <c r="I115" t="s">
        <v>2002</v>
      </c>
      <c r="J115" t="s">
        <v>637</v>
      </c>
      <c r="K115" t="s">
        <v>74</v>
      </c>
      <c r="L115" t="s">
        <v>74</v>
      </c>
      <c r="M115" t="s">
        <v>78</v>
      </c>
      <c r="N115" t="s">
        <v>52</v>
      </c>
      <c r="O115" t="s">
        <v>2003</v>
      </c>
      <c r="P115" t="s">
        <v>2004</v>
      </c>
      <c r="Q115" t="s">
        <v>2005</v>
      </c>
      <c r="R115" t="s">
        <v>2006</v>
      </c>
      <c r="S115" t="s">
        <v>74</v>
      </c>
      <c r="T115" t="s">
        <v>74</v>
      </c>
      <c r="U115" t="s">
        <v>74</v>
      </c>
      <c r="V115" t="s">
        <v>74</v>
      </c>
      <c r="W115" t="s">
        <v>2007</v>
      </c>
      <c r="X115" t="s">
        <v>2008</v>
      </c>
      <c r="Y115" t="s">
        <v>74</v>
      </c>
      <c r="Z115" t="s">
        <v>2009</v>
      </c>
      <c r="AA115" t="s">
        <v>415</v>
      </c>
      <c r="AB115" t="s">
        <v>74</v>
      </c>
      <c r="AC115" t="s">
        <v>2010</v>
      </c>
      <c r="AD115" t="s">
        <v>2011</v>
      </c>
      <c r="AE115" t="s">
        <v>2012</v>
      </c>
      <c r="AF115" t="s">
        <v>74</v>
      </c>
      <c r="AG115">
        <v>0</v>
      </c>
      <c r="AH115">
        <v>0</v>
      </c>
      <c r="AI115">
        <v>0</v>
      </c>
      <c r="AJ115">
        <v>0</v>
      </c>
      <c r="AK115">
        <v>1</v>
      </c>
      <c r="AL115" t="s">
        <v>649</v>
      </c>
      <c r="AM115" t="s">
        <v>486</v>
      </c>
      <c r="AN115" t="s">
        <v>650</v>
      </c>
      <c r="AO115" t="s">
        <v>651</v>
      </c>
      <c r="AP115" t="s">
        <v>652</v>
      </c>
      <c r="AQ115" t="s">
        <v>74</v>
      </c>
      <c r="AR115" t="s">
        <v>653</v>
      </c>
      <c r="AS115" t="s">
        <v>654</v>
      </c>
      <c r="AT115" t="s">
        <v>960</v>
      </c>
      <c r="AU115">
        <v>2023</v>
      </c>
      <c r="AV115">
        <v>207</v>
      </c>
      <c r="AW115" t="s">
        <v>74</v>
      </c>
      <c r="AX115" t="s">
        <v>74</v>
      </c>
      <c r="AY115" t="s">
        <v>998</v>
      </c>
      <c r="AZ115" t="s">
        <v>74</v>
      </c>
      <c r="BA115" t="s">
        <v>2013</v>
      </c>
      <c r="BB115" t="s">
        <v>74</v>
      </c>
      <c r="BC115" t="s">
        <v>74</v>
      </c>
      <c r="BD115" t="s">
        <v>74</v>
      </c>
      <c r="BE115" t="s">
        <v>74</v>
      </c>
      <c r="BF115" t="s">
        <v>74</v>
      </c>
      <c r="BG115" t="s">
        <v>74</v>
      </c>
      <c r="BH115" t="s">
        <v>74</v>
      </c>
      <c r="BI115">
        <v>2</v>
      </c>
      <c r="BJ115" t="s">
        <v>341</v>
      </c>
      <c r="BK115" t="s">
        <v>512</v>
      </c>
      <c r="BL115" t="s">
        <v>342</v>
      </c>
      <c r="BM115" t="s">
        <v>2014</v>
      </c>
      <c r="BN115" t="s">
        <v>74</v>
      </c>
      <c r="BO115" t="s">
        <v>74</v>
      </c>
      <c r="BP115" t="s">
        <v>74</v>
      </c>
      <c r="BQ115" t="s">
        <v>74</v>
      </c>
      <c r="BR115" t="s">
        <v>104</v>
      </c>
      <c r="BS115" t="s">
        <v>2015</v>
      </c>
      <c r="BT115" t="str">
        <f>HYPERLINK("https%3A%2F%2Fwww.webofscience.com%2Fwos%2Fwoscc%2Ffull-record%2FWOS:000995814708478","View Full Record in Web of Science")</f>
        <v>View Full Record in Web of Science</v>
      </c>
    </row>
    <row r="116" spans="1:72" x14ac:dyDescent="0.25">
      <c r="A116" t="s">
        <v>72</v>
      </c>
      <c r="B116" t="s">
        <v>2016</v>
      </c>
      <c r="C116" t="s">
        <v>74</v>
      </c>
      <c r="D116" t="s">
        <v>74</v>
      </c>
      <c r="E116" t="s">
        <v>74</v>
      </c>
      <c r="F116" t="s">
        <v>2017</v>
      </c>
      <c r="G116" t="s">
        <v>74</v>
      </c>
      <c r="H116" t="s">
        <v>2018</v>
      </c>
      <c r="I116" t="s">
        <v>2019</v>
      </c>
      <c r="J116" t="s">
        <v>793</v>
      </c>
      <c r="K116" t="s">
        <v>74</v>
      </c>
      <c r="L116" t="s">
        <v>74</v>
      </c>
      <c r="M116" t="s">
        <v>78</v>
      </c>
      <c r="N116" t="s">
        <v>79</v>
      </c>
      <c r="O116" t="s">
        <v>74</v>
      </c>
      <c r="P116" t="s">
        <v>74</v>
      </c>
      <c r="Q116" t="s">
        <v>74</v>
      </c>
      <c r="R116" t="s">
        <v>74</v>
      </c>
      <c r="S116" t="s">
        <v>74</v>
      </c>
      <c r="T116" t="s">
        <v>74</v>
      </c>
      <c r="U116" t="s">
        <v>2020</v>
      </c>
      <c r="V116" t="s">
        <v>2021</v>
      </c>
      <c r="W116" t="s">
        <v>2022</v>
      </c>
      <c r="X116" t="s">
        <v>2023</v>
      </c>
      <c r="Y116" t="s">
        <v>2024</v>
      </c>
      <c r="Z116" t="s">
        <v>331</v>
      </c>
      <c r="AA116" t="s">
        <v>2025</v>
      </c>
      <c r="AB116" t="s">
        <v>2026</v>
      </c>
      <c r="AC116" t="s">
        <v>2027</v>
      </c>
      <c r="AD116" t="s">
        <v>2027</v>
      </c>
      <c r="AE116" t="s">
        <v>2028</v>
      </c>
      <c r="AF116" t="s">
        <v>74</v>
      </c>
      <c r="AG116">
        <v>39</v>
      </c>
      <c r="AH116">
        <v>10</v>
      </c>
      <c r="AI116">
        <v>10</v>
      </c>
      <c r="AJ116">
        <v>0</v>
      </c>
      <c r="AK116">
        <v>1</v>
      </c>
      <c r="AL116" t="s">
        <v>219</v>
      </c>
      <c r="AM116" t="s">
        <v>220</v>
      </c>
      <c r="AN116" t="s">
        <v>221</v>
      </c>
      <c r="AO116" t="s">
        <v>74</v>
      </c>
      <c r="AP116" t="s">
        <v>803</v>
      </c>
      <c r="AQ116" t="s">
        <v>74</v>
      </c>
      <c r="AR116" t="s">
        <v>804</v>
      </c>
      <c r="AS116" t="s">
        <v>805</v>
      </c>
      <c r="AT116" t="s">
        <v>960</v>
      </c>
      <c r="AU116">
        <v>2023</v>
      </c>
      <c r="AV116">
        <v>9</v>
      </c>
      <c r="AW116">
        <v>3</v>
      </c>
      <c r="AX116" t="s">
        <v>74</v>
      </c>
      <c r="AY116" t="s">
        <v>74</v>
      </c>
      <c r="AZ116" t="s">
        <v>74</v>
      </c>
      <c r="BA116" t="s">
        <v>74</v>
      </c>
      <c r="BB116" t="s">
        <v>74</v>
      </c>
      <c r="BC116" t="s">
        <v>74</v>
      </c>
      <c r="BD116" t="s">
        <v>2029</v>
      </c>
      <c r="BE116" t="s">
        <v>2030</v>
      </c>
      <c r="BF116" t="str">
        <f>HYPERLINK("http://dx.doi.org/10.1183/23120541.00063-2023","http://dx.doi.org/10.1183/23120541.00063-2023")</f>
        <v>http://dx.doi.org/10.1183/23120541.00063-2023</v>
      </c>
      <c r="BG116" t="s">
        <v>74</v>
      </c>
      <c r="BH116" t="s">
        <v>74</v>
      </c>
      <c r="BI116">
        <v>12</v>
      </c>
      <c r="BJ116" t="s">
        <v>228</v>
      </c>
      <c r="BK116" t="s">
        <v>101</v>
      </c>
      <c r="BL116" t="s">
        <v>228</v>
      </c>
      <c r="BM116" t="s">
        <v>2031</v>
      </c>
      <c r="BN116">
        <v>37131523</v>
      </c>
      <c r="BO116" t="s">
        <v>1665</v>
      </c>
      <c r="BP116" t="s">
        <v>74</v>
      </c>
      <c r="BQ116" t="s">
        <v>74</v>
      </c>
      <c r="BR116" t="s">
        <v>104</v>
      </c>
      <c r="BS116" t="s">
        <v>2032</v>
      </c>
      <c r="BT116" t="str">
        <f>HYPERLINK("https%3A%2F%2Fwww.webofscience.com%2Fwos%2Fwoscc%2Ffull-record%2FWOS:000975529100002","View Full Record in Web of Science")</f>
        <v>View Full Record in Web of Science</v>
      </c>
    </row>
    <row r="117" spans="1:72" x14ac:dyDescent="0.25">
      <c r="A117" t="s">
        <v>72</v>
      </c>
      <c r="B117" t="s">
        <v>2033</v>
      </c>
      <c r="C117" t="s">
        <v>74</v>
      </c>
      <c r="D117" t="s">
        <v>74</v>
      </c>
      <c r="E117" t="s">
        <v>74</v>
      </c>
      <c r="F117" t="s">
        <v>2034</v>
      </c>
      <c r="G117" t="s">
        <v>74</v>
      </c>
      <c r="H117" t="s">
        <v>74</v>
      </c>
      <c r="I117" t="s">
        <v>2035</v>
      </c>
      <c r="J117" t="s">
        <v>637</v>
      </c>
      <c r="K117" t="s">
        <v>74</v>
      </c>
      <c r="L117" t="s">
        <v>74</v>
      </c>
      <c r="M117" t="s">
        <v>78</v>
      </c>
      <c r="N117" t="s">
        <v>52</v>
      </c>
      <c r="O117" t="s">
        <v>2003</v>
      </c>
      <c r="P117" t="s">
        <v>2004</v>
      </c>
      <c r="Q117" t="s">
        <v>2005</v>
      </c>
      <c r="R117" t="s">
        <v>2006</v>
      </c>
      <c r="S117" t="s">
        <v>74</v>
      </c>
      <c r="T117" t="s">
        <v>74</v>
      </c>
      <c r="U117" t="s">
        <v>74</v>
      </c>
      <c r="V117" t="s">
        <v>74</v>
      </c>
      <c r="W117" t="s">
        <v>2036</v>
      </c>
      <c r="X117" t="s">
        <v>2037</v>
      </c>
      <c r="Y117" t="s">
        <v>74</v>
      </c>
      <c r="Z117" t="s">
        <v>74</v>
      </c>
      <c r="AA117" t="s">
        <v>2038</v>
      </c>
      <c r="AB117" t="s">
        <v>2039</v>
      </c>
      <c r="AC117" t="s">
        <v>74</v>
      </c>
      <c r="AD117" t="s">
        <v>74</v>
      </c>
      <c r="AE117" t="s">
        <v>74</v>
      </c>
      <c r="AF117" t="s">
        <v>74</v>
      </c>
      <c r="AG117">
        <v>0</v>
      </c>
      <c r="AH117">
        <v>0</v>
      </c>
      <c r="AI117">
        <v>0</v>
      </c>
      <c r="AJ117">
        <v>0</v>
      </c>
      <c r="AK117">
        <v>0</v>
      </c>
      <c r="AL117" t="s">
        <v>649</v>
      </c>
      <c r="AM117" t="s">
        <v>486</v>
      </c>
      <c r="AN117" t="s">
        <v>650</v>
      </c>
      <c r="AO117" t="s">
        <v>651</v>
      </c>
      <c r="AP117" t="s">
        <v>652</v>
      </c>
      <c r="AQ117" t="s">
        <v>74</v>
      </c>
      <c r="AR117" t="s">
        <v>653</v>
      </c>
      <c r="AS117" t="s">
        <v>654</v>
      </c>
      <c r="AT117" t="s">
        <v>960</v>
      </c>
      <c r="AU117">
        <v>2023</v>
      </c>
      <c r="AV117">
        <v>207</v>
      </c>
      <c r="AW117" t="s">
        <v>74</v>
      </c>
      <c r="AX117" t="s">
        <v>74</v>
      </c>
      <c r="AY117" t="s">
        <v>998</v>
      </c>
      <c r="AZ117" t="s">
        <v>74</v>
      </c>
      <c r="BA117" t="s">
        <v>2040</v>
      </c>
      <c r="BB117" t="s">
        <v>74</v>
      </c>
      <c r="BC117" t="s">
        <v>74</v>
      </c>
      <c r="BD117" t="s">
        <v>74</v>
      </c>
      <c r="BE117" t="s">
        <v>74</v>
      </c>
      <c r="BF117" t="s">
        <v>74</v>
      </c>
      <c r="BG117" t="s">
        <v>74</v>
      </c>
      <c r="BH117" t="s">
        <v>74</v>
      </c>
      <c r="BI117">
        <v>2</v>
      </c>
      <c r="BJ117" t="s">
        <v>341</v>
      </c>
      <c r="BK117" t="s">
        <v>512</v>
      </c>
      <c r="BL117" t="s">
        <v>342</v>
      </c>
      <c r="BM117" t="s">
        <v>2014</v>
      </c>
      <c r="BN117" t="s">
        <v>74</v>
      </c>
      <c r="BO117" t="s">
        <v>74</v>
      </c>
      <c r="BP117" t="s">
        <v>74</v>
      </c>
      <c r="BQ117" t="s">
        <v>74</v>
      </c>
      <c r="BR117" t="s">
        <v>104</v>
      </c>
      <c r="BS117" t="s">
        <v>2041</v>
      </c>
      <c r="BT117" t="str">
        <f>HYPERLINK("https%3A%2F%2Fwww.webofscience.com%2Fwos%2Fwoscc%2Ffull-record%2FWOS:000995814702167","View Full Record in Web of Science")</f>
        <v>View Full Record in Web of Science</v>
      </c>
    </row>
    <row r="118" spans="1:72" x14ac:dyDescent="0.25">
      <c r="A118" t="s">
        <v>72</v>
      </c>
      <c r="B118" t="s">
        <v>2042</v>
      </c>
      <c r="C118" t="s">
        <v>74</v>
      </c>
      <c r="D118" t="s">
        <v>74</v>
      </c>
      <c r="E118" t="s">
        <v>74</v>
      </c>
      <c r="F118" t="s">
        <v>2043</v>
      </c>
      <c r="G118" t="s">
        <v>74</v>
      </c>
      <c r="H118" t="s">
        <v>74</v>
      </c>
      <c r="I118" t="s">
        <v>2044</v>
      </c>
      <c r="J118" t="s">
        <v>637</v>
      </c>
      <c r="K118" t="s">
        <v>74</v>
      </c>
      <c r="L118" t="s">
        <v>74</v>
      </c>
      <c r="M118" t="s">
        <v>78</v>
      </c>
      <c r="N118" t="s">
        <v>299</v>
      </c>
      <c r="O118" t="s">
        <v>74</v>
      </c>
      <c r="P118" t="s">
        <v>74</v>
      </c>
      <c r="Q118" t="s">
        <v>74</v>
      </c>
      <c r="R118" t="s">
        <v>74</v>
      </c>
      <c r="S118" t="s">
        <v>74</v>
      </c>
      <c r="T118" t="s">
        <v>2045</v>
      </c>
      <c r="U118" t="s">
        <v>2046</v>
      </c>
      <c r="V118" t="s">
        <v>2047</v>
      </c>
      <c r="W118" t="s">
        <v>2048</v>
      </c>
      <c r="X118" t="s">
        <v>2049</v>
      </c>
      <c r="Y118" t="s">
        <v>2050</v>
      </c>
      <c r="Z118" t="s">
        <v>2051</v>
      </c>
      <c r="AA118" t="s">
        <v>2052</v>
      </c>
      <c r="AB118" t="s">
        <v>2053</v>
      </c>
      <c r="AC118" t="s">
        <v>2054</v>
      </c>
      <c r="AD118" t="s">
        <v>2055</v>
      </c>
      <c r="AE118" t="s">
        <v>2056</v>
      </c>
      <c r="AF118" t="s">
        <v>74</v>
      </c>
      <c r="AG118">
        <v>78</v>
      </c>
      <c r="AH118">
        <v>31</v>
      </c>
      <c r="AI118">
        <v>32</v>
      </c>
      <c r="AJ118">
        <v>0</v>
      </c>
      <c r="AK118">
        <v>10</v>
      </c>
      <c r="AL118" t="s">
        <v>649</v>
      </c>
      <c r="AM118" t="s">
        <v>486</v>
      </c>
      <c r="AN118" t="s">
        <v>650</v>
      </c>
      <c r="AO118" t="s">
        <v>651</v>
      </c>
      <c r="AP118" t="s">
        <v>652</v>
      </c>
      <c r="AQ118" t="s">
        <v>74</v>
      </c>
      <c r="AR118" t="s">
        <v>653</v>
      </c>
      <c r="AS118" t="s">
        <v>654</v>
      </c>
      <c r="AT118" t="s">
        <v>960</v>
      </c>
      <c r="AU118">
        <v>2023</v>
      </c>
      <c r="AV118">
        <v>207</v>
      </c>
      <c r="AW118">
        <v>9</v>
      </c>
      <c r="AX118" t="s">
        <v>74</v>
      </c>
      <c r="AY118" t="s">
        <v>74</v>
      </c>
      <c r="AZ118" t="s">
        <v>74</v>
      </c>
      <c r="BA118" t="s">
        <v>74</v>
      </c>
      <c r="BB118">
        <v>1134</v>
      </c>
      <c r="BC118">
        <v>1144</v>
      </c>
      <c r="BD118" t="s">
        <v>74</v>
      </c>
      <c r="BE118" t="s">
        <v>2057</v>
      </c>
      <c r="BF118" t="str">
        <f>HYPERLINK("http://dx.doi.org/10.1164/rccm.202209-1795CI","http://dx.doi.org/10.1164/rccm.202209-1795CI")</f>
        <v>http://dx.doi.org/10.1164/rccm.202209-1795CI</v>
      </c>
      <c r="BG118" t="s">
        <v>74</v>
      </c>
      <c r="BH118" t="s">
        <v>74</v>
      </c>
      <c r="BI118">
        <v>11</v>
      </c>
      <c r="BJ118" t="s">
        <v>341</v>
      </c>
      <c r="BK118" t="s">
        <v>101</v>
      </c>
      <c r="BL118" t="s">
        <v>342</v>
      </c>
      <c r="BM118" t="s">
        <v>2058</v>
      </c>
      <c r="BN118">
        <v>36701677</v>
      </c>
      <c r="BO118" t="s">
        <v>470</v>
      </c>
      <c r="BP118" t="s">
        <v>74</v>
      </c>
      <c r="BQ118" t="s">
        <v>74</v>
      </c>
      <c r="BR118" t="s">
        <v>104</v>
      </c>
      <c r="BS118" t="s">
        <v>2059</v>
      </c>
      <c r="BT118" t="str">
        <f>HYPERLINK("https%3A%2F%2Fwww.webofscience.com%2Fwos%2Fwoscc%2Ffull-record%2FWOS:000975601200011","View Full Record in Web of Science")</f>
        <v>View Full Record in Web of Science</v>
      </c>
    </row>
    <row r="119" spans="1:72" x14ac:dyDescent="0.25">
      <c r="A119" t="s">
        <v>72</v>
      </c>
      <c r="B119" t="s">
        <v>2060</v>
      </c>
      <c r="C119" t="s">
        <v>74</v>
      </c>
      <c r="D119" t="s">
        <v>74</v>
      </c>
      <c r="E119" t="s">
        <v>74</v>
      </c>
      <c r="F119" t="s">
        <v>2061</v>
      </c>
      <c r="G119" t="s">
        <v>74</v>
      </c>
      <c r="H119" t="s">
        <v>74</v>
      </c>
      <c r="I119" t="s">
        <v>2062</v>
      </c>
      <c r="J119" t="s">
        <v>637</v>
      </c>
      <c r="K119" t="s">
        <v>74</v>
      </c>
      <c r="L119" t="s">
        <v>74</v>
      </c>
      <c r="M119" t="s">
        <v>78</v>
      </c>
      <c r="N119" t="s">
        <v>52</v>
      </c>
      <c r="O119" t="s">
        <v>2003</v>
      </c>
      <c r="P119" t="s">
        <v>2004</v>
      </c>
      <c r="Q119" t="s">
        <v>2005</v>
      </c>
      <c r="R119" t="s">
        <v>2006</v>
      </c>
      <c r="S119" t="s">
        <v>74</v>
      </c>
      <c r="T119" t="s">
        <v>74</v>
      </c>
      <c r="U119" t="s">
        <v>74</v>
      </c>
      <c r="V119" t="s">
        <v>74</v>
      </c>
      <c r="W119" t="s">
        <v>2063</v>
      </c>
      <c r="X119" t="s">
        <v>2064</v>
      </c>
      <c r="Y119" t="s">
        <v>74</v>
      </c>
      <c r="Z119" t="s">
        <v>276</v>
      </c>
      <c r="AA119" t="s">
        <v>2065</v>
      </c>
      <c r="AB119" t="s">
        <v>2039</v>
      </c>
      <c r="AC119" t="s">
        <v>2066</v>
      </c>
      <c r="AD119" t="s">
        <v>2067</v>
      </c>
      <c r="AE119" t="s">
        <v>2068</v>
      </c>
      <c r="AF119" t="s">
        <v>74</v>
      </c>
      <c r="AG119">
        <v>0</v>
      </c>
      <c r="AH119">
        <v>0</v>
      </c>
      <c r="AI119">
        <v>0</v>
      </c>
      <c r="AJ119">
        <v>0</v>
      </c>
      <c r="AK119">
        <v>0</v>
      </c>
      <c r="AL119" t="s">
        <v>649</v>
      </c>
      <c r="AM119" t="s">
        <v>486</v>
      </c>
      <c r="AN119" t="s">
        <v>650</v>
      </c>
      <c r="AO119" t="s">
        <v>651</v>
      </c>
      <c r="AP119" t="s">
        <v>652</v>
      </c>
      <c r="AQ119" t="s">
        <v>74</v>
      </c>
      <c r="AR119" t="s">
        <v>653</v>
      </c>
      <c r="AS119" t="s">
        <v>654</v>
      </c>
      <c r="AT119" t="s">
        <v>960</v>
      </c>
      <c r="AU119">
        <v>2023</v>
      </c>
      <c r="AV119">
        <v>207</v>
      </c>
      <c r="AW119" t="s">
        <v>74</v>
      </c>
      <c r="AX119" t="s">
        <v>74</v>
      </c>
      <c r="AY119" t="s">
        <v>998</v>
      </c>
      <c r="AZ119" t="s">
        <v>74</v>
      </c>
      <c r="BA119" t="s">
        <v>2069</v>
      </c>
      <c r="BB119" t="s">
        <v>74</v>
      </c>
      <c r="BC119" t="s">
        <v>74</v>
      </c>
      <c r="BD119" t="s">
        <v>74</v>
      </c>
      <c r="BE119" t="s">
        <v>74</v>
      </c>
      <c r="BF119" t="s">
        <v>74</v>
      </c>
      <c r="BG119" t="s">
        <v>74</v>
      </c>
      <c r="BH119" t="s">
        <v>74</v>
      </c>
      <c r="BI119">
        <v>2</v>
      </c>
      <c r="BJ119" t="s">
        <v>341</v>
      </c>
      <c r="BK119" t="s">
        <v>512</v>
      </c>
      <c r="BL119" t="s">
        <v>342</v>
      </c>
      <c r="BM119" t="s">
        <v>2014</v>
      </c>
      <c r="BN119" t="s">
        <v>74</v>
      </c>
      <c r="BO119" t="s">
        <v>74</v>
      </c>
      <c r="BP119" t="s">
        <v>74</v>
      </c>
      <c r="BQ119" t="s">
        <v>74</v>
      </c>
      <c r="BR119" t="s">
        <v>104</v>
      </c>
      <c r="BS119" t="s">
        <v>2070</v>
      </c>
      <c r="BT119" t="str">
        <f>HYPERLINK("https%3A%2F%2Fwww.webofscience.com%2Fwos%2Fwoscc%2Ffull-record%2FWOS:000995814704162","View Full Record in Web of Science")</f>
        <v>View Full Record in Web of Science</v>
      </c>
    </row>
    <row r="120" spans="1:72" x14ac:dyDescent="0.25">
      <c r="A120" t="s">
        <v>72</v>
      </c>
      <c r="B120" t="s">
        <v>2071</v>
      </c>
      <c r="C120" t="s">
        <v>74</v>
      </c>
      <c r="D120" t="s">
        <v>74</v>
      </c>
      <c r="E120" t="s">
        <v>74</v>
      </c>
      <c r="F120" t="s">
        <v>2072</v>
      </c>
      <c r="G120" t="s">
        <v>74</v>
      </c>
      <c r="H120" t="s">
        <v>74</v>
      </c>
      <c r="I120" t="s">
        <v>2073</v>
      </c>
      <c r="J120" t="s">
        <v>637</v>
      </c>
      <c r="K120" t="s">
        <v>74</v>
      </c>
      <c r="L120" t="s">
        <v>74</v>
      </c>
      <c r="M120" t="s">
        <v>78</v>
      </c>
      <c r="N120" t="s">
        <v>52</v>
      </c>
      <c r="O120" t="s">
        <v>2003</v>
      </c>
      <c r="P120" t="s">
        <v>2004</v>
      </c>
      <c r="Q120" t="s">
        <v>2005</v>
      </c>
      <c r="R120" t="s">
        <v>2006</v>
      </c>
      <c r="S120" t="s">
        <v>74</v>
      </c>
      <c r="T120" t="s">
        <v>74</v>
      </c>
      <c r="U120" t="s">
        <v>74</v>
      </c>
      <c r="V120" t="s">
        <v>74</v>
      </c>
      <c r="W120" t="s">
        <v>2074</v>
      </c>
      <c r="X120" t="s">
        <v>2075</v>
      </c>
      <c r="Y120" t="s">
        <v>74</v>
      </c>
      <c r="Z120" t="s">
        <v>74</v>
      </c>
      <c r="AA120" t="s">
        <v>144</v>
      </c>
      <c r="AB120" t="s">
        <v>74</v>
      </c>
      <c r="AC120" t="s">
        <v>2076</v>
      </c>
      <c r="AD120" t="s">
        <v>2077</v>
      </c>
      <c r="AE120" t="s">
        <v>2078</v>
      </c>
      <c r="AF120" t="s">
        <v>74</v>
      </c>
      <c r="AG120">
        <v>0</v>
      </c>
      <c r="AH120">
        <v>0</v>
      </c>
      <c r="AI120">
        <v>0</v>
      </c>
      <c r="AJ120">
        <v>0</v>
      </c>
      <c r="AK120">
        <v>0</v>
      </c>
      <c r="AL120" t="s">
        <v>649</v>
      </c>
      <c r="AM120" t="s">
        <v>486</v>
      </c>
      <c r="AN120" t="s">
        <v>650</v>
      </c>
      <c r="AO120" t="s">
        <v>651</v>
      </c>
      <c r="AP120" t="s">
        <v>652</v>
      </c>
      <c r="AQ120" t="s">
        <v>74</v>
      </c>
      <c r="AR120" t="s">
        <v>653</v>
      </c>
      <c r="AS120" t="s">
        <v>654</v>
      </c>
      <c r="AT120" t="s">
        <v>960</v>
      </c>
      <c r="AU120">
        <v>2023</v>
      </c>
      <c r="AV120">
        <v>207</v>
      </c>
      <c r="AW120" t="s">
        <v>74</v>
      </c>
      <c r="AX120" t="s">
        <v>74</v>
      </c>
      <c r="AY120" t="s">
        <v>998</v>
      </c>
      <c r="AZ120" t="s">
        <v>74</v>
      </c>
      <c r="BA120" t="s">
        <v>2079</v>
      </c>
      <c r="BB120" t="s">
        <v>74</v>
      </c>
      <c r="BC120" t="s">
        <v>74</v>
      </c>
      <c r="BD120" t="s">
        <v>74</v>
      </c>
      <c r="BE120" t="s">
        <v>74</v>
      </c>
      <c r="BF120" t="s">
        <v>74</v>
      </c>
      <c r="BG120" t="s">
        <v>74</v>
      </c>
      <c r="BH120" t="s">
        <v>74</v>
      </c>
      <c r="BI120">
        <v>2</v>
      </c>
      <c r="BJ120" t="s">
        <v>341</v>
      </c>
      <c r="BK120" t="s">
        <v>512</v>
      </c>
      <c r="BL120" t="s">
        <v>342</v>
      </c>
      <c r="BM120" t="s">
        <v>2014</v>
      </c>
      <c r="BN120" t="s">
        <v>74</v>
      </c>
      <c r="BO120" t="s">
        <v>74</v>
      </c>
      <c r="BP120" t="s">
        <v>74</v>
      </c>
      <c r="BQ120" t="s">
        <v>74</v>
      </c>
      <c r="BR120" t="s">
        <v>104</v>
      </c>
      <c r="BS120" t="s">
        <v>2080</v>
      </c>
      <c r="BT120" t="str">
        <f>HYPERLINK("https%3A%2F%2Fwww.webofscience.com%2Fwos%2Fwoscc%2Ffull-record%2FWOS:000995814705446","View Full Record in Web of Science")</f>
        <v>View Full Record in Web of Science</v>
      </c>
    </row>
    <row r="121" spans="1:72" x14ac:dyDescent="0.25">
      <c r="A121" t="s">
        <v>72</v>
      </c>
      <c r="B121" t="s">
        <v>2081</v>
      </c>
      <c r="C121" t="s">
        <v>74</v>
      </c>
      <c r="D121" t="s">
        <v>74</v>
      </c>
      <c r="E121" t="s">
        <v>74</v>
      </c>
      <c r="F121" t="s">
        <v>2082</v>
      </c>
      <c r="G121" t="s">
        <v>74</v>
      </c>
      <c r="H121" t="s">
        <v>74</v>
      </c>
      <c r="I121" t="s">
        <v>2083</v>
      </c>
      <c r="J121" t="s">
        <v>2084</v>
      </c>
      <c r="K121" t="s">
        <v>74</v>
      </c>
      <c r="L121" t="s">
        <v>74</v>
      </c>
      <c r="M121" t="s">
        <v>78</v>
      </c>
      <c r="N121" t="s">
        <v>79</v>
      </c>
      <c r="O121" t="s">
        <v>74</v>
      </c>
      <c r="P121" t="s">
        <v>74</v>
      </c>
      <c r="Q121" t="s">
        <v>74</v>
      </c>
      <c r="R121" t="s">
        <v>74</v>
      </c>
      <c r="S121" t="s">
        <v>74</v>
      </c>
      <c r="T121" t="s">
        <v>2085</v>
      </c>
      <c r="U121" t="s">
        <v>2086</v>
      </c>
      <c r="V121" t="s">
        <v>2087</v>
      </c>
      <c r="W121" t="s">
        <v>2088</v>
      </c>
      <c r="X121" t="s">
        <v>2089</v>
      </c>
      <c r="Y121" t="s">
        <v>2090</v>
      </c>
      <c r="Z121" t="s">
        <v>971</v>
      </c>
      <c r="AA121" t="s">
        <v>2091</v>
      </c>
      <c r="AB121" t="s">
        <v>257</v>
      </c>
      <c r="AC121" t="s">
        <v>74</v>
      </c>
      <c r="AD121" t="s">
        <v>74</v>
      </c>
      <c r="AE121" t="s">
        <v>74</v>
      </c>
      <c r="AF121" t="s">
        <v>74</v>
      </c>
      <c r="AG121">
        <v>36</v>
      </c>
      <c r="AH121">
        <v>3</v>
      </c>
      <c r="AI121">
        <v>4</v>
      </c>
      <c r="AJ121">
        <v>2</v>
      </c>
      <c r="AK121">
        <v>6</v>
      </c>
      <c r="AL121" t="s">
        <v>2092</v>
      </c>
      <c r="AM121" t="s">
        <v>571</v>
      </c>
      <c r="AN121" t="s">
        <v>2093</v>
      </c>
      <c r="AO121" t="s">
        <v>74</v>
      </c>
      <c r="AP121" t="s">
        <v>2094</v>
      </c>
      <c r="AQ121" t="s">
        <v>74</v>
      </c>
      <c r="AR121" t="s">
        <v>2095</v>
      </c>
      <c r="AS121" t="s">
        <v>2096</v>
      </c>
      <c r="AT121" t="s">
        <v>2097</v>
      </c>
      <c r="AU121">
        <v>2023</v>
      </c>
      <c r="AV121">
        <v>76</v>
      </c>
      <c r="AW121">
        <v>5</v>
      </c>
      <c r="AX121" t="s">
        <v>74</v>
      </c>
      <c r="AY121" t="s">
        <v>74</v>
      </c>
      <c r="AZ121" t="s">
        <v>74</v>
      </c>
      <c r="BA121" t="s">
        <v>74</v>
      </c>
      <c r="BB121">
        <v>333</v>
      </c>
      <c r="BC121">
        <v>343</v>
      </c>
      <c r="BD121" t="s">
        <v>74</v>
      </c>
      <c r="BE121" t="s">
        <v>2098</v>
      </c>
      <c r="BF121" t="str">
        <f>HYPERLINK("http://dx.doi.org/10.1016/j.recesp.2022.07.012","http://dx.doi.org/10.1016/j.recesp.2022.07.012")</f>
        <v>http://dx.doi.org/10.1016/j.recesp.2022.07.012</v>
      </c>
      <c r="BG121" t="s">
        <v>74</v>
      </c>
      <c r="BH121" t="s">
        <v>2099</v>
      </c>
      <c r="BI121">
        <v>11</v>
      </c>
      <c r="BJ121" t="s">
        <v>132</v>
      </c>
      <c r="BK121" t="s">
        <v>101</v>
      </c>
      <c r="BL121" t="s">
        <v>133</v>
      </c>
      <c r="BM121" t="s">
        <v>2100</v>
      </c>
      <c r="BN121">
        <v>35940550</v>
      </c>
      <c r="BO121" t="s">
        <v>1194</v>
      </c>
      <c r="BP121" t="s">
        <v>74</v>
      </c>
      <c r="BQ121" t="s">
        <v>74</v>
      </c>
      <c r="BR121" t="s">
        <v>104</v>
      </c>
      <c r="BS121" t="s">
        <v>2101</v>
      </c>
      <c r="BT121" t="str">
        <f>HYPERLINK("https%3A%2F%2Fwww.webofscience.com%2Fwos%2Fwoscc%2Ffull-record%2FWOS:001042439400001","View Full Record in Web of Science")</f>
        <v>View Full Record in Web of Science</v>
      </c>
    </row>
    <row r="122" spans="1:72" x14ac:dyDescent="0.25">
      <c r="A122" t="s">
        <v>72</v>
      </c>
      <c r="B122" t="s">
        <v>2102</v>
      </c>
      <c r="C122" t="s">
        <v>74</v>
      </c>
      <c r="D122" t="s">
        <v>74</v>
      </c>
      <c r="E122" t="s">
        <v>74</v>
      </c>
      <c r="F122" t="s">
        <v>2103</v>
      </c>
      <c r="G122" t="s">
        <v>74</v>
      </c>
      <c r="H122" t="s">
        <v>74</v>
      </c>
      <c r="I122" t="s">
        <v>2104</v>
      </c>
      <c r="J122" t="s">
        <v>2105</v>
      </c>
      <c r="K122" t="s">
        <v>74</v>
      </c>
      <c r="L122" t="s">
        <v>74</v>
      </c>
      <c r="M122" t="s">
        <v>1349</v>
      </c>
      <c r="N122" t="s">
        <v>79</v>
      </c>
      <c r="O122" t="s">
        <v>74</v>
      </c>
      <c r="P122" t="s">
        <v>74</v>
      </c>
      <c r="Q122" t="s">
        <v>74</v>
      </c>
      <c r="R122" t="s">
        <v>74</v>
      </c>
      <c r="S122" t="s">
        <v>74</v>
      </c>
      <c r="T122" t="s">
        <v>74</v>
      </c>
      <c r="U122" t="s">
        <v>2106</v>
      </c>
      <c r="V122" t="s">
        <v>2107</v>
      </c>
      <c r="W122" t="s">
        <v>2108</v>
      </c>
      <c r="X122" t="s">
        <v>2109</v>
      </c>
      <c r="Y122" t="s">
        <v>2110</v>
      </c>
      <c r="Z122" t="s">
        <v>2111</v>
      </c>
      <c r="AA122" t="s">
        <v>2112</v>
      </c>
      <c r="AB122" t="s">
        <v>257</v>
      </c>
      <c r="AC122" t="s">
        <v>74</v>
      </c>
      <c r="AD122" t="s">
        <v>74</v>
      </c>
      <c r="AE122" t="s">
        <v>74</v>
      </c>
      <c r="AF122" t="s">
        <v>74</v>
      </c>
      <c r="AG122">
        <v>47</v>
      </c>
      <c r="AH122">
        <v>2</v>
      </c>
      <c r="AI122">
        <v>2</v>
      </c>
      <c r="AJ122">
        <v>0</v>
      </c>
      <c r="AK122">
        <v>0</v>
      </c>
      <c r="AL122" t="s">
        <v>2113</v>
      </c>
      <c r="AM122" t="s">
        <v>2114</v>
      </c>
      <c r="AN122" t="s">
        <v>2115</v>
      </c>
      <c r="AO122" t="s">
        <v>2116</v>
      </c>
      <c r="AP122" t="s">
        <v>2117</v>
      </c>
      <c r="AQ122" t="s">
        <v>74</v>
      </c>
      <c r="AR122" t="s">
        <v>2118</v>
      </c>
      <c r="AS122" t="s">
        <v>2119</v>
      </c>
      <c r="AT122" t="s">
        <v>2120</v>
      </c>
      <c r="AU122">
        <v>2023</v>
      </c>
      <c r="AV122">
        <v>39</v>
      </c>
      <c r="AW122">
        <v>4</v>
      </c>
      <c r="AX122" t="s">
        <v>74</v>
      </c>
      <c r="AY122" t="s">
        <v>74</v>
      </c>
      <c r="AZ122" t="s">
        <v>74</v>
      </c>
      <c r="BA122" t="s">
        <v>74</v>
      </c>
      <c r="BB122">
        <v>359</v>
      </c>
      <c r="BC122">
        <v>369</v>
      </c>
      <c r="BD122" t="s">
        <v>74</v>
      </c>
      <c r="BE122" t="s">
        <v>2121</v>
      </c>
      <c r="BF122" t="str">
        <f>HYPERLINK("http://dx.doi.org/10.1051/medsci/2023053","http://dx.doi.org/10.1051/medsci/2023053")</f>
        <v>http://dx.doi.org/10.1051/medsci/2023053</v>
      </c>
      <c r="BG122" t="s">
        <v>74</v>
      </c>
      <c r="BH122" t="s">
        <v>74</v>
      </c>
      <c r="BI122">
        <v>11</v>
      </c>
      <c r="BJ122" t="s">
        <v>2122</v>
      </c>
      <c r="BK122" t="s">
        <v>101</v>
      </c>
      <c r="BL122" t="s">
        <v>2123</v>
      </c>
      <c r="BM122" t="s">
        <v>2124</v>
      </c>
      <c r="BN122">
        <v>37094269</v>
      </c>
      <c r="BO122" t="s">
        <v>2125</v>
      </c>
      <c r="BP122" t="s">
        <v>74</v>
      </c>
      <c r="BQ122" t="s">
        <v>74</v>
      </c>
      <c r="BR122" t="s">
        <v>104</v>
      </c>
      <c r="BS122" t="s">
        <v>2126</v>
      </c>
      <c r="BT122" t="str">
        <f>HYPERLINK("https%3A%2F%2Fwww.webofscience.com%2Fwos%2Fwoscc%2Ffull-record%2FWOS:000982924400012","View Full Record in Web of Science")</f>
        <v>View Full Record in Web of Science</v>
      </c>
    </row>
    <row r="123" spans="1:72" x14ac:dyDescent="0.25">
      <c r="A123" t="s">
        <v>72</v>
      </c>
      <c r="B123" t="s">
        <v>2127</v>
      </c>
      <c r="C123" t="s">
        <v>74</v>
      </c>
      <c r="D123" t="s">
        <v>74</v>
      </c>
      <c r="E123" t="s">
        <v>74</v>
      </c>
      <c r="F123" t="s">
        <v>2128</v>
      </c>
      <c r="G123" t="s">
        <v>74</v>
      </c>
      <c r="H123" t="s">
        <v>74</v>
      </c>
      <c r="I123" t="s">
        <v>2129</v>
      </c>
      <c r="J123" t="s">
        <v>2130</v>
      </c>
      <c r="K123" t="s">
        <v>74</v>
      </c>
      <c r="L123" t="s">
        <v>74</v>
      </c>
      <c r="M123" t="s">
        <v>78</v>
      </c>
      <c r="N123" t="s">
        <v>79</v>
      </c>
      <c r="O123" t="s">
        <v>74</v>
      </c>
      <c r="P123" t="s">
        <v>74</v>
      </c>
      <c r="Q123" t="s">
        <v>74</v>
      </c>
      <c r="R123" t="s">
        <v>74</v>
      </c>
      <c r="S123" t="s">
        <v>74</v>
      </c>
      <c r="T123" t="s">
        <v>2131</v>
      </c>
      <c r="U123" t="s">
        <v>74</v>
      </c>
      <c r="V123" t="s">
        <v>2132</v>
      </c>
      <c r="W123" t="s">
        <v>2133</v>
      </c>
      <c r="X123" t="s">
        <v>2134</v>
      </c>
      <c r="Y123" t="s">
        <v>2135</v>
      </c>
      <c r="Z123" t="s">
        <v>2136</v>
      </c>
      <c r="AA123" t="s">
        <v>2137</v>
      </c>
      <c r="AB123" t="s">
        <v>2138</v>
      </c>
      <c r="AC123" t="s">
        <v>74</v>
      </c>
      <c r="AD123" t="s">
        <v>74</v>
      </c>
      <c r="AE123" t="s">
        <v>74</v>
      </c>
      <c r="AF123" t="s">
        <v>74</v>
      </c>
      <c r="AG123">
        <v>20</v>
      </c>
      <c r="AH123">
        <v>13</v>
      </c>
      <c r="AI123">
        <v>13</v>
      </c>
      <c r="AJ123">
        <v>3</v>
      </c>
      <c r="AK123">
        <v>4</v>
      </c>
      <c r="AL123" t="s">
        <v>169</v>
      </c>
      <c r="AM123" t="s">
        <v>170</v>
      </c>
      <c r="AN123" t="s">
        <v>171</v>
      </c>
      <c r="AO123" t="s">
        <v>2139</v>
      </c>
      <c r="AP123" t="s">
        <v>2140</v>
      </c>
      <c r="AQ123" t="s">
        <v>74</v>
      </c>
      <c r="AR123" t="s">
        <v>2141</v>
      </c>
      <c r="AS123" t="s">
        <v>2142</v>
      </c>
      <c r="AT123" t="s">
        <v>997</v>
      </c>
      <c r="AU123">
        <v>2023</v>
      </c>
      <c r="AV123">
        <v>25</v>
      </c>
      <c r="AW123">
        <v>4</v>
      </c>
      <c r="AX123" t="s">
        <v>74</v>
      </c>
      <c r="AY123" t="s">
        <v>74</v>
      </c>
      <c r="AZ123" t="s">
        <v>74</v>
      </c>
      <c r="BA123" t="s">
        <v>74</v>
      </c>
      <c r="BB123">
        <v>469</v>
      </c>
      <c r="BC123">
        <v>477</v>
      </c>
      <c r="BD123" t="s">
        <v>74</v>
      </c>
      <c r="BE123" t="s">
        <v>2143</v>
      </c>
      <c r="BF123" t="str">
        <f>HYPERLINK("http://dx.doi.org/10.1002/ejhf.2830","http://dx.doi.org/10.1002/ejhf.2830")</f>
        <v>http://dx.doi.org/10.1002/ejhf.2830</v>
      </c>
      <c r="BG123" t="s">
        <v>74</v>
      </c>
      <c r="BH123" t="s">
        <v>2099</v>
      </c>
      <c r="BI123">
        <v>9</v>
      </c>
      <c r="BJ123" t="s">
        <v>132</v>
      </c>
      <c r="BK123" t="s">
        <v>101</v>
      </c>
      <c r="BL123" t="s">
        <v>133</v>
      </c>
      <c r="BM123" t="s">
        <v>2144</v>
      </c>
      <c r="BN123">
        <v>36924171</v>
      </c>
      <c r="BO123" t="s">
        <v>161</v>
      </c>
      <c r="BP123" t="s">
        <v>74</v>
      </c>
      <c r="BQ123" t="s">
        <v>74</v>
      </c>
      <c r="BR123" t="s">
        <v>104</v>
      </c>
      <c r="BS123" t="s">
        <v>2145</v>
      </c>
      <c r="BT123" t="str">
        <f>HYPERLINK("https%3A%2F%2Fwww.webofscience.com%2Fwos%2Fwoscc%2Ffull-record%2FWOS:000989556800001","View Full Record in Web of Science")</f>
        <v>View Full Record in Web of Science</v>
      </c>
    </row>
    <row r="124" spans="1:72" x14ac:dyDescent="0.25">
      <c r="A124" t="s">
        <v>72</v>
      </c>
      <c r="B124" t="s">
        <v>2146</v>
      </c>
      <c r="C124" t="s">
        <v>74</v>
      </c>
      <c r="D124" t="s">
        <v>74</v>
      </c>
      <c r="E124" t="s">
        <v>74</v>
      </c>
      <c r="F124" t="s">
        <v>2147</v>
      </c>
      <c r="G124" t="s">
        <v>74</v>
      </c>
      <c r="H124" t="s">
        <v>74</v>
      </c>
      <c r="I124" t="s">
        <v>2148</v>
      </c>
      <c r="J124" t="s">
        <v>749</v>
      </c>
      <c r="K124" t="s">
        <v>74</v>
      </c>
      <c r="L124" t="s">
        <v>74</v>
      </c>
      <c r="M124" t="s">
        <v>78</v>
      </c>
      <c r="N124" t="s">
        <v>79</v>
      </c>
      <c r="O124" t="s">
        <v>74</v>
      </c>
      <c r="P124" t="s">
        <v>74</v>
      </c>
      <c r="Q124" t="s">
        <v>74</v>
      </c>
      <c r="R124" t="s">
        <v>74</v>
      </c>
      <c r="S124" t="s">
        <v>74</v>
      </c>
      <c r="T124" t="s">
        <v>2149</v>
      </c>
      <c r="U124" t="s">
        <v>2150</v>
      </c>
      <c r="V124" t="s">
        <v>2151</v>
      </c>
      <c r="W124" t="s">
        <v>2152</v>
      </c>
      <c r="X124" t="s">
        <v>2153</v>
      </c>
      <c r="Y124" t="s">
        <v>2154</v>
      </c>
      <c r="Z124" t="s">
        <v>2155</v>
      </c>
      <c r="AA124" t="s">
        <v>2156</v>
      </c>
      <c r="AB124" t="s">
        <v>2157</v>
      </c>
      <c r="AC124" t="s">
        <v>2158</v>
      </c>
      <c r="AD124" t="s">
        <v>2159</v>
      </c>
      <c r="AE124" t="s">
        <v>2160</v>
      </c>
      <c r="AF124" t="s">
        <v>74</v>
      </c>
      <c r="AG124">
        <v>25</v>
      </c>
      <c r="AH124">
        <v>6</v>
      </c>
      <c r="AI124">
        <v>6</v>
      </c>
      <c r="AJ124">
        <v>1</v>
      </c>
      <c r="AK124">
        <v>3</v>
      </c>
      <c r="AL124" t="s">
        <v>169</v>
      </c>
      <c r="AM124" t="s">
        <v>170</v>
      </c>
      <c r="AN124" t="s">
        <v>171</v>
      </c>
      <c r="AO124" t="s">
        <v>74</v>
      </c>
      <c r="AP124" t="s">
        <v>762</v>
      </c>
      <c r="AQ124" t="s">
        <v>74</v>
      </c>
      <c r="AR124" t="s">
        <v>763</v>
      </c>
      <c r="AS124" t="s">
        <v>764</v>
      </c>
      <c r="AT124" t="s">
        <v>2161</v>
      </c>
      <c r="AU124">
        <v>2023</v>
      </c>
      <c r="AV124">
        <v>12</v>
      </c>
      <c r="AW124">
        <v>7</v>
      </c>
      <c r="AX124" t="s">
        <v>74</v>
      </c>
      <c r="AY124" t="s">
        <v>74</v>
      </c>
      <c r="AZ124" t="s">
        <v>74</v>
      </c>
      <c r="BA124" t="s">
        <v>74</v>
      </c>
      <c r="BB124" t="s">
        <v>74</v>
      </c>
      <c r="BC124" t="s">
        <v>74</v>
      </c>
      <c r="BD124" t="s">
        <v>2162</v>
      </c>
      <c r="BE124" t="s">
        <v>2163</v>
      </c>
      <c r="BF124" t="str">
        <f>HYPERLINK("http://dx.doi.org/10.1161/JAHA.122.029085","http://dx.doi.org/10.1161/JAHA.122.029085")</f>
        <v>http://dx.doi.org/10.1161/JAHA.122.029085</v>
      </c>
      <c r="BG124" t="s">
        <v>74</v>
      </c>
      <c r="BH124" t="s">
        <v>74</v>
      </c>
      <c r="BI124">
        <v>20</v>
      </c>
      <c r="BJ124" t="s">
        <v>132</v>
      </c>
      <c r="BK124" t="s">
        <v>101</v>
      </c>
      <c r="BL124" t="s">
        <v>133</v>
      </c>
      <c r="BM124" t="s">
        <v>2164</v>
      </c>
      <c r="BN124">
        <v>36974756</v>
      </c>
      <c r="BO124" t="s">
        <v>809</v>
      </c>
      <c r="BP124" t="s">
        <v>74</v>
      </c>
      <c r="BQ124" t="s">
        <v>74</v>
      </c>
      <c r="BR124" t="s">
        <v>104</v>
      </c>
      <c r="BS124" t="s">
        <v>2165</v>
      </c>
      <c r="BT124" t="str">
        <f>HYPERLINK("https%3A%2F%2Fwww.webofscience.com%2Fwos%2Fwoscc%2Ffull-record%2FWOS:000993917800016","View Full Record in Web of Science")</f>
        <v>View Full Record in Web of Science</v>
      </c>
    </row>
    <row r="125" spans="1:72" x14ac:dyDescent="0.25">
      <c r="A125" t="s">
        <v>72</v>
      </c>
      <c r="B125" t="s">
        <v>2166</v>
      </c>
      <c r="C125" t="s">
        <v>74</v>
      </c>
      <c r="D125" t="s">
        <v>74</v>
      </c>
      <c r="E125" t="s">
        <v>74</v>
      </c>
      <c r="F125" t="s">
        <v>2167</v>
      </c>
      <c r="G125" t="s">
        <v>74</v>
      </c>
      <c r="H125" t="s">
        <v>74</v>
      </c>
      <c r="I125" t="s">
        <v>2168</v>
      </c>
      <c r="J125" t="s">
        <v>435</v>
      </c>
      <c r="K125" t="s">
        <v>74</v>
      </c>
      <c r="L125" t="s">
        <v>74</v>
      </c>
      <c r="M125" t="s">
        <v>78</v>
      </c>
      <c r="N125" t="s">
        <v>217</v>
      </c>
      <c r="O125" t="s">
        <v>74</v>
      </c>
      <c r="P125" t="s">
        <v>74</v>
      </c>
      <c r="Q125" t="s">
        <v>74</v>
      </c>
      <c r="R125" t="s">
        <v>74</v>
      </c>
      <c r="S125" t="s">
        <v>74</v>
      </c>
      <c r="T125" t="s">
        <v>74</v>
      </c>
      <c r="U125" t="s">
        <v>74</v>
      </c>
      <c r="V125" t="s">
        <v>74</v>
      </c>
      <c r="W125" t="s">
        <v>74</v>
      </c>
      <c r="X125" t="s">
        <v>74</v>
      </c>
      <c r="Y125" t="s">
        <v>74</v>
      </c>
      <c r="Z125" t="s">
        <v>74</v>
      </c>
      <c r="AA125" t="s">
        <v>2169</v>
      </c>
      <c r="AB125" t="s">
        <v>257</v>
      </c>
      <c r="AC125" t="s">
        <v>74</v>
      </c>
      <c r="AD125" t="s">
        <v>74</v>
      </c>
      <c r="AE125" t="s">
        <v>74</v>
      </c>
      <c r="AF125" t="s">
        <v>74</v>
      </c>
      <c r="AG125">
        <v>1</v>
      </c>
      <c r="AH125">
        <v>0</v>
      </c>
      <c r="AI125">
        <v>0</v>
      </c>
      <c r="AJ125">
        <v>0</v>
      </c>
      <c r="AK125">
        <v>0</v>
      </c>
      <c r="AL125" t="s">
        <v>169</v>
      </c>
      <c r="AM125" t="s">
        <v>170</v>
      </c>
      <c r="AN125" t="s">
        <v>171</v>
      </c>
      <c r="AO125" t="s">
        <v>448</v>
      </c>
      <c r="AP125" t="s">
        <v>449</v>
      </c>
      <c r="AQ125" t="s">
        <v>74</v>
      </c>
      <c r="AR125" t="s">
        <v>450</v>
      </c>
      <c r="AS125" t="s">
        <v>451</v>
      </c>
      <c r="AT125" t="s">
        <v>997</v>
      </c>
      <c r="AU125">
        <v>2023</v>
      </c>
      <c r="AV125">
        <v>13</v>
      </c>
      <c r="AW125">
        <v>2</v>
      </c>
      <c r="AX125" t="s">
        <v>74</v>
      </c>
      <c r="AY125" t="s">
        <v>74</v>
      </c>
      <c r="AZ125" t="s">
        <v>74</v>
      </c>
      <c r="BA125" t="s">
        <v>74</v>
      </c>
      <c r="BB125" t="s">
        <v>74</v>
      </c>
      <c r="BC125" t="s">
        <v>74</v>
      </c>
      <c r="BD125" t="s">
        <v>2170</v>
      </c>
      <c r="BE125" t="s">
        <v>2171</v>
      </c>
      <c r="BF125" t="str">
        <f>HYPERLINK("http://dx.doi.org/10.1002/pul2.12250","http://dx.doi.org/10.1002/pul2.12250")</f>
        <v>http://dx.doi.org/10.1002/pul2.12250</v>
      </c>
      <c r="BG125" t="s">
        <v>74</v>
      </c>
      <c r="BH125" t="s">
        <v>74</v>
      </c>
      <c r="BI125">
        <v>2</v>
      </c>
      <c r="BJ125" t="s">
        <v>209</v>
      </c>
      <c r="BK125" t="s">
        <v>101</v>
      </c>
      <c r="BL125" t="s">
        <v>210</v>
      </c>
      <c r="BM125" t="s">
        <v>2172</v>
      </c>
      <c r="BN125" t="s">
        <v>74</v>
      </c>
      <c r="BO125" t="s">
        <v>809</v>
      </c>
      <c r="BP125" t="s">
        <v>74</v>
      </c>
      <c r="BQ125" t="s">
        <v>74</v>
      </c>
      <c r="BR125" t="s">
        <v>104</v>
      </c>
      <c r="BS125" t="s">
        <v>2173</v>
      </c>
      <c r="BT125" t="str">
        <f>HYPERLINK("https%3A%2F%2Fwww.webofscience.com%2Fwos%2Fwoscc%2Ffull-record%2FWOS:001017671400001","View Full Record in Web of Science")</f>
        <v>View Full Record in Web of Science</v>
      </c>
    </row>
    <row r="126" spans="1:72" x14ac:dyDescent="0.25">
      <c r="A126" t="s">
        <v>72</v>
      </c>
      <c r="B126" t="s">
        <v>2174</v>
      </c>
      <c r="C126" t="s">
        <v>74</v>
      </c>
      <c r="D126" t="s">
        <v>74</v>
      </c>
      <c r="E126" t="s">
        <v>74</v>
      </c>
      <c r="F126" t="s">
        <v>2175</v>
      </c>
      <c r="G126" t="s">
        <v>74</v>
      </c>
      <c r="H126" t="s">
        <v>2176</v>
      </c>
      <c r="I126" t="s">
        <v>2177</v>
      </c>
      <c r="J126" t="s">
        <v>2178</v>
      </c>
      <c r="K126" t="s">
        <v>74</v>
      </c>
      <c r="L126" t="s">
        <v>74</v>
      </c>
      <c r="M126" t="s">
        <v>2179</v>
      </c>
      <c r="N126" t="s">
        <v>79</v>
      </c>
      <c r="O126" t="s">
        <v>74</v>
      </c>
      <c r="P126" t="s">
        <v>74</v>
      </c>
      <c r="Q126" t="s">
        <v>74</v>
      </c>
      <c r="R126" t="s">
        <v>74</v>
      </c>
      <c r="S126" t="s">
        <v>74</v>
      </c>
      <c r="T126" t="s">
        <v>74</v>
      </c>
      <c r="U126" t="s">
        <v>2180</v>
      </c>
      <c r="V126" t="s">
        <v>74</v>
      </c>
      <c r="W126" t="s">
        <v>74</v>
      </c>
      <c r="X126" t="s">
        <v>74</v>
      </c>
      <c r="Y126" t="s">
        <v>74</v>
      </c>
      <c r="Z126" t="s">
        <v>74</v>
      </c>
      <c r="AA126" t="s">
        <v>2181</v>
      </c>
      <c r="AB126" t="s">
        <v>2182</v>
      </c>
      <c r="AC126" t="s">
        <v>74</v>
      </c>
      <c r="AD126" t="s">
        <v>74</v>
      </c>
      <c r="AE126" t="s">
        <v>74</v>
      </c>
      <c r="AF126" t="s">
        <v>74</v>
      </c>
      <c r="AG126">
        <v>855</v>
      </c>
      <c r="AH126">
        <v>12</v>
      </c>
      <c r="AI126">
        <v>12</v>
      </c>
      <c r="AJ126">
        <v>4</v>
      </c>
      <c r="AK126">
        <v>23</v>
      </c>
      <c r="AL126" t="s">
        <v>2183</v>
      </c>
      <c r="AM126" t="s">
        <v>2184</v>
      </c>
      <c r="AN126" t="s">
        <v>2185</v>
      </c>
      <c r="AO126" t="s">
        <v>2186</v>
      </c>
      <c r="AP126" t="s">
        <v>2187</v>
      </c>
      <c r="AQ126" t="s">
        <v>74</v>
      </c>
      <c r="AR126" t="s">
        <v>2188</v>
      </c>
      <c r="AS126" t="s">
        <v>2189</v>
      </c>
      <c r="AT126" t="s">
        <v>997</v>
      </c>
      <c r="AU126">
        <v>2023</v>
      </c>
      <c r="AV126">
        <v>24</v>
      </c>
      <c r="AW126">
        <v>4</v>
      </c>
      <c r="AX126" t="s">
        <v>74</v>
      </c>
      <c r="AY126">
        <v>1</v>
      </c>
      <c r="AZ126" t="s">
        <v>74</v>
      </c>
      <c r="BA126" t="s">
        <v>74</v>
      </c>
      <c r="BB126" t="s">
        <v>2190</v>
      </c>
      <c r="BC126" t="s">
        <v>2191</v>
      </c>
      <c r="BD126" t="s">
        <v>74</v>
      </c>
      <c r="BE126" t="s">
        <v>74</v>
      </c>
      <c r="BF126" t="s">
        <v>74</v>
      </c>
      <c r="BG126" t="s">
        <v>74</v>
      </c>
      <c r="BH126" t="s">
        <v>74</v>
      </c>
      <c r="BI126">
        <v>116</v>
      </c>
      <c r="BJ126" t="s">
        <v>132</v>
      </c>
      <c r="BK126" t="s">
        <v>2192</v>
      </c>
      <c r="BL126" t="s">
        <v>133</v>
      </c>
      <c r="BM126" t="s">
        <v>2193</v>
      </c>
      <c r="BN126">
        <v>36995376</v>
      </c>
      <c r="BO126" t="s">
        <v>74</v>
      </c>
      <c r="BP126" t="s">
        <v>74</v>
      </c>
      <c r="BQ126" t="s">
        <v>74</v>
      </c>
      <c r="BR126" t="s">
        <v>104</v>
      </c>
      <c r="BS126" t="s">
        <v>2194</v>
      </c>
      <c r="BT126" t="str">
        <f>HYPERLINK("https%3A%2F%2Fwww.webofscience.com%2Fwos%2Fwoscc%2Ffull-record%2FWOS:001057899300001","View Full Record in Web of Science")</f>
        <v>View Full Record in Web of Science</v>
      </c>
    </row>
    <row r="127" spans="1:72" x14ac:dyDescent="0.25">
      <c r="A127" t="s">
        <v>72</v>
      </c>
      <c r="B127" t="s">
        <v>2195</v>
      </c>
      <c r="C127" t="s">
        <v>74</v>
      </c>
      <c r="D127" t="s">
        <v>74</v>
      </c>
      <c r="E127" t="s">
        <v>74</v>
      </c>
      <c r="F127" t="s">
        <v>2196</v>
      </c>
      <c r="G127" t="s">
        <v>74</v>
      </c>
      <c r="H127" t="s">
        <v>74</v>
      </c>
      <c r="I127" t="s">
        <v>2197</v>
      </c>
      <c r="J127" t="s">
        <v>983</v>
      </c>
      <c r="K127" t="s">
        <v>74</v>
      </c>
      <c r="L127" t="s">
        <v>74</v>
      </c>
      <c r="M127" t="s">
        <v>78</v>
      </c>
      <c r="N127" t="s">
        <v>52</v>
      </c>
      <c r="O127" t="s">
        <v>2198</v>
      </c>
      <c r="P127" t="s">
        <v>2199</v>
      </c>
      <c r="Q127" t="s">
        <v>2200</v>
      </c>
      <c r="R127" t="s">
        <v>74</v>
      </c>
      <c r="S127" t="s">
        <v>74</v>
      </c>
      <c r="T127" t="s">
        <v>74</v>
      </c>
      <c r="U127" t="s">
        <v>74</v>
      </c>
      <c r="V127" t="s">
        <v>74</v>
      </c>
      <c r="W127" t="s">
        <v>2201</v>
      </c>
      <c r="X127" t="s">
        <v>2202</v>
      </c>
      <c r="Y127" t="s">
        <v>74</v>
      </c>
      <c r="Z127" t="s">
        <v>74</v>
      </c>
      <c r="AA127" t="s">
        <v>2203</v>
      </c>
      <c r="AB127" t="s">
        <v>257</v>
      </c>
      <c r="AC127" t="s">
        <v>74</v>
      </c>
      <c r="AD127" t="s">
        <v>74</v>
      </c>
      <c r="AE127" t="s">
        <v>74</v>
      </c>
      <c r="AF127" t="s">
        <v>74</v>
      </c>
      <c r="AG127">
        <v>0</v>
      </c>
      <c r="AH127">
        <v>0</v>
      </c>
      <c r="AI127">
        <v>0</v>
      </c>
      <c r="AJ127">
        <v>0</v>
      </c>
      <c r="AK127">
        <v>0</v>
      </c>
      <c r="AL127" t="s">
        <v>991</v>
      </c>
      <c r="AM127" t="s">
        <v>486</v>
      </c>
      <c r="AN127" t="s">
        <v>992</v>
      </c>
      <c r="AO127" t="s">
        <v>993</v>
      </c>
      <c r="AP127" t="s">
        <v>994</v>
      </c>
      <c r="AQ127" t="s">
        <v>74</v>
      </c>
      <c r="AR127" t="s">
        <v>995</v>
      </c>
      <c r="AS127" t="s">
        <v>996</v>
      </c>
      <c r="AT127" t="s">
        <v>997</v>
      </c>
      <c r="AU127">
        <v>2023</v>
      </c>
      <c r="AV127">
        <v>42</v>
      </c>
      <c r="AW127">
        <v>4</v>
      </c>
      <c r="AX127" t="s">
        <v>74</v>
      </c>
      <c r="AY127" t="s">
        <v>998</v>
      </c>
      <c r="AZ127" t="s">
        <v>74</v>
      </c>
      <c r="BA127">
        <v>1</v>
      </c>
      <c r="BB127" t="s">
        <v>2204</v>
      </c>
      <c r="BC127" t="s">
        <v>2204</v>
      </c>
      <c r="BD127" t="s">
        <v>74</v>
      </c>
      <c r="BE127" t="s">
        <v>74</v>
      </c>
      <c r="BF127" t="s">
        <v>74</v>
      </c>
      <c r="BG127" t="s">
        <v>74</v>
      </c>
      <c r="BH127" t="s">
        <v>74</v>
      </c>
      <c r="BI127">
        <v>1</v>
      </c>
      <c r="BJ127" t="s">
        <v>1000</v>
      </c>
      <c r="BK127" t="s">
        <v>512</v>
      </c>
      <c r="BL127" t="s">
        <v>1001</v>
      </c>
      <c r="BM127" t="s">
        <v>2205</v>
      </c>
      <c r="BN127" t="s">
        <v>74</v>
      </c>
      <c r="BO127" t="s">
        <v>74</v>
      </c>
      <c r="BP127" t="s">
        <v>74</v>
      </c>
      <c r="BQ127" t="s">
        <v>74</v>
      </c>
      <c r="BR127" t="s">
        <v>104</v>
      </c>
      <c r="BS127" t="s">
        <v>2206</v>
      </c>
      <c r="BT127" t="str">
        <f>HYPERLINK("https%3A%2F%2Fwww.webofscience.com%2Fwos%2Fwoscc%2Ffull-record%2FWOS:000992480600002","View Full Record in Web of Science")</f>
        <v>View Full Record in Web of Science</v>
      </c>
    </row>
    <row r="128" spans="1:72" x14ac:dyDescent="0.25">
      <c r="A128" t="s">
        <v>72</v>
      </c>
      <c r="B128" t="s">
        <v>2207</v>
      </c>
      <c r="C128" t="s">
        <v>74</v>
      </c>
      <c r="D128" t="s">
        <v>74</v>
      </c>
      <c r="E128" t="s">
        <v>74</v>
      </c>
      <c r="F128" t="s">
        <v>2208</v>
      </c>
      <c r="G128" t="s">
        <v>74</v>
      </c>
      <c r="H128" t="s">
        <v>74</v>
      </c>
      <c r="I128" t="s">
        <v>2209</v>
      </c>
      <c r="J128" t="s">
        <v>814</v>
      </c>
      <c r="K128" t="s">
        <v>74</v>
      </c>
      <c r="L128" t="s">
        <v>74</v>
      </c>
      <c r="M128" t="s">
        <v>78</v>
      </c>
      <c r="N128" t="s">
        <v>140</v>
      </c>
      <c r="O128" t="s">
        <v>74</v>
      </c>
      <c r="P128" t="s">
        <v>74</v>
      </c>
      <c r="Q128" t="s">
        <v>74</v>
      </c>
      <c r="R128" t="s">
        <v>74</v>
      </c>
      <c r="S128" t="s">
        <v>74</v>
      </c>
      <c r="T128" t="s">
        <v>74</v>
      </c>
      <c r="U128" t="s">
        <v>74</v>
      </c>
      <c r="V128" t="s">
        <v>74</v>
      </c>
      <c r="W128" t="s">
        <v>2210</v>
      </c>
      <c r="X128" t="s">
        <v>2211</v>
      </c>
      <c r="Y128" t="s">
        <v>2212</v>
      </c>
      <c r="Z128" t="s">
        <v>2213</v>
      </c>
      <c r="AA128" t="s">
        <v>144</v>
      </c>
      <c r="AB128" t="s">
        <v>257</v>
      </c>
      <c r="AC128" t="s">
        <v>74</v>
      </c>
      <c r="AD128" t="s">
        <v>74</v>
      </c>
      <c r="AE128" t="s">
        <v>74</v>
      </c>
      <c r="AF128" t="s">
        <v>74</v>
      </c>
      <c r="AG128">
        <v>16</v>
      </c>
      <c r="AH128">
        <v>0</v>
      </c>
      <c r="AI128">
        <v>0</v>
      </c>
      <c r="AJ128">
        <v>0</v>
      </c>
      <c r="AK128">
        <v>2</v>
      </c>
      <c r="AL128" t="s">
        <v>219</v>
      </c>
      <c r="AM128" t="s">
        <v>220</v>
      </c>
      <c r="AN128" t="s">
        <v>221</v>
      </c>
      <c r="AO128" t="s">
        <v>823</v>
      </c>
      <c r="AP128" t="s">
        <v>824</v>
      </c>
      <c r="AQ128" t="s">
        <v>74</v>
      </c>
      <c r="AR128" t="s">
        <v>825</v>
      </c>
      <c r="AS128" t="s">
        <v>826</v>
      </c>
      <c r="AT128" t="s">
        <v>2214</v>
      </c>
      <c r="AU128">
        <v>2023</v>
      </c>
      <c r="AV128">
        <v>32</v>
      </c>
      <c r="AW128">
        <v>167</v>
      </c>
      <c r="AX128" t="s">
        <v>74</v>
      </c>
      <c r="AY128" t="s">
        <v>74</v>
      </c>
      <c r="AZ128" t="s">
        <v>74</v>
      </c>
      <c r="BA128" t="s">
        <v>74</v>
      </c>
      <c r="BB128" t="s">
        <v>74</v>
      </c>
      <c r="BC128" t="s">
        <v>74</v>
      </c>
      <c r="BD128">
        <v>230006</v>
      </c>
      <c r="BE128" t="s">
        <v>2215</v>
      </c>
      <c r="BF128" t="str">
        <f>HYPERLINK("http://dx.doi.org/10.1183/16000617.0006-2023","http://dx.doi.org/10.1183/16000617.0006-2023")</f>
        <v>http://dx.doi.org/10.1183/16000617.0006-2023</v>
      </c>
      <c r="BG128" t="s">
        <v>74</v>
      </c>
      <c r="BH128" t="s">
        <v>74</v>
      </c>
      <c r="BI128">
        <v>3</v>
      </c>
      <c r="BJ128" t="s">
        <v>228</v>
      </c>
      <c r="BK128" t="s">
        <v>101</v>
      </c>
      <c r="BL128" t="s">
        <v>228</v>
      </c>
      <c r="BM128" t="s">
        <v>2216</v>
      </c>
      <c r="BN128">
        <v>36754435</v>
      </c>
      <c r="BO128" t="s">
        <v>809</v>
      </c>
      <c r="BP128" t="s">
        <v>74</v>
      </c>
      <c r="BQ128" t="s">
        <v>74</v>
      </c>
      <c r="BR128" t="s">
        <v>104</v>
      </c>
      <c r="BS128" t="s">
        <v>2217</v>
      </c>
      <c r="BT128" t="str">
        <f>HYPERLINK("https%3A%2F%2Fwww.webofscience.com%2Fwos%2Fwoscc%2Ffull-record%2FWOS:000944434900002","View Full Record in Web of Science")</f>
        <v>View Full Record in Web of Science</v>
      </c>
    </row>
    <row r="129" spans="1:72" x14ac:dyDescent="0.25">
      <c r="A129" t="s">
        <v>72</v>
      </c>
      <c r="B129" t="s">
        <v>2218</v>
      </c>
      <c r="C129" t="s">
        <v>74</v>
      </c>
      <c r="D129" t="s">
        <v>74</v>
      </c>
      <c r="E129" t="s">
        <v>74</v>
      </c>
      <c r="F129" t="s">
        <v>2219</v>
      </c>
      <c r="G129" t="s">
        <v>74</v>
      </c>
      <c r="H129" t="s">
        <v>74</v>
      </c>
      <c r="I129" t="s">
        <v>2220</v>
      </c>
      <c r="J129" t="s">
        <v>1135</v>
      </c>
      <c r="K129" t="s">
        <v>74</v>
      </c>
      <c r="L129" t="s">
        <v>74</v>
      </c>
      <c r="M129" t="s">
        <v>78</v>
      </c>
      <c r="N129" t="s">
        <v>460</v>
      </c>
      <c r="O129" t="s">
        <v>74</v>
      </c>
      <c r="P129" t="s">
        <v>74</v>
      </c>
      <c r="Q129" t="s">
        <v>74</v>
      </c>
      <c r="R129" t="s">
        <v>74</v>
      </c>
      <c r="S129" t="s">
        <v>74</v>
      </c>
      <c r="T129" t="s">
        <v>74</v>
      </c>
      <c r="U129" t="s">
        <v>74</v>
      </c>
      <c r="V129" t="s">
        <v>74</v>
      </c>
      <c r="W129" t="s">
        <v>2221</v>
      </c>
      <c r="X129" t="s">
        <v>2222</v>
      </c>
      <c r="Y129" t="s">
        <v>2223</v>
      </c>
      <c r="Z129" t="s">
        <v>377</v>
      </c>
      <c r="AA129" t="s">
        <v>144</v>
      </c>
      <c r="AB129" t="s">
        <v>257</v>
      </c>
      <c r="AC129" t="s">
        <v>74</v>
      </c>
      <c r="AD129" t="s">
        <v>74</v>
      </c>
      <c r="AE129" t="s">
        <v>74</v>
      </c>
      <c r="AF129" t="s">
        <v>74</v>
      </c>
      <c r="AG129">
        <v>5</v>
      </c>
      <c r="AH129">
        <v>1</v>
      </c>
      <c r="AI129">
        <v>1</v>
      </c>
      <c r="AJ129">
        <v>0</v>
      </c>
      <c r="AK129">
        <v>1</v>
      </c>
      <c r="AL129" t="s">
        <v>991</v>
      </c>
      <c r="AM129" t="s">
        <v>486</v>
      </c>
      <c r="AN129" t="s">
        <v>992</v>
      </c>
      <c r="AO129" t="s">
        <v>1146</v>
      </c>
      <c r="AP129" t="s">
        <v>1147</v>
      </c>
      <c r="AQ129" t="s">
        <v>74</v>
      </c>
      <c r="AR129" t="s">
        <v>1135</v>
      </c>
      <c r="AS129" t="s">
        <v>1148</v>
      </c>
      <c r="AT129" t="s">
        <v>2224</v>
      </c>
      <c r="AU129">
        <v>2023</v>
      </c>
      <c r="AV129">
        <v>401</v>
      </c>
      <c r="AW129">
        <v>10381</v>
      </c>
      <c r="AX129" t="s">
        <v>74</v>
      </c>
      <c r="AY129" t="s">
        <v>74</v>
      </c>
      <c r="AZ129" t="s">
        <v>74</v>
      </c>
      <c r="BA129" t="s">
        <v>74</v>
      </c>
      <c r="BB129">
        <v>995</v>
      </c>
      <c r="BC129">
        <v>995</v>
      </c>
      <c r="BD129" t="s">
        <v>74</v>
      </c>
      <c r="BE129" t="s">
        <v>2225</v>
      </c>
      <c r="BF129" t="str">
        <f>HYPERLINK("http://dx.doi.org/10.1016/S0140-6736(23)00212-X","http://dx.doi.org/10.1016/S0140-6736(23)00212-X")</f>
        <v>http://dx.doi.org/10.1016/S0140-6736(23)00212-X</v>
      </c>
      <c r="BG129" t="s">
        <v>74</v>
      </c>
      <c r="BH129" t="s">
        <v>2226</v>
      </c>
      <c r="BI129">
        <v>1</v>
      </c>
      <c r="BJ129" t="s">
        <v>1152</v>
      </c>
      <c r="BK129" t="s">
        <v>101</v>
      </c>
      <c r="BL129" t="s">
        <v>1153</v>
      </c>
      <c r="BM129" t="s">
        <v>2227</v>
      </c>
      <c r="BN129">
        <v>36965966</v>
      </c>
      <c r="BO129" t="s">
        <v>1194</v>
      </c>
      <c r="BP129" t="s">
        <v>74</v>
      </c>
      <c r="BQ129" t="s">
        <v>74</v>
      </c>
      <c r="BR129" t="s">
        <v>104</v>
      </c>
      <c r="BS129" t="s">
        <v>2228</v>
      </c>
      <c r="BT129" t="str">
        <f>HYPERLINK("https%3A%2F%2Fwww.webofscience.com%2Fwos%2Fwoscc%2Ffull-record%2FWOS:001028130200002","View Full Record in Web of Science")</f>
        <v>View Full Record in Web of Science</v>
      </c>
    </row>
    <row r="130" spans="1:72" x14ac:dyDescent="0.25">
      <c r="A130" t="s">
        <v>72</v>
      </c>
      <c r="B130" t="s">
        <v>2229</v>
      </c>
      <c r="C130" t="s">
        <v>74</v>
      </c>
      <c r="D130" t="s">
        <v>74</v>
      </c>
      <c r="E130" t="s">
        <v>74</v>
      </c>
      <c r="F130" t="s">
        <v>2230</v>
      </c>
      <c r="G130" t="s">
        <v>74</v>
      </c>
      <c r="H130" t="s">
        <v>74</v>
      </c>
      <c r="I130" t="s">
        <v>2231</v>
      </c>
      <c r="J130" t="s">
        <v>1348</v>
      </c>
      <c r="K130" t="s">
        <v>74</v>
      </c>
      <c r="L130" t="s">
        <v>74</v>
      </c>
      <c r="M130" t="s">
        <v>1349</v>
      </c>
      <c r="N130" t="s">
        <v>299</v>
      </c>
      <c r="O130" t="s">
        <v>74</v>
      </c>
      <c r="P130" t="s">
        <v>74</v>
      </c>
      <c r="Q130" t="s">
        <v>74</v>
      </c>
      <c r="R130" t="s">
        <v>74</v>
      </c>
      <c r="S130" t="s">
        <v>74</v>
      </c>
      <c r="T130" t="s">
        <v>74</v>
      </c>
      <c r="U130" t="s">
        <v>2232</v>
      </c>
      <c r="V130" t="s">
        <v>74</v>
      </c>
      <c r="W130" t="s">
        <v>2233</v>
      </c>
      <c r="X130" t="s">
        <v>2234</v>
      </c>
      <c r="Y130" t="s">
        <v>2235</v>
      </c>
      <c r="Z130" t="s">
        <v>2236</v>
      </c>
      <c r="AA130" t="s">
        <v>780</v>
      </c>
      <c r="AB130" t="s">
        <v>1947</v>
      </c>
      <c r="AC130" t="s">
        <v>74</v>
      </c>
      <c r="AD130" t="s">
        <v>74</v>
      </c>
      <c r="AE130" t="s">
        <v>74</v>
      </c>
      <c r="AF130" t="s">
        <v>74</v>
      </c>
      <c r="AG130">
        <v>40</v>
      </c>
      <c r="AH130">
        <v>0</v>
      </c>
      <c r="AI130">
        <v>0</v>
      </c>
      <c r="AJ130">
        <v>0</v>
      </c>
      <c r="AK130">
        <v>0</v>
      </c>
      <c r="AL130" t="s">
        <v>1358</v>
      </c>
      <c r="AM130" t="s">
        <v>1359</v>
      </c>
      <c r="AN130" t="s">
        <v>1360</v>
      </c>
      <c r="AO130" t="s">
        <v>1361</v>
      </c>
      <c r="AP130" t="s">
        <v>1362</v>
      </c>
      <c r="AQ130" t="s">
        <v>74</v>
      </c>
      <c r="AR130" t="s">
        <v>1363</v>
      </c>
      <c r="AS130" t="s">
        <v>1364</v>
      </c>
      <c r="AT130" t="s">
        <v>98</v>
      </c>
      <c r="AU130">
        <v>2023</v>
      </c>
      <c r="AV130">
        <v>40</v>
      </c>
      <c r="AW130" t="s">
        <v>74</v>
      </c>
      <c r="AX130" t="s">
        <v>74</v>
      </c>
      <c r="AY130">
        <v>1</v>
      </c>
      <c r="AZ130" t="s">
        <v>1080</v>
      </c>
      <c r="BA130" t="s">
        <v>74</v>
      </c>
      <c r="BB130" t="s">
        <v>2237</v>
      </c>
      <c r="BC130" t="s">
        <v>2238</v>
      </c>
      <c r="BD130" t="s">
        <v>74</v>
      </c>
      <c r="BE130" t="s">
        <v>2239</v>
      </c>
      <c r="BF130" t="str">
        <f>HYPERLINK("http://dx.doi.org/10.1016/j.rmr.2022.12.010","http://dx.doi.org/10.1016/j.rmr.2022.12.010")</f>
        <v>http://dx.doi.org/10.1016/j.rmr.2022.12.010</v>
      </c>
      <c r="BG130" t="s">
        <v>74</v>
      </c>
      <c r="BH130" t="s">
        <v>2226</v>
      </c>
      <c r="BI130">
        <v>6</v>
      </c>
      <c r="BJ130" t="s">
        <v>228</v>
      </c>
      <c r="BK130" t="s">
        <v>101</v>
      </c>
      <c r="BL130" t="s">
        <v>228</v>
      </c>
      <c r="BM130" t="s">
        <v>2240</v>
      </c>
      <c r="BN130">
        <v>36725440</v>
      </c>
      <c r="BO130" t="s">
        <v>1194</v>
      </c>
      <c r="BP130" t="s">
        <v>74</v>
      </c>
      <c r="BQ130" t="s">
        <v>74</v>
      </c>
      <c r="BR130" t="s">
        <v>104</v>
      </c>
      <c r="BS130" t="s">
        <v>2241</v>
      </c>
      <c r="BT130" t="str">
        <f>HYPERLINK("https%3A%2F%2Fwww.webofscience.com%2Fwos%2Fwoscc%2Ffull-record%2FWOS:001040721100007","View Full Record in Web of Science")</f>
        <v>View Full Record in Web of Science</v>
      </c>
    </row>
    <row r="131" spans="1:72" x14ac:dyDescent="0.25">
      <c r="A131" t="s">
        <v>72</v>
      </c>
      <c r="B131" t="s">
        <v>2242</v>
      </c>
      <c r="C131" t="s">
        <v>74</v>
      </c>
      <c r="D131" t="s">
        <v>74</v>
      </c>
      <c r="E131" t="s">
        <v>74</v>
      </c>
      <c r="F131" t="s">
        <v>2243</v>
      </c>
      <c r="G131" t="s">
        <v>74</v>
      </c>
      <c r="H131" t="s">
        <v>74</v>
      </c>
      <c r="I131" t="s">
        <v>2244</v>
      </c>
      <c r="J131" t="s">
        <v>1348</v>
      </c>
      <c r="K131" t="s">
        <v>74</v>
      </c>
      <c r="L131" t="s">
        <v>74</v>
      </c>
      <c r="M131" t="s">
        <v>78</v>
      </c>
      <c r="N131" t="s">
        <v>79</v>
      </c>
      <c r="O131" t="s">
        <v>74</v>
      </c>
      <c r="P131" t="s">
        <v>74</v>
      </c>
      <c r="Q131" t="s">
        <v>74</v>
      </c>
      <c r="R131" t="s">
        <v>74</v>
      </c>
      <c r="S131" t="s">
        <v>74</v>
      </c>
      <c r="T131" t="s">
        <v>2245</v>
      </c>
      <c r="U131" t="s">
        <v>74</v>
      </c>
      <c r="V131" t="s">
        <v>2246</v>
      </c>
      <c r="W131" t="s">
        <v>2247</v>
      </c>
      <c r="X131" t="s">
        <v>2248</v>
      </c>
      <c r="Y131" t="s">
        <v>2249</v>
      </c>
      <c r="Z131" t="s">
        <v>86</v>
      </c>
      <c r="AA131" t="s">
        <v>2250</v>
      </c>
      <c r="AB131" t="s">
        <v>2251</v>
      </c>
      <c r="AC131" t="s">
        <v>74</v>
      </c>
      <c r="AD131" t="s">
        <v>74</v>
      </c>
      <c r="AE131" t="s">
        <v>74</v>
      </c>
      <c r="AF131" t="s">
        <v>74</v>
      </c>
      <c r="AG131">
        <v>20</v>
      </c>
      <c r="AH131">
        <v>1</v>
      </c>
      <c r="AI131">
        <v>1</v>
      </c>
      <c r="AJ131">
        <v>1</v>
      </c>
      <c r="AK131">
        <v>1</v>
      </c>
      <c r="AL131" t="s">
        <v>1358</v>
      </c>
      <c r="AM131" t="s">
        <v>1359</v>
      </c>
      <c r="AN131" t="s">
        <v>1360</v>
      </c>
      <c r="AO131" t="s">
        <v>1361</v>
      </c>
      <c r="AP131" t="s">
        <v>1362</v>
      </c>
      <c r="AQ131" t="s">
        <v>74</v>
      </c>
      <c r="AR131" t="s">
        <v>1363</v>
      </c>
      <c r="AS131" t="s">
        <v>1364</v>
      </c>
      <c r="AT131" t="s">
        <v>98</v>
      </c>
      <c r="AU131">
        <v>2023</v>
      </c>
      <c r="AV131">
        <v>40</v>
      </c>
      <c r="AW131">
        <v>3</v>
      </c>
      <c r="AX131" t="s">
        <v>74</v>
      </c>
      <c r="AY131" t="s">
        <v>74</v>
      </c>
      <c r="AZ131" t="s">
        <v>74</v>
      </c>
      <c r="BA131" t="s">
        <v>74</v>
      </c>
      <c r="BB131">
        <v>234</v>
      </c>
      <c r="BC131">
        <v>238</v>
      </c>
      <c r="BD131" t="s">
        <v>74</v>
      </c>
      <c r="BE131" t="s">
        <v>2252</v>
      </c>
      <c r="BF131" t="str">
        <f>HYPERLINK("http://dx.doi.org/10.1016/j.rmr.2023.01.017","http://dx.doi.org/10.1016/j.rmr.2023.01.017")</f>
        <v>http://dx.doi.org/10.1016/j.rmr.2023.01.017</v>
      </c>
      <c r="BG131" t="s">
        <v>74</v>
      </c>
      <c r="BH131" t="s">
        <v>2226</v>
      </c>
      <c r="BI131">
        <v>5</v>
      </c>
      <c r="BJ131" t="s">
        <v>228</v>
      </c>
      <c r="BK131" t="s">
        <v>101</v>
      </c>
      <c r="BL131" t="s">
        <v>228</v>
      </c>
      <c r="BM131" t="s">
        <v>2253</v>
      </c>
      <c r="BN131">
        <v>36828679</v>
      </c>
      <c r="BO131" t="s">
        <v>1194</v>
      </c>
      <c r="BP131" t="s">
        <v>74</v>
      </c>
      <c r="BQ131" t="s">
        <v>74</v>
      </c>
      <c r="BR131" t="s">
        <v>104</v>
      </c>
      <c r="BS131" t="s">
        <v>2254</v>
      </c>
      <c r="BT131" t="str">
        <f>HYPERLINK("https%3A%2F%2Fwww.webofscience.com%2Fwos%2Fwoscc%2Ffull-record%2FWOS:000964662100001","View Full Record in Web of Science")</f>
        <v>View Full Record in Web of Science</v>
      </c>
    </row>
    <row r="132" spans="1:72" x14ac:dyDescent="0.25">
      <c r="A132" t="s">
        <v>72</v>
      </c>
      <c r="B132" t="s">
        <v>1420</v>
      </c>
      <c r="C132" t="s">
        <v>74</v>
      </c>
      <c r="D132" t="s">
        <v>74</v>
      </c>
      <c r="E132" t="s">
        <v>74</v>
      </c>
      <c r="F132" t="s">
        <v>2255</v>
      </c>
      <c r="G132" t="s">
        <v>74</v>
      </c>
      <c r="H132" t="s">
        <v>74</v>
      </c>
      <c r="I132" t="s">
        <v>2256</v>
      </c>
      <c r="J132" t="s">
        <v>2257</v>
      </c>
      <c r="K132" t="s">
        <v>74</v>
      </c>
      <c r="L132" t="s">
        <v>74</v>
      </c>
      <c r="M132" t="s">
        <v>1349</v>
      </c>
      <c r="N132" t="s">
        <v>460</v>
      </c>
      <c r="O132" t="s">
        <v>74</v>
      </c>
      <c r="P132" t="s">
        <v>74</v>
      </c>
      <c r="Q132" t="s">
        <v>74</v>
      </c>
      <c r="R132" t="s">
        <v>74</v>
      </c>
      <c r="S132" t="s">
        <v>74</v>
      </c>
      <c r="T132" t="s">
        <v>74</v>
      </c>
      <c r="U132" t="s">
        <v>74</v>
      </c>
      <c r="V132" t="s">
        <v>74</v>
      </c>
      <c r="W132" t="s">
        <v>2258</v>
      </c>
      <c r="X132" t="s">
        <v>2259</v>
      </c>
      <c r="Y132" t="s">
        <v>2260</v>
      </c>
      <c r="Z132" t="s">
        <v>2261</v>
      </c>
      <c r="AA132" t="s">
        <v>144</v>
      </c>
      <c r="AB132" t="s">
        <v>257</v>
      </c>
      <c r="AC132" t="s">
        <v>74</v>
      </c>
      <c r="AD132" t="s">
        <v>74</v>
      </c>
      <c r="AE132" t="s">
        <v>74</v>
      </c>
      <c r="AF132" t="s">
        <v>74</v>
      </c>
      <c r="AG132">
        <v>0</v>
      </c>
      <c r="AH132">
        <v>0</v>
      </c>
      <c r="AI132">
        <v>0</v>
      </c>
      <c r="AJ132">
        <v>0</v>
      </c>
      <c r="AK132">
        <v>2</v>
      </c>
      <c r="AL132" t="s">
        <v>2262</v>
      </c>
      <c r="AM132" t="s">
        <v>2263</v>
      </c>
      <c r="AN132" t="s">
        <v>2264</v>
      </c>
      <c r="AO132" t="s">
        <v>2265</v>
      </c>
      <c r="AP132" t="s">
        <v>2266</v>
      </c>
      <c r="AQ132" t="s">
        <v>74</v>
      </c>
      <c r="AR132" t="s">
        <v>2267</v>
      </c>
      <c r="AS132" t="s">
        <v>2268</v>
      </c>
      <c r="AT132" t="s">
        <v>98</v>
      </c>
      <c r="AU132">
        <v>2023</v>
      </c>
      <c r="AV132">
        <v>207</v>
      </c>
      <c r="AW132">
        <v>3</v>
      </c>
      <c r="AX132" t="s">
        <v>74</v>
      </c>
      <c r="AY132" t="s">
        <v>74</v>
      </c>
      <c r="AZ132" t="s">
        <v>74</v>
      </c>
      <c r="BA132" t="s">
        <v>74</v>
      </c>
      <c r="BB132">
        <v>305</v>
      </c>
      <c r="BC132">
        <v>306</v>
      </c>
      <c r="BD132" t="s">
        <v>74</v>
      </c>
      <c r="BE132" t="s">
        <v>2269</v>
      </c>
      <c r="BF132" t="str">
        <f>HYPERLINK("http://dx.doi.org/10.1016/j.banm.2023.01.005","http://dx.doi.org/10.1016/j.banm.2023.01.005")</f>
        <v>http://dx.doi.org/10.1016/j.banm.2023.01.005</v>
      </c>
      <c r="BG132" t="s">
        <v>74</v>
      </c>
      <c r="BH132" t="s">
        <v>2226</v>
      </c>
      <c r="BI132">
        <v>2</v>
      </c>
      <c r="BJ132" t="s">
        <v>1152</v>
      </c>
      <c r="BK132" t="s">
        <v>101</v>
      </c>
      <c r="BL132" t="s">
        <v>1153</v>
      </c>
      <c r="BM132" t="s">
        <v>2270</v>
      </c>
      <c r="BN132" t="s">
        <v>74</v>
      </c>
      <c r="BO132" t="s">
        <v>1194</v>
      </c>
      <c r="BP132" t="s">
        <v>74</v>
      </c>
      <c r="BQ132" t="s">
        <v>74</v>
      </c>
      <c r="BR132" t="s">
        <v>104</v>
      </c>
      <c r="BS132" t="s">
        <v>2271</v>
      </c>
      <c r="BT132" t="str">
        <f>HYPERLINK("https%3A%2F%2Fwww.webofscience.com%2Fwos%2Fwoscc%2Ffull-record%2FWOS:000993747700001","View Full Record in Web of Science")</f>
        <v>View Full Record in Web of Science</v>
      </c>
    </row>
    <row r="133" spans="1:72" x14ac:dyDescent="0.25">
      <c r="A133" t="s">
        <v>72</v>
      </c>
      <c r="B133" t="s">
        <v>2272</v>
      </c>
      <c r="C133" t="s">
        <v>74</v>
      </c>
      <c r="D133" t="s">
        <v>74</v>
      </c>
      <c r="E133" t="s">
        <v>74</v>
      </c>
      <c r="F133" t="s">
        <v>2273</v>
      </c>
      <c r="G133" t="s">
        <v>74</v>
      </c>
      <c r="H133" t="s">
        <v>2274</v>
      </c>
      <c r="I133" t="s">
        <v>2275</v>
      </c>
      <c r="J133" t="s">
        <v>2276</v>
      </c>
      <c r="K133" t="s">
        <v>74</v>
      </c>
      <c r="L133" t="s">
        <v>74</v>
      </c>
      <c r="M133" t="s">
        <v>78</v>
      </c>
      <c r="N133" t="s">
        <v>79</v>
      </c>
      <c r="O133" t="s">
        <v>74</v>
      </c>
      <c r="P133" t="s">
        <v>74</v>
      </c>
      <c r="Q133" t="s">
        <v>74</v>
      </c>
      <c r="R133" t="s">
        <v>74</v>
      </c>
      <c r="S133" t="s">
        <v>74</v>
      </c>
      <c r="T133" t="s">
        <v>74</v>
      </c>
      <c r="U133" t="s">
        <v>2277</v>
      </c>
      <c r="V133" t="s">
        <v>2278</v>
      </c>
      <c r="W133" t="s">
        <v>2279</v>
      </c>
      <c r="X133" t="s">
        <v>2280</v>
      </c>
      <c r="Y133" t="s">
        <v>2281</v>
      </c>
      <c r="Z133" t="s">
        <v>1689</v>
      </c>
      <c r="AA133" t="s">
        <v>2282</v>
      </c>
      <c r="AB133" t="s">
        <v>2283</v>
      </c>
      <c r="AC133" t="s">
        <v>74</v>
      </c>
      <c r="AD133" t="s">
        <v>74</v>
      </c>
      <c r="AE133" t="s">
        <v>74</v>
      </c>
      <c r="AF133" t="s">
        <v>74</v>
      </c>
      <c r="AG133">
        <v>21</v>
      </c>
      <c r="AH133">
        <v>258</v>
      </c>
      <c r="AI133">
        <v>262</v>
      </c>
      <c r="AJ133">
        <v>15</v>
      </c>
      <c r="AK133">
        <v>70</v>
      </c>
      <c r="AL133" t="s">
        <v>2284</v>
      </c>
      <c r="AM133" t="s">
        <v>2285</v>
      </c>
      <c r="AN133" t="s">
        <v>2286</v>
      </c>
      <c r="AO133" t="s">
        <v>2287</v>
      </c>
      <c r="AP133" t="s">
        <v>2288</v>
      </c>
      <c r="AQ133" t="s">
        <v>74</v>
      </c>
      <c r="AR133" t="s">
        <v>2289</v>
      </c>
      <c r="AS133" t="s">
        <v>2290</v>
      </c>
      <c r="AT133" t="s">
        <v>2291</v>
      </c>
      <c r="AU133">
        <v>2023</v>
      </c>
      <c r="AV133">
        <v>388</v>
      </c>
      <c r="AW133">
        <v>16</v>
      </c>
      <c r="AX133" t="s">
        <v>74</v>
      </c>
      <c r="AY133" t="s">
        <v>74</v>
      </c>
      <c r="AZ133" t="s">
        <v>74</v>
      </c>
      <c r="BA133" t="s">
        <v>74</v>
      </c>
      <c r="BB133">
        <v>1478</v>
      </c>
      <c r="BC133">
        <v>1490</v>
      </c>
      <c r="BD133" t="s">
        <v>74</v>
      </c>
      <c r="BE133" t="s">
        <v>2292</v>
      </c>
      <c r="BF133" t="str">
        <f>HYPERLINK("http://dx.doi.org/10.1056/NEJMoa2213558","http://dx.doi.org/10.1056/NEJMoa2213558")</f>
        <v>http://dx.doi.org/10.1056/NEJMoa2213558</v>
      </c>
      <c r="BG133" t="s">
        <v>74</v>
      </c>
      <c r="BH133" t="s">
        <v>2226</v>
      </c>
      <c r="BI133">
        <v>13</v>
      </c>
      <c r="BJ133" t="s">
        <v>1152</v>
      </c>
      <c r="BK133" t="s">
        <v>101</v>
      </c>
      <c r="BL133" t="s">
        <v>1153</v>
      </c>
      <c r="BM133" t="s">
        <v>2293</v>
      </c>
      <c r="BN133">
        <v>36877098</v>
      </c>
      <c r="BO133" t="s">
        <v>74</v>
      </c>
      <c r="BP133" t="s">
        <v>1155</v>
      </c>
      <c r="BQ133" t="s">
        <v>1155</v>
      </c>
      <c r="BR133" t="s">
        <v>104</v>
      </c>
      <c r="BS133" t="s">
        <v>2294</v>
      </c>
      <c r="BT133" t="str">
        <f>HYPERLINK("https%3A%2F%2Fwww.webofscience.com%2Fwos%2Fwoscc%2Ffull-record%2FWOS:000944043100001","View Full Record in Web of Science")</f>
        <v>View Full Record in Web of Science</v>
      </c>
    </row>
    <row r="134" spans="1:72" x14ac:dyDescent="0.25">
      <c r="A134" t="s">
        <v>72</v>
      </c>
      <c r="B134" t="s">
        <v>2295</v>
      </c>
      <c r="C134" t="s">
        <v>74</v>
      </c>
      <c r="D134" t="s">
        <v>74</v>
      </c>
      <c r="E134" t="s">
        <v>74</v>
      </c>
      <c r="F134" t="s">
        <v>2296</v>
      </c>
      <c r="G134" t="s">
        <v>74</v>
      </c>
      <c r="H134" t="s">
        <v>74</v>
      </c>
      <c r="I134" t="s">
        <v>2297</v>
      </c>
      <c r="J134" t="s">
        <v>216</v>
      </c>
      <c r="K134" t="s">
        <v>74</v>
      </c>
      <c r="L134" t="s">
        <v>74</v>
      </c>
      <c r="M134" t="s">
        <v>78</v>
      </c>
      <c r="N134" t="s">
        <v>79</v>
      </c>
      <c r="O134" t="s">
        <v>74</v>
      </c>
      <c r="P134" t="s">
        <v>74</v>
      </c>
      <c r="Q134" t="s">
        <v>74</v>
      </c>
      <c r="R134" t="s">
        <v>74</v>
      </c>
      <c r="S134" t="s">
        <v>74</v>
      </c>
      <c r="T134" t="s">
        <v>74</v>
      </c>
      <c r="U134" t="s">
        <v>2298</v>
      </c>
      <c r="V134" t="s">
        <v>2299</v>
      </c>
      <c r="W134" t="s">
        <v>2300</v>
      </c>
      <c r="X134" t="s">
        <v>2301</v>
      </c>
      <c r="Y134" t="s">
        <v>2302</v>
      </c>
      <c r="Z134" t="s">
        <v>86</v>
      </c>
      <c r="AA134" t="s">
        <v>2303</v>
      </c>
      <c r="AB134" t="s">
        <v>2304</v>
      </c>
      <c r="AC134" t="s">
        <v>2305</v>
      </c>
      <c r="AD134" t="s">
        <v>2306</v>
      </c>
      <c r="AE134" t="s">
        <v>2307</v>
      </c>
      <c r="AF134" t="s">
        <v>74</v>
      </c>
      <c r="AG134">
        <v>43</v>
      </c>
      <c r="AH134">
        <v>24</v>
      </c>
      <c r="AI134">
        <v>24</v>
      </c>
      <c r="AJ134">
        <v>0</v>
      </c>
      <c r="AK134">
        <v>6</v>
      </c>
      <c r="AL134" t="s">
        <v>219</v>
      </c>
      <c r="AM134" t="s">
        <v>220</v>
      </c>
      <c r="AN134" t="s">
        <v>221</v>
      </c>
      <c r="AO134" t="s">
        <v>222</v>
      </c>
      <c r="AP134" t="s">
        <v>223</v>
      </c>
      <c r="AQ134" t="s">
        <v>74</v>
      </c>
      <c r="AR134" t="s">
        <v>224</v>
      </c>
      <c r="AS134" t="s">
        <v>225</v>
      </c>
      <c r="AT134" t="s">
        <v>1097</v>
      </c>
      <c r="AU134">
        <v>2023</v>
      </c>
      <c r="AV134">
        <v>61</v>
      </c>
      <c r="AW134">
        <v>3</v>
      </c>
      <c r="AX134" t="s">
        <v>74</v>
      </c>
      <c r="AY134" t="s">
        <v>74</v>
      </c>
      <c r="AZ134" t="s">
        <v>74</v>
      </c>
      <c r="BA134" t="s">
        <v>74</v>
      </c>
      <c r="BB134" t="s">
        <v>74</v>
      </c>
      <c r="BC134" t="s">
        <v>74</v>
      </c>
      <c r="BD134">
        <v>2201232</v>
      </c>
      <c r="BE134" t="s">
        <v>2308</v>
      </c>
      <c r="BF134" t="str">
        <f>HYPERLINK("http://dx.doi.org/10.1183/13993003.01232-2022","http://dx.doi.org/10.1183/13993003.01232-2022")</f>
        <v>http://dx.doi.org/10.1183/13993003.01232-2022</v>
      </c>
      <c r="BG134" t="s">
        <v>74</v>
      </c>
      <c r="BH134" t="s">
        <v>74</v>
      </c>
      <c r="BI134">
        <v>13</v>
      </c>
      <c r="BJ134" t="s">
        <v>228</v>
      </c>
      <c r="BK134" t="s">
        <v>101</v>
      </c>
      <c r="BL134" t="s">
        <v>228</v>
      </c>
      <c r="BM134" t="s">
        <v>2309</v>
      </c>
      <c r="BN134">
        <v>36549710</v>
      </c>
      <c r="BO134" t="s">
        <v>612</v>
      </c>
      <c r="BP134" t="s">
        <v>74</v>
      </c>
      <c r="BQ134" t="s">
        <v>74</v>
      </c>
      <c r="BR134" t="s">
        <v>104</v>
      </c>
      <c r="BS134" t="s">
        <v>2310</v>
      </c>
      <c r="BT134" t="str">
        <f>HYPERLINK("https%3A%2F%2Fwww.webofscience.com%2Fwos%2Fwoscc%2Ffull-record%2FWOS:000961116000005","View Full Record in Web of Science")</f>
        <v>View Full Record in Web of Science</v>
      </c>
    </row>
    <row r="135" spans="1:72" x14ac:dyDescent="0.25">
      <c r="A135" t="s">
        <v>72</v>
      </c>
      <c r="B135" t="s">
        <v>2311</v>
      </c>
      <c r="C135" t="s">
        <v>74</v>
      </c>
      <c r="D135" t="s">
        <v>74</v>
      </c>
      <c r="E135" t="s">
        <v>74</v>
      </c>
      <c r="F135" t="s">
        <v>2312</v>
      </c>
      <c r="G135" t="s">
        <v>74</v>
      </c>
      <c r="H135" t="s">
        <v>74</v>
      </c>
      <c r="I135" t="s">
        <v>2313</v>
      </c>
      <c r="J135" t="s">
        <v>793</v>
      </c>
      <c r="K135" t="s">
        <v>74</v>
      </c>
      <c r="L135" t="s">
        <v>74</v>
      </c>
      <c r="M135" t="s">
        <v>78</v>
      </c>
      <c r="N135" t="s">
        <v>79</v>
      </c>
      <c r="O135" t="s">
        <v>74</v>
      </c>
      <c r="P135" t="s">
        <v>74</v>
      </c>
      <c r="Q135" t="s">
        <v>74</v>
      </c>
      <c r="R135" t="s">
        <v>74</v>
      </c>
      <c r="S135" t="s">
        <v>74</v>
      </c>
      <c r="T135" t="s">
        <v>74</v>
      </c>
      <c r="U135" t="s">
        <v>2314</v>
      </c>
      <c r="V135" t="s">
        <v>2315</v>
      </c>
      <c r="W135" t="s">
        <v>2316</v>
      </c>
      <c r="X135" t="s">
        <v>2317</v>
      </c>
      <c r="Y135" t="s">
        <v>2318</v>
      </c>
      <c r="Z135" t="s">
        <v>1261</v>
      </c>
      <c r="AA135" t="s">
        <v>378</v>
      </c>
      <c r="AB135" t="s">
        <v>2319</v>
      </c>
      <c r="AC135" t="s">
        <v>2320</v>
      </c>
      <c r="AD135" t="s">
        <v>2320</v>
      </c>
      <c r="AE135" t="s">
        <v>2321</v>
      </c>
      <c r="AF135" t="s">
        <v>74</v>
      </c>
      <c r="AG135">
        <v>41</v>
      </c>
      <c r="AH135">
        <v>13</v>
      </c>
      <c r="AI135">
        <v>13</v>
      </c>
      <c r="AJ135">
        <v>3</v>
      </c>
      <c r="AK135">
        <v>3</v>
      </c>
      <c r="AL135" t="s">
        <v>219</v>
      </c>
      <c r="AM135" t="s">
        <v>220</v>
      </c>
      <c r="AN135" t="s">
        <v>221</v>
      </c>
      <c r="AO135" t="s">
        <v>74</v>
      </c>
      <c r="AP135" t="s">
        <v>803</v>
      </c>
      <c r="AQ135" t="s">
        <v>74</v>
      </c>
      <c r="AR135" t="s">
        <v>804</v>
      </c>
      <c r="AS135" t="s">
        <v>805</v>
      </c>
      <c r="AT135" t="s">
        <v>1097</v>
      </c>
      <c r="AU135">
        <v>2023</v>
      </c>
      <c r="AV135">
        <v>9</v>
      </c>
      <c r="AW135">
        <v>2</v>
      </c>
      <c r="AX135" t="s">
        <v>74</v>
      </c>
      <c r="AY135" t="s">
        <v>74</v>
      </c>
      <c r="AZ135" t="s">
        <v>74</v>
      </c>
      <c r="BA135" t="s">
        <v>74</v>
      </c>
      <c r="BB135" t="s">
        <v>74</v>
      </c>
      <c r="BC135" t="s">
        <v>74</v>
      </c>
      <c r="BD135" t="s">
        <v>2322</v>
      </c>
      <c r="BE135" t="s">
        <v>2323</v>
      </c>
      <c r="BF135" t="str">
        <f>HYPERLINK("http://dx.doi.org/10.1183/23120541.00433-2022","http://dx.doi.org/10.1183/23120541.00433-2022")</f>
        <v>http://dx.doi.org/10.1183/23120541.00433-2022</v>
      </c>
      <c r="BG135" t="s">
        <v>74</v>
      </c>
      <c r="BH135" t="s">
        <v>74</v>
      </c>
      <c r="BI135">
        <v>11</v>
      </c>
      <c r="BJ135" t="s">
        <v>228</v>
      </c>
      <c r="BK135" t="s">
        <v>101</v>
      </c>
      <c r="BL135" t="s">
        <v>228</v>
      </c>
      <c r="BM135" t="s">
        <v>2324</v>
      </c>
      <c r="BN135">
        <v>36923571</v>
      </c>
      <c r="BO135" t="s">
        <v>1665</v>
      </c>
      <c r="BP135" t="s">
        <v>74</v>
      </c>
      <c r="BQ135" t="s">
        <v>74</v>
      </c>
      <c r="BR135" t="s">
        <v>104</v>
      </c>
      <c r="BS135" t="s">
        <v>2325</v>
      </c>
      <c r="BT135" t="str">
        <f>HYPERLINK("https%3A%2F%2Fwww.webofscience.com%2Fwos%2Fwoscc%2Ffull-record%2FWOS:000947843200013","View Full Record in Web of Science")</f>
        <v>View Full Record in Web of Science</v>
      </c>
    </row>
    <row r="136" spans="1:72" x14ac:dyDescent="0.25">
      <c r="A136" t="s">
        <v>72</v>
      </c>
      <c r="B136" t="s">
        <v>2326</v>
      </c>
      <c r="C136" t="s">
        <v>74</v>
      </c>
      <c r="D136" t="s">
        <v>74</v>
      </c>
      <c r="E136" t="s">
        <v>74</v>
      </c>
      <c r="F136" t="s">
        <v>2327</v>
      </c>
      <c r="G136" t="s">
        <v>74</v>
      </c>
      <c r="H136" t="s">
        <v>74</v>
      </c>
      <c r="I136" t="s">
        <v>2328</v>
      </c>
      <c r="J136" t="s">
        <v>637</v>
      </c>
      <c r="K136" t="s">
        <v>74</v>
      </c>
      <c r="L136" t="s">
        <v>74</v>
      </c>
      <c r="M136" t="s">
        <v>78</v>
      </c>
      <c r="N136" t="s">
        <v>460</v>
      </c>
      <c r="O136" t="s">
        <v>74</v>
      </c>
      <c r="P136" t="s">
        <v>74</v>
      </c>
      <c r="Q136" t="s">
        <v>74</v>
      </c>
      <c r="R136" t="s">
        <v>74</v>
      </c>
      <c r="S136" t="s">
        <v>74</v>
      </c>
      <c r="T136" t="s">
        <v>74</v>
      </c>
      <c r="U136" t="s">
        <v>2329</v>
      </c>
      <c r="V136" t="s">
        <v>74</v>
      </c>
      <c r="W136" t="s">
        <v>2330</v>
      </c>
      <c r="X136" t="s">
        <v>2331</v>
      </c>
      <c r="Y136" t="s">
        <v>2332</v>
      </c>
      <c r="Z136" t="s">
        <v>331</v>
      </c>
      <c r="AA136" t="s">
        <v>1549</v>
      </c>
      <c r="AB136" t="s">
        <v>2333</v>
      </c>
      <c r="AC136" t="s">
        <v>74</v>
      </c>
      <c r="AD136" t="s">
        <v>74</v>
      </c>
      <c r="AE136" t="s">
        <v>74</v>
      </c>
      <c r="AF136" t="s">
        <v>74</v>
      </c>
      <c r="AG136">
        <v>7</v>
      </c>
      <c r="AH136">
        <v>0</v>
      </c>
      <c r="AI136">
        <v>0</v>
      </c>
      <c r="AJ136">
        <v>0</v>
      </c>
      <c r="AK136">
        <v>1</v>
      </c>
      <c r="AL136" t="s">
        <v>649</v>
      </c>
      <c r="AM136" t="s">
        <v>486</v>
      </c>
      <c r="AN136" t="s">
        <v>650</v>
      </c>
      <c r="AO136" t="s">
        <v>651</v>
      </c>
      <c r="AP136" t="s">
        <v>652</v>
      </c>
      <c r="AQ136" t="s">
        <v>74</v>
      </c>
      <c r="AR136" t="s">
        <v>653</v>
      </c>
      <c r="AS136" t="s">
        <v>654</v>
      </c>
      <c r="AT136" t="s">
        <v>2334</v>
      </c>
      <c r="AU136">
        <v>2023</v>
      </c>
      <c r="AV136">
        <v>207</v>
      </c>
      <c r="AW136">
        <v>4</v>
      </c>
      <c r="AX136" t="s">
        <v>74</v>
      </c>
      <c r="AY136" t="s">
        <v>74</v>
      </c>
      <c r="AZ136" t="s">
        <v>74</v>
      </c>
      <c r="BA136" t="s">
        <v>74</v>
      </c>
      <c r="BB136">
        <v>493</v>
      </c>
      <c r="BC136">
        <v>494</v>
      </c>
      <c r="BD136" t="s">
        <v>74</v>
      </c>
      <c r="BE136" t="s">
        <v>74</v>
      </c>
      <c r="BF136" t="s">
        <v>74</v>
      </c>
      <c r="BG136" t="s">
        <v>74</v>
      </c>
      <c r="BH136" t="s">
        <v>74</v>
      </c>
      <c r="BI136">
        <v>3</v>
      </c>
      <c r="BJ136" t="s">
        <v>341</v>
      </c>
      <c r="BK136" t="s">
        <v>101</v>
      </c>
      <c r="BL136" t="s">
        <v>342</v>
      </c>
      <c r="BM136" t="s">
        <v>2335</v>
      </c>
      <c r="BN136">
        <v>36252239</v>
      </c>
      <c r="BO136" t="s">
        <v>103</v>
      </c>
      <c r="BP136" t="s">
        <v>74</v>
      </c>
      <c r="BQ136" t="s">
        <v>74</v>
      </c>
      <c r="BR136" t="s">
        <v>104</v>
      </c>
      <c r="BS136" t="s">
        <v>2336</v>
      </c>
      <c r="BT136" t="str">
        <f>HYPERLINK("https%3A%2F%2Fwww.webofscience.com%2Fwos%2Fwoscc%2Ffull-record%2FWOS:000939230600022","View Full Record in Web of Science")</f>
        <v>View Full Record in Web of Science</v>
      </c>
    </row>
    <row r="137" spans="1:72" x14ac:dyDescent="0.25">
      <c r="A137" t="s">
        <v>72</v>
      </c>
      <c r="B137" t="s">
        <v>2337</v>
      </c>
      <c r="C137" t="s">
        <v>74</v>
      </c>
      <c r="D137" t="s">
        <v>74</v>
      </c>
      <c r="E137" t="s">
        <v>74</v>
      </c>
      <c r="F137" t="s">
        <v>2338</v>
      </c>
      <c r="G137" t="s">
        <v>74</v>
      </c>
      <c r="H137" t="s">
        <v>74</v>
      </c>
      <c r="I137" t="s">
        <v>2339</v>
      </c>
      <c r="J137" t="s">
        <v>324</v>
      </c>
      <c r="K137" t="s">
        <v>74</v>
      </c>
      <c r="L137" t="s">
        <v>74</v>
      </c>
      <c r="M137" t="s">
        <v>78</v>
      </c>
      <c r="N137" t="s">
        <v>79</v>
      </c>
      <c r="O137" t="s">
        <v>74</v>
      </c>
      <c r="P137" t="s">
        <v>74</v>
      </c>
      <c r="Q137" t="s">
        <v>74</v>
      </c>
      <c r="R137" t="s">
        <v>74</v>
      </c>
      <c r="S137" t="s">
        <v>74</v>
      </c>
      <c r="T137" t="s">
        <v>2340</v>
      </c>
      <c r="U137" t="s">
        <v>2341</v>
      </c>
      <c r="V137" t="s">
        <v>2342</v>
      </c>
      <c r="W137" t="s">
        <v>2343</v>
      </c>
      <c r="X137" t="s">
        <v>2344</v>
      </c>
      <c r="Y137" t="s">
        <v>2345</v>
      </c>
      <c r="Z137" t="s">
        <v>2346</v>
      </c>
      <c r="AA137" t="s">
        <v>2347</v>
      </c>
      <c r="AB137" t="s">
        <v>257</v>
      </c>
      <c r="AC137" t="s">
        <v>74</v>
      </c>
      <c r="AD137" t="s">
        <v>74</v>
      </c>
      <c r="AE137" t="s">
        <v>74</v>
      </c>
      <c r="AF137" t="s">
        <v>74</v>
      </c>
      <c r="AG137">
        <v>40</v>
      </c>
      <c r="AH137">
        <v>14</v>
      </c>
      <c r="AI137">
        <v>14</v>
      </c>
      <c r="AJ137">
        <v>0</v>
      </c>
      <c r="AK137">
        <v>1</v>
      </c>
      <c r="AL137" t="s">
        <v>92</v>
      </c>
      <c r="AM137" t="s">
        <v>93</v>
      </c>
      <c r="AN137" t="s">
        <v>94</v>
      </c>
      <c r="AO137" t="s">
        <v>337</v>
      </c>
      <c r="AP137" t="s">
        <v>338</v>
      </c>
      <c r="AQ137" t="s">
        <v>74</v>
      </c>
      <c r="AR137" t="s">
        <v>324</v>
      </c>
      <c r="AS137" t="s">
        <v>339</v>
      </c>
      <c r="AT137" t="s">
        <v>129</v>
      </c>
      <c r="AU137">
        <v>2023</v>
      </c>
      <c r="AV137">
        <v>163</v>
      </c>
      <c r="AW137">
        <v>2</v>
      </c>
      <c r="AX137" t="s">
        <v>74</v>
      </c>
      <c r="AY137" t="s">
        <v>74</v>
      </c>
      <c r="AZ137" t="s">
        <v>74</v>
      </c>
      <c r="BA137" t="s">
        <v>74</v>
      </c>
      <c r="BB137">
        <v>407</v>
      </c>
      <c r="BC137">
        <v>418</v>
      </c>
      <c r="BD137" t="s">
        <v>74</v>
      </c>
      <c r="BE137" t="s">
        <v>2348</v>
      </c>
      <c r="BF137" t="str">
        <f>HYPERLINK("http://dx.doi.org/10.1016/j.chest.2022.08.2231","http://dx.doi.org/10.1016/j.chest.2022.08.2231")</f>
        <v>http://dx.doi.org/10.1016/j.chest.2022.08.2231</v>
      </c>
      <c r="BG137" t="s">
        <v>74</v>
      </c>
      <c r="BH137" t="s">
        <v>2349</v>
      </c>
      <c r="BI137">
        <v>12</v>
      </c>
      <c r="BJ137" t="s">
        <v>341</v>
      </c>
      <c r="BK137" t="s">
        <v>101</v>
      </c>
      <c r="BL137" t="s">
        <v>342</v>
      </c>
      <c r="BM137" t="s">
        <v>2350</v>
      </c>
      <c r="BN137">
        <v>36089068</v>
      </c>
      <c r="BO137" t="s">
        <v>246</v>
      </c>
      <c r="BP137" t="s">
        <v>74</v>
      </c>
      <c r="BQ137" t="s">
        <v>74</v>
      </c>
      <c r="BR137" t="s">
        <v>104</v>
      </c>
      <c r="BS137" t="s">
        <v>2351</v>
      </c>
      <c r="BT137" t="str">
        <f>HYPERLINK("https%3A%2F%2Fwww.webofscience.com%2Fwos%2Fwoscc%2Ffull-record%2FWOS:000931870500001","View Full Record in Web of Science")</f>
        <v>View Full Record in Web of Science</v>
      </c>
    </row>
    <row r="138" spans="1:72" x14ac:dyDescent="0.25">
      <c r="A138" t="s">
        <v>72</v>
      </c>
      <c r="B138" t="s">
        <v>2352</v>
      </c>
      <c r="C138" t="s">
        <v>74</v>
      </c>
      <c r="D138" t="s">
        <v>74</v>
      </c>
      <c r="E138" t="s">
        <v>74</v>
      </c>
      <c r="F138" t="s">
        <v>2353</v>
      </c>
      <c r="G138" t="s">
        <v>74</v>
      </c>
      <c r="H138" t="s">
        <v>74</v>
      </c>
      <c r="I138" t="s">
        <v>2354</v>
      </c>
      <c r="J138" t="s">
        <v>2355</v>
      </c>
      <c r="K138" t="s">
        <v>74</v>
      </c>
      <c r="L138" t="s">
        <v>74</v>
      </c>
      <c r="M138" t="s">
        <v>78</v>
      </c>
      <c r="N138" t="s">
        <v>79</v>
      </c>
      <c r="O138" t="s">
        <v>74</v>
      </c>
      <c r="P138" t="s">
        <v>74</v>
      </c>
      <c r="Q138" t="s">
        <v>74</v>
      </c>
      <c r="R138" t="s">
        <v>74</v>
      </c>
      <c r="S138" t="s">
        <v>74</v>
      </c>
      <c r="T138" t="s">
        <v>2356</v>
      </c>
      <c r="U138" t="s">
        <v>2357</v>
      </c>
      <c r="V138" t="s">
        <v>2358</v>
      </c>
      <c r="W138" t="s">
        <v>2359</v>
      </c>
      <c r="X138" t="s">
        <v>2360</v>
      </c>
      <c r="Y138" t="s">
        <v>2361</v>
      </c>
      <c r="Z138" t="s">
        <v>2362</v>
      </c>
      <c r="AA138" t="s">
        <v>2363</v>
      </c>
      <c r="AB138" t="s">
        <v>2364</v>
      </c>
      <c r="AC138" t="s">
        <v>74</v>
      </c>
      <c r="AD138" t="s">
        <v>74</v>
      </c>
      <c r="AE138" t="s">
        <v>74</v>
      </c>
      <c r="AF138" t="s">
        <v>74</v>
      </c>
      <c r="AG138">
        <v>28</v>
      </c>
      <c r="AH138">
        <v>9</v>
      </c>
      <c r="AI138">
        <v>9</v>
      </c>
      <c r="AJ138">
        <v>0</v>
      </c>
      <c r="AK138">
        <v>2</v>
      </c>
      <c r="AL138" t="s">
        <v>1073</v>
      </c>
      <c r="AM138" t="s">
        <v>1074</v>
      </c>
      <c r="AN138" t="s">
        <v>1075</v>
      </c>
      <c r="AO138" t="s">
        <v>2365</v>
      </c>
      <c r="AP138" t="s">
        <v>2366</v>
      </c>
      <c r="AQ138" t="s">
        <v>74</v>
      </c>
      <c r="AR138" t="s">
        <v>2355</v>
      </c>
      <c r="AS138" t="s">
        <v>2355</v>
      </c>
      <c r="AT138" t="s">
        <v>2367</v>
      </c>
      <c r="AU138">
        <v>2023</v>
      </c>
      <c r="AV138">
        <v>62</v>
      </c>
      <c r="AW138">
        <v>10</v>
      </c>
      <c r="AX138" t="s">
        <v>74</v>
      </c>
      <c r="AY138" t="s">
        <v>74</v>
      </c>
      <c r="AZ138" t="s">
        <v>74</v>
      </c>
      <c r="BA138" t="s">
        <v>74</v>
      </c>
      <c r="BB138">
        <v>3261</v>
      </c>
      <c r="BC138">
        <v>3267</v>
      </c>
      <c r="BD138" t="s">
        <v>74</v>
      </c>
      <c r="BE138" t="s">
        <v>2368</v>
      </c>
      <c r="BF138" t="str">
        <f>HYPERLINK("http://dx.doi.org/10.1093/rheumatology/kead055","http://dx.doi.org/10.1093/rheumatology/kead055")</f>
        <v>http://dx.doi.org/10.1093/rheumatology/kead055</v>
      </c>
      <c r="BG138" t="s">
        <v>74</v>
      </c>
      <c r="BH138" t="s">
        <v>2349</v>
      </c>
      <c r="BI138">
        <v>7</v>
      </c>
      <c r="BJ138" t="s">
        <v>2369</v>
      </c>
      <c r="BK138" t="s">
        <v>101</v>
      </c>
      <c r="BL138" t="s">
        <v>2369</v>
      </c>
      <c r="BM138" t="s">
        <v>2370</v>
      </c>
      <c r="BN138">
        <v>36727465</v>
      </c>
      <c r="BO138" t="s">
        <v>612</v>
      </c>
      <c r="BP138" t="s">
        <v>74</v>
      </c>
      <c r="BQ138" t="s">
        <v>74</v>
      </c>
      <c r="BR138" t="s">
        <v>104</v>
      </c>
      <c r="BS138" t="s">
        <v>2371</v>
      </c>
      <c r="BT138" t="str">
        <f>HYPERLINK("https%3A%2F%2Fwww.webofscience.com%2Fwos%2Fwoscc%2Ffull-record%2FWOS:000937759700001","View Full Record in Web of Science")</f>
        <v>View Full Record in Web of Science</v>
      </c>
    </row>
    <row r="139" spans="1:72" x14ac:dyDescent="0.25">
      <c r="A139" t="s">
        <v>72</v>
      </c>
      <c r="B139" t="s">
        <v>2372</v>
      </c>
      <c r="C139" t="s">
        <v>74</v>
      </c>
      <c r="D139" t="s">
        <v>74</v>
      </c>
      <c r="E139" t="s">
        <v>74</v>
      </c>
      <c r="F139" t="s">
        <v>2373</v>
      </c>
      <c r="G139" t="s">
        <v>74</v>
      </c>
      <c r="H139" t="s">
        <v>74</v>
      </c>
      <c r="I139" t="s">
        <v>2374</v>
      </c>
      <c r="J139" t="s">
        <v>2375</v>
      </c>
      <c r="K139" t="s">
        <v>74</v>
      </c>
      <c r="L139" t="s">
        <v>74</v>
      </c>
      <c r="M139" t="s">
        <v>78</v>
      </c>
      <c r="N139" t="s">
        <v>79</v>
      </c>
      <c r="O139" t="s">
        <v>74</v>
      </c>
      <c r="P139" t="s">
        <v>74</v>
      </c>
      <c r="Q139" t="s">
        <v>74</v>
      </c>
      <c r="R139" t="s">
        <v>74</v>
      </c>
      <c r="S139" t="s">
        <v>74</v>
      </c>
      <c r="T139" t="s">
        <v>2376</v>
      </c>
      <c r="U139" t="s">
        <v>2377</v>
      </c>
      <c r="V139" t="s">
        <v>2378</v>
      </c>
      <c r="W139" t="s">
        <v>2379</v>
      </c>
      <c r="X139" t="s">
        <v>2380</v>
      </c>
      <c r="Y139" t="s">
        <v>2381</v>
      </c>
      <c r="Z139" t="s">
        <v>2382</v>
      </c>
      <c r="AA139" t="s">
        <v>2383</v>
      </c>
      <c r="AB139" t="s">
        <v>2384</v>
      </c>
      <c r="AC139" t="s">
        <v>2385</v>
      </c>
      <c r="AD139" t="s">
        <v>2386</v>
      </c>
      <c r="AE139" t="s">
        <v>2387</v>
      </c>
      <c r="AF139" t="s">
        <v>74</v>
      </c>
      <c r="AG139">
        <v>23</v>
      </c>
      <c r="AH139">
        <v>2</v>
      </c>
      <c r="AI139">
        <v>2</v>
      </c>
      <c r="AJ139">
        <v>0</v>
      </c>
      <c r="AK139">
        <v>4</v>
      </c>
      <c r="AL139" t="s">
        <v>1113</v>
      </c>
      <c r="AM139" t="s">
        <v>1114</v>
      </c>
      <c r="AN139" t="s">
        <v>1115</v>
      </c>
      <c r="AO139" t="s">
        <v>74</v>
      </c>
      <c r="AP139" t="s">
        <v>2388</v>
      </c>
      <c r="AQ139" t="s">
        <v>74</v>
      </c>
      <c r="AR139" t="s">
        <v>2389</v>
      </c>
      <c r="AS139" t="s">
        <v>2390</v>
      </c>
      <c r="AT139" t="s">
        <v>129</v>
      </c>
      <c r="AU139">
        <v>2023</v>
      </c>
      <c r="AV139">
        <v>12</v>
      </c>
      <c r="AW139">
        <v>4</v>
      </c>
      <c r="AX139" t="s">
        <v>74</v>
      </c>
      <c r="AY139" t="s">
        <v>74</v>
      </c>
      <c r="AZ139" t="s">
        <v>74</v>
      </c>
      <c r="BA139" t="s">
        <v>74</v>
      </c>
      <c r="BB139" t="s">
        <v>74</v>
      </c>
      <c r="BC139" t="s">
        <v>74</v>
      </c>
      <c r="BD139">
        <v>665</v>
      </c>
      <c r="BE139" t="s">
        <v>2391</v>
      </c>
      <c r="BF139" t="str">
        <f>HYPERLINK("http://dx.doi.org/10.3390/cells12040665","http://dx.doi.org/10.3390/cells12040665")</f>
        <v>http://dx.doi.org/10.3390/cells12040665</v>
      </c>
      <c r="BG139" t="s">
        <v>74</v>
      </c>
      <c r="BH139" t="s">
        <v>74</v>
      </c>
      <c r="BI139">
        <v>11</v>
      </c>
      <c r="BJ139" t="s">
        <v>2392</v>
      </c>
      <c r="BK139" t="s">
        <v>101</v>
      </c>
      <c r="BL139" t="s">
        <v>2392</v>
      </c>
      <c r="BM139" t="s">
        <v>2393</v>
      </c>
      <c r="BN139">
        <v>36831332</v>
      </c>
      <c r="BO139" t="s">
        <v>809</v>
      </c>
      <c r="BP139" t="s">
        <v>74</v>
      </c>
      <c r="BQ139" t="s">
        <v>74</v>
      </c>
      <c r="BR139" t="s">
        <v>104</v>
      </c>
      <c r="BS139" t="s">
        <v>2394</v>
      </c>
      <c r="BT139" t="str">
        <f>HYPERLINK("https%3A%2F%2Fwww.webofscience.com%2Fwos%2Fwoscc%2Ffull-record%2FWOS:000945167700001","View Full Record in Web of Science")</f>
        <v>View Full Record in Web of Science</v>
      </c>
    </row>
    <row r="140" spans="1:72" x14ac:dyDescent="0.25">
      <c r="A140" t="s">
        <v>72</v>
      </c>
      <c r="B140" t="s">
        <v>2395</v>
      </c>
      <c r="C140" t="s">
        <v>74</v>
      </c>
      <c r="D140" t="s">
        <v>74</v>
      </c>
      <c r="E140" t="s">
        <v>74</v>
      </c>
      <c r="F140" t="s">
        <v>2396</v>
      </c>
      <c r="G140" t="s">
        <v>74</v>
      </c>
      <c r="H140" t="s">
        <v>74</v>
      </c>
      <c r="I140" t="s">
        <v>2397</v>
      </c>
      <c r="J140" t="s">
        <v>2398</v>
      </c>
      <c r="K140" t="s">
        <v>74</v>
      </c>
      <c r="L140" t="s">
        <v>74</v>
      </c>
      <c r="M140" t="s">
        <v>78</v>
      </c>
      <c r="N140" t="s">
        <v>52</v>
      </c>
      <c r="O140" t="s">
        <v>74</v>
      </c>
      <c r="P140" t="s">
        <v>74</v>
      </c>
      <c r="Q140" t="s">
        <v>74</v>
      </c>
      <c r="R140" t="s">
        <v>74</v>
      </c>
      <c r="S140" t="s">
        <v>74</v>
      </c>
      <c r="T140" t="s">
        <v>74</v>
      </c>
      <c r="U140" t="s">
        <v>74</v>
      </c>
      <c r="V140" t="s">
        <v>74</v>
      </c>
      <c r="W140" t="s">
        <v>2399</v>
      </c>
      <c r="X140" t="s">
        <v>2400</v>
      </c>
      <c r="Y140" t="s">
        <v>74</v>
      </c>
      <c r="Z140" t="s">
        <v>74</v>
      </c>
      <c r="AA140" t="s">
        <v>2401</v>
      </c>
      <c r="AB140" t="s">
        <v>257</v>
      </c>
      <c r="AC140" t="s">
        <v>2076</v>
      </c>
      <c r="AD140" t="s">
        <v>2077</v>
      </c>
      <c r="AE140" t="s">
        <v>2402</v>
      </c>
      <c r="AF140" t="s">
        <v>74</v>
      </c>
      <c r="AG140">
        <v>0</v>
      </c>
      <c r="AH140">
        <v>0</v>
      </c>
      <c r="AI140">
        <v>0</v>
      </c>
      <c r="AJ140">
        <v>0</v>
      </c>
      <c r="AK140">
        <v>0</v>
      </c>
      <c r="AL140" t="s">
        <v>169</v>
      </c>
      <c r="AM140" t="s">
        <v>170</v>
      </c>
      <c r="AN140" t="s">
        <v>171</v>
      </c>
      <c r="AO140" t="s">
        <v>2403</v>
      </c>
      <c r="AP140" t="s">
        <v>2404</v>
      </c>
      <c r="AQ140" t="s">
        <v>74</v>
      </c>
      <c r="AR140" t="s">
        <v>2398</v>
      </c>
      <c r="AS140" t="s">
        <v>2405</v>
      </c>
      <c r="AT140" t="s">
        <v>129</v>
      </c>
      <c r="AU140">
        <v>2023</v>
      </c>
      <c r="AV140">
        <v>28</v>
      </c>
      <c r="AW140" t="s">
        <v>74</v>
      </c>
      <c r="AX140" t="s">
        <v>74</v>
      </c>
      <c r="AY140">
        <v>1</v>
      </c>
      <c r="AZ140" t="s">
        <v>74</v>
      </c>
      <c r="BA140" t="s">
        <v>2406</v>
      </c>
      <c r="BB140">
        <v>76</v>
      </c>
      <c r="BC140">
        <v>78</v>
      </c>
      <c r="BD140" t="s">
        <v>74</v>
      </c>
      <c r="BE140" t="s">
        <v>74</v>
      </c>
      <c r="BF140" t="s">
        <v>74</v>
      </c>
      <c r="BG140" t="s">
        <v>74</v>
      </c>
      <c r="BH140" t="s">
        <v>74</v>
      </c>
      <c r="BI140">
        <v>3</v>
      </c>
      <c r="BJ140" t="s">
        <v>228</v>
      </c>
      <c r="BK140" t="s">
        <v>101</v>
      </c>
      <c r="BL140" t="s">
        <v>228</v>
      </c>
      <c r="BM140" t="s">
        <v>2407</v>
      </c>
      <c r="BN140" t="s">
        <v>74</v>
      </c>
      <c r="BO140" t="s">
        <v>74</v>
      </c>
      <c r="BP140" t="s">
        <v>74</v>
      </c>
      <c r="BQ140" t="s">
        <v>74</v>
      </c>
      <c r="BR140" t="s">
        <v>104</v>
      </c>
      <c r="BS140" t="s">
        <v>2408</v>
      </c>
      <c r="BT140" t="str">
        <f>HYPERLINK("https%3A%2F%2Fwww.webofscience.com%2Fwos%2Fwoscc%2Ffull-record%2FWOS:001002451700113","View Full Record in Web of Science")</f>
        <v>View Full Record in Web of Science</v>
      </c>
    </row>
    <row r="141" spans="1:72" x14ac:dyDescent="0.25">
      <c r="A141" t="s">
        <v>72</v>
      </c>
      <c r="B141" t="s">
        <v>2409</v>
      </c>
      <c r="C141" t="s">
        <v>74</v>
      </c>
      <c r="D141" t="s">
        <v>74</v>
      </c>
      <c r="E141" t="s">
        <v>74</v>
      </c>
      <c r="F141" t="s">
        <v>2410</v>
      </c>
      <c r="G141" t="s">
        <v>74</v>
      </c>
      <c r="H141" t="s">
        <v>74</v>
      </c>
      <c r="I141" t="s">
        <v>2411</v>
      </c>
      <c r="J141" t="s">
        <v>1068</v>
      </c>
      <c r="K141" t="s">
        <v>74</v>
      </c>
      <c r="L141" t="s">
        <v>74</v>
      </c>
      <c r="M141" t="s">
        <v>78</v>
      </c>
      <c r="N141" t="s">
        <v>140</v>
      </c>
      <c r="O141" t="s">
        <v>74</v>
      </c>
      <c r="P141" t="s">
        <v>74</v>
      </c>
      <c r="Q141" t="s">
        <v>74</v>
      </c>
      <c r="R141" t="s">
        <v>74</v>
      </c>
      <c r="S141" t="s">
        <v>74</v>
      </c>
      <c r="T141" t="s">
        <v>74</v>
      </c>
      <c r="U141" t="s">
        <v>74</v>
      </c>
      <c r="V141" t="s">
        <v>74</v>
      </c>
      <c r="W141" t="s">
        <v>2412</v>
      </c>
      <c r="X141" t="s">
        <v>2413</v>
      </c>
      <c r="Y141" t="s">
        <v>2414</v>
      </c>
      <c r="Z141" t="s">
        <v>2415</v>
      </c>
      <c r="AA141" t="s">
        <v>2416</v>
      </c>
      <c r="AB141" t="s">
        <v>2417</v>
      </c>
      <c r="AC141" t="s">
        <v>74</v>
      </c>
      <c r="AD141" t="s">
        <v>74</v>
      </c>
      <c r="AE141" t="s">
        <v>74</v>
      </c>
      <c r="AF141" t="s">
        <v>74</v>
      </c>
      <c r="AG141">
        <v>0</v>
      </c>
      <c r="AH141">
        <v>10</v>
      </c>
      <c r="AI141">
        <v>10</v>
      </c>
      <c r="AJ141">
        <v>1</v>
      </c>
      <c r="AK141">
        <v>8</v>
      </c>
      <c r="AL141" t="s">
        <v>1073</v>
      </c>
      <c r="AM141" t="s">
        <v>1074</v>
      </c>
      <c r="AN141" t="s">
        <v>1075</v>
      </c>
      <c r="AO141" t="s">
        <v>1076</v>
      </c>
      <c r="AP141" t="s">
        <v>1077</v>
      </c>
      <c r="AQ141" t="s">
        <v>74</v>
      </c>
      <c r="AR141" t="s">
        <v>1078</v>
      </c>
      <c r="AS141" t="s">
        <v>1079</v>
      </c>
      <c r="AT141" t="s">
        <v>2418</v>
      </c>
      <c r="AU141">
        <v>2023</v>
      </c>
      <c r="AV141">
        <v>44</v>
      </c>
      <c r="AW141">
        <v>10</v>
      </c>
      <c r="AX141" t="s">
        <v>74</v>
      </c>
      <c r="AY141" t="s">
        <v>74</v>
      </c>
      <c r="AZ141" t="s">
        <v>1080</v>
      </c>
      <c r="BA141" t="s">
        <v>74</v>
      </c>
      <c r="BB141">
        <v>792</v>
      </c>
      <c r="BC141">
        <v>793</v>
      </c>
      <c r="BD141" t="s">
        <v>74</v>
      </c>
      <c r="BE141" t="s">
        <v>2419</v>
      </c>
      <c r="BF141" t="str">
        <f>HYPERLINK("http://dx.doi.org/10.1093/eurheartj/ehad018","http://dx.doi.org/10.1093/eurheartj/ehad018")</f>
        <v>http://dx.doi.org/10.1093/eurheartj/ehad018</v>
      </c>
      <c r="BG141" t="s">
        <v>74</v>
      </c>
      <c r="BH141" t="s">
        <v>2349</v>
      </c>
      <c r="BI141">
        <v>2</v>
      </c>
      <c r="BJ141" t="s">
        <v>132</v>
      </c>
      <c r="BK141" t="s">
        <v>101</v>
      </c>
      <c r="BL141" t="s">
        <v>133</v>
      </c>
      <c r="BM141" t="s">
        <v>2420</v>
      </c>
      <c r="BN141">
        <v>36723982</v>
      </c>
      <c r="BO141" t="s">
        <v>1194</v>
      </c>
      <c r="BP141" t="s">
        <v>74</v>
      </c>
      <c r="BQ141" t="s">
        <v>74</v>
      </c>
      <c r="BR141" t="s">
        <v>104</v>
      </c>
      <c r="BS141" t="s">
        <v>2421</v>
      </c>
      <c r="BT141" t="str">
        <f>HYPERLINK("https%3A%2F%2Fwww.webofscience.com%2Fwos%2Fwoscc%2Ffull-record%2FWOS:000924450900001","View Full Record in Web of Science")</f>
        <v>View Full Record in Web of Science</v>
      </c>
    </row>
    <row r="142" spans="1:72" x14ac:dyDescent="0.25">
      <c r="A142" t="s">
        <v>72</v>
      </c>
      <c r="B142" t="s">
        <v>2422</v>
      </c>
      <c r="C142" t="s">
        <v>74</v>
      </c>
      <c r="D142" t="s">
        <v>74</v>
      </c>
      <c r="E142" t="s">
        <v>74</v>
      </c>
      <c r="F142" t="s">
        <v>2423</v>
      </c>
      <c r="G142" t="s">
        <v>74</v>
      </c>
      <c r="H142" t="s">
        <v>74</v>
      </c>
      <c r="I142" t="s">
        <v>2424</v>
      </c>
      <c r="J142" t="s">
        <v>2425</v>
      </c>
      <c r="K142" t="s">
        <v>74</v>
      </c>
      <c r="L142" t="s">
        <v>74</v>
      </c>
      <c r="M142" t="s">
        <v>78</v>
      </c>
      <c r="N142" t="s">
        <v>79</v>
      </c>
      <c r="O142" t="s">
        <v>74</v>
      </c>
      <c r="P142" t="s">
        <v>74</v>
      </c>
      <c r="Q142" t="s">
        <v>74</v>
      </c>
      <c r="R142" t="s">
        <v>74</v>
      </c>
      <c r="S142" t="s">
        <v>74</v>
      </c>
      <c r="T142" t="s">
        <v>2426</v>
      </c>
      <c r="U142" t="s">
        <v>2427</v>
      </c>
      <c r="V142" t="s">
        <v>2428</v>
      </c>
      <c r="W142" t="s">
        <v>2429</v>
      </c>
      <c r="X142" t="s">
        <v>2430</v>
      </c>
      <c r="Y142" t="s">
        <v>2431</v>
      </c>
      <c r="Z142" t="s">
        <v>442</v>
      </c>
      <c r="AA142" t="s">
        <v>2432</v>
      </c>
      <c r="AB142" t="s">
        <v>2433</v>
      </c>
      <c r="AC142" t="s">
        <v>2434</v>
      </c>
      <c r="AD142" t="s">
        <v>2435</v>
      </c>
      <c r="AE142" t="s">
        <v>2436</v>
      </c>
      <c r="AF142" t="s">
        <v>74</v>
      </c>
      <c r="AG142">
        <v>50</v>
      </c>
      <c r="AH142">
        <v>3</v>
      </c>
      <c r="AI142">
        <v>3</v>
      </c>
      <c r="AJ142">
        <v>0</v>
      </c>
      <c r="AK142">
        <v>0</v>
      </c>
      <c r="AL142" t="s">
        <v>2437</v>
      </c>
      <c r="AM142" t="s">
        <v>2438</v>
      </c>
      <c r="AN142" t="s">
        <v>2439</v>
      </c>
      <c r="AO142" t="s">
        <v>2440</v>
      </c>
      <c r="AP142" t="s">
        <v>74</v>
      </c>
      <c r="AQ142" t="s">
        <v>74</v>
      </c>
      <c r="AR142" t="s">
        <v>2441</v>
      </c>
      <c r="AS142" t="s">
        <v>2442</v>
      </c>
      <c r="AT142" t="s">
        <v>1218</v>
      </c>
      <c r="AU142">
        <v>2023</v>
      </c>
      <c r="AV142">
        <v>9</v>
      </c>
      <c r="AW142" t="s">
        <v>74</v>
      </c>
      <c r="AX142" t="s">
        <v>74</v>
      </c>
      <c r="AY142" t="s">
        <v>74</v>
      </c>
      <c r="AZ142" t="s">
        <v>74</v>
      </c>
      <c r="BA142" t="s">
        <v>74</v>
      </c>
      <c r="BB142" t="s">
        <v>74</v>
      </c>
      <c r="BC142" t="s">
        <v>74</v>
      </c>
      <c r="BD142">
        <v>1066047</v>
      </c>
      <c r="BE142" t="s">
        <v>2443</v>
      </c>
      <c r="BF142" t="str">
        <f>HYPERLINK("http://dx.doi.org/10.3389/fcvm.2022.1066047","http://dx.doi.org/10.3389/fcvm.2022.1066047")</f>
        <v>http://dx.doi.org/10.3389/fcvm.2022.1066047</v>
      </c>
      <c r="BG142" t="s">
        <v>74</v>
      </c>
      <c r="BH142" t="s">
        <v>74</v>
      </c>
      <c r="BI142">
        <v>18</v>
      </c>
      <c r="BJ142" t="s">
        <v>132</v>
      </c>
      <c r="BK142" t="s">
        <v>101</v>
      </c>
      <c r="BL142" t="s">
        <v>133</v>
      </c>
      <c r="BM142" t="s">
        <v>2444</v>
      </c>
      <c r="BN142">
        <v>36704469</v>
      </c>
      <c r="BO142" t="s">
        <v>809</v>
      </c>
      <c r="BP142" t="s">
        <v>74</v>
      </c>
      <c r="BQ142" t="s">
        <v>74</v>
      </c>
      <c r="BR142" t="s">
        <v>104</v>
      </c>
      <c r="BS142" t="s">
        <v>2445</v>
      </c>
      <c r="BT142" t="str">
        <f>HYPERLINK("https%3A%2F%2Fwww.webofscience.com%2Fwos%2Fwoscc%2Ffull-record%2FWOS:000919814900001","View Full Record in Web of Science")</f>
        <v>View Full Record in Web of Science</v>
      </c>
    </row>
    <row r="143" spans="1:72" x14ac:dyDescent="0.25">
      <c r="A143" t="s">
        <v>72</v>
      </c>
      <c r="B143" t="s">
        <v>2446</v>
      </c>
      <c r="C143" t="s">
        <v>74</v>
      </c>
      <c r="D143" t="s">
        <v>74</v>
      </c>
      <c r="E143" t="s">
        <v>74</v>
      </c>
      <c r="F143" t="s">
        <v>2447</v>
      </c>
      <c r="G143" t="s">
        <v>74</v>
      </c>
      <c r="H143" t="s">
        <v>74</v>
      </c>
      <c r="I143" t="s">
        <v>2448</v>
      </c>
      <c r="J143" t="s">
        <v>2257</v>
      </c>
      <c r="K143" t="s">
        <v>74</v>
      </c>
      <c r="L143" t="s">
        <v>74</v>
      </c>
      <c r="M143" t="s">
        <v>78</v>
      </c>
      <c r="N143" t="s">
        <v>299</v>
      </c>
      <c r="O143" t="s">
        <v>74</v>
      </c>
      <c r="P143" t="s">
        <v>74</v>
      </c>
      <c r="Q143" t="s">
        <v>74</v>
      </c>
      <c r="R143" t="s">
        <v>74</v>
      </c>
      <c r="S143" t="s">
        <v>74</v>
      </c>
      <c r="T143" t="s">
        <v>2449</v>
      </c>
      <c r="U143" t="s">
        <v>2450</v>
      </c>
      <c r="V143" t="s">
        <v>2451</v>
      </c>
      <c r="W143" t="s">
        <v>2452</v>
      </c>
      <c r="X143" t="s">
        <v>2453</v>
      </c>
      <c r="Y143" t="s">
        <v>2454</v>
      </c>
      <c r="Z143" t="s">
        <v>331</v>
      </c>
      <c r="AA143" t="s">
        <v>144</v>
      </c>
      <c r="AB143" t="s">
        <v>257</v>
      </c>
      <c r="AC143" t="s">
        <v>74</v>
      </c>
      <c r="AD143" t="s">
        <v>74</v>
      </c>
      <c r="AE143" t="s">
        <v>74</v>
      </c>
      <c r="AF143" t="s">
        <v>74</v>
      </c>
      <c r="AG143">
        <v>38</v>
      </c>
      <c r="AH143">
        <v>0</v>
      </c>
      <c r="AI143">
        <v>0</v>
      </c>
      <c r="AJ143">
        <v>1</v>
      </c>
      <c r="AK143">
        <v>2</v>
      </c>
      <c r="AL143" t="s">
        <v>2262</v>
      </c>
      <c r="AM143" t="s">
        <v>2263</v>
      </c>
      <c r="AN143" t="s">
        <v>2264</v>
      </c>
      <c r="AO143" t="s">
        <v>2265</v>
      </c>
      <c r="AP143" t="s">
        <v>2266</v>
      </c>
      <c r="AQ143" t="s">
        <v>74</v>
      </c>
      <c r="AR143" t="s">
        <v>2267</v>
      </c>
      <c r="AS143" t="s">
        <v>2268</v>
      </c>
      <c r="AT143" t="s">
        <v>176</v>
      </c>
      <c r="AU143">
        <v>2023</v>
      </c>
      <c r="AV143">
        <v>207</v>
      </c>
      <c r="AW143">
        <v>1</v>
      </c>
      <c r="AX143" t="s">
        <v>74</v>
      </c>
      <c r="AY143" t="s">
        <v>74</v>
      </c>
      <c r="AZ143" t="s">
        <v>74</v>
      </c>
      <c r="BA143" t="s">
        <v>74</v>
      </c>
      <c r="BB143">
        <v>38</v>
      </c>
      <c r="BC143">
        <v>44</v>
      </c>
      <c r="BD143" t="s">
        <v>74</v>
      </c>
      <c r="BE143" t="s">
        <v>2455</v>
      </c>
      <c r="BF143" t="str">
        <f>HYPERLINK("http://dx.doi.org/10.1016/j.banm.2022.09.001","http://dx.doi.org/10.1016/j.banm.2022.09.001")</f>
        <v>http://dx.doi.org/10.1016/j.banm.2022.09.001</v>
      </c>
      <c r="BG143" t="s">
        <v>74</v>
      </c>
      <c r="BH143" t="s">
        <v>2456</v>
      </c>
      <c r="BI143">
        <v>7</v>
      </c>
      <c r="BJ143" t="s">
        <v>1152</v>
      </c>
      <c r="BK143" t="s">
        <v>101</v>
      </c>
      <c r="BL143" t="s">
        <v>1153</v>
      </c>
      <c r="BM143" t="s">
        <v>2457</v>
      </c>
      <c r="BN143" t="s">
        <v>74</v>
      </c>
      <c r="BO143" t="s">
        <v>1194</v>
      </c>
      <c r="BP143" t="s">
        <v>74</v>
      </c>
      <c r="BQ143" t="s">
        <v>74</v>
      </c>
      <c r="BR143" t="s">
        <v>104</v>
      </c>
      <c r="BS143" t="s">
        <v>2458</v>
      </c>
      <c r="BT143" t="str">
        <f>HYPERLINK("https%3A%2F%2Fwww.webofscience.com%2Fwos%2Fwoscc%2Ffull-record%2FWOS:001030418500001","View Full Record in Web of Science")</f>
        <v>View Full Record in Web of Science</v>
      </c>
    </row>
    <row r="144" spans="1:72" x14ac:dyDescent="0.25">
      <c r="A144" t="s">
        <v>72</v>
      </c>
      <c r="B144" t="s">
        <v>2459</v>
      </c>
      <c r="C144" t="s">
        <v>74</v>
      </c>
      <c r="D144" t="s">
        <v>74</v>
      </c>
      <c r="E144" t="s">
        <v>74</v>
      </c>
      <c r="F144" t="s">
        <v>2460</v>
      </c>
      <c r="G144" t="s">
        <v>74</v>
      </c>
      <c r="H144" t="s">
        <v>74</v>
      </c>
      <c r="I144" t="s">
        <v>2461</v>
      </c>
      <c r="J144" t="s">
        <v>2257</v>
      </c>
      <c r="K144" t="s">
        <v>74</v>
      </c>
      <c r="L144" t="s">
        <v>74</v>
      </c>
      <c r="M144" t="s">
        <v>78</v>
      </c>
      <c r="N144" t="s">
        <v>79</v>
      </c>
      <c r="O144" t="s">
        <v>74</v>
      </c>
      <c r="P144" t="s">
        <v>74</v>
      </c>
      <c r="Q144" t="s">
        <v>74</v>
      </c>
      <c r="R144" t="s">
        <v>74</v>
      </c>
      <c r="S144" t="s">
        <v>74</v>
      </c>
      <c r="T144" t="s">
        <v>2462</v>
      </c>
      <c r="U144" t="s">
        <v>2463</v>
      </c>
      <c r="V144" t="s">
        <v>2464</v>
      </c>
      <c r="W144" t="s">
        <v>2465</v>
      </c>
      <c r="X144" t="s">
        <v>2466</v>
      </c>
      <c r="Y144" t="s">
        <v>2467</v>
      </c>
      <c r="Z144" t="s">
        <v>2468</v>
      </c>
      <c r="AA144" t="s">
        <v>144</v>
      </c>
      <c r="AB144" t="s">
        <v>257</v>
      </c>
      <c r="AC144" t="s">
        <v>74</v>
      </c>
      <c r="AD144" t="s">
        <v>74</v>
      </c>
      <c r="AE144" t="s">
        <v>74</v>
      </c>
      <c r="AF144" t="s">
        <v>74</v>
      </c>
      <c r="AG144">
        <v>25</v>
      </c>
      <c r="AH144">
        <v>0</v>
      </c>
      <c r="AI144">
        <v>0</v>
      </c>
      <c r="AJ144">
        <v>0</v>
      </c>
      <c r="AK144">
        <v>0</v>
      </c>
      <c r="AL144" t="s">
        <v>2262</v>
      </c>
      <c r="AM144" t="s">
        <v>2263</v>
      </c>
      <c r="AN144" t="s">
        <v>2264</v>
      </c>
      <c r="AO144" t="s">
        <v>2265</v>
      </c>
      <c r="AP144" t="s">
        <v>2266</v>
      </c>
      <c r="AQ144" t="s">
        <v>74</v>
      </c>
      <c r="AR144" t="s">
        <v>2267</v>
      </c>
      <c r="AS144" t="s">
        <v>2268</v>
      </c>
      <c r="AT144" t="s">
        <v>176</v>
      </c>
      <c r="AU144">
        <v>2023</v>
      </c>
      <c r="AV144">
        <v>207</v>
      </c>
      <c r="AW144">
        <v>1</v>
      </c>
      <c r="AX144" t="s">
        <v>74</v>
      </c>
      <c r="AY144" t="s">
        <v>74</v>
      </c>
      <c r="AZ144" t="s">
        <v>74</v>
      </c>
      <c r="BA144" t="s">
        <v>74</v>
      </c>
      <c r="BB144">
        <v>32</v>
      </c>
      <c r="BC144">
        <v>37</v>
      </c>
      <c r="BD144" t="s">
        <v>74</v>
      </c>
      <c r="BE144" t="s">
        <v>2469</v>
      </c>
      <c r="BF144" t="str">
        <f>HYPERLINK("http://dx.doi.org/10.1016/j.banm.2022.10.010","http://dx.doi.org/10.1016/j.banm.2022.10.010")</f>
        <v>http://dx.doi.org/10.1016/j.banm.2022.10.010</v>
      </c>
      <c r="BG144" t="s">
        <v>74</v>
      </c>
      <c r="BH144" t="s">
        <v>2456</v>
      </c>
      <c r="BI144">
        <v>6</v>
      </c>
      <c r="BJ144" t="s">
        <v>1152</v>
      </c>
      <c r="BK144" t="s">
        <v>101</v>
      </c>
      <c r="BL144" t="s">
        <v>1153</v>
      </c>
      <c r="BM144" t="s">
        <v>2470</v>
      </c>
      <c r="BN144" t="s">
        <v>74</v>
      </c>
      <c r="BO144" t="s">
        <v>1194</v>
      </c>
      <c r="BP144" t="s">
        <v>74</v>
      </c>
      <c r="BQ144" t="s">
        <v>74</v>
      </c>
      <c r="BR144" t="s">
        <v>104</v>
      </c>
      <c r="BS144" t="s">
        <v>2471</v>
      </c>
      <c r="BT144" t="str">
        <f>HYPERLINK("https%3A%2F%2Fwww.webofscience.com%2Fwos%2Fwoscc%2Ffull-record%2FWOS:001030410600001","View Full Record in Web of Science")</f>
        <v>View Full Record in Web of Science</v>
      </c>
    </row>
    <row r="145" spans="1:72" x14ac:dyDescent="0.25">
      <c r="A145" t="s">
        <v>72</v>
      </c>
      <c r="B145" t="s">
        <v>2472</v>
      </c>
      <c r="C145" t="s">
        <v>74</v>
      </c>
      <c r="D145" t="s">
        <v>74</v>
      </c>
      <c r="E145" t="s">
        <v>74</v>
      </c>
      <c r="F145" t="s">
        <v>2473</v>
      </c>
      <c r="G145" t="s">
        <v>74</v>
      </c>
      <c r="H145" t="s">
        <v>74</v>
      </c>
      <c r="I145" t="s">
        <v>2474</v>
      </c>
      <c r="J145" t="s">
        <v>2475</v>
      </c>
      <c r="K145" t="s">
        <v>74</v>
      </c>
      <c r="L145" t="s">
        <v>74</v>
      </c>
      <c r="M145" t="s">
        <v>78</v>
      </c>
      <c r="N145" t="s">
        <v>79</v>
      </c>
      <c r="O145" t="s">
        <v>74</v>
      </c>
      <c r="P145" t="s">
        <v>74</v>
      </c>
      <c r="Q145" t="s">
        <v>74</v>
      </c>
      <c r="R145" t="s">
        <v>74</v>
      </c>
      <c r="S145" t="s">
        <v>74</v>
      </c>
      <c r="T145" t="s">
        <v>74</v>
      </c>
      <c r="U145" t="s">
        <v>2476</v>
      </c>
      <c r="V145" t="s">
        <v>2477</v>
      </c>
      <c r="W145" t="s">
        <v>2478</v>
      </c>
      <c r="X145" t="s">
        <v>2479</v>
      </c>
      <c r="Y145" t="s">
        <v>2480</v>
      </c>
      <c r="Z145" t="s">
        <v>2481</v>
      </c>
      <c r="AA145" t="s">
        <v>2482</v>
      </c>
      <c r="AB145" t="s">
        <v>2483</v>
      </c>
      <c r="AC145" t="s">
        <v>74</v>
      </c>
      <c r="AD145" t="s">
        <v>74</v>
      </c>
      <c r="AE145" t="s">
        <v>74</v>
      </c>
      <c r="AF145" t="s">
        <v>74</v>
      </c>
      <c r="AG145">
        <v>43</v>
      </c>
      <c r="AH145">
        <v>1</v>
      </c>
      <c r="AI145">
        <v>1</v>
      </c>
      <c r="AJ145">
        <v>0</v>
      </c>
      <c r="AK145">
        <v>0</v>
      </c>
      <c r="AL145" t="s">
        <v>1358</v>
      </c>
      <c r="AM145" t="s">
        <v>1359</v>
      </c>
      <c r="AN145" t="s">
        <v>1360</v>
      </c>
      <c r="AO145" t="s">
        <v>2484</v>
      </c>
      <c r="AP145" t="s">
        <v>74</v>
      </c>
      <c r="AQ145" t="s">
        <v>74</v>
      </c>
      <c r="AR145" t="s">
        <v>2485</v>
      </c>
      <c r="AS145" t="s">
        <v>2486</v>
      </c>
      <c r="AT145" t="s">
        <v>176</v>
      </c>
      <c r="AU145">
        <v>2023</v>
      </c>
      <c r="AV145">
        <v>81</v>
      </c>
      <c r="AW145">
        <v>1</v>
      </c>
      <c r="AX145" t="s">
        <v>74</v>
      </c>
      <c r="AY145" t="s">
        <v>74</v>
      </c>
      <c r="AZ145" t="s">
        <v>74</v>
      </c>
      <c r="BA145" t="s">
        <v>74</v>
      </c>
      <c r="BB145">
        <v>53</v>
      </c>
      <c r="BC145">
        <v>63</v>
      </c>
      <c r="BD145" t="s">
        <v>74</v>
      </c>
      <c r="BE145" t="s">
        <v>2487</v>
      </c>
      <c r="BF145" t="str">
        <f>HYPERLINK("http://dx.doi.org/10.1016/j.pharma.2022.06.005","http://dx.doi.org/10.1016/j.pharma.2022.06.005")</f>
        <v>http://dx.doi.org/10.1016/j.pharma.2022.06.005</v>
      </c>
      <c r="BG145" t="s">
        <v>74</v>
      </c>
      <c r="BH145" t="s">
        <v>2456</v>
      </c>
      <c r="BI145">
        <v>11</v>
      </c>
      <c r="BJ145" t="s">
        <v>1477</v>
      </c>
      <c r="BK145" t="s">
        <v>2192</v>
      </c>
      <c r="BL145" t="s">
        <v>1477</v>
      </c>
      <c r="BM145" t="s">
        <v>2488</v>
      </c>
      <c r="BN145">
        <v>35738438</v>
      </c>
      <c r="BO145" t="s">
        <v>1194</v>
      </c>
      <c r="BP145" t="s">
        <v>74</v>
      </c>
      <c r="BQ145" t="s">
        <v>74</v>
      </c>
      <c r="BR145" t="s">
        <v>104</v>
      </c>
      <c r="BS145" t="s">
        <v>2489</v>
      </c>
      <c r="BT145" t="str">
        <f>HYPERLINK("https%3A%2F%2Fwww.webofscience.com%2Fwos%2Fwoscc%2Ffull-record%2FWOS:001032543700001","View Full Record in Web of Science")</f>
        <v>View Full Record in Web of Science</v>
      </c>
    </row>
    <row r="146" spans="1:72" x14ac:dyDescent="0.25">
      <c r="A146" t="s">
        <v>72</v>
      </c>
      <c r="B146" t="s">
        <v>2490</v>
      </c>
      <c r="C146" t="s">
        <v>74</v>
      </c>
      <c r="D146" t="s">
        <v>74</v>
      </c>
      <c r="E146" t="s">
        <v>74</v>
      </c>
      <c r="F146" t="s">
        <v>2491</v>
      </c>
      <c r="G146" t="s">
        <v>74</v>
      </c>
      <c r="H146" t="s">
        <v>74</v>
      </c>
      <c r="I146" t="s">
        <v>2492</v>
      </c>
      <c r="J146" t="s">
        <v>216</v>
      </c>
      <c r="K146" t="s">
        <v>74</v>
      </c>
      <c r="L146" t="s">
        <v>74</v>
      </c>
      <c r="M146" t="s">
        <v>78</v>
      </c>
      <c r="N146" t="s">
        <v>79</v>
      </c>
      <c r="O146" t="s">
        <v>74</v>
      </c>
      <c r="P146" t="s">
        <v>74</v>
      </c>
      <c r="Q146" t="s">
        <v>74</v>
      </c>
      <c r="R146" t="s">
        <v>74</v>
      </c>
      <c r="S146" t="s">
        <v>74</v>
      </c>
      <c r="T146" t="s">
        <v>74</v>
      </c>
      <c r="U146" t="s">
        <v>2493</v>
      </c>
      <c r="V146" t="s">
        <v>2494</v>
      </c>
      <c r="W146" t="s">
        <v>2495</v>
      </c>
      <c r="X146" t="s">
        <v>2496</v>
      </c>
      <c r="Y146" t="s">
        <v>2497</v>
      </c>
      <c r="Z146" t="s">
        <v>2498</v>
      </c>
      <c r="AA146" t="s">
        <v>2499</v>
      </c>
      <c r="AB146" t="s">
        <v>2500</v>
      </c>
      <c r="AC146" t="s">
        <v>2501</v>
      </c>
      <c r="AD146" t="s">
        <v>2502</v>
      </c>
      <c r="AE146" t="s">
        <v>2503</v>
      </c>
      <c r="AF146" t="s">
        <v>74</v>
      </c>
      <c r="AG146">
        <v>30</v>
      </c>
      <c r="AH146">
        <v>82</v>
      </c>
      <c r="AI146">
        <v>83</v>
      </c>
      <c r="AJ146">
        <v>5</v>
      </c>
      <c r="AK146">
        <v>5</v>
      </c>
      <c r="AL146" t="s">
        <v>219</v>
      </c>
      <c r="AM146" t="s">
        <v>220</v>
      </c>
      <c r="AN146" t="s">
        <v>221</v>
      </c>
      <c r="AO146" t="s">
        <v>222</v>
      </c>
      <c r="AP146" t="s">
        <v>223</v>
      </c>
      <c r="AQ146" t="s">
        <v>74</v>
      </c>
      <c r="AR146" t="s">
        <v>224</v>
      </c>
      <c r="AS146" t="s">
        <v>225</v>
      </c>
      <c r="AT146" t="s">
        <v>1247</v>
      </c>
      <c r="AU146">
        <v>2023</v>
      </c>
      <c r="AV146">
        <v>61</v>
      </c>
      <c r="AW146">
        <v>1</v>
      </c>
      <c r="AX146" t="s">
        <v>74</v>
      </c>
      <c r="AY146" t="s">
        <v>74</v>
      </c>
      <c r="AZ146" t="s">
        <v>74</v>
      </c>
      <c r="BA146" t="s">
        <v>74</v>
      </c>
      <c r="BB146" t="s">
        <v>74</v>
      </c>
      <c r="BC146" t="s">
        <v>74</v>
      </c>
      <c r="BD146">
        <v>2201347</v>
      </c>
      <c r="BE146" t="s">
        <v>2504</v>
      </c>
      <c r="BF146" t="str">
        <f>HYPERLINK("http://dx.doi.org/10.1183/13993003.01347-2022","http://dx.doi.org/10.1183/13993003.01347-2022")</f>
        <v>http://dx.doi.org/10.1183/13993003.01347-2022</v>
      </c>
      <c r="BG146" t="s">
        <v>74</v>
      </c>
      <c r="BH146" t="s">
        <v>74</v>
      </c>
      <c r="BI146">
        <v>12</v>
      </c>
      <c r="BJ146" t="s">
        <v>228</v>
      </c>
      <c r="BK146" t="s">
        <v>101</v>
      </c>
      <c r="BL146" t="s">
        <v>228</v>
      </c>
      <c r="BM146" t="s">
        <v>2505</v>
      </c>
      <c r="BN146">
        <v>36041750</v>
      </c>
      <c r="BO146" t="s">
        <v>246</v>
      </c>
      <c r="BP146" t="s">
        <v>1155</v>
      </c>
      <c r="BQ146" t="s">
        <v>1156</v>
      </c>
      <c r="BR146" t="s">
        <v>104</v>
      </c>
      <c r="BS146" t="s">
        <v>2506</v>
      </c>
      <c r="BT146" t="str">
        <f>HYPERLINK("https%3A%2F%2Fwww.webofscience.com%2Fwos%2Fwoscc%2Ffull-record%2FWOS:000913404900011","View Full Record in Web of Science")</f>
        <v>View Full Record in Web of Science</v>
      </c>
    </row>
    <row r="147" spans="1:72" x14ac:dyDescent="0.25">
      <c r="A147" t="s">
        <v>72</v>
      </c>
      <c r="B147" t="s">
        <v>2507</v>
      </c>
      <c r="C147" t="s">
        <v>74</v>
      </c>
      <c r="D147" t="s">
        <v>74</v>
      </c>
      <c r="E147" t="s">
        <v>74</v>
      </c>
      <c r="F147" t="s">
        <v>2508</v>
      </c>
      <c r="G147" t="s">
        <v>74</v>
      </c>
      <c r="H147" t="s">
        <v>2176</v>
      </c>
      <c r="I147" t="s">
        <v>2509</v>
      </c>
      <c r="J147" t="s">
        <v>216</v>
      </c>
      <c r="K147" t="s">
        <v>74</v>
      </c>
      <c r="L147" t="s">
        <v>74</v>
      </c>
      <c r="M147" t="s">
        <v>78</v>
      </c>
      <c r="N147" t="s">
        <v>79</v>
      </c>
      <c r="O147" t="s">
        <v>74</v>
      </c>
      <c r="P147" t="s">
        <v>74</v>
      </c>
      <c r="Q147" t="s">
        <v>74</v>
      </c>
      <c r="R147" t="s">
        <v>74</v>
      </c>
      <c r="S147" t="s">
        <v>74</v>
      </c>
      <c r="T147" t="s">
        <v>74</v>
      </c>
      <c r="U147" t="s">
        <v>2180</v>
      </c>
      <c r="V147" t="s">
        <v>74</v>
      </c>
      <c r="W147" t="s">
        <v>2510</v>
      </c>
      <c r="X147" t="s">
        <v>2511</v>
      </c>
      <c r="Y147" t="s">
        <v>2512</v>
      </c>
      <c r="Z147" t="s">
        <v>2513</v>
      </c>
      <c r="AA147" t="s">
        <v>2514</v>
      </c>
      <c r="AB147" t="s">
        <v>2515</v>
      </c>
      <c r="AC147" t="s">
        <v>74</v>
      </c>
      <c r="AD147" t="s">
        <v>74</v>
      </c>
      <c r="AE147" t="s">
        <v>74</v>
      </c>
      <c r="AF147" t="s">
        <v>74</v>
      </c>
      <c r="AG147">
        <v>855</v>
      </c>
      <c r="AH147">
        <v>1444</v>
      </c>
      <c r="AI147">
        <v>1485</v>
      </c>
      <c r="AJ147">
        <v>39</v>
      </c>
      <c r="AK147">
        <v>39</v>
      </c>
      <c r="AL147" t="s">
        <v>219</v>
      </c>
      <c r="AM147" t="s">
        <v>220</v>
      </c>
      <c r="AN147" t="s">
        <v>221</v>
      </c>
      <c r="AO147" t="s">
        <v>222</v>
      </c>
      <c r="AP147" t="s">
        <v>223</v>
      </c>
      <c r="AQ147" t="s">
        <v>74</v>
      </c>
      <c r="AR147" t="s">
        <v>224</v>
      </c>
      <c r="AS147" t="s">
        <v>225</v>
      </c>
      <c r="AT147" t="s">
        <v>1247</v>
      </c>
      <c r="AU147">
        <v>2023</v>
      </c>
      <c r="AV147">
        <v>61</v>
      </c>
      <c r="AW147">
        <v>1</v>
      </c>
      <c r="AX147" t="s">
        <v>74</v>
      </c>
      <c r="AY147" t="s">
        <v>74</v>
      </c>
      <c r="AZ147" t="s">
        <v>74</v>
      </c>
      <c r="BA147" t="s">
        <v>74</v>
      </c>
      <c r="BB147" t="s">
        <v>74</v>
      </c>
      <c r="BC147" t="s">
        <v>74</v>
      </c>
      <c r="BD147">
        <v>2200879</v>
      </c>
      <c r="BE147" t="s">
        <v>2516</v>
      </c>
      <c r="BF147" t="str">
        <f>HYPERLINK("http://dx.doi.org/10.1183/13993003.00879-2022","http://dx.doi.org/10.1183/13993003.00879-2022")</f>
        <v>http://dx.doi.org/10.1183/13993003.00879-2022</v>
      </c>
      <c r="BG147" t="s">
        <v>74</v>
      </c>
      <c r="BH147" t="s">
        <v>74</v>
      </c>
      <c r="BI147">
        <v>144</v>
      </c>
      <c r="BJ147" t="s">
        <v>228</v>
      </c>
      <c r="BK147" t="s">
        <v>101</v>
      </c>
      <c r="BL147" t="s">
        <v>228</v>
      </c>
      <c r="BM147" t="s">
        <v>2505</v>
      </c>
      <c r="BN147">
        <v>36028254</v>
      </c>
      <c r="BO147" t="s">
        <v>2517</v>
      </c>
      <c r="BP147" t="s">
        <v>1155</v>
      </c>
      <c r="BQ147" t="s">
        <v>1155</v>
      </c>
      <c r="BR147" t="s">
        <v>104</v>
      </c>
      <c r="BS147" t="s">
        <v>2518</v>
      </c>
      <c r="BT147" t="str">
        <f>HYPERLINK("https%3A%2F%2Fwww.webofscience.com%2Fwos%2Fwoscc%2Ffull-record%2FWOS:000913404900008","View Full Record in Web of Science")</f>
        <v>View Full Record in Web of Science</v>
      </c>
    </row>
    <row r="148" spans="1:72" x14ac:dyDescent="0.25">
      <c r="A148" t="s">
        <v>72</v>
      </c>
      <c r="B148" t="s">
        <v>2519</v>
      </c>
      <c r="C148" t="s">
        <v>74</v>
      </c>
      <c r="D148" t="s">
        <v>74</v>
      </c>
      <c r="E148" t="s">
        <v>74</v>
      </c>
      <c r="F148" t="s">
        <v>2520</v>
      </c>
      <c r="G148" t="s">
        <v>74</v>
      </c>
      <c r="H148" t="s">
        <v>74</v>
      </c>
      <c r="I148" t="s">
        <v>2521</v>
      </c>
      <c r="J148" t="s">
        <v>349</v>
      </c>
      <c r="K148" t="s">
        <v>74</v>
      </c>
      <c r="L148" t="s">
        <v>74</v>
      </c>
      <c r="M148" t="s">
        <v>78</v>
      </c>
      <c r="N148" t="s">
        <v>79</v>
      </c>
      <c r="O148" t="s">
        <v>74</v>
      </c>
      <c r="P148" t="s">
        <v>74</v>
      </c>
      <c r="Q148" t="s">
        <v>74</v>
      </c>
      <c r="R148" t="s">
        <v>74</v>
      </c>
      <c r="S148" t="s">
        <v>74</v>
      </c>
      <c r="T148" t="s">
        <v>2522</v>
      </c>
      <c r="U148" t="s">
        <v>2523</v>
      </c>
      <c r="V148" t="s">
        <v>2524</v>
      </c>
      <c r="W148" t="s">
        <v>2525</v>
      </c>
      <c r="X148" t="s">
        <v>2526</v>
      </c>
      <c r="Y148" t="s">
        <v>2527</v>
      </c>
      <c r="Z148" t="s">
        <v>2236</v>
      </c>
      <c r="AA148" t="s">
        <v>2528</v>
      </c>
      <c r="AB148" t="s">
        <v>2529</v>
      </c>
      <c r="AC148" t="s">
        <v>74</v>
      </c>
      <c r="AD148" t="s">
        <v>74</v>
      </c>
      <c r="AE148" t="s">
        <v>74</v>
      </c>
      <c r="AF148" t="s">
        <v>74</v>
      </c>
      <c r="AG148">
        <v>62</v>
      </c>
      <c r="AH148">
        <v>3</v>
      </c>
      <c r="AI148">
        <v>3</v>
      </c>
      <c r="AJ148">
        <v>0</v>
      </c>
      <c r="AK148">
        <v>4</v>
      </c>
      <c r="AL148" t="s">
        <v>92</v>
      </c>
      <c r="AM148" t="s">
        <v>361</v>
      </c>
      <c r="AN148" t="s">
        <v>362</v>
      </c>
      <c r="AO148" t="s">
        <v>74</v>
      </c>
      <c r="AP148" t="s">
        <v>363</v>
      </c>
      <c r="AQ148" t="s">
        <v>74</v>
      </c>
      <c r="AR148" t="s">
        <v>364</v>
      </c>
      <c r="AS148" t="s">
        <v>365</v>
      </c>
      <c r="AT148" t="s">
        <v>1060</v>
      </c>
      <c r="AU148">
        <v>2023</v>
      </c>
      <c r="AV148">
        <v>83</v>
      </c>
      <c r="AW148" t="s">
        <v>74</v>
      </c>
      <c r="AX148" t="s">
        <v>74</v>
      </c>
      <c r="AY148" t="s">
        <v>74</v>
      </c>
      <c r="AZ148" t="s">
        <v>74</v>
      </c>
      <c r="BA148" t="s">
        <v>74</v>
      </c>
      <c r="BB148" t="s">
        <v>74</v>
      </c>
      <c r="BC148" t="s">
        <v>74</v>
      </c>
      <c r="BD148">
        <v>100981</v>
      </c>
      <c r="BE148" t="s">
        <v>2530</v>
      </c>
      <c r="BF148" t="str">
        <f>HYPERLINK("http://dx.doi.org/10.1016/j.resmer.2022.100981","http://dx.doi.org/10.1016/j.resmer.2022.100981")</f>
        <v>http://dx.doi.org/10.1016/j.resmer.2022.100981</v>
      </c>
      <c r="BG148" t="s">
        <v>74</v>
      </c>
      <c r="BH148" t="s">
        <v>2531</v>
      </c>
      <c r="BI148">
        <v>13</v>
      </c>
      <c r="BJ148" t="s">
        <v>228</v>
      </c>
      <c r="BK148" t="s">
        <v>101</v>
      </c>
      <c r="BL148" t="s">
        <v>228</v>
      </c>
      <c r="BM148" t="s">
        <v>2532</v>
      </c>
      <c r="BN148">
        <v>36565563</v>
      </c>
      <c r="BO148" t="s">
        <v>74</v>
      </c>
      <c r="BP148" t="s">
        <v>74</v>
      </c>
      <c r="BQ148" t="s">
        <v>74</v>
      </c>
      <c r="BR148" t="s">
        <v>104</v>
      </c>
      <c r="BS148" t="s">
        <v>2533</v>
      </c>
      <c r="BT148" t="str">
        <f>HYPERLINK("https%3A%2F%2Fwww.webofscience.com%2Fwos%2Fwoscc%2Ffull-record%2FWOS:001015737400001","View Full Record in Web of Science")</f>
        <v>View Full Record in Web of Science</v>
      </c>
    </row>
    <row r="149" spans="1:72" x14ac:dyDescent="0.25">
      <c r="A149" t="s">
        <v>72</v>
      </c>
      <c r="B149" t="s">
        <v>2534</v>
      </c>
      <c r="C149" t="s">
        <v>74</v>
      </c>
      <c r="D149" t="s">
        <v>74</v>
      </c>
      <c r="E149" t="s">
        <v>74</v>
      </c>
      <c r="F149" t="s">
        <v>2535</v>
      </c>
      <c r="G149" t="s">
        <v>74</v>
      </c>
      <c r="H149" t="s">
        <v>2536</v>
      </c>
      <c r="I149" t="s">
        <v>2537</v>
      </c>
      <c r="J149" t="s">
        <v>637</v>
      </c>
      <c r="K149" t="s">
        <v>74</v>
      </c>
      <c r="L149" t="s">
        <v>74</v>
      </c>
      <c r="M149" t="s">
        <v>78</v>
      </c>
      <c r="N149" t="s">
        <v>79</v>
      </c>
      <c r="O149" t="s">
        <v>74</v>
      </c>
      <c r="P149" t="s">
        <v>74</v>
      </c>
      <c r="Q149" t="s">
        <v>74</v>
      </c>
      <c r="R149" t="s">
        <v>74</v>
      </c>
      <c r="S149" t="s">
        <v>74</v>
      </c>
      <c r="T149" t="s">
        <v>2538</v>
      </c>
      <c r="U149" t="s">
        <v>2539</v>
      </c>
      <c r="V149" t="s">
        <v>2540</v>
      </c>
      <c r="W149" t="s">
        <v>2541</v>
      </c>
      <c r="X149" t="s">
        <v>2542</v>
      </c>
      <c r="Y149" t="s">
        <v>2543</v>
      </c>
      <c r="Z149" t="s">
        <v>2544</v>
      </c>
      <c r="AA149" t="s">
        <v>2545</v>
      </c>
      <c r="AB149" t="s">
        <v>2546</v>
      </c>
      <c r="AC149" t="s">
        <v>2547</v>
      </c>
      <c r="AD149" t="s">
        <v>2548</v>
      </c>
      <c r="AE149" t="s">
        <v>2549</v>
      </c>
      <c r="AF149" t="s">
        <v>74</v>
      </c>
      <c r="AG149">
        <v>40</v>
      </c>
      <c r="AH149">
        <v>20</v>
      </c>
      <c r="AI149">
        <v>20</v>
      </c>
      <c r="AJ149">
        <v>3</v>
      </c>
      <c r="AK149">
        <v>11</v>
      </c>
      <c r="AL149" t="s">
        <v>649</v>
      </c>
      <c r="AM149" t="s">
        <v>486</v>
      </c>
      <c r="AN149" t="s">
        <v>650</v>
      </c>
      <c r="AO149" t="s">
        <v>651</v>
      </c>
      <c r="AP149" t="s">
        <v>652</v>
      </c>
      <c r="AQ149" t="s">
        <v>74</v>
      </c>
      <c r="AR149" t="s">
        <v>653</v>
      </c>
      <c r="AS149" t="s">
        <v>654</v>
      </c>
      <c r="AT149" t="s">
        <v>155</v>
      </c>
      <c r="AU149">
        <v>2022</v>
      </c>
      <c r="AV149">
        <v>206</v>
      </c>
      <c r="AW149">
        <v>12</v>
      </c>
      <c r="AX149" t="s">
        <v>74</v>
      </c>
      <c r="AY149" t="s">
        <v>74</v>
      </c>
      <c r="AZ149" t="s">
        <v>74</v>
      </c>
      <c r="BA149" t="s">
        <v>74</v>
      </c>
      <c r="BB149">
        <v>1522</v>
      </c>
      <c r="BC149">
        <v>1533</v>
      </c>
      <c r="BD149" t="s">
        <v>74</v>
      </c>
      <c r="BE149" t="s">
        <v>2550</v>
      </c>
      <c r="BF149" t="str">
        <f>HYPERLINK("http://dx.doi.org/10.1164/rccm.202203-0485OC","http://dx.doi.org/10.1164/rccm.202203-0485OC")</f>
        <v>http://dx.doi.org/10.1164/rccm.202203-0485OC</v>
      </c>
      <c r="BG149" t="s">
        <v>74</v>
      </c>
      <c r="BH149" t="s">
        <v>74</v>
      </c>
      <c r="BI149">
        <v>12</v>
      </c>
      <c r="BJ149" t="s">
        <v>341</v>
      </c>
      <c r="BK149" t="s">
        <v>101</v>
      </c>
      <c r="BL149" t="s">
        <v>342</v>
      </c>
      <c r="BM149" t="s">
        <v>2551</v>
      </c>
      <c r="BN149">
        <v>35852389</v>
      </c>
      <c r="BO149" t="s">
        <v>2552</v>
      </c>
      <c r="BP149" t="s">
        <v>74</v>
      </c>
      <c r="BQ149" t="s">
        <v>74</v>
      </c>
      <c r="BR149" t="s">
        <v>104</v>
      </c>
      <c r="BS149" t="s">
        <v>2553</v>
      </c>
      <c r="BT149" t="str">
        <f>HYPERLINK("https%3A%2F%2Fwww.webofscience.com%2Fwos%2Fwoscc%2Ffull-record%2FWOS:000901056900014","View Full Record in Web of Science")</f>
        <v>View Full Record in Web of Science</v>
      </c>
    </row>
    <row r="150" spans="1:72" x14ac:dyDescent="0.25">
      <c r="A150" t="s">
        <v>72</v>
      </c>
      <c r="B150" t="s">
        <v>2554</v>
      </c>
      <c r="C150" t="s">
        <v>74</v>
      </c>
      <c r="D150" t="s">
        <v>74</v>
      </c>
      <c r="E150" t="s">
        <v>74</v>
      </c>
      <c r="F150" t="s">
        <v>2555</v>
      </c>
      <c r="G150" t="s">
        <v>74</v>
      </c>
      <c r="H150" t="s">
        <v>74</v>
      </c>
      <c r="I150" t="s">
        <v>2556</v>
      </c>
      <c r="J150" t="s">
        <v>2425</v>
      </c>
      <c r="K150" t="s">
        <v>74</v>
      </c>
      <c r="L150" t="s">
        <v>74</v>
      </c>
      <c r="M150" t="s">
        <v>78</v>
      </c>
      <c r="N150" t="s">
        <v>79</v>
      </c>
      <c r="O150" t="s">
        <v>74</v>
      </c>
      <c r="P150" t="s">
        <v>74</v>
      </c>
      <c r="Q150" t="s">
        <v>74</v>
      </c>
      <c r="R150" t="s">
        <v>74</v>
      </c>
      <c r="S150" t="s">
        <v>74</v>
      </c>
      <c r="T150" t="s">
        <v>2557</v>
      </c>
      <c r="U150" t="s">
        <v>2558</v>
      </c>
      <c r="V150" t="s">
        <v>2559</v>
      </c>
      <c r="W150" t="s">
        <v>2560</v>
      </c>
      <c r="X150" t="s">
        <v>2561</v>
      </c>
      <c r="Y150" t="s">
        <v>2562</v>
      </c>
      <c r="Z150" t="s">
        <v>2563</v>
      </c>
      <c r="AA150" t="s">
        <v>2564</v>
      </c>
      <c r="AB150" t="s">
        <v>2565</v>
      </c>
      <c r="AC150" t="s">
        <v>74</v>
      </c>
      <c r="AD150" t="s">
        <v>74</v>
      </c>
      <c r="AE150" t="s">
        <v>74</v>
      </c>
      <c r="AF150" t="s">
        <v>74</v>
      </c>
      <c r="AG150">
        <v>95</v>
      </c>
      <c r="AH150">
        <v>5</v>
      </c>
      <c r="AI150">
        <v>5</v>
      </c>
      <c r="AJ150">
        <v>1</v>
      </c>
      <c r="AK150">
        <v>5</v>
      </c>
      <c r="AL150" t="s">
        <v>2437</v>
      </c>
      <c r="AM150" t="s">
        <v>2438</v>
      </c>
      <c r="AN150" t="s">
        <v>2439</v>
      </c>
      <c r="AO150" t="s">
        <v>2440</v>
      </c>
      <c r="AP150" t="s">
        <v>74</v>
      </c>
      <c r="AQ150" t="s">
        <v>74</v>
      </c>
      <c r="AR150" t="s">
        <v>2441</v>
      </c>
      <c r="AS150" t="s">
        <v>2442</v>
      </c>
      <c r="AT150" t="s">
        <v>2566</v>
      </c>
      <c r="AU150">
        <v>2022</v>
      </c>
      <c r="AV150">
        <v>9</v>
      </c>
      <c r="AW150" t="s">
        <v>74</v>
      </c>
      <c r="AX150" t="s">
        <v>74</v>
      </c>
      <c r="AY150" t="s">
        <v>74</v>
      </c>
      <c r="AZ150" t="s">
        <v>74</v>
      </c>
      <c r="BA150" t="s">
        <v>74</v>
      </c>
      <c r="BB150" t="s">
        <v>74</v>
      </c>
      <c r="BC150" t="s">
        <v>74</v>
      </c>
      <c r="BD150">
        <v>1063967</v>
      </c>
      <c r="BE150" t="s">
        <v>2567</v>
      </c>
      <c r="BF150" t="str">
        <f>HYPERLINK("http://dx.doi.org/10.3389/fcvm.2022.1063967","http://dx.doi.org/10.3389/fcvm.2022.1063967")</f>
        <v>http://dx.doi.org/10.3389/fcvm.2022.1063967</v>
      </c>
      <c r="BG150" t="s">
        <v>74</v>
      </c>
      <c r="BH150" t="s">
        <v>74</v>
      </c>
      <c r="BI150">
        <v>21</v>
      </c>
      <c r="BJ150" t="s">
        <v>132</v>
      </c>
      <c r="BK150" t="s">
        <v>101</v>
      </c>
      <c r="BL150" t="s">
        <v>133</v>
      </c>
      <c r="BM150" t="s">
        <v>2568</v>
      </c>
      <c r="BN150">
        <v>36588576</v>
      </c>
      <c r="BO150" t="s">
        <v>809</v>
      </c>
      <c r="BP150" t="s">
        <v>74</v>
      </c>
      <c r="BQ150" t="s">
        <v>74</v>
      </c>
      <c r="BR150" t="s">
        <v>104</v>
      </c>
      <c r="BS150" t="s">
        <v>2569</v>
      </c>
      <c r="BT150" t="str">
        <f>HYPERLINK("https%3A%2F%2Fwww.webofscience.com%2Fwos%2Fwoscc%2Ffull-record%2FWOS:000903806600001","View Full Record in Web of Science")</f>
        <v>View Full Record in Web of Science</v>
      </c>
    </row>
    <row r="151" spans="1:72" x14ac:dyDescent="0.25">
      <c r="A151" t="s">
        <v>72</v>
      </c>
      <c r="B151" t="s">
        <v>2570</v>
      </c>
      <c r="C151" t="s">
        <v>74</v>
      </c>
      <c r="D151" t="s">
        <v>74</v>
      </c>
      <c r="E151" t="s">
        <v>74</v>
      </c>
      <c r="F151" t="s">
        <v>2571</v>
      </c>
      <c r="G151" t="s">
        <v>74</v>
      </c>
      <c r="H151" t="s">
        <v>74</v>
      </c>
      <c r="I151" t="s">
        <v>2572</v>
      </c>
      <c r="J151" t="s">
        <v>1068</v>
      </c>
      <c r="K151" t="s">
        <v>74</v>
      </c>
      <c r="L151" t="s">
        <v>74</v>
      </c>
      <c r="M151" t="s">
        <v>78</v>
      </c>
      <c r="N151" t="s">
        <v>217</v>
      </c>
      <c r="O151" t="s">
        <v>74</v>
      </c>
      <c r="P151" t="s">
        <v>74</v>
      </c>
      <c r="Q151" t="s">
        <v>74</v>
      </c>
      <c r="R151" t="s">
        <v>74</v>
      </c>
      <c r="S151" t="s">
        <v>74</v>
      </c>
      <c r="T151" t="s">
        <v>74</v>
      </c>
      <c r="U151" t="s">
        <v>74</v>
      </c>
      <c r="V151" t="s">
        <v>74</v>
      </c>
      <c r="W151" t="s">
        <v>74</v>
      </c>
      <c r="X151" t="s">
        <v>74</v>
      </c>
      <c r="Y151" t="s">
        <v>74</v>
      </c>
      <c r="Z151" t="s">
        <v>74</v>
      </c>
      <c r="AA151" t="s">
        <v>144</v>
      </c>
      <c r="AB151" t="s">
        <v>257</v>
      </c>
      <c r="AC151" t="s">
        <v>74</v>
      </c>
      <c r="AD151" t="s">
        <v>74</v>
      </c>
      <c r="AE151" t="s">
        <v>74</v>
      </c>
      <c r="AF151" t="s">
        <v>74</v>
      </c>
      <c r="AG151">
        <v>1</v>
      </c>
      <c r="AH151">
        <v>0</v>
      </c>
      <c r="AI151">
        <v>0</v>
      </c>
      <c r="AJ151">
        <v>0</v>
      </c>
      <c r="AK151">
        <v>0</v>
      </c>
      <c r="AL151" t="s">
        <v>1073</v>
      </c>
      <c r="AM151" t="s">
        <v>1074</v>
      </c>
      <c r="AN151" t="s">
        <v>1075</v>
      </c>
      <c r="AO151" t="s">
        <v>1076</v>
      </c>
      <c r="AP151" t="s">
        <v>1077</v>
      </c>
      <c r="AQ151" t="s">
        <v>74</v>
      </c>
      <c r="AR151" t="s">
        <v>1078</v>
      </c>
      <c r="AS151" t="s">
        <v>1079</v>
      </c>
      <c r="AT151" t="s">
        <v>2573</v>
      </c>
      <c r="AU151">
        <v>2023</v>
      </c>
      <c r="AV151">
        <v>44</v>
      </c>
      <c r="AW151">
        <v>5</v>
      </c>
      <c r="AX151" t="s">
        <v>74</v>
      </c>
      <c r="AY151" t="s">
        <v>74</v>
      </c>
      <c r="AZ151" t="s">
        <v>1080</v>
      </c>
      <c r="BA151" t="s">
        <v>74</v>
      </c>
      <c r="BB151">
        <v>380</v>
      </c>
      <c r="BC151">
        <v>380</v>
      </c>
      <c r="BD151" t="s">
        <v>74</v>
      </c>
      <c r="BE151" t="s">
        <v>2574</v>
      </c>
      <c r="BF151" t="str">
        <f>HYPERLINK("http://dx.doi.org/10.1093/eurheartj/ehac766","http://dx.doi.org/10.1093/eurheartj/ehac766")</f>
        <v>http://dx.doi.org/10.1093/eurheartj/ehac766</v>
      </c>
      <c r="BG151" t="s">
        <v>74</v>
      </c>
      <c r="BH151" t="s">
        <v>2531</v>
      </c>
      <c r="BI151">
        <v>1</v>
      </c>
      <c r="BJ151" t="s">
        <v>132</v>
      </c>
      <c r="BK151" t="s">
        <v>101</v>
      </c>
      <c r="BL151" t="s">
        <v>133</v>
      </c>
      <c r="BM151" t="s">
        <v>2575</v>
      </c>
      <c r="BN151" t="s">
        <v>74</v>
      </c>
      <c r="BO151" t="s">
        <v>1194</v>
      </c>
      <c r="BP151" t="s">
        <v>74</v>
      </c>
      <c r="BQ151" t="s">
        <v>74</v>
      </c>
      <c r="BR151" t="s">
        <v>104</v>
      </c>
      <c r="BS151" t="s">
        <v>2576</v>
      </c>
      <c r="BT151" t="str">
        <f>HYPERLINK("https%3A%2F%2Fwww.webofscience.com%2Fwos%2Fwoscc%2Ffull-record%2FWOS:000901549300001","View Full Record in Web of Science")</f>
        <v>View Full Record in Web of Science</v>
      </c>
    </row>
    <row r="152" spans="1:72" x14ac:dyDescent="0.25">
      <c r="A152" t="s">
        <v>72</v>
      </c>
      <c r="B152" t="s">
        <v>2577</v>
      </c>
      <c r="C152" t="s">
        <v>74</v>
      </c>
      <c r="D152" t="s">
        <v>74</v>
      </c>
      <c r="E152" t="s">
        <v>74</v>
      </c>
      <c r="F152" t="s">
        <v>2578</v>
      </c>
      <c r="G152" t="s">
        <v>74</v>
      </c>
      <c r="H152" t="s">
        <v>74</v>
      </c>
      <c r="I152" t="s">
        <v>2579</v>
      </c>
      <c r="J152" t="s">
        <v>2580</v>
      </c>
      <c r="K152" t="s">
        <v>74</v>
      </c>
      <c r="L152" t="s">
        <v>74</v>
      </c>
      <c r="M152" t="s">
        <v>78</v>
      </c>
      <c r="N152" t="s">
        <v>79</v>
      </c>
      <c r="O152" t="s">
        <v>74</v>
      </c>
      <c r="P152" t="s">
        <v>74</v>
      </c>
      <c r="Q152" t="s">
        <v>74</v>
      </c>
      <c r="R152" t="s">
        <v>74</v>
      </c>
      <c r="S152" t="s">
        <v>74</v>
      </c>
      <c r="T152" t="s">
        <v>2581</v>
      </c>
      <c r="U152" t="s">
        <v>2582</v>
      </c>
      <c r="V152" t="s">
        <v>2583</v>
      </c>
      <c r="W152" t="s">
        <v>2584</v>
      </c>
      <c r="X152" t="s">
        <v>2585</v>
      </c>
      <c r="Y152" t="s">
        <v>2586</v>
      </c>
      <c r="Z152" t="s">
        <v>2587</v>
      </c>
      <c r="AA152" t="s">
        <v>2588</v>
      </c>
      <c r="AB152" t="s">
        <v>2589</v>
      </c>
      <c r="AC152" t="s">
        <v>74</v>
      </c>
      <c r="AD152" t="s">
        <v>74</v>
      </c>
      <c r="AE152" t="s">
        <v>74</v>
      </c>
      <c r="AF152" t="s">
        <v>74</v>
      </c>
      <c r="AG152">
        <v>48</v>
      </c>
      <c r="AH152">
        <v>15</v>
      </c>
      <c r="AI152">
        <v>16</v>
      </c>
      <c r="AJ152">
        <v>1</v>
      </c>
      <c r="AK152">
        <v>12</v>
      </c>
      <c r="AL152" t="s">
        <v>2590</v>
      </c>
      <c r="AM152" t="s">
        <v>201</v>
      </c>
      <c r="AN152" t="s">
        <v>2591</v>
      </c>
      <c r="AO152" t="s">
        <v>2592</v>
      </c>
      <c r="AP152" t="s">
        <v>2593</v>
      </c>
      <c r="AQ152" t="s">
        <v>74</v>
      </c>
      <c r="AR152" t="s">
        <v>2594</v>
      </c>
      <c r="AS152" t="s">
        <v>2595</v>
      </c>
      <c r="AT152" t="s">
        <v>98</v>
      </c>
      <c r="AU152">
        <v>2023</v>
      </c>
      <c r="AV152">
        <v>82</v>
      </c>
      <c r="AW152">
        <v>3</v>
      </c>
      <c r="AX152" t="s">
        <v>74</v>
      </c>
      <c r="AY152" t="s">
        <v>74</v>
      </c>
      <c r="AZ152" t="s">
        <v>74</v>
      </c>
      <c r="BA152" t="s">
        <v>74</v>
      </c>
      <c r="BB152">
        <v>365</v>
      </c>
      <c r="BC152">
        <v>373</v>
      </c>
      <c r="BD152" t="s">
        <v>74</v>
      </c>
      <c r="BE152" t="s">
        <v>2596</v>
      </c>
      <c r="BF152" t="str">
        <f>HYPERLINK("http://dx.doi.org/10.1136/ard-2022-223237","http://dx.doi.org/10.1136/ard-2022-223237")</f>
        <v>http://dx.doi.org/10.1136/ard-2022-223237</v>
      </c>
      <c r="BG152" t="s">
        <v>74</v>
      </c>
      <c r="BH152" t="s">
        <v>2531</v>
      </c>
      <c r="BI152">
        <v>9</v>
      </c>
      <c r="BJ152" t="s">
        <v>2369</v>
      </c>
      <c r="BK152" t="s">
        <v>101</v>
      </c>
      <c r="BL152" t="s">
        <v>2369</v>
      </c>
      <c r="BM152" t="s">
        <v>2597</v>
      </c>
      <c r="BN152">
        <v>36600187</v>
      </c>
      <c r="BO152" t="s">
        <v>2598</v>
      </c>
      <c r="BP152" t="s">
        <v>74</v>
      </c>
      <c r="BQ152" t="s">
        <v>74</v>
      </c>
      <c r="BR152" t="s">
        <v>104</v>
      </c>
      <c r="BS152" t="s">
        <v>2599</v>
      </c>
      <c r="BT152" t="str">
        <f>HYPERLINK("https%3A%2F%2Fwww.webofscience.com%2Fwos%2Fwoscc%2Ffull-record%2FWOS:000893822400001","View Full Record in Web of Science")</f>
        <v>View Full Record in Web of Science</v>
      </c>
    </row>
    <row r="153" spans="1:72" x14ac:dyDescent="0.25">
      <c r="A153" t="s">
        <v>72</v>
      </c>
      <c r="B153" t="s">
        <v>2600</v>
      </c>
      <c r="C153" t="s">
        <v>74</v>
      </c>
      <c r="D153" t="s">
        <v>74</v>
      </c>
      <c r="E153" t="s">
        <v>74</v>
      </c>
      <c r="F153" t="s">
        <v>2601</v>
      </c>
      <c r="G153" t="s">
        <v>74</v>
      </c>
      <c r="H153" t="s">
        <v>74</v>
      </c>
      <c r="I153" t="s">
        <v>2602</v>
      </c>
      <c r="J153" t="s">
        <v>2603</v>
      </c>
      <c r="K153" t="s">
        <v>74</v>
      </c>
      <c r="L153" t="s">
        <v>74</v>
      </c>
      <c r="M153" t="s">
        <v>78</v>
      </c>
      <c r="N153" t="s">
        <v>52</v>
      </c>
      <c r="O153" t="s">
        <v>74</v>
      </c>
      <c r="P153" t="s">
        <v>74</v>
      </c>
      <c r="Q153" t="s">
        <v>74</v>
      </c>
      <c r="R153" t="s">
        <v>74</v>
      </c>
      <c r="S153" t="s">
        <v>74</v>
      </c>
      <c r="T153" t="s">
        <v>74</v>
      </c>
      <c r="U153" t="s">
        <v>74</v>
      </c>
      <c r="V153" t="s">
        <v>74</v>
      </c>
      <c r="W153" t="s">
        <v>2604</v>
      </c>
      <c r="X153" t="s">
        <v>2605</v>
      </c>
      <c r="Y153" t="s">
        <v>74</v>
      </c>
      <c r="Z153" t="s">
        <v>74</v>
      </c>
      <c r="AA153" t="s">
        <v>2606</v>
      </c>
      <c r="AB153" t="s">
        <v>257</v>
      </c>
      <c r="AC153" t="s">
        <v>74</v>
      </c>
      <c r="AD153" t="s">
        <v>74</v>
      </c>
      <c r="AE153" t="s">
        <v>74</v>
      </c>
      <c r="AF153" t="s">
        <v>74</v>
      </c>
      <c r="AG153">
        <v>0</v>
      </c>
      <c r="AH153">
        <v>0</v>
      </c>
      <c r="AI153">
        <v>0</v>
      </c>
      <c r="AJ153">
        <v>0</v>
      </c>
      <c r="AK153">
        <v>0</v>
      </c>
      <c r="AL153" t="s">
        <v>991</v>
      </c>
      <c r="AM153" t="s">
        <v>486</v>
      </c>
      <c r="AN153" t="s">
        <v>992</v>
      </c>
      <c r="AO153" t="s">
        <v>2607</v>
      </c>
      <c r="AP153" t="s">
        <v>2608</v>
      </c>
      <c r="AQ153" t="s">
        <v>74</v>
      </c>
      <c r="AR153" t="s">
        <v>2609</v>
      </c>
      <c r="AS153" t="s">
        <v>2610</v>
      </c>
      <c r="AT153" t="s">
        <v>226</v>
      </c>
      <c r="AU153">
        <v>2022</v>
      </c>
      <c r="AV153">
        <v>25</v>
      </c>
      <c r="AW153">
        <v>12</v>
      </c>
      <c r="AX153" t="s">
        <v>74</v>
      </c>
      <c r="AY153" t="s">
        <v>998</v>
      </c>
      <c r="AZ153" t="s">
        <v>74</v>
      </c>
      <c r="BA153" t="s">
        <v>2611</v>
      </c>
      <c r="BB153" t="s">
        <v>2612</v>
      </c>
      <c r="BC153" t="s">
        <v>2612</v>
      </c>
      <c r="BD153" t="s">
        <v>74</v>
      </c>
      <c r="BE153" t="s">
        <v>74</v>
      </c>
      <c r="BF153" t="s">
        <v>74</v>
      </c>
      <c r="BG153" t="s">
        <v>74</v>
      </c>
      <c r="BH153" t="s">
        <v>74</v>
      </c>
      <c r="BI153">
        <v>1</v>
      </c>
      <c r="BJ153" t="s">
        <v>2613</v>
      </c>
      <c r="BK153" t="s">
        <v>2614</v>
      </c>
      <c r="BL153" t="s">
        <v>2615</v>
      </c>
      <c r="BM153" t="s">
        <v>2616</v>
      </c>
      <c r="BN153" t="s">
        <v>74</v>
      </c>
      <c r="BO153" t="s">
        <v>74</v>
      </c>
      <c r="BP153" t="s">
        <v>74</v>
      </c>
      <c r="BQ153" t="s">
        <v>74</v>
      </c>
      <c r="BR153" t="s">
        <v>104</v>
      </c>
      <c r="BS153" t="s">
        <v>2617</v>
      </c>
      <c r="BT153" t="str">
        <f>HYPERLINK("https%3A%2F%2Fwww.webofscience.com%2Fwos%2Fwoscc%2Ffull-record%2FWOS:000897594900232","View Full Record in Web of Science")</f>
        <v>View Full Record in Web of Science</v>
      </c>
    </row>
    <row r="154" spans="1:72" x14ac:dyDescent="0.25">
      <c r="A154" t="s">
        <v>72</v>
      </c>
      <c r="B154" t="s">
        <v>2618</v>
      </c>
      <c r="C154" t="s">
        <v>74</v>
      </c>
      <c r="D154" t="s">
        <v>74</v>
      </c>
      <c r="E154" t="s">
        <v>74</v>
      </c>
      <c r="F154" t="s">
        <v>2619</v>
      </c>
      <c r="G154" t="s">
        <v>74</v>
      </c>
      <c r="H154" t="s">
        <v>74</v>
      </c>
      <c r="I154" t="s">
        <v>2620</v>
      </c>
      <c r="J154" t="s">
        <v>2603</v>
      </c>
      <c r="K154" t="s">
        <v>74</v>
      </c>
      <c r="L154" t="s">
        <v>74</v>
      </c>
      <c r="M154" t="s">
        <v>78</v>
      </c>
      <c r="N154" t="s">
        <v>52</v>
      </c>
      <c r="O154" t="s">
        <v>74</v>
      </c>
      <c r="P154" t="s">
        <v>74</v>
      </c>
      <c r="Q154" t="s">
        <v>74</v>
      </c>
      <c r="R154" t="s">
        <v>74</v>
      </c>
      <c r="S154" t="s">
        <v>74</v>
      </c>
      <c r="T154" t="s">
        <v>74</v>
      </c>
      <c r="U154" t="s">
        <v>74</v>
      </c>
      <c r="V154" t="s">
        <v>74</v>
      </c>
      <c r="W154" t="s">
        <v>2621</v>
      </c>
      <c r="X154" t="s">
        <v>2622</v>
      </c>
      <c r="Y154" t="s">
        <v>74</v>
      </c>
      <c r="Z154" t="s">
        <v>74</v>
      </c>
      <c r="AA154" t="s">
        <v>2623</v>
      </c>
      <c r="AB154" t="s">
        <v>257</v>
      </c>
      <c r="AC154" t="s">
        <v>74</v>
      </c>
      <c r="AD154" t="s">
        <v>74</v>
      </c>
      <c r="AE154" t="s">
        <v>74</v>
      </c>
      <c r="AF154" t="s">
        <v>74</v>
      </c>
      <c r="AG154">
        <v>0</v>
      </c>
      <c r="AH154">
        <v>0</v>
      </c>
      <c r="AI154">
        <v>0</v>
      </c>
      <c r="AJ154">
        <v>1</v>
      </c>
      <c r="AK154">
        <v>1</v>
      </c>
      <c r="AL154" t="s">
        <v>991</v>
      </c>
      <c r="AM154" t="s">
        <v>486</v>
      </c>
      <c r="AN154" t="s">
        <v>992</v>
      </c>
      <c r="AO154" t="s">
        <v>2607</v>
      </c>
      <c r="AP154" t="s">
        <v>2608</v>
      </c>
      <c r="AQ154" t="s">
        <v>74</v>
      </c>
      <c r="AR154" t="s">
        <v>2609</v>
      </c>
      <c r="AS154" t="s">
        <v>2610</v>
      </c>
      <c r="AT154" t="s">
        <v>226</v>
      </c>
      <c r="AU154">
        <v>2022</v>
      </c>
      <c r="AV154">
        <v>25</v>
      </c>
      <c r="AW154">
        <v>12</v>
      </c>
      <c r="AX154" t="s">
        <v>74</v>
      </c>
      <c r="AY154" t="s">
        <v>998</v>
      </c>
      <c r="AZ154" t="s">
        <v>74</v>
      </c>
      <c r="BA154" t="s">
        <v>2624</v>
      </c>
      <c r="BB154" t="s">
        <v>2625</v>
      </c>
      <c r="BC154" t="s">
        <v>2625</v>
      </c>
      <c r="BD154" t="s">
        <v>74</v>
      </c>
      <c r="BE154" t="s">
        <v>74</v>
      </c>
      <c r="BF154" t="s">
        <v>74</v>
      </c>
      <c r="BG154" t="s">
        <v>74</v>
      </c>
      <c r="BH154" t="s">
        <v>74</v>
      </c>
      <c r="BI154">
        <v>1</v>
      </c>
      <c r="BJ154" t="s">
        <v>2613</v>
      </c>
      <c r="BK154" t="s">
        <v>2614</v>
      </c>
      <c r="BL154" t="s">
        <v>2615</v>
      </c>
      <c r="BM154" t="s">
        <v>2616</v>
      </c>
      <c r="BN154" t="s">
        <v>74</v>
      </c>
      <c r="BO154" t="s">
        <v>74</v>
      </c>
      <c r="BP154" t="s">
        <v>74</v>
      </c>
      <c r="BQ154" t="s">
        <v>74</v>
      </c>
      <c r="BR154" t="s">
        <v>104</v>
      </c>
      <c r="BS154" t="s">
        <v>2626</v>
      </c>
      <c r="BT154" t="str">
        <f>HYPERLINK("https%3A%2F%2Fwww.webofscience.com%2Fwos%2Fwoscc%2Ffull-record%2FWOS:000897594903350","View Full Record in Web of Science")</f>
        <v>View Full Record in Web of Science</v>
      </c>
    </row>
    <row r="155" spans="1:72" x14ac:dyDescent="0.25">
      <c r="A155" t="s">
        <v>72</v>
      </c>
      <c r="B155" t="s">
        <v>2627</v>
      </c>
      <c r="C155" t="s">
        <v>74</v>
      </c>
      <c r="D155" t="s">
        <v>74</v>
      </c>
      <c r="E155" t="s">
        <v>74</v>
      </c>
      <c r="F155" t="s">
        <v>2628</v>
      </c>
      <c r="G155" t="s">
        <v>74</v>
      </c>
      <c r="H155" t="s">
        <v>74</v>
      </c>
      <c r="I155" t="s">
        <v>2629</v>
      </c>
      <c r="J155" t="s">
        <v>983</v>
      </c>
      <c r="K155" t="s">
        <v>74</v>
      </c>
      <c r="L155" t="s">
        <v>74</v>
      </c>
      <c r="M155" t="s">
        <v>78</v>
      </c>
      <c r="N155" t="s">
        <v>79</v>
      </c>
      <c r="O155" t="s">
        <v>74</v>
      </c>
      <c r="P155" t="s">
        <v>74</v>
      </c>
      <c r="Q155" t="s">
        <v>74</v>
      </c>
      <c r="R155" t="s">
        <v>74</v>
      </c>
      <c r="S155" t="s">
        <v>74</v>
      </c>
      <c r="T155" t="s">
        <v>2630</v>
      </c>
      <c r="U155" t="s">
        <v>2631</v>
      </c>
      <c r="V155" t="s">
        <v>2632</v>
      </c>
      <c r="W155" t="s">
        <v>2633</v>
      </c>
      <c r="X155" t="s">
        <v>2634</v>
      </c>
      <c r="Y155" t="s">
        <v>2635</v>
      </c>
      <c r="Z155" t="s">
        <v>2636</v>
      </c>
      <c r="AA155" t="s">
        <v>2637</v>
      </c>
      <c r="AB155" t="s">
        <v>2638</v>
      </c>
      <c r="AC155" t="s">
        <v>74</v>
      </c>
      <c r="AD155" t="s">
        <v>74</v>
      </c>
      <c r="AE155" t="s">
        <v>74</v>
      </c>
      <c r="AF155" t="s">
        <v>74</v>
      </c>
      <c r="AG155">
        <v>48</v>
      </c>
      <c r="AH155">
        <v>37</v>
      </c>
      <c r="AI155">
        <v>38</v>
      </c>
      <c r="AJ155">
        <v>1</v>
      </c>
      <c r="AK155">
        <v>4</v>
      </c>
      <c r="AL155" t="s">
        <v>991</v>
      </c>
      <c r="AM155" t="s">
        <v>486</v>
      </c>
      <c r="AN155" t="s">
        <v>992</v>
      </c>
      <c r="AO155" t="s">
        <v>993</v>
      </c>
      <c r="AP155" t="s">
        <v>994</v>
      </c>
      <c r="AQ155" t="s">
        <v>74</v>
      </c>
      <c r="AR155" t="s">
        <v>995</v>
      </c>
      <c r="AS155" t="s">
        <v>996</v>
      </c>
      <c r="AT155" t="s">
        <v>226</v>
      </c>
      <c r="AU155">
        <v>2022</v>
      </c>
      <c r="AV155">
        <v>41</v>
      </c>
      <c r="AW155">
        <v>12</v>
      </c>
      <c r="AX155" t="s">
        <v>74</v>
      </c>
      <c r="AY155" t="s">
        <v>74</v>
      </c>
      <c r="AZ155" t="s">
        <v>74</v>
      </c>
      <c r="BA155" t="s">
        <v>74</v>
      </c>
      <c r="BB155">
        <v>1761</v>
      </c>
      <c r="BC155">
        <v>1772</v>
      </c>
      <c r="BD155" t="s">
        <v>74</v>
      </c>
      <c r="BE155" t="s">
        <v>2639</v>
      </c>
      <c r="BF155" t="str">
        <f>HYPERLINK("http://dx.doi.org/10.1016/j.healun.2022.09.005","http://dx.doi.org/10.1016/j.healun.2022.09.005")</f>
        <v>http://dx.doi.org/10.1016/j.healun.2022.09.005</v>
      </c>
      <c r="BG155" t="s">
        <v>74</v>
      </c>
      <c r="BH155" t="s">
        <v>74</v>
      </c>
      <c r="BI155">
        <v>12</v>
      </c>
      <c r="BJ155" t="s">
        <v>1000</v>
      </c>
      <c r="BK155" t="s">
        <v>101</v>
      </c>
      <c r="BL155" t="s">
        <v>1001</v>
      </c>
      <c r="BM155" t="s">
        <v>2640</v>
      </c>
      <c r="BN155">
        <v>36202691</v>
      </c>
      <c r="BO155" t="s">
        <v>74</v>
      </c>
      <c r="BP155" t="s">
        <v>74</v>
      </c>
      <c r="BQ155" t="s">
        <v>74</v>
      </c>
      <c r="BR155" t="s">
        <v>104</v>
      </c>
      <c r="BS155" t="s">
        <v>2641</v>
      </c>
      <c r="BT155" t="str">
        <f>HYPERLINK("https%3A%2F%2Fwww.webofscience.com%2Fwos%2Fwoscc%2Ffull-record%2FWOS:000990987700014","View Full Record in Web of Science")</f>
        <v>View Full Record in Web of Science</v>
      </c>
    </row>
    <row r="156" spans="1:72" x14ac:dyDescent="0.25">
      <c r="A156" t="s">
        <v>72</v>
      </c>
      <c r="B156" t="s">
        <v>2642</v>
      </c>
      <c r="C156" t="s">
        <v>74</v>
      </c>
      <c r="D156" t="s">
        <v>74</v>
      </c>
      <c r="E156" t="s">
        <v>74</v>
      </c>
      <c r="F156" t="s">
        <v>2643</v>
      </c>
      <c r="G156" t="s">
        <v>74</v>
      </c>
      <c r="H156" t="s">
        <v>74</v>
      </c>
      <c r="I156" t="s">
        <v>2644</v>
      </c>
      <c r="J156" t="s">
        <v>2645</v>
      </c>
      <c r="K156" t="s">
        <v>74</v>
      </c>
      <c r="L156" t="s">
        <v>74</v>
      </c>
      <c r="M156" t="s">
        <v>78</v>
      </c>
      <c r="N156" t="s">
        <v>79</v>
      </c>
      <c r="O156" t="s">
        <v>74</v>
      </c>
      <c r="P156" t="s">
        <v>74</v>
      </c>
      <c r="Q156" t="s">
        <v>74</v>
      </c>
      <c r="R156" t="s">
        <v>74</v>
      </c>
      <c r="S156" t="s">
        <v>74</v>
      </c>
      <c r="T156" t="s">
        <v>2646</v>
      </c>
      <c r="U156" t="s">
        <v>2647</v>
      </c>
      <c r="V156" t="s">
        <v>2648</v>
      </c>
      <c r="W156" t="s">
        <v>2649</v>
      </c>
      <c r="X156" t="s">
        <v>2650</v>
      </c>
      <c r="Y156" t="s">
        <v>2651</v>
      </c>
      <c r="Z156" t="s">
        <v>442</v>
      </c>
      <c r="AA156" t="s">
        <v>2652</v>
      </c>
      <c r="AB156" t="s">
        <v>2653</v>
      </c>
      <c r="AC156" t="s">
        <v>2654</v>
      </c>
      <c r="AD156" t="s">
        <v>2655</v>
      </c>
      <c r="AE156" t="s">
        <v>2656</v>
      </c>
      <c r="AF156" t="s">
        <v>74</v>
      </c>
      <c r="AG156">
        <v>23</v>
      </c>
      <c r="AH156">
        <v>3</v>
      </c>
      <c r="AI156">
        <v>3</v>
      </c>
      <c r="AJ156">
        <v>0</v>
      </c>
      <c r="AK156">
        <v>0</v>
      </c>
      <c r="AL156" t="s">
        <v>1113</v>
      </c>
      <c r="AM156" t="s">
        <v>1114</v>
      </c>
      <c r="AN156" t="s">
        <v>1115</v>
      </c>
      <c r="AO156" t="s">
        <v>74</v>
      </c>
      <c r="AP156" t="s">
        <v>2657</v>
      </c>
      <c r="AQ156" t="s">
        <v>74</v>
      </c>
      <c r="AR156" t="s">
        <v>2645</v>
      </c>
      <c r="AS156" t="s">
        <v>2658</v>
      </c>
      <c r="AT156" t="s">
        <v>226</v>
      </c>
      <c r="AU156">
        <v>2022</v>
      </c>
      <c r="AV156">
        <v>12</v>
      </c>
      <c r="AW156">
        <v>12</v>
      </c>
      <c r="AX156" t="s">
        <v>74</v>
      </c>
      <c r="AY156" t="s">
        <v>74</v>
      </c>
      <c r="AZ156" t="s">
        <v>74</v>
      </c>
      <c r="BA156" t="s">
        <v>74</v>
      </c>
      <c r="BB156" t="s">
        <v>74</v>
      </c>
      <c r="BC156" t="s">
        <v>74</v>
      </c>
      <c r="BD156">
        <v>1878</v>
      </c>
      <c r="BE156" t="s">
        <v>2659</v>
      </c>
      <c r="BF156" t="str">
        <f>HYPERLINK("http://dx.doi.org/10.3390/biom12121878","http://dx.doi.org/10.3390/biom12121878")</f>
        <v>http://dx.doi.org/10.3390/biom12121878</v>
      </c>
      <c r="BG156" t="s">
        <v>74</v>
      </c>
      <c r="BH156" t="s">
        <v>74</v>
      </c>
      <c r="BI156">
        <v>9</v>
      </c>
      <c r="BJ156" t="s">
        <v>2660</v>
      </c>
      <c r="BK156" t="s">
        <v>101</v>
      </c>
      <c r="BL156" t="s">
        <v>2660</v>
      </c>
      <c r="BM156" t="s">
        <v>2661</v>
      </c>
      <c r="BN156">
        <v>36551306</v>
      </c>
      <c r="BO156" t="s">
        <v>809</v>
      </c>
      <c r="BP156" t="s">
        <v>74</v>
      </c>
      <c r="BQ156" t="s">
        <v>74</v>
      </c>
      <c r="BR156" t="s">
        <v>104</v>
      </c>
      <c r="BS156" t="s">
        <v>2662</v>
      </c>
      <c r="BT156" t="str">
        <f>HYPERLINK("https%3A%2F%2Fwww.webofscience.com%2Fwos%2Fwoscc%2Ffull-record%2FWOS:000902313100001","View Full Record in Web of Science")</f>
        <v>View Full Record in Web of Science</v>
      </c>
    </row>
    <row r="157" spans="1:72" x14ac:dyDescent="0.25">
      <c r="A157" t="s">
        <v>72</v>
      </c>
      <c r="B157" t="s">
        <v>2663</v>
      </c>
      <c r="C157" t="s">
        <v>74</v>
      </c>
      <c r="D157" t="s">
        <v>74</v>
      </c>
      <c r="E157" t="s">
        <v>74</v>
      </c>
      <c r="F157" t="s">
        <v>2664</v>
      </c>
      <c r="G157" t="s">
        <v>74</v>
      </c>
      <c r="H157" t="s">
        <v>74</v>
      </c>
      <c r="I157" t="s">
        <v>2665</v>
      </c>
      <c r="J157" t="s">
        <v>1348</v>
      </c>
      <c r="K157" t="s">
        <v>74</v>
      </c>
      <c r="L157" t="s">
        <v>74</v>
      </c>
      <c r="M157" t="s">
        <v>1349</v>
      </c>
      <c r="N157" t="s">
        <v>299</v>
      </c>
      <c r="O157" t="s">
        <v>74</v>
      </c>
      <c r="P157" t="s">
        <v>74</v>
      </c>
      <c r="Q157" t="s">
        <v>74</v>
      </c>
      <c r="R157" t="s">
        <v>74</v>
      </c>
      <c r="S157" t="s">
        <v>74</v>
      </c>
      <c r="T157" t="s">
        <v>2666</v>
      </c>
      <c r="U157" t="s">
        <v>2667</v>
      </c>
      <c r="V157" t="s">
        <v>2668</v>
      </c>
      <c r="W157" t="s">
        <v>2669</v>
      </c>
      <c r="X157" t="s">
        <v>2670</v>
      </c>
      <c r="Y157" t="s">
        <v>2671</v>
      </c>
      <c r="Z157" t="s">
        <v>2236</v>
      </c>
      <c r="AA157" t="s">
        <v>2672</v>
      </c>
      <c r="AB157" t="s">
        <v>2673</v>
      </c>
      <c r="AC157" t="s">
        <v>74</v>
      </c>
      <c r="AD157" t="s">
        <v>74</v>
      </c>
      <c r="AE157" t="s">
        <v>74</v>
      </c>
      <c r="AF157" t="s">
        <v>74</v>
      </c>
      <c r="AG157">
        <v>62</v>
      </c>
      <c r="AH157">
        <v>1</v>
      </c>
      <c r="AI157">
        <v>1</v>
      </c>
      <c r="AJ157">
        <v>0</v>
      </c>
      <c r="AK157">
        <v>5</v>
      </c>
      <c r="AL157" t="s">
        <v>1358</v>
      </c>
      <c r="AM157" t="s">
        <v>1359</v>
      </c>
      <c r="AN157" t="s">
        <v>1360</v>
      </c>
      <c r="AO157" t="s">
        <v>1361</v>
      </c>
      <c r="AP157" t="s">
        <v>1362</v>
      </c>
      <c r="AQ157" t="s">
        <v>74</v>
      </c>
      <c r="AR157" t="s">
        <v>1363</v>
      </c>
      <c r="AS157" t="s">
        <v>1364</v>
      </c>
      <c r="AT157" t="s">
        <v>226</v>
      </c>
      <c r="AU157">
        <v>2022</v>
      </c>
      <c r="AV157">
        <v>39</v>
      </c>
      <c r="AW157">
        <v>10</v>
      </c>
      <c r="AX157" t="s">
        <v>74</v>
      </c>
      <c r="AY157" t="s">
        <v>74</v>
      </c>
      <c r="AZ157" t="s">
        <v>74</v>
      </c>
      <c r="BA157" t="s">
        <v>74</v>
      </c>
      <c r="BB157">
        <v>855</v>
      </c>
      <c r="BC157">
        <v>872</v>
      </c>
      <c r="BD157" t="s">
        <v>74</v>
      </c>
      <c r="BE157" t="s">
        <v>2674</v>
      </c>
      <c r="BF157" t="str">
        <f>HYPERLINK("http://dx.doi.org/10.1016/j.rmr.2022.10.005","http://dx.doi.org/10.1016/j.rmr.2022.10.005")</f>
        <v>http://dx.doi.org/10.1016/j.rmr.2022.10.005</v>
      </c>
      <c r="BG157" t="s">
        <v>74</v>
      </c>
      <c r="BH157" t="s">
        <v>2531</v>
      </c>
      <c r="BI157">
        <v>18</v>
      </c>
      <c r="BJ157" t="s">
        <v>228</v>
      </c>
      <c r="BK157" t="s">
        <v>101</v>
      </c>
      <c r="BL157" t="s">
        <v>228</v>
      </c>
      <c r="BM157" t="s">
        <v>2675</v>
      </c>
      <c r="BN157">
        <v>36372607</v>
      </c>
      <c r="BO157" t="s">
        <v>1194</v>
      </c>
      <c r="BP157" t="s">
        <v>74</v>
      </c>
      <c r="BQ157" t="s">
        <v>74</v>
      </c>
      <c r="BR157" t="s">
        <v>104</v>
      </c>
      <c r="BS157" t="s">
        <v>2676</v>
      </c>
      <c r="BT157" t="str">
        <f>HYPERLINK("https%3A%2F%2Fwww.webofscience.com%2Fwos%2Fwoscc%2Ffull-record%2FWOS:000917337300007","View Full Record in Web of Science")</f>
        <v>View Full Record in Web of Science</v>
      </c>
    </row>
    <row r="158" spans="1:72" x14ac:dyDescent="0.25">
      <c r="A158" t="s">
        <v>72</v>
      </c>
      <c r="B158" t="s">
        <v>2677</v>
      </c>
      <c r="C158" t="s">
        <v>74</v>
      </c>
      <c r="D158" t="s">
        <v>74</v>
      </c>
      <c r="E158" t="s">
        <v>74</v>
      </c>
      <c r="F158" t="s">
        <v>2678</v>
      </c>
      <c r="G158" t="s">
        <v>74</v>
      </c>
      <c r="H158" t="s">
        <v>74</v>
      </c>
      <c r="I158" t="s">
        <v>2679</v>
      </c>
      <c r="J158" t="s">
        <v>216</v>
      </c>
      <c r="K158" t="s">
        <v>74</v>
      </c>
      <c r="L158" t="s">
        <v>74</v>
      </c>
      <c r="M158" t="s">
        <v>78</v>
      </c>
      <c r="N158" t="s">
        <v>79</v>
      </c>
      <c r="O158" t="s">
        <v>74</v>
      </c>
      <c r="P158" t="s">
        <v>74</v>
      </c>
      <c r="Q158" t="s">
        <v>74</v>
      </c>
      <c r="R158" t="s">
        <v>74</v>
      </c>
      <c r="S158" t="s">
        <v>74</v>
      </c>
      <c r="T158" t="s">
        <v>74</v>
      </c>
      <c r="U158" t="s">
        <v>2680</v>
      </c>
      <c r="V158" t="s">
        <v>2681</v>
      </c>
      <c r="W158" t="s">
        <v>2682</v>
      </c>
      <c r="X158" t="s">
        <v>2683</v>
      </c>
      <c r="Y158" t="s">
        <v>2684</v>
      </c>
      <c r="Z158" t="s">
        <v>331</v>
      </c>
      <c r="AA158" t="s">
        <v>2685</v>
      </c>
      <c r="AB158" t="s">
        <v>2686</v>
      </c>
      <c r="AC158" t="s">
        <v>2687</v>
      </c>
      <c r="AD158" t="s">
        <v>2687</v>
      </c>
      <c r="AE158" t="s">
        <v>2688</v>
      </c>
      <c r="AF158" t="s">
        <v>74</v>
      </c>
      <c r="AG158">
        <v>31</v>
      </c>
      <c r="AH158">
        <v>26</v>
      </c>
      <c r="AI158">
        <v>27</v>
      </c>
      <c r="AJ158">
        <v>0</v>
      </c>
      <c r="AK158">
        <v>2</v>
      </c>
      <c r="AL158" t="s">
        <v>219</v>
      </c>
      <c r="AM158" t="s">
        <v>220</v>
      </c>
      <c r="AN158" t="s">
        <v>221</v>
      </c>
      <c r="AO158" t="s">
        <v>222</v>
      </c>
      <c r="AP158" t="s">
        <v>223</v>
      </c>
      <c r="AQ158" t="s">
        <v>74</v>
      </c>
      <c r="AR158" t="s">
        <v>224</v>
      </c>
      <c r="AS158" t="s">
        <v>225</v>
      </c>
      <c r="AT158" t="s">
        <v>2689</v>
      </c>
      <c r="AU158">
        <v>2022</v>
      </c>
      <c r="AV158">
        <v>60</v>
      </c>
      <c r="AW158">
        <v>6</v>
      </c>
      <c r="AX158" t="s">
        <v>74</v>
      </c>
      <c r="AY158" t="s">
        <v>74</v>
      </c>
      <c r="AZ158" t="s">
        <v>74</v>
      </c>
      <c r="BA158" t="s">
        <v>74</v>
      </c>
      <c r="BB158" t="s">
        <v>74</v>
      </c>
      <c r="BC158" t="s">
        <v>74</v>
      </c>
      <c r="BD158">
        <v>2200656</v>
      </c>
      <c r="BE158" t="s">
        <v>2690</v>
      </c>
      <c r="BF158" t="str">
        <f>HYPERLINK("http://dx.doi.org/10.1183/13993003.00656-2022","http://dx.doi.org/10.1183/13993003.00656-2022")</f>
        <v>http://dx.doi.org/10.1183/13993003.00656-2022</v>
      </c>
      <c r="BG158" t="s">
        <v>74</v>
      </c>
      <c r="BH158" t="s">
        <v>74</v>
      </c>
      <c r="BI158">
        <v>13</v>
      </c>
      <c r="BJ158" t="s">
        <v>228</v>
      </c>
      <c r="BK158" t="s">
        <v>101</v>
      </c>
      <c r="BL158" t="s">
        <v>228</v>
      </c>
      <c r="BM158" t="s">
        <v>2691</v>
      </c>
      <c r="BN158">
        <v>35618278</v>
      </c>
      <c r="BO158" t="s">
        <v>246</v>
      </c>
      <c r="BP158" t="s">
        <v>74</v>
      </c>
      <c r="BQ158" t="s">
        <v>74</v>
      </c>
      <c r="BR158" t="s">
        <v>104</v>
      </c>
      <c r="BS158" t="s">
        <v>2692</v>
      </c>
      <c r="BT158" t="str">
        <f>HYPERLINK("https%3A%2F%2Fwww.webofscience.com%2Fwos%2Fwoscc%2Ffull-record%2FWOS:000978864400008","View Full Record in Web of Science")</f>
        <v>View Full Record in Web of Science</v>
      </c>
    </row>
    <row r="159" spans="1:72" x14ac:dyDescent="0.25">
      <c r="A159" t="s">
        <v>72</v>
      </c>
      <c r="B159" t="s">
        <v>2693</v>
      </c>
      <c r="C159" t="s">
        <v>74</v>
      </c>
      <c r="D159" t="s">
        <v>74</v>
      </c>
      <c r="E159" t="s">
        <v>74</v>
      </c>
      <c r="F159" t="s">
        <v>2694</v>
      </c>
      <c r="G159" t="s">
        <v>74</v>
      </c>
      <c r="H159" t="s">
        <v>2695</v>
      </c>
      <c r="I159" t="s">
        <v>2696</v>
      </c>
      <c r="J159" t="s">
        <v>1135</v>
      </c>
      <c r="K159" t="s">
        <v>74</v>
      </c>
      <c r="L159" t="s">
        <v>74</v>
      </c>
      <c r="M159" t="s">
        <v>78</v>
      </c>
      <c r="N159" t="s">
        <v>299</v>
      </c>
      <c r="O159" t="s">
        <v>74</v>
      </c>
      <c r="P159" t="s">
        <v>74</v>
      </c>
      <c r="Q159" t="s">
        <v>74</v>
      </c>
      <c r="R159" t="s">
        <v>74</v>
      </c>
      <c r="S159" t="s">
        <v>74</v>
      </c>
      <c r="T159" t="s">
        <v>74</v>
      </c>
      <c r="U159" t="s">
        <v>2697</v>
      </c>
      <c r="V159" t="s">
        <v>2698</v>
      </c>
      <c r="W159" t="s">
        <v>2699</v>
      </c>
      <c r="X159" t="s">
        <v>2700</v>
      </c>
      <c r="Y159" t="s">
        <v>2701</v>
      </c>
      <c r="Z159" t="s">
        <v>377</v>
      </c>
      <c r="AA159" t="s">
        <v>2702</v>
      </c>
      <c r="AB159" t="s">
        <v>257</v>
      </c>
      <c r="AC159" t="s">
        <v>74</v>
      </c>
      <c r="AD159" t="s">
        <v>74</v>
      </c>
      <c r="AE159" t="s">
        <v>74</v>
      </c>
      <c r="AF159" t="s">
        <v>74</v>
      </c>
      <c r="AG159">
        <v>139</v>
      </c>
      <c r="AH159">
        <v>42</v>
      </c>
      <c r="AI159">
        <v>44</v>
      </c>
      <c r="AJ159">
        <v>4</v>
      </c>
      <c r="AK159">
        <v>23</v>
      </c>
      <c r="AL159" t="s">
        <v>991</v>
      </c>
      <c r="AM159" t="s">
        <v>486</v>
      </c>
      <c r="AN159" t="s">
        <v>992</v>
      </c>
      <c r="AO159" t="s">
        <v>1146</v>
      </c>
      <c r="AP159" t="s">
        <v>1147</v>
      </c>
      <c r="AQ159" t="s">
        <v>74</v>
      </c>
      <c r="AR159" t="s">
        <v>1135</v>
      </c>
      <c r="AS159" t="s">
        <v>1148</v>
      </c>
      <c r="AT159" t="s">
        <v>2703</v>
      </c>
      <c r="AU159">
        <v>2022</v>
      </c>
      <c r="AV159">
        <v>400</v>
      </c>
      <c r="AW159">
        <v>10366</v>
      </c>
      <c r="AX159" t="s">
        <v>74</v>
      </c>
      <c r="AY159" t="s">
        <v>74</v>
      </c>
      <c r="AZ159" t="s">
        <v>74</v>
      </c>
      <c r="BA159" t="s">
        <v>74</v>
      </c>
      <c r="BB159">
        <v>1884</v>
      </c>
      <c r="BC159">
        <v>1898</v>
      </c>
      <c r="BD159" t="s">
        <v>74</v>
      </c>
      <c r="BE159" t="s">
        <v>2704</v>
      </c>
      <c r="BF159" t="str">
        <f>HYPERLINK("http://dx.doi.org/10.1016/S0140-6736(22)01601-4","http://dx.doi.org/10.1016/S0140-6736(22)01601-4")</f>
        <v>http://dx.doi.org/10.1016/S0140-6736(22)01601-4</v>
      </c>
      <c r="BG159" t="s">
        <v>74</v>
      </c>
      <c r="BH159" t="s">
        <v>74</v>
      </c>
      <c r="BI159">
        <v>15</v>
      </c>
      <c r="BJ159" t="s">
        <v>1152</v>
      </c>
      <c r="BK159" t="s">
        <v>101</v>
      </c>
      <c r="BL159" t="s">
        <v>1153</v>
      </c>
      <c r="BM159" t="s">
        <v>2705</v>
      </c>
      <c r="BN159">
        <v>36436527</v>
      </c>
      <c r="BO159" t="s">
        <v>612</v>
      </c>
      <c r="BP159" t="s">
        <v>74</v>
      </c>
      <c r="BQ159" t="s">
        <v>74</v>
      </c>
      <c r="BR159" t="s">
        <v>104</v>
      </c>
      <c r="BS159" t="s">
        <v>2706</v>
      </c>
      <c r="BT159" t="str">
        <f>HYPERLINK("https%3A%2F%2Fwww.webofscience.com%2Fwos%2Fwoscc%2Ffull-record%2FWOS:000923435200023","View Full Record in Web of Science")</f>
        <v>View Full Record in Web of Science</v>
      </c>
    </row>
    <row r="160" spans="1:72" x14ac:dyDescent="0.25">
      <c r="A160" t="s">
        <v>72</v>
      </c>
      <c r="B160" t="s">
        <v>2707</v>
      </c>
      <c r="C160" t="s">
        <v>74</v>
      </c>
      <c r="D160" t="s">
        <v>74</v>
      </c>
      <c r="E160" t="s">
        <v>74</v>
      </c>
      <c r="F160" t="s">
        <v>2708</v>
      </c>
      <c r="G160" t="s">
        <v>74</v>
      </c>
      <c r="H160" t="s">
        <v>74</v>
      </c>
      <c r="I160" t="s">
        <v>2709</v>
      </c>
      <c r="J160" t="s">
        <v>251</v>
      </c>
      <c r="K160" t="s">
        <v>74</v>
      </c>
      <c r="L160" t="s">
        <v>74</v>
      </c>
      <c r="M160" t="s">
        <v>78</v>
      </c>
      <c r="N160" t="s">
        <v>52</v>
      </c>
      <c r="O160" t="s">
        <v>2710</v>
      </c>
      <c r="P160" t="s">
        <v>2711</v>
      </c>
      <c r="Q160" t="s">
        <v>2712</v>
      </c>
      <c r="R160" t="s">
        <v>1376</v>
      </c>
      <c r="S160" t="s">
        <v>74</v>
      </c>
      <c r="T160" t="s">
        <v>74</v>
      </c>
      <c r="U160" t="s">
        <v>74</v>
      </c>
      <c r="V160" t="s">
        <v>74</v>
      </c>
      <c r="W160" t="s">
        <v>74</v>
      </c>
      <c r="X160" t="s">
        <v>74</v>
      </c>
      <c r="Y160" t="s">
        <v>74</v>
      </c>
      <c r="Z160" t="s">
        <v>74</v>
      </c>
      <c r="AA160" t="s">
        <v>2713</v>
      </c>
      <c r="AB160" t="s">
        <v>257</v>
      </c>
      <c r="AC160" t="s">
        <v>74</v>
      </c>
      <c r="AD160" t="s">
        <v>74</v>
      </c>
      <c r="AE160" t="s">
        <v>74</v>
      </c>
      <c r="AF160" t="s">
        <v>74</v>
      </c>
      <c r="AG160">
        <v>0</v>
      </c>
      <c r="AH160">
        <v>0</v>
      </c>
      <c r="AI160">
        <v>0</v>
      </c>
      <c r="AJ160">
        <v>0</v>
      </c>
      <c r="AK160">
        <v>1</v>
      </c>
      <c r="AL160" t="s">
        <v>122</v>
      </c>
      <c r="AM160" t="s">
        <v>123</v>
      </c>
      <c r="AN160" t="s">
        <v>124</v>
      </c>
      <c r="AO160" t="s">
        <v>258</v>
      </c>
      <c r="AP160" t="s">
        <v>259</v>
      </c>
      <c r="AQ160" t="s">
        <v>74</v>
      </c>
      <c r="AR160" t="s">
        <v>251</v>
      </c>
      <c r="AS160" t="s">
        <v>260</v>
      </c>
      <c r="AT160" t="s">
        <v>2714</v>
      </c>
      <c r="AU160">
        <v>2022</v>
      </c>
      <c r="AV160">
        <v>146</v>
      </c>
      <c r="AW160" t="s">
        <v>74</v>
      </c>
      <c r="AX160" t="s">
        <v>74</v>
      </c>
      <c r="AY160">
        <v>1</v>
      </c>
      <c r="AZ160" t="s">
        <v>74</v>
      </c>
      <c r="BA160" t="s">
        <v>2715</v>
      </c>
      <c r="BB160" t="s">
        <v>74</v>
      </c>
      <c r="BC160" t="s">
        <v>74</v>
      </c>
      <c r="BD160" t="s">
        <v>74</v>
      </c>
      <c r="BE160" t="s">
        <v>74</v>
      </c>
      <c r="BF160" t="s">
        <v>74</v>
      </c>
      <c r="BG160" t="s">
        <v>74</v>
      </c>
      <c r="BH160" t="s">
        <v>74</v>
      </c>
      <c r="BI160">
        <v>2</v>
      </c>
      <c r="BJ160" t="s">
        <v>263</v>
      </c>
      <c r="BK160" t="s">
        <v>512</v>
      </c>
      <c r="BL160" t="s">
        <v>133</v>
      </c>
      <c r="BM160" t="s">
        <v>2716</v>
      </c>
      <c r="BN160" t="s">
        <v>74</v>
      </c>
      <c r="BO160" t="s">
        <v>74</v>
      </c>
      <c r="BP160" t="s">
        <v>74</v>
      </c>
      <c r="BQ160" t="s">
        <v>74</v>
      </c>
      <c r="BR160" t="s">
        <v>104</v>
      </c>
      <c r="BS160" t="s">
        <v>2717</v>
      </c>
      <c r="BT160" t="str">
        <f>HYPERLINK("https%3A%2F%2Fwww.webofscience.com%2Fwos%2Fwoscc%2Ffull-record%2FWOS:000890856901334","View Full Record in Web of Science")</f>
        <v>View Full Record in Web of Science</v>
      </c>
    </row>
    <row r="161" spans="1:72" x14ac:dyDescent="0.25">
      <c r="A161" t="s">
        <v>72</v>
      </c>
      <c r="B161" t="s">
        <v>2718</v>
      </c>
      <c r="C161" t="s">
        <v>74</v>
      </c>
      <c r="D161" t="s">
        <v>74</v>
      </c>
      <c r="E161" t="s">
        <v>74</v>
      </c>
      <c r="F161" t="s">
        <v>2719</v>
      </c>
      <c r="G161" t="s">
        <v>74</v>
      </c>
      <c r="H161" t="s">
        <v>74</v>
      </c>
      <c r="I161" t="s">
        <v>2720</v>
      </c>
      <c r="J161" t="s">
        <v>251</v>
      </c>
      <c r="K161" t="s">
        <v>74</v>
      </c>
      <c r="L161" t="s">
        <v>74</v>
      </c>
      <c r="M161" t="s">
        <v>78</v>
      </c>
      <c r="N161" t="s">
        <v>52</v>
      </c>
      <c r="O161" t="s">
        <v>2710</v>
      </c>
      <c r="P161" t="s">
        <v>2711</v>
      </c>
      <c r="Q161" t="s">
        <v>2712</v>
      </c>
      <c r="R161" t="s">
        <v>1376</v>
      </c>
      <c r="S161" t="s">
        <v>74</v>
      </c>
      <c r="T161" t="s">
        <v>74</v>
      </c>
      <c r="U161" t="s">
        <v>74</v>
      </c>
      <c r="V161" t="s">
        <v>74</v>
      </c>
      <c r="W161" t="s">
        <v>74</v>
      </c>
      <c r="X161" t="s">
        <v>74</v>
      </c>
      <c r="Y161" t="s">
        <v>74</v>
      </c>
      <c r="Z161" t="s">
        <v>74</v>
      </c>
      <c r="AA161" t="s">
        <v>2721</v>
      </c>
      <c r="AB161" t="s">
        <v>257</v>
      </c>
      <c r="AC161" t="s">
        <v>74</v>
      </c>
      <c r="AD161" t="s">
        <v>74</v>
      </c>
      <c r="AE161" t="s">
        <v>74</v>
      </c>
      <c r="AF161" t="s">
        <v>74</v>
      </c>
      <c r="AG161">
        <v>0</v>
      </c>
      <c r="AH161">
        <v>0</v>
      </c>
      <c r="AI161">
        <v>0</v>
      </c>
      <c r="AJ161">
        <v>0</v>
      </c>
      <c r="AK161">
        <v>2</v>
      </c>
      <c r="AL161" t="s">
        <v>122</v>
      </c>
      <c r="AM161" t="s">
        <v>123</v>
      </c>
      <c r="AN161" t="s">
        <v>124</v>
      </c>
      <c r="AO161" t="s">
        <v>258</v>
      </c>
      <c r="AP161" t="s">
        <v>259</v>
      </c>
      <c r="AQ161" t="s">
        <v>74</v>
      </c>
      <c r="AR161" t="s">
        <v>251</v>
      </c>
      <c r="AS161" t="s">
        <v>260</v>
      </c>
      <c r="AT161" t="s">
        <v>2714</v>
      </c>
      <c r="AU161">
        <v>2022</v>
      </c>
      <c r="AV161">
        <v>146</v>
      </c>
      <c r="AW161" t="s">
        <v>74</v>
      </c>
      <c r="AX161" t="s">
        <v>74</v>
      </c>
      <c r="AY161">
        <v>1</v>
      </c>
      <c r="AZ161" t="s">
        <v>74</v>
      </c>
      <c r="BA161" t="s">
        <v>2722</v>
      </c>
      <c r="BB161" t="s">
        <v>74</v>
      </c>
      <c r="BC161" t="s">
        <v>74</v>
      </c>
      <c r="BD161" t="s">
        <v>74</v>
      </c>
      <c r="BE161" t="s">
        <v>74</v>
      </c>
      <c r="BF161" t="s">
        <v>74</v>
      </c>
      <c r="BG161" t="s">
        <v>74</v>
      </c>
      <c r="BH161" t="s">
        <v>74</v>
      </c>
      <c r="BI161">
        <v>2</v>
      </c>
      <c r="BJ161" t="s">
        <v>263</v>
      </c>
      <c r="BK161" t="s">
        <v>512</v>
      </c>
      <c r="BL161" t="s">
        <v>133</v>
      </c>
      <c r="BM161" t="s">
        <v>2716</v>
      </c>
      <c r="BN161" t="s">
        <v>74</v>
      </c>
      <c r="BO161" t="s">
        <v>74</v>
      </c>
      <c r="BP161" t="s">
        <v>74</v>
      </c>
      <c r="BQ161" t="s">
        <v>74</v>
      </c>
      <c r="BR161" t="s">
        <v>104</v>
      </c>
      <c r="BS161" t="s">
        <v>2723</v>
      </c>
      <c r="BT161" t="str">
        <f>HYPERLINK("https%3A%2F%2Fwww.webofscience.com%2Fwos%2Fwoscc%2Ffull-record%2FWOS:000890856900246","View Full Record in Web of Science")</f>
        <v>View Full Record in Web of Science</v>
      </c>
    </row>
    <row r="162" spans="1:72" x14ac:dyDescent="0.25">
      <c r="A162" t="s">
        <v>72</v>
      </c>
      <c r="B162" t="s">
        <v>2724</v>
      </c>
      <c r="C162" t="s">
        <v>74</v>
      </c>
      <c r="D162" t="s">
        <v>74</v>
      </c>
      <c r="E162" t="s">
        <v>74</v>
      </c>
      <c r="F162" t="s">
        <v>2725</v>
      </c>
      <c r="G162" t="s">
        <v>74</v>
      </c>
      <c r="H162" t="s">
        <v>74</v>
      </c>
      <c r="I162" t="s">
        <v>2726</v>
      </c>
      <c r="J162" t="s">
        <v>216</v>
      </c>
      <c r="K162" t="s">
        <v>74</v>
      </c>
      <c r="L162" t="s">
        <v>74</v>
      </c>
      <c r="M162" t="s">
        <v>78</v>
      </c>
      <c r="N162" t="s">
        <v>79</v>
      </c>
      <c r="O162" t="s">
        <v>74</v>
      </c>
      <c r="P162" t="s">
        <v>74</v>
      </c>
      <c r="Q162" t="s">
        <v>74</v>
      </c>
      <c r="R162" t="s">
        <v>74</v>
      </c>
      <c r="S162" t="s">
        <v>74</v>
      </c>
      <c r="T162" t="s">
        <v>74</v>
      </c>
      <c r="U162" t="s">
        <v>2727</v>
      </c>
      <c r="V162" t="s">
        <v>2728</v>
      </c>
      <c r="W162" t="s">
        <v>2729</v>
      </c>
      <c r="X162" t="s">
        <v>2730</v>
      </c>
      <c r="Y162" t="s">
        <v>2731</v>
      </c>
      <c r="Z162" t="s">
        <v>377</v>
      </c>
      <c r="AA162" t="s">
        <v>2623</v>
      </c>
      <c r="AB162" t="s">
        <v>2732</v>
      </c>
      <c r="AC162" t="s">
        <v>2733</v>
      </c>
      <c r="AD162" t="s">
        <v>2733</v>
      </c>
      <c r="AE162" t="s">
        <v>2734</v>
      </c>
      <c r="AF162" t="s">
        <v>74</v>
      </c>
      <c r="AG162">
        <v>37</v>
      </c>
      <c r="AH162">
        <v>23</v>
      </c>
      <c r="AI162">
        <v>23</v>
      </c>
      <c r="AJ162">
        <v>0</v>
      </c>
      <c r="AK162">
        <v>3</v>
      </c>
      <c r="AL162" t="s">
        <v>219</v>
      </c>
      <c r="AM162" t="s">
        <v>220</v>
      </c>
      <c r="AN162" t="s">
        <v>221</v>
      </c>
      <c r="AO162" t="s">
        <v>222</v>
      </c>
      <c r="AP162" t="s">
        <v>223</v>
      </c>
      <c r="AQ162" t="s">
        <v>74</v>
      </c>
      <c r="AR162" t="s">
        <v>224</v>
      </c>
      <c r="AS162" t="s">
        <v>225</v>
      </c>
      <c r="AT162" t="s">
        <v>1414</v>
      </c>
      <c r="AU162">
        <v>2022</v>
      </c>
      <c r="AV162">
        <v>60</v>
      </c>
      <c r="AW162">
        <v>5</v>
      </c>
      <c r="AX162" t="s">
        <v>74</v>
      </c>
      <c r="AY162" t="s">
        <v>74</v>
      </c>
      <c r="AZ162" t="s">
        <v>74</v>
      </c>
      <c r="BA162" t="s">
        <v>74</v>
      </c>
      <c r="BB162" t="s">
        <v>74</v>
      </c>
      <c r="BC162" t="s">
        <v>74</v>
      </c>
      <c r="BD162">
        <v>2103130</v>
      </c>
      <c r="BE162" t="s">
        <v>2735</v>
      </c>
      <c r="BF162" t="str">
        <f>HYPERLINK("http://dx.doi.org/10.1183/13993003.03130-2021","http://dx.doi.org/10.1183/13993003.03130-2021")</f>
        <v>http://dx.doi.org/10.1183/13993003.03130-2021</v>
      </c>
      <c r="BG162" t="s">
        <v>74</v>
      </c>
      <c r="BH162" t="s">
        <v>74</v>
      </c>
      <c r="BI162">
        <v>15</v>
      </c>
      <c r="BJ162" t="s">
        <v>228</v>
      </c>
      <c r="BK162" t="s">
        <v>101</v>
      </c>
      <c r="BL162" t="s">
        <v>228</v>
      </c>
      <c r="BM162" t="s">
        <v>2736</v>
      </c>
      <c r="BN162">
        <v>35618272</v>
      </c>
      <c r="BO162" t="s">
        <v>470</v>
      </c>
      <c r="BP162" t="s">
        <v>74</v>
      </c>
      <c r="BQ162" t="s">
        <v>74</v>
      </c>
      <c r="BR162" t="s">
        <v>104</v>
      </c>
      <c r="BS162" t="s">
        <v>2737</v>
      </c>
      <c r="BT162" t="str">
        <f>HYPERLINK("https%3A%2F%2Fwww.webofscience.com%2Fwos%2Fwoscc%2Ffull-record%2FWOS:000915043100021","View Full Record in Web of Science")</f>
        <v>View Full Record in Web of Science</v>
      </c>
    </row>
    <row r="163" spans="1:72" x14ac:dyDescent="0.25">
      <c r="A163" t="s">
        <v>72</v>
      </c>
      <c r="B163" t="s">
        <v>2738</v>
      </c>
      <c r="C163" t="s">
        <v>74</v>
      </c>
      <c r="D163" t="s">
        <v>74</v>
      </c>
      <c r="E163" t="s">
        <v>74</v>
      </c>
      <c r="F163" t="s">
        <v>2739</v>
      </c>
      <c r="G163" t="s">
        <v>74</v>
      </c>
      <c r="H163" t="s">
        <v>74</v>
      </c>
      <c r="I163" t="s">
        <v>2740</v>
      </c>
      <c r="J163" t="s">
        <v>216</v>
      </c>
      <c r="K163" t="s">
        <v>74</v>
      </c>
      <c r="L163" t="s">
        <v>74</v>
      </c>
      <c r="M163" t="s">
        <v>78</v>
      </c>
      <c r="N163" t="s">
        <v>460</v>
      </c>
      <c r="O163" t="s">
        <v>74</v>
      </c>
      <c r="P163" t="s">
        <v>74</v>
      </c>
      <c r="Q163" t="s">
        <v>74</v>
      </c>
      <c r="R163" t="s">
        <v>74</v>
      </c>
      <c r="S163" t="s">
        <v>74</v>
      </c>
      <c r="T163" t="s">
        <v>74</v>
      </c>
      <c r="U163" t="s">
        <v>2741</v>
      </c>
      <c r="V163" t="s">
        <v>74</v>
      </c>
      <c r="W163" t="s">
        <v>2742</v>
      </c>
      <c r="X163" t="s">
        <v>2743</v>
      </c>
      <c r="Y163" t="s">
        <v>2744</v>
      </c>
      <c r="Z163" t="s">
        <v>331</v>
      </c>
      <c r="AA163" t="s">
        <v>2745</v>
      </c>
      <c r="AB163" t="s">
        <v>2746</v>
      </c>
      <c r="AC163" t="s">
        <v>74</v>
      </c>
      <c r="AD163" t="s">
        <v>74</v>
      </c>
      <c r="AE163" t="s">
        <v>74</v>
      </c>
      <c r="AF163" t="s">
        <v>74</v>
      </c>
      <c r="AG163">
        <v>13</v>
      </c>
      <c r="AH163">
        <v>5</v>
      </c>
      <c r="AI163">
        <v>5</v>
      </c>
      <c r="AJ163">
        <v>0</v>
      </c>
      <c r="AK163">
        <v>4</v>
      </c>
      <c r="AL163" t="s">
        <v>219</v>
      </c>
      <c r="AM163" t="s">
        <v>220</v>
      </c>
      <c r="AN163" t="s">
        <v>221</v>
      </c>
      <c r="AO163" t="s">
        <v>222</v>
      </c>
      <c r="AP163" t="s">
        <v>223</v>
      </c>
      <c r="AQ163" t="s">
        <v>74</v>
      </c>
      <c r="AR163" t="s">
        <v>224</v>
      </c>
      <c r="AS163" t="s">
        <v>225</v>
      </c>
      <c r="AT163" t="s">
        <v>1414</v>
      </c>
      <c r="AU163">
        <v>2022</v>
      </c>
      <c r="AV163">
        <v>60</v>
      </c>
      <c r="AW163">
        <v>5</v>
      </c>
      <c r="AX163" t="s">
        <v>74</v>
      </c>
      <c r="AY163" t="s">
        <v>74</v>
      </c>
      <c r="AZ163" t="s">
        <v>74</v>
      </c>
      <c r="BA163" t="s">
        <v>74</v>
      </c>
      <c r="BB163" t="s">
        <v>74</v>
      </c>
      <c r="BC163" t="s">
        <v>74</v>
      </c>
      <c r="BD163" t="s">
        <v>74</v>
      </c>
      <c r="BE163" t="s">
        <v>2747</v>
      </c>
      <c r="BF163" t="str">
        <f>HYPERLINK("http://dx.doi.org/10.1183/13993003.01197-2022","http://dx.doi.org/10.1183/13993003.01197-2022")</f>
        <v>http://dx.doi.org/10.1183/13993003.01197-2022</v>
      </c>
      <c r="BG163" t="s">
        <v>74</v>
      </c>
      <c r="BH163" t="s">
        <v>74</v>
      </c>
      <c r="BI163">
        <v>5</v>
      </c>
      <c r="BJ163" t="s">
        <v>228</v>
      </c>
      <c r="BK163" t="s">
        <v>101</v>
      </c>
      <c r="BL163" t="s">
        <v>228</v>
      </c>
      <c r="BM163" t="s">
        <v>2748</v>
      </c>
      <c r="BN163">
        <v>36180087</v>
      </c>
      <c r="BO163" t="s">
        <v>74</v>
      </c>
      <c r="BP163" t="s">
        <v>74</v>
      </c>
      <c r="BQ163" t="s">
        <v>74</v>
      </c>
      <c r="BR163" t="s">
        <v>104</v>
      </c>
      <c r="BS163" t="s">
        <v>2749</v>
      </c>
      <c r="BT163" t="str">
        <f>HYPERLINK("https%3A%2F%2Fwww.webofscience.com%2Fwos%2Fwoscc%2Ffull-record%2FWOS:000886686900005","View Full Record in Web of Science")</f>
        <v>View Full Record in Web of Science</v>
      </c>
    </row>
    <row r="164" spans="1:72" x14ac:dyDescent="0.25">
      <c r="A164" t="s">
        <v>72</v>
      </c>
      <c r="B164" t="s">
        <v>2218</v>
      </c>
      <c r="C164" t="s">
        <v>74</v>
      </c>
      <c r="D164" t="s">
        <v>74</v>
      </c>
      <c r="E164" t="s">
        <v>74</v>
      </c>
      <c r="F164" t="s">
        <v>2219</v>
      </c>
      <c r="G164" t="s">
        <v>74</v>
      </c>
      <c r="H164" t="s">
        <v>74</v>
      </c>
      <c r="I164" t="s">
        <v>2750</v>
      </c>
      <c r="J164" t="s">
        <v>2398</v>
      </c>
      <c r="K164" t="s">
        <v>74</v>
      </c>
      <c r="L164" t="s">
        <v>74</v>
      </c>
      <c r="M164" t="s">
        <v>78</v>
      </c>
      <c r="N164" t="s">
        <v>140</v>
      </c>
      <c r="O164" t="s">
        <v>74</v>
      </c>
      <c r="P164" t="s">
        <v>74</v>
      </c>
      <c r="Q164" t="s">
        <v>74</v>
      </c>
      <c r="R164" t="s">
        <v>74</v>
      </c>
      <c r="S164" t="s">
        <v>74</v>
      </c>
      <c r="T164" t="s">
        <v>2751</v>
      </c>
      <c r="U164" t="s">
        <v>2752</v>
      </c>
      <c r="V164" t="s">
        <v>74</v>
      </c>
      <c r="W164" t="s">
        <v>2753</v>
      </c>
      <c r="X164" t="s">
        <v>2754</v>
      </c>
      <c r="Y164" t="s">
        <v>700</v>
      </c>
      <c r="Z164" t="s">
        <v>701</v>
      </c>
      <c r="AA164" t="s">
        <v>144</v>
      </c>
      <c r="AB164" t="s">
        <v>257</v>
      </c>
      <c r="AC164" t="s">
        <v>74</v>
      </c>
      <c r="AD164" t="s">
        <v>74</v>
      </c>
      <c r="AE164" t="s">
        <v>74</v>
      </c>
      <c r="AF164" t="s">
        <v>74</v>
      </c>
      <c r="AG164">
        <v>12</v>
      </c>
      <c r="AH164">
        <v>2</v>
      </c>
      <c r="AI164">
        <v>3</v>
      </c>
      <c r="AJ164">
        <v>0</v>
      </c>
      <c r="AK164">
        <v>6</v>
      </c>
      <c r="AL164" t="s">
        <v>169</v>
      </c>
      <c r="AM164" t="s">
        <v>170</v>
      </c>
      <c r="AN164" t="s">
        <v>171</v>
      </c>
      <c r="AO164" t="s">
        <v>2403</v>
      </c>
      <c r="AP164" t="s">
        <v>2404</v>
      </c>
      <c r="AQ164" t="s">
        <v>74</v>
      </c>
      <c r="AR164" t="s">
        <v>2398</v>
      </c>
      <c r="AS164" t="s">
        <v>2405</v>
      </c>
      <c r="AT164" t="s">
        <v>98</v>
      </c>
      <c r="AU164">
        <v>2023</v>
      </c>
      <c r="AV164">
        <v>28</v>
      </c>
      <c r="AW164">
        <v>3</v>
      </c>
      <c r="AX164" t="s">
        <v>74</v>
      </c>
      <c r="AY164" t="s">
        <v>74</v>
      </c>
      <c r="AZ164" t="s">
        <v>74</v>
      </c>
      <c r="BA164" t="s">
        <v>74</v>
      </c>
      <c r="BB164">
        <v>212</v>
      </c>
      <c r="BC164">
        <v>214</v>
      </c>
      <c r="BD164" t="s">
        <v>74</v>
      </c>
      <c r="BE164" t="s">
        <v>2755</v>
      </c>
      <c r="BF164" t="str">
        <f>HYPERLINK("http://dx.doi.org/10.1111/resp.14399","http://dx.doi.org/10.1111/resp.14399")</f>
        <v>http://dx.doi.org/10.1111/resp.14399</v>
      </c>
      <c r="BG164" t="s">
        <v>74</v>
      </c>
      <c r="BH164" t="s">
        <v>2756</v>
      </c>
      <c r="BI164">
        <v>3</v>
      </c>
      <c r="BJ164" t="s">
        <v>228</v>
      </c>
      <c r="BK164" t="s">
        <v>101</v>
      </c>
      <c r="BL164" t="s">
        <v>228</v>
      </c>
      <c r="BM164" t="s">
        <v>2757</v>
      </c>
      <c r="BN164">
        <v>36318987</v>
      </c>
      <c r="BO164" t="s">
        <v>74</v>
      </c>
      <c r="BP164" t="s">
        <v>74</v>
      </c>
      <c r="BQ164" t="s">
        <v>74</v>
      </c>
      <c r="BR164" t="s">
        <v>104</v>
      </c>
      <c r="BS164" t="s">
        <v>2758</v>
      </c>
      <c r="BT164" t="str">
        <f>HYPERLINK("https%3A%2F%2Fwww.webofscience.com%2Fwos%2Fwoscc%2Ffull-record%2FWOS:000877857900001","View Full Record in Web of Science")</f>
        <v>View Full Record in Web of Science</v>
      </c>
    </row>
    <row r="165" spans="1:72" x14ac:dyDescent="0.25">
      <c r="A165" t="s">
        <v>72</v>
      </c>
      <c r="B165" t="s">
        <v>2759</v>
      </c>
      <c r="C165" t="s">
        <v>74</v>
      </c>
      <c r="D165" t="s">
        <v>74</v>
      </c>
      <c r="E165" t="s">
        <v>74</v>
      </c>
      <c r="F165" t="s">
        <v>2760</v>
      </c>
      <c r="G165" t="s">
        <v>74</v>
      </c>
      <c r="H165" t="s">
        <v>74</v>
      </c>
      <c r="I165" t="s">
        <v>2720</v>
      </c>
      <c r="J165" t="s">
        <v>2761</v>
      </c>
      <c r="K165" t="s">
        <v>74</v>
      </c>
      <c r="L165" t="s">
        <v>74</v>
      </c>
      <c r="M165" t="s">
        <v>78</v>
      </c>
      <c r="N165" t="s">
        <v>79</v>
      </c>
      <c r="O165" t="s">
        <v>74</v>
      </c>
      <c r="P165" t="s">
        <v>74</v>
      </c>
      <c r="Q165" t="s">
        <v>74</v>
      </c>
      <c r="R165" t="s">
        <v>74</v>
      </c>
      <c r="S165" t="s">
        <v>74</v>
      </c>
      <c r="T165" t="s">
        <v>2762</v>
      </c>
      <c r="U165" t="s">
        <v>2763</v>
      </c>
      <c r="V165" t="s">
        <v>2764</v>
      </c>
      <c r="W165" t="s">
        <v>2765</v>
      </c>
      <c r="X165" t="s">
        <v>2766</v>
      </c>
      <c r="Y165" t="s">
        <v>2767</v>
      </c>
      <c r="Z165" t="s">
        <v>442</v>
      </c>
      <c r="AA165" t="s">
        <v>2768</v>
      </c>
      <c r="AB165" t="s">
        <v>2769</v>
      </c>
      <c r="AC165" t="s">
        <v>2770</v>
      </c>
      <c r="AD165" t="s">
        <v>2771</v>
      </c>
      <c r="AE165" t="s">
        <v>2772</v>
      </c>
      <c r="AF165" t="s">
        <v>74</v>
      </c>
      <c r="AG165">
        <v>48</v>
      </c>
      <c r="AH165">
        <v>34</v>
      </c>
      <c r="AI165">
        <v>36</v>
      </c>
      <c r="AJ165">
        <v>2</v>
      </c>
      <c r="AK165">
        <v>15</v>
      </c>
      <c r="AL165" t="s">
        <v>122</v>
      </c>
      <c r="AM165" t="s">
        <v>123</v>
      </c>
      <c r="AN165" t="s">
        <v>124</v>
      </c>
      <c r="AO165" t="s">
        <v>2773</v>
      </c>
      <c r="AP165" t="s">
        <v>2774</v>
      </c>
      <c r="AQ165" t="s">
        <v>74</v>
      </c>
      <c r="AR165" t="s">
        <v>2775</v>
      </c>
      <c r="AS165" t="s">
        <v>2776</v>
      </c>
      <c r="AT165" t="s">
        <v>2777</v>
      </c>
      <c r="AU165">
        <v>2022</v>
      </c>
      <c r="AV165">
        <v>131</v>
      </c>
      <c r="AW165">
        <v>9</v>
      </c>
      <c r="AX165" t="s">
        <v>74</v>
      </c>
      <c r="AY165" t="s">
        <v>74</v>
      </c>
      <c r="AZ165" t="s">
        <v>74</v>
      </c>
      <c r="BA165" t="s">
        <v>74</v>
      </c>
      <c r="BB165" t="s">
        <v>2778</v>
      </c>
      <c r="BC165" t="s">
        <v>2779</v>
      </c>
      <c r="BD165" t="s">
        <v>74</v>
      </c>
      <c r="BE165" t="s">
        <v>2780</v>
      </c>
      <c r="BF165" t="str">
        <f>HYPERLINK("http://dx.doi.org/10.1161/CIRCRESAHA.122.321041","http://dx.doi.org/10.1161/CIRCRESAHA.122.321041")</f>
        <v>http://dx.doi.org/10.1161/CIRCRESAHA.122.321041</v>
      </c>
      <c r="BG165" t="s">
        <v>74</v>
      </c>
      <c r="BH165" t="s">
        <v>74</v>
      </c>
      <c r="BI165">
        <v>18</v>
      </c>
      <c r="BJ165" t="s">
        <v>2781</v>
      </c>
      <c r="BK165" t="s">
        <v>101</v>
      </c>
      <c r="BL165" t="s">
        <v>2782</v>
      </c>
      <c r="BM165" t="s">
        <v>2783</v>
      </c>
      <c r="BN165">
        <v>36164973</v>
      </c>
      <c r="BO165" t="s">
        <v>612</v>
      </c>
      <c r="BP165" t="s">
        <v>74</v>
      </c>
      <c r="BQ165" t="s">
        <v>74</v>
      </c>
      <c r="BR165" t="s">
        <v>104</v>
      </c>
      <c r="BS165" t="s">
        <v>2784</v>
      </c>
      <c r="BT165" t="str">
        <f>HYPERLINK("https%3A%2F%2Fwww.webofscience.com%2Fwos%2Fwoscc%2Ffull-record%2FWOS:000866530600001","View Full Record in Web of Science")</f>
        <v>View Full Record in Web of Science</v>
      </c>
    </row>
    <row r="166" spans="1:72" x14ac:dyDescent="0.25">
      <c r="A166" t="s">
        <v>72</v>
      </c>
      <c r="B166" t="s">
        <v>2785</v>
      </c>
      <c r="C166" t="s">
        <v>74</v>
      </c>
      <c r="D166" t="s">
        <v>74</v>
      </c>
      <c r="E166" t="s">
        <v>74</v>
      </c>
      <c r="F166" t="s">
        <v>2786</v>
      </c>
      <c r="G166" t="s">
        <v>74</v>
      </c>
      <c r="H166" t="s">
        <v>74</v>
      </c>
      <c r="I166" t="s">
        <v>2787</v>
      </c>
      <c r="J166" t="s">
        <v>324</v>
      </c>
      <c r="K166" t="s">
        <v>74</v>
      </c>
      <c r="L166" t="s">
        <v>74</v>
      </c>
      <c r="M166" t="s">
        <v>78</v>
      </c>
      <c r="N166" t="s">
        <v>52</v>
      </c>
      <c r="O166" t="s">
        <v>2788</v>
      </c>
      <c r="P166" t="s">
        <v>2789</v>
      </c>
      <c r="Q166" t="s">
        <v>2790</v>
      </c>
      <c r="R166" t="s">
        <v>2791</v>
      </c>
      <c r="S166" t="s">
        <v>74</v>
      </c>
      <c r="T166" t="s">
        <v>74</v>
      </c>
      <c r="U166" t="s">
        <v>74</v>
      </c>
      <c r="V166" t="s">
        <v>74</v>
      </c>
      <c r="W166" t="s">
        <v>74</v>
      </c>
      <c r="X166" t="s">
        <v>74</v>
      </c>
      <c r="Y166" t="s">
        <v>74</v>
      </c>
      <c r="Z166" t="s">
        <v>74</v>
      </c>
      <c r="AA166" t="s">
        <v>2792</v>
      </c>
      <c r="AB166" t="s">
        <v>257</v>
      </c>
      <c r="AC166" t="s">
        <v>74</v>
      </c>
      <c r="AD166" t="s">
        <v>74</v>
      </c>
      <c r="AE166" t="s">
        <v>74</v>
      </c>
      <c r="AF166" t="s">
        <v>74</v>
      </c>
      <c r="AG166">
        <v>0</v>
      </c>
      <c r="AH166">
        <v>0</v>
      </c>
      <c r="AI166">
        <v>0</v>
      </c>
      <c r="AJ166">
        <v>0</v>
      </c>
      <c r="AK166">
        <v>0</v>
      </c>
      <c r="AL166" t="s">
        <v>92</v>
      </c>
      <c r="AM166" t="s">
        <v>93</v>
      </c>
      <c r="AN166" t="s">
        <v>94</v>
      </c>
      <c r="AO166" t="s">
        <v>337</v>
      </c>
      <c r="AP166" t="s">
        <v>338</v>
      </c>
      <c r="AQ166" t="s">
        <v>74</v>
      </c>
      <c r="AR166" t="s">
        <v>324</v>
      </c>
      <c r="AS166" t="s">
        <v>339</v>
      </c>
      <c r="AT166" t="s">
        <v>420</v>
      </c>
      <c r="AU166">
        <v>2022</v>
      </c>
      <c r="AV166">
        <v>162</v>
      </c>
      <c r="AW166">
        <v>4</v>
      </c>
      <c r="AX166" t="s">
        <v>74</v>
      </c>
      <c r="AY166" t="s">
        <v>998</v>
      </c>
      <c r="AZ166" t="s">
        <v>74</v>
      </c>
      <c r="BA166" t="s">
        <v>74</v>
      </c>
      <c r="BB166" t="s">
        <v>2793</v>
      </c>
      <c r="BC166" t="s">
        <v>2794</v>
      </c>
      <c r="BD166" t="s">
        <v>74</v>
      </c>
      <c r="BE166" t="s">
        <v>2795</v>
      </c>
      <c r="BF166" t="str">
        <f>HYPERLINK("http://dx.doi.org/10.1016/j.chest.2022.08.1603","http://dx.doi.org/10.1016/j.chest.2022.08.1603")</f>
        <v>http://dx.doi.org/10.1016/j.chest.2022.08.1603</v>
      </c>
      <c r="BG166" t="s">
        <v>74</v>
      </c>
      <c r="BH166" t="s">
        <v>2796</v>
      </c>
      <c r="BI166">
        <v>3</v>
      </c>
      <c r="BJ166" t="s">
        <v>341</v>
      </c>
      <c r="BK166" t="s">
        <v>512</v>
      </c>
      <c r="BL166" t="s">
        <v>342</v>
      </c>
      <c r="BM166" t="s">
        <v>2797</v>
      </c>
      <c r="BN166" t="s">
        <v>74</v>
      </c>
      <c r="BO166" t="s">
        <v>612</v>
      </c>
      <c r="BP166" t="s">
        <v>74</v>
      </c>
      <c r="BQ166" t="s">
        <v>74</v>
      </c>
      <c r="BR166" t="s">
        <v>104</v>
      </c>
      <c r="BS166" t="s">
        <v>2798</v>
      </c>
      <c r="BT166" t="str">
        <f>HYPERLINK("https%3A%2F%2Fwww.webofscience.com%2Fwos%2Fwoscc%2Ffull-record%2FWOS:000895468901675","View Full Record in Web of Science")</f>
        <v>View Full Record in Web of Science</v>
      </c>
    </row>
    <row r="167" spans="1:72" x14ac:dyDescent="0.25">
      <c r="A167" t="s">
        <v>72</v>
      </c>
      <c r="B167" t="s">
        <v>2799</v>
      </c>
      <c r="C167" t="s">
        <v>74</v>
      </c>
      <c r="D167" t="s">
        <v>74</v>
      </c>
      <c r="E167" t="s">
        <v>74</v>
      </c>
      <c r="F167" t="s">
        <v>2800</v>
      </c>
      <c r="G167" t="s">
        <v>74</v>
      </c>
      <c r="H167" t="s">
        <v>74</v>
      </c>
      <c r="I167" t="s">
        <v>2801</v>
      </c>
      <c r="J167" t="s">
        <v>324</v>
      </c>
      <c r="K167" t="s">
        <v>74</v>
      </c>
      <c r="L167" t="s">
        <v>74</v>
      </c>
      <c r="M167" t="s">
        <v>78</v>
      </c>
      <c r="N167" t="s">
        <v>52</v>
      </c>
      <c r="O167" t="s">
        <v>2788</v>
      </c>
      <c r="P167" t="s">
        <v>2789</v>
      </c>
      <c r="Q167" t="s">
        <v>2790</v>
      </c>
      <c r="R167" t="s">
        <v>2791</v>
      </c>
      <c r="S167" t="s">
        <v>74</v>
      </c>
      <c r="T167" t="s">
        <v>74</v>
      </c>
      <c r="U167" t="s">
        <v>74</v>
      </c>
      <c r="V167" t="s">
        <v>74</v>
      </c>
      <c r="W167" t="s">
        <v>74</v>
      </c>
      <c r="X167" t="s">
        <v>74</v>
      </c>
      <c r="Y167" t="s">
        <v>74</v>
      </c>
      <c r="Z167" t="s">
        <v>74</v>
      </c>
      <c r="AA167" t="s">
        <v>2802</v>
      </c>
      <c r="AB167" t="s">
        <v>2803</v>
      </c>
      <c r="AC167" t="s">
        <v>74</v>
      </c>
      <c r="AD167" t="s">
        <v>74</v>
      </c>
      <c r="AE167" t="s">
        <v>74</v>
      </c>
      <c r="AF167" t="s">
        <v>74</v>
      </c>
      <c r="AG167">
        <v>0</v>
      </c>
      <c r="AH167">
        <v>1</v>
      </c>
      <c r="AI167">
        <v>1</v>
      </c>
      <c r="AJ167">
        <v>0</v>
      </c>
      <c r="AK167">
        <v>1</v>
      </c>
      <c r="AL167" t="s">
        <v>92</v>
      </c>
      <c r="AM167" t="s">
        <v>93</v>
      </c>
      <c r="AN167" t="s">
        <v>94</v>
      </c>
      <c r="AO167" t="s">
        <v>337</v>
      </c>
      <c r="AP167" t="s">
        <v>338</v>
      </c>
      <c r="AQ167" t="s">
        <v>74</v>
      </c>
      <c r="AR167" t="s">
        <v>324</v>
      </c>
      <c r="AS167" t="s">
        <v>339</v>
      </c>
      <c r="AT167" t="s">
        <v>420</v>
      </c>
      <c r="AU167">
        <v>2022</v>
      </c>
      <c r="AV167">
        <v>162</v>
      </c>
      <c r="AW167">
        <v>4</v>
      </c>
      <c r="AX167" t="s">
        <v>74</v>
      </c>
      <c r="AY167" t="s">
        <v>998</v>
      </c>
      <c r="AZ167" t="s">
        <v>74</v>
      </c>
      <c r="BA167" t="s">
        <v>74</v>
      </c>
      <c r="BB167" t="s">
        <v>2804</v>
      </c>
      <c r="BC167" t="s">
        <v>2805</v>
      </c>
      <c r="BD167" t="s">
        <v>74</v>
      </c>
      <c r="BE167" t="s">
        <v>2806</v>
      </c>
      <c r="BF167" t="str">
        <f>HYPERLINK("http://dx.doi.org/10.1016/j.chest.2022.08.1923","http://dx.doi.org/10.1016/j.chest.2022.08.1923")</f>
        <v>http://dx.doi.org/10.1016/j.chest.2022.08.1923</v>
      </c>
      <c r="BG167" t="s">
        <v>74</v>
      </c>
      <c r="BH167" t="s">
        <v>2796</v>
      </c>
      <c r="BI167">
        <v>5</v>
      </c>
      <c r="BJ167" t="s">
        <v>341</v>
      </c>
      <c r="BK167" t="s">
        <v>512</v>
      </c>
      <c r="BL167" t="s">
        <v>342</v>
      </c>
      <c r="BM167" t="s">
        <v>2797</v>
      </c>
      <c r="BN167" t="s">
        <v>74</v>
      </c>
      <c r="BO167" t="s">
        <v>74</v>
      </c>
      <c r="BP167" t="s">
        <v>74</v>
      </c>
      <c r="BQ167" t="s">
        <v>74</v>
      </c>
      <c r="BR167" t="s">
        <v>104</v>
      </c>
      <c r="BS167" t="s">
        <v>2807</v>
      </c>
      <c r="BT167" t="str">
        <f>HYPERLINK("https%3A%2F%2Fwww.webofscience.com%2Fwos%2Fwoscc%2Ffull-record%2FWOS:000895468902252","View Full Record in Web of Science")</f>
        <v>View Full Record in Web of Science</v>
      </c>
    </row>
    <row r="168" spans="1:72" x14ac:dyDescent="0.25">
      <c r="A168" t="s">
        <v>72</v>
      </c>
      <c r="B168" t="s">
        <v>2808</v>
      </c>
      <c r="C168" t="s">
        <v>74</v>
      </c>
      <c r="D168" t="s">
        <v>74</v>
      </c>
      <c r="E168" t="s">
        <v>74</v>
      </c>
      <c r="F168" t="s">
        <v>2809</v>
      </c>
      <c r="G168" t="s">
        <v>74</v>
      </c>
      <c r="H168" t="s">
        <v>74</v>
      </c>
      <c r="I168" t="s">
        <v>2810</v>
      </c>
      <c r="J168" t="s">
        <v>793</v>
      </c>
      <c r="K168" t="s">
        <v>74</v>
      </c>
      <c r="L168" t="s">
        <v>74</v>
      </c>
      <c r="M168" t="s">
        <v>78</v>
      </c>
      <c r="N168" t="s">
        <v>79</v>
      </c>
      <c r="O168" t="s">
        <v>74</v>
      </c>
      <c r="P168" t="s">
        <v>74</v>
      </c>
      <c r="Q168" t="s">
        <v>74</v>
      </c>
      <c r="R168" t="s">
        <v>74</v>
      </c>
      <c r="S168" t="s">
        <v>74</v>
      </c>
      <c r="T168" t="s">
        <v>74</v>
      </c>
      <c r="U168" t="s">
        <v>2811</v>
      </c>
      <c r="V168" t="s">
        <v>2812</v>
      </c>
      <c r="W168" t="s">
        <v>2813</v>
      </c>
      <c r="X168" t="s">
        <v>2814</v>
      </c>
      <c r="Y168" t="s">
        <v>2815</v>
      </c>
      <c r="Z168" t="s">
        <v>377</v>
      </c>
      <c r="AA168" t="s">
        <v>2816</v>
      </c>
      <c r="AB168" t="s">
        <v>2817</v>
      </c>
      <c r="AC168" t="s">
        <v>2818</v>
      </c>
      <c r="AD168" t="s">
        <v>2818</v>
      </c>
      <c r="AE168" t="s">
        <v>2819</v>
      </c>
      <c r="AF168" t="s">
        <v>74</v>
      </c>
      <c r="AG168">
        <v>34</v>
      </c>
      <c r="AH168">
        <v>1</v>
      </c>
      <c r="AI168">
        <v>1</v>
      </c>
      <c r="AJ168">
        <v>0</v>
      </c>
      <c r="AK168">
        <v>0</v>
      </c>
      <c r="AL168" t="s">
        <v>219</v>
      </c>
      <c r="AM168" t="s">
        <v>220</v>
      </c>
      <c r="AN168" t="s">
        <v>221</v>
      </c>
      <c r="AO168" t="s">
        <v>74</v>
      </c>
      <c r="AP168" t="s">
        <v>803</v>
      </c>
      <c r="AQ168" t="s">
        <v>74</v>
      </c>
      <c r="AR168" t="s">
        <v>804</v>
      </c>
      <c r="AS168" t="s">
        <v>805</v>
      </c>
      <c r="AT168" t="s">
        <v>2820</v>
      </c>
      <c r="AU168">
        <v>2022</v>
      </c>
      <c r="AV168">
        <v>8</v>
      </c>
      <c r="AW168">
        <v>4</v>
      </c>
      <c r="AX168" t="s">
        <v>74</v>
      </c>
      <c r="AY168" t="s">
        <v>74</v>
      </c>
      <c r="AZ168" t="s">
        <v>74</v>
      </c>
      <c r="BA168" t="s">
        <v>74</v>
      </c>
      <c r="BB168" t="s">
        <v>74</v>
      </c>
      <c r="BC168" t="s">
        <v>74</v>
      </c>
      <c r="BD168">
        <v>12</v>
      </c>
      <c r="BE168" t="s">
        <v>2821</v>
      </c>
      <c r="BF168" t="str">
        <f>HYPERLINK("http://dx.doi.org/10.1183/23120541.00012-2022","http://dx.doi.org/10.1183/23120541.00012-2022")</f>
        <v>http://dx.doi.org/10.1183/23120541.00012-2022</v>
      </c>
      <c r="BG168" t="s">
        <v>74</v>
      </c>
      <c r="BH168" t="s">
        <v>74</v>
      </c>
      <c r="BI168">
        <v>8</v>
      </c>
      <c r="BJ168" t="s">
        <v>228</v>
      </c>
      <c r="BK168" t="s">
        <v>101</v>
      </c>
      <c r="BL168" t="s">
        <v>228</v>
      </c>
      <c r="BM168" t="s">
        <v>2822</v>
      </c>
      <c r="BN168">
        <v>36284827</v>
      </c>
      <c r="BO168" t="s">
        <v>1665</v>
      </c>
      <c r="BP168" t="s">
        <v>74</v>
      </c>
      <c r="BQ168" t="s">
        <v>74</v>
      </c>
      <c r="BR168" t="s">
        <v>104</v>
      </c>
      <c r="BS168" t="s">
        <v>2823</v>
      </c>
      <c r="BT168" t="str">
        <f>HYPERLINK("https%3A%2F%2Fwww.webofscience.com%2Fwos%2Fwoscc%2Ffull-record%2FWOS:000873013300001","View Full Record in Web of Science")</f>
        <v>View Full Record in Web of Science</v>
      </c>
    </row>
    <row r="169" spans="1:72" x14ac:dyDescent="0.25">
      <c r="A169" t="s">
        <v>72</v>
      </c>
      <c r="B169" t="s">
        <v>2824</v>
      </c>
      <c r="C169" t="s">
        <v>74</v>
      </c>
      <c r="D169" t="s">
        <v>74</v>
      </c>
      <c r="E169" t="s">
        <v>74</v>
      </c>
      <c r="F169" t="s">
        <v>2825</v>
      </c>
      <c r="G169" t="s">
        <v>74</v>
      </c>
      <c r="H169" t="s">
        <v>74</v>
      </c>
      <c r="I169" t="s">
        <v>2826</v>
      </c>
      <c r="J169" t="s">
        <v>1068</v>
      </c>
      <c r="K169" t="s">
        <v>74</v>
      </c>
      <c r="L169" t="s">
        <v>74</v>
      </c>
      <c r="M169" t="s">
        <v>78</v>
      </c>
      <c r="N169" t="s">
        <v>52</v>
      </c>
      <c r="O169" t="s">
        <v>74</v>
      </c>
      <c r="P169" t="s">
        <v>74</v>
      </c>
      <c r="Q169" t="s">
        <v>74</v>
      </c>
      <c r="R169" t="s">
        <v>74</v>
      </c>
      <c r="S169" t="s">
        <v>74</v>
      </c>
      <c r="T169" t="s">
        <v>74</v>
      </c>
      <c r="U169" t="s">
        <v>74</v>
      </c>
      <c r="V169" t="s">
        <v>74</v>
      </c>
      <c r="W169" t="s">
        <v>2827</v>
      </c>
      <c r="X169" t="s">
        <v>2828</v>
      </c>
      <c r="Y169" t="s">
        <v>74</v>
      </c>
      <c r="Z169" t="s">
        <v>74</v>
      </c>
      <c r="AA169" t="s">
        <v>2829</v>
      </c>
      <c r="AB169" t="s">
        <v>74</v>
      </c>
      <c r="AC169" t="s">
        <v>2830</v>
      </c>
      <c r="AD169" t="s">
        <v>2830</v>
      </c>
      <c r="AE169" t="s">
        <v>2831</v>
      </c>
      <c r="AF169" t="s">
        <v>74</v>
      </c>
      <c r="AG169">
        <v>0</v>
      </c>
      <c r="AH169">
        <v>3</v>
      </c>
      <c r="AI169">
        <v>3</v>
      </c>
      <c r="AJ169">
        <v>0</v>
      </c>
      <c r="AK169">
        <v>0</v>
      </c>
      <c r="AL169" t="s">
        <v>1073</v>
      </c>
      <c r="AM169" t="s">
        <v>1074</v>
      </c>
      <c r="AN169" t="s">
        <v>1075</v>
      </c>
      <c r="AO169" t="s">
        <v>1076</v>
      </c>
      <c r="AP169" t="s">
        <v>1077</v>
      </c>
      <c r="AQ169" t="s">
        <v>74</v>
      </c>
      <c r="AR169" t="s">
        <v>1078</v>
      </c>
      <c r="AS169" t="s">
        <v>1079</v>
      </c>
      <c r="AT169" t="s">
        <v>420</v>
      </c>
      <c r="AU169">
        <v>2022</v>
      </c>
      <c r="AV169">
        <v>43</v>
      </c>
      <c r="AW169" t="s">
        <v>74</v>
      </c>
      <c r="AX169" t="s">
        <v>74</v>
      </c>
      <c r="AY169">
        <v>2</v>
      </c>
      <c r="AZ169" t="s">
        <v>74</v>
      </c>
      <c r="BA169" t="s">
        <v>74</v>
      </c>
      <c r="BB169">
        <v>1929</v>
      </c>
      <c r="BC169">
        <v>1929</v>
      </c>
      <c r="BD169" t="s">
        <v>74</v>
      </c>
      <c r="BE169" t="s">
        <v>74</v>
      </c>
      <c r="BF169" t="s">
        <v>74</v>
      </c>
      <c r="BG169" t="s">
        <v>74</v>
      </c>
      <c r="BH169" t="s">
        <v>74</v>
      </c>
      <c r="BI169">
        <v>1</v>
      </c>
      <c r="BJ169" t="s">
        <v>132</v>
      </c>
      <c r="BK169" t="s">
        <v>101</v>
      </c>
      <c r="BL169" t="s">
        <v>133</v>
      </c>
      <c r="BM169" t="s">
        <v>2832</v>
      </c>
      <c r="BN169" t="s">
        <v>74</v>
      </c>
      <c r="BO169" t="s">
        <v>74</v>
      </c>
      <c r="BP169" t="s">
        <v>74</v>
      </c>
      <c r="BQ169" t="s">
        <v>74</v>
      </c>
      <c r="BR169" t="s">
        <v>104</v>
      </c>
      <c r="BS169" t="s">
        <v>2833</v>
      </c>
      <c r="BT169" t="str">
        <f>HYPERLINK("https%3A%2F%2Fwww.webofscience.com%2Fwos%2Fwoscc%2Ffull-record%2FWOS:000894947901128","View Full Record in Web of Science")</f>
        <v>View Full Record in Web of Science</v>
      </c>
    </row>
    <row r="170" spans="1:72" x14ac:dyDescent="0.25">
      <c r="A170" t="s">
        <v>72</v>
      </c>
      <c r="B170" t="s">
        <v>2834</v>
      </c>
      <c r="C170" t="s">
        <v>74</v>
      </c>
      <c r="D170" t="s">
        <v>74</v>
      </c>
      <c r="E170" t="s">
        <v>74</v>
      </c>
      <c r="F170" t="s">
        <v>2835</v>
      </c>
      <c r="G170" t="s">
        <v>74</v>
      </c>
      <c r="H170" t="s">
        <v>74</v>
      </c>
      <c r="I170" t="s">
        <v>2836</v>
      </c>
      <c r="J170" t="s">
        <v>2837</v>
      </c>
      <c r="K170" t="s">
        <v>74</v>
      </c>
      <c r="L170" t="s">
        <v>74</v>
      </c>
      <c r="M170" t="s">
        <v>78</v>
      </c>
      <c r="N170" t="s">
        <v>79</v>
      </c>
      <c r="O170" t="s">
        <v>74</v>
      </c>
      <c r="P170" t="s">
        <v>74</v>
      </c>
      <c r="Q170" t="s">
        <v>74</v>
      </c>
      <c r="R170" t="s">
        <v>74</v>
      </c>
      <c r="S170" t="s">
        <v>74</v>
      </c>
      <c r="T170" t="s">
        <v>2838</v>
      </c>
      <c r="U170" t="s">
        <v>2839</v>
      </c>
      <c r="V170" t="s">
        <v>2840</v>
      </c>
      <c r="W170" t="s">
        <v>2841</v>
      </c>
      <c r="X170" t="s">
        <v>2842</v>
      </c>
      <c r="Y170" t="s">
        <v>2843</v>
      </c>
      <c r="Z170" t="s">
        <v>276</v>
      </c>
      <c r="AA170" t="s">
        <v>2844</v>
      </c>
      <c r="AB170" t="s">
        <v>2845</v>
      </c>
      <c r="AC170" t="s">
        <v>2846</v>
      </c>
      <c r="AD170" t="s">
        <v>2847</v>
      </c>
      <c r="AE170" t="s">
        <v>2848</v>
      </c>
      <c r="AF170" t="s">
        <v>74</v>
      </c>
      <c r="AG170">
        <v>34</v>
      </c>
      <c r="AH170">
        <v>14</v>
      </c>
      <c r="AI170">
        <v>16</v>
      </c>
      <c r="AJ170">
        <v>4</v>
      </c>
      <c r="AK170">
        <v>21</v>
      </c>
      <c r="AL170" t="s">
        <v>122</v>
      </c>
      <c r="AM170" t="s">
        <v>123</v>
      </c>
      <c r="AN170" t="s">
        <v>124</v>
      </c>
      <c r="AO170" t="s">
        <v>2849</v>
      </c>
      <c r="AP170" t="s">
        <v>2850</v>
      </c>
      <c r="AQ170" t="s">
        <v>74</v>
      </c>
      <c r="AR170" t="s">
        <v>2837</v>
      </c>
      <c r="AS170" t="s">
        <v>2851</v>
      </c>
      <c r="AT170" t="s">
        <v>420</v>
      </c>
      <c r="AU170">
        <v>2022</v>
      </c>
      <c r="AV170">
        <v>79</v>
      </c>
      <c r="AW170">
        <v>10</v>
      </c>
      <c r="AX170" t="s">
        <v>74</v>
      </c>
      <c r="AY170" t="s">
        <v>74</v>
      </c>
      <c r="AZ170" t="s">
        <v>74</v>
      </c>
      <c r="BA170" t="s">
        <v>74</v>
      </c>
      <c r="BB170">
        <v>2262</v>
      </c>
      <c r="BC170">
        <v>2273</v>
      </c>
      <c r="BD170" t="s">
        <v>74</v>
      </c>
      <c r="BE170" t="s">
        <v>2852</v>
      </c>
      <c r="BF170" t="str">
        <f>HYPERLINK("http://dx.doi.org/10.1161/HYPERTENSIONAHA.122.19207","http://dx.doi.org/10.1161/HYPERTENSIONAHA.122.19207")</f>
        <v>http://dx.doi.org/10.1161/HYPERTENSIONAHA.122.19207</v>
      </c>
      <c r="BG170" t="s">
        <v>74</v>
      </c>
      <c r="BH170" t="s">
        <v>74</v>
      </c>
      <c r="BI170">
        <v>12</v>
      </c>
      <c r="BJ170" t="s">
        <v>1789</v>
      </c>
      <c r="BK170" t="s">
        <v>101</v>
      </c>
      <c r="BL170" t="s">
        <v>133</v>
      </c>
      <c r="BM170" t="s">
        <v>2853</v>
      </c>
      <c r="BN170">
        <v>35979822</v>
      </c>
      <c r="BO170" t="s">
        <v>2854</v>
      </c>
      <c r="BP170" t="s">
        <v>74</v>
      </c>
      <c r="BQ170" t="s">
        <v>74</v>
      </c>
      <c r="BR170" t="s">
        <v>104</v>
      </c>
      <c r="BS170" t="s">
        <v>2855</v>
      </c>
      <c r="BT170" t="str">
        <f>HYPERLINK("https%3A%2F%2Fwww.webofscience.com%2Fwos%2Fwoscc%2Ffull-record%2FWOS:000849493300020","View Full Record in Web of Science")</f>
        <v>View Full Record in Web of Science</v>
      </c>
    </row>
    <row r="171" spans="1:72" x14ac:dyDescent="0.25">
      <c r="A171" t="s">
        <v>72</v>
      </c>
      <c r="B171" t="s">
        <v>2856</v>
      </c>
      <c r="C171" t="s">
        <v>74</v>
      </c>
      <c r="D171" t="s">
        <v>74</v>
      </c>
      <c r="E171" t="s">
        <v>74</v>
      </c>
      <c r="F171" t="s">
        <v>2857</v>
      </c>
      <c r="G171" t="s">
        <v>74</v>
      </c>
      <c r="H171" t="s">
        <v>74</v>
      </c>
      <c r="I171" t="s">
        <v>2858</v>
      </c>
      <c r="J171" t="s">
        <v>216</v>
      </c>
      <c r="K171" t="s">
        <v>74</v>
      </c>
      <c r="L171" t="s">
        <v>74</v>
      </c>
      <c r="M171" t="s">
        <v>78</v>
      </c>
      <c r="N171" t="s">
        <v>299</v>
      </c>
      <c r="O171" t="s">
        <v>74</v>
      </c>
      <c r="P171" t="s">
        <v>74</v>
      </c>
      <c r="Q171" t="s">
        <v>74</v>
      </c>
      <c r="R171" t="s">
        <v>74</v>
      </c>
      <c r="S171" t="s">
        <v>74</v>
      </c>
      <c r="T171" t="s">
        <v>74</v>
      </c>
      <c r="U171" t="s">
        <v>2859</v>
      </c>
      <c r="V171" t="s">
        <v>2860</v>
      </c>
      <c r="W171" t="s">
        <v>2861</v>
      </c>
      <c r="X171" t="s">
        <v>2862</v>
      </c>
      <c r="Y171" t="s">
        <v>2863</v>
      </c>
      <c r="Z171" t="s">
        <v>736</v>
      </c>
      <c r="AA171" t="s">
        <v>2864</v>
      </c>
      <c r="AB171" t="s">
        <v>2865</v>
      </c>
      <c r="AC171" t="s">
        <v>2866</v>
      </c>
      <c r="AD171" t="s">
        <v>2867</v>
      </c>
      <c r="AE171" t="s">
        <v>2868</v>
      </c>
      <c r="AF171" t="s">
        <v>74</v>
      </c>
      <c r="AG171">
        <v>68</v>
      </c>
      <c r="AH171">
        <v>44</v>
      </c>
      <c r="AI171">
        <v>46</v>
      </c>
      <c r="AJ171">
        <v>0</v>
      </c>
      <c r="AK171">
        <v>4</v>
      </c>
      <c r="AL171" t="s">
        <v>219</v>
      </c>
      <c r="AM171" t="s">
        <v>220</v>
      </c>
      <c r="AN171" t="s">
        <v>221</v>
      </c>
      <c r="AO171" t="s">
        <v>222</v>
      </c>
      <c r="AP171" t="s">
        <v>223</v>
      </c>
      <c r="AQ171" t="s">
        <v>74</v>
      </c>
      <c r="AR171" t="s">
        <v>224</v>
      </c>
      <c r="AS171" t="s">
        <v>225</v>
      </c>
      <c r="AT171" t="s">
        <v>2820</v>
      </c>
      <c r="AU171">
        <v>2022</v>
      </c>
      <c r="AV171">
        <v>60</v>
      </c>
      <c r="AW171">
        <v>4</v>
      </c>
      <c r="AX171" t="s">
        <v>74</v>
      </c>
      <c r="AY171" t="s">
        <v>74</v>
      </c>
      <c r="AZ171" t="s">
        <v>74</v>
      </c>
      <c r="BA171" t="s">
        <v>74</v>
      </c>
      <c r="BB171" t="s">
        <v>74</v>
      </c>
      <c r="BC171" t="s">
        <v>74</v>
      </c>
      <c r="BD171">
        <v>2103181</v>
      </c>
      <c r="BE171" t="s">
        <v>2869</v>
      </c>
      <c r="BF171" t="str">
        <f>HYPERLINK("http://dx.doi.org/10.1183/13993003.03181-2021","http://dx.doi.org/10.1183/13993003.03181-2021")</f>
        <v>http://dx.doi.org/10.1183/13993003.03181-2021</v>
      </c>
      <c r="BG171" t="s">
        <v>74</v>
      </c>
      <c r="BH171" t="s">
        <v>74</v>
      </c>
      <c r="BI171">
        <v>16</v>
      </c>
      <c r="BJ171" t="s">
        <v>228</v>
      </c>
      <c r="BK171" t="s">
        <v>101</v>
      </c>
      <c r="BL171" t="s">
        <v>228</v>
      </c>
      <c r="BM171" t="s">
        <v>2870</v>
      </c>
      <c r="BN171">
        <v>35332069</v>
      </c>
      <c r="BO171" t="s">
        <v>246</v>
      </c>
      <c r="BP171" t="s">
        <v>74</v>
      </c>
      <c r="BQ171" t="s">
        <v>74</v>
      </c>
      <c r="BR171" t="s">
        <v>104</v>
      </c>
      <c r="BS171" t="s">
        <v>2871</v>
      </c>
      <c r="BT171" t="str">
        <f>HYPERLINK("https%3A%2F%2Fwww.webofscience.com%2Fwos%2Fwoscc%2Ffull-record%2FWOS:000882608600006","View Full Record in Web of Science")</f>
        <v>View Full Record in Web of Science</v>
      </c>
    </row>
    <row r="172" spans="1:72" x14ac:dyDescent="0.25">
      <c r="A172" t="s">
        <v>72</v>
      </c>
      <c r="B172" t="s">
        <v>2872</v>
      </c>
      <c r="C172" t="s">
        <v>74</v>
      </c>
      <c r="D172" t="s">
        <v>74</v>
      </c>
      <c r="E172" t="s">
        <v>74</v>
      </c>
      <c r="F172" t="s">
        <v>2873</v>
      </c>
      <c r="G172" t="s">
        <v>74</v>
      </c>
      <c r="H172" t="s">
        <v>74</v>
      </c>
      <c r="I172" t="s">
        <v>2874</v>
      </c>
      <c r="J172" t="s">
        <v>814</v>
      </c>
      <c r="K172" t="s">
        <v>74</v>
      </c>
      <c r="L172" t="s">
        <v>74</v>
      </c>
      <c r="M172" t="s">
        <v>78</v>
      </c>
      <c r="N172" t="s">
        <v>299</v>
      </c>
      <c r="O172" t="s">
        <v>74</v>
      </c>
      <c r="P172" t="s">
        <v>74</v>
      </c>
      <c r="Q172" t="s">
        <v>74</v>
      </c>
      <c r="R172" t="s">
        <v>74</v>
      </c>
      <c r="S172" t="s">
        <v>74</v>
      </c>
      <c r="T172" t="s">
        <v>74</v>
      </c>
      <c r="U172" t="s">
        <v>2875</v>
      </c>
      <c r="V172" t="s">
        <v>2876</v>
      </c>
      <c r="W172" t="s">
        <v>2877</v>
      </c>
      <c r="X172" t="s">
        <v>2878</v>
      </c>
      <c r="Y172" t="s">
        <v>2879</v>
      </c>
      <c r="Z172" t="s">
        <v>2880</v>
      </c>
      <c r="AA172" t="s">
        <v>2881</v>
      </c>
      <c r="AB172" t="s">
        <v>2882</v>
      </c>
      <c r="AC172" t="s">
        <v>74</v>
      </c>
      <c r="AD172" t="s">
        <v>74</v>
      </c>
      <c r="AE172" t="s">
        <v>74</v>
      </c>
      <c r="AF172" t="s">
        <v>74</v>
      </c>
      <c r="AG172">
        <v>103</v>
      </c>
      <c r="AH172">
        <v>27</v>
      </c>
      <c r="AI172">
        <v>30</v>
      </c>
      <c r="AJ172">
        <v>0</v>
      </c>
      <c r="AK172">
        <v>11</v>
      </c>
      <c r="AL172" t="s">
        <v>219</v>
      </c>
      <c r="AM172" t="s">
        <v>220</v>
      </c>
      <c r="AN172" t="s">
        <v>221</v>
      </c>
      <c r="AO172" t="s">
        <v>823</v>
      </c>
      <c r="AP172" t="s">
        <v>824</v>
      </c>
      <c r="AQ172" t="s">
        <v>74</v>
      </c>
      <c r="AR172" t="s">
        <v>825</v>
      </c>
      <c r="AS172" t="s">
        <v>826</v>
      </c>
      <c r="AT172" t="s">
        <v>2883</v>
      </c>
      <c r="AU172">
        <v>2022</v>
      </c>
      <c r="AV172">
        <v>31</v>
      </c>
      <c r="AW172">
        <v>165</v>
      </c>
      <c r="AX172" t="s">
        <v>74</v>
      </c>
      <c r="AY172" t="s">
        <v>74</v>
      </c>
      <c r="AZ172" t="s">
        <v>74</v>
      </c>
      <c r="BA172" t="s">
        <v>74</v>
      </c>
      <c r="BB172" t="s">
        <v>74</v>
      </c>
      <c r="BC172" t="s">
        <v>74</v>
      </c>
      <c r="BD172">
        <v>210220</v>
      </c>
      <c r="BE172" t="s">
        <v>2884</v>
      </c>
      <c r="BF172" t="str">
        <f>HYPERLINK("http://dx.doi.org/10.1183/16000617.0220-2021","http://dx.doi.org/10.1183/16000617.0220-2021")</f>
        <v>http://dx.doi.org/10.1183/16000617.0220-2021</v>
      </c>
      <c r="BG172" t="s">
        <v>74</v>
      </c>
      <c r="BH172" t="s">
        <v>74</v>
      </c>
      <c r="BI172">
        <v>13</v>
      </c>
      <c r="BJ172" t="s">
        <v>228</v>
      </c>
      <c r="BK172" t="s">
        <v>101</v>
      </c>
      <c r="BL172" t="s">
        <v>228</v>
      </c>
      <c r="BM172" t="s">
        <v>2885</v>
      </c>
      <c r="BN172">
        <v>35831007</v>
      </c>
      <c r="BO172" t="s">
        <v>809</v>
      </c>
      <c r="BP172" t="s">
        <v>74</v>
      </c>
      <c r="BQ172" t="s">
        <v>74</v>
      </c>
      <c r="BR172" t="s">
        <v>104</v>
      </c>
      <c r="BS172" t="s">
        <v>2886</v>
      </c>
      <c r="BT172" t="str">
        <f>HYPERLINK("https%3A%2F%2Fwww.webofscience.com%2Fwos%2Fwoscc%2Ffull-record%2FWOS:000825134000001","View Full Record in Web of Science")</f>
        <v>View Full Record in Web of Science</v>
      </c>
    </row>
    <row r="173" spans="1:72" x14ac:dyDescent="0.25">
      <c r="A173" t="s">
        <v>72</v>
      </c>
      <c r="B173" t="s">
        <v>2887</v>
      </c>
      <c r="C173" t="s">
        <v>74</v>
      </c>
      <c r="D173" t="s">
        <v>74</v>
      </c>
      <c r="E173" t="s">
        <v>74</v>
      </c>
      <c r="F173" t="s">
        <v>2888</v>
      </c>
      <c r="G173" t="s">
        <v>74</v>
      </c>
      <c r="H173" t="s">
        <v>74</v>
      </c>
      <c r="I173" t="s">
        <v>2889</v>
      </c>
      <c r="J173" t="s">
        <v>388</v>
      </c>
      <c r="K173" t="s">
        <v>74</v>
      </c>
      <c r="L173" t="s">
        <v>74</v>
      </c>
      <c r="M173" t="s">
        <v>78</v>
      </c>
      <c r="N173" t="s">
        <v>79</v>
      </c>
      <c r="O173" t="s">
        <v>74</v>
      </c>
      <c r="P173" t="s">
        <v>74</v>
      </c>
      <c r="Q173" t="s">
        <v>74</v>
      </c>
      <c r="R173" t="s">
        <v>74</v>
      </c>
      <c r="S173" t="s">
        <v>74</v>
      </c>
      <c r="T173" t="s">
        <v>74</v>
      </c>
      <c r="U173" t="s">
        <v>74</v>
      </c>
      <c r="V173" t="s">
        <v>2890</v>
      </c>
      <c r="W173" t="s">
        <v>2891</v>
      </c>
      <c r="X173" t="s">
        <v>2892</v>
      </c>
      <c r="Y173" t="s">
        <v>2893</v>
      </c>
      <c r="Z173" t="s">
        <v>2894</v>
      </c>
      <c r="AA173" t="s">
        <v>2895</v>
      </c>
      <c r="AB173" t="s">
        <v>2896</v>
      </c>
      <c r="AC173" t="s">
        <v>2897</v>
      </c>
      <c r="AD173" t="s">
        <v>2897</v>
      </c>
      <c r="AE173" t="s">
        <v>2898</v>
      </c>
      <c r="AF173" t="s">
        <v>74</v>
      </c>
      <c r="AG173">
        <v>26</v>
      </c>
      <c r="AH173">
        <v>105</v>
      </c>
      <c r="AI173">
        <v>112</v>
      </c>
      <c r="AJ173">
        <v>5</v>
      </c>
      <c r="AK173">
        <v>19</v>
      </c>
      <c r="AL173" t="s">
        <v>397</v>
      </c>
      <c r="AM173" t="s">
        <v>398</v>
      </c>
      <c r="AN173" t="s">
        <v>399</v>
      </c>
      <c r="AO173" t="s">
        <v>400</v>
      </c>
      <c r="AP173" t="s">
        <v>74</v>
      </c>
      <c r="AQ173" t="s">
        <v>74</v>
      </c>
      <c r="AR173" t="s">
        <v>401</v>
      </c>
      <c r="AS173" t="s">
        <v>402</v>
      </c>
      <c r="AT173" t="s">
        <v>420</v>
      </c>
      <c r="AU173">
        <v>2022</v>
      </c>
      <c r="AV173">
        <v>10</v>
      </c>
      <c r="AW173">
        <v>10</v>
      </c>
      <c r="AX173" t="s">
        <v>74</v>
      </c>
      <c r="AY173" t="s">
        <v>74</v>
      </c>
      <c r="AZ173" t="s">
        <v>74</v>
      </c>
      <c r="BA173" t="s">
        <v>74</v>
      </c>
      <c r="BB173">
        <v>961</v>
      </c>
      <c r="BC173">
        <v>971</v>
      </c>
      <c r="BD173" t="s">
        <v>74</v>
      </c>
      <c r="BE173" t="s">
        <v>2899</v>
      </c>
      <c r="BF173" t="str">
        <f>HYPERLINK("http://dx.doi.org/10.1016/S2213-2600(22)00214-4","http://dx.doi.org/10.1016/S2213-2600(22)00214-4")</f>
        <v>http://dx.doi.org/10.1016/S2213-2600(22)00214-4</v>
      </c>
      <c r="BG173" t="s">
        <v>74</v>
      </c>
      <c r="BH173" t="s">
        <v>2900</v>
      </c>
      <c r="BI173">
        <v>11</v>
      </c>
      <c r="BJ173" t="s">
        <v>341</v>
      </c>
      <c r="BK173" t="s">
        <v>101</v>
      </c>
      <c r="BL173" t="s">
        <v>342</v>
      </c>
      <c r="BM173" t="s">
        <v>2901</v>
      </c>
      <c r="BN173">
        <v>35926542</v>
      </c>
      <c r="BO173" t="s">
        <v>1194</v>
      </c>
      <c r="BP173" t="s">
        <v>1155</v>
      </c>
      <c r="BQ173" t="s">
        <v>1156</v>
      </c>
      <c r="BR173" t="s">
        <v>104</v>
      </c>
      <c r="BS173" t="s">
        <v>2902</v>
      </c>
      <c r="BT173" t="str">
        <f>HYPERLINK("https%3A%2F%2Fwww.webofscience.com%2Fwos%2Fwoscc%2Ffull-record%2FWOS:000898650900015","View Full Record in Web of Science")</f>
        <v>View Full Record in Web of Science</v>
      </c>
    </row>
    <row r="174" spans="1:72" x14ac:dyDescent="0.25">
      <c r="A174" t="s">
        <v>72</v>
      </c>
      <c r="B174" t="s">
        <v>2903</v>
      </c>
      <c r="C174" t="s">
        <v>74</v>
      </c>
      <c r="D174" t="s">
        <v>74</v>
      </c>
      <c r="E174" t="s">
        <v>74</v>
      </c>
      <c r="F174" t="s">
        <v>2904</v>
      </c>
      <c r="G174" t="s">
        <v>74</v>
      </c>
      <c r="H174" t="s">
        <v>74</v>
      </c>
      <c r="I174" t="s">
        <v>2905</v>
      </c>
      <c r="J174" t="s">
        <v>2906</v>
      </c>
      <c r="K174" t="s">
        <v>74</v>
      </c>
      <c r="L174" t="s">
        <v>74</v>
      </c>
      <c r="M174" t="s">
        <v>78</v>
      </c>
      <c r="N174" t="s">
        <v>79</v>
      </c>
      <c r="O174" t="s">
        <v>74</v>
      </c>
      <c r="P174" t="s">
        <v>74</v>
      </c>
      <c r="Q174" t="s">
        <v>74</v>
      </c>
      <c r="R174" t="s">
        <v>74</v>
      </c>
      <c r="S174" t="s">
        <v>74</v>
      </c>
      <c r="T174" t="s">
        <v>2907</v>
      </c>
      <c r="U174" t="s">
        <v>2908</v>
      </c>
      <c r="V174" t="s">
        <v>2909</v>
      </c>
      <c r="W174" t="s">
        <v>2910</v>
      </c>
      <c r="X174" t="s">
        <v>2911</v>
      </c>
      <c r="Y174" t="s">
        <v>2912</v>
      </c>
      <c r="Z174" t="s">
        <v>2913</v>
      </c>
      <c r="AA174" t="s">
        <v>2914</v>
      </c>
      <c r="AB174" t="s">
        <v>257</v>
      </c>
      <c r="AC174" t="s">
        <v>74</v>
      </c>
      <c r="AD174" t="s">
        <v>74</v>
      </c>
      <c r="AE174" t="s">
        <v>74</v>
      </c>
      <c r="AF174" t="s">
        <v>74</v>
      </c>
      <c r="AG174">
        <v>20</v>
      </c>
      <c r="AH174">
        <v>3</v>
      </c>
      <c r="AI174">
        <v>3</v>
      </c>
      <c r="AJ174">
        <v>0</v>
      </c>
      <c r="AK174">
        <v>1</v>
      </c>
      <c r="AL174" t="s">
        <v>1854</v>
      </c>
      <c r="AM174" t="s">
        <v>201</v>
      </c>
      <c r="AN174" t="s">
        <v>1855</v>
      </c>
      <c r="AO174" t="s">
        <v>2915</v>
      </c>
      <c r="AP174" t="s">
        <v>74</v>
      </c>
      <c r="AQ174" t="s">
        <v>74</v>
      </c>
      <c r="AR174" t="s">
        <v>2916</v>
      </c>
      <c r="AS174" t="s">
        <v>2917</v>
      </c>
      <c r="AT174" t="s">
        <v>2918</v>
      </c>
      <c r="AU174">
        <v>2022</v>
      </c>
      <c r="AV174">
        <v>22</v>
      </c>
      <c r="AW174">
        <v>1</v>
      </c>
      <c r="AX174" t="s">
        <v>74</v>
      </c>
      <c r="AY174" t="s">
        <v>74</v>
      </c>
      <c r="AZ174" t="s">
        <v>74</v>
      </c>
      <c r="BA174" t="s">
        <v>74</v>
      </c>
      <c r="BB174" t="s">
        <v>74</v>
      </c>
      <c r="BC174" t="s">
        <v>74</v>
      </c>
      <c r="BD174">
        <v>300</v>
      </c>
      <c r="BE174" t="s">
        <v>2919</v>
      </c>
      <c r="BF174" t="str">
        <f>HYPERLINK("http://dx.doi.org/10.1186/s12871-022-01839-7","http://dx.doi.org/10.1186/s12871-022-01839-7")</f>
        <v>http://dx.doi.org/10.1186/s12871-022-01839-7</v>
      </c>
      <c r="BG174" t="s">
        <v>74</v>
      </c>
      <c r="BH174" t="s">
        <v>74</v>
      </c>
      <c r="BI174">
        <v>9</v>
      </c>
      <c r="BJ174" t="s">
        <v>2920</v>
      </c>
      <c r="BK174" t="s">
        <v>101</v>
      </c>
      <c r="BL174" t="s">
        <v>2920</v>
      </c>
      <c r="BM174" t="s">
        <v>2921</v>
      </c>
      <c r="BN174">
        <v>36131247</v>
      </c>
      <c r="BO174" t="s">
        <v>1862</v>
      </c>
      <c r="BP174" t="s">
        <v>74</v>
      </c>
      <c r="BQ174" t="s">
        <v>74</v>
      </c>
      <c r="BR174" t="s">
        <v>104</v>
      </c>
      <c r="BS174" t="s">
        <v>2922</v>
      </c>
      <c r="BT174" t="str">
        <f>HYPERLINK("https%3A%2F%2Fwww.webofscience.com%2Fwos%2Fwoscc%2Ffull-record%2FWOS:000857981500001","View Full Record in Web of Science")</f>
        <v>View Full Record in Web of Science</v>
      </c>
    </row>
    <row r="175" spans="1:72" x14ac:dyDescent="0.25">
      <c r="A175" t="s">
        <v>72</v>
      </c>
      <c r="B175" t="s">
        <v>2923</v>
      </c>
      <c r="C175" t="s">
        <v>74</v>
      </c>
      <c r="D175" t="s">
        <v>74</v>
      </c>
      <c r="E175" t="s">
        <v>74</v>
      </c>
      <c r="F175" t="s">
        <v>2924</v>
      </c>
      <c r="G175" t="s">
        <v>74</v>
      </c>
      <c r="H175" t="s">
        <v>74</v>
      </c>
      <c r="I175" t="s">
        <v>2925</v>
      </c>
      <c r="J175" t="s">
        <v>983</v>
      </c>
      <c r="K175" t="s">
        <v>74</v>
      </c>
      <c r="L175" t="s">
        <v>74</v>
      </c>
      <c r="M175" t="s">
        <v>78</v>
      </c>
      <c r="N175" t="s">
        <v>79</v>
      </c>
      <c r="O175" t="s">
        <v>74</v>
      </c>
      <c r="P175" t="s">
        <v>74</v>
      </c>
      <c r="Q175" t="s">
        <v>74</v>
      </c>
      <c r="R175" t="s">
        <v>74</v>
      </c>
      <c r="S175" t="s">
        <v>74</v>
      </c>
      <c r="T175" t="s">
        <v>2926</v>
      </c>
      <c r="U175" t="s">
        <v>2927</v>
      </c>
      <c r="V175" t="s">
        <v>2928</v>
      </c>
      <c r="W175" t="s">
        <v>2929</v>
      </c>
      <c r="X175" t="s">
        <v>2930</v>
      </c>
      <c r="Y175" t="s">
        <v>2931</v>
      </c>
      <c r="Z175" t="s">
        <v>86</v>
      </c>
      <c r="AA175" t="s">
        <v>1468</v>
      </c>
      <c r="AB175" t="s">
        <v>2932</v>
      </c>
      <c r="AC175" t="s">
        <v>74</v>
      </c>
      <c r="AD175" t="s">
        <v>74</v>
      </c>
      <c r="AE175" t="s">
        <v>74</v>
      </c>
      <c r="AF175" t="s">
        <v>74</v>
      </c>
      <c r="AG175">
        <v>24</v>
      </c>
      <c r="AH175">
        <v>9</v>
      </c>
      <c r="AI175">
        <v>9</v>
      </c>
      <c r="AJ175">
        <v>0</v>
      </c>
      <c r="AK175">
        <v>0</v>
      </c>
      <c r="AL175" t="s">
        <v>991</v>
      </c>
      <c r="AM175" t="s">
        <v>486</v>
      </c>
      <c r="AN175" t="s">
        <v>992</v>
      </c>
      <c r="AO175" t="s">
        <v>993</v>
      </c>
      <c r="AP175" t="s">
        <v>994</v>
      </c>
      <c r="AQ175" t="s">
        <v>74</v>
      </c>
      <c r="AR175" t="s">
        <v>995</v>
      </c>
      <c r="AS175" t="s">
        <v>996</v>
      </c>
      <c r="AT175" t="s">
        <v>492</v>
      </c>
      <c r="AU175">
        <v>2022</v>
      </c>
      <c r="AV175">
        <v>41</v>
      </c>
      <c r="AW175">
        <v>9</v>
      </c>
      <c r="AX175" t="s">
        <v>74</v>
      </c>
      <c r="AY175" t="s">
        <v>74</v>
      </c>
      <c r="AZ175" t="s">
        <v>74</v>
      </c>
      <c r="BA175" t="s">
        <v>74</v>
      </c>
      <c r="BB175">
        <v>1285</v>
      </c>
      <c r="BC175">
        <v>1293</v>
      </c>
      <c r="BD175" t="s">
        <v>74</v>
      </c>
      <c r="BE175" t="s">
        <v>2933</v>
      </c>
      <c r="BF175" t="str">
        <f>HYPERLINK("http://dx.doi.org/10.1016/j.healun.2022.06.001","http://dx.doi.org/10.1016/j.healun.2022.06.001")</f>
        <v>http://dx.doi.org/10.1016/j.healun.2022.06.001</v>
      </c>
      <c r="BG175" t="s">
        <v>74</v>
      </c>
      <c r="BH175" t="s">
        <v>2900</v>
      </c>
      <c r="BI175">
        <v>9</v>
      </c>
      <c r="BJ175" t="s">
        <v>1000</v>
      </c>
      <c r="BK175" t="s">
        <v>101</v>
      </c>
      <c r="BL175" t="s">
        <v>1001</v>
      </c>
      <c r="BM175" t="s">
        <v>2934</v>
      </c>
      <c r="BN175">
        <v>35778258</v>
      </c>
      <c r="BO175" t="s">
        <v>74</v>
      </c>
      <c r="BP175" t="s">
        <v>74</v>
      </c>
      <c r="BQ175" t="s">
        <v>74</v>
      </c>
      <c r="BR175" t="s">
        <v>104</v>
      </c>
      <c r="BS175" t="s">
        <v>2935</v>
      </c>
      <c r="BT175" t="str">
        <f>HYPERLINK("https%3A%2F%2Fwww.webofscience.com%2Fwos%2Fwoscc%2Ffull-record%2FWOS:000890162000015","View Full Record in Web of Science")</f>
        <v>View Full Record in Web of Science</v>
      </c>
    </row>
    <row r="176" spans="1:72" x14ac:dyDescent="0.25">
      <c r="A176" t="s">
        <v>72</v>
      </c>
      <c r="B176" t="s">
        <v>2936</v>
      </c>
      <c r="C176" t="s">
        <v>74</v>
      </c>
      <c r="D176" t="s">
        <v>74</v>
      </c>
      <c r="E176" t="s">
        <v>74</v>
      </c>
      <c r="F176" t="s">
        <v>2937</v>
      </c>
      <c r="G176" t="s">
        <v>74</v>
      </c>
      <c r="H176" t="s">
        <v>74</v>
      </c>
      <c r="I176" t="s">
        <v>2938</v>
      </c>
      <c r="J176" t="s">
        <v>1135</v>
      </c>
      <c r="K176" t="s">
        <v>74</v>
      </c>
      <c r="L176" t="s">
        <v>74</v>
      </c>
      <c r="M176" t="s">
        <v>78</v>
      </c>
      <c r="N176" t="s">
        <v>140</v>
      </c>
      <c r="O176" t="s">
        <v>74</v>
      </c>
      <c r="P176" t="s">
        <v>74</v>
      </c>
      <c r="Q176" t="s">
        <v>74</v>
      </c>
      <c r="R176" t="s">
        <v>74</v>
      </c>
      <c r="S176" t="s">
        <v>74</v>
      </c>
      <c r="T176" t="s">
        <v>74</v>
      </c>
      <c r="U176" t="s">
        <v>74</v>
      </c>
      <c r="V176" t="s">
        <v>74</v>
      </c>
      <c r="W176" t="s">
        <v>2939</v>
      </c>
      <c r="X176" t="s">
        <v>2940</v>
      </c>
      <c r="Y176" t="s">
        <v>2941</v>
      </c>
      <c r="Z176" t="s">
        <v>2942</v>
      </c>
      <c r="AA176" t="s">
        <v>2943</v>
      </c>
      <c r="AB176" t="s">
        <v>257</v>
      </c>
      <c r="AC176" t="s">
        <v>74</v>
      </c>
      <c r="AD176" t="s">
        <v>74</v>
      </c>
      <c r="AE176" t="s">
        <v>74</v>
      </c>
      <c r="AF176" t="s">
        <v>74</v>
      </c>
      <c r="AG176">
        <v>11</v>
      </c>
      <c r="AH176">
        <v>6</v>
      </c>
      <c r="AI176">
        <v>6</v>
      </c>
      <c r="AJ176">
        <v>0</v>
      </c>
      <c r="AK176">
        <v>5</v>
      </c>
      <c r="AL176" t="s">
        <v>991</v>
      </c>
      <c r="AM176" t="s">
        <v>486</v>
      </c>
      <c r="AN176" t="s">
        <v>992</v>
      </c>
      <c r="AO176" t="s">
        <v>1146</v>
      </c>
      <c r="AP176" t="s">
        <v>1147</v>
      </c>
      <c r="AQ176" t="s">
        <v>74</v>
      </c>
      <c r="AR176" t="s">
        <v>1135</v>
      </c>
      <c r="AS176" t="s">
        <v>1148</v>
      </c>
      <c r="AT176" t="s">
        <v>2944</v>
      </c>
      <c r="AU176">
        <v>2022</v>
      </c>
      <c r="AV176">
        <v>400</v>
      </c>
      <c r="AW176">
        <v>10356</v>
      </c>
      <c r="AX176" t="s">
        <v>74</v>
      </c>
      <c r="AY176" t="s">
        <v>74</v>
      </c>
      <c r="AZ176" t="s">
        <v>74</v>
      </c>
      <c r="BA176" t="s">
        <v>74</v>
      </c>
      <c r="BB176">
        <v>869</v>
      </c>
      <c r="BC176">
        <v>871</v>
      </c>
      <c r="BD176" t="s">
        <v>74</v>
      </c>
      <c r="BE176" t="s">
        <v>2945</v>
      </c>
      <c r="BF176" t="str">
        <f>HYPERLINK("http://dx.doi.org/10.1016/S0140-6736(22)01660-9","http://dx.doi.org/10.1016/S0140-6736(22)01660-9")</f>
        <v>http://dx.doi.org/10.1016/S0140-6736(22)01660-9</v>
      </c>
      <c r="BG176" t="s">
        <v>74</v>
      </c>
      <c r="BH176" t="s">
        <v>2900</v>
      </c>
      <c r="BI176">
        <v>4</v>
      </c>
      <c r="BJ176" t="s">
        <v>1152</v>
      </c>
      <c r="BK176" t="s">
        <v>101</v>
      </c>
      <c r="BL176" t="s">
        <v>1153</v>
      </c>
      <c r="BM176" t="s">
        <v>2946</v>
      </c>
      <c r="BN176">
        <v>36075257</v>
      </c>
      <c r="BO176" t="s">
        <v>74</v>
      </c>
      <c r="BP176" t="s">
        <v>74</v>
      </c>
      <c r="BQ176" t="s">
        <v>74</v>
      </c>
      <c r="BR176" t="s">
        <v>104</v>
      </c>
      <c r="BS176" t="s">
        <v>2947</v>
      </c>
      <c r="BT176" t="str">
        <f>HYPERLINK("https%3A%2F%2Fwww.webofscience.com%2Fwos%2Fwoscc%2Ffull-record%2FWOS:000890180700005","View Full Record in Web of Science")</f>
        <v>View Full Record in Web of Science</v>
      </c>
    </row>
    <row r="177" spans="1:72" x14ac:dyDescent="0.25">
      <c r="A177" t="s">
        <v>72</v>
      </c>
      <c r="B177" t="s">
        <v>2948</v>
      </c>
      <c r="C177" t="s">
        <v>74</v>
      </c>
      <c r="D177" t="s">
        <v>74</v>
      </c>
      <c r="E177" t="s">
        <v>74</v>
      </c>
      <c r="F177" t="s">
        <v>2949</v>
      </c>
      <c r="G177" t="s">
        <v>74</v>
      </c>
      <c r="H177" t="s">
        <v>74</v>
      </c>
      <c r="I177" t="s">
        <v>2950</v>
      </c>
      <c r="J177" t="s">
        <v>216</v>
      </c>
      <c r="K177" t="s">
        <v>74</v>
      </c>
      <c r="L177" t="s">
        <v>74</v>
      </c>
      <c r="M177" t="s">
        <v>78</v>
      </c>
      <c r="N177" t="s">
        <v>52</v>
      </c>
      <c r="O177" t="s">
        <v>2951</v>
      </c>
      <c r="P177" t="s">
        <v>2952</v>
      </c>
      <c r="Q177" t="s">
        <v>2953</v>
      </c>
      <c r="R177" t="s">
        <v>2954</v>
      </c>
      <c r="S177" t="s">
        <v>74</v>
      </c>
      <c r="T177" t="s">
        <v>74</v>
      </c>
      <c r="U177" t="s">
        <v>74</v>
      </c>
      <c r="V177" t="s">
        <v>74</v>
      </c>
      <c r="W177" t="s">
        <v>2955</v>
      </c>
      <c r="X177" t="s">
        <v>2956</v>
      </c>
      <c r="Y177" t="s">
        <v>74</v>
      </c>
      <c r="Z177" t="s">
        <v>74</v>
      </c>
      <c r="AA177" t="s">
        <v>2957</v>
      </c>
      <c r="AB177" t="s">
        <v>2958</v>
      </c>
      <c r="AC177" t="s">
        <v>74</v>
      </c>
      <c r="AD177" t="s">
        <v>74</v>
      </c>
      <c r="AE177" t="s">
        <v>74</v>
      </c>
      <c r="AF177" t="s">
        <v>74</v>
      </c>
      <c r="AG177">
        <v>0</v>
      </c>
      <c r="AH177">
        <v>0</v>
      </c>
      <c r="AI177">
        <v>0</v>
      </c>
      <c r="AJ177">
        <v>0</v>
      </c>
      <c r="AK177">
        <v>1</v>
      </c>
      <c r="AL177" t="s">
        <v>219</v>
      </c>
      <c r="AM177" t="s">
        <v>220</v>
      </c>
      <c r="AN177" t="s">
        <v>221</v>
      </c>
      <c r="AO177" t="s">
        <v>222</v>
      </c>
      <c r="AP177" t="s">
        <v>223</v>
      </c>
      <c r="AQ177" t="s">
        <v>74</v>
      </c>
      <c r="AR177" t="s">
        <v>224</v>
      </c>
      <c r="AS177" t="s">
        <v>225</v>
      </c>
      <c r="AT177" t="s">
        <v>2959</v>
      </c>
      <c r="AU177">
        <v>2022</v>
      </c>
      <c r="AV177">
        <v>60</v>
      </c>
      <c r="AW177" t="s">
        <v>74</v>
      </c>
      <c r="AX177" t="s">
        <v>74</v>
      </c>
      <c r="AY177">
        <v>66</v>
      </c>
      <c r="AZ177" t="s">
        <v>74</v>
      </c>
      <c r="BA177">
        <v>2035</v>
      </c>
      <c r="BB177" t="s">
        <v>74</v>
      </c>
      <c r="BC177" t="s">
        <v>74</v>
      </c>
      <c r="BD177" t="s">
        <v>74</v>
      </c>
      <c r="BE177" t="s">
        <v>2960</v>
      </c>
      <c r="BF177" t="str">
        <f>HYPERLINK("http://dx.doi.org/10.1183/13993003.congress-2022.2035","http://dx.doi.org/10.1183/13993003.congress-2022.2035")</f>
        <v>http://dx.doi.org/10.1183/13993003.congress-2022.2035</v>
      </c>
      <c r="BG177" t="s">
        <v>74</v>
      </c>
      <c r="BH177" t="s">
        <v>74</v>
      </c>
      <c r="BI177">
        <v>2</v>
      </c>
      <c r="BJ177" t="s">
        <v>228</v>
      </c>
      <c r="BK177" t="s">
        <v>512</v>
      </c>
      <c r="BL177" t="s">
        <v>228</v>
      </c>
      <c r="BM177" t="s">
        <v>2961</v>
      </c>
      <c r="BN177" t="s">
        <v>74</v>
      </c>
      <c r="BO177" t="s">
        <v>74</v>
      </c>
      <c r="BP177" t="s">
        <v>74</v>
      </c>
      <c r="BQ177" t="s">
        <v>74</v>
      </c>
      <c r="BR177" t="s">
        <v>104</v>
      </c>
      <c r="BS177" t="s">
        <v>2962</v>
      </c>
      <c r="BT177" t="str">
        <f>HYPERLINK("https%3A%2F%2Fwww.webofscience.com%2Fwos%2Fwoscc%2Ffull-record%2FWOS:000893392403006","View Full Record in Web of Science")</f>
        <v>View Full Record in Web of Science</v>
      </c>
    </row>
    <row r="178" spans="1:72" x14ac:dyDescent="0.25">
      <c r="A178" t="s">
        <v>72</v>
      </c>
      <c r="B178" t="s">
        <v>2963</v>
      </c>
      <c r="C178" t="s">
        <v>74</v>
      </c>
      <c r="D178" t="s">
        <v>74</v>
      </c>
      <c r="E178" t="s">
        <v>74</v>
      </c>
      <c r="F178" t="s">
        <v>2964</v>
      </c>
      <c r="G178" t="s">
        <v>74</v>
      </c>
      <c r="H178" t="s">
        <v>74</v>
      </c>
      <c r="I178" t="s">
        <v>2965</v>
      </c>
      <c r="J178" t="s">
        <v>216</v>
      </c>
      <c r="K178" t="s">
        <v>74</v>
      </c>
      <c r="L178" t="s">
        <v>74</v>
      </c>
      <c r="M178" t="s">
        <v>78</v>
      </c>
      <c r="N178" t="s">
        <v>52</v>
      </c>
      <c r="O178" t="s">
        <v>2951</v>
      </c>
      <c r="P178" t="s">
        <v>2952</v>
      </c>
      <c r="Q178" t="s">
        <v>2953</v>
      </c>
      <c r="R178" t="s">
        <v>2954</v>
      </c>
      <c r="S178" t="s">
        <v>74</v>
      </c>
      <c r="T178" t="s">
        <v>74</v>
      </c>
      <c r="U178" t="s">
        <v>74</v>
      </c>
      <c r="V178" t="s">
        <v>74</v>
      </c>
      <c r="W178" t="s">
        <v>2966</v>
      </c>
      <c r="X178" t="s">
        <v>2967</v>
      </c>
      <c r="Y178" t="s">
        <v>74</v>
      </c>
      <c r="Z178" t="s">
        <v>74</v>
      </c>
      <c r="AA178" t="s">
        <v>144</v>
      </c>
      <c r="AB178" t="s">
        <v>257</v>
      </c>
      <c r="AC178" t="s">
        <v>74</v>
      </c>
      <c r="AD178" t="s">
        <v>74</v>
      </c>
      <c r="AE178" t="s">
        <v>74</v>
      </c>
      <c r="AF178" t="s">
        <v>74</v>
      </c>
      <c r="AG178">
        <v>0</v>
      </c>
      <c r="AH178">
        <v>0</v>
      </c>
      <c r="AI178">
        <v>0</v>
      </c>
      <c r="AJ178">
        <v>0</v>
      </c>
      <c r="AK178">
        <v>1</v>
      </c>
      <c r="AL178" t="s">
        <v>219</v>
      </c>
      <c r="AM178" t="s">
        <v>220</v>
      </c>
      <c r="AN178" t="s">
        <v>221</v>
      </c>
      <c r="AO178" t="s">
        <v>222</v>
      </c>
      <c r="AP178" t="s">
        <v>223</v>
      </c>
      <c r="AQ178" t="s">
        <v>74</v>
      </c>
      <c r="AR178" t="s">
        <v>224</v>
      </c>
      <c r="AS178" t="s">
        <v>225</v>
      </c>
      <c r="AT178" t="s">
        <v>2959</v>
      </c>
      <c r="AU178">
        <v>2022</v>
      </c>
      <c r="AV178">
        <v>60</v>
      </c>
      <c r="AW178" t="s">
        <v>74</v>
      </c>
      <c r="AX178" t="s">
        <v>74</v>
      </c>
      <c r="AY178">
        <v>66</v>
      </c>
      <c r="AZ178" t="s">
        <v>74</v>
      </c>
      <c r="BA178">
        <v>4525</v>
      </c>
      <c r="BB178" t="s">
        <v>74</v>
      </c>
      <c r="BC178" t="s">
        <v>74</v>
      </c>
      <c r="BD178" t="s">
        <v>74</v>
      </c>
      <c r="BE178" t="s">
        <v>2968</v>
      </c>
      <c r="BF178" t="str">
        <f>HYPERLINK("http://dx.doi.org/10.1183/13993003.congress-2022.4525","http://dx.doi.org/10.1183/13993003.congress-2022.4525")</f>
        <v>http://dx.doi.org/10.1183/13993003.congress-2022.4525</v>
      </c>
      <c r="BG178" t="s">
        <v>74</v>
      </c>
      <c r="BH178" t="s">
        <v>74</v>
      </c>
      <c r="BI178">
        <v>2</v>
      </c>
      <c r="BJ178" t="s">
        <v>228</v>
      </c>
      <c r="BK178" t="s">
        <v>512</v>
      </c>
      <c r="BL178" t="s">
        <v>228</v>
      </c>
      <c r="BM178" t="s">
        <v>2961</v>
      </c>
      <c r="BN178" t="s">
        <v>74</v>
      </c>
      <c r="BO178" t="s">
        <v>74</v>
      </c>
      <c r="BP178" t="s">
        <v>74</v>
      </c>
      <c r="BQ178" t="s">
        <v>74</v>
      </c>
      <c r="BR178" t="s">
        <v>104</v>
      </c>
      <c r="BS178" t="s">
        <v>2969</v>
      </c>
      <c r="BT178" t="str">
        <f>HYPERLINK("https%3A%2F%2Fwww.webofscience.com%2Fwos%2Fwoscc%2Ffull-record%2FWOS:000893392406259","View Full Record in Web of Science")</f>
        <v>View Full Record in Web of Science</v>
      </c>
    </row>
    <row r="179" spans="1:72" x14ac:dyDescent="0.25">
      <c r="A179" t="s">
        <v>72</v>
      </c>
      <c r="B179" t="s">
        <v>2295</v>
      </c>
      <c r="C179" t="s">
        <v>74</v>
      </c>
      <c r="D179" t="s">
        <v>74</v>
      </c>
      <c r="E179" t="s">
        <v>74</v>
      </c>
      <c r="F179" t="s">
        <v>2970</v>
      </c>
      <c r="G179" t="s">
        <v>74</v>
      </c>
      <c r="H179" t="s">
        <v>74</v>
      </c>
      <c r="I179" t="s">
        <v>2297</v>
      </c>
      <c r="J179" t="s">
        <v>216</v>
      </c>
      <c r="K179" t="s">
        <v>74</v>
      </c>
      <c r="L179" t="s">
        <v>74</v>
      </c>
      <c r="M179" t="s">
        <v>78</v>
      </c>
      <c r="N179" t="s">
        <v>52</v>
      </c>
      <c r="O179" t="s">
        <v>2951</v>
      </c>
      <c r="P179" t="s">
        <v>2952</v>
      </c>
      <c r="Q179" t="s">
        <v>2953</v>
      </c>
      <c r="R179" t="s">
        <v>2954</v>
      </c>
      <c r="S179" t="s">
        <v>74</v>
      </c>
      <c r="T179" t="s">
        <v>74</v>
      </c>
      <c r="U179" t="s">
        <v>74</v>
      </c>
      <c r="V179" t="s">
        <v>74</v>
      </c>
      <c r="W179" t="s">
        <v>2971</v>
      </c>
      <c r="X179" t="s">
        <v>2972</v>
      </c>
      <c r="Y179" t="s">
        <v>74</v>
      </c>
      <c r="Z179" t="s">
        <v>74</v>
      </c>
      <c r="AA179" t="s">
        <v>2973</v>
      </c>
      <c r="AB179" t="s">
        <v>2974</v>
      </c>
      <c r="AC179" t="s">
        <v>74</v>
      </c>
      <c r="AD179" t="s">
        <v>74</v>
      </c>
      <c r="AE179" t="s">
        <v>74</v>
      </c>
      <c r="AF179" t="s">
        <v>74</v>
      </c>
      <c r="AG179">
        <v>0</v>
      </c>
      <c r="AH179">
        <v>1</v>
      </c>
      <c r="AI179">
        <v>2</v>
      </c>
      <c r="AJ179">
        <v>0</v>
      </c>
      <c r="AK179">
        <v>0</v>
      </c>
      <c r="AL179" t="s">
        <v>219</v>
      </c>
      <c r="AM179" t="s">
        <v>220</v>
      </c>
      <c r="AN179" t="s">
        <v>221</v>
      </c>
      <c r="AO179" t="s">
        <v>222</v>
      </c>
      <c r="AP179" t="s">
        <v>223</v>
      </c>
      <c r="AQ179" t="s">
        <v>74</v>
      </c>
      <c r="AR179" t="s">
        <v>224</v>
      </c>
      <c r="AS179" t="s">
        <v>225</v>
      </c>
      <c r="AT179" t="s">
        <v>2959</v>
      </c>
      <c r="AU179">
        <v>2022</v>
      </c>
      <c r="AV179">
        <v>60</v>
      </c>
      <c r="AW179" t="s">
        <v>74</v>
      </c>
      <c r="AX179" t="s">
        <v>74</v>
      </c>
      <c r="AY179">
        <v>66</v>
      </c>
      <c r="AZ179" t="s">
        <v>74</v>
      </c>
      <c r="BA179">
        <v>4618</v>
      </c>
      <c r="BB179" t="s">
        <v>74</v>
      </c>
      <c r="BC179" t="s">
        <v>74</v>
      </c>
      <c r="BD179" t="s">
        <v>74</v>
      </c>
      <c r="BE179" t="s">
        <v>2975</v>
      </c>
      <c r="BF179" t="str">
        <f>HYPERLINK("http://dx.doi.org/10.1183/13993003.congress-2022.4618","http://dx.doi.org/10.1183/13993003.congress-2022.4618")</f>
        <v>http://dx.doi.org/10.1183/13993003.congress-2022.4618</v>
      </c>
      <c r="BG179" t="s">
        <v>74</v>
      </c>
      <c r="BH179" t="s">
        <v>74</v>
      </c>
      <c r="BI179">
        <v>2</v>
      </c>
      <c r="BJ179" t="s">
        <v>228</v>
      </c>
      <c r="BK179" t="s">
        <v>512</v>
      </c>
      <c r="BL179" t="s">
        <v>228</v>
      </c>
      <c r="BM179" t="s">
        <v>2961</v>
      </c>
      <c r="BN179" t="s">
        <v>74</v>
      </c>
      <c r="BO179" t="s">
        <v>612</v>
      </c>
      <c r="BP179" t="s">
        <v>74</v>
      </c>
      <c r="BQ179" t="s">
        <v>74</v>
      </c>
      <c r="BR179" t="s">
        <v>104</v>
      </c>
      <c r="BS179" t="s">
        <v>2976</v>
      </c>
      <c r="BT179" t="str">
        <f>HYPERLINK("https%3A%2F%2Fwww.webofscience.com%2Fwos%2Fwoscc%2Ffull-record%2FWOS:000893392406301","View Full Record in Web of Science")</f>
        <v>View Full Record in Web of Science</v>
      </c>
    </row>
    <row r="180" spans="1:72" x14ac:dyDescent="0.25">
      <c r="A180" t="s">
        <v>72</v>
      </c>
      <c r="B180" t="s">
        <v>2977</v>
      </c>
      <c r="C180" t="s">
        <v>74</v>
      </c>
      <c r="D180" t="s">
        <v>74</v>
      </c>
      <c r="E180" t="s">
        <v>74</v>
      </c>
      <c r="F180" t="s">
        <v>2978</v>
      </c>
      <c r="G180" t="s">
        <v>74</v>
      </c>
      <c r="H180" t="s">
        <v>74</v>
      </c>
      <c r="I180" t="s">
        <v>2979</v>
      </c>
      <c r="J180" t="s">
        <v>216</v>
      </c>
      <c r="K180" t="s">
        <v>74</v>
      </c>
      <c r="L180" t="s">
        <v>74</v>
      </c>
      <c r="M180" t="s">
        <v>78</v>
      </c>
      <c r="N180" t="s">
        <v>52</v>
      </c>
      <c r="O180" t="s">
        <v>2951</v>
      </c>
      <c r="P180" t="s">
        <v>2952</v>
      </c>
      <c r="Q180" t="s">
        <v>2953</v>
      </c>
      <c r="R180" t="s">
        <v>2954</v>
      </c>
      <c r="S180" t="s">
        <v>74</v>
      </c>
      <c r="T180" t="s">
        <v>2980</v>
      </c>
      <c r="U180" t="s">
        <v>74</v>
      </c>
      <c r="V180" t="s">
        <v>74</v>
      </c>
      <c r="W180" t="s">
        <v>2981</v>
      </c>
      <c r="X180" t="s">
        <v>2982</v>
      </c>
      <c r="Y180" t="s">
        <v>74</v>
      </c>
      <c r="Z180" t="s">
        <v>74</v>
      </c>
      <c r="AA180" t="s">
        <v>144</v>
      </c>
      <c r="AB180" t="s">
        <v>257</v>
      </c>
      <c r="AC180" t="s">
        <v>74</v>
      </c>
      <c r="AD180" t="s">
        <v>74</v>
      </c>
      <c r="AE180" t="s">
        <v>74</v>
      </c>
      <c r="AF180" t="s">
        <v>74</v>
      </c>
      <c r="AG180">
        <v>0</v>
      </c>
      <c r="AH180">
        <v>0</v>
      </c>
      <c r="AI180">
        <v>0</v>
      </c>
      <c r="AJ180">
        <v>0</v>
      </c>
      <c r="AK180">
        <v>0</v>
      </c>
      <c r="AL180" t="s">
        <v>219</v>
      </c>
      <c r="AM180" t="s">
        <v>220</v>
      </c>
      <c r="AN180" t="s">
        <v>221</v>
      </c>
      <c r="AO180" t="s">
        <v>222</v>
      </c>
      <c r="AP180" t="s">
        <v>223</v>
      </c>
      <c r="AQ180" t="s">
        <v>74</v>
      </c>
      <c r="AR180" t="s">
        <v>224</v>
      </c>
      <c r="AS180" t="s">
        <v>225</v>
      </c>
      <c r="AT180" t="s">
        <v>2959</v>
      </c>
      <c r="AU180">
        <v>2022</v>
      </c>
      <c r="AV180">
        <v>60</v>
      </c>
      <c r="AW180" t="s">
        <v>74</v>
      </c>
      <c r="AX180" t="s">
        <v>74</v>
      </c>
      <c r="AY180">
        <v>66</v>
      </c>
      <c r="AZ180" t="s">
        <v>74</v>
      </c>
      <c r="BA180">
        <v>2364</v>
      </c>
      <c r="BB180" t="s">
        <v>74</v>
      </c>
      <c r="BC180" t="s">
        <v>74</v>
      </c>
      <c r="BD180" t="s">
        <v>74</v>
      </c>
      <c r="BE180" t="s">
        <v>2983</v>
      </c>
      <c r="BF180" t="str">
        <f>HYPERLINK("http://dx.doi.org/10.1183/13993003.congress-2022.2364","http://dx.doi.org/10.1183/13993003.congress-2022.2364")</f>
        <v>http://dx.doi.org/10.1183/13993003.congress-2022.2364</v>
      </c>
      <c r="BG180" t="s">
        <v>74</v>
      </c>
      <c r="BH180" t="s">
        <v>74</v>
      </c>
      <c r="BI180">
        <v>2</v>
      </c>
      <c r="BJ180" t="s">
        <v>228</v>
      </c>
      <c r="BK180" t="s">
        <v>512</v>
      </c>
      <c r="BL180" t="s">
        <v>228</v>
      </c>
      <c r="BM180" t="s">
        <v>2961</v>
      </c>
      <c r="BN180" t="s">
        <v>74</v>
      </c>
      <c r="BO180" t="s">
        <v>74</v>
      </c>
      <c r="BP180" t="s">
        <v>74</v>
      </c>
      <c r="BQ180" t="s">
        <v>74</v>
      </c>
      <c r="BR180" t="s">
        <v>104</v>
      </c>
      <c r="BS180" t="s">
        <v>2984</v>
      </c>
      <c r="BT180" t="str">
        <f>HYPERLINK("https%3A%2F%2Fwww.webofscience.com%2Fwos%2Fwoscc%2Ffull-record%2FWOS:000893392403259","View Full Record in Web of Science")</f>
        <v>View Full Record in Web of Science</v>
      </c>
    </row>
    <row r="181" spans="1:72" x14ac:dyDescent="0.25">
      <c r="A181" t="s">
        <v>72</v>
      </c>
      <c r="B181" t="s">
        <v>2985</v>
      </c>
      <c r="C181" t="s">
        <v>74</v>
      </c>
      <c r="D181" t="s">
        <v>74</v>
      </c>
      <c r="E181" t="s">
        <v>74</v>
      </c>
      <c r="F181" t="s">
        <v>2986</v>
      </c>
      <c r="G181" t="s">
        <v>74</v>
      </c>
      <c r="H181" t="s">
        <v>74</v>
      </c>
      <c r="I181" t="s">
        <v>2987</v>
      </c>
      <c r="J181" t="s">
        <v>216</v>
      </c>
      <c r="K181" t="s">
        <v>74</v>
      </c>
      <c r="L181" t="s">
        <v>74</v>
      </c>
      <c r="M181" t="s">
        <v>78</v>
      </c>
      <c r="N181" t="s">
        <v>52</v>
      </c>
      <c r="O181" t="s">
        <v>2951</v>
      </c>
      <c r="P181" t="s">
        <v>2952</v>
      </c>
      <c r="Q181" t="s">
        <v>2953</v>
      </c>
      <c r="R181" t="s">
        <v>2954</v>
      </c>
      <c r="S181" t="s">
        <v>74</v>
      </c>
      <c r="T181" t="s">
        <v>74</v>
      </c>
      <c r="U181" t="s">
        <v>74</v>
      </c>
      <c r="V181" t="s">
        <v>74</v>
      </c>
      <c r="W181" t="s">
        <v>2988</v>
      </c>
      <c r="X181" t="s">
        <v>2989</v>
      </c>
      <c r="Y181" t="s">
        <v>74</v>
      </c>
      <c r="Z181" t="s">
        <v>74</v>
      </c>
      <c r="AA181" t="s">
        <v>2990</v>
      </c>
      <c r="AB181" t="s">
        <v>2991</v>
      </c>
      <c r="AC181" t="s">
        <v>74</v>
      </c>
      <c r="AD181" t="s">
        <v>74</v>
      </c>
      <c r="AE181" t="s">
        <v>74</v>
      </c>
      <c r="AF181" t="s">
        <v>74</v>
      </c>
      <c r="AG181">
        <v>0</v>
      </c>
      <c r="AH181">
        <v>0</v>
      </c>
      <c r="AI181">
        <v>0</v>
      </c>
      <c r="AJ181">
        <v>0</v>
      </c>
      <c r="AK181">
        <v>0</v>
      </c>
      <c r="AL181" t="s">
        <v>219</v>
      </c>
      <c r="AM181" t="s">
        <v>220</v>
      </c>
      <c r="AN181" t="s">
        <v>221</v>
      </c>
      <c r="AO181" t="s">
        <v>222</v>
      </c>
      <c r="AP181" t="s">
        <v>223</v>
      </c>
      <c r="AQ181" t="s">
        <v>74</v>
      </c>
      <c r="AR181" t="s">
        <v>224</v>
      </c>
      <c r="AS181" t="s">
        <v>225</v>
      </c>
      <c r="AT181" t="s">
        <v>2959</v>
      </c>
      <c r="AU181">
        <v>2022</v>
      </c>
      <c r="AV181">
        <v>60</v>
      </c>
      <c r="AW181" t="s">
        <v>74</v>
      </c>
      <c r="AX181" t="s">
        <v>74</v>
      </c>
      <c r="AY181">
        <v>66</v>
      </c>
      <c r="AZ181" t="s">
        <v>74</v>
      </c>
      <c r="BA181">
        <v>962</v>
      </c>
      <c r="BB181" t="s">
        <v>74</v>
      </c>
      <c r="BC181" t="s">
        <v>74</v>
      </c>
      <c r="BD181" t="s">
        <v>74</v>
      </c>
      <c r="BE181" t="s">
        <v>2992</v>
      </c>
      <c r="BF181" t="str">
        <f>HYPERLINK("http://dx.doi.org/10.1183/13993003.congress-2022.962","http://dx.doi.org/10.1183/13993003.congress-2022.962")</f>
        <v>http://dx.doi.org/10.1183/13993003.congress-2022.962</v>
      </c>
      <c r="BG181" t="s">
        <v>74</v>
      </c>
      <c r="BH181" t="s">
        <v>74</v>
      </c>
      <c r="BI181">
        <v>2</v>
      </c>
      <c r="BJ181" t="s">
        <v>228</v>
      </c>
      <c r="BK181" t="s">
        <v>512</v>
      </c>
      <c r="BL181" t="s">
        <v>228</v>
      </c>
      <c r="BM181" t="s">
        <v>2961</v>
      </c>
      <c r="BN181" t="s">
        <v>74</v>
      </c>
      <c r="BO181" t="s">
        <v>74</v>
      </c>
      <c r="BP181" t="s">
        <v>74</v>
      </c>
      <c r="BQ181" t="s">
        <v>74</v>
      </c>
      <c r="BR181" t="s">
        <v>104</v>
      </c>
      <c r="BS181" t="s">
        <v>2993</v>
      </c>
      <c r="BT181" t="str">
        <f>HYPERLINK("https%3A%2F%2Fwww.webofscience.com%2Fwos%2Fwoscc%2Ffull-record%2FWOS:000893392401224","View Full Record in Web of Science")</f>
        <v>View Full Record in Web of Science</v>
      </c>
    </row>
    <row r="182" spans="1:72" x14ac:dyDescent="0.25">
      <c r="A182" t="s">
        <v>72</v>
      </c>
      <c r="B182" t="s">
        <v>2994</v>
      </c>
      <c r="C182" t="s">
        <v>74</v>
      </c>
      <c r="D182" t="s">
        <v>74</v>
      </c>
      <c r="E182" t="s">
        <v>74</v>
      </c>
      <c r="F182" t="s">
        <v>2995</v>
      </c>
      <c r="G182" t="s">
        <v>74</v>
      </c>
      <c r="H182" t="s">
        <v>74</v>
      </c>
      <c r="I182" t="s">
        <v>2996</v>
      </c>
      <c r="J182" t="s">
        <v>216</v>
      </c>
      <c r="K182" t="s">
        <v>74</v>
      </c>
      <c r="L182" t="s">
        <v>74</v>
      </c>
      <c r="M182" t="s">
        <v>78</v>
      </c>
      <c r="N182" t="s">
        <v>52</v>
      </c>
      <c r="O182" t="s">
        <v>74</v>
      </c>
      <c r="P182" t="s">
        <v>74</v>
      </c>
      <c r="Q182" t="s">
        <v>74</v>
      </c>
      <c r="R182" t="s">
        <v>74</v>
      </c>
      <c r="S182" t="s">
        <v>74</v>
      </c>
      <c r="T182" t="s">
        <v>74</v>
      </c>
      <c r="U182" t="s">
        <v>74</v>
      </c>
      <c r="V182" t="s">
        <v>74</v>
      </c>
      <c r="W182" t="s">
        <v>2997</v>
      </c>
      <c r="X182" t="s">
        <v>2998</v>
      </c>
      <c r="Y182" t="s">
        <v>74</v>
      </c>
      <c r="Z182" t="s">
        <v>74</v>
      </c>
      <c r="AA182" t="s">
        <v>2999</v>
      </c>
      <c r="AB182" t="s">
        <v>257</v>
      </c>
      <c r="AC182" t="s">
        <v>74</v>
      </c>
      <c r="AD182" t="s">
        <v>74</v>
      </c>
      <c r="AE182" t="s">
        <v>74</v>
      </c>
      <c r="AF182" t="s">
        <v>74</v>
      </c>
      <c r="AG182">
        <v>0</v>
      </c>
      <c r="AH182">
        <v>3</v>
      </c>
      <c r="AI182">
        <v>3</v>
      </c>
      <c r="AJ182">
        <v>0</v>
      </c>
      <c r="AK182">
        <v>2</v>
      </c>
      <c r="AL182" t="s">
        <v>219</v>
      </c>
      <c r="AM182" t="s">
        <v>220</v>
      </c>
      <c r="AN182" t="s">
        <v>221</v>
      </c>
      <c r="AO182" t="s">
        <v>222</v>
      </c>
      <c r="AP182" t="s">
        <v>223</v>
      </c>
      <c r="AQ182" t="s">
        <v>74</v>
      </c>
      <c r="AR182" t="s">
        <v>224</v>
      </c>
      <c r="AS182" t="s">
        <v>225</v>
      </c>
      <c r="AT182" t="s">
        <v>2959</v>
      </c>
      <c r="AU182">
        <v>2022</v>
      </c>
      <c r="AV182">
        <v>60</v>
      </c>
      <c r="AW182" t="s">
        <v>74</v>
      </c>
      <c r="AX182" t="s">
        <v>74</v>
      </c>
      <c r="AY182">
        <v>66</v>
      </c>
      <c r="AZ182" t="s">
        <v>74</v>
      </c>
      <c r="BA182" t="s">
        <v>74</v>
      </c>
      <c r="BB182" t="s">
        <v>74</v>
      </c>
      <c r="BC182" t="s">
        <v>74</v>
      </c>
      <c r="BD182" t="s">
        <v>74</v>
      </c>
      <c r="BE182" t="s">
        <v>74</v>
      </c>
      <c r="BF182" t="s">
        <v>74</v>
      </c>
      <c r="BG182" t="s">
        <v>74</v>
      </c>
      <c r="BH182" t="s">
        <v>74</v>
      </c>
      <c r="BI182">
        <v>2</v>
      </c>
      <c r="BJ182" t="s">
        <v>228</v>
      </c>
      <c r="BK182" t="s">
        <v>101</v>
      </c>
      <c r="BL182" t="s">
        <v>228</v>
      </c>
      <c r="BM182" t="s">
        <v>2961</v>
      </c>
      <c r="BN182" t="s">
        <v>74</v>
      </c>
      <c r="BO182" t="s">
        <v>74</v>
      </c>
      <c r="BP182" t="s">
        <v>74</v>
      </c>
      <c r="BQ182" t="s">
        <v>74</v>
      </c>
      <c r="BR182" t="s">
        <v>104</v>
      </c>
      <c r="BS182" t="s">
        <v>3000</v>
      </c>
      <c r="BT182" t="str">
        <f>HYPERLINK("https%3A%2F%2Fwww.webofscience.com%2Fwos%2Fwoscc%2Ffull-record%2FWOS:000893392401044","View Full Record in Web of Science")</f>
        <v>View Full Record in Web of Science</v>
      </c>
    </row>
    <row r="183" spans="1:72" x14ac:dyDescent="0.25">
      <c r="A183" t="s">
        <v>72</v>
      </c>
      <c r="B183" t="s">
        <v>3001</v>
      </c>
      <c r="C183" t="s">
        <v>74</v>
      </c>
      <c r="D183" t="s">
        <v>74</v>
      </c>
      <c r="E183" t="s">
        <v>74</v>
      </c>
      <c r="F183" t="s">
        <v>3002</v>
      </c>
      <c r="G183" t="s">
        <v>74</v>
      </c>
      <c r="H183" t="s">
        <v>74</v>
      </c>
      <c r="I183" t="s">
        <v>3003</v>
      </c>
      <c r="J183" t="s">
        <v>216</v>
      </c>
      <c r="K183" t="s">
        <v>74</v>
      </c>
      <c r="L183" t="s">
        <v>74</v>
      </c>
      <c r="M183" t="s">
        <v>78</v>
      </c>
      <c r="N183" t="s">
        <v>52</v>
      </c>
      <c r="O183" t="s">
        <v>74</v>
      </c>
      <c r="P183" t="s">
        <v>74</v>
      </c>
      <c r="Q183" t="s">
        <v>74</v>
      </c>
      <c r="R183" t="s">
        <v>74</v>
      </c>
      <c r="S183" t="s">
        <v>74</v>
      </c>
      <c r="T183" t="s">
        <v>74</v>
      </c>
      <c r="U183" t="s">
        <v>74</v>
      </c>
      <c r="V183" t="s">
        <v>74</v>
      </c>
      <c r="W183" t="s">
        <v>3004</v>
      </c>
      <c r="X183" t="s">
        <v>3005</v>
      </c>
      <c r="Y183" t="s">
        <v>74</v>
      </c>
      <c r="Z183" t="s">
        <v>74</v>
      </c>
      <c r="AA183" t="s">
        <v>144</v>
      </c>
      <c r="AB183" t="s">
        <v>257</v>
      </c>
      <c r="AC183" t="s">
        <v>74</v>
      </c>
      <c r="AD183" t="s">
        <v>74</v>
      </c>
      <c r="AE183" t="s">
        <v>74</v>
      </c>
      <c r="AF183" t="s">
        <v>74</v>
      </c>
      <c r="AG183">
        <v>0</v>
      </c>
      <c r="AH183">
        <v>0</v>
      </c>
      <c r="AI183">
        <v>0</v>
      </c>
      <c r="AJ183">
        <v>0</v>
      </c>
      <c r="AK183">
        <v>0</v>
      </c>
      <c r="AL183" t="s">
        <v>219</v>
      </c>
      <c r="AM183" t="s">
        <v>220</v>
      </c>
      <c r="AN183" t="s">
        <v>221</v>
      </c>
      <c r="AO183" t="s">
        <v>222</v>
      </c>
      <c r="AP183" t="s">
        <v>223</v>
      </c>
      <c r="AQ183" t="s">
        <v>74</v>
      </c>
      <c r="AR183" t="s">
        <v>224</v>
      </c>
      <c r="AS183" t="s">
        <v>225</v>
      </c>
      <c r="AT183" t="s">
        <v>2959</v>
      </c>
      <c r="AU183">
        <v>2022</v>
      </c>
      <c r="AV183">
        <v>60</v>
      </c>
      <c r="AW183" t="s">
        <v>74</v>
      </c>
      <c r="AX183" t="s">
        <v>74</v>
      </c>
      <c r="AY183">
        <v>66</v>
      </c>
      <c r="AZ183" t="s">
        <v>74</v>
      </c>
      <c r="BA183" t="s">
        <v>74</v>
      </c>
      <c r="BB183" t="s">
        <v>74</v>
      </c>
      <c r="BC183" t="s">
        <v>74</v>
      </c>
      <c r="BD183" t="s">
        <v>74</v>
      </c>
      <c r="BE183" t="s">
        <v>74</v>
      </c>
      <c r="BF183" t="s">
        <v>74</v>
      </c>
      <c r="BG183" t="s">
        <v>74</v>
      </c>
      <c r="BH183" t="s">
        <v>74</v>
      </c>
      <c r="BI183">
        <v>2</v>
      </c>
      <c r="BJ183" t="s">
        <v>228</v>
      </c>
      <c r="BK183" t="s">
        <v>101</v>
      </c>
      <c r="BL183" t="s">
        <v>228</v>
      </c>
      <c r="BM183" t="s">
        <v>2961</v>
      </c>
      <c r="BN183" t="s">
        <v>74</v>
      </c>
      <c r="BO183" t="s">
        <v>74</v>
      </c>
      <c r="BP183" t="s">
        <v>74</v>
      </c>
      <c r="BQ183" t="s">
        <v>74</v>
      </c>
      <c r="BR183" t="s">
        <v>104</v>
      </c>
      <c r="BS183" t="s">
        <v>3006</v>
      </c>
      <c r="BT183" t="str">
        <f>HYPERLINK("https%3A%2F%2Fwww.webofscience.com%2Fwos%2Fwoscc%2Ffull-record%2FWOS:000893392401068","View Full Record in Web of Science")</f>
        <v>View Full Record in Web of Science</v>
      </c>
    </row>
    <row r="184" spans="1:72" x14ac:dyDescent="0.25">
      <c r="A184" t="s">
        <v>72</v>
      </c>
      <c r="B184" t="s">
        <v>3007</v>
      </c>
      <c r="C184" t="s">
        <v>74</v>
      </c>
      <c r="D184" t="s">
        <v>74</v>
      </c>
      <c r="E184" t="s">
        <v>74</v>
      </c>
      <c r="F184" t="s">
        <v>3008</v>
      </c>
      <c r="G184" t="s">
        <v>74</v>
      </c>
      <c r="H184" t="s">
        <v>74</v>
      </c>
      <c r="I184" t="s">
        <v>3009</v>
      </c>
      <c r="J184" t="s">
        <v>216</v>
      </c>
      <c r="K184" t="s">
        <v>74</v>
      </c>
      <c r="L184" t="s">
        <v>74</v>
      </c>
      <c r="M184" t="s">
        <v>78</v>
      </c>
      <c r="N184" t="s">
        <v>52</v>
      </c>
      <c r="O184" t="s">
        <v>2951</v>
      </c>
      <c r="P184" t="s">
        <v>2952</v>
      </c>
      <c r="Q184" t="s">
        <v>2953</v>
      </c>
      <c r="R184" t="s">
        <v>2954</v>
      </c>
      <c r="S184" t="s">
        <v>74</v>
      </c>
      <c r="T184" t="s">
        <v>1226</v>
      </c>
      <c r="U184" t="s">
        <v>74</v>
      </c>
      <c r="V184" t="s">
        <v>74</v>
      </c>
      <c r="W184" t="s">
        <v>3010</v>
      </c>
      <c r="X184" t="s">
        <v>3011</v>
      </c>
      <c r="Y184" t="s">
        <v>74</v>
      </c>
      <c r="Z184" t="s">
        <v>74</v>
      </c>
      <c r="AA184" t="s">
        <v>3012</v>
      </c>
      <c r="AB184" t="s">
        <v>74</v>
      </c>
      <c r="AC184" t="s">
        <v>74</v>
      </c>
      <c r="AD184" t="s">
        <v>74</v>
      </c>
      <c r="AE184" t="s">
        <v>74</v>
      </c>
      <c r="AF184" t="s">
        <v>74</v>
      </c>
      <c r="AG184">
        <v>0</v>
      </c>
      <c r="AH184">
        <v>0</v>
      </c>
      <c r="AI184">
        <v>0</v>
      </c>
      <c r="AJ184">
        <v>0</v>
      </c>
      <c r="AK184">
        <v>0</v>
      </c>
      <c r="AL184" t="s">
        <v>219</v>
      </c>
      <c r="AM184" t="s">
        <v>220</v>
      </c>
      <c r="AN184" t="s">
        <v>221</v>
      </c>
      <c r="AO184" t="s">
        <v>222</v>
      </c>
      <c r="AP184" t="s">
        <v>223</v>
      </c>
      <c r="AQ184" t="s">
        <v>74</v>
      </c>
      <c r="AR184" t="s">
        <v>224</v>
      </c>
      <c r="AS184" t="s">
        <v>225</v>
      </c>
      <c r="AT184" t="s">
        <v>2959</v>
      </c>
      <c r="AU184">
        <v>2022</v>
      </c>
      <c r="AV184">
        <v>60</v>
      </c>
      <c r="AW184" t="s">
        <v>74</v>
      </c>
      <c r="AX184" t="s">
        <v>74</v>
      </c>
      <c r="AY184">
        <v>66</v>
      </c>
      <c r="AZ184" t="s">
        <v>74</v>
      </c>
      <c r="BA184">
        <v>1211</v>
      </c>
      <c r="BB184" t="s">
        <v>74</v>
      </c>
      <c r="BC184" t="s">
        <v>74</v>
      </c>
      <c r="BD184" t="s">
        <v>74</v>
      </c>
      <c r="BE184" t="s">
        <v>3013</v>
      </c>
      <c r="BF184" t="str">
        <f>HYPERLINK("http://dx.doi.org/10.1183/13993003.congress-2022.1211","http://dx.doi.org/10.1183/13993003.congress-2022.1211")</f>
        <v>http://dx.doi.org/10.1183/13993003.congress-2022.1211</v>
      </c>
      <c r="BG184" t="s">
        <v>74</v>
      </c>
      <c r="BH184" t="s">
        <v>74</v>
      </c>
      <c r="BI184">
        <v>2</v>
      </c>
      <c r="BJ184" t="s">
        <v>228</v>
      </c>
      <c r="BK184" t="s">
        <v>512</v>
      </c>
      <c r="BL184" t="s">
        <v>228</v>
      </c>
      <c r="BM184" t="s">
        <v>2961</v>
      </c>
      <c r="BN184" t="s">
        <v>74</v>
      </c>
      <c r="BO184" t="s">
        <v>74</v>
      </c>
      <c r="BP184" t="s">
        <v>74</v>
      </c>
      <c r="BQ184" t="s">
        <v>74</v>
      </c>
      <c r="BR184" t="s">
        <v>104</v>
      </c>
      <c r="BS184" t="s">
        <v>3014</v>
      </c>
      <c r="BT184" t="str">
        <f>HYPERLINK("https%3A%2F%2Fwww.webofscience.com%2Fwos%2Fwoscc%2Ffull-record%2FWOS:000893392401420","View Full Record in Web of Science")</f>
        <v>View Full Record in Web of Science</v>
      </c>
    </row>
    <row r="185" spans="1:72" x14ac:dyDescent="0.25">
      <c r="A185" t="s">
        <v>72</v>
      </c>
      <c r="B185" t="s">
        <v>3015</v>
      </c>
      <c r="C185" t="s">
        <v>74</v>
      </c>
      <c r="D185" t="s">
        <v>74</v>
      </c>
      <c r="E185" t="s">
        <v>74</v>
      </c>
      <c r="F185" t="s">
        <v>3016</v>
      </c>
      <c r="G185" t="s">
        <v>74</v>
      </c>
      <c r="H185" t="s">
        <v>74</v>
      </c>
      <c r="I185" t="s">
        <v>3017</v>
      </c>
      <c r="J185" t="s">
        <v>216</v>
      </c>
      <c r="K185" t="s">
        <v>74</v>
      </c>
      <c r="L185" t="s">
        <v>74</v>
      </c>
      <c r="M185" t="s">
        <v>78</v>
      </c>
      <c r="N185" t="s">
        <v>52</v>
      </c>
      <c r="O185" t="s">
        <v>2951</v>
      </c>
      <c r="P185" t="s">
        <v>2952</v>
      </c>
      <c r="Q185" t="s">
        <v>2953</v>
      </c>
      <c r="R185" t="s">
        <v>2954</v>
      </c>
      <c r="S185" t="s">
        <v>74</v>
      </c>
      <c r="T185" t="s">
        <v>3018</v>
      </c>
      <c r="U185" t="s">
        <v>74</v>
      </c>
      <c r="V185" t="s">
        <v>74</v>
      </c>
      <c r="W185" t="s">
        <v>3019</v>
      </c>
      <c r="X185" t="s">
        <v>3020</v>
      </c>
      <c r="Y185" t="s">
        <v>74</v>
      </c>
      <c r="Z185" t="s">
        <v>74</v>
      </c>
      <c r="AA185" t="s">
        <v>144</v>
      </c>
      <c r="AB185" t="s">
        <v>257</v>
      </c>
      <c r="AC185" t="s">
        <v>74</v>
      </c>
      <c r="AD185" t="s">
        <v>74</v>
      </c>
      <c r="AE185" t="s">
        <v>74</v>
      </c>
      <c r="AF185" t="s">
        <v>74</v>
      </c>
      <c r="AG185">
        <v>0</v>
      </c>
      <c r="AH185">
        <v>0</v>
      </c>
      <c r="AI185">
        <v>0</v>
      </c>
      <c r="AJ185">
        <v>0</v>
      </c>
      <c r="AK185">
        <v>0</v>
      </c>
      <c r="AL185" t="s">
        <v>219</v>
      </c>
      <c r="AM185" t="s">
        <v>220</v>
      </c>
      <c r="AN185" t="s">
        <v>221</v>
      </c>
      <c r="AO185" t="s">
        <v>222</v>
      </c>
      <c r="AP185" t="s">
        <v>223</v>
      </c>
      <c r="AQ185" t="s">
        <v>74</v>
      </c>
      <c r="AR185" t="s">
        <v>224</v>
      </c>
      <c r="AS185" t="s">
        <v>225</v>
      </c>
      <c r="AT185" t="s">
        <v>2959</v>
      </c>
      <c r="AU185">
        <v>2022</v>
      </c>
      <c r="AV185">
        <v>60</v>
      </c>
      <c r="AW185" t="s">
        <v>74</v>
      </c>
      <c r="AX185" t="s">
        <v>74</v>
      </c>
      <c r="AY185">
        <v>66</v>
      </c>
      <c r="AZ185" t="s">
        <v>74</v>
      </c>
      <c r="BA185">
        <v>919</v>
      </c>
      <c r="BB185" t="s">
        <v>74</v>
      </c>
      <c r="BC185" t="s">
        <v>74</v>
      </c>
      <c r="BD185" t="s">
        <v>74</v>
      </c>
      <c r="BE185" t="s">
        <v>3021</v>
      </c>
      <c r="BF185" t="str">
        <f>HYPERLINK("http://dx.doi.org/10.1183/13993003.congress-2022.919","http://dx.doi.org/10.1183/13993003.congress-2022.919")</f>
        <v>http://dx.doi.org/10.1183/13993003.congress-2022.919</v>
      </c>
      <c r="BG185" t="s">
        <v>74</v>
      </c>
      <c r="BH185" t="s">
        <v>74</v>
      </c>
      <c r="BI185">
        <v>2</v>
      </c>
      <c r="BJ185" t="s">
        <v>228</v>
      </c>
      <c r="BK185" t="s">
        <v>512</v>
      </c>
      <c r="BL185" t="s">
        <v>228</v>
      </c>
      <c r="BM185" t="s">
        <v>2961</v>
      </c>
      <c r="BN185" t="s">
        <v>74</v>
      </c>
      <c r="BO185" t="s">
        <v>74</v>
      </c>
      <c r="BP185" t="s">
        <v>74</v>
      </c>
      <c r="BQ185" t="s">
        <v>74</v>
      </c>
      <c r="BR185" t="s">
        <v>104</v>
      </c>
      <c r="BS185" t="s">
        <v>3022</v>
      </c>
      <c r="BT185" t="str">
        <f>HYPERLINK("https%3A%2F%2Fwww.webofscience.com%2Fwos%2Fwoscc%2Ffull-record%2FWOS:000893392401189","View Full Record in Web of Science")</f>
        <v>View Full Record in Web of Science</v>
      </c>
    </row>
    <row r="186" spans="1:72" x14ac:dyDescent="0.25">
      <c r="A186" t="s">
        <v>72</v>
      </c>
      <c r="B186" t="s">
        <v>3023</v>
      </c>
      <c r="C186" t="s">
        <v>74</v>
      </c>
      <c r="D186" t="s">
        <v>74</v>
      </c>
      <c r="E186" t="s">
        <v>74</v>
      </c>
      <c r="F186" t="s">
        <v>3024</v>
      </c>
      <c r="G186" t="s">
        <v>74</v>
      </c>
      <c r="H186" t="s">
        <v>74</v>
      </c>
      <c r="I186" t="s">
        <v>3025</v>
      </c>
      <c r="J186" t="s">
        <v>216</v>
      </c>
      <c r="K186" t="s">
        <v>74</v>
      </c>
      <c r="L186" t="s">
        <v>74</v>
      </c>
      <c r="M186" t="s">
        <v>78</v>
      </c>
      <c r="N186" t="s">
        <v>52</v>
      </c>
      <c r="O186" t="s">
        <v>2951</v>
      </c>
      <c r="P186" t="s">
        <v>2952</v>
      </c>
      <c r="Q186" t="s">
        <v>2953</v>
      </c>
      <c r="R186" t="s">
        <v>2954</v>
      </c>
      <c r="S186" t="s">
        <v>74</v>
      </c>
      <c r="T186" t="s">
        <v>74</v>
      </c>
      <c r="U186" t="s">
        <v>74</v>
      </c>
      <c r="V186" t="s">
        <v>74</v>
      </c>
      <c r="W186" t="s">
        <v>3026</v>
      </c>
      <c r="X186" t="s">
        <v>3027</v>
      </c>
      <c r="Y186" t="s">
        <v>74</v>
      </c>
      <c r="Z186" t="s">
        <v>74</v>
      </c>
      <c r="AA186" t="s">
        <v>307</v>
      </c>
      <c r="AB186" t="s">
        <v>74</v>
      </c>
      <c r="AC186" t="s">
        <v>74</v>
      </c>
      <c r="AD186" t="s">
        <v>74</v>
      </c>
      <c r="AE186" t="s">
        <v>74</v>
      </c>
      <c r="AF186" t="s">
        <v>74</v>
      </c>
      <c r="AG186">
        <v>0</v>
      </c>
      <c r="AH186">
        <v>0</v>
      </c>
      <c r="AI186">
        <v>0</v>
      </c>
      <c r="AJ186">
        <v>0</v>
      </c>
      <c r="AK186">
        <v>1</v>
      </c>
      <c r="AL186" t="s">
        <v>219</v>
      </c>
      <c r="AM186" t="s">
        <v>220</v>
      </c>
      <c r="AN186" t="s">
        <v>221</v>
      </c>
      <c r="AO186" t="s">
        <v>222</v>
      </c>
      <c r="AP186" t="s">
        <v>223</v>
      </c>
      <c r="AQ186" t="s">
        <v>74</v>
      </c>
      <c r="AR186" t="s">
        <v>224</v>
      </c>
      <c r="AS186" t="s">
        <v>225</v>
      </c>
      <c r="AT186" t="s">
        <v>2959</v>
      </c>
      <c r="AU186">
        <v>2022</v>
      </c>
      <c r="AV186">
        <v>60</v>
      </c>
      <c r="AW186" t="s">
        <v>74</v>
      </c>
      <c r="AX186" t="s">
        <v>74</v>
      </c>
      <c r="AY186">
        <v>66</v>
      </c>
      <c r="AZ186" t="s">
        <v>74</v>
      </c>
      <c r="BA186">
        <v>3278</v>
      </c>
      <c r="BB186" t="s">
        <v>74</v>
      </c>
      <c r="BC186" t="s">
        <v>74</v>
      </c>
      <c r="BD186" t="s">
        <v>74</v>
      </c>
      <c r="BE186" t="s">
        <v>3028</v>
      </c>
      <c r="BF186" t="str">
        <f>HYPERLINK("http://dx.doi.org/10.1183/13993003.congress-2022.3278","http://dx.doi.org/10.1183/13993003.congress-2022.3278")</f>
        <v>http://dx.doi.org/10.1183/13993003.congress-2022.3278</v>
      </c>
      <c r="BG186" t="s">
        <v>74</v>
      </c>
      <c r="BH186" t="s">
        <v>74</v>
      </c>
      <c r="BI186">
        <v>2</v>
      </c>
      <c r="BJ186" t="s">
        <v>228</v>
      </c>
      <c r="BK186" t="s">
        <v>512</v>
      </c>
      <c r="BL186" t="s">
        <v>228</v>
      </c>
      <c r="BM186" t="s">
        <v>2961</v>
      </c>
      <c r="BN186" t="s">
        <v>74</v>
      </c>
      <c r="BO186" t="s">
        <v>74</v>
      </c>
      <c r="BP186" t="s">
        <v>74</v>
      </c>
      <c r="BQ186" t="s">
        <v>74</v>
      </c>
      <c r="BR186" t="s">
        <v>104</v>
      </c>
      <c r="BS186" t="s">
        <v>3029</v>
      </c>
      <c r="BT186" t="str">
        <f>HYPERLINK("https%3A%2F%2Fwww.webofscience.com%2Fwos%2Fwoscc%2Ffull-record%2FWOS:000893392404409","View Full Record in Web of Science")</f>
        <v>View Full Record in Web of Science</v>
      </c>
    </row>
    <row r="187" spans="1:72" x14ac:dyDescent="0.25">
      <c r="A187" t="s">
        <v>72</v>
      </c>
      <c r="B187" t="s">
        <v>3030</v>
      </c>
      <c r="C187" t="s">
        <v>74</v>
      </c>
      <c r="D187" t="s">
        <v>74</v>
      </c>
      <c r="E187" t="s">
        <v>74</v>
      </c>
      <c r="F187" t="s">
        <v>3031</v>
      </c>
      <c r="G187" t="s">
        <v>74</v>
      </c>
      <c r="H187" t="s">
        <v>74</v>
      </c>
      <c r="I187" t="s">
        <v>3032</v>
      </c>
      <c r="J187" t="s">
        <v>216</v>
      </c>
      <c r="K187" t="s">
        <v>74</v>
      </c>
      <c r="L187" t="s">
        <v>74</v>
      </c>
      <c r="M187" t="s">
        <v>78</v>
      </c>
      <c r="N187" t="s">
        <v>52</v>
      </c>
      <c r="O187" t="s">
        <v>2951</v>
      </c>
      <c r="P187" t="s">
        <v>2952</v>
      </c>
      <c r="Q187" t="s">
        <v>2953</v>
      </c>
      <c r="R187" t="s">
        <v>2954</v>
      </c>
      <c r="S187" t="s">
        <v>74</v>
      </c>
      <c r="T187" t="s">
        <v>3033</v>
      </c>
      <c r="U187" t="s">
        <v>74</v>
      </c>
      <c r="V187" t="s">
        <v>74</v>
      </c>
      <c r="W187" t="s">
        <v>3034</v>
      </c>
      <c r="X187" t="s">
        <v>3035</v>
      </c>
      <c r="Y187" t="s">
        <v>74</v>
      </c>
      <c r="Z187" t="s">
        <v>74</v>
      </c>
      <c r="AA187" t="s">
        <v>2623</v>
      </c>
      <c r="AB187" t="s">
        <v>257</v>
      </c>
      <c r="AC187" t="s">
        <v>74</v>
      </c>
      <c r="AD187" t="s">
        <v>74</v>
      </c>
      <c r="AE187" t="s">
        <v>74</v>
      </c>
      <c r="AF187" t="s">
        <v>74</v>
      </c>
      <c r="AG187">
        <v>0</v>
      </c>
      <c r="AH187">
        <v>0</v>
      </c>
      <c r="AI187">
        <v>0</v>
      </c>
      <c r="AJ187">
        <v>1</v>
      </c>
      <c r="AK187">
        <v>2</v>
      </c>
      <c r="AL187" t="s">
        <v>219</v>
      </c>
      <c r="AM187" t="s">
        <v>220</v>
      </c>
      <c r="AN187" t="s">
        <v>221</v>
      </c>
      <c r="AO187" t="s">
        <v>222</v>
      </c>
      <c r="AP187" t="s">
        <v>223</v>
      </c>
      <c r="AQ187" t="s">
        <v>74</v>
      </c>
      <c r="AR187" t="s">
        <v>224</v>
      </c>
      <c r="AS187" t="s">
        <v>225</v>
      </c>
      <c r="AT187" t="s">
        <v>2959</v>
      </c>
      <c r="AU187">
        <v>2022</v>
      </c>
      <c r="AV187">
        <v>60</v>
      </c>
      <c r="AW187" t="s">
        <v>74</v>
      </c>
      <c r="AX187" t="s">
        <v>74</v>
      </c>
      <c r="AY187">
        <v>66</v>
      </c>
      <c r="AZ187" t="s">
        <v>74</v>
      </c>
      <c r="BA187">
        <v>2897</v>
      </c>
      <c r="BB187" t="s">
        <v>74</v>
      </c>
      <c r="BC187" t="s">
        <v>74</v>
      </c>
      <c r="BD187" t="s">
        <v>74</v>
      </c>
      <c r="BE187" t="s">
        <v>3036</v>
      </c>
      <c r="BF187" t="str">
        <f>HYPERLINK("http://dx.doi.org/10.1183/13993003.congress-2022.2897","http://dx.doi.org/10.1183/13993003.congress-2022.2897")</f>
        <v>http://dx.doi.org/10.1183/13993003.congress-2022.2897</v>
      </c>
      <c r="BG187" t="s">
        <v>74</v>
      </c>
      <c r="BH187" t="s">
        <v>74</v>
      </c>
      <c r="BI187">
        <v>2</v>
      </c>
      <c r="BJ187" t="s">
        <v>228</v>
      </c>
      <c r="BK187" t="s">
        <v>512</v>
      </c>
      <c r="BL187" t="s">
        <v>228</v>
      </c>
      <c r="BM187" t="s">
        <v>2961</v>
      </c>
      <c r="BN187" t="s">
        <v>74</v>
      </c>
      <c r="BO187" t="s">
        <v>74</v>
      </c>
      <c r="BP187" t="s">
        <v>74</v>
      </c>
      <c r="BQ187" t="s">
        <v>74</v>
      </c>
      <c r="BR187" t="s">
        <v>104</v>
      </c>
      <c r="BS187" t="s">
        <v>3037</v>
      </c>
      <c r="BT187" t="str">
        <f>HYPERLINK("https%3A%2F%2Fwww.webofscience.com%2Fwos%2Fwoscc%2Ffull-record%2FWOS:000893392404141","View Full Record in Web of Science")</f>
        <v>View Full Record in Web of Science</v>
      </c>
    </row>
    <row r="188" spans="1:72" x14ac:dyDescent="0.25">
      <c r="A188" t="s">
        <v>72</v>
      </c>
      <c r="B188" t="s">
        <v>3038</v>
      </c>
      <c r="C188" t="s">
        <v>74</v>
      </c>
      <c r="D188" t="s">
        <v>74</v>
      </c>
      <c r="E188" t="s">
        <v>74</v>
      </c>
      <c r="F188" t="s">
        <v>3039</v>
      </c>
      <c r="G188" t="s">
        <v>74</v>
      </c>
      <c r="H188" t="s">
        <v>74</v>
      </c>
      <c r="I188" t="s">
        <v>3040</v>
      </c>
      <c r="J188" t="s">
        <v>216</v>
      </c>
      <c r="K188" t="s">
        <v>74</v>
      </c>
      <c r="L188" t="s">
        <v>74</v>
      </c>
      <c r="M188" t="s">
        <v>78</v>
      </c>
      <c r="N188" t="s">
        <v>52</v>
      </c>
      <c r="O188" t="s">
        <v>2951</v>
      </c>
      <c r="P188" t="s">
        <v>2952</v>
      </c>
      <c r="Q188" t="s">
        <v>2953</v>
      </c>
      <c r="R188" t="s">
        <v>2954</v>
      </c>
      <c r="S188" t="s">
        <v>74</v>
      </c>
      <c r="T188" t="s">
        <v>74</v>
      </c>
      <c r="U188" t="s">
        <v>74</v>
      </c>
      <c r="V188" t="s">
        <v>74</v>
      </c>
      <c r="W188" t="s">
        <v>74</v>
      </c>
      <c r="X188" t="s">
        <v>74</v>
      </c>
      <c r="Y188" t="s">
        <v>74</v>
      </c>
      <c r="Z188" t="s">
        <v>74</v>
      </c>
      <c r="AA188" t="s">
        <v>3041</v>
      </c>
      <c r="AB188" t="s">
        <v>3042</v>
      </c>
      <c r="AC188" t="s">
        <v>74</v>
      </c>
      <c r="AD188" t="s">
        <v>74</v>
      </c>
      <c r="AE188" t="s">
        <v>74</v>
      </c>
      <c r="AF188" t="s">
        <v>74</v>
      </c>
      <c r="AG188">
        <v>0</v>
      </c>
      <c r="AH188">
        <v>0</v>
      </c>
      <c r="AI188">
        <v>0</v>
      </c>
      <c r="AJ188">
        <v>0</v>
      </c>
      <c r="AK188">
        <v>0</v>
      </c>
      <c r="AL188" t="s">
        <v>219</v>
      </c>
      <c r="AM188" t="s">
        <v>220</v>
      </c>
      <c r="AN188" t="s">
        <v>221</v>
      </c>
      <c r="AO188" t="s">
        <v>222</v>
      </c>
      <c r="AP188" t="s">
        <v>223</v>
      </c>
      <c r="AQ188" t="s">
        <v>74</v>
      </c>
      <c r="AR188" t="s">
        <v>224</v>
      </c>
      <c r="AS188" t="s">
        <v>225</v>
      </c>
      <c r="AT188" t="s">
        <v>2959</v>
      </c>
      <c r="AU188">
        <v>2022</v>
      </c>
      <c r="AV188">
        <v>60</v>
      </c>
      <c r="AW188" t="s">
        <v>74</v>
      </c>
      <c r="AX188" t="s">
        <v>74</v>
      </c>
      <c r="AY188">
        <v>66</v>
      </c>
      <c r="AZ188" t="s">
        <v>74</v>
      </c>
      <c r="BA188">
        <v>4093</v>
      </c>
      <c r="BB188" t="s">
        <v>74</v>
      </c>
      <c r="BC188" t="s">
        <v>74</v>
      </c>
      <c r="BD188" t="s">
        <v>74</v>
      </c>
      <c r="BE188" t="s">
        <v>3043</v>
      </c>
      <c r="BF188" t="str">
        <f>HYPERLINK("http://dx.doi.org/10.1183/13993003.congress-2022.4093","http://dx.doi.org/10.1183/13993003.congress-2022.4093")</f>
        <v>http://dx.doi.org/10.1183/13993003.congress-2022.4093</v>
      </c>
      <c r="BG188" t="s">
        <v>74</v>
      </c>
      <c r="BH188" t="s">
        <v>74</v>
      </c>
      <c r="BI188">
        <v>2</v>
      </c>
      <c r="BJ188" t="s">
        <v>228</v>
      </c>
      <c r="BK188" t="s">
        <v>512</v>
      </c>
      <c r="BL188" t="s">
        <v>228</v>
      </c>
      <c r="BM188" t="s">
        <v>2961</v>
      </c>
      <c r="BN188" t="s">
        <v>74</v>
      </c>
      <c r="BO188" t="s">
        <v>74</v>
      </c>
      <c r="BP188" t="s">
        <v>74</v>
      </c>
      <c r="BQ188" t="s">
        <v>74</v>
      </c>
      <c r="BR188" t="s">
        <v>104</v>
      </c>
      <c r="BS188" t="s">
        <v>3044</v>
      </c>
      <c r="BT188" t="str">
        <f>HYPERLINK("https%3A%2F%2Fwww.webofscience.com%2Fwos%2Fwoscc%2Ffull-record%2FWOS:000893392405491","View Full Record in Web of Science")</f>
        <v>View Full Record in Web of Science</v>
      </c>
    </row>
    <row r="189" spans="1:72" x14ac:dyDescent="0.25">
      <c r="A189" t="s">
        <v>72</v>
      </c>
      <c r="B189" t="s">
        <v>3045</v>
      </c>
      <c r="C189" t="s">
        <v>74</v>
      </c>
      <c r="D189" t="s">
        <v>74</v>
      </c>
      <c r="E189" t="s">
        <v>74</v>
      </c>
      <c r="F189" t="s">
        <v>3046</v>
      </c>
      <c r="G189" t="s">
        <v>74</v>
      </c>
      <c r="H189" t="s">
        <v>74</v>
      </c>
      <c r="I189" t="s">
        <v>3047</v>
      </c>
      <c r="J189" t="s">
        <v>3048</v>
      </c>
      <c r="K189" t="s">
        <v>74</v>
      </c>
      <c r="L189" t="s">
        <v>74</v>
      </c>
      <c r="M189" t="s">
        <v>78</v>
      </c>
      <c r="N189" t="s">
        <v>79</v>
      </c>
      <c r="O189" t="s">
        <v>74</v>
      </c>
      <c r="P189" t="s">
        <v>74</v>
      </c>
      <c r="Q189" t="s">
        <v>74</v>
      </c>
      <c r="R189" t="s">
        <v>74</v>
      </c>
      <c r="S189" t="s">
        <v>74</v>
      </c>
      <c r="T189" t="s">
        <v>3049</v>
      </c>
      <c r="U189" t="s">
        <v>3050</v>
      </c>
      <c r="V189" t="s">
        <v>3051</v>
      </c>
      <c r="W189" t="s">
        <v>3052</v>
      </c>
      <c r="X189" t="s">
        <v>3053</v>
      </c>
      <c r="Y189" t="s">
        <v>3054</v>
      </c>
      <c r="Z189" t="s">
        <v>2236</v>
      </c>
      <c r="AA189" t="s">
        <v>3055</v>
      </c>
      <c r="AB189" t="s">
        <v>3056</v>
      </c>
      <c r="AC189" t="s">
        <v>74</v>
      </c>
      <c r="AD189" t="s">
        <v>74</v>
      </c>
      <c r="AE189" t="s">
        <v>74</v>
      </c>
      <c r="AF189" t="s">
        <v>74</v>
      </c>
      <c r="AG189">
        <v>28</v>
      </c>
      <c r="AH189">
        <v>10</v>
      </c>
      <c r="AI189">
        <v>10</v>
      </c>
      <c r="AJ189">
        <v>0</v>
      </c>
      <c r="AK189">
        <v>4</v>
      </c>
      <c r="AL189" t="s">
        <v>991</v>
      </c>
      <c r="AM189" t="s">
        <v>486</v>
      </c>
      <c r="AN189" t="s">
        <v>992</v>
      </c>
      <c r="AO189" t="s">
        <v>3057</v>
      </c>
      <c r="AP189" t="s">
        <v>3058</v>
      </c>
      <c r="AQ189" t="s">
        <v>74</v>
      </c>
      <c r="AR189" t="s">
        <v>3059</v>
      </c>
      <c r="AS189" t="s">
        <v>3060</v>
      </c>
      <c r="AT189" t="s">
        <v>226</v>
      </c>
      <c r="AU189">
        <v>2022</v>
      </c>
      <c r="AV189">
        <v>22</v>
      </c>
      <c r="AW189">
        <v>12</v>
      </c>
      <c r="AX189" t="s">
        <v>74</v>
      </c>
      <c r="AY189" t="s">
        <v>74</v>
      </c>
      <c r="AZ189" t="s">
        <v>74</v>
      </c>
      <c r="BA189" t="s">
        <v>74</v>
      </c>
      <c r="BB189">
        <v>2990</v>
      </c>
      <c r="BC189">
        <v>3001</v>
      </c>
      <c r="BD189" t="s">
        <v>74</v>
      </c>
      <c r="BE189" t="s">
        <v>3061</v>
      </c>
      <c r="BF189" t="str">
        <f>HYPERLINK("http://dx.doi.org/10.1111/ajt.17177","http://dx.doi.org/10.1111/ajt.17177")</f>
        <v>http://dx.doi.org/10.1111/ajt.17177</v>
      </c>
      <c r="BG189" t="s">
        <v>74</v>
      </c>
      <c r="BH189" t="s">
        <v>2900</v>
      </c>
      <c r="BI189">
        <v>12</v>
      </c>
      <c r="BJ189" t="s">
        <v>3062</v>
      </c>
      <c r="BK189" t="s">
        <v>101</v>
      </c>
      <c r="BL189" t="s">
        <v>3062</v>
      </c>
      <c r="BM189" t="s">
        <v>3063</v>
      </c>
      <c r="BN189">
        <v>35988032</v>
      </c>
      <c r="BO189" t="s">
        <v>470</v>
      </c>
      <c r="BP189" t="s">
        <v>74</v>
      </c>
      <c r="BQ189" t="s">
        <v>74</v>
      </c>
      <c r="BR189" t="s">
        <v>104</v>
      </c>
      <c r="BS189" t="s">
        <v>3064</v>
      </c>
      <c r="BT189" t="str">
        <f>HYPERLINK("https%3A%2F%2Fwww.webofscience.com%2Fwos%2Fwoscc%2Ffull-record%2FWOS:000849580500001","View Full Record in Web of Science")</f>
        <v>View Full Record in Web of Science</v>
      </c>
    </row>
    <row r="190" spans="1:72" x14ac:dyDescent="0.25">
      <c r="A190" t="s">
        <v>72</v>
      </c>
      <c r="B190" t="s">
        <v>3065</v>
      </c>
      <c r="C190" t="s">
        <v>74</v>
      </c>
      <c r="D190" t="s">
        <v>74</v>
      </c>
      <c r="E190" t="s">
        <v>74</v>
      </c>
      <c r="F190" t="s">
        <v>3066</v>
      </c>
      <c r="G190" t="s">
        <v>74</v>
      </c>
      <c r="H190" t="s">
        <v>74</v>
      </c>
      <c r="I190" t="s">
        <v>3067</v>
      </c>
      <c r="J190" t="s">
        <v>3068</v>
      </c>
      <c r="K190" t="s">
        <v>74</v>
      </c>
      <c r="L190" t="s">
        <v>74</v>
      </c>
      <c r="M190" t="s">
        <v>78</v>
      </c>
      <c r="N190" t="s">
        <v>79</v>
      </c>
      <c r="O190" t="s">
        <v>74</v>
      </c>
      <c r="P190" t="s">
        <v>74</v>
      </c>
      <c r="Q190" t="s">
        <v>74</v>
      </c>
      <c r="R190" t="s">
        <v>74</v>
      </c>
      <c r="S190" t="s">
        <v>74</v>
      </c>
      <c r="T190" t="s">
        <v>3069</v>
      </c>
      <c r="U190" t="s">
        <v>3070</v>
      </c>
      <c r="V190" t="s">
        <v>3071</v>
      </c>
      <c r="W190" t="s">
        <v>3072</v>
      </c>
      <c r="X190" t="s">
        <v>3073</v>
      </c>
      <c r="Y190" t="s">
        <v>3074</v>
      </c>
      <c r="Z190" t="s">
        <v>3075</v>
      </c>
      <c r="AA190" t="s">
        <v>3076</v>
      </c>
      <c r="AB190" t="s">
        <v>3077</v>
      </c>
      <c r="AC190" t="s">
        <v>145</v>
      </c>
      <c r="AD190" t="s">
        <v>146</v>
      </c>
      <c r="AE190" t="s">
        <v>3078</v>
      </c>
      <c r="AF190" t="s">
        <v>74</v>
      </c>
      <c r="AG190">
        <v>20</v>
      </c>
      <c r="AH190">
        <v>12</v>
      </c>
      <c r="AI190">
        <v>12</v>
      </c>
      <c r="AJ190">
        <v>0</v>
      </c>
      <c r="AK190">
        <v>0</v>
      </c>
      <c r="AL190" t="s">
        <v>92</v>
      </c>
      <c r="AM190" t="s">
        <v>93</v>
      </c>
      <c r="AN190" t="s">
        <v>94</v>
      </c>
      <c r="AO190" t="s">
        <v>3079</v>
      </c>
      <c r="AP190" t="s">
        <v>3080</v>
      </c>
      <c r="AQ190" t="s">
        <v>74</v>
      </c>
      <c r="AR190" t="s">
        <v>3081</v>
      </c>
      <c r="AS190" t="s">
        <v>3082</v>
      </c>
      <c r="AT190" t="s">
        <v>492</v>
      </c>
      <c r="AU190">
        <v>2022</v>
      </c>
      <c r="AV190">
        <v>10</v>
      </c>
      <c r="AW190">
        <v>9</v>
      </c>
      <c r="AX190" t="s">
        <v>74</v>
      </c>
      <c r="AY190" t="s">
        <v>74</v>
      </c>
      <c r="AZ190" t="s">
        <v>74</v>
      </c>
      <c r="BA190" t="s">
        <v>74</v>
      </c>
      <c r="BB190">
        <v>2312</v>
      </c>
      <c r="BC190" t="s">
        <v>3083</v>
      </c>
      <c r="BD190" t="s">
        <v>74</v>
      </c>
      <c r="BE190" t="s">
        <v>3084</v>
      </c>
      <c r="BF190" t="str">
        <f>HYPERLINK("http://dx.doi.org/10.1016/j.jaip.2022.04.015","http://dx.doi.org/10.1016/j.jaip.2022.04.015")</f>
        <v>http://dx.doi.org/10.1016/j.jaip.2022.04.015</v>
      </c>
      <c r="BG190" t="s">
        <v>74</v>
      </c>
      <c r="BH190" t="s">
        <v>74</v>
      </c>
      <c r="BI190">
        <v>14</v>
      </c>
      <c r="BJ190" t="s">
        <v>3085</v>
      </c>
      <c r="BK190" t="s">
        <v>101</v>
      </c>
      <c r="BL190" t="s">
        <v>3085</v>
      </c>
      <c r="BM190" t="s">
        <v>3086</v>
      </c>
      <c r="BN190">
        <v>35487370</v>
      </c>
      <c r="BO190" t="s">
        <v>246</v>
      </c>
      <c r="BP190" t="s">
        <v>74</v>
      </c>
      <c r="BQ190" t="s">
        <v>74</v>
      </c>
      <c r="BR190" t="s">
        <v>104</v>
      </c>
      <c r="BS190" t="s">
        <v>3087</v>
      </c>
      <c r="BT190" t="str">
        <f>HYPERLINK("https%3A%2F%2Fwww.webofscience.com%2Fwos%2Fwoscc%2Ffull-record%2FWOS:000888863200012","View Full Record in Web of Science")</f>
        <v>View Full Record in Web of Science</v>
      </c>
    </row>
    <row r="191" spans="1:72" x14ac:dyDescent="0.25">
      <c r="A191" t="s">
        <v>72</v>
      </c>
      <c r="B191" t="s">
        <v>3088</v>
      </c>
      <c r="C191" t="s">
        <v>74</v>
      </c>
      <c r="D191" t="s">
        <v>74</v>
      </c>
      <c r="E191" t="s">
        <v>74</v>
      </c>
      <c r="F191" t="s">
        <v>3089</v>
      </c>
      <c r="G191" t="s">
        <v>74</v>
      </c>
      <c r="H191" t="s">
        <v>3090</v>
      </c>
      <c r="I191" t="s">
        <v>3091</v>
      </c>
      <c r="J191" t="s">
        <v>637</v>
      </c>
      <c r="K191" t="s">
        <v>74</v>
      </c>
      <c r="L191" t="s">
        <v>74</v>
      </c>
      <c r="M191" t="s">
        <v>78</v>
      </c>
      <c r="N191" t="s">
        <v>79</v>
      </c>
      <c r="O191" t="s">
        <v>74</v>
      </c>
      <c r="P191" t="s">
        <v>74</v>
      </c>
      <c r="Q191" t="s">
        <v>74</v>
      </c>
      <c r="R191" t="s">
        <v>74</v>
      </c>
      <c r="S191" t="s">
        <v>74</v>
      </c>
      <c r="T191" t="s">
        <v>3092</v>
      </c>
      <c r="U191" t="s">
        <v>74</v>
      </c>
      <c r="V191" t="s">
        <v>3093</v>
      </c>
      <c r="W191" t="s">
        <v>3094</v>
      </c>
      <c r="X191" t="s">
        <v>3095</v>
      </c>
      <c r="Y191" t="s">
        <v>3096</v>
      </c>
      <c r="Z191" t="s">
        <v>331</v>
      </c>
      <c r="AA191" t="s">
        <v>3097</v>
      </c>
      <c r="AB191" t="s">
        <v>3098</v>
      </c>
      <c r="AC191" t="s">
        <v>74</v>
      </c>
      <c r="AD191" t="s">
        <v>74</v>
      </c>
      <c r="AE191" t="s">
        <v>74</v>
      </c>
      <c r="AF191" t="s">
        <v>74</v>
      </c>
      <c r="AG191">
        <v>47</v>
      </c>
      <c r="AH191">
        <v>20</v>
      </c>
      <c r="AI191">
        <v>21</v>
      </c>
      <c r="AJ191">
        <v>0</v>
      </c>
      <c r="AK191">
        <v>5</v>
      </c>
      <c r="AL191" t="s">
        <v>649</v>
      </c>
      <c r="AM191" t="s">
        <v>486</v>
      </c>
      <c r="AN191" t="s">
        <v>650</v>
      </c>
      <c r="AO191" t="s">
        <v>651</v>
      </c>
      <c r="AP191" t="s">
        <v>652</v>
      </c>
      <c r="AQ191" t="s">
        <v>74</v>
      </c>
      <c r="AR191" t="s">
        <v>653</v>
      </c>
      <c r="AS191" t="s">
        <v>654</v>
      </c>
      <c r="AT191" t="s">
        <v>529</v>
      </c>
      <c r="AU191">
        <v>2022</v>
      </c>
      <c r="AV191">
        <v>206</v>
      </c>
      <c r="AW191">
        <v>5</v>
      </c>
      <c r="AX191" t="s">
        <v>74</v>
      </c>
      <c r="AY191" t="s">
        <v>74</v>
      </c>
      <c r="AZ191" t="s">
        <v>74</v>
      </c>
      <c r="BA191" t="s">
        <v>74</v>
      </c>
      <c r="BB191">
        <v>573</v>
      </c>
      <c r="BC191">
        <v>583</v>
      </c>
      <c r="BD191" t="s">
        <v>74</v>
      </c>
      <c r="BE191" t="s">
        <v>3099</v>
      </c>
      <c r="BF191" t="str">
        <f>HYPERLINK("http://dx.doi.org/10.1164/rccm.202112-2761OC","http://dx.doi.org/10.1164/rccm.202112-2761OC")</f>
        <v>http://dx.doi.org/10.1164/rccm.202112-2761OC</v>
      </c>
      <c r="BG191" t="s">
        <v>74</v>
      </c>
      <c r="BH191" t="s">
        <v>74</v>
      </c>
      <c r="BI191">
        <v>11</v>
      </c>
      <c r="BJ191" t="s">
        <v>341</v>
      </c>
      <c r="BK191" t="s">
        <v>101</v>
      </c>
      <c r="BL191" t="s">
        <v>342</v>
      </c>
      <c r="BM191" t="s">
        <v>3100</v>
      </c>
      <c r="BN191">
        <v>35549842</v>
      </c>
      <c r="BO191" t="s">
        <v>246</v>
      </c>
      <c r="BP191" t="s">
        <v>74</v>
      </c>
      <c r="BQ191" t="s">
        <v>74</v>
      </c>
      <c r="BR191" t="s">
        <v>104</v>
      </c>
      <c r="BS191" t="s">
        <v>3101</v>
      </c>
      <c r="BT191" t="str">
        <f>HYPERLINK("https%3A%2F%2Fwww.webofscience.com%2Fwos%2Fwoscc%2Ffull-record%2FWOS:000851399800013","View Full Record in Web of Science")</f>
        <v>View Full Record in Web of Science</v>
      </c>
    </row>
    <row r="192" spans="1:72" x14ac:dyDescent="0.25">
      <c r="A192" t="s">
        <v>72</v>
      </c>
      <c r="B192" t="s">
        <v>3102</v>
      </c>
      <c r="C192" t="s">
        <v>74</v>
      </c>
      <c r="D192" t="s">
        <v>74</v>
      </c>
      <c r="E192" t="s">
        <v>74</v>
      </c>
      <c r="F192" t="s">
        <v>3103</v>
      </c>
      <c r="G192" t="s">
        <v>74</v>
      </c>
      <c r="H192" t="s">
        <v>3104</v>
      </c>
      <c r="I192" t="s">
        <v>3105</v>
      </c>
      <c r="J192" t="s">
        <v>1068</v>
      </c>
      <c r="K192" t="s">
        <v>74</v>
      </c>
      <c r="L192" t="s">
        <v>74</v>
      </c>
      <c r="M192" t="s">
        <v>78</v>
      </c>
      <c r="N192" t="s">
        <v>79</v>
      </c>
      <c r="O192" t="s">
        <v>74</v>
      </c>
      <c r="P192" t="s">
        <v>74</v>
      </c>
      <c r="Q192" t="s">
        <v>74</v>
      </c>
      <c r="R192" t="s">
        <v>74</v>
      </c>
      <c r="S192" t="s">
        <v>74</v>
      </c>
      <c r="T192" t="s">
        <v>3106</v>
      </c>
      <c r="U192" t="s">
        <v>3107</v>
      </c>
      <c r="V192" t="s">
        <v>74</v>
      </c>
      <c r="W192" t="s">
        <v>3108</v>
      </c>
      <c r="X192" t="s">
        <v>3109</v>
      </c>
      <c r="Y192" t="s">
        <v>3110</v>
      </c>
      <c r="Z192" t="s">
        <v>2513</v>
      </c>
      <c r="AA192" t="s">
        <v>3111</v>
      </c>
      <c r="AB192" t="s">
        <v>3112</v>
      </c>
      <c r="AC192" t="s">
        <v>74</v>
      </c>
      <c r="AD192" t="s">
        <v>74</v>
      </c>
      <c r="AE192" t="s">
        <v>74</v>
      </c>
      <c r="AF192" t="s">
        <v>74</v>
      </c>
      <c r="AG192">
        <v>853</v>
      </c>
      <c r="AH192">
        <v>468</v>
      </c>
      <c r="AI192">
        <v>524</v>
      </c>
      <c r="AJ192">
        <v>6</v>
      </c>
      <c r="AK192">
        <v>14</v>
      </c>
      <c r="AL192" t="s">
        <v>1073</v>
      </c>
      <c r="AM192" t="s">
        <v>1074</v>
      </c>
      <c r="AN192" t="s">
        <v>1075</v>
      </c>
      <c r="AO192" t="s">
        <v>1076</v>
      </c>
      <c r="AP192" t="s">
        <v>1077</v>
      </c>
      <c r="AQ192" t="s">
        <v>74</v>
      </c>
      <c r="AR192" t="s">
        <v>1078</v>
      </c>
      <c r="AS192" t="s">
        <v>1079</v>
      </c>
      <c r="AT192" t="s">
        <v>3113</v>
      </c>
      <c r="AU192">
        <v>2022</v>
      </c>
      <c r="AV192">
        <v>43</v>
      </c>
      <c r="AW192">
        <v>38</v>
      </c>
      <c r="AX192" t="s">
        <v>74</v>
      </c>
      <c r="AY192" t="s">
        <v>74</v>
      </c>
      <c r="AZ192" t="s">
        <v>1080</v>
      </c>
      <c r="BA192" t="s">
        <v>74</v>
      </c>
      <c r="BB192">
        <v>3618</v>
      </c>
      <c r="BC192">
        <v>3731</v>
      </c>
      <c r="BD192" t="s">
        <v>74</v>
      </c>
      <c r="BE192" t="s">
        <v>3114</v>
      </c>
      <c r="BF192" t="str">
        <f>HYPERLINK("http://dx.doi.org/10.1093/eurheartj/ehac237","http://dx.doi.org/10.1093/eurheartj/ehac237")</f>
        <v>http://dx.doi.org/10.1093/eurheartj/ehac237</v>
      </c>
      <c r="BG192" t="s">
        <v>74</v>
      </c>
      <c r="BH192" t="s">
        <v>3115</v>
      </c>
      <c r="BI192">
        <v>114</v>
      </c>
      <c r="BJ192" t="s">
        <v>132</v>
      </c>
      <c r="BK192" t="s">
        <v>101</v>
      </c>
      <c r="BL192" t="s">
        <v>133</v>
      </c>
      <c r="BM192" t="s">
        <v>3116</v>
      </c>
      <c r="BN192">
        <v>36821743</v>
      </c>
      <c r="BO192" t="s">
        <v>3117</v>
      </c>
      <c r="BP192" t="s">
        <v>1155</v>
      </c>
      <c r="BQ192" t="s">
        <v>1156</v>
      </c>
      <c r="BR192" t="s">
        <v>104</v>
      </c>
      <c r="BS192" t="s">
        <v>3118</v>
      </c>
      <c r="BT192" t="str">
        <f>HYPERLINK("https%3A%2F%2Fwww.webofscience.com%2Fwos%2Fwoscc%2Ffull-record%2FWOS:000849694200001","View Full Record in Web of Science")</f>
        <v>View Full Record in Web of Science</v>
      </c>
    </row>
    <row r="193" spans="1:72" x14ac:dyDescent="0.25">
      <c r="A193" t="s">
        <v>72</v>
      </c>
      <c r="B193" t="s">
        <v>3119</v>
      </c>
      <c r="C193" t="s">
        <v>74</v>
      </c>
      <c r="D193" t="s">
        <v>74</v>
      </c>
      <c r="E193" t="s">
        <v>74</v>
      </c>
      <c r="F193" t="s">
        <v>3120</v>
      </c>
      <c r="G193" t="s">
        <v>74</v>
      </c>
      <c r="H193" t="s">
        <v>3121</v>
      </c>
      <c r="I193" t="s">
        <v>3122</v>
      </c>
      <c r="J193" t="s">
        <v>1068</v>
      </c>
      <c r="K193" t="s">
        <v>74</v>
      </c>
      <c r="L193" t="s">
        <v>74</v>
      </c>
      <c r="M193" t="s">
        <v>78</v>
      </c>
      <c r="N193" t="s">
        <v>79</v>
      </c>
      <c r="O193" t="s">
        <v>74</v>
      </c>
      <c r="P193" t="s">
        <v>74</v>
      </c>
      <c r="Q193" t="s">
        <v>74</v>
      </c>
      <c r="R193" t="s">
        <v>74</v>
      </c>
      <c r="S193" t="s">
        <v>74</v>
      </c>
      <c r="T193" t="s">
        <v>3123</v>
      </c>
      <c r="U193" t="s">
        <v>3124</v>
      </c>
      <c r="V193" t="s">
        <v>74</v>
      </c>
      <c r="W193" t="s">
        <v>3125</v>
      </c>
      <c r="X193" t="s">
        <v>3126</v>
      </c>
      <c r="Y193" t="s">
        <v>3127</v>
      </c>
      <c r="Z193" t="s">
        <v>3128</v>
      </c>
      <c r="AA193" t="s">
        <v>3129</v>
      </c>
      <c r="AB193" t="s">
        <v>3130</v>
      </c>
      <c r="AC193" t="s">
        <v>74</v>
      </c>
      <c r="AD193" t="s">
        <v>74</v>
      </c>
      <c r="AE193" t="s">
        <v>74</v>
      </c>
      <c r="AF193" t="s">
        <v>74</v>
      </c>
      <c r="AG193">
        <v>836</v>
      </c>
      <c r="AH193">
        <v>590</v>
      </c>
      <c r="AI193">
        <v>597</v>
      </c>
      <c r="AJ193">
        <v>18</v>
      </c>
      <c r="AK193">
        <v>88</v>
      </c>
      <c r="AL193" t="s">
        <v>1073</v>
      </c>
      <c r="AM193" t="s">
        <v>1074</v>
      </c>
      <c r="AN193" t="s">
        <v>1075</v>
      </c>
      <c r="AO193" t="s">
        <v>1076</v>
      </c>
      <c r="AP193" t="s">
        <v>1077</v>
      </c>
      <c r="AQ193" t="s">
        <v>74</v>
      </c>
      <c r="AR193" t="s">
        <v>1078</v>
      </c>
      <c r="AS193" t="s">
        <v>1079</v>
      </c>
      <c r="AT193" t="s">
        <v>1414</v>
      </c>
      <c r="AU193">
        <v>2022</v>
      </c>
      <c r="AV193">
        <v>43</v>
      </c>
      <c r="AW193">
        <v>41</v>
      </c>
      <c r="AX193" t="s">
        <v>74</v>
      </c>
      <c r="AY193" t="s">
        <v>74</v>
      </c>
      <c r="AZ193" t="s">
        <v>1080</v>
      </c>
      <c r="BA193" t="s">
        <v>74</v>
      </c>
      <c r="BB193">
        <v>4229</v>
      </c>
      <c r="BC193">
        <v>4361</v>
      </c>
      <c r="BD193" t="s">
        <v>74</v>
      </c>
      <c r="BE193" t="s">
        <v>3131</v>
      </c>
      <c r="BF193" t="str">
        <f>HYPERLINK("http://dx.doi.org/10.1093/eurheartj/ehac244","http://dx.doi.org/10.1093/eurheartj/ehac244")</f>
        <v>http://dx.doi.org/10.1093/eurheartj/ehac244</v>
      </c>
      <c r="BG193" t="s">
        <v>74</v>
      </c>
      <c r="BH193" t="s">
        <v>3115</v>
      </c>
      <c r="BI193">
        <v>133</v>
      </c>
      <c r="BJ193" t="s">
        <v>132</v>
      </c>
      <c r="BK193" t="s">
        <v>101</v>
      </c>
      <c r="BL193" t="s">
        <v>133</v>
      </c>
      <c r="BM193" t="s">
        <v>3132</v>
      </c>
      <c r="BN193" t="s">
        <v>74</v>
      </c>
      <c r="BO193" t="s">
        <v>612</v>
      </c>
      <c r="BP193" t="s">
        <v>1155</v>
      </c>
      <c r="BQ193" t="s">
        <v>1156</v>
      </c>
      <c r="BR193" t="s">
        <v>104</v>
      </c>
      <c r="BS193" t="s">
        <v>3133</v>
      </c>
      <c r="BT193" t="str">
        <f>HYPERLINK("https%3A%2F%2Fwww.webofscience.com%2Fwos%2Fwoscc%2Ffull-record%2FWOS:000849692300001","View Full Record in Web of Science")</f>
        <v>View Full Record in Web of Science</v>
      </c>
    </row>
    <row r="194" spans="1:72" x14ac:dyDescent="0.25">
      <c r="A194" t="s">
        <v>72</v>
      </c>
      <c r="B194" t="s">
        <v>3134</v>
      </c>
      <c r="C194" t="s">
        <v>74</v>
      </c>
      <c r="D194" t="s">
        <v>74</v>
      </c>
      <c r="E194" t="s">
        <v>74</v>
      </c>
      <c r="F194" t="s">
        <v>3135</v>
      </c>
      <c r="G194" t="s">
        <v>74</v>
      </c>
      <c r="H194" t="s">
        <v>74</v>
      </c>
      <c r="I194" t="s">
        <v>3136</v>
      </c>
      <c r="J194" t="s">
        <v>216</v>
      </c>
      <c r="K194" t="s">
        <v>74</v>
      </c>
      <c r="L194" t="s">
        <v>74</v>
      </c>
      <c r="M194" t="s">
        <v>78</v>
      </c>
      <c r="N194" t="s">
        <v>460</v>
      </c>
      <c r="O194" t="s">
        <v>74</v>
      </c>
      <c r="P194" t="s">
        <v>74</v>
      </c>
      <c r="Q194" t="s">
        <v>74</v>
      </c>
      <c r="R194" t="s">
        <v>74</v>
      </c>
      <c r="S194" t="s">
        <v>74</v>
      </c>
      <c r="T194" t="s">
        <v>74</v>
      </c>
      <c r="U194" t="s">
        <v>3137</v>
      </c>
      <c r="V194" t="s">
        <v>74</v>
      </c>
      <c r="W194" t="s">
        <v>3138</v>
      </c>
      <c r="X194" t="s">
        <v>3139</v>
      </c>
      <c r="Y194" t="s">
        <v>3140</v>
      </c>
      <c r="Z194" t="s">
        <v>86</v>
      </c>
      <c r="AA194" t="s">
        <v>1635</v>
      </c>
      <c r="AB194" t="s">
        <v>257</v>
      </c>
      <c r="AC194" t="s">
        <v>74</v>
      </c>
      <c r="AD194" t="s">
        <v>74</v>
      </c>
      <c r="AE194" t="s">
        <v>74</v>
      </c>
      <c r="AF194" t="s">
        <v>74</v>
      </c>
      <c r="AG194">
        <v>15</v>
      </c>
      <c r="AH194">
        <v>8</v>
      </c>
      <c r="AI194">
        <v>8</v>
      </c>
      <c r="AJ194">
        <v>0</v>
      </c>
      <c r="AK194">
        <v>2</v>
      </c>
      <c r="AL194" t="s">
        <v>219</v>
      </c>
      <c r="AM194" t="s">
        <v>220</v>
      </c>
      <c r="AN194" t="s">
        <v>221</v>
      </c>
      <c r="AO194" t="s">
        <v>222</v>
      </c>
      <c r="AP194" t="s">
        <v>223</v>
      </c>
      <c r="AQ194" t="s">
        <v>74</v>
      </c>
      <c r="AR194" t="s">
        <v>224</v>
      </c>
      <c r="AS194" t="s">
        <v>225</v>
      </c>
      <c r="AT194" t="s">
        <v>742</v>
      </c>
      <c r="AU194">
        <v>2022</v>
      </c>
      <c r="AV194">
        <v>60</v>
      </c>
      <c r="AW194">
        <v>2</v>
      </c>
      <c r="AX194" t="s">
        <v>74</v>
      </c>
      <c r="AY194" t="s">
        <v>74</v>
      </c>
      <c r="AZ194" t="s">
        <v>74</v>
      </c>
      <c r="BA194" t="s">
        <v>74</v>
      </c>
      <c r="BB194" t="s">
        <v>74</v>
      </c>
      <c r="BC194" t="s">
        <v>74</v>
      </c>
      <c r="BD194">
        <v>22001007</v>
      </c>
      <c r="BE194" t="s">
        <v>3141</v>
      </c>
      <c r="BF194" t="str">
        <f>HYPERLINK("http://dx.doi.org/10.1183/13993003.00107-2022","http://dx.doi.org/10.1183/13993003.00107-2022")</f>
        <v>http://dx.doi.org/10.1183/13993003.00107-2022</v>
      </c>
      <c r="BG194" t="s">
        <v>74</v>
      </c>
      <c r="BH194" t="s">
        <v>74</v>
      </c>
      <c r="BI194">
        <v>4</v>
      </c>
      <c r="BJ194" t="s">
        <v>228</v>
      </c>
      <c r="BK194" t="s">
        <v>101</v>
      </c>
      <c r="BL194" t="s">
        <v>228</v>
      </c>
      <c r="BM194" t="s">
        <v>3142</v>
      </c>
      <c r="BN194">
        <v>35680147</v>
      </c>
      <c r="BO194" t="s">
        <v>161</v>
      </c>
      <c r="BP194" t="s">
        <v>74</v>
      </c>
      <c r="BQ194" t="s">
        <v>74</v>
      </c>
      <c r="BR194" t="s">
        <v>104</v>
      </c>
      <c r="BS194" t="s">
        <v>3143</v>
      </c>
      <c r="BT194" t="str">
        <f>HYPERLINK("https%3A%2F%2Fwww.webofscience.com%2Fwos%2Fwoscc%2Ffull-record%2FWOS:000844640600004","View Full Record in Web of Science")</f>
        <v>View Full Record in Web of Science</v>
      </c>
    </row>
    <row r="195" spans="1:72" x14ac:dyDescent="0.25">
      <c r="A195" t="s">
        <v>72</v>
      </c>
      <c r="B195" t="s">
        <v>3144</v>
      </c>
      <c r="C195" t="s">
        <v>74</v>
      </c>
      <c r="D195" t="s">
        <v>74</v>
      </c>
      <c r="E195" t="s">
        <v>74</v>
      </c>
      <c r="F195" t="s">
        <v>3145</v>
      </c>
      <c r="G195" t="s">
        <v>74</v>
      </c>
      <c r="H195" t="s">
        <v>74</v>
      </c>
      <c r="I195" t="s">
        <v>3146</v>
      </c>
      <c r="J195" t="s">
        <v>833</v>
      </c>
      <c r="K195" t="s">
        <v>74</v>
      </c>
      <c r="L195" t="s">
        <v>74</v>
      </c>
      <c r="M195" t="s">
        <v>78</v>
      </c>
      <c r="N195" t="s">
        <v>79</v>
      </c>
      <c r="O195" t="s">
        <v>74</v>
      </c>
      <c r="P195" t="s">
        <v>74</v>
      </c>
      <c r="Q195" t="s">
        <v>74</v>
      </c>
      <c r="R195" t="s">
        <v>74</v>
      </c>
      <c r="S195" t="s">
        <v>74</v>
      </c>
      <c r="T195" t="s">
        <v>3147</v>
      </c>
      <c r="U195" t="s">
        <v>3148</v>
      </c>
      <c r="V195" t="s">
        <v>3149</v>
      </c>
      <c r="W195" t="s">
        <v>3150</v>
      </c>
      <c r="X195" t="s">
        <v>3151</v>
      </c>
      <c r="Y195" t="s">
        <v>3152</v>
      </c>
      <c r="Z195" t="s">
        <v>3153</v>
      </c>
      <c r="AA195" t="s">
        <v>3154</v>
      </c>
      <c r="AB195" t="s">
        <v>3155</v>
      </c>
      <c r="AC195" t="s">
        <v>3156</v>
      </c>
      <c r="AD195" t="s">
        <v>3157</v>
      </c>
      <c r="AE195" t="s">
        <v>3158</v>
      </c>
      <c r="AF195" t="s">
        <v>74</v>
      </c>
      <c r="AG195">
        <v>51</v>
      </c>
      <c r="AH195">
        <v>2</v>
      </c>
      <c r="AI195">
        <v>2</v>
      </c>
      <c r="AJ195">
        <v>1</v>
      </c>
      <c r="AK195">
        <v>4</v>
      </c>
      <c r="AL195" t="s">
        <v>649</v>
      </c>
      <c r="AM195" t="s">
        <v>486</v>
      </c>
      <c r="AN195" t="s">
        <v>650</v>
      </c>
      <c r="AO195" t="s">
        <v>844</v>
      </c>
      <c r="AP195" t="s">
        <v>845</v>
      </c>
      <c r="AQ195" t="s">
        <v>74</v>
      </c>
      <c r="AR195" t="s">
        <v>846</v>
      </c>
      <c r="AS195" t="s">
        <v>847</v>
      </c>
      <c r="AT195" t="s">
        <v>725</v>
      </c>
      <c r="AU195">
        <v>2022</v>
      </c>
      <c r="AV195">
        <v>67</v>
      </c>
      <c r="AW195">
        <v>2</v>
      </c>
      <c r="AX195" t="s">
        <v>74</v>
      </c>
      <c r="AY195" t="s">
        <v>74</v>
      </c>
      <c r="AZ195" t="s">
        <v>74</v>
      </c>
      <c r="BA195" t="s">
        <v>74</v>
      </c>
      <c r="BB195">
        <v>215</v>
      </c>
      <c r="BC195">
        <v>226</v>
      </c>
      <c r="BD195" t="s">
        <v>74</v>
      </c>
      <c r="BE195" t="s">
        <v>3159</v>
      </c>
      <c r="BF195" t="str">
        <f>HYPERLINK("http://dx.doi.org/10.1165/rcmb.2021-0332OC","http://dx.doi.org/10.1165/rcmb.2021-0332OC")</f>
        <v>http://dx.doi.org/10.1165/rcmb.2021-0332OC</v>
      </c>
      <c r="BG195" t="s">
        <v>74</v>
      </c>
      <c r="BH195" t="s">
        <v>74</v>
      </c>
      <c r="BI195">
        <v>12</v>
      </c>
      <c r="BJ195" t="s">
        <v>849</v>
      </c>
      <c r="BK195" t="s">
        <v>101</v>
      </c>
      <c r="BL195" t="s">
        <v>849</v>
      </c>
      <c r="BM195" t="s">
        <v>3160</v>
      </c>
      <c r="BN195">
        <v>35550008</v>
      </c>
      <c r="BO195" t="s">
        <v>74</v>
      </c>
      <c r="BP195" t="s">
        <v>74</v>
      </c>
      <c r="BQ195" t="s">
        <v>74</v>
      </c>
      <c r="BR195" t="s">
        <v>104</v>
      </c>
      <c r="BS195" t="s">
        <v>3161</v>
      </c>
      <c r="BT195" t="str">
        <f>HYPERLINK("https%3A%2F%2Fwww.webofscience.com%2Fwos%2Fwoscc%2Ffull-record%2FWOS:000837038800012","View Full Record in Web of Science")</f>
        <v>View Full Record in Web of Science</v>
      </c>
    </row>
    <row r="196" spans="1:72" x14ac:dyDescent="0.25">
      <c r="A196" t="s">
        <v>72</v>
      </c>
      <c r="B196" t="s">
        <v>3162</v>
      </c>
      <c r="C196" t="s">
        <v>74</v>
      </c>
      <c r="D196" t="s">
        <v>74</v>
      </c>
      <c r="E196" t="s">
        <v>74</v>
      </c>
      <c r="F196" t="s">
        <v>3163</v>
      </c>
      <c r="G196" t="s">
        <v>74</v>
      </c>
      <c r="H196" t="s">
        <v>74</v>
      </c>
      <c r="I196" t="s">
        <v>3164</v>
      </c>
      <c r="J196" t="s">
        <v>216</v>
      </c>
      <c r="K196" t="s">
        <v>74</v>
      </c>
      <c r="L196" t="s">
        <v>74</v>
      </c>
      <c r="M196" t="s">
        <v>78</v>
      </c>
      <c r="N196" t="s">
        <v>460</v>
      </c>
      <c r="O196" t="s">
        <v>74</v>
      </c>
      <c r="P196" t="s">
        <v>74</v>
      </c>
      <c r="Q196" t="s">
        <v>74</v>
      </c>
      <c r="R196" t="s">
        <v>74</v>
      </c>
      <c r="S196" t="s">
        <v>74</v>
      </c>
      <c r="T196" t="s">
        <v>74</v>
      </c>
      <c r="U196" t="s">
        <v>74</v>
      </c>
      <c r="V196" t="s">
        <v>74</v>
      </c>
      <c r="W196" t="s">
        <v>3165</v>
      </c>
      <c r="X196" t="s">
        <v>3166</v>
      </c>
      <c r="Y196" t="s">
        <v>3167</v>
      </c>
      <c r="Z196" t="s">
        <v>331</v>
      </c>
      <c r="AA196" t="s">
        <v>1549</v>
      </c>
      <c r="AB196" t="s">
        <v>3168</v>
      </c>
      <c r="AC196" t="s">
        <v>3169</v>
      </c>
      <c r="AD196" t="s">
        <v>3169</v>
      </c>
      <c r="AE196" t="s">
        <v>3170</v>
      </c>
      <c r="AF196" t="s">
        <v>74</v>
      </c>
      <c r="AG196">
        <v>15</v>
      </c>
      <c r="AH196">
        <v>3</v>
      </c>
      <c r="AI196">
        <v>3</v>
      </c>
      <c r="AJ196">
        <v>0</v>
      </c>
      <c r="AK196">
        <v>1</v>
      </c>
      <c r="AL196" t="s">
        <v>219</v>
      </c>
      <c r="AM196" t="s">
        <v>220</v>
      </c>
      <c r="AN196" t="s">
        <v>221</v>
      </c>
      <c r="AO196" t="s">
        <v>222</v>
      </c>
      <c r="AP196" t="s">
        <v>223</v>
      </c>
      <c r="AQ196" t="s">
        <v>74</v>
      </c>
      <c r="AR196" t="s">
        <v>224</v>
      </c>
      <c r="AS196" t="s">
        <v>225</v>
      </c>
      <c r="AT196" t="s">
        <v>742</v>
      </c>
      <c r="AU196">
        <v>2022</v>
      </c>
      <c r="AV196">
        <v>60</v>
      </c>
      <c r="AW196">
        <v>2</v>
      </c>
      <c r="AX196" t="s">
        <v>74</v>
      </c>
      <c r="AY196" t="s">
        <v>74</v>
      </c>
      <c r="AZ196" t="s">
        <v>74</v>
      </c>
      <c r="BA196" t="s">
        <v>74</v>
      </c>
      <c r="BB196" t="s">
        <v>74</v>
      </c>
      <c r="BC196" t="s">
        <v>74</v>
      </c>
      <c r="BD196">
        <v>2200760</v>
      </c>
      <c r="BE196" t="s">
        <v>3171</v>
      </c>
      <c r="BF196" t="str">
        <f>HYPERLINK("http://dx.doi.org/10.1183/13993003.00760-2022","http://dx.doi.org/10.1183/13993003.00760-2022")</f>
        <v>http://dx.doi.org/10.1183/13993003.00760-2022</v>
      </c>
      <c r="BG196" t="s">
        <v>74</v>
      </c>
      <c r="BH196" t="s">
        <v>74</v>
      </c>
      <c r="BI196">
        <v>4</v>
      </c>
      <c r="BJ196" t="s">
        <v>228</v>
      </c>
      <c r="BK196" t="s">
        <v>101</v>
      </c>
      <c r="BL196" t="s">
        <v>228</v>
      </c>
      <c r="BM196" t="s">
        <v>3172</v>
      </c>
      <c r="BN196">
        <v>35710265</v>
      </c>
      <c r="BO196" t="s">
        <v>74</v>
      </c>
      <c r="BP196" t="s">
        <v>74</v>
      </c>
      <c r="BQ196" t="s">
        <v>74</v>
      </c>
      <c r="BR196" t="s">
        <v>104</v>
      </c>
      <c r="BS196" t="s">
        <v>3173</v>
      </c>
      <c r="BT196" t="str">
        <f>HYPERLINK("https%3A%2F%2Fwww.webofscience.com%2Fwos%2Fwoscc%2Ffull-record%2FWOS:000886648200016","View Full Record in Web of Science")</f>
        <v>View Full Record in Web of Science</v>
      </c>
    </row>
    <row r="197" spans="1:72" x14ac:dyDescent="0.25">
      <c r="A197" t="s">
        <v>72</v>
      </c>
      <c r="B197" t="s">
        <v>3174</v>
      </c>
      <c r="C197" t="s">
        <v>74</v>
      </c>
      <c r="D197" t="s">
        <v>74</v>
      </c>
      <c r="E197" t="s">
        <v>74</v>
      </c>
      <c r="F197" t="s">
        <v>3175</v>
      </c>
      <c r="G197" t="s">
        <v>74</v>
      </c>
      <c r="H197" t="s">
        <v>74</v>
      </c>
      <c r="I197" t="s">
        <v>3176</v>
      </c>
      <c r="J197" t="s">
        <v>216</v>
      </c>
      <c r="K197" t="s">
        <v>74</v>
      </c>
      <c r="L197" t="s">
        <v>74</v>
      </c>
      <c r="M197" t="s">
        <v>78</v>
      </c>
      <c r="N197" t="s">
        <v>140</v>
      </c>
      <c r="O197" t="s">
        <v>74</v>
      </c>
      <c r="P197" t="s">
        <v>74</v>
      </c>
      <c r="Q197" t="s">
        <v>74</v>
      </c>
      <c r="R197" t="s">
        <v>74</v>
      </c>
      <c r="S197" t="s">
        <v>74</v>
      </c>
      <c r="T197" t="s">
        <v>74</v>
      </c>
      <c r="U197" t="s">
        <v>3177</v>
      </c>
      <c r="V197" t="s">
        <v>74</v>
      </c>
      <c r="W197" t="s">
        <v>3178</v>
      </c>
      <c r="X197" t="s">
        <v>3179</v>
      </c>
      <c r="Y197" t="s">
        <v>3180</v>
      </c>
      <c r="Z197" t="s">
        <v>3181</v>
      </c>
      <c r="AA197" t="s">
        <v>3182</v>
      </c>
      <c r="AB197" t="s">
        <v>3183</v>
      </c>
      <c r="AC197" t="s">
        <v>3184</v>
      </c>
      <c r="AD197" t="s">
        <v>3185</v>
      </c>
      <c r="AE197" t="s">
        <v>3186</v>
      </c>
      <c r="AF197" t="s">
        <v>74</v>
      </c>
      <c r="AG197">
        <v>44</v>
      </c>
      <c r="AH197">
        <v>27</v>
      </c>
      <c r="AI197">
        <v>28</v>
      </c>
      <c r="AJ197">
        <v>0</v>
      </c>
      <c r="AK197">
        <v>6</v>
      </c>
      <c r="AL197" t="s">
        <v>219</v>
      </c>
      <c r="AM197" t="s">
        <v>220</v>
      </c>
      <c r="AN197" t="s">
        <v>221</v>
      </c>
      <c r="AO197" t="s">
        <v>222</v>
      </c>
      <c r="AP197" t="s">
        <v>223</v>
      </c>
      <c r="AQ197" t="s">
        <v>74</v>
      </c>
      <c r="AR197" t="s">
        <v>224</v>
      </c>
      <c r="AS197" t="s">
        <v>225</v>
      </c>
      <c r="AT197" t="s">
        <v>742</v>
      </c>
      <c r="AU197">
        <v>2022</v>
      </c>
      <c r="AV197">
        <v>60</v>
      </c>
      <c r="AW197">
        <v>2</v>
      </c>
      <c r="AX197" t="s">
        <v>74</v>
      </c>
      <c r="AY197" t="s">
        <v>74</v>
      </c>
      <c r="AZ197" t="s">
        <v>74</v>
      </c>
      <c r="BA197" t="s">
        <v>74</v>
      </c>
      <c r="BB197" t="s">
        <v>74</v>
      </c>
      <c r="BC197" t="s">
        <v>74</v>
      </c>
      <c r="BD197">
        <v>2200803</v>
      </c>
      <c r="BE197" t="s">
        <v>3187</v>
      </c>
      <c r="BF197" t="str">
        <f>HYPERLINK("http://dx.doi.org/10.1183/13993003.00803-2022","http://dx.doi.org/10.1183/13993003.00803-2022")</f>
        <v>http://dx.doi.org/10.1183/13993003.00803-2022</v>
      </c>
      <c r="BG197" t="s">
        <v>74</v>
      </c>
      <c r="BH197" t="s">
        <v>74</v>
      </c>
      <c r="BI197">
        <v>7</v>
      </c>
      <c r="BJ197" t="s">
        <v>228</v>
      </c>
      <c r="BK197" t="s">
        <v>101</v>
      </c>
      <c r="BL197" t="s">
        <v>228</v>
      </c>
      <c r="BM197" t="s">
        <v>3172</v>
      </c>
      <c r="BN197">
        <v>35710264</v>
      </c>
      <c r="BO197" t="s">
        <v>246</v>
      </c>
      <c r="BP197" t="s">
        <v>74</v>
      </c>
      <c r="BQ197" t="s">
        <v>74</v>
      </c>
      <c r="BR197" t="s">
        <v>104</v>
      </c>
      <c r="BS197" t="s">
        <v>3188</v>
      </c>
      <c r="BT197" t="str">
        <f>HYPERLINK("https%3A%2F%2Fwww.webofscience.com%2Fwos%2Fwoscc%2Ffull-record%2FWOS:000886648200017","View Full Record in Web of Science")</f>
        <v>View Full Record in Web of Science</v>
      </c>
    </row>
    <row r="198" spans="1:72" x14ac:dyDescent="0.25">
      <c r="A198" t="s">
        <v>72</v>
      </c>
      <c r="B198" t="s">
        <v>3189</v>
      </c>
      <c r="C198" t="s">
        <v>74</v>
      </c>
      <c r="D198" t="s">
        <v>74</v>
      </c>
      <c r="E198" t="s">
        <v>74</v>
      </c>
      <c r="F198" t="s">
        <v>3190</v>
      </c>
      <c r="G198" t="s">
        <v>74</v>
      </c>
      <c r="H198" t="s">
        <v>74</v>
      </c>
      <c r="I198" t="s">
        <v>3191</v>
      </c>
      <c r="J198" t="s">
        <v>216</v>
      </c>
      <c r="K198" t="s">
        <v>74</v>
      </c>
      <c r="L198" t="s">
        <v>74</v>
      </c>
      <c r="M198" t="s">
        <v>78</v>
      </c>
      <c r="N198" t="s">
        <v>140</v>
      </c>
      <c r="O198" t="s">
        <v>74</v>
      </c>
      <c r="P198" t="s">
        <v>74</v>
      </c>
      <c r="Q198" t="s">
        <v>74</v>
      </c>
      <c r="R198" t="s">
        <v>74</v>
      </c>
      <c r="S198" t="s">
        <v>74</v>
      </c>
      <c r="T198" t="s">
        <v>74</v>
      </c>
      <c r="U198" t="s">
        <v>74</v>
      </c>
      <c r="V198" t="s">
        <v>74</v>
      </c>
      <c r="W198" t="s">
        <v>3192</v>
      </c>
      <c r="X198" t="s">
        <v>3193</v>
      </c>
      <c r="Y198" t="s">
        <v>3194</v>
      </c>
      <c r="Z198" t="s">
        <v>3195</v>
      </c>
      <c r="AA198" t="s">
        <v>3196</v>
      </c>
      <c r="AB198" t="s">
        <v>3197</v>
      </c>
      <c r="AC198" t="s">
        <v>3198</v>
      </c>
      <c r="AD198" t="s">
        <v>3198</v>
      </c>
      <c r="AE198" t="s">
        <v>3199</v>
      </c>
      <c r="AF198" t="s">
        <v>74</v>
      </c>
      <c r="AG198">
        <v>3</v>
      </c>
      <c r="AH198">
        <v>0</v>
      </c>
      <c r="AI198">
        <v>0</v>
      </c>
      <c r="AJ198">
        <v>0</v>
      </c>
      <c r="AK198">
        <v>0</v>
      </c>
      <c r="AL198" t="s">
        <v>219</v>
      </c>
      <c r="AM198" t="s">
        <v>220</v>
      </c>
      <c r="AN198" t="s">
        <v>221</v>
      </c>
      <c r="AO198" t="s">
        <v>222</v>
      </c>
      <c r="AP198" t="s">
        <v>223</v>
      </c>
      <c r="AQ198" t="s">
        <v>74</v>
      </c>
      <c r="AR198" t="s">
        <v>224</v>
      </c>
      <c r="AS198" t="s">
        <v>225</v>
      </c>
      <c r="AT198" t="s">
        <v>742</v>
      </c>
      <c r="AU198">
        <v>2022</v>
      </c>
      <c r="AV198">
        <v>60</v>
      </c>
      <c r="AW198">
        <v>2</v>
      </c>
      <c r="AX198" t="s">
        <v>74</v>
      </c>
      <c r="AY198" t="s">
        <v>74</v>
      </c>
      <c r="AZ198" t="s">
        <v>74</v>
      </c>
      <c r="BA198" t="s">
        <v>74</v>
      </c>
      <c r="BB198" t="s">
        <v>74</v>
      </c>
      <c r="BC198" t="s">
        <v>74</v>
      </c>
      <c r="BD198">
        <v>2201327</v>
      </c>
      <c r="BE198" t="s">
        <v>3200</v>
      </c>
      <c r="BF198" t="str">
        <f>HYPERLINK("http://dx.doi.org/10.1183/13993003.01327-2022","http://dx.doi.org/10.1183/13993003.01327-2022")</f>
        <v>http://dx.doi.org/10.1183/13993003.01327-2022</v>
      </c>
      <c r="BG198" t="s">
        <v>74</v>
      </c>
      <c r="BH198" t="s">
        <v>74</v>
      </c>
      <c r="BI198">
        <v>5</v>
      </c>
      <c r="BJ198" t="s">
        <v>228</v>
      </c>
      <c r="BK198" t="s">
        <v>101</v>
      </c>
      <c r="BL198" t="s">
        <v>228</v>
      </c>
      <c r="BM198" t="s">
        <v>3201</v>
      </c>
      <c r="BN198">
        <v>36007927</v>
      </c>
      <c r="BO198" t="s">
        <v>1194</v>
      </c>
      <c r="BP198" t="s">
        <v>74</v>
      </c>
      <c r="BQ198" t="s">
        <v>74</v>
      </c>
      <c r="BR198" t="s">
        <v>104</v>
      </c>
      <c r="BS198" t="s">
        <v>3202</v>
      </c>
      <c r="BT198" t="str">
        <f>HYPERLINK("https%3A%2F%2Fwww.webofscience.com%2Fwos%2Fwoscc%2Ffull-record%2FWOS:000861015800003","View Full Record in Web of Science")</f>
        <v>View Full Record in Web of Science</v>
      </c>
    </row>
    <row r="199" spans="1:72" x14ac:dyDescent="0.25">
      <c r="A199" t="s">
        <v>72</v>
      </c>
      <c r="B199" t="s">
        <v>3203</v>
      </c>
      <c r="C199" t="s">
        <v>74</v>
      </c>
      <c r="D199" t="s">
        <v>74</v>
      </c>
      <c r="E199" t="s">
        <v>74</v>
      </c>
      <c r="F199" t="s">
        <v>3204</v>
      </c>
      <c r="G199" t="s">
        <v>74</v>
      </c>
      <c r="H199" t="s">
        <v>74</v>
      </c>
      <c r="I199" t="s">
        <v>3205</v>
      </c>
      <c r="J199" t="s">
        <v>349</v>
      </c>
      <c r="K199" t="s">
        <v>74</v>
      </c>
      <c r="L199" t="s">
        <v>74</v>
      </c>
      <c r="M199" t="s">
        <v>78</v>
      </c>
      <c r="N199" t="s">
        <v>460</v>
      </c>
      <c r="O199" t="s">
        <v>74</v>
      </c>
      <c r="P199" t="s">
        <v>74</v>
      </c>
      <c r="Q199" t="s">
        <v>74</v>
      </c>
      <c r="R199" t="s">
        <v>74</v>
      </c>
      <c r="S199" t="s">
        <v>74</v>
      </c>
      <c r="T199" t="s">
        <v>74</v>
      </c>
      <c r="U199" t="s">
        <v>74</v>
      </c>
      <c r="V199" t="s">
        <v>74</v>
      </c>
      <c r="W199" t="s">
        <v>3206</v>
      </c>
      <c r="X199" t="s">
        <v>3207</v>
      </c>
      <c r="Y199" t="s">
        <v>3208</v>
      </c>
      <c r="Z199" t="s">
        <v>3209</v>
      </c>
      <c r="AA199" t="s">
        <v>1549</v>
      </c>
      <c r="AB199" t="s">
        <v>3210</v>
      </c>
      <c r="AC199" t="s">
        <v>74</v>
      </c>
      <c r="AD199" t="s">
        <v>74</v>
      </c>
      <c r="AE199" t="s">
        <v>74</v>
      </c>
      <c r="AF199" t="s">
        <v>74</v>
      </c>
      <c r="AG199">
        <v>15</v>
      </c>
      <c r="AH199">
        <v>0</v>
      </c>
      <c r="AI199">
        <v>0</v>
      </c>
      <c r="AJ199">
        <v>0</v>
      </c>
      <c r="AK199">
        <v>3</v>
      </c>
      <c r="AL199" t="s">
        <v>92</v>
      </c>
      <c r="AM199" t="s">
        <v>361</v>
      </c>
      <c r="AN199" t="s">
        <v>362</v>
      </c>
      <c r="AO199" t="s">
        <v>74</v>
      </c>
      <c r="AP199" t="s">
        <v>363</v>
      </c>
      <c r="AQ199" t="s">
        <v>74</v>
      </c>
      <c r="AR199" t="s">
        <v>364</v>
      </c>
      <c r="AS199" t="s">
        <v>365</v>
      </c>
      <c r="AT199" t="s">
        <v>315</v>
      </c>
      <c r="AU199">
        <v>2022</v>
      </c>
      <c r="AV199">
        <v>82</v>
      </c>
      <c r="AW199" t="s">
        <v>74</v>
      </c>
      <c r="AX199" t="s">
        <v>74</v>
      </c>
      <c r="AY199" t="s">
        <v>74</v>
      </c>
      <c r="AZ199" t="s">
        <v>74</v>
      </c>
      <c r="BA199" t="s">
        <v>74</v>
      </c>
      <c r="BB199" t="s">
        <v>74</v>
      </c>
      <c r="BC199" t="s">
        <v>74</v>
      </c>
      <c r="BD199">
        <v>100943</v>
      </c>
      <c r="BE199" t="s">
        <v>3211</v>
      </c>
      <c r="BF199" t="str">
        <f>HYPERLINK("http://dx.doi.org/10.1016/j.resmer.2022.100943","http://dx.doi.org/10.1016/j.resmer.2022.100943")</f>
        <v>http://dx.doi.org/10.1016/j.resmer.2022.100943</v>
      </c>
      <c r="BG199" t="s">
        <v>74</v>
      </c>
      <c r="BH199" t="s">
        <v>3212</v>
      </c>
      <c r="BI199">
        <v>3</v>
      </c>
      <c r="BJ199" t="s">
        <v>228</v>
      </c>
      <c r="BK199" t="s">
        <v>101</v>
      </c>
      <c r="BL199" t="s">
        <v>228</v>
      </c>
      <c r="BM199" t="s">
        <v>3213</v>
      </c>
      <c r="BN199">
        <v>35905554</v>
      </c>
      <c r="BO199" t="s">
        <v>74</v>
      </c>
      <c r="BP199" t="s">
        <v>74</v>
      </c>
      <c r="BQ199" t="s">
        <v>74</v>
      </c>
      <c r="BR199" t="s">
        <v>104</v>
      </c>
      <c r="BS199" t="s">
        <v>3214</v>
      </c>
      <c r="BT199" t="str">
        <f>HYPERLINK("https%3A%2F%2Fwww.webofscience.com%2Fwos%2Fwoscc%2Ffull-record%2FWOS:000868798300009","View Full Record in Web of Science")</f>
        <v>View Full Record in Web of Science</v>
      </c>
    </row>
    <row r="200" spans="1:72" x14ac:dyDescent="0.25">
      <c r="A200" t="s">
        <v>72</v>
      </c>
      <c r="B200" t="s">
        <v>3215</v>
      </c>
      <c r="C200" t="s">
        <v>74</v>
      </c>
      <c r="D200" t="s">
        <v>74</v>
      </c>
      <c r="E200" t="s">
        <v>74</v>
      </c>
      <c r="F200" t="s">
        <v>3216</v>
      </c>
      <c r="G200" t="s">
        <v>74</v>
      </c>
      <c r="H200" t="s">
        <v>74</v>
      </c>
      <c r="I200" t="s">
        <v>3217</v>
      </c>
      <c r="J200" t="s">
        <v>3218</v>
      </c>
      <c r="K200" t="s">
        <v>74</v>
      </c>
      <c r="L200" t="s">
        <v>74</v>
      </c>
      <c r="M200" t="s">
        <v>78</v>
      </c>
      <c r="N200" t="s">
        <v>79</v>
      </c>
      <c r="O200" t="s">
        <v>74</v>
      </c>
      <c r="P200" t="s">
        <v>74</v>
      </c>
      <c r="Q200" t="s">
        <v>74</v>
      </c>
      <c r="R200" t="s">
        <v>74</v>
      </c>
      <c r="S200" t="s">
        <v>74</v>
      </c>
      <c r="T200" t="s">
        <v>3219</v>
      </c>
      <c r="U200" t="s">
        <v>3220</v>
      </c>
      <c r="V200" t="s">
        <v>3221</v>
      </c>
      <c r="W200" t="s">
        <v>3222</v>
      </c>
      <c r="X200" t="s">
        <v>3223</v>
      </c>
      <c r="Y200" t="s">
        <v>3224</v>
      </c>
      <c r="Z200" t="s">
        <v>799</v>
      </c>
      <c r="AA200" t="s">
        <v>3225</v>
      </c>
      <c r="AB200" t="s">
        <v>3226</v>
      </c>
      <c r="AC200" t="s">
        <v>3227</v>
      </c>
      <c r="AD200" t="s">
        <v>3228</v>
      </c>
      <c r="AE200" t="s">
        <v>3229</v>
      </c>
      <c r="AF200" t="s">
        <v>74</v>
      </c>
      <c r="AG200">
        <v>44</v>
      </c>
      <c r="AH200">
        <v>15</v>
      </c>
      <c r="AI200">
        <v>16</v>
      </c>
      <c r="AJ200">
        <v>0</v>
      </c>
      <c r="AK200">
        <v>0</v>
      </c>
      <c r="AL200" t="s">
        <v>169</v>
      </c>
      <c r="AM200" t="s">
        <v>170</v>
      </c>
      <c r="AN200" t="s">
        <v>171</v>
      </c>
      <c r="AO200" t="s">
        <v>3230</v>
      </c>
      <c r="AP200" t="s">
        <v>3231</v>
      </c>
      <c r="AQ200" t="s">
        <v>74</v>
      </c>
      <c r="AR200" t="s">
        <v>3232</v>
      </c>
      <c r="AS200" t="s">
        <v>3233</v>
      </c>
      <c r="AT200" t="s">
        <v>226</v>
      </c>
      <c r="AU200">
        <v>2022</v>
      </c>
      <c r="AV200">
        <v>88</v>
      </c>
      <c r="AW200">
        <v>12</v>
      </c>
      <c r="AX200" t="s">
        <v>74</v>
      </c>
      <c r="AY200" t="s">
        <v>74</v>
      </c>
      <c r="AZ200" t="s">
        <v>1080</v>
      </c>
      <c r="BA200" t="s">
        <v>74</v>
      </c>
      <c r="BB200">
        <v>5227</v>
      </c>
      <c r="BC200">
        <v>5237</v>
      </c>
      <c r="BD200" t="s">
        <v>74</v>
      </c>
      <c r="BE200" t="s">
        <v>3234</v>
      </c>
      <c r="BF200" t="str">
        <f>HYPERLINK("http://dx.doi.org/10.1111/bcp.15436","http://dx.doi.org/10.1111/bcp.15436")</f>
        <v>http://dx.doi.org/10.1111/bcp.15436</v>
      </c>
      <c r="BG200" t="s">
        <v>74</v>
      </c>
      <c r="BH200" t="s">
        <v>3212</v>
      </c>
      <c r="BI200">
        <v>11</v>
      </c>
      <c r="BJ200" t="s">
        <v>1477</v>
      </c>
      <c r="BK200" t="s">
        <v>101</v>
      </c>
      <c r="BL200" t="s">
        <v>1477</v>
      </c>
      <c r="BM200" t="s">
        <v>3235</v>
      </c>
      <c r="BN200">
        <v>35679331</v>
      </c>
      <c r="BO200" t="s">
        <v>246</v>
      </c>
      <c r="BP200" t="s">
        <v>74</v>
      </c>
      <c r="BQ200" t="s">
        <v>74</v>
      </c>
      <c r="BR200" t="s">
        <v>104</v>
      </c>
      <c r="BS200" t="s">
        <v>3236</v>
      </c>
      <c r="BT200" t="str">
        <f>HYPERLINK("https%3A%2F%2Fwww.webofscience.com%2Fwos%2Fwoscc%2Ffull-record%2FWOS:000822545500001","View Full Record in Web of Science")</f>
        <v>View Full Record in Web of Science</v>
      </c>
    </row>
    <row r="201" spans="1:72" x14ac:dyDescent="0.25">
      <c r="A201" t="s">
        <v>72</v>
      </c>
      <c r="B201" t="s">
        <v>3237</v>
      </c>
      <c r="C201" t="s">
        <v>74</v>
      </c>
      <c r="D201" t="s">
        <v>74</v>
      </c>
      <c r="E201" t="s">
        <v>74</v>
      </c>
      <c r="F201" t="s">
        <v>3238</v>
      </c>
      <c r="G201" t="s">
        <v>74</v>
      </c>
      <c r="H201" t="s">
        <v>3239</v>
      </c>
      <c r="I201" t="s">
        <v>3240</v>
      </c>
      <c r="J201" t="s">
        <v>216</v>
      </c>
      <c r="K201" t="s">
        <v>74</v>
      </c>
      <c r="L201" t="s">
        <v>74</v>
      </c>
      <c r="M201" t="s">
        <v>78</v>
      </c>
      <c r="N201" t="s">
        <v>460</v>
      </c>
      <c r="O201" t="s">
        <v>74</v>
      </c>
      <c r="P201" t="s">
        <v>74</v>
      </c>
      <c r="Q201" t="s">
        <v>74</v>
      </c>
      <c r="R201" t="s">
        <v>74</v>
      </c>
      <c r="S201" t="s">
        <v>74</v>
      </c>
      <c r="T201" t="s">
        <v>74</v>
      </c>
      <c r="U201" t="s">
        <v>74</v>
      </c>
      <c r="V201" t="s">
        <v>74</v>
      </c>
      <c r="W201" t="s">
        <v>3241</v>
      </c>
      <c r="X201" t="s">
        <v>3242</v>
      </c>
      <c r="Y201" t="s">
        <v>3243</v>
      </c>
      <c r="Z201" t="s">
        <v>3244</v>
      </c>
      <c r="AA201" t="s">
        <v>3245</v>
      </c>
      <c r="AB201" t="s">
        <v>3246</v>
      </c>
      <c r="AC201" t="s">
        <v>3247</v>
      </c>
      <c r="AD201" t="s">
        <v>3247</v>
      </c>
      <c r="AE201" t="s">
        <v>3248</v>
      </c>
      <c r="AF201" t="s">
        <v>74</v>
      </c>
      <c r="AG201">
        <v>11</v>
      </c>
      <c r="AH201">
        <v>5</v>
      </c>
      <c r="AI201">
        <v>5</v>
      </c>
      <c r="AJ201">
        <v>0</v>
      </c>
      <c r="AK201">
        <v>3</v>
      </c>
      <c r="AL201" t="s">
        <v>219</v>
      </c>
      <c r="AM201" t="s">
        <v>220</v>
      </c>
      <c r="AN201" t="s">
        <v>221</v>
      </c>
      <c r="AO201" t="s">
        <v>222</v>
      </c>
      <c r="AP201" t="s">
        <v>223</v>
      </c>
      <c r="AQ201" t="s">
        <v>74</v>
      </c>
      <c r="AR201" t="s">
        <v>224</v>
      </c>
      <c r="AS201" t="s">
        <v>225</v>
      </c>
      <c r="AT201" t="s">
        <v>806</v>
      </c>
      <c r="AU201">
        <v>2022</v>
      </c>
      <c r="AV201">
        <v>60</v>
      </c>
      <c r="AW201">
        <v>1</v>
      </c>
      <c r="AX201" t="s">
        <v>74</v>
      </c>
      <c r="AY201" t="s">
        <v>74</v>
      </c>
      <c r="AZ201" t="s">
        <v>74</v>
      </c>
      <c r="BA201" t="s">
        <v>74</v>
      </c>
      <c r="BB201" t="s">
        <v>74</v>
      </c>
      <c r="BC201" t="s">
        <v>74</v>
      </c>
      <c r="BD201">
        <v>2102897</v>
      </c>
      <c r="BE201" t="s">
        <v>3249</v>
      </c>
      <c r="BF201" t="str">
        <f>HYPERLINK("http://dx.doi.org/10.1183/13993003.02897-2021","http://dx.doi.org/10.1183/13993003.02897-2021")</f>
        <v>http://dx.doi.org/10.1183/13993003.02897-2021</v>
      </c>
      <c r="BG201" t="s">
        <v>74</v>
      </c>
      <c r="BH201" t="s">
        <v>74</v>
      </c>
      <c r="BI201">
        <v>4</v>
      </c>
      <c r="BJ201" t="s">
        <v>228</v>
      </c>
      <c r="BK201" t="s">
        <v>101</v>
      </c>
      <c r="BL201" t="s">
        <v>228</v>
      </c>
      <c r="BM201" t="s">
        <v>3250</v>
      </c>
      <c r="BN201">
        <v>35595319</v>
      </c>
      <c r="BO201" t="s">
        <v>161</v>
      </c>
      <c r="BP201" t="s">
        <v>74</v>
      </c>
      <c r="BQ201" t="s">
        <v>74</v>
      </c>
      <c r="BR201" t="s">
        <v>104</v>
      </c>
      <c r="BS201" t="s">
        <v>3251</v>
      </c>
      <c r="BT201" t="str">
        <f>HYPERLINK("https%3A%2F%2Fwww.webofscience.com%2Fwos%2Fwoscc%2Ffull-record%2FWOS:000836038800017","View Full Record in Web of Science")</f>
        <v>View Full Record in Web of Science</v>
      </c>
    </row>
    <row r="202" spans="1:72" x14ac:dyDescent="0.25">
      <c r="A202" t="s">
        <v>72</v>
      </c>
      <c r="B202" t="s">
        <v>3252</v>
      </c>
      <c r="C202" t="s">
        <v>74</v>
      </c>
      <c r="D202" t="s">
        <v>74</v>
      </c>
      <c r="E202" t="s">
        <v>74</v>
      </c>
      <c r="F202" t="s">
        <v>3253</v>
      </c>
      <c r="G202" t="s">
        <v>74</v>
      </c>
      <c r="H202" t="s">
        <v>74</v>
      </c>
      <c r="I202" t="s">
        <v>3254</v>
      </c>
      <c r="J202" t="s">
        <v>216</v>
      </c>
      <c r="K202" t="s">
        <v>74</v>
      </c>
      <c r="L202" t="s">
        <v>74</v>
      </c>
      <c r="M202" t="s">
        <v>78</v>
      </c>
      <c r="N202" t="s">
        <v>460</v>
      </c>
      <c r="O202" t="s">
        <v>74</v>
      </c>
      <c r="P202" t="s">
        <v>74</v>
      </c>
      <c r="Q202" t="s">
        <v>74</v>
      </c>
      <c r="R202" t="s">
        <v>74</v>
      </c>
      <c r="S202" t="s">
        <v>74</v>
      </c>
      <c r="T202" t="s">
        <v>74</v>
      </c>
      <c r="U202" t="s">
        <v>3255</v>
      </c>
      <c r="V202" t="s">
        <v>74</v>
      </c>
      <c r="W202" t="s">
        <v>3256</v>
      </c>
      <c r="X202" t="s">
        <v>3257</v>
      </c>
      <c r="Y202" t="s">
        <v>3258</v>
      </c>
      <c r="Z202" t="s">
        <v>2236</v>
      </c>
      <c r="AA202" t="s">
        <v>3259</v>
      </c>
      <c r="AB202" t="s">
        <v>3260</v>
      </c>
      <c r="AC202" t="s">
        <v>74</v>
      </c>
      <c r="AD202" t="s">
        <v>74</v>
      </c>
      <c r="AE202" t="s">
        <v>74</v>
      </c>
      <c r="AF202" t="s">
        <v>74</v>
      </c>
      <c r="AG202">
        <v>16</v>
      </c>
      <c r="AH202">
        <v>11</v>
      </c>
      <c r="AI202">
        <v>11</v>
      </c>
      <c r="AJ202">
        <v>0</v>
      </c>
      <c r="AK202">
        <v>2</v>
      </c>
      <c r="AL202" t="s">
        <v>219</v>
      </c>
      <c r="AM202" t="s">
        <v>220</v>
      </c>
      <c r="AN202" t="s">
        <v>221</v>
      </c>
      <c r="AO202" t="s">
        <v>222</v>
      </c>
      <c r="AP202" t="s">
        <v>223</v>
      </c>
      <c r="AQ202" t="s">
        <v>74</v>
      </c>
      <c r="AR202" t="s">
        <v>224</v>
      </c>
      <c r="AS202" t="s">
        <v>225</v>
      </c>
      <c r="AT202" t="s">
        <v>806</v>
      </c>
      <c r="AU202">
        <v>2022</v>
      </c>
      <c r="AV202">
        <v>60</v>
      </c>
      <c r="AW202">
        <v>1</v>
      </c>
      <c r="AX202" t="s">
        <v>74</v>
      </c>
      <c r="AY202" t="s">
        <v>74</v>
      </c>
      <c r="AZ202" t="s">
        <v>74</v>
      </c>
      <c r="BA202" t="s">
        <v>74</v>
      </c>
      <c r="BB202" t="s">
        <v>74</v>
      </c>
      <c r="BC202" t="s">
        <v>74</v>
      </c>
      <c r="BD202">
        <v>2200189</v>
      </c>
      <c r="BE202" t="s">
        <v>3261</v>
      </c>
      <c r="BF202" t="str">
        <f>HYPERLINK("http://dx.doi.org/10.1183/13993003.00189-2022","http://dx.doi.org/10.1183/13993003.00189-2022")</f>
        <v>http://dx.doi.org/10.1183/13993003.00189-2022</v>
      </c>
      <c r="BG202" t="s">
        <v>74</v>
      </c>
      <c r="BH202" t="s">
        <v>74</v>
      </c>
      <c r="BI202">
        <v>5</v>
      </c>
      <c r="BJ202" t="s">
        <v>228</v>
      </c>
      <c r="BK202" t="s">
        <v>101</v>
      </c>
      <c r="BL202" t="s">
        <v>228</v>
      </c>
      <c r="BM202" t="s">
        <v>3250</v>
      </c>
      <c r="BN202">
        <v>35595318</v>
      </c>
      <c r="BO202" t="s">
        <v>3262</v>
      </c>
      <c r="BP202" t="s">
        <v>74</v>
      </c>
      <c r="BQ202" t="s">
        <v>74</v>
      </c>
      <c r="BR202" t="s">
        <v>104</v>
      </c>
      <c r="BS202" t="s">
        <v>3263</v>
      </c>
      <c r="BT202" t="str">
        <f>HYPERLINK("https%3A%2F%2Fwww.webofscience.com%2Fwos%2Fwoscc%2Ffull-record%2FWOS:000836038800012","View Full Record in Web of Science")</f>
        <v>View Full Record in Web of Science</v>
      </c>
    </row>
    <row r="203" spans="1:72" x14ac:dyDescent="0.25">
      <c r="A203" t="s">
        <v>72</v>
      </c>
      <c r="B203" t="s">
        <v>3264</v>
      </c>
      <c r="C203" t="s">
        <v>74</v>
      </c>
      <c r="D203" t="s">
        <v>74</v>
      </c>
      <c r="E203" t="s">
        <v>74</v>
      </c>
      <c r="F203" t="s">
        <v>3265</v>
      </c>
      <c r="G203" t="s">
        <v>74</v>
      </c>
      <c r="H203" t="s">
        <v>3266</v>
      </c>
      <c r="I203" t="s">
        <v>3267</v>
      </c>
      <c r="J203" t="s">
        <v>216</v>
      </c>
      <c r="K203" t="s">
        <v>74</v>
      </c>
      <c r="L203" t="s">
        <v>74</v>
      </c>
      <c r="M203" t="s">
        <v>78</v>
      </c>
      <c r="N203" t="s">
        <v>217</v>
      </c>
      <c r="O203" t="s">
        <v>74</v>
      </c>
      <c r="P203" t="s">
        <v>74</v>
      </c>
      <c r="Q203" t="s">
        <v>74</v>
      </c>
      <c r="R203" t="s">
        <v>74</v>
      </c>
      <c r="S203" t="s">
        <v>74</v>
      </c>
      <c r="T203" t="s">
        <v>74</v>
      </c>
      <c r="U203" t="s">
        <v>74</v>
      </c>
      <c r="V203" t="s">
        <v>74</v>
      </c>
      <c r="W203" t="s">
        <v>74</v>
      </c>
      <c r="X203" t="s">
        <v>74</v>
      </c>
      <c r="Y203" t="s">
        <v>74</v>
      </c>
      <c r="Z203" t="s">
        <v>74</v>
      </c>
      <c r="AA203" t="s">
        <v>3268</v>
      </c>
      <c r="AB203" t="s">
        <v>3269</v>
      </c>
      <c r="AC203" t="s">
        <v>74</v>
      </c>
      <c r="AD203" t="s">
        <v>74</v>
      </c>
      <c r="AE203" t="s">
        <v>74</v>
      </c>
      <c r="AF203" t="s">
        <v>74</v>
      </c>
      <c r="AG203">
        <v>1</v>
      </c>
      <c r="AH203">
        <v>0</v>
      </c>
      <c r="AI203">
        <v>0</v>
      </c>
      <c r="AJ203">
        <v>1</v>
      </c>
      <c r="AK203">
        <v>5</v>
      </c>
      <c r="AL203" t="s">
        <v>219</v>
      </c>
      <c r="AM203" t="s">
        <v>220</v>
      </c>
      <c r="AN203" t="s">
        <v>221</v>
      </c>
      <c r="AO203" t="s">
        <v>222</v>
      </c>
      <c r="AP203" t="s">
        <v>223</v>
      </c>
      <c r="AQ203" t="s">
        <v>74</v>
      </c>
      <c r="AR203" t="s">
        <v>224</v>
      </c>
      <c r="AS203" t="s">
        <v>225</v>
      </c>
      <c r="AT203" t="s">
        <v>806</v>
      </c>
      <c r="AU203">
        <v>2022</v>
      </c>
      <c r="AV203">
        <v>60</v>
      </c>
      <c r="AW203">
        <v>1</v>
      </c>
      <c r="AX203" t="s">
        <v>74</v>
      </c>
      <c r="AY203" t="s">
        <v>74</v>
      </c>
      <c r="AZ203" t="s">
        <v>74</v>
      </c>
      <c r="BA203" t="s">
        <v>74</v>
      </c>
      <c r="BB203" t="s">
        <v>74</v>
      </c>
      <c r="BC203" t="s">
        <v>74</v>
      </c>
      <c r="BD203">
        <v>2052463</v>
      </c>
      <c r="BE203" t="s">
        <v>3270</v>
      </c>
      <c r="BF203" t="str">
        <f>HYPERLINK("http://dx.doi.org/10.1183/13993003.52463-2020","http://dx.doi.org/10.1183/13993003.52463-2020")</f>
        <v>http://dx.doi.org/10.1183/13993003.52463-2020</v>
      </c>
      <c r="BG203" t="s">
        <v>74</v>
      </c>
      <c r="BH203" t="s">
        <v>74</v>
      </c>
      <c r="BI203">
        <v>1</v>
      </c>
      <c r="BJ203" t="s">
        <v>228</v>
      </c>
      <c r="BK203" t="s">
        <v>101</v>
      </c>
      <c r="BL203" t="s">
        <v>228</v>
      </c>
      <c r="BM203" t="s">
        <v>3250</v>
      </c>
      <c r="BN203" t="s">
        <v>74</v>
      </c>
      <c r="BO203" t="s">
        <v>1194</v>
      </c>
      <c r="BP203" t="s">
        <v>74</v>
      </c>
      <c r="BQ203" t="s">
        <v>74</v>
      </c>
      <c r="BR203" t="s">
        <v>104</v>
      </c>
      <c r="BS203" t="s">
        <v>3271</v>
      </c>
      <c r="BT203" t="str">
        <f>HYPERLINK("https%3A%2F%2Fwww.webofscience.com%2Fwos%2Fwoscc%2Ffull-record%2FWOS:000836038800005","View Full Record in Web of Science")</f>
        <v>View Full Record in Web of Science</v>
      </c>
    </row>
    <row r="204" spans="1:72" x14ac:dyDescent="0.25">
      <c r="A204" t="s">
        <v>72</v>
      </c>
      <c r="B204" t="s">
        <v>3272</v>
      </c>
      <c r="C204" t="s">
        <v>74</v>
      </c>
      <c r="D204" t="s">
        <v>74</v>
      </c>
      <c r="E204" t="s">
        <v>74</v>
      </c>
      <c r="F204" t="s">
        <v>3273</v>
      </c>
      <c r="G204" t="s">
        <v>74</v>
      </c>
      <c r="H204" t="s">
        <v>3274</v>
      </c>
      <c r="I204" t="s">
        <v>3275</v>
      </c>
      <c r="J204" t="s">
        <v>637</v>
      </c>
      <c r="K204" t="s">
        <v>74</v>
      </c>
      <c r="L204" t="s">
        <v>74</v>
      </c>
      <c r="M204" t="s">
        <v>78</v>
      </c>
      <c r="N204" t="s">
        <v>79</v>
      </c>
      <c r="O204" t="s">
        <v>74</v>
      </c>
      <c r="P204" t="s">
        <v>74</v>
      </c>
      <c r="Q204" t="s">
        <v>74</v>
      </c>
      <c r="R204" t="s">
        <v>74</v>
      </c>
      <c r="S204" t="s">
        <v>74</v>
      </c>
      <c r="T204" t="s">
        <v>3276</v>
      </c>
      <c r="U204" t="s">
        <v>3277</v>
      </c>
      <c r="V204" t="s">
        <v>3278</v>
      </c>
      <c r="W204" t="s">
        <v>3279</v>
      </c>
      <c r="X204" t="s">
        <v>3280</v>
      </c>
      <c r="Y204" t="s">
        <v>3281</v>
      </c>
      <c r="Z204" t="s">
        <v>3282</v>
      </c>
      <c r="AA204" t="s">
        <v>3283</v>
      </c>
      <c r="AB204" t="s">
        <v>3284</v>
      </c>
      <c r="AC204" t="s">
        <v>3285</v>
      </c>
      <c r="AD204" t="s">
        <v>3286</v>
      </c>
      <c r="AE204" t="s">
        <v>3287</v>
      </c>
      <c r="AF204" t="s">
        <v>74</v>
      </c>
      <c r="AG204">
        <v>43</v>
      </c>
      <c r="AH204">
        <v>28</v>
      </c>
      <c r="AI204">
        <v>30</v>
      </c>
      <c r="AJ204">
        <v>0</v>
      </c>
      <c r="AK204">
        <v>10</v>
      </c>
      <c r="AL204" t="s">
        <v>649</v>
      </c>
      <c r="AM204" t="s">
        <v>486</v>
      </c>
      <c r="AN204" t="s">
        <v>650</v>
      </c>
      <c r="AO204" t="s">
        <v>651</v>
      </c>
      <c r="AP204" t="s">
        <v>652</v>
      </c>
      <c r="AQ204" t="s">
        <v>74</v>
      </c>
      <c r="AR204" t="s">
        <v>653</v>
      </c>
      <c r="AS204" t="s">
        <v>654</v>
      </c>
      <c r="AT204" t="s">
        <v>3288</v>
      </c>
      <c r="AU204">
        <v>2022</v>
      </c>
      <c r="AV204">
        <v>205</v>
      </c>
      <c r="AW204">
        <v>12</v>
      </c>
      <c r="AX204" t="s">
        <v>74</v>
      </c>
      <c r="AY204" t="s">
        <v>74</v>
      </c>
      <c r="AZ204" t="s">
        <v>74</v>
      </c>
      <c r="BA204" t="s">
        <v>74</v>
      </c>
      <c r="BB204">
        <v>1449</v>
      </c>
      <c r="BC204">
        <v>1460</v>
      </c>
      <c r="BD204" t="s">
        <v>74</v>
      </c>
      <c r="BE204" t="s">
        <v>3289</v>
      </c>
      <c r="BF204" t="str">
        <f>HYPERLINK("http://dx.doi.org/10.1164/rccm.202109-2106OC","http://dx.doi.org/10.1164/rccm.202109-2106OC")</f>
        <v>http://dx.doi.org/10.1164/rccm.202109-2106OC</v>
      </c>
      <c r="BG204" t="s">
        <v>74</v>
      </c>
      <c r="BH204" t="s">
        <v>74</v>
      </c>
      <c r="BI204">
        <v>12</v>
      </c>
      <c r="BJ204" t="s">
        <v>341</v>
      </c>
      <c r="BK204" t="s">
        <v>101</v>
      </c>
      <c r="BL204" t="s">
        <v>342</v>
      </c>
      <c r="BM204" t="s">
        <v>3290</v>
      </c>
      <c r="BN204">
        <v>35394406</v>
      </c>
      <c r="BO204" t="s">
        <v>103</v>
      </c>
      <c r="BP204" t="s">
        <v>74</v>
      </c>
      <c r="BQ204" t="s">
        <v>74</v>
      </c>
      <c r="BR204" t="s">
        <v>104</v>
      </c>
      <c r="BS204" t="s">
        <v>3291</v>
      </c>
      <c r="BT204" t="str">
        <f>HYPERLINK("https%3A%2F%2Fwww.webofscience.com%2Fwos%2Fwoscc%2Ffull-record%2FWOS:000812986200015","View Full Record in Web of Science")</f>
        <v>View Full Record in Web of Science</v>
      </c>
    </row>
    <row r="205" spans="1:72" x14ac:dyDescent="0.25">
      <c r="A205" t="s">
        <v>72</v>
      </c>
      <c r="B205" t="s">
        <v>3292</v>
      </c>
      <c r="C205" t="s">
        <v>74</v>
      </c>
      <c r="D205" t="s">
        <v>74</v>
      </c>
      <c r="E205" t="s">
        <v>74</v>
      </c>
      <c r="F205" t="s">
        <v>3293</v>
      </c>
      <c r="G205" t="s">
        <v>74</v>
      </c>
      <c r="H205" t="s">
        <v>74</v>
      </c>
      <c r="I205" t="s">
        <v>3294</v>
      </c>
      <c r="J205" t="s">
        <v>216</v>
      </c>
      <c r="K205" t="s">
        <v>74</v>
      </c>
      <c r="L205" t="s">
        <v>74</v>
      </c>
      <c r="M205" t="s">
        <v>78</v>
      </c>
      <c r="N205" t="s">
        <v>140</v>
      </c>
      <c r="O205" t="s">
        <v>74</v>
      </c>
      <c r="P205" t="s">
        <v>74</v>
      </c>
      <c r="Q205" t="s">
        <v>74</v>
      </c>
      <c r="R205" t="s">
        <v>74</v>
      </c>
      <c r="S205" t="s">
        <v>74</v>
      </c>
      <c r="T205" t="s">
        <v>74</v>
      </c>
      <c r="U205" t="s">
        <v>3295</v>
      </c>
      <c r="V205" t="s">
        <v>3296</v>
      </c>
      <c r="W205" t="s">
        <v>3297</v>
      </c>
      <c r="X205" t="s">
        <v>3298</v>
      </c>
      <c r="Y205" t="s">
        <v>3299</v>
      </c>
      <c r="Z205" t="s">
        <v>3300</v>
      </c>
      <c r="AA205" t="s">
        <v>3301</v>
      </c>
      <c r="AB205" t="s">
        <v>3302</v>
      </c>
      <c r="AC205" t="s">
        <v>74</v>
      </c>
      <c r="AD205" t="s">
        <v>74</v>
      </c>
      <c r="AE205" t="s">
        <v>74</v>
      </c>
      <c r="AF205" t="s">
        <v>74</v>
      </c>
      <c r="AG205">
        <v>11</v>
      </c>
      <c r="AH205">
        <v>2</v>
      </c>
      <c r="AI205">
        <v>2</v>
      </c>
      <c r="AJ205">
        <v>0</v>
      </c>
      <c r="AK205">
        <v>1</v>
      </c>
      <c r="AL205" t="s">
        <v>219</v>
      </c>
      <c r="AM205" t="s">
        <v>220</v>
      </c>
      <c r="AN205" t="s">
        <v>221</v>
      </c>
      <c r="AO205" t="s">
        <v>222</v>
      </c>
      <c r="AP205" t="s">
        <v>223</v>
      </c>
      <c r="AQ205" t="s">
        <v>74</v>
      </c>
      <c r="AR205" t="s">
        <v>224</v>
      </c>
      <c r="AS205" t="s">
        <v>225</v>
      </c>
      <c r="AT205" t="s">
        <v>933</v>
      </c>
      <c r="AU205">
        <v>2022</v>
      </c>
      <c r="AV205">
        <v>59</v>
      </c>
      <c r="AW205">
        <v>6</v>
      </c>
      <c r="AX205" t="s">
        <v>74</v>
      </c>
      <c r="AY205" t="s">
        <v>74</v>
      </c>
      <c r="AZ205" t="s">
        <v>74</v>
      </c>
      <c r="BA205" t="s">
        <v>74</v>
      </c>
      <c r="BB205" t="s">
        <v>74</v>
      </c>
      <c r="BC205" t="s">
        <v>74</v>
      </c>
      <c r="BD205">
        <v>2200390</v>
      </c>
      <c r="BE205" t="s">
        <v>3303</v>
      </c>
      <c r="BF205" t="str">
        <f>HYPERLINK("http://dx.doi.org/10.1183/13993003.00390-2022","http://dx.doi.org/10.1183/13993003.00390-2022")</f>
        <v>http://dx.doi.org/10.1183/13993003.00390-2022</v>
      </c>
      <c r="BG205" t="s">
        <v>74</v>
      </c>
      <c r="BH205" t="s">
        <v>74</v>
      </c>
      <c r="BI205">
        <v>4</v>
      </c>
      <c r="BJ205" t="s">
        <v>228</v>
      </c>
      <c r="BK205" t="s">
        <v>101</v>
      </c>
      <c r="BL205" t="s">
        <v>228</v>
      </c>
      <c r="BM205" t="s">
        <v>3304</v>
      </c>
      <c r="BN205">
        <v>35654453</v>
      </c>
      <c r="BO205" t="s">
        <v>1194</v>
      </c>
      <c r="BP205" t="s">
        <v>74</v>
      </c>
      <c r="BQ205" t="s">
        <v>74</v>
      </c>
      <c r="BR205" t="s">
        <v>104</v>
      </c>
      <c r="BS205" t="s">
        <v>3305</v>
      </c>
      <c r="BT205" t="str">
        <f>HYPERLINK("https%3A%2F%2Fwww.webofscience.com%2Fwos%2Fwoscc%2Ffull-record%2FWOS:000809978500007","View Full Record in Web of Science")</f>
        <v>View Full Record in Web of Science</v>
      </c>
    </row>
    <row r="206" spans="1:72" x14ac:dyDescent="0.25">
      <c r="A206" t="s">
        <v>72</v>
      </c>
      <c r="B206" t="s">
        <v>3306</v>
      </c>
      <c r="C206" t="s">
        <v>74</v>
      </c>
      <c r="D206" t="s">
        <v>74</v>
      </c>
      <c r="E206" t="s">
        <v>74</v>
      </c>
      <c r="F206" t="s">
        <v>3307</v>
      </c>
      <c r="G206" t="s">
        <v>74</v>
      </c>
      <c r="H206" t="s">
        <v>74</v>
      </c>
      <c r="I206" t="s">
        <v>3308</v>
      </c>
      <c r="J206" t="s">
        <v>216</v>
      </c>
      <c r="K206" t="s">
        <v>74</v>
      </c>
      <c r="L206" t="s">
        <v>74</v>
      </c>
      <c r="M206" t="s">
        <v>78</v>
      </c>
      <c r="N206" t="s">
        <v>79</v>
      </c>
      <c r="O206" t="s">
        <v>74</v>
      </c>
      <c r="P206" t="s">
        <v>74</v>
      </c>
      <c r="Q206" t="s">
        <v>74</v>
      </c>
      <c r="R206" t="s">
        <v>74</v>
      </c>
      <c r="S206" t="s">
        <v>74</v>
      </c>
      <c r="T206" t="s">
        <v>74</v>
      </c>
      <c r="U206" t="s">
        <v>3309</v>
      </c>
      <c r="V206" t="s">
        <v>3310</v>
      </c>
      <c r="W206" t="s">
        <v>3311</v>
      </c>
      <c r="X206" t="s">
        <v>3312</v>
      </c>
      <c r="Y206" t="s">
        <v>3313</v>
      </c>
      <c r="Z206" t="s">
        <v>377</v>
      </c>
      <c r="AA206" t="s">
        <v>3314</v>
      </c>
      <c r="AB206" t="s">
        <v>3315</v>
      </c>
      <c r="AC206" t="s">
        <v>74</v>
      </c>
      <c r="AD206" t="s">
        <v>74</v>
      </c>
      <c r="AE206" t="s">
        <v>74</v>
      </c>
      <c r="AF206" t="s">
        <v>74</v>
      </c>
      <c r="AG206">
        <v>24</v>
      </c>
      <c r="AH206">
        <v>123</v>
      </c>
      <c r="AI206">
        <v>124</v>
      </c>
      <c r="AJ206">
        <v>3</v>
      </c>
      <c r="AK206">
        <v>15</v>
      </c>
      <c r="AL206" t="s">
        <v>219</v>
      </c>
      <c r="AM206" t="s">
        <v>220</v>
      </c>
      <c r="AN206" t="s">
        <v>221</v>
      </c>
      <c r="AO206" t="s">
        <v>222</v>
      </c>
      <c r="AP206" t="s">
        <v>223</v>
      </c>
      <c r="AQ206" t="s">
        <v>74</v>
      </c>
      <c r="AR206" t="s">
        <v>224</v>
      </c>
      <c r="AS206" t="s">
        <v>225</v>
      </c>
      <c r="AT206" t="s">
        <v>933</v>
      </c>
      <c r="AU206">
        <v>2022</v>
      </c>
      <c r="AV206">
        <v>59</v>
      </c>
      <c r="AW206">
        <v>6</v>
      </c>
      <c r="AX206" t="s">
        <v>74</v>
      </c>
      <c r="AY206" t="s">
        <v>74</v>
      </c>
      <c r="AZ206" t="s">
        <v>74</v>
      </c>
      <c r="BA206" t="s">
        <v>74</v>
      </c>
      <c r="BB206" t="s">
        <v>74</v>
      </c>
      <c r="BC206" t="s">
        <v>74</v>
      </c>
      <c r="BD206">
        <v>2102419</v>
      </c>
      <c r="BE206" t="s">
        <v>3316</v>
      </c>
      <c r="BF206" t="str">
        <f>HYPERLINK("http://dx.doi.org/10.1183/13993003.02419-2021","http://dx.doi.org/10.1183/13993003.02419-2021")</f>
        <v>http://dx.doi.org/10.1183/13993003.02419-2021</v>
      </c>
      <c r="BG206" t="s">
        <v>74</v>
      </c>
      <c r="BH206" t="s">
        <v>74</v>
      </c>
      <c r="BI206">
        <v>12</v>
      </c>
      <c r="BJ206" t="s">
        <v>228</v>
      </c>
      <c r="BK206" t="s">
        <v>101</v>
      </c>
      <c r="BL206" t="s">
        <v>228</v>
      </c>
      <c r="BM206" t="s">
        <v>3317</v>
      </c>
      <c r="BN206">
        <v>34737227</v>
      </c>
      <c r="BO206" t="s">
        <v>3318</v>
      </c>
      <c r="BP206" t="s">
        <v>1155</v>
      </c>
      <c r="BQ206" t="s">
        <v>1156</v>
      </c>
      <c r="BR206" t="s">
        <v>104</v>
      </c>
      <c r="BS206" t="s">
        <v>3319</v>
      </c>
      <c r="BT206" t="str">
        <f>HYPERLINK("https%3A%2F%2Fwww.webofscience.com%2Fwos%2Fwoscc%2Ffull-record%2FWOS:000834085100005","View Full Record in Web of Science")</f>
        <v>View Full Record in Web of Science</v>
      </c>
    </row>
    <row r="207" spans="1:72" x14ac:dyDescent="0.25">
      <c r="A207" t="s">
        <v>72</v>
      </c>
      <c r="B207" t="s">
        <v>3215</v>
      </c>
      <c r="C207" t="s">
        <v>74</v>
      </c>
      <c r="D207" t="s">
        <v>74</v>
      </c>
      <c r="E207" t="s">
        <v>74</v>
      </c>
      <c r="F207" t="s">
        <v>3320</v>
      </c>
      <c r="G207" t="s">
        <v>74</v>
      </c>
      <c r="H207" t="s">
        <v>74</v>
      </c>
      <c r="I207" t="s">
        <v>3217</v>
      </c>
      <c r="J207" t="s">
        <v>1924</v>
      </c>
      <c r="K207" t="s">
        <v>74</v>
      </c>
      <c r="L207" t="s">
        <v>74</v>
      </c>
      <c r="M207" t="s">
        <v>78</v>
      </c>
      <c r="N207" t="s">
        <v>52</v>
      </c>
      <c r="O207" t="s">
        <v>74</v>
      </c>
      <c r="P207" t="s">
        <v>74</v>
      </c>
      <c r="Q207" t="s">
        <v>74</v>
      </c>
      <c r="R207" t="s">
        <v>74</v>
      </c>
      <c r="S207" t="s">
        <v>74</v>
      </c>
      <c r="T207" t="s">
        <v>3321</v>
      </c>
      <c r="U207" t="s">
        <v>74</v>
      </c>
      <c r="V207" t="s">
        <v>74</v>
      </c>
      <c r="W207" t="s">
        <v>3322</v>
      </c>
      <c r="X207" t="s">
        <v>3323</v>
      </c>
      <c r="Y207" t="s">
        <v>74</v>
      </c>
      <c r="Z207" t="s">
        <v>74</v>
      </c>
      <c r="AA207" t="s">
        <v>3324</v>
      </c>
      <c r="AB207" t="s">
        <v>257</v>
      </c>
      <c r="AC207" t="s">
        <v>74</v>
      </c>
      <c r="AD207" t="s">
        <v>74</v>
      </c>
      <c r="AE207" t="s">
        <v>74</v>
      </c>
      <c r="AF207" t="s">
        <v>74</v>
      </c>
      <c r="AG207">
        <v>8</v>
      </c>
      <c r="AH207">
        <v>0</v>
      </c>
      <c r="AI207">
        <v>0</v>
      </c>
      <c r="AJ207">
        <v>0</v>
      </c>
      <c r="AK207">
        <v>4</v>
      </c>
      <c r="AL207" t="s">
        <v>169</v>
      </c>
      <c r="AM207" t="s">
        <v>170</v>
      </c>
      <c r="AN207" t="s">
        <v>171</v>
      </c>
      <c r="AO207" t="s">
        <v>1929</v>
      </c>
      <c r="AP207" t="s">
        <v>1930</v>
      </c>
      <c r="AQ207" t="s">
        <v>74</v>
      </c>
      <c r="AR207" t="s">
        <v>1931</v>
      </c>
      <c r="AS207" t="s">
        <v>1932</v>
      </c>
      <c r="AT207" t="s">
        <v>1060</v>
      </c>
      <c r="AU207">
        <v>2022</v>
      </c>
      <c r="AV207">
        <v>36</v>
      </c>
      <c r="AW207" t="s">
        <v>74</v>
      </c>
      <c r="AX207" t="s">
        <v>74</v>
      </c>
      <c r="AY207">
        <v>1</v>
      </c>
      <c r="AZ207" t="s">
        <v>1080</v>
      </c>
      <c r="BA207" t="s">
        <v>3325</v>
      </c>
      <c r="BB207">
        <v>78</v>
      </c>
      <c r="BC207">
        <v>78</v>
      </c>
      <c r="BD207" t="s">
        <v>74</v>
      </c>
      <c r="BE207" t="s">
        <v>74</v>
      </c>
      <c r="BF207" t="s">
        <v>74</v>
      </c>
      <c r="BG207" t="s">
        <v>74</v>
      </c>
      <c r="BH207" t="s">
        <v>74</v>
      </c>
      <c r="BI207">
        <v>1</v>
      </c>
      <c r="BJ207" t="s">
        <v>1477</v>
      </c>
      <c r="BK207" t="s">
        <v>101</v>
      </c>
      <c r="BL207" t="s">
        <v>1477</v>
      </c>
      <c r="BM207" t="s">
        <v>3326</v>
      </c>
      <c r="BN207" t="s">
        <v>74</v>
      </c>
      <c r="BO207" t="s">
        <v>246</v>
      </c>
      <c r="BP207" t="s">
        <v>74</v>
      </c>
      <c r="BQ207" t="s">
        <v>74</v>
      </c>
      <c r="BR207" t="s">
        <v>104</v>
      </c>
      <c r="BS207" t="s">
        <v>3327</v>
      </c>
      <c r="BT207" t="str">
        <f>HYPERLINK("https%3A%2F%2Fwww.webofscience.com%2Fwos%2Fwoscc%2Ffull-record%2FWOS:000806010700135","View Full Record in Web of Science")</f>
        <v>View Full Record in Web of Science</v>
      </c>
    </row>
    <row r="208" spans="1:72" x14ac:dyDescent="0.25">
      <c r="A208" t="s">
        <v>72</v>
      </c>
      <c r="B208" t="s">
        <v>3328</v>
      </c>
      <c r="C208" t="s">
        <v>74</v>
      </c>
      <c r="D208" t="s">
        <v>74</v>
      </c>
      <c r="E208" t="s">
        <v>74</v>
      </c>
      <c r="F208" t="s">
        <v>3329</v>
      </c>
      <c r="G208" t="s">
        <v>74</v>
      </c>
      <c r="H208" t="s">
        <v>74</v>
      </c>
      <c r="I208" t="s">
        <v>3330</v>
      </c>
      <c r="J208" t="s">
        <v>983</v>
      </c>
      <c r="K208" t="s">
        <v>74</v>
      </c>
      <c r="L208" t="s">
        <v>74</v>
      </c>
      <c r="M208" t="s">
        <v>78</v>
      </c>
      <c r="N208" t="s">
        <v>79</v>
      </c>
      <c r="O208" t="s">
        <v>74</v>
      </c>
      <c r="P208" t="s">
        <v>74</v>
      </c>
      <c r="Q208" t="s">
        <v>74</v>
      </c>
      <c r="R208" t="s">
        <v>74</v>
      </c>
      <c r="S208" t="s">
        <v>74</v>
      </c>
      <c r="T208" t="s">
        <v>3331</v>
      </c>
      <c r="U208" t="s">
        <v>74</v>
      </c>
      <c r="V208" t="s">
        <v>3332</v>
      </c>
      <c r="W208" t="s">
        <v>3333</v>
      </c>
      <c r="X208" t="s">
        <v>3334</v>
      </c>
      <c r="Y208" t="s">
        <v>3335</v>
      </c>
      <c r="Z208" t="s">
        <v>3336</v>
      </c>
      <c r="AA208" t="s">
        <v>3337</v>
      </c>
      <c r="AB208" t="s">
        <v>3338</v>
      </c>
      <c r="AC208" t="s">
        <v>3339</v>
      </c>
      <c r="AD208" t="s">
        <v>3339</v>
      </c>
      <c r="AE208" t="s">
        <v>3340</v>
      </c>
      <c r="AF208" t="s">
        <v>74</v>
      </c>
      <c r="AG208">
        <v>13</v>
      </c>
      <c r="AH208">
        <v>42</v>
      </c>
      <c r="AI208">
        <v>44</v>
      </c>
      <c r="AJ208">
        <v>0</v>
      </c>
      <c r="AK208">
        <v>4</v>
      </c>
      <c r="AL208" t="s">
        <v>991</v>
      </c>
      <c r="AM208" t="s">
        <v>486</v>
      </c>
      <c r="AN208" t="s">
        <v>992</v>
      </c>
      <c r="AO208" t="s">
        <v>993</v>
      </c>
      <c r="AP208" t="s">
        <v>994</v>
      </c>
      <c r="AQ208" t="s">
        <v>74</v>
      </c>
      <c r="AR208" t="s">
        <v>995</v>
      </c>
      <c r="AS208" t="s">
        <v>996</v>
      </c>
      <c r="AT208" t="s">
        <v>1060</v>
      </c>
      <c r="AU208">
        <v>2022</v>
      </c>
      <c r="AV208">
        <v>41</v>
      </c>
      <c r="AW208">
        <v>6</v>
      </c>
      <c r="AX208" t="s">
        <v>74</v>
      </c>
      <c r="AY208" t="s">
        <v>74</v>
      </c>
      <c r="AZ208" t="s">
        <v>74</v>
      </c>
      <c r="BA208" t="s">
        <v>74</v>
      </c>
      <c r="BB208">
        <v>716</v>
      </c>
      <c r="BC208">
        <v>721</v>
      </c>
      <c r="BD208" t="s">
        <v>74</v>
      </c>
      <c r="BE208" t="s">
        <v>3341</v>
      </c>
      <c r="BF208" t="str">
        <f>HYPERLINK("http://dx.doi.org/10.1016/j.healun.2022.02.002","http://dx.doi.org/10.1016/j.healun.2022.02.002")</f>
        <v>http://dx.doi.org/10.1016/j.healun.2022.02.002</v>
      </c>
      <c r="BG208" t="s">
        <v>74</v>
      </c>
      <c r="BH208" t="s">
        <v>74</v>
      </c>
      <c r="BI208">
        <v>6</v>
      </c>
      <c r="BJ208" t="s">
        <v>1000</v>
      </c>
      <c r="BK208" t="s">
        <v>101</v>
      </c>
      <c r="BL208" t="s">
        <v>1001</v>
      </c>
      <c r="BM208" t="s">
        <v>3342</v>
      </c>
      <c r="BN208">
        <v>35305871</v>
      </c>
      <c r="BO208" t="s">
        <v>470</v>
      </c>
      <c r="BP208" t="s">
        <v>74</v>
      </c>
      <c r="BQ208" t="s">
        <v>74</v>
      </c>
      <c r="BR208" t="s">
        <v>104</v>
      </c>
      <c r="BS208" t="s">
        <v>3343</v>
      </c>
      <c r="BT208" t="str">
        <f>HYPERLINK("https%3A%2F%2Fwww.webofscience.com%2Fwos%2Fwoscc%2Ffull-record%2FWOS:000990983000007","View Full Record in Web of Science")</f>
        <v>View Full Record in Web of Science</v>
      </c>
    </row>
    <row r="209" spans="1:72" x14ac:dyDescent="0.25">
      <c r="A209" t="s">
        <v>72</v>
      </c>
      <c r="B209" t="s">
        <v>3344</v>
      </c>
      <c r="C209" t="s">
        <v>74</v>
      </c>
      <c r="D209" t="s">
        <v>74</v>
      </c>
      <c r="E209" t="s">
        <v>74</v>
      </c>
      <c r="F209" t="s">
        <v>3345</v>
      </c>
      <c r="G209" t="s">
        <v>74</v>
      </c>
      <c r="H209" t="s">
        <v>74</v>
      </c>
      <c r="I209" t="s">
        <v>3346</v>
      </c>
      <c r="J209" t="s">
        <v>216</v>
      </c>
      <c r="K209" t="s">
        <v>74</v>
      </c>
      <c r="L209" t="s">
        <v>74</v>
      </c>
      <c r="M209" t="s">
        <v>78</v>
      </c>
      <c r="N209" t="s">
        <v>460</v>
      </c>
      <c r="O209" t="s">
        <v>74</v>
      </c>
      <c r="P209" t="s">
        <v>74</v>
      </c>
      <c r="Q209" t="s">
        <v>74</v>
      </c>
      <c r="R209" t="s">
        <v>74</v>
      </c>
      <c r="S209" t="s">
        <v>74</v>
      </c>
      <c r="T209" t="s">
        <v>74</v>
      </c>
      <c r="U209" t="s">
        <v>3347</v>
      </c>
      <c r="V209" t="s">
        <v>74</v>
      </c>
      <c r="W209" t="s">
        <v>3348</v>
      </c>
      <c r="X209" t="s">
        <v>3349</v>
      </c>
      <c r="Y209" t="s">
        <v>3350</v>
      </c>
      <c r="Z209" t="s">
        <v>1296</v>
      </c>
      <c r="AA209" t="s">
        <v>3351</v>
      </c>
      <c r="AB209" t="s">
        <v>3352</v>
      </c>
      <c r="AC209" t="s">
        <v>74</v>
      </c>
      <c r="AD209" t="s">
        <v>74</v>
      </c>
      <c r="AE209" t="s">
        <v>74</v>
      </c>
      <c r="AF209" t="s">
        <v>74</v>
      </c>
      <c r="AG209">
        <v>15</v>
      </c>
      <c r="AH209">
        <v>0</v>
      </c>
      <c r="AI209">
        <v>0</v>
      </c>
      <c r="AJ209">
        <v>0</v>
      </c>
      <c r="AK209">
        <v>2</v>
      </c>
      <c r="AL209" t="s">
        <v>219</v>
      </c>
      <c r="AM209" t="s">
        <v>220</v>
      </c>
      <c r="AN209" t="s">
        <v>221</v>
      </c>
      <c r="AO209" t="s">
        <v>222</v>
      </c>
      <c r="AP209" t="s">
        <v>223</v>
      </c>
      <c r="AQ209" t="s">
        <v>74</v>
      </c>
      <c r="AR209" t="s">
        <v>224</v>
      </c>
      <c r="AS209" t="s">
        <v>225</v>
      </c>
      <c r="AT209" t="s">
        <v>933</v>
      </c>
      <c r="AU209">
        <v>2022</v>
      </c>
      <c r="AV209">
        <v>59</v>
      </c>
      <c r="AW209">
        <v>6</v>
      </c>
      <c r="AX209" t="s">
        <v>74</v>
      </c>
      <c r="AY209" t="s">
        <v>74</v>
      </c>
      <c r="AZ209" t="s">
        <v>74</v>
      </c>
      <c r="BA209" t="s">
        <v>74</v>
      </c>
      <c r="BB209" t="s">
        <v>74</v>
      </c>
      <c r="BC209" t="s">
        <v>74</v>
      </c>
      <c r="BD209">
        <v>2200506</v>
      </c>
      <c r="BE209" t="s">
        <v>3353</v>
      </c>
      <c r="BF209" t="str">
        <f>HYPERLINK("http://dx.doi.org/10.1183/13993003.00506-2022","http://dx.doi.org/10.1183/13993003.00506-2022")</f>
        <v>http://dx.doi.org/10.1183/13993003.00506-2022</v>
      </c>
      <c r="BG209" t="s">
        <v>74</v>
      </c>
      <c r="BH209" t="s">
        <v>74</v>
      </c>
      <c r="BI209">
        <v>4</v>
      </c>
      <c r="BJ209" t="s">
        <v>228</v>
      </c>
      <c r="BK209" t="s">
        <v>101</v>
      </c>
      <c r="BL209" t="s">
        <v>228</v>
      </c>
      <c r="BM209" t="s">
        <v>3317</v>
      </c>
      <c r="BN209">
        <v>35595313</v>
      </c>
      <c r="BO209" t="s">
        <v>74</v>
      </c>
      <c r="BP209" t="s">
        <v>74</v>
      </c>
      <c r="BQ209" t="s">
        <v>74</v>
      </c>
      <c r="BR209" t="s">
        <v>104</v>
      </c>
      <c r="BS209" t="s">
        <v>3354</v>
      </c>
      <c r="BT209" t="str">
        <f>HYPERLINK("https%3A%2F%2Fwww.webofscience.com%2Fwos%2Fwoscc%2Ffull-record%2FWOS:000834085100001","View Full Record in Web of Science")</f>
        <v>View Full Record in Web of Science</v>
      </c>
    </row>
    <row r="210" spans="1:72" x14ac:dyDescent="0.25">
      <c r="A210" t="s">
        <v>72</v>
      </c>
      <c r="B210" t="s">
        <v>3355</v>
      </c>
      <c r="C210" t="s">
        <v>74</v>
      </c>
      <c r="D210" t="s">
        <v>74</v>
      </c>
      <c r="E210" t="s">
        <v>74</v>
      </c>
      <c r="F210" t="s">
        <v>3356</v>
      </c>
      <c r="G210" t="s">
        <v>74</v>
      </c>
      <c r="H210" t="s">
        <v>74</v>
      </c>
      <c r="I210" t="s">
        <v>3357</v>
      </c>
      <c r="J210" t="s">
        <v>637</v>
      </c>
      <c r="K210" t="s">
        <v>74</v>
      </c>
      <c r="L210" t="s">
        <v>74</v>
      </c>
      <c r="M210" t="s">
        <v>78</v>
      </c>
      <c r="N210" t="s">
        <v>52</v>
      </c>
      <c r="O210" t="s">
        <v>3358</v>
      </c>
      <c r="P210" t="s">
        <v>3359</v>
      </c>
      <c r="Q210" t="s">
        <v>3360</v>
      </c>
      <c r="R210" t="s">
        <v>2006</v>
      </c>
      <c r="S210" t="s">
        <v>74</v>
      </c>
      <c r="T210" t="s">
        <v>74</v>
      </c>
      <c r="U210" t="s">
        <v>74</v>
      </c>
      <c r="V210" t="s">
        <v>74</v>
      </c>
      <c r="W210" t="s">
        <v>3361</v>
      </c>
      <c r="X210" t="s">
        <v>3362</v>
      </c>
      <c r="Y210" t="s">
        <v>74</v>
      </c>
      <c r="Z210" t="s">
        <v>2009</v>
      </c>
      <c r="AA210" t="s">
        <v>3363</v>
      </c>
      <c r="AB210" t="s">
        <v>74</v>
      </c>
      <c r="AC210" t="s">
        <v>3364</v>
      </c>
      <c r="AD210" t="s">
        <v>3364</v>
      </c>
      <c r="AE210" t="s">
        <v>3365</v>
      </c>
      <c r="AF210" t="s">
        <v>74</v>
      </c>
      <c r="AG210">
        <v>0</v>
      </c>
      <c r="AH210">
        <v>0</v>
      </c>
      <c r="AI210">
        <v>0</v>
      </c>
      <c r="AJ210">
        <v>0</v>
      </c>
      <c r="AK210">
        <v>0</v>
      </c>
      <c r="AL210" t="s">
        <v>649</v>
      </c>
      <c r="AM210" t="s">
        <v>486</v>
      </c>
      <c r="AN210" t="s">
        <v>650</v>
      </c>
      <c r="AO210" t="s">
        <v>651</v>
      </c>
      <c r="AP210" t="s">
        <v>652</v>
      </c>
      <c r="AQ210" t="s">
        <v>74</v>
      </c>
      <c r="AR210" t="s">
        <v>653</v>
      </c>
      <c r="AS210" t="s">
        <v>654</v>
      </c>
      <c r="AT210" t="s">
        <v>960</v>
      </c>
      <c r="AU210">
        <v>2022</v>
      </c>
      <c r="AV210">
        <v>205</v>
      </c>
      <c r="AW210" t="s">
        <v>74</v>
      </c>
      <c r="AX210" t="s">
        <v>74</v>
      </c>
      <c r="AY210" t="s">
        <v>998</v>
      </c>
      <c r="AZ210" t="s">
        <v>74</v>
      </c>
      <c r="BA210" t="s">
        <v>3366</v>
      </c>
      <c r="BB210" t="s">
        <v>74</v>
      </c>
      <c r="BC210" t="s">
        <v>74</v>
      </c>
      <c r="BD210" t="s">
        <v>74</v>
      </c>
      <c r="BE210" t="s">
        <v>74</v>
      </c>
      <c r="BF210" t="s">
        <v>74</v>
      </c>
      <c r="BG210" t="s">
        <v>74</v>
      </c>
      <c r="BH210" t="s">
        <v>74</v>
      </c>
      <c r="BI210">
        <v>1</v>
      </c>
      <c r="BJ210" t="s">
        <v>341</v>
      </c>
      <c r="BK210" t="s">
        <v>512</v>
      </c>
      <c r="BL210" t="s">
        <v>342</v>
      </c>
      <c r="BM210" t="s">
        <v>3367</v>
      </c>
      <c r="BN210" t="s">
        <v>74</v>
      </c>
      <c r="BO210" t="s">
        <v>74</v>
      </c>
      <c r="BP210" t="s">
        <v>74</v>
      </c>
      <c r="BQ210" t="s">
        <v>74</v>
      </c>
      <c r="BR210" t="s">
        <v>104</v>
      </c>
      <c r="BS210" t="s">
        <v>3368</v>
      </c>
      <c r="BT210" t="str">
        <f>HYPERLINK("https%3A%2F%2Fwww.webofscience.com%2Fwos%2Fwoscc%2Ffull-record%2FWOS:000792480400188","View Full Record in Web of Science")</f>
        <v>View Full Record in Web of Science</v>
      </c>
    </row>
    <row r="211" spans="1:72" x14ac:dyDescent="0.25">
      <c r="A211" t="s">
        <v>72</v>
      </c>
      <c r="B211" t="s">
        <v>3369</v>
      </c>
      <c r="C211" t="s">
        <v>74</v>
      </c>
      <c r="D211" t="s">
        <v>74</v>
      </c>
      <c r="E211" t="s">
        <v>74</v>
      </c>
      <c r="F211" t="s">
        <v>3370</v>
      </c>
      <c r="G211" t="s">
        <v>74</v>
      </c>
      <c r="H211" t="s">
        <v>74</v>
      </c>
      <c r="I211" t="s">
        <v>3371</v>
      </c>
      <c r="J211" t="s">
        <v>637</v>
      </c>
      <c r="K211" t="s">
        <v>74</v>
      </c>
      <c r="L211" t="s">
        <v>74</v>
      </c>
      <c r="M211" t="s">
        <v>78</v>
      </c>
      <c r="N211" t="s">
        <v>52</v>
      </c>
      <c r="O211" t="s">
        <v>3358</v>
      </c>
      <c r="P211" t="s">
        <v>3359</v>
      </c>
      <c r="Q211" t="s">
        <v>3360</v>
      </c>
      <c r="R211" t="s">
        <v>2006</v>
      </c>
      <c r="S211" t="s">
        <v>74</v>
      </c>
      <c r="T211" t="s">
        <v>74</v>
      </c>
      <c r="U211" t="s">
        <v>74</v>
      </c>
      <c r="V211" t="s">
        <v>74</v>
      </c>
      <c r="W211" t="s">
        <v>3372</v>
      </c>
      <c r="X211" t="s">
        <v>3373</v>
      </c>
      <c r="Y211" t="s">
        <v>74</v>
      </c>
      <c r="Z211" t="s">
        <v>74</v>
      </c>
      <c r="AA211" t="s">
        <v>3374</v>
      </c>
      <c r="AB211" t="s">
        <v>3375</v>
      </c>
      <c r="AC211" t="s">
        <v>74</v>
      </c>
      <c r="AD211" t="s">
        <v>74</v>
      </c>
      <c r="AE211" t="s">
        <v>74</v>
      </c>
      <c r="AF211" t="s">
        <v>74</v>
      </c>
      <c r="AG211">
        <v>0</v>
      </c>
      <c r="AH211">
        <v>0</v>
      </c>
      <c r="AI211">
        <v>0</v>
      </c>
      <c r="AJ211">
        <v>0</v>
      </c>
      <c r="AK211">
        <v>0</v>
      </c>
      <c r="AL211" t="s">
        <v>649</v>
      </c>
      <c r="AM211" t="s">
        <v>486</v>
      </c>
      <c r="AN211" t="s">
        <v>650</v>
      </c>
      <c r="AO211" t="s">
        <v>651</v>
      </c>
      <c r="AP211" t="s">
        <v>652</v>
      </c>
      <c r="AQ211" t="s">
        <v>74</v>
      </c>
      <c r="AR211" t="s">
        <v>653</v>
      </c>
      <c r="AS211" t="s">
        <v>654</v>
      </c>
      <c r="AT211" t="s">
        <v>960</v>
      </c>
      <c r="AU211">
        <v>2022</v>
      </c>
      <c r="AV211">
        <v>205</v>
      </c>
      <c r="AW211" t="s">
        <v>74</v>
      </c>
      <c r="AX211" t="s">
        <v>74</v>
      </c>
      <c r="AY211" t="s">
        <v>998</v>
      </c>
      <c r="AZ211" t="s">
        <v>74</v>
      </c>
      <c r="BA211" t="s">
        <v>3376</v>
      </c>
      <c r="BB211" t="s">
        <v>74</v>
      </c>
      <c r="BC211" t="s">
        <v>74</v>
      </c>
      <c r="BD211" t="s">
        <v>74</v>
      </c>
      <c r="BE211" t="s">
        <v>74</v>
      </c>
      <c r="BF211" t="s">
        <v>74</v>
      </c>
      <c r="BG211" t="s">
        <v>74</v>
      </c>
      <c r="BH211" t="s">
        <v>74</v>
      </c>
      <c r="BI211">
        <v>1</v>
      </c>
      <c r="BJ211" t="s">
        <v>341</v>
      </c>
      <c r="BK211" t="s">
        <v>512</v>
      </c>
      <c r="BL211" t="s">
        <v>342</v>
      </c>
      <c r="BM211" t="s">
        <v>3367</v>
      </c>
      <c r="BN211" t="s">
        <v>74</v>
      </c>
      <c r="BO211" t="s">
        <v>74</v>
      </c>
      <c r="BP211" t="s">
        <v>74</v>
      </c>
      <c r="BQ211" t="s">
        <v>74</v>
      </c>
      <c r="BR211" t="s">
        <v>104</v>
      </c>
      <c r="BS211" t="s">
        <v>3377</v>
      </c>
      <c r="BT211" t="str">
        <f>HYPERLINK("https%3A%2F%2Fwww.webofscience.com%2Fwos%2Fwoscc%2Ffull-record%2FWOS:000792480401431","View Full Record in Web of Science")</f>
        <v>View Full Record in Web of Science</v>
      </c>
    </row>
    <row r="212" spans="1:72" x14ac:dyDescent="0.25">
      <c r="A212" t="s">
        <v>72</v>
      </c>
      <c r="B212" t="s">
        <v>3378</v>
      </c>
      <c r="C212" t="s">
        <v>74</v>
      </c>
      <c r="D212" t="s">
        <v>74</v>
      </c>
      <c r="E212" t="s">
        <v>74</v>
      </c>
      <c r="F212" t="s">
        <v>3379</v>
      </c>
      <c r="G212" t="s">
        <v>74</v>
      </c>
      <c r="H212" t="s">
        <v>74</v>
      </c>
      <c r="I212" t="s">
        <v>3380</v>
      </c>
      <c r="J212" t="s">
        <v>637</v>
      </c>
      <c r="K212" t="s">
        <v>74</v>
      </c>
      <c r="L212" t="s">
        <v>74</v>
      </c>
      <c r="M212" t="s">
        <v>78</v>
      </c>
      <c r="N212" t="s">
        <v>52</v>
      </c>
      <c r="O212" t="s">
        <v>3358</v>
      </c>
      <c r="P212" t="s">
        <v>3359</v>
      </c>
      <c r="Q212" t="s">
        <v>3360</v>
      </c>
      <c r="R212" t="s">
        <v>2006</v>
      </c>
      <c r="S212" t="s">
        <v>74</v>
      </c>
      <c r="T212" t="s">
        <v>74</v>
      </c>
      <c r="U212" t="s">
        <v>74</v>
      </c>
      <c r="V212" t="s">
        <v>74</v>
      </c>
      <c r="W212" t="s">
        <v>3381</v>
      </c>
      <c r="X212" t="s">
        <v>3382</v>
      </c>
      <c r="Y212" t="s">
        <v>74</v>
      </c>
      <c r="Z212" t="s">
        <v>74</v>
      </c>
      <c r="AA212" t="s">
        <v>3383</v>
      </c>
      <c r="AB212" t="s">
        <v>3384</v>
      </c>
      <c r="AC212" t="s">
        <v>74</v>
      </c>
      <c r="AD212" t="s">
        <v>74</v>
      </c>
      <c r="AE212" t="s">
        <v>74</v>
      </c>
      <c r="AF212" t="s">
        <v>74</v>
      </c>
      <c r="AG212">
        <v>0</v>
      </c>
      <c r="AH212">
        <v>0</v>
      </c>
      <c r="AI212">
        <v>0</v>
      </c>
      <c r="AJ212">
        <v>0</v>
      </c>
      <c r="AK212">
        <v>0</v>
      </c>
      <c r="AL212" t="s">
        <v>649</v>
      </c>
      <c r="AM212" t="s">
        <v>486</v>
      </c>
      <c r="AN212" t="s">
        <v>650</v>
      </c>
      <c r="AO212" t="s">
        <v>651</v>
      </c>
      <c r="AP212" t="s">
        <v>652</v>
      </c>
      <c r="AQ212" t="s">
        <v>74</v>
      </c>
      <c r="AR212" t="s">
        <v>653</v>
      </c>
      <c r="AS212" t="s">
        <v>654</v>
      </c>
      <c r="AT212" t="s">
        <v>960</v>
      </c>
      <c r="AU212">
        <v>2022</v>
      </c>
      <c r="AV212">
        <v>205</v>
      </c>
      <c r="AW212" t="s">
        <v>74</v>
      </c>
      <c r="AX212" t="s">
        <v>74</v>
      </c>
      <c r="AY212" t="s">
        <v>998</v>
      </c>
      <c r="AZ212" t="s">
        <v>74</v>
      </c>
      <c r="BA212" t="s">
        <v>3385</v>
      </c>
      <c r="BB212" t="s">
        <v>74</v>
      </c>
      <c r="BC212" t="s">
        <v>74</v>
      </c>
      <c r="BD212" t="s">
        <v>74</v>
      </c>
      <c r="BE212" t="s">
        <v>74</v>
      </c>
      <c r="BF212" t="s">
        <v>74</v>
      </c>
      <c r="BG212" t="s">
        <v>74</v>
      </c>
      <c r="BH212" t="s">
        <v>74</v>
      </c>
      <c r="BI212">
        <v>1</v>
      </c>
      <c r="BJ212" t="s">
        <v>341</v>
      </c>
      <c r="BK212" t="s">
        <v>512</v>
      </c>
      <c r="BL212" t="s">
        <v>342</v>
      </c>
      <c r="BM212" t="s">
        <v>3367</v>
      </c>
      <c r="BN212" t="s">
        <v>74</v>
      </c>
      <c r="BO212" t="s">
        <v>74</v>
      </c>
      <c r="BP212" t="s">
        <v>74</v>
      </c>
      <c r="BQ212" t="s">
        <v>74</v>
      </c>
      <c r="BR212" t="s">
        <v>104</v>
      </c>
      <c r="BS212" t="s">
        <v>3386</v>
      </c>
      <c r="BT212" t="str">
        <f>HYPERLINK("https%3A%2F%2Fwww.webofscience.com%2Fwos%2Fwoscc%2Ffull-record%2FWOS:000792480402611","View Full Record in Web of Science")</f>
        <v>View Full Record in Web of Science</v>
      </c>
    </row>
    <row r="213" spans="1:72" x14ac:dyDescent="0.25">
      <c r="A213" t="s">
        <v>72</v>
      </c>
      <c r="B213" t="s">
        <v>3387</v>
      </c>
      <c r="C213" t="s">
        <v>74</v>
      </c>
      <c r="D213" t="s">
        <v>74</v>
      </c>
      <c r="E213" t="s">
        <v>74</v>
      </c>
      <c r="F213" t="s">
        <v>3388</v>
      </c>
      <c r="G213" t="s">
        <v>74</v>
      </c>
      <c r="H213" t="s">
        <v>74</v>
      </c>
      <c r="I213" t="s">
        <v>3389</v>
      </c>
      <c r="J213" t="s">
        <v>637</v>
      </c>
      <c r="K213" t="s">
        <v>74</v>
      </c>
      <c r="L213" t="s">
        <v>74</v>
      </c>
      <c r="M213" t="s">
        <v>78</v>
      </c>
      <c r="N213" t="s">
        <v>52</v>
      </c>
      <c r="O213" t="s">
        <v>3358</v>
      </c>
      <c r="P213" t="s">
        <v>3359</v>
      </c>
      <c r="Q213" t="s">
        <v>3360</v>
      </c>
      <c r="R213" t="s">
        <v>2006</v>
      </c>
      <c r="S213" t="s">
        <v>74</v>
      </c>
      <c r="T213" t="s">
        <v>74</v>
      </c>
      <c r="U213" t="s">
        <v>74</v>
      </c>
      <c r="V213" t="s">
        <v>74</v>
      </c>
      <c r="W213" t="s">
        <v>3390</v>
      </c>
      <c r="X213" t="s">
        <v>3391</v>
      </c>
      <c r="Y213" t="s">
        <v>74</v>
      </c>
      <c r="Z213" t="s">
        <v>3392</v>
      </c>
      <c r="AA213" t="s">
        <v>2829</v>
      </c>
      <c r="AB213" t="s">
        <v>1489</v>
      </c>
      <c r="AC213" t="s">
        <v>3393</v>
      </c>
      <c r="AD213" t="s">
        <v>3393</v>
      </c>
      <c r="AE213" t="s">
        <v>3394</v>
      </c>
      <c r="AF213" t="s">
        <v>74</v>
      </c>
      <c r="AG213">
        <v>3</v>
      </c>
      <c r="AH213">
        <v>0</v>
      </c>
      <c r="AI213">
        <v>0</v>
      </c>
      <c r="AJ213">
        <v>0</v>
      </c>
      <c r="AK213">
        <v>0</v>
      </c>
      <c r="AL213" t="s">
        <v>649</v>
      </c>
      <c r="AM213" t="s">
        <v>486</v>
      </c>
      <c r="AN213" t="s">
        <v>650</v>
      </c>
      <c r="AO213" t="s">
        <v>651</v>
      </c>
      <c r="AP213" t="s">
        <v>652</v>
      </c>
      <c r="AQ213" t="s">
        <v>74</v>
      </c>
      <c r="AR213" t="s">
        <v>653</v>
      </c>
      <c r="AS213" t="s">
        <v>654</v>
      </c>
      <c r="AT213" t="s">
        <v>960</v>
      </c>
      <c r="AU213">
        <v>2022</v>
      </c>
      <c r="AV213">
        <v>205</v>
      </c>
      <c r="AW213" t="s">
        <v>74</v>
      </c>
      <c r="AX213" t="s">
        <v>74</v>
      </c>
      <c r="AY213" t="s">
        <v>998</v>
      </c>
      <c r="AZ213" t="s">
        <v>74</v>
      </c>
      <c r="BA213" t="s">
        <v>3395</v>
      </c>
      <c r="BB213" t="s">
        <v>74</v>
      </c>
      <c r="BC213" t="s">
        <v>74</v>
      </c>
      <c r="BD213" t="s">
        <v>74</v>
      </c>
      <c r="BE213" t="s">
        <v>74</v>
      </c>
      <c r="BF213" t="s">
        <v>74</v>
      </c>
      <c r="BG213" t="s">
        <v>74</v>
      </c>
      <c r="BH213" t="s">
        <v>74</v>
      </c>
      <c r="BI213">
        <v>2</v>
      </c>
      <c r="BJ213" t="s">
        <v>341</v>
      </c>
      <c r="BK213" t="s">
        <v>512</v>
      </c>
      <c r="BL213" t="s">
        <v>342</v>
      </c>
      <c r="BM213" t="s">
        <v>3367</v>
      </c>
      <c r="BN213" t="s">
        <v>74</v>
      </c>
      <c r="BO213" t="s">
        <v>74</v>
      </c>
      <c r="BP213" t="s">
        <v>74</v>
      </c>
      <c r="BQ213" t="s">
        <v>74</v>
      </c>
      <c r="BR213" t="s">
        <v>104</v>
      </c>
      <c r="BS213" t="s">
        <v>3396</v>
      </c>
      <c r="BT213" t="str">
        <f>HYPERLINK("https%3A%2F%2Fwww.webofscience.com%2Fwos%2Fwoscc%2Ffull-record%2FWOS:000792480403465","View Full Record in Web of Science")</f>
        <v>View Full Record in Web of Science</v>
      </c>
    </row>
    <row r="214" spans="1:72" x14ac:dyDescent="0.25">
      <c r="A214" t="s">
        <v>72</v>
      </c>
      <c r="B214" t="s">
        <v>3397</v>
      </c>
      <c r="C214" t="s">
        <v>74</v>
      </c>
      <c r="D214" t="s">
        <v>74</v>
      </c>
      <c r="E214" t="s">
        <v>74</v>
      </c>
      <c r="F214" t="s">
        <v>3398</v>
      </c>
      <c r="G214" t="s">
        <v>74</v>
      </c>
      <c r="H214" t="s">
        <v>74</v>
      </c>
      <c r="I214" t="s">
        <v>3399</v>
      </c>
      <c r="J214" t="s">
        <v>637</v>
      </c>
      <c r="K214" t="s">
        <v>74</v>
      </c>
      <c r="L214" t="s">
        <v>74</v>
      </c>
      <c r="M214" t="s">
        <v>78</v>
      </c>
      <c r="N214" t="s">
        <v>52</v>
      </c>
      <c r="O214" t="s">
        <v>3358</v>
      </c>
      <c r="P214" t="s">
        <v>3359</v>
      </c>
      <c r="Q214" t="s">
        <v>3360</v>
      </c>
      <c r="R214" t="s">
        <v>2006</v>
      </c>
      <c r="S214" t="s">
        <v>74</v>
      </c>
      <c r="T214" t="s">
        <v>74</v>
      </c>
      <c r="U214" t="s">
        <v>74</v>
      </c>
      <c r="V214" t="s">
        <v>74</v>
      </c>
      <c r="W214" t="s">
        <v>3400</v>
      </c>
      <c r="X214" t="s">
        <v>3401</v>
      </c>
      <c r="Y214" t="s">
        <v>74</v>
      </c>
      <c r="Z214" t="s">
        <v>3402</v>
      </c>
      <c r="AA214" t="s">
        <v>3403</v>
      </c>
      <c r="AB214" t="s">
        <v>1489</v>
      </c>
      <c r="AC214" t="s">
        <v>3404</v>
      </c>
      <c r="AD214" t="s">
        <v>3404</v>
      </c>
      <c r="AE214" t="s">
        <v>3405</v>
      </c>
      <c r="AF214" t="s">
        <v>74</v>
      </c>
      <c r="AG214">
        <v>0</v>
      </c>
      <c r="AH214">
        <v>1</v>
      </c>
      <c r="AI214">
        <v>1</v>
      </c>
      <c r="AJ214">
        <v>0</v>
      </c>
      <c r="AK214">
        <v>1</v>
      </c>
      <c r="AL214" t="s">
        <v>649</v>
      </c>
      <c r="AM214" t="s">
        <v>486</v>
      </c>
      <c r="AN214" t="s">
        <v>650</v>
      </c>
      <c r="AO214" t="s">
        <v>651</v>
      </c>
      <c r="AP214" t="s">
        <v>652</v>
      </c>
      <c r="AQ214" t="s">
        <v>74</v>
      </c>
      <c r="AR214" t="s">
        <v>653</v>
      </c>
      <c r="AS214" t="s">
        <v>654</v>
      </c>
      <c r="AT214" t="s">
        <v>960</v>
      </c>
      <c r="AU214">
        <v>2022</v>
      </c>
      <c r="AV214">
        <v>205</v>
      </c>
      <c r="AW214" t="s">
        <v>74</v>
      </c>
      <c r="AX214" t="s">
        <v>74</v>
      </c>
      <c r="AY214" t="s">
        <v>998</v>
      </c>
      <c r="AZ214" t="s">
        <v>74</v>
      </c>
      <c r="BA214" t="s">
        <v>3406</v>
      </c>
      <c r="BB214" t="s">
        <v>74</v>
      </c>
      <c r="BC214" t="s">
        <v>74</v>
      </c>
      <c r="BD214" t="s">
        <v>74</v>
      </c>
      <c r="BE214" t="s">
        <v>74</v>
      </c>
      <c r="BF214" t="s">
        <v>74</v>
      </c>
      <c r="BG214" t="s">
        <v>74</v>
      </c>
      <c r="BH214" t="s">
        <v>74</v>
      </c>
      <c r="BI214">
        <v>2</v>
      </c>
      <c r="BJ214" t="s">
        <v>341</v>
      </c>
      <c r="BK214" t="s">
        <v>512</v>
      </c>
      <c r="BL214" t="s">
        <v>342</v>
      </c>
      <c r="BM214" t="s">
        <v>3367</v>
      </c>
      <c r="BN214" t="s">
        <v>74</v>
      </c>
      <c r="BO214" t="s">
        <v>74</v>
      </c>
      <c r="BP214" t="s">
        <v>74</v>
      </c>
      <c r="BQ214" t="s">
        <v>74</v>
      </c>
      <c r="BR214" t="s">
        <v>104</v>
      </c>
      <c r="BS214" t="s">
        <v>3407</v>
      </c>
      <c r="BT214" t="str">
        <f>HYPERLINK("https%3A%2F%2Fwww.webofscience.com%2Fwos%2Fwoscc%2Ffull-record%2FWOS:000792480401427","View Full Record in Web of Science")</f>
        <v>View Full Record in Web of Science</v>
      </c>
    </row>
    <row r="215" spans="1:72" x14ac:dyDescent="0.25">
      <c r="A215" t="s">
        <v>72</v>
      </c>
      <c r="B215" t="s">
        <v>3408</v>
      </c>
      <c r="C215" t="s">
        <v>74</v>
      </c>
      <c r="D215" t="s">
        <v>74</v>
      </c>
      <c r="E215" t="s">
        <v>74</v>
      </c>
      <c r="F215" t="s">
        <v>3409</v>
      </c>
      <c r="G215" t="s">
        <v>74</v>
      </c>
      <c r="H215" t="s">
        <v>74</v>
      </c>
      <c r="I215" t="s">
        <v>3410</v>
      </c>
      <c r="J215" t="s">
        <v>833</v>
      </c>
      <c r="K215" t="s">
        <v>74</v>
      </c>
      <c r="L215" t="s">
        <v>74</v>
      </c>
      <c r="M215" t="s">
        <v>78</v>
      </c>
      <c r="N215" t="s">
        <v>79</v>
      </c>
      <c r="O215" t="s">
        <v>74</v>
      </c>
      <c r="P215" t="s">
        <v>74</v>
      </c>
      <c r="Q215" t="s">
        <v>74</v>
      </c>
      <c r="R215" t="s">
        <v>74</v>
      </c>
      <c r="S215" t="s">
        <v>74</v>
      </c>
      <c r="T215" t="s">
        <v>3411</v>
      </c>
      <c r="U215" t="s">
        <v>3412</v>
      </c>
      <c r="V215" t="s">
        <v>3413</v>
      </c>
      <c r="W215" t="s">
        <v>3414</v>
      </c>
      <c r="X215" t="s">
        <v>3415</v>
      </c>
      <c r="Y215" t="s">
        <v>441</v>
      </c>
      <c r="Z215" t="s">
        <v>3416</v>
      </c>
      <c r="AA215" t="s">
        <v>3417</v>
      </c>
      <c r="AB215" t="s">
        <v>3418</v>
      </c>
      <c r="AC215" t="s">
        <v>3419</v>
      </c>
      <c r="AD215" t="s">
        <v>3420</v>
      </c>
      <c r="AE215" t="s">
        <v>3421</v>
      </c>
      <c r="AF215" t="s">
        <v>74</v>
      </c>
      <c r="AG215">
        <v>58</v>
      </c>
      <c r="AH215">
        <v>14</v>
      </c>
      <c r="AI215">
        <v>14</v>
      </c>
      <c r="AJ215">
        <v>0</v>
      </c>
      <c r="AK215">
        <v>11</v>
      </c>
      <c r="AL215" t="s">
        <v>649</v>
      </c>
      <c r="AM215" t="s">
        <v>486</v>
      </c>
      <c r="AN215" t="s">
        <v>650</v>
      </c>
      <c r="AO215" t="s">
        <v>844</v>
      </c>
      <c r="AP215" t="s">
        <v>845</v>
      </c>
      <c r="AQ215" t="s">
        <v>74</v>
      </c>
      <c r="AR215" t="s">
        <v>846</v>
      </c>
      <c r="AS215" t="s">
        <v>847</v>
      </c>
      <c r="AT215" t="s">
        <v>2097</v>
      </c>
      <c r="AU215">
        <v>2022</v>
      </c>
      <c r="AV215">
        <v>66</v>
      </c>
      <c r="AW215">
        <v>5</v>
      </c>
      <c r="AX215" t="s">
        <v>74</v>
      </c>
      <c r="AY215" t="s">
        <v>74</v>
      </c>
      <c r="AZ215" t="s">
        <v>74</v>
      </c>
      <c r="BA215" t="s">
        <v>74</v>
      </c>
      <c r="BB215">
        <v>539</v>
      </c>
      <c r="BC215">
        <v>554</v>
      </c>
      <c r="BD215" t="s">
        <v>74</v>
      </c>
      <c r="BE215" t="s">
        <v>3422</v>
      </c>
      <c r="BF215" t="str">
        <f>HYPERLINK("http://dx.doi.org/10.1165/rcmb.2021-0180OC","http://dx.doi.org/10.1165/rcmb.2021-0180OC")</f>
        <v>http://dx.doi.org/10.1165/rcmb.2021-0180OC</v>
      </c>
      <c r="BG215" t="s">
        <v>74</v>
      </c>
      <c r="BH215" t="s">
        <v>74</v>
      </c>
      <c r="BI215">
        <v>16</v>
      </c>
      <c r="BJ215" t="s">
        <v>849</v>
      </c>
      <c r="BK215" t="s">
        <v>101</v>
      </c>
      <c r="BL215" t="s">
        <v>849</v>
      </c>
      <c r="BM215" t="s">
        <v>3423</v>
      </c>
      <c r="BN215">
        <v>35175177</v>
      </c>
      <c r="BO215" t="s">
        <v>612</v>
      </c>
      <c r="BP215" t="s">
        <v>74</v>
      </c>
      <c r="BQ215" t="s">
        <v>74</v>
      </c>
      <c r="BR215" t="s">
        <v>104</v>
      </c>
      <c r="BS215" t="s">
        <v>3424</v>
      </c>
      <c r="BT215" t="str">
        <f>HYPERLINK("https%3A%2F%2Fwww.webofscience.com%2Fwos%2Fwoscc%2Ffull-record%2FWOS:000790563500012","View Full Record in Web of Science")</f>
        <v>View Full Record in Web of Science</v>
      </c>
    </row>
    <row r="216" spans="1:72" x14ac:dyDescent="0.25">
      <c r="A216" t="s">
        <v>72</v>
      </c>
      <c r="B216" t="s">
        <v>3425</v>
      </c>
      <c r="C216" t="s">
        <v>74</v>
      </c>
      <c r="D216" t="s">
        <v>74</v>
      </c>
      <c r="E216" t="s">
        <v>74</v>
      </c>
      <c r="F216" t="s">
        <v>3426</v>
      </c>
      <c r="G216" t="s">
        <v>74</v>
      </c>
      <c r="H216" t="s">
        <v>74</v>
      </c>
      <c r="I216" t="s">
        <v>3427</v>
      </c>
      <c r="J216" t="s">
        <v>637</v>
      </c>
      <c r="K216" t="s">
        <v>74</v>
      </c>
      <c r="L216" t="s">
        <v>74</v>
      </c>
      <c r="M216" t="s">
        <v>78</v>
      </c>
      <c r="N216" t="s">
        <v>52</v>
      </c>
      <c r="O216" t="s">
        <v>3358</v>
      </c>
      <c r="P216" t="s">
        <v>3359</v>
      </c>
      <c r="Q216" t="s">
        <v>3360</v>
      </c>
      <c r="R216" t="s">
        <v>2006</v>
      </c>
      <c r="S216" t="s">
        <v>74</v>
      </c>
      <c r="T216" t="s">
        <v>74</v>
      </c>
      <c r="U216" t="s">
        <v>74</v>
      </c>
      <c r="V216" t="s">
        <v>74</v>
      </c>
      <c r="W216" t="s">
        <v>3428</v>
      </c>
      <c r="X216" t="s">
        <v>3429</v>
      </c>
      <c r="Y216" t="s">
        <v>74</v>
      </c>
      <c r="Z216" t="s">
        <v>74</v>
      </c>
      <c r="AA216" t="s">
        <v>144</v>
      </c>
      <c r="AB216" t="s">
        <v>74</v>
      </c>
      <c r="AC216" t="s">
        <v>3430</v>
      </c>
      <c r="AD216" t="s">
        <v>3430</v>
      </c>
      <c r="AE216" t="s">
        <v>3431</v>
      </c>
      <c r="AF216" t="s">
        <v>74</v>
      </c>
      <c r="AG216">
        <v>0</v>
      </c>
      <c r="AH216">
        <v>0</v>
      </c>
      <c r="AI216">
        <v>0</v>
      </c>
      <c r="AJ216">
        <v>0</v>
      </c>
      <c r="AK216">
        <v>0</v>
      </c>
      <c r="AL216" t="s">
        <v>649</v>
      </c>
      <c r="AM216" t="s">
        <v>486</v>
      </c>
      <c r="AN216" t="s">
        <v>650</v>
      </c>
      <c r="AO216" t="s">
        <v>651</v>
      </c>
      <c r="AP216" t="s">
        <v>652</v>
      </c>
      <c r="AQ216" t="s">
        <v>74</v>
      </c>
      <c r="AR216" t="s">
        <v>653</v>
      </c>
      <c r="AS216" t="s">
        <v>654</v>
      </c>
      <c r="AT216" t="s">
        <v>960</v>
      </c>
      <c r="AU216">
        <v>2022</v>
      </c>
      <c r="AV216">
        <v>205</v>
      </c>
      <c r="AW216" t="s">
        <v>74</v>
      </c>
      <c r="AX216" t="s">
        <v>74</v>
      </c>
      <c r="AY216" t="s">
        <v>998</v>
      </c>
      <c r="AZ216" t="s">
        <v>74</v>
      </c>
      <c r="BA216" t="s">
        <v>3432</v>
      </c>
      <c r="BB216" t="s">
        <v>74</v>
      </c>
      <c r="BC216" t="s">
        <v>74</v>
      </c>
      <c r="BD216" t="s">
        <v>74</v>
      </c>
      <c r="BE216" t="s">
        <v>74</v>
      </c>
      <c r="BF216" t="s">
        <v>74</v>
      </c>
      <c r="BG216" t="s">
        <v>74</v>
      </c>
      <c r="BH216" t="s">
        <v>74</v>
      </c>
      <c r="BI216">
        <v>1</v>
      </c>
      <c r="BJ216" t="s">
        <v>341</v>
      </c>
      <c r="BK216" t="s">
        <v>512</v>
      </c>
      <c r="BL216" t="s">
        <v>342</v>
      </c>
      <c r="BM216" t="s">
        <v>3367</v>
      </c>
      <c r="BN216" t="s">
        <v>74</v>
      </c>
      <c r="BO216" t="s">
        <v>74</v>
      </c>
      <c r="BP216" t="s">
        <v>74</v>
      </c>
      <c r="BQ216" t="s">
        <v>74</v>
      </c>
      <c r="BR216" t="s">
        <v>104</v>
      </c>
      <c r="BS216" t="s">
        <v>3433</v>
      </c>
      <c r="BT216" t="str">
        <f>HYPERLINK("https%3A%2F%2Fwww.webofscience.com%2Fwos%2Fwoscc%2Ffull-record%2FWOS:000792480403462","View Full Record in Web of Science")</f>
        <v>View Full Record in Web of Science</v>
      </c>
    </row>
    <row r="217" spans="1:72" x14ac:dyDescent="0.25">
      <c r="A217" t="s">
        <v>72</v>
      </c>
      <c r="B217" t="s">
        <v>3434</v>
      </c>
      <c r="C217" t="s">
        <v>74</v>
      </c>
      <c r="D217" t="s">
        <v>74</v>
      </c>
      <c r="E217" t="s">
        <v>74</v>
      </c>
      <c r="F217" t="s">
        <v>3435</v>
      </c>
      <c r="G217" t="s">
        <v>74</v>
      </c>
      <c r="H217" t="s">
        <v>3436</v>
      </c>
      <c r="I217" t="s">
        <v>3437</v>
      </c>
      <c r="J217" t="s">
        <v>637</v>
      </c>
      <c r="K217" t="s">
        <v>74</v>
      </c>
      <c r="L217" t="s">
        <v>74</v>
      </c>
      <c r="M217" t="s">
        <v>78</v>
      </c>
      <c r="N217" t="s">
        <v>79</v>
      </c>
      <c r="O217" t="s">
        <v>74</v>
      </c>
      <c r="P217" t="s">
        <v>74</v>
      </c>
      <c r="Q217" t="s">
        <v>74</v>
      </c>
      <c r="R217" t="s">
        <v>74</v>
      </c>
      <c r="S217" t="s">
        <v>74</v>
      </c>
      <c r="T217" t="s">
        <v>3438</v>
      </c>
      <c r="U217" t="s">
        <v>3439</v>
      </c>
      <c r="V217" t="s">
        <v>3440</v>
      </c>
      <c r="W217" t="s">
        <v>3441</v>
      </c>
      <c r="X217" t="s">
        <v>3442</v>
      </c>
      <c r="Y217" t="s">
        <v>3281</v>
      </c>
      <c r="Z217" t="s">
        <v>3282</v>
      </c>
      <c r="AA217" t="s">
        <v>3443</v>
      </c>
      <c r="AB217" t="s">
        <v>3444</v>
      </c>
      <c r="AC217" t="s">
        <v>3445</v>
      </c>
      <c r="AD217" t="s">
        <v>3446</v>
      </c>
      <c r="AE217" t="s">
        <v>3447</v>
      </c>
      <c r="AF217" t="s">
        <v>74</v>
      </c>
      <c r="AG217">
        <v>48</v>
      </c>
      <c r="AH217">
        <v>43</v>
      </c>
      <c r="AI217">
        <v>43</v>
      </c>
      <c r="AJ217">
        <v>1</v>
      </c>
      <c r="AK217">
        <v>10</v>
      </c>
      <c r="AL217" t="s">
        <v>649</v>
      </c>
      <c r="AM217" t="s">
        <v>486</v>
      </c>
      <c r="AN217" t="s">
        <v>650</v>
      </c>
      <c r="AO217" t="s">
        <v>651</v>
      </c>
      <c r="AP217" t="s">
        <v>652</v>
      </c>
      <c r="AQ217" t="s">
        <v>74</v>
      </c>
      <c r="AR217" t="s">
        <v>653</v>
      </c>
      <c r="AS217" t="s">
        <v>654</v>
      </c>
      <c r="AT217" t="s">
        <v>960</v>
      </c>
      <c r="AU217">
        <v>2022</v>
      </c>
      <c r="AV217">
        <v>205</v>
      </c>
      <c r="AW217">
        <v>9</v>
      </c>
      <c r="AX217" t="s">
        <v>74</v>
      </c>
      <c r="AY217" t="s">
        <v>74</v>
      </c>
      <c r="AZ217" t="s">
        <v>74</v>
      </c>
      <c r="BA217" t="s">
        <v>74</v>
      </c>
      <c r="BB217">
        <v>1102</v>
      </c>
      <c r="BC217">
        <v>1111</v>
      </c>
      <c r="BD217" t="s">
        <v>74</v>
      </c>
      <c r="BE217" t="s">
        <v>3448</v>
      </c>
      <c r="BF217" t="str">
        <f>HYPERLINK("http://dx.doi.org/10.1164/rccm.202105-1118OC","http://dx.doi.org/10.1164/rccm.202105-1118OC")</f>
        <v>http://dx.doi.org/10.1164/rccm.202105-1118OC</v>
      </c>
      <c r="BG217" t="s">
        <v>74</v>
      </c>
      <c r="BH217" t="s">
        <v>74</v>
      </c>
      <c r="BI217">
        <v>10</v>
      </c>
      <c r="BJ217" t="s">
        <v>341</v>
      </c>
      <c r="BK217" t="s">
        <v>101</v>
      </c>
      <c r="BL217" t="s">
        <v>342</v>
      </c>
      <c r="BM217" t="s">
        <v>3449</v>
      </c>
      <c r="BN217">
        <v>35081018</v>
      </c>
      <c r="BO217" t="s">
        <v>103</v>
      </c>
      <c r="BP217" t="s">
        <v>74</v>
      </c>
      <c r="BQ217" t="s">
        <v>74</v>
      </c>
      <c r="BR217" t="s">
        <v>104</v>
      </c>
      <c r="BS217" t="s">
        <v>3450</v>
      </c>
      <c r="BT217" t="str">
        <f>HYPERLINK("https%3A%2F%2Fwww.webofscience.com%2Fwos%2Fwoscc%2Ffull-record%2FWOS:000790561700020","View Full Record in Web of Science")</f>
        <v>View Full Record in Web of Science</v>
      </c>
    </row>
    <row r="218" spans="1:72" x14ac:dyDescent="0.25">
      <c r="A218" t="s">
        <v>72</v>
      </c>
      <c r="B218" t="s">
        <v>3451</v>
      </c>
      <c r="C218" t="s">
        <v>74</v>
      </c>
      <c r="D218" t="s">
        <v>74</v>
      </c>
      <c r="E218" t="s">
        <v>74</v>
      </c>
      <c r="F218" t="s">
        <v>3452</v>
      </c>
      <c r="G218" t="s">
        <v>74</v>
      </c>
      <c r="H218" t="s">
        <v>74</v>
      </c>
      <c r="I218" t="s">
        <v>3453</v>
      </c>
      <c r="J218" t="s">
        <v>1068</v>
      </c>
      <c r="K218" t="s">
        <v>74</v>
      </c>
      <c r="L218" t="s">
        <v>74</v>
      </c>
      <c r="M218" t="s">
        <v>78</v>
      </c>
      <c r="N218" t="s">
        <v>140</v>
      </c>
      <c r="O218" t="s">
        <v>74</v>
      </c>
      <c r="P218" t="s">
        <v>74</v>
      </c>
      <c r="Q218" t="s">
        <v>74</v>
      </c>
      <c r="R218" t="s">
        <v>74</v>
      </c>
      <c r="S218" t="s">
        <v>74</v>
      </c>
      <c r="T218" t="s">
        <v>74</v>
      </c>
      <c r="U218" t="s">
        <v>2837</v>
      </c>
      <c r="V218" t="s">
        <v>74</v>
      </c>
      <c r="W218" t="s">
        <v>3454</v>
      </c>
      <c r="X218" t="s">
        <v>3455</v>
      </c>
      <c r="Y218" t="s">
        <v>3456</v>
      </c>
      <c r="Z218" t="s">
        <v>377</v>
      </c>
      <c r="AA218" t="s">
        <v>144</v>
      </c>
      <c r="AB218" t="s">
        <v>257</v>
      </c>
      <c r="AC218" t="s">
        <v>3457</v>
      </c>
      <c r="AD218" t="s">
        <v>3458</v>
      </c>
      <c r="AE218" t="s">
        <v>3459</v>
      </c>
      <c r="AF218" t="s">
        <v>74</v>
      </c>
      <c r="AG218">
        <v>12</v>
      </c>
      <c r="AH218">
        <v>3</v>
      </c>
      <c r="AI218">
        <v>3</v>
      </c>
      <c r="AJ218">
        <v>0</v>
      </c>
      <c r="AK218">
        <v>1</v>
      </c>
      <c r="AL218" t="s">
        <v>1073</v>
      </c>
      <c r="AM218" t="s">
        <v>1074</v>
      </c>
      <c r="AN218" t="s">
        <v>1075</v>
      </c>
      <c r="AO218" t="s">
        <v>1076</v>
      </c>
      <c r="AP218" t="s">
        <v>1077</v>
      </c>
      <c r="AQ218" t="s">
        <v>74</v>
      </c>
      <c r="AR218" t="s">
        <v>1078</v>
      </c>
      <c r="AS218" t="s">
        <v>1079</v>
      </c>
      <c r="AT218" t="s">
        <v>3460</v>
      </c>
      <c r="AU218">
        <v>2022</v>
      </c>
      <c r="AV218">
        <v>43</v>
      </c>
      <c r="AW218">
        <v>23</v>
      </c>
      <c r="AX218" t="s">
        <v>74</v>
      </c>
      <c r="AY218" t="s">
        <v>74</v>
      </c>
      <c r="AZ218" t="s">
        <v>1080</v>
      </c>
      <c r="BA218" t="s">
        <v>74</v>
      </c>
      <c r="BB218">
        <v>2209</v>
      </c>
      <c r="BC218">
        <v>2211</v>
      </c>
      <c r="BD218" t="s">
        <v>74</v>
      </c>
      <c r="BE218" t="s">
        <v>3461</v>
      </c>
      <c r="BF218" t="str">
        <f>HYPERLINK("http://dx.doi.org/10.1093/eurheartj/ehac201","http://dx.doi.org/10.1093/eurheartj/ehac201")</f>
        <v>http://dx.doi.org/10.1093/eurheartj/ehac201</v>
      </c>
      <c r="BG218" t="s">
        <v>74</v>
      </c>
      <c r="BH218" t="s">
        <v>3462</v>
      </c>
      <c r="BI218">
        <v>3</v>
      </c>
      <c r="BJ218" t="s">
        <v>132</v>
      </c>
      <c r="BK218" t="s">
        <v>101</v>
      </c>
      <c r="BL218" t="s">
        <v>133</v>
      </c>
      <c r="BM218" t="s">
        <v>3463</v>
      </c>
      <c r="BN218">
        <v>35466998</v>
      </c>
      <c r="BO218" t="s">
        <v>74</v>
      </c>
      <c r="BP218" t="s">
        <v>74</v>
      </c>
      <c r="BQ218" t="s">
        <v>74</v>
      </c>
      <c r="BR218" t="s">
        <v>104</v>
      </c>
      <c r="BS218" t="s">
        <v>3464</v>
      </c>
      <c r="BT218" t="str">
        <f>HYPERLINK("https%3A%2F%2Fwww.webofscience.com%2Fwos%2Fwoscc%2Ffull-record%2FWOS:000786587500001","View Full Record in Web of Science")</f>
        <v>View Full Record in Web of Science</v>
      </c>
    </row>
    <row r="219" spans="1:72" x14ac:dyDescent="0.25">
      <c r="A219" t="s">
        <v>72</v>
      </c>
      <c r="B219" t="s">
        <v>3465</v>
      </c>
      <c r="C219" t="s">
        <v>74</v>
      </c>
      <c r="D219" t="s">
        <v>74</v>
      </c>
      <c r="E219" t="s">
        <v>74</v>
      </c>
      <c r="F219" t="s">
        <v>3466</v>
      </c>
      <c r="G219" t="s">
        <v>74</v>
      </c>
      <c r="H219" t="s">
        <v>74</v>
      </c>
      <c r="I219" t="s">
        <v>3467</v>
      </c>
      <c r="J219" t="s">
        <v>749</v>
      </c>
      <c r="K219" t="s">
        <v>74</v>
      </c>
      <c r="L219" t="s">
        <v>74</v>
      </c>
      <c r="M219" t="s">
        <v>78</v>
      </c>
      <c r="N219" t="s">
        <v>79</v>
      </c>
      <c r="O219" t="s">
        <v>74</v>
      </c>
      <c r="P219" t="s">
        <v>74</v>
      </c>
      <c r="Q219" t="s">
        <v>74</v>
      </c>
      <c r="R219" t="s">
        <v>74</v>
      </c>
      <c r="S219" t="s">
        <v>74</v>
      </c>
      <c r="T219" t="s">
        <v>3468</v>
      </c>
      <c r="U219" t="s">
        <v>3469</v>
      </c>
      <c r="V219" t="s">
        <v>3470</v>
      </c>
      <c r="W219" t="s">
        <v>3471</v>
      </c>
      <c r="X219" t="s">
        <v>3472</v>
      </c>
      <c r="Y219" t="s">
        <v>3473</v>
      </c>
      <c r="Z219" t="s">
        <v>3474</v>
      </c>
      <c r="AA219" t="s">
        <v>3475</v>
      </c>
      <c r="AB219" t="s">
        <v>3476</v>
      </c>
      <c r="AC219" t="s">
        <v>3477</v>
      </c>
      <c r="AD219" t="s">
        <v>3478</v>
      </c>
      <c r="AE219" t="s">
        <v>3479</v>
      </c>
      <c r="AF219" t="s">
        <v>74</v>
      </c>
      <c r="AG219">
        <v>49</v>
      </c>
      <c r="AH219">
        <v>6</v>
      </c>
      <c r="AI219">
        <v>6</v>
      </c>
      <c r="AJ219">
        <v>1</v>
      </c>
      <c r="AK219">
        <v>5</v>
      </c>
      <c r="AL219" t="s">
        <v>169</v>
      </c>
      <c r="AM219" t="s">
        <v>170</v>
      </c>
      <c r="AN219" t="s">
        <v>171</v>
      </c>
      <c r="AO219" t="s">
        <v>74</v>
      </c>
      <c r="AP219" t="s">
        <v>762</v>
      </c>
      <c r="AQ219" t="s">
        <v>74</v>
      </c>
      <c r="AR219" t="s">
        <v>763</v>
      </c>
      <c r="AS219" t="s">
        <v>764</v>
      </c>
      <c r="AT219" t="s">
        <v>3480</v>
      </c>
      <c r="AU219">
        <v>2022</v>
      </c>
      <c r="AV219">
        <v>11</v>
      </c>
      <c r="AW219">
        <v>7</v>
      </c>
      <c r="AX219" t="s">
        <v>74</v>
      </c>
      <c r="AY219" t="s">
        <v>74</v>
      </c>
      <c r="AZ219" t="s">
        <v>74</v>
      </c>
      <c r="BA219" t="s">
        <v>74</v>
      </c>
      <c r="BB219" t="s">
        <v>74</v>
      </c>
      <c r="BC219" t="s">
        <v>74</v>
      </c>
      <c r="BD219" t="s">
        <v>3481</v>
      </c>
      <c r="BE219" t="s">
        <v>3482</v>
      </c>
      <c r="BF219" t="str">
        <f>HYPERLINK("http://dx.doi.org/10.1161/JAHA.121.023021","http://dx.doi.org/10.1161/JAHA.121.023021")</f>
        <v>http://dx.doi.org/10.1161/JAHA.121.023021</v>
      </c>
      <c r="BG219" t="s">
        <v>74</v>
      </c>
      <c r="BH219" t="s">
        <v>74</v>
      </c>
      <c r="BI219">
        <v>37</v>
      </c>
      <c r="BJ219" t="s">
        <v>132</v>
      </c>
      <c r="BK219" t="s">
        <v>101</v>
      </c>
      <c r="BL219" t="s">
        <v>133</v>
      </c>
      <c r="BM219" t="s">
        <v>3483</v>
      </c>
      <c r="BN219">
        <v>35348002</v>
      </c>
      <c r="BO219" t="s">
        <v>809</v>
      </c>
      <c r="BP219" t="s">
        <v>74</v>
      </c>
      <c r="BQ219" t="s">
        <v>74</v>
      </c>
      <c r="BR219" t="s">
        <v>104</v>
      </c>
      <c r="BS219" t="s">
        <v>3484</v>
      </c>
      <c r="BT219" t="str">
        <f>HYPERLINK("https%3A%2F%2Fwww.webofscience.com%2Fwos%2Fwoscc%2Ffull-record%2FWOS:000778262600056","View Full Record in Web of Science")</f>
        <v>View Full Record in Web of Science</v>
      </c>
    </row>
    <row r="220" spans="1:72" x14ac:dyDescent="0.25">
      <c r="A220" t="s">
        <v>72</v>
      </c>
      <c r="B220" t="s">
        <v>3485</v>
      </c>
      <c r="C220" t="s">
        <v>74</v>
      </c>
      <c r="D220" t="s">
        <v>74</v>
      </c>
      <c r="E220" t="s">
        <v>74</v>
      </c>
      <c r="F220" t="s">
        <v>3486</v>
      </c>
      <c r="G220" t="s">
        <v>74</v>
      </c>
      <c r="H220" t="s">
        <v>74</v>
      </c>
      <c r="I220" t="s">
        <v>3487</v>
      </c>
      <c r="J220" t="s">
        <v>793</v>
      </c>
      <c r="K220" t="s">
        <v>74</v>
      </c>
      <c r="L220" t="s">
        <v>74</v>
      </c>
      <c r="M220" t="s">
        <v>78</v>
      </c>
      <c r="N220" t="s">
        <v>79</v>
      </c>
      <c r="O220" t="s">
        <v>74</v>
      </c>
      <c r="P220" t="s">
        <v>74</v>
      </c>
      <c r="Q220" t="s">
        <v>74</v>
      </c>
      <c r="R220" t="s">
        <v>74</v>
      </c>
      <c r="S220" t="s">
        <v>74</v>
      </c>
      <c r="T220" t="s">
        <v>74</v>
      </c>
      <c r="U220" t="s">
        <v>3488</v>
      </c>
      <c r="V220" t="s">
        <v>3489</v>
      </c>
      <c r="W220" t="s">
        <v>3490</v>
      </c>
      <c r="X220" t="s">
        <v>3491</v>
      </c>
      <c r="Y220" t="s">
        <v>3492</v>
      </c>
      <c r="Z220" t="s">
        <v>3493</v>
      </c>
      <c r="AA220" t="s">
        <v>3494</v>
      </c>
      <c r="AB220" t="s">
        <v>3495</v>
      </c>
      <c r="AC220" t="s">
        <v>3496</v>
      </c>
      <c r="AD220" t="s">
        <v>3497</v>
      </c>
      <c r="AE220" t="s">
        <v>3498</v>
      </c>
      <c r="AF220" t="s">
        <v>74</v>
      </c>
      <c r="AG220">
        <v>31</v>
      </c>
      <c r="AH220">
        <v>6</v>
      </c>
      <c r="AI220">
        <v>7</v>
      </c>
      <c r="AJ220">
        <v>0</v>
      </c>
      <c r="AK220">
        <v>2</v>
      </c>
      <c r="AL220" t="s">
        <v>219</v>
      </c>
      <c r="AM220" t="s">
        <v>220</v>
      </c>
      <c r="AN220" t="s">
        <v>221</v>
      </c>
      <c r="AO220" t="s">
        <v>74</v>
      </c>
      <c r="AP220" t="s">
        <v>803</v>
      </c>
      <c r="AQ220" t="s">
        <v>74</v>
      </c>
      <c r="AR220" t="s">
        <v>804</v>
      </c>
      <c r="AS220" t="s">
        <v>805</v>
      </c>
      <c r="AT220" t="s">
        <v>1017</v>
      </c>
      <c r="AU220">
        <v>2022</v>
      </c>
      <c r="AV220">
        <v>8</v>
      </c>
      <c r="AW220">
        <v>2</v>
      </c>
      <c r="AX220" t="s">
        <v>74</v>
      </c>
      <c r="AY220" t="s">
        <v>74</v>
      </c>
      <c r="AZ220" t="s">
        <v>74</v>
      </c>
      <c r="BA220" t="s">
        <v>74</v>
      </c>
      <c r="BB220" t="s">
        <v>74</v>
      </c>
      <c r="BC220" t="s">
        <v>74</v>
      </c>
      <c r="BD220" t="s">
        <v>3499</v>
      </c>
      <c r="BE220" t="s">
        <v>3500</v>
      </c>
      <c r="BF220" t="str">
        <f>HYPERLINK("http://dx.doi.org/10.1183/23120541.00065-2022","http://dx.doi.org/10.1183/23120541.00065-2022")</f>
        <v>http://dx.doi.org/10.1183/23120541.00065-2022</v>
      </c>
      <c r="BG220" t="s">
        <v>74</v>
      </c>
      <c r="BH220" t="s">
        <v>74</v>
      </c>
      <c r="BI220">
        <v>11</v>
      </c>
      <c r="BJ220" t="s">
        <v>228</v>
      </c>
      <c r="BK220" t="s">
        <v>101</v>
      </c>
      <c r="BL220" t="s">
        <v>228</v>
      </c>
      <c r="BM220" t="s">
        <v>3501</v>
      </c>
      <c r="BN220">
        <v>35582679</v>
      </c>
      <c r="BO220" t="s">
        <v>3502</v>
      </c>
      <c r="BP220" t="s">
        <v>74</v>
      </c>
      <c r="BQ220" t="s">
        <v>74</v>
      </c>
      <c r="BR220" t="s">
        <v>104</v>
      </c>
      <c r="BS220" t="s">
        <v>3503</v>
      </c>
      <c r="BT220" t="str">
        <f>HYPERLINK("https%3A%2F%2Fwww.webofscience.com%2Fwos%2Fwoscc%2Ffull-record%2FWOS:000797488900005","View Full Record in Web of Science")</f>
        <v>View Full Record in Web of Science</v>
      </c>
    </row>
    <row r="221" spans="1:72" x14ac:dyDescent="0.25">
      <c r="A221" t="s">
        <v>72</v>
      </c>
      <c r="B221" t="s">
        <v>3504</v>
      </c>
      <c r="C221" t="s">
        <v>74</v>
      </c>
      <c r="D221" t="s">
        <v>74</v>
      </c>
      <c r="E221" t="s">
        <v>74</v>
      </c>
      <c r="F221" t="s">
        <v>3505</v>
      </c>
      <c r="G221" t="s">
        <v>74</v>
      </c>
      <c r="H221" t="s">
        <v>74</v>
      </c>
      <c r="I221" t="s">
        <v>3506</v>
      </c>
      <c r="J221" t="s">
        <v>983</v>
      </c>
      <c r="K221" t="s">
        <v>74</v>
      </c>
      <c r="L221" t="s">
        <v>74</v>
      </c>
      <c r="M221" t="s">
        <v>78</v>
      </c>
      <c r="N221" t="s">
        <v>52</v>
      </c>
      <c r="O221" t="s">
        <v>74</v>
      </c>
      <c r="P221" t="s">
        <v>74</v>
      </c>
      <c r="Q221" t="s">
        <v>74</v>
      </c>
      <c r="R221" t="s">
        <v>74</v>
      </c>
      <c r="S221" t="s">
        <v>74</v>
      </c>
      <c r="T221" t="s">
        <v>74</v>
      </c>
      <c r="U221" t="s">
        <v>74</v>
      </c>
      <c r="V221" t="s">
        <v>74</v>
      </c>
      <c r="W221" t="s">
        <v>3507</v>
      </c>
      <c r="X221" t="s">
        <v>74</v>
      </c>
      <c r="Y221" t="s">
        <v>74</v>
      </c>
      <c r="Z221" t="s">
        <v>74</v>
      </c>
      <c r="AA221" t="s">
        <v>3508</v>
      </c>
      <c r="AB221" t="s">
        <v>257</v>
      </c>
      <c r="AC221" t="s">
        <v>74</v>
      </c>
      <c r="AD221" t="s">
        <v>74</v>
      </c>
      <c r="AE221" t="s">
        <v>74</v>
      </c>
      <c r="AF221" t="s">
        <v>74</v>
      </c>
      <c r="AG221">
        <v>0</v>
      </c>
      <c r="AH221">
        <v>0</v>
      </c>
      <c r="AI221">
        <v>0</v>
      </c>
      <c r="AJ221">
        <v>0</v>
      </c>
      <c r="AK221">
        <v>0</v>
      </c>
      <c r="AL221" t="s">
        <v>991</v>
      </c>
      <c r="AM221" t="s">
        <v>486</v>
      </c>
      <c r="AN221" t="s">
        <v>992</v>
      </c>
      <c r="AO221" t="s">
        <v>993</v>
      </c>
      <c r="AP221" t="s">
        <v>994</v>
      </c>
      <c r="AQ221" t="s">
        <v>74</v>
      </c>
      <c r="AR221" t="s">
        <v>995</v>
      </c>
      <c r="AS221" t="s">
        <v>996</v>
      </c>
      <c r="AT221" t="s">
        <v>997</v>
      </c>
      <c r="AU221">
        <v>2022</v>
      </c>
      <c r="AV221">
        <v>41</v>
      </c>
      <c r="AW221">
        <v>4</v>
      </c>
      <c r="AX221" t="s">
        <v>74</v>
      </c>
      <c r="AY221" t="s">
        <v>998</v>
      </c>
      <c r="AZ221" t="s">
        <v>74</v>
      </c>
      <c r="BA221">
        <v>38</v>
      </c>
      <c r="BB221" t="s">
        <v>3509</v>
      </c>
      <c r="BC221" t="s">
        <v>3509</v>
      </c>
      <c r="BD221" t="s">
        <v>74</v>
      </c>
      <c r="BE221" t="s">
        <v>74</v>
      </c>
      <c r="BF221" t="s">
        <v>74</v>
      </c>
      <c r="BG221" t="s">
        <v>74</v>
      </c>
      <c r="BH221" t="s">
        <v>74</v>
      </c>
      <c r="BI221">
        <v>1</v>
      </c>
      <c r="BJ221" t="s">
        <v>1000</v>
      </c>
      <c r="BK221" t="s">
        <v>101</v>
      </c>
      <c r="BL221" t="s">
        <v>1001</v>
      </c>
      <c r="BM221" t="s">
        <v>3510</v>
      </c>
      <c r="BN221" t="s">
        <v>74</v>
      </c>
      <c r="BO221" t="s">
        <v>74</v>
      </c>
      <c r="BP221" t="s">
        <v>74</v>
      </c>
      <c r="BQ221" t="s">
        <v>74</v>
      </c>
      <c r="BR221" t="s">
        <v>104</v>
      </c>
      <c r="BS221" t="s">
        <v>3511</v>
      </c>
      <c r="BT221" t="str">
        <f>HYPERLINK("https%3A%2F%2Fwww.webofscience.com%2Fwos%2Fwoscc%2Ffull-record%2FWOS:000780119700039","View Full Record in Web of Science")</f>
        <v>View Full Record in Web of Science</v>
      </c>
    </row>
    <row r="222" spans="1:72" x14ac:dyDescent="0.25">
      <c r="A222" t="s">
        <v>72</v>
      </c>
      <c r="B222" t="s">
        <v>3512</v>
      </c>
      <c r="C222" t="s">
        <v>74</v>
      </c>
      <c r="D222" t="s">
        <v>74</v>
      </c>
      <c r="E222" t="s">
        <v>74</v>
      </c>
      <c r="F222" t="s">
        <v>3513</v>
      </c>
      <c r="G222" t="s">
        <v>74</v>
      </c>
      <c r="H222" t="s">
        <v>74</v>
      </c>
      <c r="I222" t="s">
        <v>3514</v>
      </c>
      <c r="J222" t="s">
        <v>983</v>
      </c>
      <c r="K222" t="s">
        <v>74</v>
      </c>
      <c r="L222" t="s">
        <v>74</v>
      </c>
      <c r="M222" t="s">
        <v>78</v>
      </c>
      <c r="N222" t="s">
        <v>52</v>
      </c>
      <c r="O222" t="s">
        <v>74</v>
      </c>
      <c r="P222" t="s">
        <v>74</v>
      </c>
      <c r="Q222" t="s">
        <v>74</v>
      </c>
      <c r="R222" t="s">
        <v>74</v>
      </c>
      <c r="S222" t="s">
        <v>74</v>
      </c>
      <c r="T222" t="s">
        <v>74</v>
      </c>
      <c r="U222" t="s">
        <v>74</v>
      </c>
      <c r="V222" t="s">
        <v>74</v>
      </c>
      <c r="W222" t="s">
        <v>3515</v>
      </c>
      <c r="X222" t="s">
        <v>3516</v>
      </c>
      <c r="Y222" t="s">
        <v>74</v>
      </c>
      <c r="Z222" t="s">
        <v>74</v>
      </c>
      <c r="AA222" t="s">
        <v>144</v>
      </c>
      <c r="AB222" t="s">
        <v>257</v>
      </c>
      <c r="AC222" t="s">
        <v>74</v>
      </c>
      <c r="AD222" t="s">
        <v>74</v>
      </c>
      <c r="AE222" t="s">
        <v>74</v>
      </c>
      <c r="AF222" t="s">
        <v>74</v>
      </c>
      <c r="AG222">
        <v>0</v>
      </c>
      <c r="AH222">
        <v>0</v>
      </c>
      <c r="AI222">
        <v>0</v>
      </c>
      <c r="AJ222">
        <v>0</v>
      </c>
      <c r="AK222">
        <v>0</v>
      </c>
      <c r="AL222" t="s">
        <v>991</v>
      </c>
      <c r="AM222" t="s">
        <v>486</v>
      </c>
      <c r="AN222" t="s">
        <v>992</v>
      </c>
      <c r="AO222" t="s">
        <v>993</v>
      </c>
      <c r="AP222" t="s">
        <v>994</v>
      </c>
      <c r="AQ222" t="s">
        <v>74</v>
      </c>
      <c r="AR222" t="s">
        <v>995</v>
      </c>
      <c r="AS222" t="s">
        <v>996</v>
      </c>
      <c r="AT222" t="s">
        <v>997</v>
      </c>
      <c r="AU222">
        <v>2022</v>
      </c>
      <c r="AV222">
        <v>41</v>
      </c>
      <c r="AW222">
        <v>4</v>
      </c>
      <c r="AX222" t="s">
        <v>74</v>
      </c>
      <c r="AY222" t="s">
        <v>998</v>
      </c>
      <c r="AZ222" t="s">
        <v>74</v>
      </c>
      <c r="BA222">
        <v>58</v>
      </c>
      <c r="BB222" t="s">
        <v>3517</v>
      </c>
      <c r="BC222" t="s">
        <v>3517</v>
      </c>
      <c r="BD222" t="s">
        <v>74</v>
      </c>
      <c r="BE222" t="s">
        <v>74</v>
      </c>
      <c r="BF222" t="s">
        <v>74</v>
      </c>
      <c r="BG222" t="s">
        <v>74</v>
      </c>
      <c r="BH222" t="s">
        <v>74</v>
      </c>
      <c r="BI222">
        <v>1</v>
      </c>
      <c r="BJ222" t="s">
        <v>1000</v>
      </c>
      <c r="BK222" t="s">
        <v>101</v>
      </c>
      <c r="BL222" t="s">
        <v>1001</v>
      </c>
      <c r="BM222" t="s">
        <v>3510</v>
      </c>
      <c r="BN222" t="s">
        <v>74</v>
      </c>
      <c r="BO222" t="s">
        <v>74</v>
      </c>
      <c r="BP222" t="s">
        <v>74</v>
      </c>
      <c r="BQ222" t="s">
        <v>74</v>
      </c>
      <c r="BR222" t="s">
        <v>104</v>
      </c>
      <c r="BS222" t="s">
        <v>3518</v>
      </c>
      <c r="BT222" t="str">
        <f>HYPERLINK("https%3A%2F%2Fwww.webofscience.com%2Fwos%2Fwoscc%2Ffull-record%2FWOS:000780119700059","View Full Record in Web of Science")</f>
        <v>View Full Record in Web of Science</v>
      </c>
    </row>
    <row r="223" spans="1:72" x14ac:dyDescent="0.25">
      <c r="A223" t="s">
        <v>72</v>
      </c>
      <c r="B223" t="s">
        <v>3519</v>
      </c>
      <c r="C223" t="s">
        <v>74</v>
      </c>
      <c r="D223" t="s">
        <v>74</v>
      </c>
      <c r="E223" t="s">
        <v>74</v>
      </c>
      <c r="F223" t="s">
        <v>3520</v>
      </c>
      <c r="G223" t="s">
        <v>74</v>
      </c>
      <c r="H223" t="s">
        <v>74</v>
      </c>
      <c r="I223" t="s">
        <v>3521</v>
      </c>
      <c r="J223" t="s">
        <v>637</v>
      </c>
      <c r="K223" t="s">
        <v>74</v>
      </c>
      <c r="L223" t="s">
        <v>74</v>
      </c>
      <c r="M223" t="s">
        <v>78</v>
      </c>
      <c r="N223" t="s">
        <v>79</v>
      </c>
      <c r="O223" t="s">
        <v>74</v>
      </c>
      <c r="P223" t="s">
        <v>74</v>
      </c>
      <c r="Q223" t="s">
        <v>74</v>
      </c>
      <c r="R223" t="s">
        <v>74</v>
      </c>
      <c r="S223" t="s">
        <v>74</v>
      </c>
      <c r="T223" t="s">
        <v>3522</v>
      </c>
      <c r="U223" t="s">
        <v>3523</v>
      </c>
      <c r="V223" t="s">
        <v>3524</v>
      </c>
      <c r="W223" t="s">
        <v>3525</v>
      </c>
      <c r="X223" t="s">
        <v>3526</v>
      </c>
      <c r="Y223" t="s">
        <v>3527</v>
      </c>
      <c r="Z223" t="s">
        <v>3528</v>
      </c>
      <c r="AA223" t="s">
        <v>3529</v>
      </c>
      <c r="AB223" t="s">
        <v>3530</v>
      </c>
      <c r="AC223" t="s">
        <v>3430</v>
      </c>
      <c r="AD223" t="s">
        <v>3430</v>
      </c>
      <c r="AE223" t="s">
        <v>3531</v>
      </c>
      <c r="AF223" t="s">
        <v>74</v>
      </c>
      <c r="AG223">
        <v>73</v>
      </c>
      <c r="AH223">
        <v>34</v>
      </c>
      <c r="AI223">
        <v>34</v>
      </c>
      <c r="AJ223">
        <v>0</v>
      </c>
      <c r="AK223">
        <v>6</v>
      </c>
      <c r="AL223" t="s">
        <v>649</v>
      </c>
      <c r="AM223" t="s">
        <v>486</v>
      </c>
      <c r="AN223" t="s">
        <v>650</v>
      </c>
      <c r="AO223" t="s">
        <v>651</v>
      </c>
      <c r="AP223" t="s">
        <v>652</v>
      </c>
      <c r="AQ223" t="s">
        <v>74</v>
      </c>
      <c r="AR223" t="s">
        <v>653</v>
      </c>
      <c r="AS223" t="s">
        <v>654</v>
      </c>
      <c r="AT223" t="s">
        <v>1017</v>
      </c>
      <c r="AU223">
        <v>2022</v>
      </c>
      <c r="AV223">
        <v>205</v>
      </c>
      <c r="AW223">
        <v>7</v>
      </c>
      <c r="AX223" t="s">
        <v>74</v>
      </c>
      <c r="AY223" t="s">
        <v>74</v>
      </c>
      <c r="AZ223" t="s">
        <v>74</v>
      </c>
      <c r="BA223" t="s">
        <v>74</v>
      </c>
      <c r="BB223">
        <v>751</v>
      </c>
      <c r="BC223">
        <v>760</v>
      </c>
      <c r="BD223" t="s">
        <v>74</v>
      </c>
      <c r="BE223" t="s">
        <v>3532</v>
      </c>
      <c r="BF223" t="str">
        <f>HYPERLINK("http://dx.doi.org/10.1164/rccm.202109-2079PP","http://dx.doi.org/10.1164/rccm.202109-2079PP")</f>
        <v>http://dx.doi.org/10.1164/rccm.202109-2079PP</v>
      </c>
      <c r="BG223" t="s">
        <v>74</v>
      </c>
      <c r="BH223" t="s">
        <v>74</v>
      </c>
      <c r="BI223">
        <v>10</v>
      </c>
      <c r="BJ223" t="s">
        <v>341</v>
      </c>
      <c r="BK223" t="s">
        <v>101</v>
      </c>
      <c r="BL223" t="s">
        <v>342</v>
      </c>
      <c r="BM223" t="s">
        <v>3533</v>
      </c>
      <c r="BN223">
        <v>34905704</v>
      </c>
      <c r="BO223" t="s">
        <v>246</v>
      </c>
      <c r="BP223" t="s">
        <v>74</v>
      </c>
      <c r="BQ223" t="s">
        <v>74</v>
      </c>
      <c r="BR223" t="s">
        <v>104</v>
      </c>
      <c r="BS223" t="s">
        <v>3534</v>
      </c>
      <c r="BT223" t="str">
        <f>HYPERLINK("https%3A%2F%2Fwww.webofscience.com%2Fwos%2Fwoscc%2Ffull-record%2FWOS:000777836300009","View Full Record in Web of Science")</f>
        <v>View Full Record in Web of Science</v>
      </c>
    </row>
    <row r="224" spans="1:72" x14ac:dyDescent="0.25">
      <c r="A224" t="s">
        <v>72</v>
      </c>
      <c r="B224" t="s">
        <v>3535</v>
      </c>
      <c r="C224" t="s">
        <v>74</v>
      </c>
      <c r="D224" t="s">
        <v>74</v>
      </c>
      <c r="E224" t="s">
        <v>74</v>
      </c>
      <c r="F224" t="s">
        <v>3536</v>
      </c>
      <c r="G224" t="s">
        <v>74</v>
      </c>
      <c r="H224" t="s">
        <v>3537</v>
      </c>
      <c r="I224" t="s">
        <v>3538</v>
      </c>
      <c r="J224" t="s">
        <v>814</v>
      </c>
      <c r="K224" t="s">
        <v>74</v>
      </c>
      <c r="L224" t="s">
        <v>74</v>
      </c>
      <c r="M224" t="s">
        <v>78</v>
      </c>
      <c r="N224" t="s">
        <v>79</v>
      </c>
      <c r="O224" t="s">
        <v>74</v>
      </c>
      <c r="P224" t="s">
        <v>74</v>
      </c>
      <c r="Q224" t="s">
        <v>74</v>
      </c>
      <c r="R224" t="s">
        <v>74</v>
      </c>
      <c r="S224" t="s">
        <v>74</v>
      </c>
      <c r="T224" t="s">
        <v>74</v>
      </c>
      <c r="U224" t="s">
        <v>3539</v>
      </c>
      <c r="V224" t="s">
        <v>3540</v>
      </c>
      <c r="W224" t="s">
        <v>3541</v>
      </c>
      <c r="X224" t="s">
        <v>3542</v>
      </c>
      <c r="Y224" t="s">
        <v>3543</v>
      </c>
      <c r="Z224" t="s">
        <v>331</v>
      </c>
      <c r="AA224" t="s">
        <v>3544</v>
      </c>
      <c r="AB224" t="s">
        <v>3545</v>
      </c>
      <c r="AC224" t="s">
        <v>74</v>
      </c>
      <c r="AD224" t="s">
        <v>74</v>
      </c>
      <c r="AE224" t="s">
        <v>74</v>
      </c>
      <c r="AF224" t="s">
        <v>74</v>
      </c>
      <c r="AG224">
        <v>153</v>
      </c>
      <c r="AH224">
        <v>148</v>
      </c>
      <c r="AI224">
        <v>159</v>
      </c>
      <c r="AJ224">
        <v>1</v>
      </c>
      <c r="AK224">
        <v>41</v>
      </c>
      <c r="AL224" t="s">
        <v>219</v>
      </c>
      <c r="AM224" t="s">
        <v>220</v>
      </c>
      <c r="AN224" t="s">
        <v>221</v>
      </c>
      <c r="AO224" t="s">
        <v>823</v>
      </c>
      <c r="AP224" t="s">
        <v>824</v>
      </c>
      <c r="AQ224" t="s">
        <v>74</v>
      </c>
      <c r="AR224" t="s">
        <v>825</v>
      </c>
      <c r="AS224" t="s">
        <v>826</v>
      </c>
      <c r="AT224" t="s">
        <v>2214</v>
      </c>
      <c r="AU224">
        <v>2022</v>
      </c>
      <c r="AV224">
        <v>31</v>
      </c>
      <c r="AW224">
        <v>163</v>
      </c>
      <c r="AX224" t="s">
        <v>74</v>
      </c>
      <c r="AY224" t="s">
        <v>74</v>
      </c>
      <c r="AZ224" t="s">
        <v>74</v>
      </c>
      <c r="BA224" t="s">
        <v>74</v>
      </c>
      <c r="BB224" t="s">
        <v>74</v>
      </c>
      <c r="BC224" t="s">
        <v>74</v>
      </c>
      <c r="BD224">
        <v>210185</v>
      </c>
      <c r="BE224" t="s">
        <v>3546</v>
      </c>
      <c r="BF224" t="str">
        <f>HYPERLINK("http://dx.doi.org/10.1183/16000617.0185-2021","http://dx.doi.org/10.1183/16000617.0185-2021")</f>
        <v>http://dx.doi.org/10.1183/16000617.0185-2021</v>
      </c>
      <c r="BG224" t="s">
        <v>74</v>
      </c>
      <c r="BH224" t="s">
        <v>74</v>
      </c>
      <c r="BI224">
        <v>18</v>
      </c>
      <c r="BJ224" t="s">
        <v>228</v>
      </c>
      <c r="BK224" t="s">
        <v>2614</v>
      </c>
      <c r="BL224" t="s">
        <v>228</v>
      </c>
      <c r="BM224" t="s">
        <v>3547</v>
      </c>
      <c r="BN224">
        <v>35264409</v>
      </c>
      <c r="BO224" t="s">
        <v>809</v>
      </c>
      <c r="BP224" t="s">
        <v>1155</v>
      </c>
      <c r="BQ224" t="s">
        <v>1156</v>
      </c>
      <c r="BR224" t="s">
        <v>104</v>
      </c>
      <c r="BS224" t="s">
        <v>3548</v>
      </c>
      <c r="BT224" t="str">
        <f>HYPERLINK("https%3A%2F%2Fwww.webofscience.com%2Fwos%2Fwoscc%2Ffull-record%2FWOS:000783164100011","View Full Record in Web of Science")</f>
        <v>View Full Record in Web of Science</v>
      </c>
    </row>
    <row r="225" spans="1:72" x14ac:dyDescent="0.25">
      <c r="A225" t="s">
        <v>72</v>
      </c>
      <c r="B225" t="s">
        <v>3549</v>
      </c>
      <c r="C225" t="s">
        <v>74</v>
      </c>
      <c r="D225" t="s">
        <v>74</v>
      </c>
      <c r="E225" t="s">
        <v>74</v>
      </c>
      <c r="F225" t="s">
        <v>3550</v>
      </c>
      <c r="G225" t="s">
        <v>74</v>
      </c>
      <c r="H225" t="s">
        <v>74</v>
      </c>
      <c r="I225" t="s">
        <v>3551</v>
      </c>
      <c r="J225" t="s">
        <v>814</v>
      </c>
      <c r="K225" t="s">
        <v>74</v>
      </c>
      <c r="L225" t="s">
        <v>74</v>
      </c>
      <c r="M225" t="s">
        <v>78</v>
      </c>
      <c r="N225" t="s">
        <v>79</v>
      </c>
      <c r="O225" t="s">
        <v>74</v>
      </c>
      <c r="P225" t="s">
        <v>74</v>
      </c>
      <c r="Q225" t="s">
        <v>74</v>
      </c>
      <c r="R225" t="s">
        <v>74</v>
      </c>
      <c r="S225" t="s">
        <v>74</v>
      </c>
      <c r="T225" t="s">
        <v>74</v>
      </c>
      <c r="U225" t="s">
        <v>3552</v>
      </c>
      <c r="V225" t="s">
        <v>3553</v>
      </c>
      <c r="W225" t="s">
        <v>3554</v>
      </c>
      <c r="X225" t="s">
        <v>3555</v>
      </c>
      <c r="Y225" t="s">
        <v>3556</v>
      </c>
      <c r="Z225" t="s">
        <v>3557</v>
      </c>
      <c r="AA225" t="s">
        <v>3558</v>
      </c>
      <c r="AB225" t="s">
        <v>3559</v>
      </c>
      <c r="AC225" t="s">
        <v>3560</v>
      </c>
      <c r="AD225" t="s">
        <v>3560</v>
      </c>
      <c r="AE225" t="s">
        <v>3561</v>
      </c>
      <c r="AF225" t="s">
        <v>74</v>
      </c>
      <c r="AG225">
        <v>82</v>
      </c>
      <c r="AH225">
        <v>40</v>
      </c>
      <c r="AI225">
        <v>40</v>
      </c>
      <c r="AJ225">
        <v>0</v>
      </c>
      <c r="AK225">
        <v>4</v>
      </c>
      <c r="AL225" t="s">
        <v>219</v>
      </c>
      <c r="AM225" t="s">
        <v>220</v>
      </c>
      <c r="AN225" t="s">
        <v>221</v>
      </c>
      <c r="AO225" t="s">
        <v>823</v>
      </c>
      <c r="AP225" t="s">
        <v>824</v>
      </c>
      <c r="AQ225" t="s">
        <v>74</v>
      </c>
      <c r="AR225" t="s">
        <v>825</v>
      </c>
      <c r="AS225" t="s">
        <v>826</v>
      </c>
      <c r="AT225" t="s">
        <v>2214</v>
      </c>
      <c r="AU225">
        <v>2022</v>
      </c>
      <c r="AV225">
        <v>31</v>
      </c>
      <c r="AW225">
        <v>163</v>
      </c>
      <c r="AX225" t="s">
        <v>74</v>
      </c>
      <c r="AY225" t="s">
        <v>74</v>
      </c>
      <c r="AZ225" t="s">
        <v>74</v>
      </c>
      <c r="BA225" t="s">
        <v>74</v>
      </c>
      <c r="BB225" t="s">
        <v>74</v>
      </c>
      <c r="BC225" t="s">
        <v>74</v>
      </c>
      <c r="BD225">
        <v>210165</v>
      </c>
      <c r="BE225" t="s">
        <v>3562</v>
      </c>
      <c r="BF225" t="str">
        <f>HYPERLINK("http://dx.doi.org/10.1183/16000617.0165-2021","http://dx.doi.org/10.1183/16000617.0165-2021")</f>
        <v>http://dx.doi.org/10.1183/16000617.0165-2021</v>
      </c>
      <c r="BG225" t="s">
        <v>74</v>
      </c>
      <c r="BH225" t="s">
        <v>74</v>
      </c>
      <c r="BI225">
        <v>17</v>
      </c>
      <c r="BJ225" t="s">
        <v>228</v>
      </c>
      <c r="BK225" t="s">
        <v>101</v>
      </c>
      <c r="BL225" t="s">
        <v>228</v>
      </c>
      <c r="BM225" t="s">
        <v>3547</v>
      </c>
      <c r="BN225">
        <v>35140103</v>
      </c>
      <c r="BO225" t="s">
        <v>809</v>
      </c>
      <c r="BP225" t="s">
        <v>74</v>
      </c>
      <c r="BQ225" t="s">
        <v>74</v>
      </c>
      <c r="BR225" t="s">
        <v>104</v>
      </c>
      <c r="BS225" t="s">
        <v>3563</v>
      </c>
      <c r="BT225" t="str">
        <f>HYPERLINK("https%3A%2F%2Fwww.webofscience.com%2Fwos%2Fwoscc%2Ffull-record%2FWOS:000783164100006","View Full Record in Web of Science")</f>
        <v>View Full Record in Web of Science</v>
      </c>
    </row>
    <row r="226" spans="1:72" x14ac:dyDescent="0.25">
      <c r="A226" t="s">
        <v>72</v>
      </c>
      <c r="B226" t="s">
        <v>3564</v>
      </c>
      <c r="C226" t="s">
        <v>74</v>
      </c>
      <c r="D226" t="s">
        <v>74</v>
      </c>
      <c r="E226" t="s">
        <v>74</v>
      </c>
      <c r="F226" t="s">
        <v>3565</v>
      </c>
      <c r="G226" t="s">
        <v>74</v>
      </c>
      <c r="H226" t="s">
        <v>74</v>
      </c>
      <c r="I226" t="s">
        <v>3566</v>
      </c>
      <c r="J226" t="s">
        <v>983</v>
      </c>
      <c r="K226" t="s">
        <v>74</v>
      </c>
      <c r="L226" t="s">
        <v>74</v>
      </c>
      <c r="M226" t="s">
        <v>78</v>
      </c>
      <c r="N226" t="s">
        <v>79</v>
      </c>
      <c r="O226" t="s">
        <v>74</v>
      </c>
      <c r="P226" t="s">
        <v>74</v>
      </c>
      <c r="Q226" t="s">
        <v>74</v>
      </c>
      <c r="R226" t="s">
        <v>74</v>
      </c>
      <c r="S226" t="s">
        <v>74</v>
      </c>
      <c r="T226" t="s">
        <v>74</v>
      </c>
      <c r="U226" t="s">
        <v>3567</v>
      </c>
      <c r="V226" t="s">
        <v>3568</v>
      </c>
      <c r="W226" t="s">
        <v>3569</v>
      </c>
      <c r="X226" t="s">
        <v>3570</v>
      </c>
      <c r="Y226" t="s">
        <v>3571</v>
      </c>
      <c r="Z226" t="s">
        <v>3572</v>
      </c>
      <c r="AA226" t="s">
        <v>3573</v>
      </c>
      <c r="AB226" t="s">
        <v>3574</v>
      </c>
      <c r="AC226" t="s">
        <v>3575</v>
      </c>
      <c r="AD226" t="s">
        <v>3576</v>
      </c>
      <c r="AE226" t="s">
        <v>3577</v>
      </c>
      <c r="AF226" t="s">
        <v>74</v>
      </c>
      <c r="AG226">
        <v>34</v>
      </c>
      <c r="AH226">
        <v>19</v>
      </c>
      <c r="AI226">
        <v>19</v>
      </c>
      <c r="AJ226">
        <v>0</v>
      </c>
      <c r="AK226">
        <v>2</v>
      </c>
      <c r="AL226" t="s">
        <v>991</v>
      </c>
      <c r="AM226" t="s">
        <v>486</v>
      </c>
      <c r="AN226" t="s">
        <v>992</v>
      </c>
      <c r="AO226" t="s">
        <v>993</v>
      </c>
      <c r="AP226" t="s">
        <v>994</v>
      </c>
      <c r="AQ226" t="s">
        <v>74</v>
      </c>
      <c r="AR226" t="s">
        <v>995</v>
      </c>
      <c r="AS226" t="s">
        <v>996</v>
      </c>
      <c r="AT226" t="s">
        <v>997</v>
      </c>
      <c r="AU226">
        <v>2022</v>
      </c>
      <c r="AV226">
        <v>41</v>
      </c>
      <c r="AW226">
        <v>4</v>
      </c>
      <c r="AX226" t="s">
        <v>74</v>
      </c>
      <c r="AY226" t="s">
        <v>74</v>
      </c>
      <c r="AZ226" t="s">
        <v>74</v>
      </c>
      <c r="BA226" t="s">
        <v>74</v>
      </c>
      <c r="BB226">
        <v>445</v>
      </c>
      <c r="BC226">
        <v>457</v>
      </c>
      <c r="BD226" t="s">
        <v>74</v>
      </c>
      <c r="BE226" t="s">
        <v>3578</v>
      </c>
      <c r="BF226" t="str">
        <f>HYPERLINK("http://dx.doi.org/10.1016/j.healun.2021.11.004","http://dx.doi.org/10.1016/j.healun.2021.11.004")</f>
        <v>http://dx.doi.org/10.1016/j.healun.2021.11.004</v>
      </c>
      <c r="BG226" t="s">
        <v>74</v>
      </c>
      <c r="BH226" t="s">
        <v>3579</v>
      </c>
      <c r="BI226">
        <v>13</v>
      </c>
      <c r="BJ226" t="s">
        <v>1000</v>
      </c>
      <c r="BK226" t="s">
        <v>101</v>
      </c>
      <c r="BL226" t="s">
        <v>1001</v>
      </c>
      <c r="BM226" t="s">
        <v>3580</v>
      </c>
      <c r="BN226">
        <v>35039146</v>
      </c>
      <c r="BO226" t="s">
        <v>470</v>
      </c>
      <c r="BP226" t="s">
        <v>74</v>
      </c>
      <c r="BQ226" t="s">
        <v>74</v>
      </c>
      <c r="BR226" t="s">
        <v>104</v>
      </c>
      <c r="BS226" t="s">
        <v>3581</v>
      </c>
      <c r="BT226" t="str">
        <f>HYPERLINK("https%3A%2F%2Fwww.webofscience.com%2Fwos%2Fwoscc%2Ffull-record%2FWOS:000793722900005","View Full Record in Web of Science")</f>
        <v>View Full Record in Web of Science</v>
      </c>
    </row>
    <row r="227" spans="1:72" x14ac:dyDescent="0.25">
      <c r="A227" t="s">
        <v>72</v>
      </c>
      <c r="B227" t="s">
        <v>3582</v>
      </c>
      <c r="C227" t="s">
        <v>74</v>
      </c>
      <c r="D227" t="s">
        <v>74</v>
      </c>
      <c r="E227" t="s">
        <v>74</v>
      </c>
      <c r="F227" t="s">
        <v>3583</v>
      </c>
      <c r="G227" t="s">
        <v>74</v>
      </c>
      <c r="H227" t="s">
        <v>3584</v>
      </c>
      <c r="I227" t="s">
        <v>3585</v>
      </c>
      <c r="J227" t="s">
        <v>3586</v>
      </c>
      <c r="K227" t="s">
        <v>74</v>
      </c>
      <c r="L227" t="s">
        <v>74</v>
      </c>
      <c r="M227" t="s">
        <v>78</v>
      </c>
      <c r="N227" t="s">
        <v>79</v>
      </c>
      <c r="O227" t="s">
        <v>74</v>
      </c>
      <c r="P227" t="s">
        <v>74</v>
      </c>
      <c r="Q227" t="s">
        <v>74</v>
      </c>
      <c r="R227" t="s">
        <v>74</v>
      </c>
      <c r="S227" t="s">
        <v>74</v>
      </c>
      <c r="T227" t="s">
        <v>3587</v>
      </c>
      <c r="U227" t="s">
        <v>74</v>
      </c>
      <c r="V227" t="s">
        <v>3588</v>
      </c>
      <c r="W227" t="s">
        <v>3589</v>
      </c>
      <c r="X227" t="s">
        <v>3590</v>
      </c>
      <c r="Y227" t="s">
        <v>3591</v>
      </c>
      <c r="Z227" t="s">
        <v>3592</v>
      </c>
      <c r="AA227" t="s">
        <v>3593</v>
      </c>
      <c r="AB227" t="s">
        <v>3594</v>
      </c>
      <c r="AC227" t="s">
        <v>3595</v>
      </c>
      <c r="AD227" t="s">
        <v>3596</v>
      </c>
      <c r="AE227" t="s">
        <v>3597</v>
      </c>
      <c r="AF227" t="s">
        <v>74</v>
      </c>
      <c r="AG227">
        <v>14</v>
      </c>
      <c r="AH227">
        <v>16</v>
      </c>
      <c r="AI227">
        <v>17</v>
      </c>
      <c r="AJ227">
        <v>1</v>
      </c>
      <c r="AK227">
        <v>4</v>
      </c>
      <c r="AL227" t="s">
        <v>92</v>
      </c>
      <c r="AM227" t="s">
        <v>93</v>
      </c>
      <c r="AN227" t="s">
        <v>94</v>
      </c>
      <c r="AO227" t="s">
        <v>74</v>
      </c>
      <c r="AP227" t="s">
        <v>3598</v>
      </c>
      <c r="AQ227" t="s">
        <v>74</v>
      </c>
      <c r="AR227" t="s">
        <v>3586</v>
      </c>
      <c r="AS227" t="s">
        <v>3599</v>
      </c>
      <c r="AT227" t="s">
        <v>997</v>
      </c>
      <c r="AU227">
        <v>2022</v>
      </c>
      <c r="AV227">
        <v>46</v>
      </c>
      <c r="AW227" t="s">
        <v>74</v>
      </c>
      <c r="AX227" t="s">
        <v>74</v>
      </c>
      <c r="AY227" t="s">
        <v>74</v>
      </c>
      <c r="AZ227" t="s">
        <v>74</v>
      </c>
      <c r="BA227" t="s">
        <v>74</v>
      </c>
      <c r="BB227" t="s">
        <v>74</v>
      </c>
      <c r="BC227" t="s">
        <v>74</v>
      </c>
      <c r="BD227">
        <v>101362</v>
      </c>
      <c r="BE227" t="s">
        <v>3600</v>
      </c>
      <c r="BF227" t="str">
        <f>HYPERLINK("http://dx.doi.org/10.1016/j.eclinm.2022.101362","http://dx.doi.org/10.1016/j.eclinm.2022.101362")</f>
        <v>http://dx.doi.org/10.1016/j.eclinm.2022.101362</v>
      </c>
      <c r="BG227" t="s">
        <v>74</v>
      </c>
      <c r="BH227" t="s">
        <v>3579</v>
      </c>
      <c r="BI227">
        <v>12</v>
      </c>
      <c r="BJ227" t="s">
        <v>1152</v>
      </c>
      <c r="BK227" t="s">
        <v>101</v>
      </c>
      <c r="BL227" t="s">
        <v>1153</v>
      </c>
      <c r="BM227" t="s">
        <v>3601</v>
      </c>
      <c r="BN227">
        <v>35350097</v>
      </c>
      <c r="BO227" t="s">
        <v>809</v>
      </c>
      <c r="BP227" t="s">
        <v>74</v>
      </c>
      <c r="BQ227" t="s">
        <v>74</v>
      </c>
      <c r="BR227" t="s">
        <v>104</v>
      </c>
      <c r="BS227" t="s">
        <v>3602</v>
      </c>
      <c r="BT227" t="str">
        <f>HYPERLINK("https%3A%2F%2Fwww.webofscience.com%2Fwos%2Fwoscc%2Ffull-record%2FWOS:000821492000018","View Full Record in Web of Science")</f>
        <v>View Full Record in Web of Science</v>
      </c>
    </row>
    <row r="228" spans="1:72" x14ac:dyDescent="0.25">
      <c r="A228" t="s">
        <v>72</v>
      </c>
      <c r="B228" t="s">
        <v>3603</v>
      </c>
      <c r="C228" t="s">
        <v>74</v>
      </c>
      <c r="D228" t="s">
        <v>74</v>
      </c>
      <c r="E228" t="s">
        <v>74</v>
      </c>
      <c r="F228" t="s">
        <v>3604</v>
      </c>
      <c r="G228" t="s">
        <v>74</v>
      </c>
      <c r="H228" t="s">
        <v>74</v>
      </c>
      <c r="I228" t="s">
        <v>3605</v>
      </c>
      <c r="J228" t="s">
        <v>3606</v>
      </c>
      <c r="K228" t="s">
        <v>74</v>
      </c>
      <c r="L228" t="s">
        <v>74</v>
      </c>
      <c r="M228" t="s">
        <v>78</v>
      </c>
      <c r="N228" t="s">
        <v>79</v>
      </c>
      <c r="O228" t="s">
        <v>74</v>
      </c>
      <c r="P228" t="s">
        <v>74</v>
      </c>
      <c r="Q228" t="s">
        <v>74</v>
      </c>
      <c r="R228" t="s">
        <v>74</v>
      </c>
      <c r="S228" t="s">
        <v>74</v>
      </c>
      <c r="T228" t="s">
        <v>3607</v>
      </c>
      <c r="U228" t="s">
        <v>74</v>
      </c>
      <c r="V228" t="s">
        <v>3608</v>
      </c>
      <c r="W228" t="s">
        <v>3609</v>
      </c>
      <c r="X228" t="s">
        <v>3610</v>
      </c>
      <c r="Y228" t="s">
        <v>3611</v>
      </c>
      <c r="Z228" t="s">
        <v>3612</v>
      </c>
      <c r="AA228" t="s">
        <v>3613</v>
      </c>
      <c r="AB228" t="s">
        <v>3614</v>
      </c>
      <c r="AC228" t="s">
        <v>74</v>
      </c>
      <c r="AD228" t="s">
        <v>74</v>
      </c>
      <c r="AE228" t="s">
        <v>74</v>
      </c>
      <c r="AF228" t="s">
        <v>74</v>
      </c>
      <c r="AG228">
        <v>44</v>
      </c>
      <c r="AH228">
        <v>2</v>
      </c>
      <c r="AI228">
        <v>2</v>
      </c>
      <c r="AJ228">
        <v>1</v>
      </c>
      <c r="AK228">
        <v>14</v>
      </c>
      <c r="AL228" t="s">
        <v>92</v>
      </c>
      <c r="AM228" t="s">
        <v>93</v>
      </c>
      <c r="AN228" t="s">
        <v>94</v>
      </c>
      <c r="AO228" t="s">
        <v>3615</v>
      </c>
      <c r="AP228" t="s">
        <v>3616</v>
      </c>
      <c r="AQ228" t="s">
        <v>74</v>
      </c>
      <c r="AR228" t="s">
        <v>3617</v>
      </c>
      <c r="AS228" t="s">
        <v>3618</v>
      </c>
      <c r="AT228" t="s">
        <v>98</v>
      </c>
      <c r="AU228">
        <v>2022</v>
      </c>
      <c r="AV228">
        <v>58</v>
      </c>
      <c r="AW228" t="s">
        <v>74</v>
      </c>
      <c r="AX228" t="s">
        <v>74</v>
      </c>
      <c r="AY228" t="s">
        <v>74</v>
      </c>
      <c r="AZ228" t="s">
        <v>74</v>
      </c>
      <c r="BA228" t="s">
        <v>74</v>
      </c>
      <c r="BB228" t="s">
        <v>74</v>
      </c>
      <c r="BC228" t="s">
        <v>74</v>
      </c>
      <c r="BD228">
        <v>100959</v>
      </c>
      <c r="BE228" t="s">
        <v>3619</v>
      </c>
      <c r="BF228" t="str">
        <f>HYPERLINK("http://dx.doi.org/10.1016/j.infoecopol.2021.100959","http://dx.doi.org/10.1016/j.infoecopol.2021.100959")</f>
        <v>http://dx.doi.org/10.1016/j.infoecopol.2021.100959</v>
      </c>
      <c r="BG228" t="s">
        <v>74</v>
      </c>
      <c r="BH228" t="s">
        <v>3579</v>
      </c>
      <c r="BI228">
        <v>10</v>
      </c>
      <c r="BJ228" t="s">
        <v>3620</v>
      </c>
      <c r="BK228" t="s">
        <v>1341</v>
      </c>
      <c r="BL228" t="s">
        <v>3621</v>
      </c>
      <c r="BM228" t="s">
        <v>3622</v>
      </c>
      <c r="BN228" t="s">
        <v>74</v>
      </c>
      <c r="BO228" t="s">
        <v>2517</v>
      </c>
      <c r="BP228" t="s">
        <v>74</v>
      </c>
      <c r="BQ228" t="s">
        <v>74</v>
      </c>
      <c r="BR228" t="s">
        <v>104</v>
      </c>
      <c r="BS228" t="s">
        <v>3623</v>
      </c>
      <c r="BT228" t="str">
        <f>HYPERLINK("https%3A%2F%2Fwww.webofscience.com%2Fwos%2Fwoscc%2Ffull-record%2FWOS:000772827800005","View Full Record in Web of Science")</f>
        <v>View Full Record in Web of Science</v>
      </c>
    </row>
    <row r="229" spans="1:72" x14ac:dyDescent="0.25">
      <c r="A229" t="s">
        <v>72</v>
      </c>
      <c r="B229" t="s">
        <v>3624</v>
      </c>
      <c r="C229" t="s">
        <v>74</v>
      </c>
      <c r="D229" t="s">
        <v>74</v>
      </c>
      <c r="E229" t="s">
        <v>74</v>
      </c>
      <c r="F229" t="s">
        <v>3625</v>
      </c>
      <c r="G229" t="s">
        <v>74</v>
      </c>
      <c r="H229" t="s">
        <v>74</v>
      </c>
      <c r="I229" t="s">
        <v>3626</v>
      </c>
      <c r="J229" t="s">
        <v>3627</v>
      </c>
      <c r="K229" t="s">
        <v>74</v>
      </c>
      <c r="L229" t="s">
        <v>74</v>
      </c>
      <c r="M229" t="s">
        <v>78</v>
      </c>
      <c r="N229" t="s">
        <v>79</v>
      </c>
      <c r="O229" t="s">
        <v>74</v>
      </c>
      <c r="P229" t="s">
        <v>74</v>
      </c>
      <c r="Q229" t="s">
        <v>74</v>
      </c>
      <c r="R229" t="s">
        <v>74</v>
      </c>
      <c r="S229" t="s">
        <v>74</v>
      </c>
      <c r="T229" t="s">
        <v>3628</v>
      </c>
      <c r="U229" t="s">
        <v>3629</v>
      </c>
      <c r="V229" t="s">
        <v>3630</v>
      </c>
      <c r="W229" t="s">
        <v>3631</v>
      </c>
      <c r="X229" t="s">
        <v>3632</v>
      </c>
      <c r="Y229" t="s">
        <v>3633</v>
      </c>
      <c r="Z229" t="s">
        <v>3634</v>
      </c>
      <c r="AA229" t="s">
        <v>3635</v>
      </c>
      <c r="AB229" t="s">
        <v>3636</v>
      </c>
      <c r="AC229" t="s">
        <v>74</v>
      </c>
      <c r="AD229" t="s">
        <v>74</v>
      </c>
      <c r="AE229" t="s">
        <v>74</v>
      </c>
      <c r="AF229" t="s">
        <v>74</v>
      </c>
      <c r="AG229">
        <v>28</v>
      </c>
      <c r="AH229">
        <v>8</v>
      </c>
      <c r="AI229">
        <v>8</v>
      </c>
      <c r="AJ229">
        <v>0</v>
      </c>
      <c r="AK229">
        <v>3</v>
      </c>
      <c r="AL229" t="s">
        <v>2437</v>
      </c>
      <c r="AM229" t="s">
        <v>2438</v>
      </c>
      <c r="AN229" t="s">
        <v>2439</v>
      </c>
      <c r="AO229" t="s">
        <v>74</v>
      </c>
      <c r="AP229" t="s">
        <v>3637</v>
      </c>
      <c r="AQ229" t="s">
        <v>74</v>
      </c>
      <c r="AR229" t="s">
        <v>3638</v>
      </c>
      <c r="AS229" t="s">
        <v>3639</v>
      </c>
      <c r="AT229" t="s">
        <v>2418</v>
      </c>
      <c r="AU229">
        <v>2022</v>
      </c>
      <c r="AV229">
        <v>9</v>
      </c>
      <c r="AW229" t="s">
        <v>74</v>
      </c>
      <c r="AX229" t="s">
        <v>74</v>
      </c>
      <c r="AY229" t="s">
        <v>74</v>
      </c>
      <c r="AZ229" t="s">
        <v>74</v>
      </c>
      <c r="BA229" t="s">
        <v>74</v>
      </c>
      <c r="BB229" t="s">
        <v>74</v>
      </c>
      <c r="BC229" t="s">
        <v>74</v>
      </c>
      <c r="BD229">
        <v>851935</v>
      </c>
      <c r="BE229" t="s">
        <v>3640</v>
      </c>
      <c r="BF229" t="str">
        <f>HYPERLINK("http://dx.doi.org/10.3389/fmed.2022.851935","http://dx.doi.org/10.3389/fmed.2022.851935")</f>
        <v>http://dx.doi.org/10.3389/fmed.2022.851935</v>
      </c>
      <c r="BG229" t="s">
        <v>74</v>
      </c>
      <c r="BH229" t="s">
        <v>74</v>
      </c>
      <c r="BI229">
        <v>8</v>
      </c>
      <c r="BJ229" t="s">
        <v>1152</v>
      </c>
      <c r="BK229" t="s">
        <v>101</v>
      </c>
      <c r="BL229" t="s">
        <v>1153</v>
      </c>
      <c r="BM229" t="s">
        <v>3641</v>
      </c>
      <c r="BN229">
        <v>35321469</v>
      </c>
      <c r="BO229" t="s">
        <v>809</v>
      </c>
      <c r="BP229" t="s">
        <v>74</v>
      </c>
      <c r="BQ229" t="s">
        <v>74</v>
      </c>
      <c r="BR229" t="s">
        <v>104</v>
      </c>
      <c r="BS229" t="s">
        <v>3642</v>
      </c>
      <c r="BT229" t="str">
        <f>HYPERLINK("https%3A%2F%2Fwww.webofscience.com%2Fwos%2Fwoscc%2Ffull-record%2FWOS:000772859800001","View Full Record in Web of Science")</f>
        <v>View Full Record in Web of Science</v>
      </c>
    </row>
    <row r="230" spans="1:72" x14ac:dyDescent="0.25">
      <c r="A230" t="s">
        <v>72</v>
      </c>
      <c r="B230" t="s">
        <v>3451</v>
      </c>
      <c r="C230" t="s">
        <v>74</v>
      </c>
      <c r="D230" t="s">
        <v>74</v>
      </c>
      <c r="E230" t="s">
        <v>74</v>
      </c>
      <c r="F230" t="s">
        <v>3452</v>
      </c>
      <c r="G230" t="s">
        <v>74</v>
      </c>
      <c r="H230" t="s">
        <v>74</v>
      </c>
      <c r="I230" t="s">
        <v>3643</v>
      </c>
      <c r="J230" t="s">
        <v>3644</v>
      </c>
      <c r="K230" t="s">
        <v>74</v>
      </c>
      <c r="L230" t="s">
        <v>74</v>
      </c>
      <c r="M230" t="s">
        <v>78</v>
      </c>
      <c r="N230" t="s">
        <v>140</v>
      </c>
      <c r="O230" t="s">
        <v>74</v>
      </c>
      <c r="P230" t="s">
        <v>74</v>
      </c>
      <c r="Q230" t="s">
        <v>74</v>
      </c>
      <c r="R230" t="s">
        <v>74</v>
      </c>
      <c r="S230" t="s">
        <v>74</v>
      </c>
      <c r="T230" t="s">
        <v>74</v>
      </c>
      <c r="U230" t="s">
        <v>74</v>
      </c>
      <c r="V230" t="s">
        <v>74</v>
      </c>
      <c r="W230" t="s">
        <v>3645</v>
      </c>
      <c r="X230" t="s">
        <v>3646</v>
      </c>
      <c r="Y230" t="s">
        <v>3647</v>
      </c>
      <c r="Z230" t="s">
        <v>3648</v>
      </c>
      <c r="AA230" t="s">
        <v>144</v>
      </c>
      <c r="AB230" t="s">
        <v>257</v>
      </c>
      <c r="AC230" t="s">
        <v>3649</v>
      </c>
      <c r="AD230" t="s">
        <v>3650</v>
      </c>
      <c r="AE230" t="s">
        <v>74</v>
      </c>
      <c r="AF230" t="s">
        <v>74</v>
      </c>
      <c r="AG230">
        <v>8</v>
      </c>
      <c r="AH230">
        <v>10</v>
      </c>
      <c r="AI230">
        <v>10</v>
      </c>
      <c r="AJ230">
        <v>0</v>
      </c>
      <c r="AK230">
        <v>2</v>
      </c>
      <c r="AL230" t="s">
        <v>3651</v>
      </c>
      <c r="AM230" t="s">
        <v>3652</v>
      </c>
      <c r="AN230" t="s">
        <v>3653</v>
      </c>
      <c r="AO230" t="s">
        <v>3654</v>
      </c>
      <c r="AP230" t="s">
        <v>3655</v>
      </c>
      <c r="AQ230" t="s">
        <v>74</v>
      </c>
      <c r="AR230" t="s">
        <v>3656</v>
      </c>
      <c r="AS230" t="s">
        <v>3657</v>
      </c>
      <c r="AT230" t="s">
        <v>997</v>
      </c>
      <c r="AU230">
        <v>2022</v>
      </c>
      <c r="AV230">
        <v>7</v>
      </c>
      <c r="AW230">
        <v>4</v>
      </c>
      <c r="AX230" t="s">
        <v>74</v>
      </c>
      <c r="AY230" t="s">
        <v>74</v>
      </c>
      <c r="AZ230" t="s">
        <v>74</v>
      </c>
      <c r="BA230" t="s">
        <v>74</v>
      </c>
      <c r="BB230">
        <v>369</v>
      </c>
      <c r="BC230">
        <v>370</v>
      </c>
      <c r="BD230" t="s">
        <v>74</v>
      </c>
      <c r="BE230" t="s">
        <v>3658</v>
      </c>
      <c r="BF230" t="str">
        <f>HYPERLINK("http://dx.doi.org/10.1001/jamacardio.2022.0011","http://dx.doi.org/10.1001/jamacardio.2022.0011")</f>
        <v>http://dx.doi.org/10.1001/jamacardio.2022.0011</v>
      </c>
      <c r="BG230" t="s">
        <v>74</v>
      </c>
      <c r="BH230" t="s">
        <v>3579</v>
      </c>
      <c r="BI230">
        <v>2</v>
      </c>
      <c r="BJ230" t="s">
        <v>132</v>
      </c>
      <c r="BK230" t="s">
        <v>101</v>
      </c>
      <c r="BL230" t="s">
        <v>133</v>
      </c>
      <c r="BM230" t="s">
        <v>3659</v>
      </c>
      <c r="BN230">
        <v>35234810</v>
      </c>
      <c r="BO230" t="s">
        <v>74</v>
      </c>
      <c r="BP230" t="s">
        <v>74</v>
      </c>
      <c r="BQ230" t="s">
        <v>74</v>
      </c>
      <c r="BR230" t="s">
        <v>104</v>
      </c>
      <c r="BS230" t="s">
        <v>3660</v>
      </c>
      <c r="BT230" t="str">
        <f>HYPERLINK("https%3A%2F%2Fwww.webofscience.com%2Fwos%2Fwoscc%2Ffull-record%2FWOS:000764268800005","View Full Record in Web of Science")</f>
        <v>View Full Record in Web of Science</v>
      </c>
    </row>
    <row r="231" spans="1:72" x14ac:dyDescent="0.25">
      <c r="A231" t="s">
        <v>72</v>
      </c>
      <c r="B231" t="s">
        <v>3661</v>
      </c>
      <c r="C231" t="s">
        <v>74</v>
      </c>
      <c r="D231" t="s">
        <v>74</v>
      </c>
      <c r="E231" t="s">
        <v>74</v>
      </c>
      <c r="F231" t="s">
        <v>3662</v>
      </c>
      <c r="G231" t="s">
        <v>74</v>
      </c>
      <c r="H231" t="s">
        <v>74</v>
      </c>
      <c r="I231" t="s">
        <v>3663</v>
      </c>
      <c r="J231" t="s">
        <v>3664</v>
      </c>
      <c r="K231" t="s">
        <v>74</v>
      </c>
      <c r="L231" t="s">
        <v>74</v>
      </c>
      <c r="M231" t="s">
        <v>78</v>
      </c>
      <c r="N231" t="s">
        <v>79</v>
      </c>
      <c r="O231" t="s">
        <v>74</v>
      </c>
      <c r="P231" t="s">
        <v>74</v>
      </c>
      <c r="Q231" t="s">
        <v>74</v>
      </c>
      <c r="R231" t="s">
        <v>74</v>
      </c>
      <c r="S231" t="s">
        <v>74</v>
      </c>
      <c r="T231" t="s">
        <v>3665</v>
      </c>
      <c r="U231" t="s">
        <v>3666</v>
      </c>
      <c r="V231" t="s">
        <v>3667</v>
      </c>
      <c r="W231" t="s">
        <v>3668</v>
      </c>
      <c r="X231" t="s">
        <v>3669</v>
      </c>
      <c r="Y231" t="s">
        <v>3670</v>
      </c>
      <c r="Z231" t="s">
        <v>3671</v>
      </c>
      <c r="AA231" t="s">
        <v>3672</v>
      </c>
      <c r="AB231" t="s">
        <v>1947</v>
      </c>
      <c r="AC231" t="s">
        <v>74</v>
      </c>
      <c r="AD231" t="s">
        <v>74</v>
      </c>
      <c r="AE231" t="s">
        <v>74</v>
      </c>
      <c r="AF231" t="s">
        <v>74</v>
      </c>
      <c r="AG231">
        <v>15</v>
      </c>
      <c r="AH231">
        <v>11</v>
      </c>
      <c r="AI231">
        <v>11</v>
      </c>
      <c r="AJ231">
        <v>0</v>
      </c>
      <c r="AK231">
        <v>1</v>
      </c>
      <c r="AL231" t="s">
        <v>3673</v>
      </c>
      <c r="AM231" t="s">
        <v>3674</v>
      </c>
      <c r="AN231" t="s">
        <v>3675</v>
      </c>
      <c r="AO231" t="s">
        <v>3676</v>
      </c>
      <c r="AP231" t="s">
        <v>3677</v>
      </c>
      <c r="AQ231" t="s">
        <v>74</v>
      </c>
      <c r="AR231" t="s">
        <v>3678</v>
      </c>
      <c r="AS231" t="s">
        <v>3679</v>
      </c>
      <c r="AT231" t="s">
        <v>98</v>
      </c>
      <c r="AU231">
        <v>2022</v>
      </c>
      <c r="AV231">
        <v>11</v>
      </c>
      <c r="AW231">
        <v>2</v>
      </c>
      <c r="AX231" t="s">
        <v>74</v>
      </c>
      <c r="AY231" t="s">
        <v>74</v>
      </c>
      <c r="AZ231" t="s">
        <v>74</v>
      </c>
      <c r="BA231" t="s">
        <v>74</v>
      </c>
      <c r="BB231">
        <v>143</v>
      </c>
      <c r="BC231">
        <v>150</v>
      </c>
      <c r="BD231" t="s">
        <v>74</v>
      </c>
      <c r="BE231" t="s">
        <v>3680</v>
      </c>
      <c r="BF231" t="str">
        <f>HYPERLINK("http://dx.doi.org/10.21037/acs-2021-pte-20","http://dx.doi.org/10.21037/acs-2021-pte-20")</f>
        <v>http://dx.doi.org/10.21037/acs-2021-pte-20</v>
      </c>
      <c r="BG231" t="s">
        <v>74</v>
      </c>
      <c r="BH231" t="s">
        <v>74</v>
      </c>
      <c r="BI231">
        <v>8</v>
      </c>
      <c r="BJ231" t="s">
        <v>3681</v>
      </c>
      <c r="BK231" t="s">
        <v>101</v>
      </c>
      <c r="BL231" t="s">
        <v>3682</v>
      </c>
      <c r="BM231" t="s">
        <v>3683</v>
      </c>
      <c r="BN231">
        <v>35433355</v>
      </c>
      <c r="BO231" t="s">
        <v>809</v>
      </c>
      <c r="BP231" t="s">
        <v>74</v>
      </c>
      <c r="BQ231" t="s">
        <v>74</v>
      </c>
      <c r="BR231" t="s">
        <v>104</v>
      </c>
      <c r="BS231" t="s">
        <v>3684</v>
      </c>
      <c r="BT231" t="str">
        <f>HYPERLINK("https%3A%2F%2Fwww.webofscience.com%2Fwos%2Fwoscc%2Ffull-record%2FWOS:000782720300008","View Full Record in Web of Science")</f>
        <v>View Full Record in Web of Science</v>
      </c>
    </row>
    <row r="232" spans="1:72" x14ac:dyDescent="0.25">
      <c r="A232" t="s">
        <v>72</v>
      </c>
      <c r="B232" t="s">
        <v>3685</v>
      </c>
      <c r="C232" t="s">
        <v>74</v>
      </c>
      <c r="D232" t="s">
        <v>74</v>
      </c>
      <c r="E232" t="s">
        <v>74</v>
      </c>
      <c r="F232" t="s">
        <v>3686</v>
      </c>
      <c r="G232" t="s">
        <v>74</v>
      </c>
      <c r="H232" t="s">
        <v>74</v>
      </c>
      <c r="I232" t="s">
        <v>3687</v>
      </c>
      <c r="J232" t="s">
        <v>216</v>
      </c>
      <c r="K232" t="s">
        <v>74</v>
      </c>
      <c r="L232" t="s">
        <v>74</v>
      </c>
      <c r="M232" t="s">
        <v>78</v>
      </c>
      <c r="N232" t="s">
        <v>140</v>
      </c>
      <c r="O232" t="s">
        <v>74</v>
      </c>
      <c r="P232" t="s">
        <v>74</v>
      </c>
      <c r="Q232" t="s">
        <v>74</v>
      </c>
      <c r="R232" t="s">
        <v>74</v>
      </c>
      <c r="S232" t="s">
        <v>74</v>
      </c>
      <c r="T232" t="s">
        <v>74</v>
      </c>
      <c r="U232" t="s">
        <v>74</v>
      </c>
      <c r="V232" t="s">
        <v>74</v>
      </c>
      <c r="W232" t="s">
        <v>3688</v>
      </c>
      <c r="X232" t="s">
        <v>3689</v>
      </c>
      <c r="Y232" t="s">
        <v>3690</v>
      </c>
      <c r="Z232" t="s">
        <v>3691</v>
      </c>
      <c r="AA232" t="s">
        <v>3692</v>
      </c>
      <c r="AB232" t="s">
        <v>3693</v>
      </c>
      <c r="AC232" t="s">
        <v>74</v>
      </c>
      <c r="AD232" t="s">
        <v>74</v>
      </c>
      <c r="AE232" t="s">
        <v>74</v>
      </c>
      <c r="AF232" t="s">
        <v>74</v>
      </c>
      <c r="AG232">
        <v>23</v>
      </c>
      <c r="AH232">
        <v>3</v>
      </c>
      <c r="AI232">
        <v>3</v>
      </c>
      <c r="AJ232">
        <v>1</v>
      </c>
      <c r="AK232">
        <v>8</v>
      </c>
      <c r="AL232" t="s">
        <v>219</v>
      </c>
      <c r="AM232" t="s">
        <v>220</v>
      </c>
      <c r="AN232" t="s">
        <v>221</v>
      </c>
      <c r="AO232" t="s">
        <v>222</v>
      </c>
      <c r="AP232" t="s">
        <v>223</v>
      </c>
      <c r="AQ232" t="s">
        <v>74</v>
      </c>
      <c r="AR232" t="s">
        <v>224</v>
      </c>
      <c r="AS232" t="s">
        <v>225</v>
      </c>
      <c r="AT232" t="s">
        <v>1097</v>
      </c>
      <c r="AU232">
        <v>2022</v>
      </c>
      <c r="AV232">
        <v>59</v>
      </c>
      <c r="AW232">
        <v>3</v>
      </c>
      <c r="AX232" t="s">
        <v>74</v>
      </c>
      <c r="AY232" t="s">
        <v>74</v>
      </c>
      <c r="AZ232" t="s">
        <v>74</v>
      </c>
      <c r="BA232" t="s">
        <v>74</v>
      </c>
      <c r="BB232" t="s">
        <v>74</v>
      </c>
      <c r="BC232" t="s">
        <v>74</v>
      </c>
      <c r="BD232">
        <v>2200149</v>
      </c>
      <c r="BE232" t="s">
        <v>3694</v>
      </c>
      <c r="BF232" t="str">
        <f>HYPERLINK("http://dx.doi.org/10.1183/13993003.00149-2022","http://dx.doi.org/10.1183/13993003.00149-2022")</f>
        <v>http://dx.doi.org/10.1183/13993003.00149-2022</v>
      </c>
      <c r="BG232" t="s">
        <v>74</v>
      </c>
      <c r="BH232" t="s">
        <v>74</v>
      </c>
      <c r="BI232">
        <v>6</v>
      </c>
      <c r="BJ232" t="s">
        <v>228</v>
      </c>
      <c r="BK232" t="s">
        <v>101</v>
      </c>
      <c r="BL232" t="s">
        <v>228</v>
      </c>
      <c r="BM232" t="s">
        <v>3695</v>
      </c>
      <c r="BN232">
        <v>35332091</v>
      </c>
      <c r="BO232" t="s">
        <v>1194</v>
      </c>
      <c r="BP232" t="s">
        <v>74</v>
      </c>
      <c r="BQ232" t="s">
        <v>74</v>
      </c>
      <c r="BR232" t="s">
        <v>104</v>
      </c>
      <c r="BS232" t="s">
        <v>3696</v>
      </c>
      <c r="BT232" t="str">
        <f>HYPERLINK("https%3A%2F%2Fwww.webofscience.com%2Fwos%2Fwoscc%2Ffull-record%2FWOS:000792497500010","View Full Record in Web of Science")</f>
        <v>View Full Record in Web of Science</v>
      </c>
    </row>
    <row r="233" spans="1:72" x14ac:dyDescent="0.25">
      <c r="A233" t="s">
        <v>72</v>
      </c>
      <c r="B233" t="s">
        <v>3264</v>
      </c>
      <c r="C233" t="s">
        <v>74</v>
      </c>
      <c r="D233" t="s">
        <v>74</v>
      </c>
      <c r="E233" t="s">
        <v>74</v>
      </c>
      <c r="F233" t="s">
        <v>3265</v>
      </c>
      <c r="G233" t="s">
        <v>74</v>
      </c>
      <c r="H233" t="s">
        <v>3697</v>
      </c>
      <c r="I233" t="s">
        <v>3698</v>
      </c>
      <c r="J233" t="s">
        <v>216</v>
      </c>
      <c r="K233" t="s">
        <v>74</v>
      </c>
      <c r="L233" t="s">
        <v>74</v>
      </c>
      <c r="M233" t="s">
        <v>78</v>
      </c>
      <c r="N233" t="s">
        <v>79</v>
      </c>
      <c r="O233" t="s">
        <v>74</v>
      </c>
      <c r="P233" t="s">
        <v>74</v>
      </c>
      <c r="Q233" t="s">
        <v>74</v>
      </c>
      <c r="R233" t="s">
        <v>74</v>
      </c>
      <c r="S233" t="s">
        <v>74</v>
      </c>
      <c r="T233" t="s">
        <v>74</v>
      </c>
      <c r="U233" t="s">
        <v>3699</v>
      </c>
      <c r="V233" t="s">
        <v>3700</v>
      </c>
      <c r="W233" t="s">
        <v>3701</v>
      </c>
      <c r="X233" t="s">
        <v>3702</v>
      </c>
      <c r="Y233" t="s">
        <v>3703</v>
      </c>
      <c r="Z233" t="s">
        <v>3704</v>
      </c>
      <c r="AA233" t="s">
        <v>3705</v>
      </c>
      <c r="AB233" t="s">
        <v>3706</v>
      </c>
      <c r="AC233" t="s">
        <v>3707</v>
      </c>
      <c r="AD233" t="s">
        <v>3708</v>
      </c>
      <c r="AE233" t="s">
        <v>3709</v>
      </c>
      <c r="AF233" t="s">
        <v>74</v>
      </c>
      <c r="AG233">
        <v>31</v>
      </c>
      <c r="AH233">
        <v>39</v>
      </c>
      <c r="AI233">
        <v>40</v>
      </c>
      <c r="AJ233">
        <v>1</v>
      </c>
      <c r="AK233">
        <v>8</v>
      </c>
      <c r="AL233" t="s">
        <v>219</v>
      </c>
      <c r="AM233" t="s">
        <v>220</v>
      </c>
      <c r="AN233" t="s">
        <v>221</v>
      </c>
      <c r="AO233" t="s">
        <v>222</v>
      </c>
      <c r="AP233" t="s">
        <v>223</v>
      </c>
      <c r="AQ233" t="s">
        <v>74</v>
      </c>
      <c r="AR233" t="s">
        <v>224</v>
      </c>
      <c r="AS233" t="s">
        <v>225</v>
      </c>
      <c r="AT233" t="s">
        <v>1097</v>
      </c>
      <c r="AU233">
        <v>2022</v>
      </c>
      <c r="AV233">
        <v>59</v>
      </c>
      <c r="AW233">
        <v>3</v>
      </c>
      <c r="AX233" t="s">
        <v>74</v>
      </c>
      <c r="AY233" t="s">
        <v>74</v>
      </c>
      <c r="AZ233" t="s">
        <v>74</v>
      </c>
      <c r="BA233" t="s">
        <v>74</v>
      </c>
      <c r="BB233" t="s">
        <v>74</v>
      </c>
      <c r="BC233" t="s">
        <v>74</v>
      </c>
      <c r="BD233">
        <v>2002463</v>
      </c>
      <c r="BE233" t="s">
        <v>3710</v>
      </c>
      <c r="BF233" t="str">
        <f>HYPERLINK("http://dx.doi.org/10.1183/13993003.02463-2020","http://dx.doi.org/10.1183/13993003.02463-2020")</f>
        <v>http://dx.doi.org/10.1183/13993003.02463-2020</v>
      </c>
      <c r="BG233" t="s">
        <v>74</v>
      </c>
      <c r="BH233" t="s">
        <v>74</v>
      </c>
      <c r="BI233">
        <v>11</v>
      </c>
      <c r="BJ233" t="s">
        <v>228</v>
      </c>
      <c r="BK233" t="s">
        <v>101</v>
      </c>
      <c r="BL233" t="s">
        <v>228</v>
      </c>
      <c r="BM233" t="s">
        <v>3695</v>
      </c>
      <c r="BN233">
        <v>34588193</v>
      </c>
      <c r="BO233" t="s">
        <v>246</v>
      </c>
      <c r="BP233" t="s">
        <v>74</v>
      </c>
      <c r="BQ233" t="s">
        <v>74</v>
      </c>
      <c r="BR233" t="s">
        <v>104</v>
      </c>
      <c r="BS233" t="s">
        <v>3711</v>
      </c>
      <c r="BT233" t="str">
        <f>HYPERLINK("https%3A%2F%2Fwww.webofscience.com%2Fwos%2Fwoscc%2Ffull-record%2FWOS:000792497500021","View Full Record in Web of Science")</f>
        <v>View Full Record in Web of Science</v>
      </c>
    </row>
    <row r="234" spans="1:72" x14ac:dyDescent="0.25">
      <c r="A234" t="s">
        <v>72</v>
      </c>
      <c r="B234" t="s">
        <v>3712</v>
      </c>
      <c r="C234" t="s">
        <v>74</v>
      </c>
      <c r="D234" t="s">
        <v>74</v>
      </c>
      <c r="E234" t="s">
        <v>74</v>
      </c>
      <c r="F234" t="s">
        <v>3713</v>
      </c>
      <c r="G234" t="s">
        <v>74</v>
      </c>
      <c r="H234" t="s">
        <v>74</v>
      </c>
      <c r="I234" t="s">
        <v>3714</v>
      </c>
      <c r="J234" t="s">
        <v>324</v>
      </c>
      <c r="K234" t="s">
        <v>74</v>
      </c>
      <c r="L234" t="s">
        <v>74</v>
      </c>
      <c r="M234" t="s">
        <v>78</v>
      </c>
      <c r="N234" t="s">
        <v>460</v>
      </c>
      <c r="O234" t="s">
        <v>74</v>
      </c>
      <c r="P234" t="s">
        <v>74</v>
      </c>
      <c r="Q234" t="s">
        <v>74</v>
      </c>
      <c r="R234" t="s">
        <v>74</v>
      </c>
      <c r="S234" t="s">
        <v>74</v>
      </c>
      <c r="T234" t="s">
        <v>74</v>
      </c>
      <c r="U234" t="s">
        <v>2837</v>
      </c>
      <c r="V234" t="s">
        <v>74</v>
      </c>
      <c r="W234" t="s">
        <v>3715</v>
      </c>
      <c r="X234" t="s">
        <v>3716</v>
      </c>
      <c r="Y234" t="s">
        <v>3717</v>
      </c>
      <c r="Z234" t="s">
        <v>3718</v>
      </c>
      <c r="AA234" t="s">
        <v>144</v>
      </c>
      <c r="AB234" t="s">
        <v>257</v>
      </c>
      <c r="AC234" t="s">
        <v>74</v>
      </c>
      <c r="AD234" t="s">
        <v>74</v>
      </c>
      <c r="AE234" t="s">
        <v>74</v>
      </c>
      <c r="AF234" t="s">
        <v>74</v>
      </c>
      <c r="AG234">
        <v>0</v>
      </c>
      <c r="AH234">
        <v>3</v>
      </c>
      <c r="AI234">
        <v>3</v>
      </c>
      <c r="AJ234">
        <v>0</v>
      </c>
      <c r="AK234">
        <v>0</v>
      </c>
      <c r="AL234" t="s">
        <v>92</v>
      </c>
      <c r="AM234" t="s">
        <v>93</v>
      </c>
      <c r="AN234" t="s">
        <v>94</v>
      </c>
      <c r="AO234" t="s">
        <v>337</v>
      </c>
      <c r="AP234" t="s">
        <v>338</v>
      </c>
      <c r="AQ234" t="s">
        <v>74</v>
      </c>
      <c r="AR234" t="s">
        <v>324</v>
      </c>
      <c r="AS234" t="s">
        <v>339</v>
      </c>
      <c r="AT234" t="s">
        <v>129</v>
      </c>
      <c r="AU234">
        <v>2022</v>
      </c>
      <c r="AV234">
        <v>161</v>
      </c>
      <c r="AW234">
        <v>2</v>
      </c>
      <c r="AX234" t="s">
        <v>74</v>
      </c>
      <c r="AY234" t="s">
        <v>74</v>
      </c>
      <c r="AZ234" t="s">
        <v>74</v>
      </c>
      <c r="BA234" t="s">
        <v>74</v>
      </c>
      <c r="BB234">
        <v>552</v>
      </c>
      <c r="BC234">
        <v>556</v>
      </c>
      <c r="BD234" t="s">
        <v>74</v>
      </c>
      <c r="BE234" t="s">
        <v>3719</v>
      </c>
      <c r="BF234" t="str">
        <f>HYPERLINK("http://dx.doi.org/10.1016/j.chest.2021.09.007","http://dx.doi.org/10.1016/j.chest.2021.09.007")</f>
        <v>http://dx.doi.org/10.1016/j.chest.2021.09.007</v>
      </c>
      <c r="BG234" t="s">
        <v>74</v>
      </c>
      <c r="BH234" t="s">
        <v>3720</v>
      </c>
      <c r="BI234">
        <v>5</v>
      </c>
      <c r="BJ234" t="s">
        <v>341</v>
      </c>
      <c r="BK234" t="s">
        <v>101</v>
      </c>
      <c r="BL234" t="s">
        <v>342</v>
      </c>
      <c r="BM234" t="s">
        <v>3721</v>
      </c>
      <c r="BN234">
        <v>34537187</v>
      </c>
      <c r="BO234" t="s">
        <v>1194</v>
      </c>
      <c r="BP234" t="s">
        <v>74</v>
      </c>
      <c r="BQ234" t="s">
        <v>74</v>
      </c>
      <c r="BR234" t="s">
        <v>104</v>
      </c>
      <c r="BS234" t="s">
        <v>3722</v>
      </c>
      <c r="BT234" t="str">
        <f>HYPERLINK("https%3A%2F%2Fwww.webofscience.com%2Fwos%2Fwoscc%2Ffull-record%2FWOS:000753369000048","View Full Record in Web of Science")</f>
        <v>View Full Record in Web of Science</v>
      </c>
    </row>
    <row r="235" spans="1:72" x14ac:dyDescent="0.25">
      <c r="A235" t="s">
        <v>72</v>
      </c>
      <c r="B235" t="s">
        <v>3723</v>
      </c>
      <c r="C235" t="s">
        <v>74</v>
      </c>
      <c r="D235" t="s">
        <v>74</v>
      </c>
      <c r="E235" t="s">
        <v>74</v>
      </c>
      <c r="F235" t="s">
        <v>3724</v>
      </c>
      <c r="G235" t="s">
        <v>74</v>
      </c>
      <c r="H235" t="s">
        <v>74</v>
      </c>
      <c r="I235" t="s">
        <v>3725</v>
      </c>
      <c r="J235" t="s">
        <v>1348</v>
      </c>
      <c r="K235" t="s">
        <v>74</v>
      </c>
      <c r="L235" t="s">
        <v>74</v>
      </c>
      <c r="M235" t="s">
        <v>78</v>
      </c>
      <c r="N235" t="s">
        <v>79</v>
      </c>
      <c r="O235" t="s">
        <v>74</v>
      </c>
      <c r="P235" t="s">
        <v>74</v>
      </c>
      <c r="Q235" t="s">
        <v>74</v>
      </c>
      <c r="R235" t="s">
        <v>74</v>
      </c>
      <c r="S235" t="s">
        <v>74</v>
      </c>
      <c r="T235" t="s">
        <v>3726</v>
      </c>
      <c r="U235" t="s">
        <v>3727</v>
      </c>
      <c r="V235" t="s">
        <v>3728</v>
      </c>
      <c r="W235" t="s">
        <v>3729</v>
      </c>
      <c r="X235" t="s">
        <v>3730</v>
      </c>
      <c r="Y235" t="s">
        <v>3731</v>
      </c>
      <c r="Z235" t="s">
        <v>3732</v>
      </c>
      <c r="AA235" t="s">
        <v>3733</v>
      </c>
      <c r="AB235" t="s">
        <v>3734</v>
      </c>
      <c r="AC235" t="s">
        <v>74</v>
      </c>
      <c r="AD235" t="s">
        <v>74</v>
      </c>
      <c r="AE235" t="s">
        <v>74</v>
      </c>
      <c r="AF235" t="s">
        <v>74</v>
      </c>
      <c r="AG235">
        <v>20</v>
      </c>
      <c r="AH235">
        <v>2</v>
      </c>
      <c r="AI235">
        <v>2</v>
      </c>
      <c r="AJ235">
        <v>0</v>
      </c>
      <c r="AK235">
        <v>2</v>
      </c>
      <c r="AL235" t="s">
        <v>1358</v>
      </c>
      <c r="AM235" t="s">
        <v>1359</v>
      </c>
      <c r="AN235" t="s">
        <v>1360</v>
      </c>
      <c r="AO235" t="s">
        <v>1361</v>
      </c>
      <c r="AP235" t="s">
        <v>1362</v>
      </c>
      <c r="AQ235" t="s">
        <v>74</v>
      </c>
      <c r="AR235" t="s">
        <v>1363</v>
      </c>
      <c r="AS235" t="s">
        <v>1364</v>
      </c>
      <c r="AT235" t="s">
        <v>129</v>
      </c>
      <c r="AU235">
        <v>2022</v>
      </c>
      <c r="AV235">
        <v>39</v>
      </c>
      <c r="AW235">
        <v>2</v>
      </c>
      <c r="AX235" t="s">
        <v>74</v>
      </c>
      <c r="AY235" t="s">
        <v>74</v>
      </c>
      <c r="AZ235" t="s">
        <v>74</v>
      </c>
      <c r="BA235" t="s">
        <v>74</v>
      </c>
      <c r="BB235">
        <v>84</v>
      </c>
      <c r="BC235">
        <v>89</v>
      </c>
      <c r="BD235" t="s">
        <v>74</v>
      </c>
      <c r="BE235" t="s">
        <v>3735</v>
      </c>
      <c r="BF235" t="str">
        <f>HYPERLINK("http://dx.doi.org/10.1016/j.rmr.2022.02.055","http://dx.doi.org/10.1016/j.rmr.2022.02.055")</f>
        <v>http://dx.doi.org/10.1016/j.rmr.2022.02.055</v>
      </c>
      <c r="BG235" t="s">
        <v>74</v>
      </c>
      <c r="BH235" t="s">
        <v>74</v>
      </c>
      <c r="BI235">
        <v>6</v>
      </c>
      <c r="BJ235" t="s">
        <v>228</v>
      </c>
      <c r="BK235" t="s">
        <v>101</v>
      </c>
      <c r="BL235" t="s">
        <v>228</v>
      </c>
      <c r="BM235" t="s">
        <v>3736</v>
      </c>
      <c r="BN235">
        <v>35219561</v>
      </c>
      <c r="BO235" t="s">
        <v>3737</v>
      </c>
      <c r="BP235" t="s">
        <v>74</v>
      </c>
      <c r="BQ235" t="s">
        <v>74</v>
      </c>
      <c r="BR235" t="s">
        <v>104</v>
      </c>
      <c r="BS235" t="s">
        <v>3738</v>
      </c>
      <c r="BT235" t="str">
        <f>HYPERLINK("https%3A%2F%2Fwww.webofscience.com%2Fwos%2Fwoscc%2Ffull-record%2FWOS:000767284700006","View Full Record in Web of Science")</f>
        <v>View Full Record in Web of Science</v>
      </c>
    </row>
    <row r="236" spans="1:72" x14ac:dyDescent="0.25">
      <c r="A236" t="s">
        <v>72</v>
      </c>
      <c r="B236" t="s">
        <v>3739</v>
      </c>
      <c r="C236" t="s">
        <v>74</v>
      </c>
      <c r="D236" t="s">
        <v>74</v>
      </c>
      <c r="E236" t="s">
        <v>74</v>
      </c>
      <c r="F236" t="s">
        <v>3740</v>
      </c>
      <c r="G236" t="s">
        <v>74</v>
      </c>
      <c r="H236" t="s">
        <v>74</v>
      </c>
      <c r="I236" t="s">
        <v>3741</v>
      </c>
      <c r="J236" t="s">
        <v>324</v>
      </c>
      <c r="K236" t="s">
        <v>74</v>
      </c>
      <c r="L236" t="s">
        <v>74</v>
      </c>
      <c r="M236" t="s">
        <v>78</v>
      </c>
      <c r="N236" t="s">
        <v>79</v>
      </c>
      <c r="O236" t="s">
        <v>74</v>
      </c>
      <c r="P236" t="s">
        <v>74</v>
      </c>
      <c r="Q236" t="s">
        <v>74</v>
      </c>
      <c r="R236" t="s">
        <v>74</v>
      </c>
      <c r="S236" t="s">
        <v>74</v>
      </c>
      <c r="T236" t="s">
        <v>3742</v>
      </c>
      <c r="U236" t="s">
        <v>3743</v>
      </c>
      <c r="V236" t="s">
        <v>3744</v>
      </c>
      <c r="W236" t="s">
        <v>3745</v>
      </c>
      <c r="X236" t="s">
        <v>3746</v>
      </c>
      <c r="Y236" t="s">
        <v>3747</v>
      </c>
      <c r="Z236" t="s">
        <v>3153</v>
      </c>
      <c r="AA236" t="s">
        <v>3748</v>
      </c>
      <c r="AB236" t="s">
        <v>3749</v>
      </c>
      <c r="AC236" t="s">
        <v>3750</v>
      </c>
      <c r="AD236" t="s">
        <v>3750</v>
      </c>
      <c r="AE236" t="s">
        <v>3751</v>
      </c>
      <c r="AF236" t="s">
        <v>74</v>
      </c>
      <c r="AG236">
        <v>77</v>
      </c>
      <c r="AH236">
        <v>45</v>
      </c>
      <c r="AI236">
        <v>47</v>
      </c>
      <c r="AJ236">
        <v>2</v>
      </c>
      <c r="AK236">
        <v>29</v>
      </c>
      <c r="AL236" t="s">
        <v>92</v>
      </c>
      <c r="AM236" t="s">
        <v>93</v>
      </c>
      <c r="AN236" t="s">
        <v>94</v>
      </c>
      <c r="AO236" t="s">
        <v>337</v>
      </c>
      <c r="AP236" t="s">
        <v>338</v>
      </c>
      <c r="AQ236" t="s">
        <v>74</v>
      </c>
      <c r="AR236" t="s">
        <v>324</v>
      </c>
      <c r="AS236" t="s">
        <v>339</v>
      </c>
      <c r="AT236" t="s">
        <v>176</v>
      </c>
      <c r="AU236">
        <v>2022</v>
      </c>
      <c r="AV236">
        <v>161</v>
      </c>
      <c r="AW236">
        <v>1</v>
      </c>
      <c r="AX236" t="s">
        <v>74</v>
      </c>
      <c r="AY236" t="s">
        <v>74</v>
      </c>
      <c r="AZ236" t="s">
        <v>74</v>
      </c>
      <c r="BA236" t="s">
        <v>74</v>
      </c>
      <c r="BB236">
        <v>219</v>
      </c>
      <c r="BC236">
        <v>231</v>
      </c>
      <c r="BD236" t="s">
        <v>74</v>
      </c>
      <c r="BE236" t="s">
        <v>3752</v>
      </c>
      <c r="BF236" t="str">
        <f>HYPERLINK("http://dx.doi.org/10.1016/j.chest.2021.08.040","http://dx.doi.org/10.1016/j.chest.2021.08.040")</f>
        <v>http://dx.doi.org/10.1016/j.chest.2021.08.040</v>
      </c>
      <c r="BG236" t="s">
        <v>74</v>
      </c>
      <c r="BH236" t="s">
        <v>3753</v>
      </c>
      <c r="BI236">
        <v>13</v>
      </c>
      <c r="BJ236" t="s">
        <v>341</v>
      </c>
      <c r="BK236" t="s">
        <v>101</v>
      </c>
      <c r="BL236" t="s">
        <v>342</v>
      </c>
      <c r="BM236" t="s">
        <v>3754</v>
      </c>
      <c r="BN236">
        <v>34391758</v>
      </c>
      <c r="BO236" t="s">
        <v>470</v>
      </c>
      <c r="BP236" t="s">
        <v>74</v>
      </c>
      <c r="BQ236" t="s">
        <v>74</v>
      </c>
      <c r="BR236" t="s">
        <v>104</v>
      </c>
      <c r="BS236" t="s">
        <v>3755</v>
      </c>
      <c r="BT236" t="str">
        <f>HYPERLINK("https%3A%2F%2Fwww.webofscience.com%2Fwos%2Fwoscc%2Ffull-record%2FWOS:000747878800028","View Full Record in Web of Science")</f>
        <v>View Full Record in Web of Science</v>
      </c>
    </row>
    <row r="237" spans="1:72" x14ac:dyDescent="0.25">
      <c r="A237" t="s">
        <v>72</v>
      </c>
      <c r="B237" t="s">
        <v>3756</v>
      </c>
      <c r="C237" t="s">
        <v>74</v>
      </c>
      <c r="D237" t="s">
        <v>74</v>
      </c>
      <c r="E237" t="s">
        <v>74</v>
      </c>
      <c r="F237" t="s">
        <v>3757</v>
      </c>
      <c r="G237" t="s">
        <v>74</v>
      </c>
      <c r="H237" t="s">
        <v>74</v>
      </c>
      <c r="I237" t="s">
        <v>3758</v>
      </c>
      <c r="J237" t="s">
        <v>435</v>
      </c>
      <c r="K237" t="s">
        <v>74</v>
      </c>
      <c r="L237" t="s">
        <v>74</v>
      </c>
      <c r="M237" t="s">
        <v>78</v>
      </c>
      <c r="N237" t="s">
        <v>79</v>
      </c>
      <c r="O237" t="s">
        <v>74</v>
      </c>
      <c r="P237" t="s">
        <v>74</v>
      </c>
      <c r="Q237" t="s">
        <v>74</v>
      </c>
      <c r="R237" t="s">
        <v>74</v>
      </c>
      <c r="S237" t="s">
        <v>74</v>
      </c>
      <c r="T237" t="s">
        <v>3759</v>
      </c>
      <c r="U237" t="s">
        <v>74</v>
      </c>
      <c r="V237" t="s">
        <v>3760</v>
      </c>
      <c r="W237" t="s">
        <v>3761</v>
      </c>
      <c r="X237" t="s">
        <v>3762</v>
      </c>
      <c r="Y237" t="s">
        <v>3763</v>
      </c>
      <c r="Z237" t="s">
        <v>3764</v>
      </c>
      <c r="AA237" t="s">
        <v>3765</v>
      </c>
      <c r="AB237" t="s">
        <v>3766</v>
      </c>
      <c r="AC237" t="s">
        <v>74</v>
      </c>
      <c r="AD237" t="s">
        <v>74</v>
      </c>
      <c r="AE237" t="s">
        <v>74</v>
      </c>
      <c r="AF237" t="s">
        <v>74</v>
      </c>
      <c r="AG237">
        <v>16</v>
      </c>
      <c r="AH237">
        <v>2</v>
      </c>
      <c r="AI237">
        <v>2</v>
      </c>
      <c r="AJ237">
        <v>0</v>
      </c>
      <c r="AK237">
        <v>3</v>
      </c>
      <c r="AL237" t="s">
        <v>169</v>
      </c>
      <c r="AM237" t="s">
        <v>170</v>
      </c>
      <c r="AN237" t="s">
        <v>171</v>
      </c>
      <c r="AO237" t="s">
        <v>448</v>
      </c>
      <c r="AP237" t="s">
        <v>449</v>
      </c>
      <c r="AQ237" t="s">
        <v>74</v>
      </c>
      <c r="AR237" t="s">
        <v>450</v>
      </c>
      <c r="AS237" t="s">
        <v>451</v>
      </c>
      <c r="AT237" t="s">
        <v>176</v>
      </c>
      <c r="AU237">
        <v>2022</v>
      </c>
      <c r="AV237">
        <v>12</v>
      </c>
      <c r="AW237">
        <v>1</v>
      </c>
      <c r="AX237" t="s">
        <v>74</v>
      </c>
      <c r="AY237" t="s">
        <v>74</v>
      </c>
      <c r="AZ237" t="s">
        <v>74</v>
      </c>
      <c r="BA237" t="s">
        <v>74</v>
      </c>
      <c r="BB237" t="s">
        <v>74</v>
      </c>
      <c r="BC237" t="s">
        <v>74</v>
      </c>
      <c r="BD237" t="s">
        <v>3767</v>
      </c>
      <c r="BE237" t="s">
        <v>3768</v>
      </c>
      <c r="BF237" t="str">
        <f>HYPERLINK("http://dx.doi.org/10.1002/pul2.12046","http://dx.doi.org/10.1002/pul2.12046")</f>
        <v>http://dx.doi.org/10.1002/pul2.12046</v>
      </c>
      <c r="BG237" t="s">
        <v>74</v>
      </c>
      <c r="BH237" t="s">
        <v>74</v>
      </c>
      <c r="BI237">
        <v>5</v>
      </c>
      <c r="BJ237" t="s">
        <v>209</v>
      </c>
      <c r="BK237" t="s">
        <v>101</v>
      </c>
      <c r="BL237" t="s">
        <v>210</v>
      </c>
      <c r="BM237" t="s">
        <v>3769</v>
      </c>
      <c r="BN237">
        <v>35506066</v>
      </c>
      <c r="BO237" t="s">
        <v>1665</v>
      </c>
      <c r="BP237" t="s">
        <v>74</v>
      </c>
      <c r="BQ237" t="s">
        <v>74</v>
      </c>
      <c r="BR237" t="s">
        <v>104</v>
      </c>
      <c r="BS237" t="s">
        <v>3770</v>
      </c>
      <c r="BT237" t="str">
        <f>HYPERLINK("https%3A%2F%2Fwww.webofscience.com%2Fwos%2Fwoscc%2Ffull-record%2FWOS:000773550600001","View Full Record in Web of Science")</f>
        <v>View Full Record in Web of Science</v>
      </c>
    </row>
    <row r="238" spans="1:72" x14ac:dyDescent="0.25">
      <c r="A238" t="s">
        <v>72</v>
      </c>
      <c r="B238" t="s">
        <v>3771</v>
      </c>
      <c r="C238" t="s">
        <v>74</v>
      </c>
      <c r="D238" t="s">
        <v>74</v>
      </c>
      <c r="E238" t="s">
        <v>74</v>
      </c>
      <c r="F238" t="s">
        <v>3772</v>
      </c>
      <c r="G238" t="s">
        <v>74</v>
      </c>
      <c r="H238" t="s">
        <v>74</v>
      </c>
      <c r="I238" t="s">
        <v>3773</v>
      </c>
      <c r="J238" t="s">
        <v>435</v>
      </c>
      <c r="K238" t="s">
        <v>74</v>
      </c>
      <c r="L238" t="s">
        <v>74</v>
      </c>
      <c r="M238" t="s">
        <v>78</v>
      </c>
      <c r="N238" t="s">
        <v>460</v>
      </c>
      <c r="O238" t="s">
        <v>74</v>
      </c>
      <c r="P238" t="s">
        <v>74</v>
      </c>
      <c r="Q238" t="s">
        <v>74</v>
      </c>
      <c r="R238" t="s">
        <v>74</v>
      </c>
      <c r="S238" t="s">
        <v>74</v>
      </c>
      <c r="T238" t="s">
        <v>3774</v>
      </c>
      <c r="U238" t="s">
        <v>74</v>
      </c>
      <c r="V238" t="s">
        <v>74</v>
      </c>
      <c r="W238" t="s">
        <v>3775</v>
      </c>
      <c r="X238" t="s">
        <v>3298</v>
      </c>
      <c r="Y238" t="s">
        <v>3776</v>
      </c>
      <c r="Z238" t="s">
        <v>331</v>
      </c>
      <c r="AA238" t="s">
        <v>3777</v>
      </c>
      <c r="AB238" t="s">
        <v>3778</v>
      </c>
      <c r="AC238" t="s">
        <v>74</v>
      </c>
      <c r="AD238" t="s">
        <v>74</v>
      </c>
      <c r="AE238" t="s">
        <v>74</v>
      </c>
      <c r="AF238" t="s">
        <v>74</v>
      </c>
      <c r="AG238">
        <v>6</v>
      </c>
      <c r="AH238">
        <v>2</v>
      </c>
      <c r="AI238">
        <v>2</v>
      </c>
      <c r="AJ238">
        <v>0</v>
      </c>
      <c r="AK238">
        <v>0</v>
      </c>
      <c r="AL238" t="s">
        <v>169</v>
      </c>
      <c r="AM238" t="s">
        <v>170</v>
      </c>
      <c r="AN238" t="s">
        <v>171</v>
      </c>
      <c r="AO238" t="s">
        <v>448</v>
      </c>
      <c r="AP238" t="s">
        <v>449</v>
      </c>
      <c r="AQ238" t="s">
        <v>74</v>
      </c>
      <c r="AR238" t="s">
        <v>450</v>
      </c>
      <c r="AS238" t="s">
        <v>451</v>
      </c>
      <c r="AT238" t="s">
        <v>176</v>
      </c>
      <c r="AU238">
        <v>2022</v>
      </c>
      <c r="AV238">
        <v>12</v>
      </c>
      <c r="AW238">
        <v>1</v>
      </c>
      <c r="AX238" t="s">
        <v>74</v>
      </c>
      <c r="AY238" t="s">
        <v>74</v>
      </c>
      <c r="AZ238" t="s">
        <v>74</v>
      </c>
      <c r="BA238" t="s">
        <v>74</v>
      </c>
      <c r="BB238" t="s">
        <v>74</v>
      </c>
      <c r="BC238" t="s">
        <v>74</v>
      </c>
      <c r="BD238" t="s">
        <v>3779</v>
      </c>
      <c r="BE238" t="s">
        <v>3780</v>
      </c>
      <c r="BF238" t="str">
        <f>HYPERLINK("http://dx.doi.org/10.1002/pul2.12023","http://dx.doi.org/10.1002/pul2.12023")</f>
        <v>http://dx.doi.org/10.1002/pul2.12023</v>
      </c>
      <c r="BG238" t="s">
        <v>74</v>
      </c>
      <c r="BH238" t="s">
        <v>74</v>
      </c>
      <c r="BI238">
        <v>2</v>
      </c>
      <c r="BJ238" t="s">
        <v>209</v>
      </c>
      <c r="BK238" t="s">
        <v>101</v>
      </c>
      <c r="BL238" t="s">
        <v>210</v>
      </c>
      <c r="BM238" t="s">
        <v>3781</v>
      </c>
      <c r="BN238">
        <v>35506076</v>
      </c>
      <c r="BO238" t="s">
        <v>103</v>
      </c>
      <c r="BP238" t="s">
        <v>74</v>
      </c>
      <c r="BQ238" t="s">
        <v>74</v>
      </c>
      <c r="BR238" t="s">
        <v>104</v>
      </c>
      <c r="BS238" t="s">
        <v>3782</v>
      </c>
      <c r="BT238" t="str">
        <f>HYPERLINK("https%3A%2F%2Fwww.webofscience.com%2Fwos%2Fwoscc%2Ffull-record%2FWOS:000773549000001","View Full Record in Web of Science")</f>
        <v>View Full Record in Web of Science</v>
      </c>
    </row>
    <row r="239" spans="1:72" x14ac:dyDescent="0.25">
      <c r="A239" t="s">
        <v>72</v>
      </c>
      <c r="B239" t="s">
        <v>3783</v>
      </c>
      <c r="C239" t="s">
        <v>74</v>
      </c>
      <c r="D239" t="s">
        <v>74</v>
      </c>
      <c r="E239" t="s">
        <v>74</v>
      </c>
      <c r="F239" t="s">
        <v>3784</v>
      </c>
      <c r="G239" t="s">
        <v>74</v>
      </c>
      <c r="H239" t="s">
        <v>74</v>
      </c>
      <c r="I239" t="s">
        <v>3785</v>
      </c>
      <c r="J239" t="s">
        <v>435</v>
      </c>
      <c r="K239" t="s">
        <v>74</v>
      </c>
      <c r="L239" t="s">
        <v>74</v>
      </c>
      <c r="M239" t="s">
        <v>78</v>
      </c>
      <c r="N239" t="s">
        <v>79</v>
      </c>
      <c r="O239" t="s">
        <v>74</v>
      </c>
      <c r="P239" t="s">
        <v>74</v>
      </c>
      <c r="Q239" t="s">
        <v>74</v>
      </c>
      <c r="R239" t="s">
        <v>74</v>
      </c>
      <c r="S239" t="s">
        <v>74</v>
      </c>
      <c r="T239" t="s">
        <v>3786</v>
      </c>
      <c r="U239" t="s">
        <v>3787</v>
      </c>
      <c r="V239" t="s">
        <v>3788</v>
      </c>
      <c r="W239" t="s">
        <v>3789</v>
      </c>
      <c r="X239" t="s">
        <v>3790</v>
      </c>
      <c r="Y239" t="s">
        <v>3791</v>
      </c>
      <c r="Z239" t="s">
        <v>3792</v>
      </c>
      <c r="AA239" t="s">
        <v>3793</v>
      </c>
      <c r="AB239" t="s">
        <v>3794</v>
      </c>
      <c r="AC239" t="s">
        <v>74</v>
      </c>
      <c r="AD239" t="s">
        <v>74</v>
      </c>
      <c r="AE239" t="s">
        <v>74</v>
      </c>
      <c r="AF239" t="s">
        <v>74</v>
      </c>
      <c r="AG239">
        <v>45</v>
      </c>
      <c r="AH239">
        <v>0</v>
      </c>
      <c r="AI239">
        <v>0</v>
      </c>
      <c r="AJ239">
        <v>0</v>
      </c>
      <c r="AK239">
        <v>2</v>
      </c>
      <c r="AL239" t="s">
        <v>169</v>
      </c>
      <c r="AM239" t="s">
        <v>170</v>
      </c>
      <c r="AN239" t="s">
        <v>171</v>
      </c>
      <c r="AO239" t="s">
        <v>448</v>
      </c>
      <c r="AP239" t="s">
        <v>449</v>
      </c>
      <c r="AQ239" t="s">
        <v>74</v>
      </c>
      <c r="AR239" t="s">
        <v>450</v>
      </c>
      <c r="AS239" t="s">
        <v>451</v>
      </c>
      <c r="AT239" t="s">
        <v>176</v>
      </c>
      <c r="AU239">
        <v>2022</v>
      </c>
      <c r="AV239">
        <v>12</v>
      </c>
      <c r="AW239">
        <v>1</v>
      </c>
      <c r="AX239" t="s">
        <v>74</v>
      </c>
      <c r="AY239" t="s">
        <v>74</v>
      </c>
      <c r="AZ239" t="s">
        <v>74</v>
      </c>
      <c r="BA239" t="s">
        <v>74</v>
      </c>
      <c r="BB239" t="s">
        <v>74</v>
      </c>
      <c r="BC239" t="s">
        <v>74</v>
      </c>
      <c r="BD239" t="s">
        <v>3795</v>
      </c>
      <c r="BE239" t="s">
        <v>3796</v>
      </c>
      <c r="BF239" t="str">
        <f>HYPERLINK("http://dx.doi.org/10.1002/pul2.12017","http://dx.doi.org/10.1002/pul2.12017")</f>
        <v>http://dx.doi.org/10.1002/pul2.12017</v>
      </c>
      <c r="BG239" t="s">
        <v>74</v>
      </c>
      <c r="BH239" t="s">
        <v>74</v>
      </c>
      <c r="BI239">
        <v>12</v>
      </c>
      <c r="BJ239" t="s">
        <v>209</v>
      </c>
      <c r="BK239" t="s">
        <v>101</v>
      </c>
      <c r="BL239" t="s">
        <v>210</v>
      </c>
      <c r="BM239" t="s">
        <v>3797</v>
      </c>
      <c r="BN239">
        <v>35506099</v>
      </c>
      <c r="BO239" t="s">
        <v>1665</v>
      </c>
      <c r="BP239" t="s">
        <v>74</v>
      </c>
      <c r="BQ239" t="s">
        <v>74</v>
      </c>
      <c r="BR239" t="s">
        <v>104</v>
      </c>
      <c r="BS239" t="s">
        <v>3798</v>
      </c>
      <c r="BT239" t="str">
        <f>HYPERLINK("https%3A%2F%2Fwww.webofscience.com%2Fwos%2Fwoscc%2Ffull-record%2FWOS:000773549600001","View Full Record in Web of Science")</f>
        <v>View Full Record in Web of Science</v>
      </c>
    </row>
    <row r="240" spans="1:72" x14ac:dyDescent="0.25">
      <c r="A240" t="s">
        <v>72</v>
      </c>
      <c r="B240" t="s">
        <v>3799</v>
      </c>
      <c r="C240" t="s">
        <v>74</v>
      </c>
      <c r="D240" t="s">
        <v>74</v>
      </c>
      <c r="E240" t="s">
        <v>74</v>
      </c>
      <c r="F240" t="s">
        <v>3800</v>
      </c>
      <c r="G240" t="s">
        <v>74</v>
      </c>
      <c r="H240" t="s">
        <v>74</v>
      </c>
      <c r="I240" t="s">
        <v>3801</v>
      </c>
      <c r="J240" t="s">
        <v>216</v>
      </c>
      <c r="K240" t="s">
        <v>74</v>
      </c>
      <c r="L240" t="s">
        <v>74</v>
      </c>
      <c r="M240" t="s">
        <v>78</v>
      </c>
      <c r="N240" t="s">
        <v>460</v>
      </c>
      <c r="O240" t="s">
        <v>74</v>
      </c>
      <c r="P240" t="s">
        <v>74</v>
      </c>
      <c r="Q240" t="s">
        <v>74</v>
      </c>
      <c r="R240" t="s">
        <v>74</v>
      </c>
      <c r="S240" t="s">
        <v>74</v>
      </c>
      <c r="T240" t="s">
        <v>74</v>
      </c>
      <c r="U240" t="s">
        <v>3802</v>
      </c>
      <c r="V240" t="s">
        <v>74</v>
      </c>
      <c r="W240" t="s">
        <v>3803</v>
      </c>
      <c r="X240" t="s">
        <v>3804</v>
      </c>
      <c r="Y240" t="s">
        <v>3805</v>
      </c>
      <c r="Z240" t="s">
        <v>2236</v>
      </c>
      <c r="AA240" t="s">
        <v>3806</v>
      </c>
      <c r="AB240" t="s">
        <v>3807</v>
      </c>
      <c r="AC240" t="s">
        <v>74</v>
      </c>
      <c r="AD240" t="s">
        <v>74</v>
      </c>
      <c r="AE240" t="s">
        <v>74</v>
      </c>
      <c r="AF240" t="s">
        <v>74</v>
      </c>
      <c r="AG240">
        <v>0</v>
      </c>
      <c r="AH240">
        <v>4</v>
      </c>
      <c r="AI240">
        <v>4</v>
      </c>
      <c r="AJ240">
        <v>0</v>
      </c>
      <c r="AK240">
        <v>0</v>
      </c>
      <c r="AL240" t="s">
        <v>219</v>
      </c>
      <c r="AM240" t="s">
        <v>220</v>
      </c>
      <c r="AN240" t="s">
        <v>221</v>
      </c>
      <c r="AO240" t="s">
        <v>222</v>
      </c>
      <c r="AP240" t="s">
        <v>223</v>
      </c>
      <c r="AQ240" t="s">
        <v>74</v>
      </c>
      <c r="AR240" t="s">
        <v>224</v>
      </c>
      <c r="AS240" t="s">
        <v>225</v>
      </c>
      <c r="AT240" t="s">
        <v>1247</v>
      </c>
      <c r="AU240">
        <v>2022</v>
      </c>
      <c r="AV240">
        <v>59</v>
      </c>
      <c r="AW240">
        <v>1</v>
      </c>
      <c r="AX240" t="s">
        <v>74</v>
      </c>
      <c r="AY240" t="s">
        <v>74</v>
      </c>
      <c r="AZ240" t="s">
        <v>1080</v>
      </c>
      <c r="BA240" t="s">
        <v>74</v>
      </c>
      <c r="BB240" t="s">
        <v>74</v>
      </c>
      <c r="BC240" t="s">
        <v>74</v>
      </c>
      <c r="BD240">
        <v>2102388</v>
      </c>
      <c r="BE240" t="s">
        <v>3808</v>
      </c>
      <c r="BF240" t="str">
        <f>HYPERLINK("http://dx.doi.org/10.1183/13993003.02388-2021","http://dx.doi.org/10.1183/13993003.02388-2021")</f>
        <v>http://dx.doi.org/10.1183/13993003.02388-2021</v>
      </c>
      <c r="BG240" t="s">
        <v>74</v>
      </c>
      <c r="BH240" t="s">
        <v>74</v>
      </c>
      <c r="BI240">
        <v>4</v>
      </c>
      <c r="BJ240" t="s">
        <v>228</v>
      </c>
      <c r="BK240" t="s">
        <v>101</v>
      </c>
      <c r="BL240" t="s">
        <v>228</v>
      </c>
      <c r="BM240" t="s">
        <v>3809</v>
      </c>
      <c r="BN240">
        <v>34737221</v>
      </c>
      <c r="BO240" t="s">
        <v>1194</v>
      </c>
      <c r="BP240" t="s">
        <v>74</v>
      </c>
      <c r="BQ240" t="s">
        <v>74</v>
      </c>
      <c r="BR240" t="s">
        <v>104</v>
      </c>
      <c r="BS240" t="s">
        <v>3810</v>
      </c>
      <c r="BT240" t="str">
        <f>HYPERLINK("https%3A%2F%2Fwww.webofscience.com%2Fwos%2Fwoscc%2Ffull-record%2FWOS:000753363000006","View Full Record in Web of Science")</f>
        <v>View Full Record in Web of Science</v>
      </c>
    </row>
    <row r="241" spans="1:72" x14ac:dyDescent="0.25">
      <c r="A241" t="s">
        <v>72</v>
      </c>
      <c r="B241" t="s">
        <v>3811</v>
      </c>
      <c r="C241" t="s">
        <v>74</v>
      </c>
      <c r="D241" t="s">
        <v>74</v>
      </c>
      <c r="E241" t="s">
        <v>74</v>
      </c>
      <c r="F241" t="s">
        <v>3812</v>
      </c>
      <c r="G241" t="s">
        <v>74</v>
      </c>
      <c r="H241" t="s">
        <v>74</v>
      </c>
      <c r="I241" t="s">
        <v>3813</v>
      </c>
      <c r="J241" t="s">
        <v>793</v>
      </c>
      <c r="K241" t="s">
        <v>74</v>
      </c>
      <c r="L241" t="s">
        <v>74</v>
      </c>
      <c r="M241" t="s">
        <v>78</v>
      </c>
      <c r="N241" t="s">
        <v>79</v>
      </c>
      <c r="O241" t="s">
        <v>74</v>
      </c>
      <c r="P241" t="s">
        <v>74</v>
      </c>
      <c r="Q241" t="s">
        <v>74</v>
      </c>
      <c r="R241" t="s">
        <v>74</v>
      </c>
      <c r="S241" t="s">
        <v>74</v>
      </c>
      <c r="T241" t="s">
        <v>74</v>
      </c>
      <c r="U241" t="s">
        <v>3814</v>
      </c>
      <c r="V241" t="s">
        <v>3815</v>
      </c>
      <c r="W241" t="s">
        <v>3816</v>
      </c>
      <c r="X241" t="s">
        <v>3817</v>
      </c>
      <c r="Y241" t="s">
        <v>3818</v>
      </c>
      <c r="Z241" t="s">
        <v>3819</v>
      </c>
      <c r="AA241" t="s">
        <v>3820</v>
      </c>
      <c r="AB241" t="s">
        <v>3821</v>
      </c>
      <c r="AC241" t="s">
        <v>3822</v>
      </c>
      <c r="AD241" t="s">
        <v>3823</v>
      </c>
      <c r="AE241" t="s">
        <v>3824</v>
      </c>
      <c r="AF241" t="s">
        <v>74</v>
      </c>
      <c r="AG241">
        <v>28</v>
      </c>
      <c r="AH241">
        <v>3</v>
      </c>
      <c r="AI241">
        <v>3</v>
      </c>
      <c r="AJ241">
        <v>0</v>
      </c>
      <c r="AK241">
        <v>1</v>
      </c>
      <c r="AL241" t="s">
        <v>219</v>
      </c>
      <c r="AM241" t="s">
        <v>220</v>
      </c>
      <c r="AN241" t="s">
        <v>221</v>
      </c>
      <c r="AO241" t="s">
        <v>74</v>
      </c>
      <c r="AP241" t="s">
        <v>803</v>
      </c>
      <c r="AQ241" t="s">
        <v>74</v>
      </c>
      <c r="AR241" t="s">
        <v>804</v>
      </c>
      <c r="AS241" t="s">
        <v>805</v>
      </c>
      <c r="AT241" t="s">
        <v>1247</v>
      </c>
      <c r="AU241">
        <v>2022</v>
      </c>
      <c r="AV241">
        <v>8</v>
      </c>
      <c r="AW241">
        <v>1</v>
      </c>
      <c r="AX241" t="s">
        <v>74</v>
      </c>
      <c r="AY241" t="s">
        <v>74</v>
      </c>
      <c r="AZ241" t="s">
        <v>74</v>
      </c>
      <c r="BA241" t="s">
        <v>74</v>
      </c>
      <c r="BB241" t="s">
        <v>74</v>
      </c>
      <c r="BC241" t="s">
        <v>74</v>
      </c>
      <c r="BD241" t="s">
        <v>3825</v>
      </c>
      <c r="BE241" t="s">
        <v>3826</v>
      </c>
      <c r="BF241" t="str">
        <f>HYPERLINK("http://dx.doi.org/10.1183/23120541.00419-2021","http://dx.doi.org/10.1183/23120541.00419-2021")</f>
        <v>http://dx.doi.org/10.1183/23120541.00419-2021</v>
      </c>
      <c r="BG241" t="s">
        <v>74</v>
      </c>
      <c r="BH241" t="s">
        <v>74</v>
      </c>
      <c r="BI241">
        <v>10</v>
      </c>
      <c r="BJ241" t="s">
        <v>228</v>
      </c>
      <c r="BK241" t="s">
        <v>101</v>
      </c>
      <c r="BL241" t="s">
        <v>228</v>
      </c>
      <c r="BM241" t="s">
        <v>3827</v>
      </c>
      <c r="BN241">
        <v>35036420</v>
      </c>
      <c r="BO241" t="s">
        <v>809</v>
      </c>
      <c r="BP241" t="s">
        <v>74</v>
      </c>
      <c r="BQ241" t="s">
        <v>74</v>
      </c>
      <c r="BR241" t="s">
        <v>104</v>
      </c>
      <c r="BS241" t="s">
        <v>3828</v>
      </c>
      <c r="BT241" t="str">
        <f>HYPERLINK("https%3A%2F%2Fwww.webofscience.com%2Fwos%2Fwoscc%2Ffull-record%2FWOS:000742950600002","View Full Record in Web of Science")</f>
        <v>View Full Record in Web of Science</v>
      </c>
    </row>
    <row r="242" spans="1:72" x14ac:dyDescent="0.25">
      <c r="A242" t="s">
        <v>72</v>
      </c>
      <c r="B242" t="s">
        <v>3829</v>
      </c>
      <c r="C242" t="s">
        <v>74</v>
      </c>
      <c r="D242" t="s">
        <v>74</v>
      </c>
      <c r="E242" t="s">
        <v>74</v>
      </c>
      <c r="F242" t="s">
        <v>3830</v>
      </c>
      <c r="G242" t="s">
        <v>74</v>
      </c>
      <c r="H242" t="s">
        <v>74</v>
      </c>
      <c r="I242" t="s">
        <v>3831</v>
      </c>
      <c r="J242" t="s">
        <v>216</v>
      </c>
      <c r="K242" t="s">
        <v>74</v>
      </c>
      <c r="L242" t="s">
        <v>74</v>
      </c>
      <c r="M242" t="s">
        <v>78</v>
      </c>
      <c r="N242" t="s">
        <v>79</v>
      </c>
      <c r="O242" t="s">
        <v>74</v>
      </c>
      <c r="P242" t="s">
        <v>74</v>
      </c>
      <c r="Q242" t="s">
        <v>74</v>
      </c>
      <c r="R242" t="s">
        <v>74</v>
      </c>
      <c r="S242" t="s">
        <v>74</v>
      </c>
      <c r="T242" t="s">
        <v>74</v>
      </c>
      <c r="U242" t="s">
        <v>3832</v>
      </c>
      <c r="V242" t="s">
        <v>3833</v>
      </c>
      <c r="W242" t="s">
        <v>3834</v>
      </c>
      <c r="X242" t="s">
        <v>3835</v>
      </c>
      <c r="Y242" t="s">
        <v>3836</v>
      </c>
      <c r="Z242" t="s">
        <v>3837</v>
      </c>
      <c r="AA242" t="s">
        <v>3820</v>
      </c>
      <c r="AB242" t="s">
        <v>3821</v>
      </c>
      <c r="AC242" t="s">
        <v>3838</v>
      </c>
      <c r="AD242" t="s">
        <v>3839</v>
      </c>
      <c r="AE242" t="s">
        <v>3840</v>
      </c>
      <c r="AF242" t="s">
        <v>74</v>
      </c>
      <c r="AG242">
        <v>28</v>
      </c>
      <c r="AH242">
        <v>66</v>
      </c>
      <c r="AI242">
        <v>68</v>
      </c>
      <c r="AJ242">
        <v>0</v>
      </c>
      <c r="AK242">
        <v>7</v>
      </c>
      <c r="AL242" t="s">
        <v>219</v>
      </c>
      <c r="AM242" t="s">
        <v>220</v>
      </c>
      <c r="AN242" t="s">
        <v>221</v>
      </c>
      <c r="AO242" t="s">
        <v>222</v>
      </c>
      <c r="AP242" t="s">
        <v>223</v>
      </c>
      <c r="AQ242" t="s">
        <v>74</v>
      </c>
      <c r="AR242" t="s">
        <v>224</v>
      </c>
      <c r="AS242" t="s">
        <v>225</v>
      </c>
      <c r="AT242" t="s">
        <v>1247</v>
      </c>
      <c r="AU242">
        <v>2022</v>
      </c>
      <c r="AV242">
        <v>59</v>
      </c>
      <c r="AW242">
        <v>1</v>
      </c>
      <c r="AX242" t="s">
        <v>74</v>
      </c>
      <c r="AY242" t="s">
        <v>74</v>
      </c>
      <c r="AZ242" t="s">
        <v>1080</v>
      </c>
      <c r="BA242" t="s">
        <v>74</v>
      </c>
      <c r="BB242" t="s">
        <v>74</v>
      </c>
      <c r="BC242" t="s">
        <v>74</v>
      </c>
      <c r="BD242">
        <v>2100396</v>
      </c>
      <c r="BE242" t="s">
        <v>3841</v>
      </c>
      <c r="BF242" t="str">
        <f>HYPERLINK("http://dx.doi.org/10.1183/13993003.00396-2021","http://dx.doi.org/10.1183/13993003.00396-2021")</f>
        <v>http://dx.doi.org/10.1183/13993003.00396-2021</v>
      </c>
      <c r="BG242" t="s">
        <v>74</v>
      </c>
      <c r="BH242" t="s">
        <v>74</v>
      </c>
      <c r="BI242">
        <v>11</v>
      </c>
      <c r="BJ242" t="s">
        <v>228</v>
      </c>
      <c r="BK242" t="s">
        <v>101</v>
      </c>
      <c r="BL242" t="s">
        <v>228</v>
      </c>
      <c r="BM242" t="s">
        <v>3809</v>
      </c>
      <c r="BN242">
        <v>34172470</v>
      </c>
      <c r="BO242" t="s">
        <v>470</v>
      </c>
      <c r="BP242" t="s">
        <v>74</v>
      </c>
      <c r="BQ242" t="s">
        <v>74</v>
      </c>
      <c r="BR242" t="s">
        <v>104</v>
      </c>
      <c r="BS242" t="s">
        <v>3842</v>
      </c>
      <c r="BT242" t="str">
        <f>HYPERLINK("https%3A%2F%2Fwww.webofscience.com%2Fwos%2Fwoscc%2Ffull-record%2FWOS:000753363000026","View Full Record in Web of Science")</f>
        <v>View Full Record in Web of Science</v>
      </c>
    </row>
    <row r="243" spans="1:72" x14ac:dyDescent="0.25">
      <c r="A243" t="s">
        <v>72</v>
      </c>
      <c r="B243" t="s">
        <v>3843</v>
      </c>
      <c r="C243" t="s">
        <v>74</v>
      </c>
      <c r="D243" t="s">
        <v>74</v>
      </c>
      <c r="E243" t="s">
        <v>74</v>
      </c>
      <c r="F243" t="s">
        <v>3844</v>
      </c>
      <c r="G243" t="s">
        <v>74</v>
      </c>
      <c r="H243" t="s">
        <v>74</v>
      </c>
      <c r="I243" t="s">
        <v>3845</v>
      </c>
      <c r="J243" t="s">
        <v>793</v>
      </c>
      <c r="K243" t="s">
        <v>74</v>
      </c>
      <c r="L243" t="s">
        <v>74</v>
      </c>
      <c r="M243" t="s">
        <v>78</v>
      </c>
      <c r="N243" t="s">
        <v>140</v>
      </c>
      <c r="O243" t="s">
        <v>74</v>
      </c>
      <c r="P243" t="s">
        <v>74</v>
      </c>
      <c r="Q243" t="s">
        <v>74</v>
      </c>
      <c r="R243" t="s">
        <v>74</v>
      </c>
      <c r="S243" t="s">
        <v>74</v>
      </c>
      <c r="T243" t="s">
        <v>74</v>
      </c>
      <c r="U243" t="s">
        <v>74</v>
      </c>
      <c r="V243" t="s">
        <v>74</v>
      </c>
      <c r="W243" t="s">
        <v>3846</v>
      </c>
      <c r="X243" t="s">
        <v>3847</v>
      </c>
      <c r="Y243" t="s">
        <v>3848</v>
      </c>
      <c r="Z243" t="s">
        <v>3849</v>
      </c>
      <c r="AA243" t="s">
        <v>3850</v>
      </c>
      <c r="AB243" t="s">
        <v>3851</v>
      </c>
      <c r="AC243" t="s">
        <v>74</v>
      </c>
      <c r="AD243" t="s">
        <v>74</v>
      </c>
      <c r="AE243" t="s">
        <v>74</v>
      </c>
      <c r="AF243" t="s">
        <v>74</v>
      </c>
      <c r="AG243">
        <v>15</v>
      </c>
      <c r="AH243">
        <v>13</v>
      </c>
      <c r="AI243">
        <v>13</v>
      </c>
      <c r="AJ243">
        <v>1</v>
      </c>
      <c r="AK243">
        <v>2</v>
      </c>
      <c r="AL243" t="s">
        <v>219</v>
      </c>
      <c r="AM243" t="s">
        <v>220</v>
      </c>
      <c r="AN243" t="s">
        <v>221</v>
      </c>
      <c r="AO243" t="s">
        <v>74</v>
      </c>
      <c r="AP243" t="s">
        <v>803</v>
      </c>
      <c r="AQ243" t="s">
        <v>74</v>
      </c>
      <c r="AR243" t="s">
        <v>804</v>
      </c>
      <c r="AS243" t="s">
        <v>805</v>
      </c>
      <c r="AT243" t="s">
        <v>1247</v>
      </c>
      <c r="AU243">
        <v>2022</v>
      </c>
      <c r="AV243">
        <v>8</v>
      </c>
      <c r="AW243">
        <v>1</v>
      </c>
      <c r="AX243" t="s">
        <v>74</v>
      </c>
      <c r="AY243" t="s">
        <v>74</v>
      </c>
      <c r="AZ243" t="s">
        <v>74</v>
      </c>
      <c r="BA243" t="s">
        <v>74</v>
      </c>
      <c r="BB243" t="s">
        <v>74</v>
      </c>
      <c r="BC243" t="s">
        <v>74</v>
      </c>
      <c r="BD243" t="s">
        <v>3852</v>
      </c>
      <c r="BE243" t="s">
        <v>3853</v>
      </c>
      <c r="BF243" t="str">
        <f>HYPERLINK("http://dx.doi.org/10.1183/23120541.00655-2021","http://dx.doi.org/10.1183/23120541.00655-2021")</f>
        <v>http://dx.doi.org/10.1183/23120541.00655-2021</v>
      </c>
      <c r="BG243" t="s">
        <v>74</v>
      </c>
      <c r="BH243" t="s">
        <v>74</v>
      </c>
      <c r="BI243">
        <v>4</v>
      </c>
      <c r="BJ243" t="s">
        <v>228</v>
      </c>
      <c r="BK243" t="s">
        <v>101</v>
      </c>
      <c r="BL243" t="s">
        <v>228</v>
      </c>
      <c r="BM243" t="s">
        <v>3854</v>
      </c>
      <c r="BN243">
        <v>35083323</v>
      </c>
      <c r="BO243" t="s">
        <v>809</v>
      </c>
      <c r="BP243" t="s">
        <v>74</v>
      </c>
      <c r="BQ243" t="s">
        <v>74</v>
      </c>
      <c r="BR243" t="s">
        <v>104</v>
      </c>
      <c r="BS243" t="s">
        <v>3855</v>
      </c>
      <c r="BT243" t="str">
        <f>HYPERLINK("https%3A%2F%2Fwww.webofscience.com%2Fwos%2Fwoscc%2Ffull-record%2FWOS:000783165900069","View Full Record in Web of Science")</f>
        <v>View Full Record in Web of Science</v>
      </c>
    </row>
    <row r="244" spans="1:72" x14ac:dyDescent="0.25">
      <c r="A244" t="s">
        <v>72</v>
      </c>
      <c r="B244" t="s">
        <v>3856</v>
      </c>
      <c r="C244" t="s">
        <v>74</v>
      </c>
      <c r="D244" t="s">
        <v>74</v>
      </c>
      <c r="E244" t="s">
        <v>74</v>
      </c>
      <c r="F244" t="s">
        <v>3857</v>
      </c>
      <c r="G244" t="s">
        <v>74</v>
      </c>
      <c r="H244" t="s">
        <v>74</v>
      </c>
      <c r="I244" t="s">
        <v>3858</v>
      </c>
      <c r="J244" t="s">
        <v>814</v>
      </c>
      <c r="K244" t="s">
        <v>74</v>
      </c>
      <c r="L244" t="s">
        <v>74</v>
      </c>
      <c r="M244" t="s">
        <v>78</v>
      </c>
      <c r="N244" t="s">
        <v>299</v>
      </c>
      <c r="O244" t="s">
        <v>74</v>
      </c>
      <c r="P244" t="s">
        <v>74</v>
      </c>
      <c r="Q244" t="s">
        <v>74</v>
      </c>
      <c r="R244" t="s">
        <v>74</v>
      </c>
      <c r="S244" t="s">
        <v>74</v>
      </c>
      <c r="T244" t="s">
        <v>74</v>
      </c>
      <c r="U244" t="s">
        <v>3859</v>
      </c>
      <c r="V244" t="s">
        <v>3860</v>
      </c>
      <c r="W244" t="s">
        <v>3861</v>
      </c>
      <c r="X244" t="s">
        <v>3862</v>
      </c>
      <c r="Y244" t="s">
        <v>3863</v>
      </c>
      <c r="Z244" t="s">
        <v>3864</v>
      </c>
      <c r="AA244" t="s">
        <v>144</v>
      </c>
      <c r="AB244" t="s">
        <v>257</v>
      </c>
      <c r="AC244" t="s">
        <v>74</v>
      </c>
      <c r="AD244" t="s">
        <v>74</v>
      </c>
      <c r="AE244" t="s">
        <v>74</v>
      </c>
      <c r="AF244" t="s">
        <v>74</v>
      </c>
      <c r="AG244">
        <v>95</v>
      </c>
      <c r="AH244">
        <v>66</v>
      </c>
      <c r="AI244">
        <v>68</v>
      </c>
      <c r="AJ244">
        <v>4</v>
      </c>
      <c r="AK244">
        <v>17</v>
      </c>
      <c r="AL244" t="s">
        <v>219</v>
      </c>
      <c r="AM244" t="s">
        <v>220</v>
      </c>
      <c r="AN244" t="s">
        <v>221</v>
      </c>
      <c r="AO244" t="s">
        <v>823</v>
      </c>
      <c r="AP244" t="s">
        <v>824</v>
      </c>
      <c r="AQ244" t="s">
        <v>74</v>
      </c>
      <c r="AR244" t="s">
        <v>825</v>
      </c>
      <c r="AS244" t="s">
        <v>826</v>
      </c>
      <c r="AT244" t="s">
        <v>3865</v>
      </c>
      <c r="AU244">
        <v>2021</v>
      </c>
      <c r="AV244">
        <v>30</v>
      </c>
      <c r="AW244">
        <v>162</v>
      </c>
      <c r="AX244" t="s">
        <v>74</v>
      </c>
      <c r="AY244" t="s">
        <v>74</v>
      </c>
      <c r="AZ244" t="s">
        <v>74</v>
      </c>
      <c r="BA244" t="s">
        <v>74</v>
      </c>
      <c r="BB244" t="s">
        <v>74</v>
      </c>
      <c r="BC244" t="s">
        <v>74</v>
      </c>
      <c r="BD244">
        <v>210152</v>
      </c>
      <c r="BE244" t="s">
        <v>3866</v>
      </c>
      <c r="BF244" t="str">
        <f>HYPERLINK("http://dx.doi.org/10.1183/16000617.0152-2021","http://dx.doi.org/10.1183/16000617.0152-2021")</f>
        <v>http://dx.doi.org/10.1183/16000617.0152-2021</v>
      </c>
      <c r="BG244" t="s">
        <v>74</v>
      </c>
      <c r="BH244" t="s">
        <v>74</v>
      </c>
      <c r="BI244">
        <v>11</v>
      </c>
      <c r="BJ244" t="s">
        <v>228</v>
      </c>
      <c r="BK244" t="s">
        <v>101</v>
      </c>
      <c r="BL244" t="s">
        <v>228</v>
      </c>
      <c r="BM244" t="s">
        <v>3867</v>
      </c>
      <c r="BN244">
        <v>34911694</v>
      </c>
      <c r="BO244" t="s">
        <v>809</v>
      </c>
      <c r="BP244" t="s">
        <v>74</v>
      </c>
      <c r="BQ244" t="s">
        <v>74</v>
      </c>
      <c r="BR244" t="s">
        <v>104</v>
      </c>
      <c r="BS244" t="s">
        <v>3868</v>
      </c>
      <c r="BT244" t="str">
        <f>HYPERLINK("https%3A%2F%2Fwww.webofscience.com%2Fwos%2Fwoscc%2Ffull-record%2FWOS:000769745400018","View Full Record in Web of Science")</f>
        <v>View Full Record in Web of Science</v>
      </c>
    </row>
    <row r="245" spans="1:72" x14ac:dyDescent="0.25">
      <c r="A245" t="s">
        <v>72</v>
      </c>
      <c r="B245" t="s">
        <v>3869</v>
      </c>
      <c r="C245" t="s">
        <v>74</v>
      </c>
      <c r="D245" t="s">
        <v>74</v>
      </c>
      <c r="E245" t="s">
        <v>74</v>
      </c>
      <c r="F245" t="s">
        <v>3870</v>
      </c>
      <c r="G245" t="s">
        <v>74</v>
      </c>
      <c r="H245" t="s">
        <v>74</v>
      </c>
      <c r="I245" t="s">
        <v>3871</v>
      </c>
      <c r="J245" t="s">
        <v>814</v>
      </c>
      <c r="K245" t="s">
        <v>74</v>
      </c>
      <c r="L245" t="s">
        <v>74</v>
      </c>
      <c r="M245" t="s">
        <v>78</v>
      </c>
      <c r="N245" t="s">
        <v>299</v>
      </c>
      <c r="O245" t="s">
        <v>74</v>
      </c>
      <c r="P245" t="s">
        <v>74</v>
      </c>
      <c r="Q245" t="s">
        <v>74</v>
      </c>
      <c r="R245" t="s">
        <v>74</v>
      </c>
      <c r="S245" t="s">
        <v>74</v>
      </c>
      <c r="T245" t="s">
        <v>74</v>
      </c>
      <c r="U245" t="s">
        <v>3872</v>
      </c>
      <c r="V245" t="s">
        <v>3873</v>
      </c>
      <c r="W245" t="s">
        <v>3874</v>
      </c>
      <c r="X245" t="s">
        <v>3875</v>
      </c>
      <c r="Y245" t="s">
        <v>3876</v>
      </c>
      <c r="Z245" t="s">
        <v>377</v>
      </c>
      <c r="AA245" t="s">
        <v>3877</v>
      </c>
      <c r="AB245" t="s">
        <v>3878</v>
      </c>
      <c r="AC245" t="s">
        <v>74</v>
      </c>
      <c r="AD245" t="s">
        <v>74</v>
      </c>
      <c r="AE245" t="s">
        <v>74</v>
      </c>
      <c r="AF245" t="s">
        <v>74</v>
      </c>
      <c r="AG245">
        <v>115</v>
      </c>
      <c r="AH245">
        <v>6</v>
      </c>
      <c r="AI245">
        <v>6</v>
      </c>
      <c r="AJ245">
        <v>1</v>
      </c>
      <c r="AK245">
        <v>6</v>
      </c>
      <c r="AL245" t="s">
        <v>219</v>
      </c>
      <c r="AM245" t="s">
        <v>220</v>
      </c>
      <c r="AN245" t="s">
        <v>221</v>
      </c>
      <c r="AO245" t="s">
        <v>823</v>
      </c>
      <c r="AP245" t="s">
        <v>824</v>
      </c>
      <c r="AQ245" t="s">
        <v>74</v>
      </c>
      <c r="AR245" t="s">
        <v>825</v>
      </c>
      <c r="AS245" t="s">
        <v>826</v>
      </c>
      <c r="AT245" t="s">
        <v>3865</v>
      </c>
      <c r="AU245">
        <v>2021</v>
      </c>
      <c r="AV245">
        <v>30</v>
      </c>
      <c r="AW245">
        <v>162</v>
      </c>
      <c r="AX245" t="s">
        <v>74</v>
      </c>
      <c r="AY245" t="s">
        <v>74</v>
      </c>
      <c r="AZ245" t="s">
        <v>74</v>
      </c>
      <c r="BA245" t="s">
        <v>74</v>
      </c>
      <c r="BB245" t="s">
        <v>74</v>
      </c>
      <c r="BC245" t="s">
        <v>74</v>
      </c>
      <c r="BD245">
        <v>210166</v>
      </c>
      <c r="BE245" t="s">
        <v>3879</v>
      </c>
      <c r="BF245" t="str">
        <f>HYPERLINK("http://dx.doi.org/10.1183/16000617.0166-2021","http://dx.doi.org/10.1183/16000617.0166-2021")</f>
        <v>http://dx.doi.org/10.1183/16000617.0166-2021</v>
      </c>
      <c r="BG245" t="s">
        <v>74</v>
      </c>
      <c r="BH245" t="s">
        <v>74</v>
      </c>
      <c r="BI245">
        <v>16</v>
      </c>
      <c r="BJ245" t="s">
        <v>228</v>
      </c>
      <c r="BK245" t="s">
        <v>101</v>
      </c>
      <c r="BL245" t="s">
        <v>228</v>
      </c>
      <c r="BM245" t="s">
        <v>3867</v>
      </c>
      <c r="BN245">
        <v>34937705</v>
      </c>
      <c r="BO245" t="s">
        <v>809</v>
      </c>
      <c r="BP245" t="s">
        <v>74</v>
      </c>
      <c r="BQ245" t="s">
        <v>74</v>
      </c>
      <c r="BR245" t="s">
        <v>104</v>
      </c>
      <c r="BS245" t="s">
        <v>3880</v>
      </c>
      <c r="BT245" t="str">
        <f>HYPERLINK("https%3A%2F%2Fwww.webofscience.com%2Fwos%2Fwoscc%2Ffull-record%2FWOS:000769745400021","View Full Record in Web of Science")</f>
        <v>View Full Record in Web of Science</v>
      </c>
    </row>
    <row r="246" spans="1:72" x14ac:dyDescent="0.25">
      <c r="A246" t="s">
        <v>72</v>
      </c>
      <c r="B246" t="s">
        <v>3881</v>
      </c>
      <c r="C246" t="s">
        <v>74</v>
      </c>
      <c r="D246" t="s">
        <v>74</v>
      </c>
      <c r="E246" t="s">
        <v>74</v>
      </c>
      <c r="F246" t="s">
        <v>3882</v>
      </c>
      <c r="G246" t="s">
        <v>74</v>
      </c>
      <c r="H246" t="s">
        <v>74</v>
      </c>
      <c r="I246" t="s">
        <v>3883</v>
      </c>
      <c r="J246" t="s">
        <v>814</v>
      </c>
      <c r="K246" t="s">
        <v>74</v>
      </c>
      <c r="L246" t="s">
        <v>74</v>
      </c>
      <c r="M246" t="s">
        <v>78</v>
      </c>
      <c r="N246" t="s">
        <v>79</v>
      </c>
      <c r="O246" t="s">
        <v>74</v>
      </c>
      <c r="P246" t="s">
        <v>74</v>
      </c>
      <c r="Q246" t="s">
        <v>74</v>
      </c>
      <c r="R246" t="s">
        <v>74</v>
      </c>
      <c r="S246" t="s">
        <v>74</v>
      </c>
      <c r="T246" t="s">
        <v>74</v>
      </c>
      <c r="U246" t="s">
        <v>3884</v>
      </c>
      <c r="V246" t="s">
        <v>3885</v>
      </c>
      <c r="W246" t="s">
        <v>3886</v>
      </c>
      <c r="X246" t="s">
        <v>3887</v>
      </c>
      <c r="Y246" t="s">
        <v>3888</v>
      </c>
      <c r="Z246" t="s">
        <v>331</v>
      </c>
      <c r="AA246" t="s">
        <v>3889</v>
      </c>
      <c r="AB246" t="s">
        <v>3890</v>
      </c>
      <c r="AC246" t="s">
        <v>74</v>
      </c>
      <c r="AD246" t="s">
        <v>74</v>
      </c>
      <c r="AE246" t="s">
        <v>74</v>
      </c>
      <c r="AF246" t="s">
        <v>74</v>
      </c>
      <c r="AG246">
        <v>165</v>
      </c>
      <c r="AH246">
        <v>53</v>
      </c>
      <c r="AI246">
        <v>54</v>
      </c>
      <c r="AJ246">
        <v>1</v>
      </c>
      <c r="AK246">
        <v>10</v>
      </c>
      <c r="AL246" t="s">
        <v>219</v>
      </c>
      <c r="AM246" t="s">
        <v>220</v>
      </c>
      <c r="AN246" t="s">
        <v>221</v>
      </c>
      <c r="AO246" t="s">
        <v>823</v>
      </c>
      <c r="AP246" t="s">
        <v>824</v>
      </c>
      <c r="AQ246" t="s">
        <v>74</v>
      </c>
      <c r="AR246" t="s">
        <v>825</v>
      </c>
      <c r="AS246" t="s">
        <v>826</v>
      </c>
      <c r="AT246" t="s">
        <v>3865</v>
      </c>
      <c r="AU246">
        <v>2021</v>
      </c>
      <c r="AV246">
        <v>30</v>
      </c>
      <c r="AW246">
        <v>162</v>
      </c>
      <c r="AX246" t="s">
        <v>74</v>
      </c>
      <c r="AY246" t="s">
        <v>74</v>
      </c>
      <c r="AZ246" t="s">
        <v>74</v>
      </c>
      <c r="BA246" t="s">
        <v>74</v>
      </c>
      <c r="BB246" t="s">
        <v>74</v>
      </c>
      <c r="BC246" t="s">
        <v>74</v>
      </c>
      <c r="BD246">
        <v>200330</v>
      </c>
      <c r="BE246" t="s">
        <v>3891</v>
      </c>
      <c r="BF246" t="str">
        <f>HYPERLINK("http://dx.doi.org/10.1183/16000617.0330-2020","http://dx.doi.org/10.1183/16000617.0330-2020")</f>
        <v>http://dx.doi.org/10.1183/16000617.0330-2020</v>
      </c>
      <c r="BG246" t="s">
        <v>74</v>
      </c>
      <c r="BH246" t="s">
        <v>74</v>
      </c>
      <c r="BI246">
        <v>21</v>
      </c>
      <c r="BJ246" t="s">
        <v>228</v>
      </c>
      <c r="BK246" t="s">
        <v>101</v>
      </c>
      <c r="BL246" t="s">
        <v>228</v>
      </c>
      <c r="BM246" t="s">
        <v>3867</v>
      </c>
      <c r="BN246">
        <v>34750113</v>
      </c>
      <c r="BO246" t="s">
        <v>1665</v>
      </c>
      <c r="BP246" t="s">
        <v>74</v>
      </c>
      <c r="BQ246" t="s">
        <v>74</v>
      </c>
      <c r="BR246" t="s">
        <v>104</v>
      </c>
      <c r="BS246" t="s">
        <v>3892</v>
      </c>
      <c r="BT246" t="str">
        <f>HYPERLINK("https%3A%2F%2Fwww.webofscience.com%2Fwos%2Fwoscc%2Ffull-record%2FWOS:000769745400001","View Full Record in Web of Science")</f>
        <v>View Full Record in Web of Science</v>
      </c>
    </row>
    <row r="247" spans="1:72" x14ac:dyDescent="0.25">
      <c r="A247" t="s">
        <v>72</v>
      </c>
      <c r="B247" t="s">
        <v>3893</v>
      </c>
      <c r="C247" t="s">
        <v>74</v>
      </c>
      <c r="D247" t="s">
        <v>74</v>
      </c>
      <c r="E247" t="s">
        <v>74</v>
      </c>
      <c r="F247" t="s">
        <v>3894</v>
      </c>
      <c r="G247" t="s">
        <v>74</v>
      </c>
      <c r="H247" t="s">
        <v>74</v>
      </c>
      <c r="I247" t="s">
        <v>3895</v>
      </c>
      <c r="J247" t="s">
        <v>814</v>
      </c>
      <c r="K247" t="s">
        <v>74</v>
      </c>
      <c r="L247" t="s">
        <v>74</v>
      </c>
      <c r="M247" t="s">
        <v>78</v>
      </c>
      <c r="N247" t="s">
        <v>140</v>
      </c>
      <c r="O247" t="s">
        <v>74</v>
      </c>
      <c r="P247" t="s">
        <v>74</v>
      </c>
      <c r="Q247" t="s">
        <v>74</v>
      </c>
      <c r="R247" t="s">
        <v>74</v>
      </c>
      <c r="S247" t="s">
        <v>74</v>
      </c>
      <c r="T247" t="s">
        <v>74</v>
      </c>
      <c r="U247" t="s">
        <v>74</v>
      </c>
      <c r="V247" t="s">
        <v>74</v>
      </c>
      <c r="W247" t="s">
        <v>3896</v>
      </c>
      <c r="X247" t="s">
        <v>3897</v>
      </c>
      <c r="Y247" t="s">
        <v>3898</v>
      </c>
      <c r="Z247" t="s">
        <v>3899</v>
      </c>
      <c r="AA247" t="s">
        <v>144</v>
      </c>
      <c r="AB247" t="s">
        <v>257</v>
      </c>
      <c r="AC247" t="s">
        <v>74</v>
      </c>
      <c r="AD247" t="s">
        <v>74</v>
      </c>
      <c r="AE247" t="s">
        <v>74</v>
      </c>
      <c r="AF247" t="s">
        <v>74</v>
      </c>
      <c r="AG247">
        <v>11</v>
      </c>
      <c r="AH247">
        <v>0</v>
      </c>
      <c r="AI247">
        <v>0</v>
      </c>
      <c r="AJ247">
        <v>0</v>
      </c>
      <c r="AK247">
        <v>2</v>
      </c>
      <c r="AL247" t="s">
        <v>219</v>
      </c>
      <c r="AM247" t="s">
        <v>220</v>
      </c>
      <c r="AN247" t="s">
        <v>221</v>
      </c>
      <c r="AO247" t="s">
        <v>823</v>
      </c>
      <c r="AP247" t="s">
        <v>824</v>
      </c>
      <c r="AQ247" t="s">
        <v>74</v>
      </c>
      <c r="AR247" t="s">
        <v>825</v>
      </c>
      <c r="AS247" t="s">
        <v>826</v>
      </c>
      <c r="AT247" t="s">
        <v>3865</v>
      </c>
      <c r="AU247">
        <v>2021</v>
      </c>
      <c r="AV247">
        <v>30</v>
      </c>
      <c r="AW247">
        <v>162</v>
      </c>
      <c r="AX247" t="s">
        <v>74</v>
      </c>
      <c r="AY247" t="s">
        <v>74</v>
      </c>
      <c r="AZ247" t="s">
        <v>74</v>
      </c>
      <c r="BA247" t="s">
        <v>74</v>
      </c>
      <c r="BB247" t="s">
        <v>74</v>
      </c>
      <c r="BC247" t="s">
        <v>74</v>
      </c>
      <c r="BD247">
        <v>210258</v>
      </c>
      <c r="BE247" t="s">
        <v>3900</v>
      </c>
      <c r="BF247" t="str">
        <f>HYPERLINK("http://dx.doi.org/10.1183/16000617.0258-2021","http://dx.doi.org/10.1183/16000617.0258-2021")</f>
        <v>http://dx.doi.org/10.1183/16000617.0258-2021</v>
      </c>
      <c r="BG247" t="s">
        <v>74</v>
      </c>
      <c r="BH247" t="s">
        <v>74</v>
      </c>
      <c r="BI247">
        <v>2</v>
      </c>
      <c r="BJ247" t="s">
        <v>228</v>
      </c>
      <c r="BK247" t="s">
        <v>101</v>
      </c>
      <c r="BL247" t="s">
        <v>228</v>
      </c>
      <c r="BM247" t="s">
        <v>3867</v>
      </c>
      <c r="BN247">
        <v>34937707</v>
      </c>
      <c r="BO247" t="s">
        <v>1665</v>
      </c>
      <c r="BP247" t="s">
        <v>74</v>
      </c>
      <c r="BQ247" t="s">
        <v>74</v>
      </c>
      <c r="BR247" t="s">
        <v>104</v>
      </c>
      <c r="BS247" t="s">
        <v>3901</v>
      </c>
      <c r="BT247" t="str">
        <f>HYPERLINK("https%3A%2F%2Fwww.webofscience.com%2Fwos%2Fwoscc%2Ffull-record%2FWOS:000769745400027","View Full Record in Web of Science")</f>
        <v>View Full Record in Web of Science</v>
      </c>
    </row>
    <row r="248" spans="1:72" x14ac:dyDescent="0.25">
      <c r="A248" t="s">
        <v>72</v>
      </c>
      <c r="B248" t="s">
        <v>3902</v>
      </c>
      <c r="C248" t="s">
        <v>74</v>
      </c>
      <c r="D248" t="s">
        <v>74</v>
      </c>
      <c r="E248" t="s">
        <v>74</v>
      </c>
      <c r="F248" t="s">
        <v>3903</v>
      </c>
      <c r="G248" t="s">
        <v>74</v>
      </c>
      <c r="H248" t="s">
        <v>74</v>
      </c>
      <c r="I248" t="s">
        <v>3904</v>
      </c>
      <c r="J248" t="s">
        <v>814</v>
      </c>
      <c r="K248" t="s">
        <v>74</v>
      </c>
      <c r="L248" t="s">
        <v>74</v>
      </c>
      <c r="M248" t="s">
        <v>78</v>
      </c>
      <c r="N248" t="s">
        <v>299</v>
      </c>
      <c r="O248" t="s">
        <v>74</v>
      </c>
      <c r="P248" t="s">
        <v>74</v>
      </c>
      <c r="Q248" t="s">
        <v>74</v>
      </c>
      <c r="R248" t="s">
        <v>74</v>
      </c>
      <c r="S248" t="s">
        <v>74</v>
      </c>
      <c r="T248" t="s">
        <v>74</v>
      </c>
      <c r="U248" t="s">
        <v>3905</v>
      </c>
      <c r="V248" t="s">
        <v>3906</v>
      </c>
      <c r="W248" t="s">
        <v>3907</v>
      </c>
      <c r="X248" t="s">
        <v>3908</v>
      </c>
      <c r="Y248" t="s">
        <v>3909</v>
      </c>
      <c r="Z248" t="s">
        <v>3910</v>
      </c>
      <c r="AA248" t="s">
        <v>3911</v>
      </c>
      <c r="AB248" t="s">
        <v>3912</v>
      </c>
      <c r="AC248" t="s">
        <v>74</v>
      </c>
      <c r="AD248" t="s">
        <v>74</v>
      </c>
      <c r="AE248" t="s">
        <v>74</v>
      </c>
      <c r="AF248" t="s">
        <v>74</v>
      </c>
      <c r="AG248">
        <v>83</v>
      </c>
      <c r="AH248">
        <v>7</v>
      </c>
      <c r="AI248">
        <v>7</v>
      </c>
      <c r="AJ248">
        <v>2</v>
      </c>
      <c r="AK248">
        <v>3</v>
      </c>
      <c r="AL248" t="s">
        <v>219</v>
      </c>
      <c r="AM248" t="s">
        <v>220</v>
      </c>
      <c r="AN248" t="s">
        <v>221</v>
      </c>
      <c r="AO248" t="s">
        <v>823</v>
      </c>
      <c r="AP248" t="s">
        <v>824</v>
      </c>
      <c r="AQ248" t="s">
        <v>74</v>
      </c>
      <c r="AR248" t="s">
        <v>825</v>
      </c>
      <c r="AS248" t="s">
        <v>826</v>
      </c>
      <c r="AT248" t="s">
        <v>3865</v>
      </c>
      <c r="AU248">
        <v>2021</v>
      </c>
      <c r="AV248">
        <v>30</v>
      </c>
      <c r="AW248">
        <v>162</v>
      </c>
      <c r="AX248" t="s">
        <v>74</v>
      </c>
      <c r="AY248" t="s">
        <v>74</v>
      </c>
      <c r="AZ248" t="s">
        <v>74</v>
      </c>
      <c r="BA248" t="s">
        <v>74</v>
      </c>
      <c r="BB248" t="s">
        <v>74</v>
      </c>
      <c r="BC248" t="s">
        <v>74</v>
      </c>
      <c r="BD248">
        <v>210161</v>
      </c>
      <c r="BE248" t="s">
        <v>3913</v>
      </c>
      <c r="BF248" t="str">
        <f>HYPERLINK("http://dx.doi.org/10.1183/16000617.0161-2021","http://dx.doi.org/10.1183/16000617.0161-2021")</f>
        <v>http://dx.doi.org/10.1183/16000617.0161-2021</v>
      </c>
      <c r="BG248" t="s">
        <v>74</v>
      </c>
      <c r="BH248" t="s">
        <v>74</v>
      </c>
      <c r="BI248">
        <v>14</v>
      </c>
      <c r="BJ248" t="s">
        <v>228</v>
      </c>
      <c r="BK248" t="s">
        <v>101</v>
      </c>
      <c r="BL248" t="s">
        <v>228</v>
      </c>
      <c r="BM248" t="s">
        <v>3867</v>
      </c>
      <c r="BN248">
        <v>34937704</v>
      </c>
      <c r="BO248" t="s">
        <v>1665</v>
      </c>
      <c r="BP248" t="s">
        <v>74</v>
      </c>
      <c r="BQ248" t="s">
        <v>74</v>
      </c>
      <c r="BR248" t="s">
        <v>104</v>
      </c>
      <c r="BS248" t="s">
        <v>3914</v>
      </c>
      <c r="BT248" t="str">
        <f>HYPERLINK("https%3A%2F%2Fwww.webofscience.com%2Fwos%2Fwoscc%2Ffull-record%2FWOS:000769745400020","View Full Record in Web of Science")</f>
        <v>View Full Record in Web of Science</v>
      </c>
    </row>
    <row r="249" spans="1:72" x14ac:dyDescent="0.25">
      <c r="A249" t="s">
        <v>72</v>
      </c>
      <c r="B249" t="s">
        <v>3915</v>
      </c>
      <c r="C249" t="s">
        <v>74</v>
      </c>
      <c r="D249" t="s">
        <v>74</v>
      </c>
      <c r="E249" t="s">
        <v>74</v>
      </c>
      <c r="F249" t="s">
        <v>3916</v>
      </c>
      <c r="G249" t="s">
        <v>74</v>
      </c>
      <c r="H249" t="s">
        <v>74</v>
      </c>
      <c r="I249" t="s">
        <v>3917</v>
      </c>
      <c r="J249" t="s">
        <v>814</v>
      </c>
      <c r="K249" t="s">
        <v>74</v>
      </c>
      <c r="L249" t="s">
        <v>74</v>
      </c>
      <c r="M249" t="s">
        <v>78</v>
      </c>
      <c r="N249" t="s">
        <v>140</v>
      </c>
      <c r="O249" t="s">
        <v>74</v>
      </c>
      <c r="P249" t="s">
        <v>74</v>
      </c>
      <c r="Q249" t="s">
        <v>74</v>
      </c>
      <c r="R249" t="s">
        <v>74</v>
      </c>
      <c r="S249" t="s">
        <v>74</v>
      </c>
      <c r="T249" t="s">
        <v>74</v>
      </c>
      <c r="U249" t="s">
        <v>74</v>
      </c>
      <c r="V249" t="s">
        <v>74</v>
      </c>
      <c r="W249" t="s">
        <v>3918</v>
      </c>
      <c r="X249" t="s">
        <v>3919</v>
      </c>
      <c r="Y249" t="s">
        <v>3920</v>
      </c>
      <c r="Z249" t="s">
        <v>3921</v>
      </c>
      <c r="AA249" t="s">
        <v>3922</v>
      </c>
      <c r="AB249" t="s">
        <v>3923</v>
      </c>
      <c r="AC249" t="s">
        <v>74</v>
      </c>
      <c r="AD249" t="s">
        <v>74</v>
      </c>
      <c r="AE249" t="s">
        <v>74</v>
      </c>
      <c r="AF249" t="s">
        <v>74</v>
      </c>
      <c r="AG249">
        <v>9</v>
      </c>
      <c r="AH249">
        <v>1</v>
      </c>
      <c r="AI249">
        <v>1</v>
      </c>
      <c r="AJ249">
        <v>0</v>
      </c>
      <c r="AK249">
        <v>0</v>
      </c>
      <c r="AL249" t="s">
        <v>219</v>
      </c>
      <c r="AM249" t="s">
        <v>220</v>
      </c>
      <c r="AN249" t="s">
        <v>221</v>
      </c>
      <c r="AO249" t="s">
        <v>823</v>
      </c>
      <c r="AP249" t="s">
        <v>824</v>
      </c>
      <c r="AQ249" t="s">
        <v>74</v>
      </c>
      <c r="AR249" t="s">
        <v>825</v>
      </c>
      <c r="AS249" t="s">
        <v>826</v>
      </c>
      <c r="AT249" t="s">
        <v>3865</v>
      </c>
      <c r="AU249">
        <v>2021</v>
      </c>
      <c r="AV249">
        <v>30</v>
      </c>
      <c r="AW249">
        <v>162</v>
      </c>
      <c r="AX249" t="s">
        <v>74</v>
      </c>
      <c r="AY249" t="s">
        <v>74</v>
      </c>
      <c r="AZ249" t="s">
        <v>74</v>
      </c>
      <c r="BA249" t="s">
        <v>74</v>
      </c>
      <c r="BB249" t="s">
        <v>74</v>
      </c>
      <c r="BC249" t="s">
        <v>74</v>
      </c>
      <c r="BD249">
        <v>210217</v>
      </c>
      <c r="BE249" t="s">
        <v>3924</v>
      </c>
      <c r="BF249" t="str">
        <f>HYPERLINK("http://dx.doi.org/10.1183/16000617.0217-2021","http://dx.doi.org/10.1183/16000617.0217-2021")</f>
        <v>http://dx.doi.org/10.1183/16000617.0217-2021</v>
      </c>
      <c r="BG249" t="s">
        <v>74</v>
      </c>
      <c r="BH249" t="s">
        <v>74</v>
      </c>
      <c r="BI249">
        <v>2</v>
      </c>
      <c r="BJ249" t="s">
        <v>228</v>
      </c>
      <c r="BK249" t="s">
        <v>101</v>
      </c>
      <c r="BL249" t="s">
        <v>228</v>
      </c>
      <c r="BM249" t="s">
        <v>3867</v>
      </c>
      <c r="BN249">
        <v>34750117</v>
      </c>
      <c r="BO249" t="s">
        <v>809</v>
      </c>
      <c r="BP249" t="s">
        <v>74</v>
      </c>
      <c r="BQ249" t="s">
        <v>74</v>
      </c>
      <c r="BR249" t="s">
        <v>104</v>
      </c>
      <c r="BS249" t="s">
        <v>3925</v>
      </c>
      <c r="BT249" t="str">
        <f>HYPERLINK("https%3A%2F%2Fwww.webofscience.com%2Fwos%2Fwoscc%2Ffull-record%2FWOS:000769745400026","View Full Record in Web of Science")</f>
        <v>View Full Record in Web of Science</v>
      </c>
    </row>
    <row r="250" spans="1:72" x14ac:dyDescent="0.25">
      <c r="A250" t="s">
        <v>72</v>
      </c>
      <c r="B250" t="s">
        <v>3926</v>
      </c>
      <c r="C250" t="s">
        <v>74</v>
      </c>
      <c r="D250" t="s">
        <v>74</v>
      </c>
      <c r="E250" t="s">
        <v>74</v>
      </c>
      <c r="F250" t="s">
        <v>3927</v>
      </c>
      <c r="G250" t="s">
        <v>74</v>
      </c>
      <c r="H250" t="s">
        <v>74</v>
      </c>
      <c r="I250" t="s">
        <v>3928</v>
      </c>
      <c r="J250" t="s">
        <v>637</v>
      </c>
      <c r="K250" t="s">
        <v>74</v>
      </c>
      <c r="L250" t="s">
        <v>74</v>
      </c>
      <c r="M250" t="s">
        <v>78</v>
      </c>
      <c r="N250" t="s">
        <v>460</v>
      </c>
      <c r="O250" t="s">
        <v>74</v>
      </c>
      <c r="P250" t="s">
        <v>74</v>
      </c>
      <c r="Q250" t="s">
        <v>74</v>
      </c>
      <c r="R250" t="s">
        <v>74</v>
      </c>
      <c r="S250" t="s">
        <v>74</v>
      </c>
      <c r="T250" t="s">
        <v>74</v>
      </c>
      <c r="U250" t="s">
        <v>3929</v>
      </c>
      <c r="V250" t="s">
        <v>74</v>
      </c>
      <c r="W250" t="s">
        <v>3930</v>
      </c>
      <c r="X250" t="s">
        <v>3931</v>
      </c>
      <c r="Y250" t="s">
        <v>3932</v>
      </c>
      <c r="Z250" t="s">
        <v>524</v>
      </c>
      <c r="AA250" t="s">
        <v>1468</v>
      </c>
      <c r="AB250" t="s">
        <v>3933</v>
      </c>
      <c r="AC250" t="s">
        <v>74</v>
      </c>
      <c r="AD250" t="s">
        <v>74</v>
      </c>
      <c r="AE250" t="s">
        <v>74</v>
      </c>
      <c r="AF250" t="s">
        <v>74</v>
      </c>
      <c r="AG250">
        <v>0</v>
      </c>
      <c r="AH250">
        <v>0</v>
      </c>
      <c r="AI250">
        <v>0</v>
      </c>
      <c r="AJ250">
        <v>0</v>
      </c>
      <c r="AK250">
        <v>0</v>
      </c>
      <c r="AL250" t="s">
        <v>649</v>
      </c>
      <c r="AM250" t="s">
        <v>486</v>
      </c>
      <c r="AN250" t="s">
        <v>650</v>
      </c>
      <c r="AO250" t="s">
        <v>651</v>
      </c>
      <c r="AP250" t="s">
        <v>652</v>
      </c>
      <c r="AQ250" t="s">
        <v>74</v>
      </c>
      <c r="AR250" t="s">
        <v>653</v>
      </c>
      <c r="AS250" t="s">
        <v>654</v>
      </c>
      <c r="AT250" t="s">
        <v>155</v>
      </c>
      <c r="AU250">
        <v>2021</v>
      </c>
      <c r="AV250">
        <v>204</v>
      </c>
      <c r="AW250">
        <v>12</v>
      </c>
      <c r="AX250" t="s">
        <v>74</v>
      </c>
      <c r="AY250" t="s">
        <v>74</v>
      </c>
      <c r="AZ250" t="s">
        <v>74</v>
      </c>
      <c r="BA250" t="s">
        <v>74</v>
      </c>
      <c r="BB250">
        <v>1494</v>
      </c>
      <c r="BC250">
        <v>1495</v>
      </c>
      <c r="BD250" t="s">
        <v>74</v>
      </c>
      <c r="BE250" t="s">
        <v>3934</v>
      </c>
      <c r="BF250" t="str">
        <f>HYPERLINK("http://dx.doi.org/10.1164/rccm.202107-1725LE","http://dx.doi.org/10.1164/rccm.202107-1725LE")</f>
        <v>http://dx.doi.org/10.1164/rccm.202107-1725LE</v>
      </c>
      <c r="BG250" t="s">
        <v>74</v>
      </c>
      <c r="BH250" t="s">
        <v>74</v>
      </c>
      <c r="BI250">
        <v>2</v>
      </c>
      <c r="BJ250" t="s">
        <v>341</v>
      </c>
      <c r="BK250" t="s">
        <v>101</v>
      </c>
      <c r="BL250" t="s">
        <v>342</v>
      </c>
      <c r="BM250" t="s">
        <v>3935</v>
      </c>
      <c r="BN250">
        <v>34672868</v>
      </c>
      <c r="BO250" t="s">
        <v>246</v>
      </c>
      <c r="BP250" t="s">
        <v>74</v>
      </c>
      <c r="BQ250" t="s">
        <v>74</v>
      </c>
      <c r="BR250" t="s">
        <v>104</v>
      </c>
      <c r="BS250" t="s">
        <v>3936</v>
      </c>
      <c r="BT250" t="str">
        <f>HYPERLINK("https%3A%2F%2Fwww.webofscience.com%2Fwos%2Fwoscc%2Ffull-record%2FWOS:000731037100027","View Full Record in Web of Science")</f>
        <v>View Full Record in Web of Science</v>
      </c>
    </row>
    <row r="251" spans="1:72" x14ac:dyDescent="0.25">
      <c r="A251" t="s">
        <v>72</v>
      </c>
      <c r="B251" t="s">
        <v>3937</v>
      </c>
      <c r="C251" t="s">
        <v>74</v>
      </c>
      <c r="D251" t="s">
        <v>74</v>
      </c>
      <c r="E251" t="s">
        <v>74</v>
      </c>
      <c r="F251" t="s">
        <v>3938</v>
      </c>
      <c r="G251" t="s">
        <v>74</v>
      </c>
      <c r="H251" t="s">
        <v>3436</v>
      </c>
      <c r="I251" t="s">
        <v>3939</v>
      </c>
      <c r="J251" t="s">
        <v>3940</v>
      </c>
      <c r="K251" t="s">
        <v>74</v>
      </c>
      <c r="L251" t="s">
        <v>74</v>
      </c>
      <c r="M251" t="s">
        <v>78</v>
      </c>
      <c r="N251" t="s">
        <v>79</v>
      </c>
      <c r="O251" t="s">
        <v>74</v>
      </c>
      <c r="P251" t="s">
        <v>74</v>
      </c>
      <c r="Q251" t="s">
        <v>74</v>
      </c>
      <c r="R251" t="s">
        <v>74</v>
      </c>
      <c r="S251" t="s">
        <v>74</v>
      </c>
      <c r="T251" t="s">
        <v>74</v>
      </c>
      <c r="U251" t="s">
        <v>3941</v>
      </c>
      <c r="V251" t="s">
        <v>3942</v>
      </c>
      <c r="W251" t="s">
        <v>3943</v>
      </c>
      <c r="X251" t="s">
        <v>3944</v>
      </c>
      <c r="Y251" t="s">
        <v>3945</v>
      </c>
      <c r="Z251" t="s">
        <v>3946</v>
      </c>
      <c r="AA251" t="s">
        <v>3947</v>
      </c>
      <c r="AB251" t="s">
        <v>3948</v>
      </c>
      <c r="AC251" t="s">
        <v>3949</v>
      </c>
      <c r="AD251" t="s">
        <v>3950</v>
      </c>
      <c r="AE251" t="s">
        <v>3951</v>
      </c>
      <c r="AF251" t="s">
        <v>74</v>
      </c>
      <c r="AG251">
        <v>66</v>
      </c>
      <c r="AH251">
        <v>30</v>
      </c>
      <c r="AI251">
        <v>31</v>
      </c>
      <c r="AJ251">
        <v>0</v>
      </c>
      <c r="AK251">
        <v>6</v>
      </c>
      <c r="AL251" t="s">
        <v>282</v>
      </c>
      <c r="AM251" t="s">
        <v>283</v>
      </c>
      <c r="AN251" t="s">
        <v>284</v>
      </c>
      <c r="AO251" t="s">
        <v>74</v>
      </c>
      <c r="AP251" t="s">
        <v>3952</v>
      </c>
      <c r="AQ251" t="s">
        <v>74</v>
      </c>
      <c r="AR251" t="s">
        <v>3953</v>
      </c>
      <c r="AS251" t="s">
        <v>3954</v>
      </c>
      <c r="AT251" t="s">
        <v>3955</v>
      </c>
      <c r="AU251">
        <v>2021</v>
      </c>
      <c r="AV251">
        <v>12</v>
      </c>
      <c r="AW251">
        <v>1</v>
      </c>
      <c r="AX251" t="s">
        <v>74</v>
      </c>
      <c r="AY251" t="s">
        <v>74</v>
      </c>
      <c r="AZ251" t="s">
        <v>74</v>
      </c>
      <c r="BA251" t="s">
        <v>74</v>
      </c>
      <c r="BB251" t="s">
        <v>74</v>
      </c>
      <c r="BC251" t="s">
        <v>74</v>
      </c>
      <c r="BD251">
        <v>7104</v>
      </c>
      <c r="BE251" t="s">
        <v>3956</v>
      </c>
      <c r="BF251" t="str">
        <f>HYPERLINK("http://dx.doi.org/10.1038/s41467-021-27326-0","http://dx.doi.org/10.1038/s41467-021-27326-0")</f>
        <v>http://dx.doi.org/10.1038/s41467-021-27326-0</v>
      </c>
      <c r="BG251" t="s">
        <v>74</v>
      </c>
      <c r="BH251" t="s">
        <v>74</v>
      </c>
      <c r="BI251">
        <v>14</v>
      </c>
      <c r="BJ251" t="s">
        <v>290</v>
      </c>
      <c r="BK251" t="s">
        <v>101</v>
      </c>
      <c r="BL251" t="s">
        <v>291</v>
      </c>
      <c r="BM251" t="s">
        <v>3957</v>
      </c>
      <c r="BN251">
        <v>34876579</v>
      </c>
      <c r="BO251" t="s">
        <v>1665</v>
      </c>
      <c r="BP251" t="s">
        <v>74</v>
      </c>
      <c r="BQ251" t="s">
        <v>74</v>
      </c>
      <c r="BR251" t="s">
        <v>104</v>
      </c>
      <c r="BS251" t="s">
        <v>3958</v>
      </c>
      <c r="BT251" t="str">
        <f>HYPERLINK("https%3A%2F%2Fwww.webofscience.com%2Fwos%2Fwoscc%2Ffull-record%2FWOS:000728559600008","View Full Record in Web of Science")</f>
        <v>View Full Record in Web of Science</v>
      </c>
    </row>
    <row r="252" spans="1:72" x14ac:dyDescent="0.25">
      <c r="A252" t="s">
        <v>72</v>
      </c>
      <c r="B252" t="s">
        <v>3959</v>
      </c>
      <c r="C252" t="s">
        <v>74</v>
      </c>
      <c r="D252" t="s">
        <v>74</v>
      </c>
      <c r="E252" t="s">
        <v>74</v>
      </c>
      <c r="F252" t="s">
        <v>3960</v>
      </c>
      <c r="G252" t="s">
        <v>74</v>
      </c>
      <c r="H252" t="s">
        <v>74</v>
      </c>
      <c r="I252" t="s">
        <v>3961</v>
      </c>
      <c r="J252" t="s">
        <v>637</v>
      </c>
      <c r="K252" t="s">
        <v>74</v>
      </c>
      <c r="L252" t="s">
        <v>74</v>
      </c>
      <c r="M252" t="s">
        <v>78</v>
      </c>
      <c r="N252" t="s">
        <v>79</v>
      </c>
      <c r="O252" t="s">
        <v>74</v>
      </c>
      <c r="P252" t="s">
        <v>74</v>
      </c>
      <c r="Q252" t="s">
        <v>74</v>
      </c>
      <c r="R252" t="s">
        <v>74</v>
      </c>
      <c r="S252" t="s">
        <v>74</v>
      </c>
      <c r="T252" t="s">
        <v>74</v>
      </c>
      <c r="U252" t="s">
        <v>3962</v>
      </c>
      <c r="V252" t="s">
        <v>74</v>
      </c>
      <c r="W252" t="s">
        <v>3963</v>
      </c>
      <c r="X252" t="s">
        <v>3964</v>
      </c>
      <c r="Y252" t="s">
        <v>2050</v>
      </c>
      <c r="Z252" t="s">
        <v>2051</v>
      </c>
      <c r="AA252" t="s">
        <v>3965</v>
      </c>
      <c r="AB252" t="s">
        <v>3966</v>
      </c>
      <c r="AC252" t="s">
        <v>2054</v>
      </c>
      <c r="AD252" t="s">
        <v>2055</v>
      </c>
      <c r="AE252" t="s">
        <v>3967</v>
      </c>
      <c r="AF252" t="s">
        <v>74</v>
      </c>
      <c r="AG252">
        <v>72</v>
      </c>
      <c r="AH252">
        <v>163</v>
      </c>
      <c r="AI252">
        <v>171</v>
      </c>
      <c r="AJ252">
        <v>7</v>
      </c>
      <c r="AK252">
        <v>26</v>
      </c>
      <c r="AL252" t="s">
        <v>649</v>
      </c>
      <c r="AM252" t="s">
        <v>486</v>
      </c>
      <c r="AN252" t="s">
        <v>650</v>
      </c>
      <c r="AO252" t="s">
        <v>651</v>
      </c>
      <c r="AP252" t="s">
        <v>652</v>
      </c>
      <c r="AQ252" t="s">
        <v>74</v>
      </c>
      <c r="AR252" t="s">
        <v>653</v>
      </c>
      <c r="AS252" t="s">
        <v>654</v>
      </c>
      <c r="AT252" t="s">
        <v>2689</v>
      </c>
      <c r="AU252">
        <v>2021</v>
      </c>
      <c r="AV252">
        <v>204</v>
      </c>
      <c r="AW252">
        <v>11</v>
      </c>
      <c r="AX252" t="s">
        <v>74</v>
      </c>
      <c r="AY252" t="s">
        <v>74</v>
      </c>
      <c r="AZ252" t="s">
        <v>74</v>
      </c>
      <c r="BA252" t="s">
        <v>74</v>
      </c>
      <c r="BB252">
        <v>1251</v>
      </c>
      <c r="BC252">
        <v>1258</v>
      </c>
      <c r="BD252" t="s">
        <v>74</v>
      </c>
      <c r="BE252" t="s">
        <v>3968</v>
      </c>
      <c r="BF252" t="str">
        <f>HYPERLINK("http://dx.doi.org/10.1164/rccm.202108-1819PP","http://dx.doi.org/10.1164/rccm.202108-1819PP")</f>
        <v>http://dx.doi.org/10.1164/rccm.202108-1819PP</v>
      </c>
      <c r="BG252" t="s">
        <v>74</v>
      </c>
      <c r="BH252" t="s">
        <v>74</v>
      </c>
      <c r="BI252">
        <v>8</v>
      </c>
      <c r="BJ252" t="s">
        <v>341</v>
      </c>
      <c r="BK252" t="s">
        <v>101</v>
      </c>
      <c r="BL252" t="s">
        <v>342</v>
      </c>
      <c r="BM252" t="s">
        <v>3969</v>
      </c>
      <c r="BN252">
        <v>34570991</v>
      </c>
      <c r="BO252" t="s">
        <v>246</v>
      </c>
      <c r="BP252" t="s">
        <v>1155</v>
      </c>
      <c r="BQ252" t="s">
        <v>1156</v>
      </c>
      <c r="BR252" t="s">
        <v>104</v>
      </c>
      <c r="BS252" t="s">
        <v>3970</v>
      </c>
      <c r="BT252" t="str">
        <f>HYPERLINK("https%3A%2F%2Fwww.webofscience.com%2Fwos%2Fwoscc%2Ffull-record%2FWOS:000726576300009","View Full Record in Web of Science")</f>
        <v>View Full Record in Web of Science</v>
      </c>
    </row>
    <row r="253" spans="1:72" x14ac:dyDescent="0.25">
      <c r="A253" t="s">
        <v>72</v>
      </c>
      <c r="B253" t="s">
        <v>3971</v>
      </c>
      <c r="C253" t="s">
        <v>74</v>
      </c>
      <c r="D253" t="s">
        <v>74</v>
      </c>
      <c r="E253" t="s">
        <v>74</v>
      </c>
      <c r="F253" t="s">
        <v>3972</v>
      </c>
      <c r="G253" t="s">
        <v>74</v>
      </c>
      <c r="H253" t="s">
        <v>74</v>
      </c>
      <c r="I253" t="s">
        <v>3973</v>
      </c>
      <c r="J253" t="s">
        <v>216</v>
      </c>
      <c r="K253" t="s">
        <v>74</v>
      </c>
      <c r="L253" t="s">
        <v>74</v>
      </c>
      <c r="M253" t="s">
        <v>78</v>
      </c>
      <c r="N253" t="s">
        <v>140</v>
      </c>
      <c r="O253" t="s">
        <v>74</v>
      </c>
      <c r="P253" t="s">
        <v>74</v>
      </c>
      <c r="Q253" t="s">
        <v>74</v>
      </c>
      <c r="R253" t="s">
        <v>74</v>
      </c>
      <c r="S253" t="s">
        <v>74</v>
      </c>
      <c r="T253" t="s">
        <v>74</v>
      </c>
      <c r="U253" t="s">
        <v>74</v>
      </c>
      <c r="V253" t="s">
        <v>74</v>
      </c>
      <c r="W253" t="s">
        <v>3974</v>
      </c>
      <c r="X253" t="s">
        <v>3975</v>
      </c>
      <c r="Y253" t="s">
        <v>3976</v>
      </c>
      <c r="Z253" t="s">
        <v>799</v>
      </c>
      <c r="AA253" t="s">
        <v>3977</v>
      </c>
      <c r="AB253" t="s">
        <v>3168</v>
      </c>
      <c r="AC253" t="s">
        <v>3978</v>
      </c>
      <c r="AD253" t="s">
        <v>3979</v>
      </c>
      <c r="AE253" t="s">
        <v>3980</v>
      </c>
      <c r="AF253" t="s">
        <v>74</v>
      </c>
      <c r="AG253">
        <v>0</v>
      </c>
      <c r="AH253">
        <v>9</v>
      </c>
      <c r="AI253">
        <v>9</v>
      </c>
      <c r="AJ253">
        <v>0</v>
      </c>
      <c r="AK253">
        <v>5</v>
      </c>
      <c r="AL253" t="s">
        <v>219</v>
      </c>
      <c r="AM253" t="s">
        <v>220</v>
      </c>
      <c r="AN253" t="s">
        <v>221</v>
      </c>
      <c r="AO253" t="s">
        <v>222</v>
      </c>
      <c r="AP253" t="s">
        <v>223</v>
      </c>
      <c r="AQ253" t="s">
        <v>74</v>
      </c>
      <c r="AR253" t="s">
        <v>224</v>
      </c>
      <c r="AS253" t="s">
        <v>225</v>
      </c>
      <c r="AT253" t="s">
        <v>2689</v>
      </c>
      <c r="AU253">
        <v>2021</v>
      </c>
      <c r="AV253">
        <v>58</v>
      </c>
      <c r="AW253">
        <v>6</v>
      </c>
      <c r="AX253" t="s">
        <v>74</v>
      </c>
      <c r="AY253" t="s">
        <v>74</v>
      </c>
      <c r="AZ253" t="s">
        <v>74</v>
      </c>
      <c r="BA253" t="s">
        <v>74</v>
      </c>
      <c r="BB253" t="s">
        <v>74</v>
      </c>
      <c r="BC253" t="s">
        <v>74</v>
      </c>
      <c r="BD253">
        <v>2101576</v>
      </c>
      <c r="BE253" t="s">
        <v>3981</v>
      </c>
      <c r="BF253" t="str">
        <f>HYPERLINK("http://dx.doi.org/10.1183/13993003.01576-2021","http://dx.doi.org/10.1183/13993003.01576-2021")</f>
        <v>http://dx.doi.org/10.1183/13993003.01576-2021</v>
      </c>
      <c r="BG253" t="s">
        <v>74</v>
      </c>
      <c r="BH253" t="s">
        <v>74</v>
      </c>
      <c r="BI253">
        <v>4</v>
      </c>
      <c r="BJ253" t="s">
        <v>228</v>
      </c>
      <c r="BK253" t="s">
        <v>101</v>
      </c>
      <c r="BL253" t="s">
        <v>228</v>
      </c>
      <c r="BM253" t="s">
        <v>3982</v>
      </c>
      <c r="BN253">
        <v>34588195</v>
      </c>
      <c r="BO253" t="s">
        <v>1194</v>
      </c>
      <c r="BP253" t="s">
        <v>74</v>
      </c>
      <c r="BQ253" t="s">
        <v>74</v>
      </c>
      <c r="BR253" t="s">
        <v>104</v>
      </c>
      <c r="BS253" t="s">
        <v>3983</v>
      </c>
      <c r="BT253" t="str">
        <f>HYPERLINK("https%3A%2F%2Fwww.webofscience.com%2Fwos%2Fwoscc%2Ffull-record%2FWOS:000728787900006","View Full Record in Web of Science")</f>
        <v>View Full Record in Web of Science</v>
      </c>
    </row>
    <row r="254" spans="1:72" x14ac:dyDescent="0.25">
      <c r="A254" t="s">
        <v>72</v>
      </c>
      <c r="B254" t="s">
        <v>3984</v>
      </c>
      <c r="C254" t="s">
        <v>74</v>
      </c>
      <c r="D254" t="s">
        <v>74</v>
      </c>
      <c r="E254" t="s">
        <v>74</v>
      </c>
      <c r="F254" t="s">
        <v>3985</v>
      </c>
      <c r="G254" t="s">
        <v>74</v>
      </c>
      <c r="H254" t="s">
        <v>74</v>
      </c>
      <c r="I254" t="s">
        <v>3986</v>
      </c>
      <c r="J254" t="s">
        <v>2645</v>
      </c>
      <c r="K254" t="s">
        <v>74</v>
      </c>
      <c r="L254" t="s">
        <v>74</v>
      </c>
      <c r="M254" t="s">
        <v>78</v>
      </c>
      <c r="N254" t="s">
        <v>299</v>
      </c>
      <c r="O254" t="s">
        <v>74</v>
      </c>
      <c r="P254" t="s">
        <v>74</v>
      </c>
      <c r="Q254" t="s">
        <v>74</v>
      </c>
      <c r="R254" t="s">
        <v>74</v>
      </c>
      <c r="S254" t="s">
        <v>74</v>
      </c>
      <c r="T254" t="s">
        <v>3987</v>
      </c>
      <c r="U254" t="s">
        <v>3988</v>
      </c>
      <c r="V254" t="s">
        <v>3989</v>
      </c>
      <c r="W254" t="s">
        <v>3990</v>
      </c>
      <c r="X254" t="s">
        <v>3991</v>
      </c>
      <c r="Y254" t="s">
        <v>3992</v>
      </c>
      <c r="Z254" t="s">
        <v>3993</v>
      </c>
      <c r="AA254" t="s">
        <v>3417</v>
      </c>
      <c r="AB254" t="s">
        <v>3994</v>
      </c>
      <c r="AC254" t="s">
        <v>3995</v>
      </c>
      <c r="AD254" t="s">
        <v>3996</v>
      </c>
      <c r="AE254" t="s">
        <v>3997</v>
      </c>
      <c r="AF254" t="s">
        <v>74</v>
      </c>
      <c r="AG254">
        <v>250</v>
      </c>
      <c r="AH254">
        <v>19</v>
      </c>
      <c r="AI254">
        <v>19</v>
      </c>
      <c r="AJ254">
        <v>1</v>
      </c>
      <c r="AK254">
        <v>9</v>
      </c>
      <c r="AL254" t="s">
        <v>1113</v>
      </c>
      <c r="AM254" t="s">
        <v>1114</v>
      </c>
      <c r="AN254" t="s">
        <v>1115</v>
      </c>
      <c r="AO254" t="s">
        <v>74</v>
      </c>
      <c r="AP254" t="s">
        <v>2657</v>
      </c>
      <c r="AQ254" t="s">
        <v>74</v>
      </c>
      <c r="AR254" t="s">
        <v>2645</v>
      </c>
      <c r="AS254" t="s">
        <v>2658</v>
      </c>
      <c r="AT254" t="s">
        <v>226</v>
      </c>
      <c r="AU254">
        <v>2021</v>
      </c>
      <c r="AV254">
        <v>11</v>
      </c>
      <c r="AW254">
        <v>12</v>
      </c>
      <c r="AX254" t="s">
        <v>74</v>
      </c>
      <c r="AY254" t="s">
        <v>74</v>
      </c>
      <c r="AZ254" t="s">
        <v>74</v>
      </c>
      <c r="BA254" t="s">
        <v>74</v>
      </c>
      <c r="BB254" t="s">
        <v>74</v>
      </c>
      <c r="BC254" t="s">
        <v>74</v>
      </c>
      <c r="BD254">
        <v>1781</v>
      </c>
      <c r="BE254" t="s">
        <v>3998</v>
      </c>
      <c r="BF254" t="str">
        <f>HYPERLINK("http://dx.doi.org/10.3390/biom11121781","http://dx.doi.org/10.3390/biom11121781")</f>
        <v>http://dx.doi.org/10.3390/biom11121781</v>
      </c>
      <c r="BG254" t="s">
        <v>74</v>
      </c>
      <c r="BH254" t="s">
        <v>74</v>
      </c>
      <c r="BI254">
        <v>25</v>
      </c>
      <c r="BJ254" t="s">
        <v>2660</v>
      </c>
      <c r="BK254" t="s">
        <v>101</v>
      </c>
      <c r="BL254" t="s">
        <v>2660</v>
      </c>
      <c r="BM254" t="s">
        <v>3999</v>
      </c>
      <c r="BN254">
        <v>34944425</v>
      </c>
      <c r="BO254" t="s">
        <v>809</v>
      </c>
      <c r="BP254" t="s">
        <v>74</v>
      </c>
      <c r="BQ254" t="s">
        <v>74</v>
      </c>
      <c r="BR254" t="s">
        <v>104</v>
      </c>
      <c r="BS254" t="s">
        <v>4000</v>
      </c>
      <c r="BT254" t="str">
        <f>HYPERLINK("https%3A%2F%2Fwww.webofscience.com%2Fwos%2Fwoscc%2Ffull-record%2FWOS:000736083200001","View Full Record in Web of Science")</f>
        <v>View Full Record in Web of Science</v>
      </c>
    </row>
    <row r="255" spans="1:72" x14ac:dyDescent="0.25">
      <c r="A255" t="s">
        <v>72</v>
      </c>
      <c r="B255" t="s">
        <v>4001</v>
      </c>
      <c r="C255" t="s">
        <v>74</v>
      </c>
      <c r="D255" t="s">
        <v>74</v>
      </c>
      <c r="E255" t="s">
        <v>74</v>
      </c>
      <c r="F255" t="s">
        <v>4002</v>
      </c>
      <c r="G255" t="s">
        <v>74</v>
      </c>
      <c r="H255" t="s">
        <v>74</v>
      </c>
      <c r="I255" t="s">
        <v>4003</v>
      </c>
      <c r="J255" t="s">
        <v>251</v>
      </c>
      <c r="K255" t="s">
        <v>74</v>
      </c>
      <c r="L255" t="s">
        <v>74</v>
      </c>
      <c r="M255" t="s">
        <v>78</v>
      </c>
      <c r="N255" t="s">
        <v>52</v>
      </c>
      <c r="O255" t="s">
        <v>4004</v>
      </c>
      <c r="P255" t="s">
        <v>4005</v>
      </c>
      <c r="Q255" t="s">
        <v>4006</v>
      </c>
      <c r="R255" t="s">
        <v>1376</v>
      </c>
      <c r="S255" t="s">
        <v>74</v>
      </c>
      <c r="T255" t="s">
        <v>74</v>
      </c>
      <c r="U255" t="s">
        <v>74</v>
      </c>
      <c r="V255" t="s">
        <v>74</v>
      </c>
      <c r="W255" t="s">
        <v>74</v>
      </c>
      <c r="X255" t="s">
        <v>74</v>
      </c>
      <c r="Y255" t="s">
        <v>74</v>
      </c>
      <c r="Z255" t="s">
        <v>74</v>
      </c>
      <c r="AA255" t="s">
        <v>4007</v>
      </c>
      <c r="AB255" t="s">
        <v>257</v>
      </c>
      <c r="AC255" t="s">
        <v>74</v>
      </c>
      <c r="AD255" t="s">
        <v>74</v>
      </c>
      <c r="AE255" t="s">
        <v>74</v>
      </c>
      <c r="AF255" t="s">
        <v>74</v>
      </c>
      <c r="AG255">
        <v>0</v>
      </c>
      <c r="AH255">
        <v>0</v>
      </c>
      <c r="AI255">
        <v>0</v>
      </c>
      <c r="AJ255">
        <v>0</v>
      </c>
      <c r="AK255">
        <v>1</v>
      </c>
      <c r="AL255" t="s">
        <v>122</v>
      </c>
      <c r="AM255" t="s">
        <v>123</v>
      </c>
      <c r="AN255" t="s">
        <v>124</v>
      </c>
      <c r="AO255" t="s">
        <v>258</v>
      </c>
      <c r="AP255" t="s">
        <v>259</v>
      </c>
      <c r="AQ255" t="s">
        <v>74</v>
      </c>
      <c r="AR255" t="s">
        <v>251</v>
      </c>
      <c r="AS255" t="s">
        <v>260</v>
      </c>
      <c r="AT255" t="s">
        <v>288</v>
      </c>
      <c r="AU255">
        <v>2021</v>
      </c>
      <c r="AV255">
        <v>144</v>
      </c>
      <c r="AW255" t="s">
        <v>74</v>
      </c>
      <c r="AX255" t="s">
        <v>74</v>
      </c>
      <c r="AY255">
        <v>1</v>
      </c>
      <c r="AZ255" t="s">
        <v>74</v>
      </c>
      <c r="BA255" t="s">
        <v>4008</v>
      </c>
      <c r="BB255" t="s">
        <v>74</v>
      </c>
      <c r="BC255" t="s">
        <v>74</v>
      </c>
      <c r="BD255" t="s">
        <v>74</v>
      </c>
      <c r="BE255" t="s">
        <v>74</v>
      </c>
      <c r="BF255" t="s">
        <v>74</v>
      </c>
      <c r="BG255" t="s">
        <v>74</v>
      </c>
      <c r="BH255" t="s">
        <v>74</v>
      </c>
      <c r="BI255">
        <v>2</v>
      </c>
      <c r="BJ255" t="s">
        <v>263</v>
      </c>
      <c r="BK255" t="s">
        <v>512</v>
      </c>
      <c r="BL255" t="s">
        <v>133</v>
      </c>
      <c r="BM255" t="s">
        <v>4009</v>
      </c>
      <c r="BN255" t="s">
        <v>74</v>
      </c>
      <c r="BO255" t="s">
        <v>74</v>
      </c>
      <c r="BP255" t="s">
        <v>74</v>
      </c>
      <c r="BQ255" t="s">
        <v>74</v>
      </c>
      <c r="BR255" t="s">
        <v>104</v>
      </c>
      <c r="BS255" t="s">
        <v>4010</v>
      </c>
      <c r="BT255" t="str">
        <f>HYPERLINK("https%3A%2F%2Fwww.webofscience.com%2Fwos%2Fwoscc%2Ffull-record%2FWOS:000752020002023","View Full Record in Web of Science")</f>
        <v>View Full Record in Web of Science</v>
      </c>
    </row>
    <row r="256" spans="1:72" x14ac:dyDescent="0.25">
      <c r="A256" t="s">
        <v>72</v>
      </c>
      <c r="B256" t="s">
        <v>4011</v>
      </c>
      <c r="C256" t="s">
        <v>74</v>
      </c>
      <c r="D256" t="s">
        <v>74</v>
      </c>
      <c r="E256" t="s">
        <v>74</v>
      </c>
      <c r="F256" t="s">
        <v>4012</v>
      </c>
      <c r="G256" t="s">
        <v>74</v>
      </c>
      <c r="H256" t="s">
        <v>74</v>
      </c>
      <c r="I256" t="s">
        <v>4013</v>
      </c>
      <c r="J256" t="s">
        <v>251</v>
      </c>
      <c r="K256" t="s">
        <v>74</v>
      </c>
      <c r="L256" t="s">
        <v>74</v>
      </c>
      <c r="M256" t="s">
        <v>78</v>
      </c>
      <c r="N256" t="s">
        <v>52</v>
      </c>
      <c r="O256" t="s">
        <v>4004</v>
      </c>
      <c r="P256" t="s">
        <v>4005</v>
      </c>
      <c r="Q256" t="s">
        <v>4006</v>
      </c>
      <c r="R256" t="s">
        <v>1376</v>
      </c>
      <c r="S256" t="s">
        <v>74</v>
      </c>
      <c r="T256" t="s">
        <v>74</v>
      </c>
      <c r="U256" t="s">
        <v>74</v>
      </c>
      <c r="V256" t="s">
        <v>74</v>
      </c>
      <c r="W256" t="s">
        <v>74</v>
      </c>
      <c r="X256" t="s">
        <v>74</v>
      </c>
      <c r="Y256" t="s">
        <v>74</v>
      </c>
      <c r="Z256" t="s">
        <v>74</v>
      </c>
      <c r="AA256" t="s">
        <v>4014</v>
      </c>
      <c r="AB256" t="s">
        <v>257</v>
      </c>
      <c r="AC256" t="s">
        <v>74</v>
      </c>
      <c r="AD256" t="s">
        <v>74</v>
      </c>
      <c r="AE256" t="s">
        <v>74</v>
      </c>
      <c r="AF256" t="s">
        <v>74</v>
      </c>
      <c r="AG256">
        <v>0</v>
      </c>
      <c r="AH256">
        <v>0</v>
      </c>
      <c r="AI256">
        <v>0</v>
      </c>
      <c r="AJ256">
        <v>0</v>
      </c>
      <c r="AK256">
        <v>1</v>
      </c>
      <c r="AL256" t="s">
        <v>122</v>
      </c>
      <c r="AM256" t="s">
        <v>123</v>
      </c>
      <c r="AN256" t="s">
        <v>124</v>
      </c>
      <c r="AO256" t="s">
        <v>258</v>
      </c>
      <c r="AP256" t="s">
        <v>259</v>
      </c>
      <c r="AQ256" t="s">
        <v>74</v>
      </c>
      <c r="AR256" t="s">
        <v>251</v>
      </c>
      <c r="AS256" t="s">
        <v>260</v>
      </c>
      <c r="AT256" t="s">
        <v>288</v>
      </c>
      <c r="AU256">
        <v>2021</v>
      </c>
      <c r="AV256">
        <v>144</v>
      </c>
      <c r="AW256" t="s">
        <v>74</v>
      </c>
      <c r="AX256" t="s">
        <v>74</v>
      </c>
      <c r="AY256">
        <v>1</v>
      </c>
      <c r="AZ256" t="s">
        <v>74</v>
      </c>
      <c r="BA256" t="s">
        <v>4015</v>
      </c>
      <c r="BB256" t="s">
        <v>74</v>
      </c>
      <c r="BC256" t="s">
        <v>74</v>
      </c>
      <c r="BD256" t="s">
        <v>74</v>
      </c>
      <c r="BE256" t="s">
        <v>74</v>
      </c>
      <c r="BF256" t="s">
        <v>74</v>
      </c>
      <c r="BG256" t="s">
        <v>74</v>
      </c>
      <c r="BH256" t="s">
        <v>74</v>
      </c>
      <c r="BI256">
        <v>2</v>
      </c>
      <c r="BJ256" t="s">
        <v>263</v>
      </c>
      <c r="BK256" t="s">
        <v>512</v>
      </c>
      <c r="BL256" t="s">
        <v>133</v>
      </c>
      <c r="BM256" t="s">
        <v>4009</v>
      </c>
      <c r="BN256" t="s">
        <v>74</v>
      </c>
      <c r="BO256" t="s">
        <v>74</v>
      </c>
      <c r="BP256" t="s">
        <v>74</v>
      </c>
      <c r="BQ256" t="s">
        <v>74</v>
      </c>
      <c r="BR256" t="s">
        <v>104</v>
      </c>
      <c r="BS256" t="s">
        <v>4016</v>
      </c>
      <c r="BT256" t="str">
        <f>HYPERLINK("https%3A%2F%2Fwww.webofscience.com%2Fwos%2Fwoscc%2Ffull-record%2FWOS:000752020002028","View Full Record in Web of Science")</f>
        <v>View Full Record in Web of Science</v>
      </c>
    </row>
    <row r="257" spans="1:72" x14ac:dyDescent="0.25">
      <c r="A257" t="s">
        <v>72</v>
      </c>
      <c r="B257" t="s">
        <v>4017</v>
      </c>
      <c r="C257" t="s">
        <v>74</v>
      </c>
      <c r="D257" t="s">
        <v>74</v>
      </c>
      <c r="E257" t="s">
        <v>74</v>
      </c>
      <c r="F257" t="s">
        <v>4018</v>
      </c>
      <c r="G257" t="s">
        <v>74</v>
      </c>
      <c r="H257" t="s">
        <v>74</v>
      </c>
      <c r="I257" t="s">
        <v>4019</v>
      </c>
      <c r="J257" t="s">
        <v>251</v>
      </c>
      <c r="K257" t="s">
        <v>74</v>
      </c>
      <c r="L257" t="s">
        <v>74</v>
      </c>
      <c r="M257" t="s">
        <v>78</v>
      </c>
      <c r="N257" t="s">
        <v>52</v>
      </c>
      <c r="O257" t="s">
        <v>4004</v>
      </c>
      <c r="P257" t="s">
        <v>4005</v>
      </c>
      <c r="Q257" t="s">
        <v>4006</v>
      </c>
      <c r="R257" t="s">
        <v>1376</v>
      </c>
      <c r="S257" t="s">
        <v>74</v>
      </c>
      <c r="T257" t="s">
        <v>74</v>
      </c>
      <c r="U257" t="s">
        <v>74</v>
      </c>
      <c r="V257" t="s">
        <v>74</v>
      </c>
      <c r="W257" t="s">
        <v>74</v>
      </c>
      <c r="X257" t="s">
        <v>74</v>
      </c>
      <c r="Y257" t="s">
        <v>74</v>
      </c>
      <c r="Z257" t="s">
        <v>74</v>
      </c>
      <c r="AA257" t="s">
        <v>2713</v>
      </c>
      <c r="AB257" t="s">
        <v>257</v>
      </c>
      <c r="AC257" t="s">
        <v>74</v>
      </c>
      <c r="AD257" t="s">
        <v>74</v>
      </c>
      <c r="AE257" t="s">
        <v>74</v>
      </c>
      <c r="AF257" t="s">
        <v>74</v>
      </c>
      <c r="AG257">
        <v>0</v>
      </c>
      <c r="AH257">
        <v>0</v>
      </c>
      <c r="AI257">
        <v>0</v>
      </c>
      <c r="AJ257">
        <v>0</v>
      </c>
      <c r="AK257">
        <v>0</v>
      </c>
      <c r="AL257" t="s">
        <v>122</v>
      </c>
      <c r="AM257" t="s">
        <v>123</v>
      </c>
      <c r="AN257" t="s">
        <v>124</v>
      </c>
      <c r="AO257" t="s">
        <v>258</v>
      </c>
      <c r="AP257" t="s">
        <v>259</v>
      </c>
      <c r="AQ257" t="s">
        <v>74</v>
      </c>
      <c r="AR257" t="s">
        <v>251</v>
      </c>
      <c r="AS257" t="s">
        <v>260</v>
      </c>
      <c r="AT257" t="s">
        <v>288</v>
      </c>
      <c r="AU257">
        <v>2021</v>
      </c>
      <c r="AV257">
        <v>144</v>
      </c>
      <c r="AW257" t="s">
        <v>74</v>
      </c>
      <c r="AX257" t="s">
        <v>74</v>
      </c>
      <c r="AY257">
        <v>1</v>
      </c>
      <c r="AZ257" t="s">
        <v>74</v>
      </c>
      <c r="BA257" t="s">
        <v>4020</v>
      </c>
      <c r="BB257" t="s">
        <v>74</v>
      </c>
      <c r="BC257" t="s">
        <v>74</v>
      </c>
      <c r="BD257" t="s">
        <v>74</v>
      </c>
      <c r="BE257" t="s">
        <v>74</v>
      </c>
      <c r="BF257" t="s">
        <v>74</v>
      </c>
      <c r="BG257" t="s">
        <v>74</v>
      </c>
      <c r="BH257" t="s">
        <v>74</v>
      </c>
      <c r="BI257">
        <v>2</v>
      </c>
      <c r="BJ257" t="s">
        <v>263</v>
      </c>
      <c r="BK257" t="s">
        <v>512</v>
      </c>
      <c r="BL257" t="s">
        <v>133</v>
      </c>
      <c r="BM257" t="s">
        <v>4009</v>
      </c>
      <c r="BN257" t="s">
        <v>74</v>
      </c>
      <c r="BO257" t="s">
        <v>74</v>
      </c>
      <c r="BP257" t="s">
        <v>74</v>
      </c>
      <c r="BQ257" t="s">
        <v>74</v>
      </c>
      <c r="BR257" t="s">
        <v>104</v>
      </c>
      <c r="BS257" t="s">
        <v>4021</v>
      </c>
      <c r="BT257" t="str">
        <f>HYPERLINK("https%3A%2F%2Fwww.webofscience.com%2Fwos%2Fwoscc%2Ffull-record%2FWOS:000752020000363","View Full Record in Web of Science")</f>
        <v>View Full Record in Web of Science</v>
      </c>
    </row>
    <row r="258" spans="1:72" x14ac:dyDescent="0.25">
      <c r="A258" t="s">
        <v>72</v>
      </c>
      <c r="B258" t="s">
        <v>4022</v>
      </c>
      <c r="C258" t="s">
        <v>74</v>
      </c>
      <c r="D258" t="s">
        <v>74</v>
      </c>
      <c r="E258" t="s">
        <v>74</v>
      </c>
      <c r="F258" t="s">
        <v>4023</v>
      </c>
      <c r="G258" t="s">
        <v>74</v>
      </c>
      <c r="H258" t="s">
        <v>74</v>
      </c>
      <c r="I258" t="s">
        <v>4024</v>
      </c>
      <c r="J258" t="s">
        <v>216</v>
      </c>
      <c r="K258" t="s">
        <v>74</v>
      </c>
      <c r="L258" t="s">
        <v>74</v>
      </c>
      <c r="M258" t="s">
        <v>78</v>
      </c>
      <c r="N258" t="s">
        <v>79</v>
      </c>
      <c r="O258" t="s">
        <v>74</v>
      </c>
      <c r="P258" t="s">
        <v>74</v>
      </c>
      <c r="Q258" t="s">
        <v>74</v>
      </c>
      <c r="R258" t="s">
        <v>74</v>
      </c>
      <c r="S258" t="s">
        <v>74</v>
      </c>
      <c r="T258" t="s">
        <v>74</v>
      </c>
      <c r="U258" t="s">
        <v>4025</v>
      </c>
      <c r="V258" t="s">
        <v>4026</v>
      </c>
      <c r="W258" t="s">
        <v>4027</v>
      </c>
      <c r="X258" t="s">
        <v>4028</v>
      </c>
      <c r="Y258" t="s">
        <v>4029</v>
      </c>
      <c r="Z258" t="s">
        <v>4030</v>
      </c>
      <c r="AA258" t="s">
        <v>4031</v>
      </c>
      <c r="AB258" t="s">
        <v>4032</v>
      </c>
      <c r="AC258" t="s">
        <v>4033</v>
      </c>
      <c r="AD258" t="s">
        <v>4033</v>
      </c>
      <c r="AE258" t="s">
        <v>4034</v>
      </c>
      <c r="AF258" t="s">
        <v>74</v>
      </c>
      <c r="AG258">
        <v>29</v>
      </c>
      <c r="AH258">
        <v>19</v>
      </c>
      <c r="AI258">
        <v>19</v>
      </c>
      <c r="AJ258">
        <v>0</v>
      </c>
      <c r="AK258">
        <v>3</v>
      </c>
      <c r="AL258" t="s">
        <v>219</v>
      </c>
      <c r="AM258" t="s">
        <v>220</v>
      </c>
      <c r="AN258" t="s">
        <v>221</v>
      </c>
      <c r="AO258" t="s">
        <v>222</v>
      </c>
      <c r="AP258" t="s">
        <v>223</v>
      </c>
      <c r="AQ258" t="s">
        <v>74</v>
      </c>
      <c r="AR258" t="s">
        <v>224</v>
      </c>
      <c r="AS258" t="s">
        <v>225</v>
      </c>
      <c r="AT258" t="s">
        <v>4035</v>
      </c>
      <c r="AU258">
        <v>2021</v>
      </c>
      <c r="AV258">
        <v>58</v>
      </c>
      <c r="AW258">
        <v>5</v>
      </c>
      <c r="AX258" t="s">
        <v>74</v>
      </c>
      <c r="AY258" t="s">
        <v>74</v>
      </c>
      <c r="AZ258" t="s">
        <v>74</v>
      </c>
      <c r="BA258" t="s">
        <v>74</v>
      </c>
      <c r="BB258" t="s">
        <v>74</v>
      </c>
      <c r="BC258" t="s">
        <v>74</v>
      </c>
      <c r="BD258">
        <v>2004066</v>
      </c>
      <c r="BE258" t="s">
        <v>4036</v>
      </c>
      <c r="BF258" t="str">
        <f>HYPERLINK("http://dx.doi.org/10.1183/13993003.04066-2020","http://dx.doi.org/10.1183/13993003.04066-2020")</f>
        <v>http://dx.doi.org/10.1183/13993003.04066-2020</v>
      </c>
      <c r="BG258" t="s">
        <v>74</v>
      </c>
      <c r="BH258" t="s">
        <v>74</v>
      </c>
      <c r="BI258">
        <v>11</v>
      </c>
      <c r="BJ258" t="s">
        <v>228</v>
      </c>
      <c r="BK258" t="s">
        <v>101</v>
      </c>
      <c r="BL258" t="s">
        <v>228</v>
      </c>
      <c r="BM258" t="s">
        <v>4037</v>
      </c>
      <c r="BN258">
        <v>33875491</v>
      </c>
      <c r="BO258" t="s">
        <v>1194</v>
      </c>
      <c r="BP258" t="s">
        <v>74</v>
      </c>
      <c r="BQ258" t="s">
        <v>74</v>
      </c>
      <c r="BR258" t="s">
        <v>104</v>
      </c>
      <c r="BS258" t="s">
        <v>4038</v>
      </c>
      <c r="BT258" t="str">
        <f>HYPERLINK("https%3A%2F%2Fwww.webofscience.com%2Fwos%2Fwoscc%2Ffull-record%2FWOS:000718015500013","View Full Record in Web of Science")</f>
        <v>View Full Record in Web of Science</v>
      </c>
    </row>
    <row r="259" spans="1:72" x14ac:dyDescent="0.25">
      <c r="A259" t="s">
        <v>72</v>
      </c>
      <c r="B259" t="s">
        <v>4039</v>
      </c>
      <c r="C259" t="s">
        <v>74</v>
      </c>
      <c r="D259" t="s">
        <v>74</v>
      </c>
      <c r="E259" t="s">
        <v>74</v>
      </c>
      <c r="F259" t="s">
        <v>4040</v>
      </c>
      <c r="G259" t="s">
        <v>74</v>
      </c>
      <c r="H259" t="s">
        <v>74</v>
      </c>
      <c r="I259" t="s">
        <v>4041</v>
      </c>
      <c r="J259" t="s">
        <v>4042</v>
      </c>
      <c r="K259" t="s">
        <v>74</v>
      </c>
      <c r="L259" t="s">
        <v>74</v>
      </c>
      <c r="M259" t="s">
        <v>78</v>
      </c>
      <c r="N259" t="s">
        <v>79</v>
      </c>
      <c r="O259" t="s">
        <v>74</v>
      </c>
      <c r="P259" t="s">
        <v>74</v>
      </c>
      <c r="Q259" t="s">
        <v>74</v>
      </c>
      <c r="R259" t="s">
        <v>74</v>
      </c>
      <c r="S259" t="s">
        <v>74</v>
      </c>
      <c r="T259" t="s">
        <v>4043</v>
      </c>
      <c r="U259" t="s">
        <v>4044</v>
      </c>
      <c r="V259" t="s">
        <v>4045</v>
      </c>
      <c r="W259" t="s">
        <v>4046</v>
      </c>
      <c r="X259" t="s">
        <v>4047</v>
      </c>
      <c r="Y259" t="s">
        <v>4048</v>
      </c>
      <c r="Z259" t="s">
        <v>4049</v>
      </c>
      <c r="AA259" t="s">
        <v>4050</v>
      </c>
      <c r="AB259" t="s">
        <v>4051</v>
      </c>
      <c r="AC259" t="s">
        <v>4052</v>
      </c>
      <c r="AD259" t="s">
        <v>4053</v>
      </c>
      <c r="AE259" t="s">
        <v>4054</v>
      </c>
      <c r="AF259" t="s">
        <v>74</v>
      </c>
      <c r="AG259">
        <v>54</v>
      </c>
      <c r="AH259">
        <v>3</v>
      </c>
      <c r="AI259">
        <v>3</v>
      </c>
      <c r="AJ259">
        <v>0</v>
      </c>
      <c r="AK259">
        <v>8</v>
      </c>
      <c r="AL259" t="s">
        <v>1113</v>
      </c>
      <c r="AM259" t="s">
        <v>1114</v>
      </c>
      <c r="AN259" t="s">
        <v>1115</v>
      </c>
      <c r="AO259" t="s">
        <v>74</v>
      </c>
      <c r="AP259" t="s">
        <v>4055</v>
      </c>
      <c r="AQ259" t="s">
        <v>74</v>
      </c>
      <c r="AR259" t="s">
        <v>4042</v>
      </c>
      <c r="AS259" t="s">
        <v>4056</v>
      </c>
      <c r="AT259" t="s">
        <v>315</v>
      </c>
      <c r="AU259">
        <v>2021</v>
      </c>
      <c r="AV259">
        <v>11</v>
      </c>
      <c r="AW259">
        <v>11</v>
      </c>
      <c r="AX259" t="s">
        <v>74</v>
      </c>
      <c r="AY259" t="s">
        <v>74</v>
      </c>
      <c r="AZ259" t="s">
        <v>74</v>
      </c>
      <c r="BA259" t="s">
        <v>74</v>
      </c>
      <c r="BB259" t="s">
        <v>74</v>
      </c>
      <c r="BC259" t="s">
        <v>74</v>
      </c>
      <c r="BD259">
        <v>784</v>
      </c>
      <c r="BE259" t="s">
        <v>4057</v>
      </c>
      <c r="BF259" t="str">
        <f>HYPERLINK("http://dx.doi.org/10.3390/metabo11110784","http://dx.doi.org/10.3390/metabo11110784")</f>
        <v>http://dx.doi.org/10.3390/metabo11110784</v>
      </c>
      <c r="BG259" t="s">
        <v>74</v>
      </c>
      <c r="BH259" t="s">
        <v>74</v>
      </c>
      <c r="BI259">
        <v>18</v>
      </c>
      <c r="BJ259" t="s">
        <v>2660</v>
      </c>
      <c r="BK259" t="s">
        <v>101</v>
      </c>
      <c r="BL259" t="s">
        <v>2660</v>
      </c>
      <c r="BM259" t="s">
        <v>4058</v>
      </c>
      <c r="BN259">
        <v>34822442</v>
      </c>
      <c r="BO259" t="s">
        <v>4059</v>
      </c>
      <c r="BP259" t="s">
        <v>74</v>
      </c>
      <c r="BQ259" t="s">
        <v>74</v>
      </c>
      <c r="BR259" t="s">
        <v>104</v>
      </c>
      <c r="BS259" t="s">
        <v>4060</v>
      </c>
      <c r="BT259" t="str">
        <f>HYPERLINK("https%3A%2F%2Fwww.webofscience.com%2Fwos%2Fwoscc%2Ffull-record%2FWOS:000725799000001","View Full Record in Web of Science")</f>
        <v>View Full Record in Web of Science</v>
      </c>
    </row>
    <row r="260" spans="1:72" x14ac:dyDescent="0.25">
      <c r="A260" t="s">
        <v>72</v>
      </c>
      <c r="B260" t="s">
        <v>4061</v>
      </c>
      <c r="C260" t="s">
        <v>74</v>
      </c>
      <c r="D260" t="s">
        <v>74</v>
      </c>
      <c r="E260" t="s">
        <v>74</v>
      </c>
      <c r="F260" t="s">
        <v>4062</v>
      </c>
      <c r="G260" t="s">
        <v>74</v>
      </c>
      <c r="H260" t="s">
        <v>74</v>
      </c>
      <c r="I260" t="s">
        <v>4063</v>
      </c>
      <c r="J260" t="s">
        <v>216</v>
      </c>
      <c r="K260" t="s">
        <v>74</v>
      </c>
      <c r="L260" t="s">
        <v>74</v>
      </c>
      <c r="M260" t="s">
        <v>78</v>
      </c>
      <c r="N260" t="s">
        <v>79</v>
      </c>
      <c r="O260" t="s">
        <v>74</v>
      </c>
      <c r="P260" t="s">
        <v>74</v>
      </c>
      <c r="Q260" t="s">
        <v>74</v>
      </c>
      <c r="R260" t="s">
        <v>74</v>
      </c>
      <c r="S260" t="s">
        <v>74</v>
      </c>
      <c r="T260" t="s">
        <v>74</v>
      </c>
      <c r="U260" t="s">
        <v>4064</v>
      </c>
      <c r="V260" t="s">
        <v>4065</v>
      </c>
      <c r="W260" t="s">
        <v>4066</v>
      </c>
      <c r="X260" t="s">
        <v>4067</v>
      </c>
      <c r="Y260" t="s">
        <v>4068</v>
      </c>
      <c r="Z260" t="s">
        <v>3416</v>
      </c>
      <c r="AA260" t="s">
        <v>4069</v>
      </c>
      <c r="AB260" t="s">
        <v>4070</v>
      </c>
      <c r="AC260" t="s">
        <v>4071</v>
      </c>
      <c r="AD260" t="s">
        <v>4072</v>
      </c>
      <c r="AE260" t="s">
        <v>4073</v>
      </c>
      <c r="AF260" t="s">
        <v>74</v>
      </c>
      <c r="AG260">
        <v>49</v>
      </c>
      <c r="AH260">
        <v>17</v>
      </c>
      <c r="AI260">
        <v>17</v>
      </c>
      <c r="AJ260">
        <v>1</v>
      </c>
      <c r="AK260">
        <v>8</v>
      </c>
      <c r="AL260" t="s">
        <v>219</v>
      </c>
      <c r="AM260" t="s">
        <v>220</v>
      </c>
      <c r="AN260" t="s">
        <v>221</v>
      </c>
      <c r="AO260" t="s">
        <v>222</v>
      </c>
      <c r="AP260" t="s">
        <v>223</v>
      </c>
      <c r="AQ260" t="s">
        <v>74</v>
      </c>
      <c r="AR260" t="s">
        <v>224</v>
      </c>
      <c r="AS260" t="s">
        <v>225</v>
      </c>
      <c r="AT260" t="s">
        <v>1414</v>
      </c>
      <c r="AU260">
        <v>2021</v>
      </c>
      <c r="AV260">
        <v>58</v>
      </c>
      <c r="AW260">
        <v>5</v>
      </c>
      <c r="AX260" t="s">
        <v>74</v>
      </c>
      <c r="AY260" t="s">
        <v>74</v>
      </c>
      <c r="AZ260" t="s">
        <v>74</v>
      </c>
      <c r="BA260" t="s">
        <v>74</v>
      </c>
      <c r="BB260" t="s">
        <v>74</v>
      </c>
      <c r="BC260" t="s">
        <v>74</v>
      </c>
      <c r="BD260">
        <v>2000653</v>
      </c>
      <c r="BE260" t="s">
        <v>4074</v>
      </c>
      <c r="BF260" t="str">
        <f>HYPERLINK("http://dx.doi.org/10.1183/13993003.00653-2020","http://dx.doi.org/10.1183/13993003.00653-2020")</f>
        <v>http://dx.doi.org/10.1183/13993003.00653-2020</v>
      </c>
      <c r="BG260" t="s">
        <v>74</v>
      </c>
      <c r="BH260" t="s">
        <v>74</v>
      </c>
      <c r="BI260">
        <v>18</v>
      </c>
      <c r="BJ260" t="s">
        <v>228</v>
      </c>
      <c r="BK260" t="s">
        <v>101</v>
      </c>
      <c r="BL260" t="s">
        <v>228</v>
      </c>
      <c r="BM260" t="s">
        <v>4075</v>
      </c>
      <c r="BN260">
        <v>33926975</v>
      </c>
      <c r="BO260" t="s">
        <v>2854</v>
      </c>
      <c r="BP260" t="s">
        <v>74</v>
      </c>
      <c r="BQ260" t="s">
        <v>74</v>
      </c>
      <c r="BR260" t="s">
        <v>104</v>
      </c>
      <c r="BS260" t="s">
        <v>4076</v>
      </c>
      <c r="BT260" t="str">
        <f>HYPERLINK("https%3A%2F%2Fwww.webofscience.com%2Fwos%2Fwoscc%2Ffull-record%2FWOS:000728820200023","View Full Record in Web of Science")</f>
        <v>View Full Record in Web of Science</v>
      </c>
    </row>
    <row r="261" spans="1:72" x14ac:dyDescent="0.25">
      <c r="A261" t="s">
        <v>72</v>
      </c>
      <c r="B261" t="s">
        <v>4077</v>
      </c>
      <c r="C261" t="s">
        <v>74</v>
      </c>
      <c r="D261" t="s">
        <v>74</v>
      </c>
      <c r="E261" t="s">
        <v>74</v>
      </c>
      <c r="F261" t="s">
        <v>4078</v>
      </c>
      <c r="G261" t="s">
        <v>74</v>
      </c>
      <c r="H261" t="s">
        <v>74</v>
      </c>
      <c r="I261" t="s">
        <v>4079</v>
      </c>
      <c r="J261" t="s">
        <v>216</v>
      </c>
      <c r="K261" t="s">
        <v>74</v>
      </c>
      <c r="L261" t="s">
        <v>74</v>
      </c>
      <c r="M261" t="s">
        <v>78</v>
      </c>
      <c r="N261" t="s">
        <v>140</v>
      </c>
      <c r="O261" t="s">
        <v>74</v>
      </c>
      <c r="P261" t="s">
        <v>74</v>
      </c>
      <c r="Q261" t="s">
        <v>74</v>
      </c>
      <c r="R261" t="s">
        <v>74</v>
      </c>
      <c r="S261" t="s">
        <v>74</v>
      </c>
      <c r="T261" t="s">
        <v>74</v>
      </c>
      <c r="U261" t="s">
        <v>74</v>
      </c>
      <c r="V261" t="s">
        <v>74</v>
      </c>
      <c r="W261" t="s">
        <v>4080</v>
      </c>
      <c r="X261" t="s">
        <v>4081</v>
      </c>
      <c r="Y261" t="s">
        <v>4082</v>
      </c>
      <c r="Z261" t="s">
        <v>4083</v>
      </c>
      <c r="AA261" t="s">
        <v>4084</v>
      </c>
      <c r="AB261" t="s">
        <v>4085</v>
      </c>
      <c r="AC261" t="s">
        <v>74</v>
      </c>
      <c r="AD261" t="s">
        <v>74</v>
      </c>
      <c r="AE261" t="s">
        <v>74</v>
      </c>
      <c r="AF261" t="s">
        <v>74</v>
      </c>
      <c r="AG261">
        <v>11</v>
      </c>
      <c r="AH261">
        <v>7</v>
      </c>
      <c r="AI261">
        <v>7</v>
      </c>
      <c r="AJ261">
        <v>0</v>
      </c>
      <c r="AK261">
        <v>0</v>
      </c>
      <c r="AL261" t="s">
        <v>219</v>
      </c>
      <c r="AM261" t="s">
        <v>220</v>
      </c>
      <c r="AN261" t="s">
        <v>221</v>
      </c>
      <c r="AO261" t="s">
        <v>222</v>
      </c>
      <c r="AP261" t="s">
        <v>223</v>
      </c>
      <c r="AQ261" t="s">
        <v>74</v>
      </c>
      <c r="AR261" t="s">
        <v>224</v>
      </c>
      <c r="AS261" t="s">
        <v>225</v>
      </c>
      <c r="AT261" t="s">
        <v>1414</v>
      </c>
      <c r="AU261">
        <v>2021</v>
      </c>
      <c r="AV261">
        <v>58</v>
      </c>
      <c r="AW261">
        <v>5</v>
      </c>
      <c r="AX261" t="s">
        <v>74</v>
      </c>
      <c r="AY261" t="s">
        <v>74</v>
      </c>
      <c r="AZ261" t="s">
        <v>74</v>
      </c>
      <c r="BA261" t="s">
        <v>74</v>
      </c>
      <c r="BB261" t="s">
        <v>74</v>
      </c>
      <c r="BC261" t="s">
        <v>74</v>
      </c>
      <c r="BD261">
        <v>2102527</v>
      </c>
      <c r="BE261" t="s">
        <v>4086</v>
      </c>
      <c r="BF261" t="str">
        <f>HYPERLINK("http://dx.doi.org/10.1183/13993003.02527-2021","http://dx.doi.org/10.1183/13993003.02527-2021")</f>
        <v>http://dx.doi.org/10.1183/13993003.02527-2021</v>
      </c>
      <c r="BG261" t="s">
        <v>74</v>
      </c>
      <c r="BH261" t="s">
        <v>74</v>
      </c>
      <c r="BI261">
        <v>4</v>
      </c>
      <c r="BJ261" t="s">
        <v>228</v>
      </c>
      <c r="BK261" t="s">
        <v>101</v>
      </c>
      <c r="BL261" t="s">
        <v>228</v>
      </c>
      <c r="BM261" t="s">
        <v>4075</v>
      </c>
      <c r="BN261">
        <v>34795029</v>
      </c>
      <c r="BO261" t="s">
        <v>2517</v>
      </c>
      <c r="BP261" t="s">
        <v>74</v>
      </c>
      <c r="BQ261" t="s">
        <v>74</v>
      </c>
      <c r="BR261" t="s">
        <v>104</v>
      </c>
      <c r="BS261" t="s">
        <v>4087</v>
      </c>
      <c r="BT261" t="str">
        <f>HYPERLINK("https%3A%2F%2Fwww.webofscience.com%2Fwos%2Fwoscc%2Ffull-record%2FWOS:000728820200008","View Full Record in Web of Science")</f>
        <v>View Full Record in Web of Science</v>
      </c>
    </row>
    <row r="262" spans="1:72" x14ac:dyDescent="0.25">
      <c r="A262" t="s">
        <v>72</v>
      </c>
      <c r="B262" t="s">
        <v>4088</v>
      </c>
      <c r="C262" t="s">
        <v>74</v>
      </c>
      <c r="D262" t="s">
        <v>74</v>
      </c>
      <c r="E262" t="s">
        <v>74</v>
      </c>
      <c r="F262" t="s">
        <v>4089</v>
      </c>
      <c r="G262" t="s">
        <v>74</v>
      </c>
      <c r="H262" t="s">
        <v>74</v>
      </c>
      <c r="I262" t="s">
        <v>4090</v>
      </c>
      <c r="J262" t="s">
        <v>2105</v>
      </c>
      <c r="K262" t="s">
        <v>74</v>
      </c>
      <c r="L262" t="s">
        <v>74</v>
      </c>
      <c r="M262" t="s">
        <v>1349</v>
      </c>
      <c r="N262" t="s">
        <v>140</v>
      </c>
      <c r="O262" t="s">
        <v>74</v>
      </c>
      <c r="P262" t="s">
        <v>74</v>
      </c>
      <c r="Q262" t="s">
        <v>74</v>
      </c>
      <c r="R262" t="s">
        <v>74</v>
      </c>
      <c r="S262" t="s">
        <v>74</v>
      </c>
      <c r="T262" t="s">
        <v>74</v>
      </c>
      <c r="U262" t="s">
        <v>74</v>
      </c>
      <c r="V262" t="s">
        <v>74</v>
      </c>
      <c r="W262" t="s">
        <v>4091</v>
      </c>
      <c r="X262" t="s">
        <v>4092</v>
      </c>
      <c r="Y262" t="s">
        <v>4093</v>
      </c>
      <c r="Z262" t="s">
        <v>2261</v>
      </c>
      <c r="AA262" t="s">
        <v>464</v>
      </c>
      <c r="AB262" t="s">
        <v>4094</v>
      </c>
      <c r="AC262" t="s">
        <v>74</v>
      </c>
      <c r="AD262" t="s">
        <v>74</v>
      </c>
      <c r="AE262" t="s">
        <v>74</v>
      </c>
      <c r="AF262" t="s">
        <v>74</v>
      </c>
      <c r="AG262">
        <v>10</v>
      </c>
      <c r="AH262">
        <v>1</v>
      </c>
      <c r="AI262">
        <v>1</v>
      </c>
      <c r="AJ262">
        <v>0</v>
      </c>
      <c r="AK262">
        <v>3</v>
      </c>
      <c r="AL262" t="s">
        <v>2113</v>
      </c>
      <c r="AM262" t="s">
        <v>2114</v>
      </c>
      <c r="AN262" t="s">
        <v>2115</v>
      </c>
      <c r="AO262" t="s">
        <v>2116</v>
      </c>
      <c r="AP262" t="s">
        <v>2117</v>
      </c>
      <c r="AQ262" t="s">
        <v>74</v>
      </c>
      <c r="AR262" t="s">
        <v>2118</v>
      </c>
      <c r="AS262" t="s">
        <v>2119</v>
      </c>
      <c r="AT262" t="s">
        <v>2777</v>
      </c>
      <c r="AU262">
        <v>2021</v>
      </c>
      <c r="AV262">
        <v>37</v>
      </c>
      <c r="AW262">
        <v>10</v>
      </c>
      <c r="AX262" t="s">
        <v>74</v>
      </c>
      <c r="AY262" t="s">
        <v>74</v>
      </c>
      <c r="AZ262" t="s">
        <v>74</v>
      </c>
      <c r="BA262" t="s">
        <v>74</v>
      </c>
      <c r="BB262">
        <v>839</v>
      </c>
      <c r="BC262">
        <v>843</v>
      </c>
      <c r="BD262" t="s">
        <v>74</v>
      </c>
      <c r="BE262" t="s">
        <v>4095</v>
      </c>
      <c r="BF262" t="str">
        <f>HYPERLINK("http://dx.doi.org/10.1051/medsci/2021131","http://dx.doi.org/10.1051/medsci/2021131")</f>
        <v>http://dx.doi.org/10.1051/medsci/2021131</v>
      </c>
      <c r="BG262" t="s">
        <v>74</v>
      </c>
      <c r="BH262" t="s">
        <v>74</v>
      </c>
      <c r="BI262">
        <v>5</v>
      </c>
      <c r="BJ262" t="s">
        <v>2122</v>
      </c>
      <c r="BK262" t="s">
        <v>101</v>
      </c>
      <c r="BL262" t="s">
        <v>2123</v>
      </c>
      <c r="BM262" t="s">
        <v>4096</v>
      </c>
      <c r="BN262">
        <v>34647870</v>
      </c>
      <c r="BO262" t="s">
        <v>1524</v>
      </c>
      <c r="BP262" t="s">
        <v>74</v>
      </c>
      <c r="BQ262" t="s">
        <v>74</v>
      </c>
      <c r="BR262" t="s">
        <v>104</v>
      </c>
      <c r="BS262" t="s">
        <v>4097</v>
      </c>
      <c r="BT262" t="str">
        <f>HYPERLINK("https%3A%2F%2Fwww.webofscience.com%2Fwos%2Fwoscc%2Ffull-record%2FWOS:000707189700004","View Full Record in Web of Science")</f>
        <v>View Full Record in Web of Science</v>
      </c>
    </row>
    <row r="263" spans="1:72" x14ac:dyDescent="0.25">
      <c r="A263" t="s">
        <v>72</v>
      </c>
      <c r="B263" t="s">
        <v>4098</v>
      </c>
      <c r="C263" t="s">
        <v>74</v>
      </c>
      <c r="D263" t="s">
        <v>74</v>
      </c>
      <c r="E263" t="s">
        <v>74</v>
      </c>
      <c r="F263" t="s">
        <v>4099</v>
      </c>
      <c r="G263" t="s">
        <v>74</v>
      </c>
      <c r="H263" t="s">
        <v>74</v>
      </c>
      <c r="I263" t="s">
        <v>4100</v>
      </c>
      <c r="J263" t="s">
        <v>637</v>
      </c>
      <c r="K263" t="s">
        <v>74</v>
      </c>
      <c r="L263" t="s">
        <v>74</v>
      </c>
      <c r="M263" t="s">
        <v>78</v>
      </c>
      <c r="N263" t="s">
        <v>79</v>
      </c>
      <c r="O263" t="s">
        <v>74</v>
      </c>
      <c r="P263" t="s">
        <v>74</v>
      </c>
      <c r="Q263" t="s">
        <v>74</v>
      </c>
      <c r="R263" t="s">
        <v>74</v>
      </c>
      <c r="S263" t="s">
        <v>74</v>
      </c>
      <c r="T263" t="s">
        <v>4101</v>
      </c>
      <c r="U263" t="s">
        <v>4102</v>
      </c>
      <c r="V263" t="s">
        <v>4103</v>
      </c>
      <c r="W263" t="s">
        <v>4104</v>
      </c>
      <c r="X263" t="s">
        <v>4105</v>
      </c>
      <c r="Y263" t="s">
        <v>4106</v>
      </c>
      <c r="Z263" t="s">
        <v>3300</v>
      </c>
      <c r="AA263" t="s">
        <v>4107</v>
      </c>
      <c r="AB263" t="s">
        <v>4108</v>
      </c>
      <c r="AC263" t="s">
        <v>74</v>
      </c>
      <c r="AD263" t="s">
        <v>74</v>
      </c>
      <c r="AE263" t="s">
        <v>74</v>
      </c>
      <c r="AF263" t="s">
        <v>74</v>
      </c>
      <c r="AG263">
        <v>26</v>
      </c>
      <c r="AH263">
        <v>116</v>
      </c>
      <c r="AI263">
        <v>125</v>
      </c>
      <c r="AJ263">
        <v>1</v>
      </c>
      <c r="AK263">
        <v>10</v>
      </c>
      <c r="AL263" t="s">
        <v>649</v>
      </c>
      <c r="AM263" t="s">
        <v>486</v>
      </c>
      <c r="AN263" t="s">
        <v>650</v>
      </c>
      <c r="AO263" t="s">
        <v>651</v>
      </c>
      <c r="AP263" t="s">
        <v>652</v>
      </c>
      <c r="AQ263" t="s">
        <v>74</v>
      </c>
      <c r="AR263" t="s">
        <v>653</v>
      </c>
      <c r="AS263" t="s">
        <v>654</v>
      </c>
      <c r="AT263" t="s">
        <v>2820</v>
      </c>
      <c r="AU263">
        <v>2021</v>
      </c>
      <c r="AV263">
        <v>204</v>
      </c>
      <c r="AW263">
        <v>7</v>
      </c>
      <c r="AX263" t="s">
        <v>74</v>
      </c>
      <c r="AY263" t="s">
        <v>74</v>
      </c>
      <c r="AZ263" t="s">
        <v>74</v>
      </c>
      <c r="BA263" t="s">
        <v>74</v>
      </c>
      <c r="BB263">
        <v>842</v>
      </c>
      <c r="BC263">
        <v>854</v>
      </c>
      <c r="BD263" t="s">
        <v>74</v>
      </c>
      <c r="BE263" t="s">
        <v>4109</v>
      </c>
      <c r="BF263" t="str">
        <f>HYPERLINK("http://dx.doi.org/10.1164/rccm.202009-3698OC","http://dx.doi.org/10.1164/rccm.202009-3698OC")</f>
        <v>http://dx.doi.org/10.1164/rccm.202009-3698OC</v>
      </c>
      <c r="BG263" t="s">
        <v>74</v>
      </c>
      <c r="BH263" t="s">
        <v>74</v>
      </c>
      <c r="BI263">
        <v>13</v>
      </c>
      <c r="BJ263" t="s">
        <v>341</v>
      </c>
      <c r="BK263" t="s">
        <v>101</v>
      </c>
      <c r="BL263" t="s">
        <v>342</v>
      </c>
      <c r="BM263" t="s">
        <v>4110</v>
      </c>
      <c r="BN263">
        <v>34185620</v>
      </c>
      <c r="BO263" t="s">
        <v>612</v>
      </c>
      <c r="BP263" t="s">
        <v>1155</v>
      </c>
      <c r="BQ263" t="s">
        <v>1156</v>
      </c>
      <c r="BR263" t="s">
        <v>104</v>
      </c>
      <c r="BS263" t="s">
        <v>4111</v>
      </c>
      <c r="BT263" t="str">
        <f>HYPERLINK("https%3A%2F%2Fwww.webofscience.com%2Fwos%2Fwoscc%2Ffull-record%2FWOS:000705466800019","View Full Record in Web of Science")</f>
        <v>View Full Record in Web of Science</v>
      </c>
    </row>
    <row r="264" spans="1:72" x14ac:dyDescent="0.25">
      <c r="A264" t="s">
        <v>72</v>
      </c>
      <c r="B264" t="s">
        <v>4112</v>
      </c>
      <c r="C264" t="s">
        <v>74</v>
      </c>
      <c r="D264" t="s">
        <v>74</v>
      </c>
      <c r="E264" t="s">
        <v>74</v>
      </c>
      <c r="F264" t="s">
        <v>4113</v>
      </c>
      <c r="G264" t="s">
        <v>74</v>
      </c>
      <c r="H264" t="s">
        <v>74</v>
      </c>
      <c r="I264" t="s">
        <v>4114</v>
      </c>
      <c r="J264" t="s">
        <v>1068</v>
      </c>
      <c r="K264" t="s">
        <v>74</v>
      </c>
      <c r="L264" t="s">
        <v>74</v>
      </c>
      <c r="M264" t="s">
        <v>78</v>
      </c>
      <c r="N264" t="s">
        <v>52</v>
      </c>
      <c r="O264" t="s">
        <v>74</v>
      </c>
      <c r="P264" t="s">
        <v>74</v>
      </c>
      <c r="Q264" t="s">
        <v>74</v>
      </c>
      <c r="R264" t="s">
        <v>74</v>
      </c>
      <c r="S264" t="s">
        <v>74</v>
      </c>
      <c r="T264" t="s">
        <v>74</v>
      </c>
      <c r="U264" t="s">
        <v>74</v>
      </c>
      <c r="V264" t="s">
        <v>74</v>
      </c>
      <c r="W264" t="s">
        <v>4115</v>
      </c>
      <c r="X264" t="s">
        <v>4116</v>
      </c>
      <c r="Y264" t="s">
        <v>74</v>
      </c>
      <c r="Z264" t="s">
        <v>74</v>
      </c>
      <c r="AA264" t="s">
        <v>4117</v>
      </c>
      <c r="AB264" t="s">
        <v>257</v>
      </c>
      <c r="AC264" t="s">
        <v>74</v>
      </c>
      <c r="AD264" t="s">
        <v>74</v>
      </c>
      <c r="AE264" t="s">
        <v>74</v>
      </c>
      <c r="AF264" t="s">
        <v>74</v>
      </c>
      <c r="AG264">
        <v>0</v>
      </c>
      <c r="AH264">
        <v>0</v>
      </c>
      <c r="AI264">
        <v>0</v>
      </c>
      <c r="AJ264">
        <v>0</v>
      </c>
      <c r="AK264">
        <v>1</v>
      </c>
      <c r="AL264" t="s">
        <v>1073</v>
      </c>
      <c r="AM264" t="s">
        <v>1074</v>
      </c>
      <c r="AN264" t="s">
        <v>1075</v>
      </c>
      <c r="AO264" t="s">
        <v>1076</v>
      </c>
      <c r="AP264" t="s">
        <v>1077</v>
      </c>
      <c r="AQ264" t="s">
        <v>74</v>
      </c>
      <c r="AR264" t="s">
        <v>1078</v>
      </c>
      <c r="AS264" t="s">
        <v>1079</v>
      </c>
      <c r="AT264" t="s">
        <v>420</v>
      </c>
      <c r="AU264">
        <v>2021</v>
      </c>
      <c r="AV264">
        <v>42</v>
      </c>
      <c r="AW264" t="s">
        <v>74</v>
      </c>
      <c r="AX264" t="s">
        <v>74</v>
      </c>
      <c r="AY264">
        <v>1</v>
      </c>
      <c r="AZ264" t="s">
        <v>74</v>
      </c>
      <c r="BA264" t="s">
        <v>74</v>
      </c>
      <c r="BB264">
        <v>1971</v>
      </c>
      <c r="BC264">
        <v>1971</v>
      </c>
      <c r="BD264" t="s">
        <v>74</v>
      </c>
      <c r="BE264" t="s">
        <v>74</v>
      </c>
      <c r="BF264" t="s">
        <v>74</v>
      </c>
      <c r="BG264" t="s">
        <v>74</v>
      </c>
      <c r="BH264" t="s">
        <v>74</v>
      </c>
      <c r="BI264">
        <v>1</v>
      </c>
      <c r="BJ264" t="s">
        <v>132</v>
      </c>
      <c r="BK264" t="s">
        <v>101</v>
      </c>
      <c r="BL264" t="s">
        <v>133</v>
      </c>
      <c r="BM264" t="s">
        <v>4118</v>
      </c>
      <c r="BN264" t="s">
        <v>74</v>
      </c>
      <c r="BO264" t="s">
        <v>74</v>
      </c>
      <c r="BP264" t="s">
        <v>74</v>
      </c>
      <c r="BQ264" t="s">
        <v>74</v>
      </c>
      <c r="BR264" t="s">
        <v>104</v>
      </c>
      <c r="BS264" t="s">
        <v>4119</v>
      </c>
      <c r="BT264" t="str">
        <f>HYPERLINK("https%3A%2F%2Fwww.webofscience.com%2Fwos%2Fwoscc%2Ffull-record%2FWOS:000720456902172","View Full Record in Web of Science")</f>
        <v>View Full Record in Web of Science</v>
      </c>
    </row>
    <row r="265" spans="1:72" x14ac:dyDescent="0.25">
      <c r="A265" t="s">
        <v>72</v>
      </c>
      <c r="B265" t="s">
        <v>4120</v>
      </c>
      <c r="C265" t="s">
        <v>74</v>
      </c>
      <c r="D265" t="s">
        <v>74</v>
      </c>
      <c r="E265" t="s">
        <v>74</v>
      </c>
      <c r="F265" t="s">
        <v>4121</v>
      </c>
      <c r="G265" t="s">
        <v>74</v>
      </c>
      <c r="H265" t="s">
        <v>74</v>
      </c>
      <c r="I265" t="s">
        <v>4122</v>
      </c>
      <c r="J265" t="s">
        <v>435</v>
      </c>
      <c r="K265" t="s">
        <v>74</v>
      </c>
      <c r="L265" t="s">
        <v>74</v>
      </c>
      <c r="M265" t="s">
        <v>78</v>
      </c>
      <c r="N265" t="s">
        <v>79</v>
      </c>
      <c r="O265" t="s">
        <v>74</v>
      </c>
      <c r="P265" t="s">
        <v>74</v>
      </c>
      <c r="Q265" t="s">
        <v>74</v>
      </c>
      <c r="R265" t="s">
        <v>74</v>
      </c>
      <c r="S265" t="s">
        <v>74</v>
      </c>
      <c r="T265" t="s">
        <v>4123</v>
      </c>
      <c r="U265" t="s">
        <v>4124</v>
      </c>
      <c r="V265" t="s">
        <v>4125</v>
      </c>
      <c r="W265" t="s">
        <v>4126</v>
      </c>
      <c r="X265" t="s">
        <v>4127</v>
      </c>
      <c r="Y265" t="s">
        <v>1754</v>
      </c>
      <c r="Z265" t="s">
        <v>331</v>
      </c>
      <c r="AA265" t="s">
        <v>1468</v>
      </c>
      <c r="AB265" t="s">
        <v>4128</v>
      </c>
      <c r="AC265" t="s">
        <v>74</v>
      </c>
      <c r="AD265" t="s">
        <v>74</v>
      </c>
      <c r="AE265" t="s">
        <v>74</v>
      </c>
      <c r="AF265" t="s">
        <v>74</v>
      </c>
      <c r="AG265">
        <v>54</v>
      </c>
      <c r="AH265">
        <v>5</v>
      </c>
      <c r="AI265">
        <v>5</v>
      </c>
      <c r="AJ265">
        <v>1</v>
      </c>
      <c r="AK265">
        <v>1</v>
      </c>
      <c r="AL265" t="s">
        <v>1330</v>
      </c>
      <c r="AM265" t="s">
        <v>1331</v>
      </c>
      <c r="AN265" t="s">
        <v>1332</v>
      </c>
      <c r="AO265" t="s">
        <v>448</v>
      </c>
      <c r="AP265" t="s">
        <v>449</v>
      </c>
      <c r="AQ265" t="s">
        <v>74</v>
      </c>
      <c r="AR265" t="s">
        <v>450</v>
      </c>
      <c r="AS265" t="s">
        <v>451</v>
      </c>
      <c r="AT265" t="s">
        <v>420</v>
      </c>
      <c r="AU265">
        <v>2021</v>
      </c>
      <c r="AV265">
        <v>11</v>
      </c>
      <c r="AW265">
        <v>4</v>
      </c>
      <c r="AX265" t="s">
        <v>74</v>
      </c>
      <c r="AY265" t="s">
        <v>74</v>
      </c>
      <c r="AZ265" t="s">
        <v>74</v>
      </c>
      <c r="BA265" t="s">
        <v>74</v>
      </c>
      <c r="BB265" t="s">
        <v>74</v>
      </c>
      <c r="BC265" t="s">
        <v>74</v>
      </c>
      <c r="BD265">
        <v>2.0458940211030168E+16</v>
      </c>
      <c r="BE265" t="s">
        <v>4129</v>
      </c>
      <c r="BF265" t="str">
        <f>HYPERLINK("http://dx.doi.org/10.1177/20458940211030170","http://dx.doi.org/10.1177/20458940211030170")</f>
        <v>http://dx.doi.org/10.1177/20458940211030170</v>
      </c>
      <c r="BG265" t="s">
        <v>74</v>
      </c>
      <c r="BH265" t="s">
        <v>74</v>
      </c>
      <c r="BI265">
        <v>12</v>
      </c>
      <c r="BJ265" t="s">
        <v>209</v>
      </c>
      <c r="BK265" t="s">
        <v>101</v>
      </c>
      <c r="BL265" t="s">
        <v>210</v>
      </c>
      <c r="BM265" t="s">
        <v>4130</v>
      </c>
      <c r="BN265">
        <v>34616544</v>
      </c>
      <c r="BO265" t="s">
        <v>809</v>
      </c>
      <c r="BP265" t="s">
        <v>74</v>
      </c>
      <c r="BQ265" t="s">
        <v>74</v>
      </c>
      <c r="BR265" t="s">
        <v>104</v>
      </c>
      <c r="BS265" t="s">
        <v>4131</v>
      </c>
      <c r="BT265" t="str">
        <f>HYPERLINK("https%3A%2F%2Fwww.webofscience.com%2Fwos%2Fwoscc%2Ffull-record%2FWOS:000703780500001","View Full Record in Web of Science")</f>
        <v>View Full Record in Web of Science</v>
      </c>
    </row>
    <row r="266" spans="1:72" x14ac:dyDescent="0.25">
      <c r="A266" t="s">
        <v>72</v>
      </c>
      <c r="B266" t="s">
        <v>4132</v>
      </c>
      <c r="C266" t="s">
        <v>74</v>
      </c>
      <c r="D266" t="s">
        <v>74</v>
      </c>
      <c r="E266" t="s">
        <v>74</v>
      </c>
      <c r="F266" t="s">
        <v>4133</v>
      </c>
      <c r="G266" t="s">
        <v>74</v>
      </c>
      <c r="H266" t="s">
        <v>74</v>
      </c>
      <c r="I266" t="s">
        <v>4134</v>
      </c>
      <c r="J266" t="s">
        <v>4135</v>
      </c>
      <c r="K266" t="s">
        <v>74</v>
      </c>
      <c r="L266" t="s">
        <v>74</v>
      </c>
      <c r="M266" t="s">
        <v>78</v>
      </c>
      <c r="N266" t="s">
        <v>460</v>
      </c>
      <c r="O266" t="s">
        <v>74</v>
      </c>
      <c r="P266" t="s">
        <v>74</v>
      </c>
      <c r="Q266" t="s">
        <v>74</v>
      </c>
      <c r="R266" t="s">
        <v>74</v>
      </c>
      <c r="S266" t="s">
        <v>74</v>
      </c>
      <c r="T266" t="s">
        <v>74</v>
      </c>
      <c r="U266" t="s">
        <v>2329</v>
      </c>
      <c r="V266" t="s">
        <v>74</v>
      </c>
      <c r="W266" t="s">
        <v>4136</v>
      </c>
      <c r="X266" t="s">
        <v>4137</v>
      </c>
      <c r="Y266" t="s">
        <v>4138</v>
      </c>
      <c r="Z266" t="s">
        <v>331</v>
      </c>
      <c r="AA266" t="s">
        <v>4139</v>
      </c>
      <c r="AB266" t="s">
        <v>4140</v>
      </c>
      <c r="AC266" t="s">
        <v>74</v>
      </c>
      <c r="AD266" t="s">
        <v>74</v>
      </c>
      <c r="AE266" t="s">
        <v>74</v>
      </c>
      <c r="AF266" t="s">
        <v>74</v>
      </c>
      <c r="AG266">
        <v>10</v>
      </c>
      <c r="AH266">
        <v>2</v>
      </c>
      <c r="AI266">
        <v>2</v>
      </c>
      <c r="AJ266">
        <v>0</v>
      </c>
      <c r="AK266">
        <v>0</v>
      </c>
      <c r="AL266" t="s">
        <v>991</v>
      </c>
      <c r="AM266" t="s">
        <v>486</v>
      </c>
      <c r="AN266" t="s">
        <v>992</v>
      </c>
      <c r="AO266" t="s">
        <v>4141</v>
      </c>
      <c r="AP266" t="s">
        <v>4142</v>
      </c>
      <c r="AQ266" t="s">
        <v>74</v>
      </c>
      <c r="AR266" t="s">
        <v>4143</v>
      </c>
      <c r="AS266" t="s">
        <v>4144</v>
      </c>
      <c r="AT266" t="s">
        <v>420</v>
      </c>
      <c r="AU266">
        <v>2021</v>
      </c>
      <c r="AV266">
        <v>127</v>
      </c>
      <c r="AW266">
        <v>4</v>
      </c>
      <c r="AX266" t="s">
        <v>74</v>
      </c>
      <c r="AY266" t="s">
        <v>74</v>
      </c>
      <c r="AZ266" t="s">
        <v>74</v>
      </c>
      <c r="BA266" t="s">
        <v>74</v>
      </c>
      <c r="BB266">
        <v>512</v>
      </c>
      <c r="BC266">
        <v>513</v>
      </c>
      <c r="BD266" t="s">
        <v>74</v>
      </c>
      <c r="BE266" t="s">
        <v>4145</v>
      </c>
      <c r="BF266" t="str">
        <f>HYPERLINK("http://dx.doi.org/10.1016/j.anai.2021.06.016","http://dx.doi.org/10.1016/j.anai.2021.06.016")</f>
        <v>http://dx.doi.org/10.1016/j.anai.2021.06.016</v>
      </c>
      <c r="BG266" t="s">
        <v>74</v>
      </c>
      <c r="BH266" t="s">
        <v>4146</v>
      </c>
      <c r="BI266">
        <v>2</v>
      </c>
      <c r="BJ266" t="s">
        <v>3085</v>
      </c>
      <c r="BK266" t="s">
        <v>101</v>
      </c>
      <c r="BL266" t="s">
        <v>3085</v>
      </c>
      <c r="BM266" t="s">
        <v>4147</v>
      </c>
      <c r="BN266">
        <v>34593103</v>
      </c>
      <c r="BO266" t="s">
        <v>74</v>
      </c>
      <c r="BP266" t="s">
        <v>74</v>
      </c>
      <c r="BQ266" t="s">
        <v>74</v>
      </c>
      <c r="BR266" t="s">
        <v>104</v>
      </c>
      <c r="BS266" t="s">
        <v>4148</v>
      </c>
      <c r="BT266" t="str">
        <f>HYPERLINK("https%3A%2F%2Fwww.webofscience.com%2Fwos%2Fwoscc%2Ffull-record%2FWOS:000713601500025","View Full Record in Web of Science")</f>
        <v>View Full Record in Web of Science</v>
      </c>
    </row>
    <row r="267" spans="1:72" x14ac:dyDescent="0.25">
      <c r="A267" t="s">
        <v>72</v>
      </c>
      <c r="B267" t="s">
        <v>4149</v>
      </c>
      <c r="C267" t="s">
        <v>74</v>
      </c>
      <c r="D267" t="s">
        <v>74</v>
      </c>
      <c r="E267" t="s">
        <v>74</v>
      </c>
      <c r="F267" t="s">
        <v>4150</v>
      </c>
      <c r="G267" t="s">
        <v>74</v>
      </c>
      <c r="H267" t="s">
        <v>74</v>
      </c>
      <c r="I267" t="s">
        <v>4151</v>
      </c>
      <c r="J267" t="s">
        <v>216</v>
      </c>
      <c r="K267" t="s">
        <v>74</v>
      </c>
      <c r="L267" t="s">
        <v>74</v>
      </c>
      <c r="M267" t="s">
        <v>78</v>
      </c>
      <c r="N267" t="s">
        <v>52</v>
      </c>
      <c r="O267" t="s">
        <v>4152</v>
      </c>
      <c r="P267" t="s">
        <v>4153</v>
      </c>
      <c r="Q267" t="s">
        <v>4154</v>
      </c>
      <c r="R267" t="s">
        <v>2954</v>
      </c>
      <c r="S267" t="s">
        <v>74</v>
      </c>
      <c r="T267" t="s">
        <v>1226</v>
      </c>
      <c r="U267" t="s">
        <v>74</v>
      </c>
      <c r="V267" t="s">
        <v>74</v>
      </c>
      <c r="W267" t="s">
        <v>4155</v>
      </c>
      <c r="X267" t="s">
        <v>4156</v>
      </c>
      <c r="Y267" t="s">
        <v>74</v>
      </c>
      <c r="Z267" t="s">
        <v>4157</v>
      </c>
      <c r="AA267" t="s">
        <v>4158</v>
      </c>
      <c r="AB267" t="s">
        <v>2319</v>
      </c>
      <c r="AC267" t="s">
        <v>74</v>
      </c>
      <c r="AD267" t="s">
        <v>74</v>
      </c>
      <c r="AE267" t="s">
        <v>74</v>
      </c>
      <c r="AF267" t="s">
        <v>74</v>
      </c>
      <c r="AG267">
        <v>0</v>
      </c>
      <c r="AH267">
        <v>0</v>
      </c>
      <c r="AI267">
        <v>0</v>
      </c>
      <c r="AJ267">
        <v>0</v>
      </c>
      <c r="AK267">
        <v>1</v>
      </c>
      <c r="AL267" t="s">
        <v>219</v>
      </c>
      <c r="AM267" t="s">
        <v>220</v>
      </c>
      <c r="AN267" t="s">
        <v>221</v>
      </c>
      <c r="AO267" t="s">
        <v>222</v>
      </c>
      <c r="AP267" t="s">
        <v>223</v>
      </c>
      <c r="AQ267" t="s">
        <v>74</v>
      </c>
      <c r="AR267" t="s">
        <v>224</v>
      </c>
      <c r="AS267" t="s">
        <v>225</v>
      </c>
      <c r="AT267" t="s">
        <v>4159</v>
      </c>
      <c r="AU267">
        <v>2021</v>
      </c>
      <c r="AV267">
        <v>58</v>
      </c>
      <c r="AW267" t="s">
        <v>74</v>
      </c>
      <c r="AX267" t="s">
        <v>74</v>
      </c>
      <c r="AY267">
        <v>65</v>
      </c>
      <c r="AZ267" t="s">
        <v>74</v>
      </c>
      <c r="BA267" t="s">
        <v>4160</v>
      </c>
      <c r="BB267" t="s">
        <v>74</v>
      </c>
      <c r="BC267" t="s">
        <v>74</v>
      </c>
      <c r="BD267" t="s">
        <v>74</v>
      </c>
      <c r="BE267" t="s">
        <v>4161</v>
      </c>
      <c r="BF267" t="str">
        <f>HYPERLINK("http://dx.doi.org/10.1183/13993003.congress-2021.OA140","http://dx.doi.org/10.1183/13993003.congress-2021.OA140")</f>
        <v>http://dx.doi.org/10.1183/13993003.congress-2021.OA140</v>
      </c>
      <c r="BG267" t="s">
        <v>74</v>
      </c>
      <c r="BH267" t="s">
        <v>74</v>
      </c>
      <c r="BI267">
        <v>2</v>
      </c>
      <c r="BJ267" t="s">
        <v>228</v>
      </c>
      <c r="BK267" t="s">
        <v>512</v>
      </c>
      <c r="BL267" t="s">
        <v>228</v>
      </c>
      <c r="BM267" t="s">
        <v>4162</v>
      </c>
      <c r="BN267" t="s">
        <v>74</v>
      </c>
      <c r="BO267" t="s">
        <v>74</v>
      </c>
      <c r="BP267" t="s">
        <v>74</v>
      </c>
      <c r="BQ267" t="s">
        <v>74</v>
      </c>
      <c r="BR267" t="s">
        <v>104</v>
      </c>
      <c r="BS267" t="s">
        <v>4163</v>
      </c>
      <c r="BT267" t="str">
        <f>HYPERLINK("https%3A%2F%2Fwww.webofscience.com%2Fwos%2Fwoscc%2Ffull-record%2FWOS:000747452100122","View Full Record in Web of Science")</f>
        <v>View Full Record in Web of Science</v>
      </c>
    </row>
    <row r="268" spans="1:72" x14ac:dyDescent="0.25">
      <c r="A268" t="s">
        <v>72</v>
      </c>
      <c r="B268" t="s">
        <v>3378</v>
      </c>
      <c r="C268" t="s">
        <v>74</v>
      </c>
      <c r="D268" t="s">
        <v>74</v>
      </c>
      <c r="E268" t="s">
        <v>74</v>
      </c>
      <c r="F268" t="s">
        <v>4164</v>
      </c>
      <c r="G268" t="s">
        <v>74</v>
      </c>
      <c r="H268" t="s">
        <v>74</v>
      </c>
      <c r="I268" t="s">
        <v>4165</v>
      </c>
      <c r="J268" t="s">
        <v>216</v>
      </c>
      <c r="K268" t="s">
        <v>74</v>
      </c>
      <c r="L268" t="s">
        <v>74</v>
      </c>
      <c r="M268" t="s">
        <v>78</v>
      </c>
      <c r="N268" t="s">
        <v>52</v>
      </c>
      <c r="O268" t="s">
        <v>4152</v>
      </c>
      <c r="P268" t="s">
        <v>4153</v>
      </c>
      <c r="Q268" t="s">
        <v>4154</v>
      </c>
      <c r="R268" t="s">
        <v>2954</v>
      </c>
      <c r="S268" t="s">
        <v>74</v>
      </c>
      <c r="T268" t="s">
        <v>4166</v>
      </c>
      <c r="U268" t="s">
        <v>74</v>
      </c>
      <c r="V268" t="s">
        <v>74</v>
      </c>
      <c r="W268" t="s">
        <v>4167</v>
      </c>
      <c r="X268" t="s">
        <v>4168</v>
      </c>
      <c r="Y268" t="s">
        <v>74</v>
      </c>
      <c r="Z268" t="s">
        <v>508</v>
      </c>
      <c r="AA268" t="s">
        <v>4169</v>
      </c>
      <c r="AB268" t="s">
        <v>4170</v>
      </c>
      <c r="AC268" t="s">
        <v>74</v>
      </c>
      <c r="AD268" t="s">
        <v>74</v>
      </c>
      <c r="AE268" t="s">
        <v>74</v>
      </c>
      <c r="AF268" t="s">
        <v>74</v>
      </c>
      <c r="AG268">
        <v>0</v>
      </c>
      <c r="AH268">
        <v>0</v>
      </c>
      <c r="AI268">
        <v>0</v>
      </c>
      <c r="AJ268">
        <v>0</v>
      </c>
      <c r="AK268">
        <v>0</v>
      </c>
      <c r="AL268" t="s">
        <v>219</v>
      </c>
      <c r="AM268" t="s">
        <v>220</v>
      </c>
      <c r="AN268" t="s">
        <v>221</v>
      </c>
      <c r="AO268" t="s">
        <v>222</v>
      </c>
      <c r="AP268" t="s">
        <v>223</v>
      </c>
      <c r="AQ268" t="s">
        <v>74</v>
      </c>
      <c r="AR268" t="s">
        <v>224</v>
      </c>
      <c r="AS268" t="s">
        <v>225</v>
      </c>
      <c r="AT268" t="s">
        <v>4159</v>
      </c>
      <c r="AU268">
        <v>2021</v>
      </c>
      <c r="AV268">
        <v>58</v>
      </c>
      <c r="AW268" t="s">
        <v>74</v>
      </c>
      <c r="AX268" t="s">
        <v>74</v>
      </c>
      <c r="AY268">
        <v>65</v>
      </c>
      <c r="AZ268" t="s">
        <v>74</v>
      </c>
      <c r="BA268" t="s">
        <v>4171</v>
      </c>
      <c r="BB268" t="s">
        <v>74</v>
      </c>
      <c r="BC268" t="s">
        <v>74</v>
      </c>
      <c r="BD268" t="s">
        <v>74</v>
      </c>
      <c r="BE268" t="s">
        <v>4172</v>
      </c>
      <c r="BF268" t="str">
        <f>HYPERLINK("http://dx.doi.org/10.1183/13993003.congress-2021.OA145","http://dx.doi.org/10.1183/13993003.congress-2021.OA145")</f>
        <v>http://dx.doi.org/10.1183/13993003.congress-2021.OA145</v>
      </c>
      <c r="BG268" t="s">
        <v>74</v>
      </c>
      <c r="BH268" t="s">
        <v>74</v>
      </c>
      <c r="BI268">
        <v>2</v>
      </c>
      <c r="BJ268" t="s">
        <v>228</v>
      </c>
      <c r="BK268" t="s">
        <v>512</v>
      </c>
      <c r="BL268" t="s">
        <v>228</v>
      </c>
      <c r="BM268" t="s">
        <v>4162</v>
      </c>
      <c r="BN268" t="s">
        <v>74</v>
      </c>
      <c r="BO268" t="s">
        <v>74</v>
      </c>
      <c r="BP268" t="s">
        <v>74</v>
      </c>
      <c r="BQ268" t="s">
        <v>74</v>
      </c>
      <c r="BR268" t="s">
        <v>104</v>
      </c>
      <c r="BS268" t="s">
        <v>4173</v>
      </c>
      <c r="BT268" t="str">
        <f>HYPERLINK("https%3A%2F%2Fwww.webofscience.com%2Fwos%2Fwoscc%2Ffull-record%2FWOS:000747452100127","View Full Record in Web of Science")</f>
        <v>View Full Record in Web of Science</v>
      </c>
    </row>
    <row r="269" spans="1:72" x14ac:dyDescent="0.25">
      <c r="A269" t="s">
        <v>72</v>
      </c>
      <c r="B269" t="s">
        <v>4174</v>
      </c>
      <c r="C269" t="s">
        <v>74</v>
      </c>
      <c r="D269" t="s">
        <v>74</v>
      </c>
      <c r="E269" t="s">
        <v>74</v>
      </c>
      <c r="F269" t="s">
        <v>4175</v>
      </c>
      <c r="G269" t="s">
        <v>74</v>
      </c>
      <c r="H269" t="s">
        <v>74</v>
      </c>
      <c r="I269" t="s">
        <v>4176</v>
      </c>
      <c r="J269" t="s">
        <v>216</v>
      </c>
      <c r="K269" t="s">
        <v>74</v>
      </c>
      <c r="L269" t="s">
        <v>74</v>
      </c>
      <c r="M269" t="s">
        <v>78</v>
      </c>
      <c r="N269" t="s">
        <v>52</v>
      </c>
      <c r="O269" t="s">
        <v>4152</v>
      </c>
      <c r="P269" t="s">
        <v>4153</v>
      </c>
      <c r="Q269" t="s">
        <v>4154</v>
      </c>
      <c r="R269" t="s">
        <v>2954</v>
      </c>
      <c r="S269" t="s">
        <v>74</v>
      </c>
      <c r="T269" t="s">
        <v>4177</v>
      </c>
      <c r="U269" t="s">
        <v>74</v>
      </c>
      <c r="V269" t="s">
        <v>74</v>
      </c>
      <c r="W269" t="s">
        <v>4178</v>
      </c>
      <c r="X269" t="s">
        <v>4179</v>
      </c>
      <c r="Y269" t="s">
        <v>74</v>
      </c>
      <c r="Z269" t="s">
        <v>4180</v>
      </c>
      <c r="AA269" t="s">
        <v>2606</v>
      </c>
      <c r="AB269" t="s">
        <v>257</v>
      </c>
      <c r="AC269" t="s">
        <v>74</v>
      </c>
      <c r="AD269" t="s">
        <v>74</v>
      </c>
      <c r="AE269" t="s">
        <v>74</v>
      </c>
      <c r="AF269" t="s">
        <v>74</v>
      </c>
      <c r="AG269">
        <v>0</v>
      </c>
      <c r="AH269">
        <v>0</v>
      </c>
      <c r="AI269">
        <v>0</v>
      </c>
      <c r="AJ269">
        <v>1</v>
      </c>
      <c r="AK269">
        <v>1</v>
      </c>
      <c r="AL269" t="s">
        <v>219</v>
      </c>
      <c r="AM269" t="s">
        <v>220</v>
      </c>
      <c r="AN269" t="s">
        <v>221</v>
      </c>
      <c r="AO269" t="s">
        <v>222</v>
      </c>
      <c r="AP269" t="s">
        <v>223</v>
      </c>
      <c r="AQ269" t="s">
        <v>74</v>
      </c>
      <c r="AR269" t="s">
        <v>224</v>
      </c>
      <c r="AS269" t="s">
        <v>225</v>
      </c>
      <c r="AT269" t="s">
        <v>4159</v>
      </c>
      <c r="AU269">
        <v>2021</v>
      </c>
      <c r="AV269">
        <v>58</v>
      </c>
      <c r="AW269" t="s">
        <v>74</v>
      </c>
      <c r="AX269" t="s">
        <v>74</v>
      </c>
      <c r="AY269">
        <v>65</v>
      </c>
      <c r="AZ269" t="s">
        <v>74</v>
      </c>
      <c r="BA269" t="s">
        <v>4181</v>
      </c>
      <c r="BB269" t="s">
        <v>74</v>
      </c>
      <c r="BC269" t="s">
        <v>74</v>
      </c>
      <c r="BD269" t="s">
        <v>74</v>
      </c>
      <c r="BE269" t="s">
        <v>4182</v>
      </c>
      <c r="BF269" t="str">
        <f>HYPERLINK("http://dx.doi.org/10.1183/13993003.congress-2021.PA3731","http://dx.doi.org/10.1183/13993003.congress-2021.PA3731")</f>
        <v>http://dx.doi.org/10.1183/13993003.congress-2021.PA3731</v>
      </c>
      <c r="BG269" t="s">
        <v>74</v>
      </c>
      <c r="BH269" t="s">
        <v>74</v>
      </c>
      <c r="BI269">
        <v>2</v>
      </c>
      <c r="BJ269" t="s">
        <v>228</v>
      </c>
      <c r="BK269" t="s">
        <v>512</v>
      </c>
      <c r="BL269" t="s">
        <v>228</v>
      </c>
      <c r="BM269" t="s">
        <v>4162</v>
      </c>
      <c r="BN269" t="s">
        <v>74</v>
      </c>
      <c r="BO269" t="s">
        <v>74</v>
      </c>
      <c r="BP269" t="s">
        <v>74</v>
      </c>
      <c r="BQ269" t="s">
        <v>74</v>
      </c>
      <c r="BR269" t="s">
        <v>104</v>
      </c>
      <c r="BS269" t="s">
        <v>4183</v>
      </c>
      <c r="BT269" t="str">
        <f>HYPERLINK("https%3A%2F%2Fwww.webofscience.com%2Fwos%2Fwoscc%2Ffull-record%2FWOS:000747452105088","View Full Record in Web of Science")</f>
        <v>View Full Record in Web of Science</v>
      </c>
    </row>
    <row r="270" spans="1:72" x14ac:dyDescent="0.25">
      <c r="A270" t="s">
        <v>72</v>
      </c>
      <c r="B270" t="s">
        <v>4184</v>
      </c>
      <c r="C270" t="s">
        <v>74</v>
      </c>
      <c r="D270" t="s">
        <v>74</v>
      </c>
      <c r="E270" t="s">
        <v>74</v>
      </c>
      <c r="F270" t="s">
        <v>4185</v>
      </c>
      <c r="G270" t="s">
        <v>74</v>
      </c>
      <c r="H270" t="s">
        <v>74</v>
      </c>
      <c r="I270" t="s">
        <v>4186</v>
      </c>
      <c r="J270" t="s">
        <v>216</v>
      </c>
      <c r="K270" t="s">
        <v>74</v>
      </c>
      <c r="L270" t="s">
        <v>74</v>
      </c>
      <c r="M270" t="s">
        <v>78</v>
      </c>
      <c r="N270" t="s">
        <v>52</v>
      </c>
      <c r="O270" t="s">
        <v>4152</v>
      </c>
      <c r="P270" t="s">
        <v>4153</v>
      </c>
      <c r="Q270" t="s">
        <v>4154</v>
      </c>
      <c r="R270" t="s">
        <v>2954</v>
      </c>
      <c r="S270" t="s">
        <v>74</v>
      </c>
      <c r="T270" t="s">
        <v>4187</v>
      </c>
      <c r="U270" t="s">
        <v>74</v>
      </c>
      <c r="V270" t="s">
        <v>74</v>
      </c>
      <c r="W270" t="s">
        <v>4188</v>
      </c>
      <c r="X270" t="s">
        <v>4189</v>
      </c>
      <c r="Y270" t="s">
        <v>74</v>
      </c>
      <c r="Z270" t="s">
        <v>4190</v>
      </c>
      <c r="AA270" t="s">
        <v>1873</v>
      </c>
      <c r="AB270" t="s">
        <v>257</v>
      </c>
      <c r="AC270" t="s">
        <v>74</v>
      </c>
      <c r="AD270" t="s">
        <v>74</v>
      </c>
      <c r="AE270" t="s">
        <v>74</v>
      </c>
      <c r="AF270" t="s">
        <v>74</v>
      </c>
      <c r="AG270">
        <v>0</v>
      </c>
      <c r="AH270">
        <v>0</v>
      </c>
      <c r="AI270">
        <v>0</v>
      </c>
      <c r="AJ270">
        <v>0</v>
      </c>
      <c r="AK270">
        <v>0</v>
      </c>
      <c r="AL270" t="s">
        <v>219</v>
      </c>
      <c r="AM270" t="s">
        <v>220</v>
      </c>
      <c r="AN270" t="s">
        <v>221</v>
      </c>
      <c r="AO270" t="s">
        <v>222</v>
      </c>
      <c r="AP270" t="s">
        <v>223</v>
      </c>
      <c r="AQ270" t="s">
        <v>74</v>
      </c>
      <c r="AR270" t="s">
        <v>224</v>
      </c>
      <c r="AS270" t="s">
        <v>225</v>
      </c>
      <c r="AT270" t="s">
        <v>4159</v>
      </c>
      <c r="AU270">
        <v>2021</v>
      </c>
      <c r="AV270">
        <v>58</v>
      </c>
      <c r="AW270" t="s">
        <v>74</v>
      </c>
      <c r="AX270" t="s">
        <v>74</v>
      </c>
      <c r="AY270">
        <v>65</v>
      </c>
      <c r="AZ270" t="s">
        <v>74</v>
      </c>
      <c r="BA270" t="s">
        <v>4191</v>
      </c>
      <c r="BB270" t="s">
        <v>74</v>
      </c>
      <c r="BC270" t="s">
        <v>74</v>
      </c>
      <c r="BD270" t="s">
        <v>74</v>
      </c>
      <c r="BE270" t="s">
        <v>4192</v>
      </c>
      <c r="BF270" t="str">
        <f>HYPERLINK("http://dx.doi.org/10.1183/13993003.congress-2021.PA3599","http://dx.doi.org/10.1183/13993003.congress-2021.PA3599")</f>
        <v>http://dx.doi.org/10.1183/13993003.congress-2021.PA3599</v>
      </c>
      <c r="BG270" t="s">
        <v>74</v>
      </c>
      <c r="BH270" t="s">
        <v>74</v>
      </c>
      <c r="BI270">
        <v>2</v>
      </c>
      <c r="BJ270" t="s">
        <v>228</v>
      </c>
      <c r="BK270" t="s">
        <v>512</v>
      </c>
      <c r="BL270" t="s">
        <v>228</v>
      </c>
      <c r="BM270" t="s">
        <v>4162</v>
      </c>
      <c r="BN270" t="s">
        <v>74</v>
      </c>
      <c r="BO270" t="s">
        <v>74</v>
      </c>
      <c r="BP270" t="s">
        <v>74</v>
      </c>
      <c r="BQ270" t="s">
        <v>74</v>
      </c>
      <c r="BR270" t="s">
        <v>104</v>
      </c>
      <c r="BS270" t="s">
        <v>4193</v>
      </c>
      <c r="BT270" t="str">
        <f>HYPERLINK("https%3A%2F%2Fwww.webofscience.com%2Fwos%2Fwoscc%2Ffull-record%2FWOS:000747452104420","View Full Record in Web of Science")</f>
        <v>View Full Record in Web of Science</v>
      </c>
    </row>
    <row r="271" spans="1:72" x14ac:dyDescent="0.25">
      <c r="A271" t="s">
        <v>72</v>
      </c>
      <c r="B271" t="s">
        <v>4194</v>
      </c>
      <c r="C271" t="s">
        <v>74</v>
      </c>
      <c r="D271" t="s">
        <v>74</v>
      </c>
      <c r="E271" t="s">
        <v>74</v>
      </c>
      <c r="F271" t="s">
        <v>4195</v>
      </c>
      <c r="G271" t="s">
        <v>74</v>
      </c>
      <c r="H271" t="s">
        <v>74</v>
      </c>
      <c r="I271" t="s">
        <v>4196</v>
      </c>
      <c r="J271" t="s">
        <v>216</v>
      </c>
      <c r="K271" t="s">
        <v>74</v>
      </c>
      <c r="L271" t="s">
        <v>74</v>
      </c>
      <c r="M271" t="s">
        <v>78</v>
      </c>
      <c r="N271" t="s">
        <v>52</v>
      </c>
      <c r="O271" t="s">
        <v>4152</v>
      </c>
      <c r="P271" t="s">
        <v>4153</v>
      </c>
      <c r="Q271" t="s">
        <v>4154</v>
      </c>
      <c r="R271" t="s">
        <v>2954</v>
      </c>
      <c r="S271" t="s">
        <v>74</v>
      </c>
      <c r="T271" t="s">
        <v>4197</v>
      </c>
      <c r="U271" t="s">
        <v>74</v>
      </c>
      <c r="V271" t="s">
        <v>74</v>
      </c>
      <c r="W271" t="s">
        <v>4198</v>
      </c>
      <c r="X271" t="s">
        <v>4199</v>
      </c>
      <c r="Y271" t="s">
        <v>74</v>
      </c>
      <c r="Z271" t="s">
        <v>4200</v>
      </c>
      <c r="AA271" t="s">
        <v>144</v>
      </c>
      <c r="AB271" t="s">
        <v>257</v>
      </c>
      <c r="AC271" t="s">
        <v>74</v>
      </c>
      <c r="AD271" t="s">
        <v>74</v>
      </c>
      <c r="AE271" t="s">
        <v>74</v>
      </c>
      <c r="AF271" t="s">
        <v>74</v>
      </c>
      <c r="AG271">
        <v>0</v>
      </c>
      <c r="AH271">
        <v>4</v>
      </c>
      <c r="AI271">
        <v>4</v>
      </c>
      <c r="AJ271">
        <v>0</v>
      </c>
      <c r="AK271">
        <v>0</v>
      </c>
      <c r="AL271" t="s">
        <v>219</v>
      </c>
      <c r="AM271" t="s">
        <v>220</v>
      </c>
      <c r="AN271" t="s">
        <v>221</v>
      </c>
      <c r="AO271" t="s">
        <v>222</v>
      </c>
      <c r="AP271" t="s">
        <v>223</v>
      </c>
      <c r="AQ271" t="s">
        <v>74</v>
      </c>
      <c r="AR271" t="s">
        <v>224</v>
      </c>
      <c r="AS271" t="s">
        <v>225</v>
      </c>
      <c r="AT271" t="s">
        <v>4159</v>
      </c>
      <c r="AU271">
        <v>2021</v>
      </c>
      <c r="AV271">
        <v>58</v>
      </c>
      <c r="AW271" t="s">
        <v>74</v>
      </c>
      <c r="AX271" t="s">
        <v>74</v>
      </c>
      <c r="AY271">
        <v>65</v>
      </c>
      <c r="AZ271" t="s">
        <v>74</v>
      </c>
      <c r="BA271" t="s">
        <v>4201</v>
      </c>
      <c r="BB271" t="s">
        <v>74</v>
      </c>
      <c r="BC271" t="s">
        <v>74</v>
      </c>
      <c r="BD271" t="s">
        <v>74</v>
      </c>
      <c r="BE271" t="s">
        <v>4202</v>
      </c>
      <c r="BF271" t="str">
        <f>HYPERLINK("http://dx.doi.org/10.1183/13993003.congress-2021.PA1919","http://dx.doi.org/10.1183/13993003.congress-2021.PA1919")</f>
        <v>http://dx.doi.org/10.1183/13993003.congress-2021.PA1919</v>
      </c>
      <c r="BG271" t="s">
        <v>74</v>
      </c>
      <c r="BH271" t="s">
        <v>74</v>
      </c>
      <c r="BI271">
        <v>2</v>
      </c>
      <c r="BJ271" t="s">
        <v>228</v>
      </c>
      <c r="BK271" t="s">
        <v>512</v>
      </c>
      <c r="BL271" t="s">
        <v>228</v>
      </c>
      <c r="BM271" t="s">
        <v>4162</v>
      </c>
      <c r="BN271" t="s">
        <v>74</v>
      </c>
      <c r="BO271" t="s">
        <v>74</v>
      </c>
      <c r="BP271" t="s">
        <v>74</v>
      </c>
      <c r="BQ271" t="s">
        <v>74</v>
      </c>
      <c r="BR271" t="s">
        <v>104</v>
      </c>
      <c r="BS271" t="s">
        <v>4203</v>
      </c>
      <c r="BT271" t="str">
        <f>HYPERLINK("https%3A%2F%2Fwww.webofscience.com%2Fwos%2Fwoscc%2Ffull-record%2FWOS:000747452102152","View Full Record in Web of Science")</f>
        <v>View Full Record in Web of Science</v>
      </c>
    </row>
    <row r="272" spans="1:72" x14ac:dyDescent="0.25">
      <c r="A272" t="s">
        <v>72</v>
      </c>
      <c r="B272" t="s">
        <v>4204</v>
      </c>
      <c r="C272" t="s">
        <v>74</v>
      </c>
      <c r="D272" t="s">
        <v>74</v>
      </c>
      <c r="E272" t="s">
        <v>74</v>
      </c>
      <c r="F272" t="s">
        <v>4205</v>
      </c>
      <c r="G272" t="s">
        <v>74</v>
      </c>
      <c r="H272" t="s">
        <v>74</v>
      </c>
      <c r="I272" t="s">
        <v>4206</v>
      </c>
      <c r="J272" t="s">
        <v>216</v>
      </c>
      <c r="K272" t="s">
        <v>74</v>
      </c>
      <c r="L272" t="s">
        <v>74</v>
      </c>
      <c r="M272" t="s">
        <v>78</v>
      </c>
      <c r="N272" t="s">
        <v>52</v>
      </c>
      <c r="O272" t="s">
        <v>4152</v>
      </c>
      <c r="P272" t="s">
        <v>4153</v>
      </c>
      <c r="Q272" t="s">
        <v>4154</v>
      </c>
      <c r="R272" t="s">
        <v>2954</v>
      </c>
      <c r="S272" t="s">
        <v>74</v>
      </c>
      <c r="T272" t="s">
        <v>4207</v>
      </c>
      <c r="U272" t="s">
        <v>74</v>
      </c>
      <c r="V272" t="s">
        <v>74</v>
      </c>
      <c r="W272" t="s">
        <v>4208</v>
      </c>
      <c r="X272" t="s">
        <v>4209</v>
      </c>
      <c r="Y272" t="s">
        <v>74</v>
      </c>
      <c r="Z272" t="s">
        <v>4210</v>
      </c>
      <c r="AA272" t="s">
        <v>2713</v>
      </c>
      <c r="AB272" t="s">
        <v>257</v>
      </c>
      <c r="AC272" t="s">
        <v>74</v>
      </c>
      <c r="AD272" t="s">
        <v>74</v>
      </c>
      <c r="AE272" t="s">
        <v>74</v>
      </c>
      <c r="AF272" t="s">
        <v>74</v>
      </c>
      <c r="AG272">
        <v>0</v>
      </c>
      <c r="AH272">
        <v>0</v>
      </c>
      <c r="AI272">
        <v>0</v>
      </c>
      <c r="AJ272">
        <v>0</v>
      </c>
      <c r="AK272">
        <v>0</v>
      </c>
      <c r="AL272" t="s">
        <v>219</v>
      </c>
      <c r="AM272" t="s">
        <v>220</v>
      </c>
      <c r="AN272" t="s">
        <v>221</v>
      </c>
      <c r="AO272" t="s">
        <v>222</v>
      </c>
      <c r="AP272" t="s">
        <v>223</v>
      </c>
      <c r="AQ272" t="s">
        <v>74</v>
      </c>
      <c r="AR272" t="s">
        <v>224</v>
      </c>
      <c r="AS272" t="s">
        <v>225</v>
      </c>
      <c r="AT272" t="s">
        <v>4159</v>
      </c>
      <c r="AU272">
        <v>2021</v>
      </c>
      <c r="AV272">
        <v>58</v>
      </c>
      <c r="AW272" t="s">
        <v>74</v>
      </c>
      <c r="AX272" t="s">
        <v>74</v>
      </c>
      <c r="AY272">
        <v>65</v>
      </c>
      <c r="AZ272" t="s">
        <v>74</v>
      </c>
      <c r="BA272" t="s">
        <v>4211</v>
      </c>
      <c r="BB272" t="s">
        <v>74</v>
      </c>
      <c r="BC272" t="s">
        <v>74</v>
      </c>
      <c r="BD272" t="s">
        <v>74</v>
      </c>
      <c r="BE272" t="s">
        <v>4212</v>
      </c>
      <c r="BF272" t="str">
        <f>HYPERLINK("http://dx.doi.org/10.1183/13993003.congress-2021.PA600","http://dx.doi.org/10.1183/13993003.congress-2021.PA600")</f>
        <v>http://dx.doi.org/10.1183/13993003.congress-2021.PA600</v>
      </c>
      <c r="BG272" t="s">
        <v>74</v>
      </c>
      <c r="BH272" t="s">
        <v>74</v>
      </c>
      <c r="BI272">
        <v>2</v>
      </c>
      <c r="BJ272" t="s">
        <v>228</v>
      </c>
      <c r="BK272" t="s">
        <v>512</v>
      </c>
      <c r="BL272" t="s">
        <v>228</v>
      </c>
      <c r="BM272" t="s">
        <v>4162</v>
      </c>
      <c r="BN272" t="s">
        <v>74</v>
      </c>
      <c r="BO272" t="s">
        <v>74</v>
      </c>
      <c r="BP272" t="s">
        <v>74</v>
      </c>
      <c r="BQ272" t="s">
        <v>74</v>
      </c>
      <c r="BR272" t="s">
        <v>104</v>
      </c>
      <c r="BS272" t="s">
        <v>4213</v>
      </c>
      <c r="BT272" t="str">
        <f>HYPERLINK("https%3A%2F%2Fwww.webofscience.com%2Fwos%2Fwoscc%2Ffull-record%2FWOS:000747452106038","View Full Record in Web of Science")</f>
        <v>View Full Record in Web of Science</v>
      </c>
    </row>
    <row r="273" spans="1:72" x14ac:dyDescent="0.25">
      <c r="A273" t="s">
        <v>72</v>
      </c>
      <c r="B273" t="s">
        <v>4214</v>
      </c>
      <c r="C273" t="s">
        <v>74</v>
      </c>
      <c r="D273" t="s">
        <v>74</v>
      </c>
      <c r="E273" t="s">
        <v>74</v>
      </c>
      <c r="F273" t="s">
        <v>4215</v>
      </c>
      <c r="G273" t="s">
        <v>74</v>
      </c>
      <c r="H273" t="s">
        <v>74</v>
      </c>
      <c r="I273" t="s">
        <v>4216</v>
      </c>
      <c r="J273" t="s">
        <v>216</v>
      </c>
      <c r="K273" t="s">
        <v>74</v>
      </c>
      <c r="L273" t="s">
        <v>74</v>
      </c>
      <c r="M273" t="s">
        <v>78</v>
      </c>
      <c r="N273" t="s">
        <v>52</v>
      </c>
      <c r="O273" t="s">
        <v>4152</v>
      </c>
      <c r="P273" t="s">
        <v>4153</v>
      </c>
      <c r="Q273" t="s">
        <v>4154</v>
      </c>
      <c r="R273" t="s">
        <v>2954</v>
      </c>
      <c r="S273" t="s">
        <v>74</v>
      </c>
      <c r="T273" t="s">
        <v>4207</v>
      </c>
      <c r="U273" t="s">
        <v>74</v>
      </c>
      <c r="V273" t="s">
        <v>74</v>
      </c>
      <c r="W273" t="s">
        <v>4217</v>
      </c>
      <c r="X273" t="s">
        <v>4218</v>
      </c>
      <c r="Y273" t="s">
        <v>74</v>
      </c>
      <c r="Z273" t="s">
        <v>4219</v>
      </c>
      <c r="AA273" t="s">
        <v>4220</v>
      </c>
      <c r="AB273" t="s">
        <v>4221</v>
      </c>
      <c r="AC273" t="s">
        <v>74</v>
      </c>
      <c r="AD273" t="s">
        <v>74</v>
      </c>
      <c r="AE273" t="s">
        <v>74</v>
      </c>
      <c r="AF273" t="s">
        <v>74</v>
      </c>
      <c r="AG273">
        <v>0</v>
      </c>
      <c r="AH273">
        <v>0</v>
      </c>
      <c r="AI273">
        <v>0</v>
      </c>
      <c r="AJ273">
        <v>0</v>
      </c>
      <c r="AK273">
        <v>2</v>
      </c>
      <c r="AL273" t="s">
        <v>219</v>
      </c>
      <c r="AM273" t="s">
        <v>220</v>
      </c>
      <c r="AN273" t="s">
        <v>221</v>
      </c>
      <c r="AO273" t="s">
        <v>222</v>
      </c>
      <c r="AP273" t="s">
        <v>223</v>
      </c>
      <c r="AQ273" t="s">
        <v>74</v>
      </c>
      <c r="AR273" t="s">
        <v>224</v>
      </c>
      <c r="AS273" t="s">
        <v>225</v>
      </c>
      <c r="AT273" t="s">
        <v>4159</v>
      </c>
      <c r="AU273">
        <v>2021</v>
      </c>
      <c r="AV273">
        <v>58</v>
      </c>
      <c r="AW273" t="s">
        <v>74</v>
      </c>
      <c r="AX273" t="s">
        <v>74</v>
      </c>
      <c r="AY273">
        <v>65</v>
      </c>
      <c r="AZ273" t="s">
        <v>74</v>
      </c>
      <c r="BA273" t="s">
        <v>4222</v>
      </c>
      <c r="BB273" t="s">
        <v>74</v>
      </c>
      <c r="BC273" t="s">
        <v>74</v>
      </c>
      <c r="BD273" t="s">
        <v>74</v>
      </c>
      <c r="BE273" t="s">
        <v>4223</v>
      </c>
      <c r="BF273" t="str">
        <f>HYPERLINK("http://dx.doi.org/10.1183/13993003.congress-2021.PA599","http://dx.doi.org/10.1183/13993003.congress-2021.PA599")</f>
        <v>http://dx.doi.org/10.1183/13993003.congress-2021.PA599</v>
      </c>
      <c r="BG273" t="s">
        <v>74</v>
      </c>
      <c r="BH273" t="s">
        <v>74</v>
      </c>
      <c r="BI273">
        <v>2</v>
      </c>
      <c r="BJ273" t="s">
        <v>228</v>
      </c>
      <c r="BK273" t="s">
        <v>512</v>
      </c>
      <c r="BL273" t="s">
        <v>228</v>
      </c>
      <c r="BM273" t="s">
        <v>4162</v>
      </c>
      <c r="BN273" t="s">
        <v>74</v>
      </c>
      <c r="BO273" t="s">
        <v>74</v>
      </c>
      <c r="BP273" t="s">
        <v>74</v>
      </c>
      <c r="BQ273" t="s">
        <v>74</v>
      </c>
      <c r="BR273" t="s">
        <v>104</v>
      </c>
      <c r="BS273" t="s">
        <v>4224</v>
      </c>
      <c r="BT273" t="str">
        <f>HYPERLINK("https%3A%2F%2Fwww.webofscience.com%2Fwos%2Fwoscc%2Ffull-record%2FWOS:000747452106037","View Full Record in Web of Science")</f>
        <v>View Full Record in Web of Science</v>
      </c>
    </row>
    <row r="274" spans="1:72" x14ac:dyDescent="0.25">
      <c r="A274" t="s">
        <v>72</v>
      </c>
      <c r="B274" t="s">
        <v>4225</v>
      </c>
      <c r="C274" t="s">
        <v>74</v>
      </c>
      <c r="D274" t="s">
        <v>74</v>
      </c>
      <c r="E274" t="s">
        <v>74</v>
      </c>
      <c r="F274" t="s">
        <v>4226</v>
      </c>
      <c r="G274" t="s">
        <v>74</v>
      </c>
      <c r="H274" t="s">
        <v>4227</v>
      </c>
      <c r="I274" t="s">
        <v>4228</v>
      </c>
      <c r="J274" t="s">
        <v>216</v>
      </c>
      <c r="K274" t="s">
        <v>74</v>
      </c>
      <c r="L274" t="s">
        <v>74</v>
      </c>
      <c r="M274" t="s">
        <v>78</v>
      </c>
      <c r="N274" t="s">
        <v>52</v>
      </c>
      <c r="O274" t="s">
        <v>4152</v>
      </c>
      <c r="P274" t="s">
        <v>4153</v>
      </c>
      <c r="Q274" t="s">
        <v>4154</v>
      </c>
      <c r="R274" t="s">
        <v>2954</v>
      </c>
      <c r="S274" t="s">
        <v>74</v>
      </c>
      <c r="T274" t="s">
        <v>4229</v>
      </c>
      <c r="U274" t="s">
        <v>74</v>
      </c>
      <c r="V274" t="s">
        <v>74</v>
      </c>
      <c r="W274" t="s">
        <v>4230</v>
      </c>
      <c r="X274" t="s">
        <v>4231</v>
      </c>
      <c r="Y274" t="s">
        <v>74</v>
      </c>
      <c r="Z274" t="s">
        <v>1448</v>
      </c>
      <c r="AA274" t="s">
        <v>1873</v>
      </c>
      <c r="AB274" t="s">
        <v>257</v>
      </c>
      <c r="AC274" t="s">
        <v>74</v>
      </c>
      <c r="AD274" t="s">
        <v>74</v>
      </c>
      <c r="AE274" t="s">
        <v>74</v>
      </c>
      <c r="AF274" t="s">
        <v>74</v>
      </c>
      <c r="AG274">
        <v>0</v>
      </c>
      <c r="AH274">
        <v>0</v>
      </c>
      <c r="AI274">
        <v>0</v>
      </c>
      <c r="AJ274">
        <v>0</v>
      </c>
      <c r="AK274">
        <v>0</v>
      </c>
      <c r="AL274" t="s">
        <v>219</v>
      </c>
      <c r="AM274" t="s">
        <v>220</v>
      </c>
      <c r="AN274" t="s">
        <v>221</v>
      </c>
      <c r="AO274" t="s">
        <v>222</v>
      </c>
      <c r="AP274" t="s">
        <v>223</v>
      </c>
      <c r="AQ274" t="s">
        <v>74</v>
      </c>
      <c r="AR274" t="s">
        <v>224</v>
      </c>
      <c r="AS274" t="s">
        <v>225</v>
      </c>
      <c r="AT274" t="s">
        <v>4159</v>
      </c>
      <c r="AU274">
        <v>2021</v>
      </c>
      <c r="AV274">
        <v>58</v>
      </c>
      <c r="AW274" t="s">
        <v>74</v>
      </c>
      <c r="AX274" t="s">
        <v>74</v>
      </c>
      <c r="AY274">
        <v>65</v>
      </c>
      <c r="AZ274" t="s">
        <v>74</v>
      </c>
      <c r="BA274" t="s">
        <v>4232</v>
      </c>
      <c r="BB274" t="s">
        <v>74</v>
      </c>
      <c r="BC274" t="s">
        <v>74</v>
      </c>
      <c r="BD274" t="s">
        <v>74</v>
      </c>
      <c r="BE274" t="s">
        <v>4233</v>
      </c>
      <c r="BF274" t="str">
        <f>HYPERLINK("http://dx.doi.org/10.1183/13993003.congress-2021.PA3606","http://dx.doi.org/10.1183/13993003.congress-2021.PA3606")</f>
        <v>http://dx.doi.org/10.1183/13993003.congress-2021.PA3606</v>
      </c>
      <c r="BG274" t="s">
        <v>74</v>
      </c>
      <c r="BH274" t="s">
        <v>74</v>
      </c>
      <c r="BI274">
        <v>2</v>
      </c>
      <c r="BJ274" t="s">
        <v>228</v>
      </c>
      <c r="BK274" t="s">
        <v>512</v>
      </c>
      <c r="BL274" t="s">
        <v>228</v>
      </c>
      <c r="BM274" t="s">
        <v>4162</v>
      </c>
      <c r="BN274" t="s">
        <v>74</v>
      </c>
      <c r="BO274" t="s">
        <v>74</v>
      </c>
      <c r="BP274" t="s">
        <v>74</v>
      </c>
      <c r="BQ274" t="s">
        <v>74</v>
      </c>
      <c r="BR274" t="s">
        <v>104</v>
      </c>
      <c r="BS274" t="s">
        <v>4234</v>
      </c>
      <c r="BT274" t="str">
        <f>HYPERLINK("https%3A%2F%2Fwww.webofscience.com%2Fwos%2Fwoscc%2Ffull-record%2FWOS:000747452104428","View Full Record in Web of Science")</f>
        <v>View Full Record in Web of Science</v>
      </c>
    </row>
    <row r="275" spans="1:72" x14ac:dyDescent="0.25">
      <c r="A275" t="s">
        <v>72</v>
      </c>
      <c r="B275" t="s">
        <v>4235</v>
      </c>
      <c r="C275" t="s">
        <v>74</v>
      </c>
      <c r="D275" t="s">
        <v>74</v>
      </c>
      <c r="E275" t="s">
        <v>74</v>
      </c>
      <c r="F275" t="s">
        <v>4236</v>
      </c>
      <c r="G275" t="s">
        <v>74</v>
      </c>
      <c r="H275" t="s">
        <v>74</v>
      </c>
      <c r="I275" t="s">
        <v>4237</v>
      </c>
      <c r="J275" t="s">
        <v>216</v>
      </c>
      <c r="K275" t="s">
        <v>74</v>
      </c>
      <c r="L275" t="s">
        <v>74</v>
      </c>
      <c r="M275" t="s">
        <v>78</v>
      </c>
      <c r="N275" t="s">
        <v>52</v>
      </c>
      <c r="O275" t="s">
        <v>4152</v>
      </c>
      <c r="P275" t="s">
        <v>4153</v>
      </c>
      <c r="Q275" t="s">
        <v>4154</v>
      </c>
      <c r="R275" t="s">
        <v>2954</v>
      </c>
      <c r="S275" t="s">
        <v>74</v>
      </c>
      <c r="T275" t="s">
        <v>4238</v>
      </c>
      <c r="U275" t="s">
        <v>74</v>
      </c>
      <c r="V275" t="s">
        <v>74</v>
      </c>
      <c r="W275" t="s">
        <v>4239</v>
      </c>
      <c r="X275" t="s">
        <v>4240</v>
      </c>
      <c r="Y275" t="s">
        <v>74</v>
      </c>
      <c r="Z275" t="s">
        <v>1605</v>
      </c>
      <c r="AA275" t="s">
        <v>4241</v>
      </c>
      <c r="AB275" t="s">
        <v>257</v>
      </c>
      <c r="AC275" t="s">
        <v>74</v>
      </c>
      <c r="AD275" t="s">
        <v>74</v>
      </c>
      <c r="AE275" t="s">
        <v>74</v>
      </c>
      <c r="AF275" t="s">
        <v>74</v>
      </c>
      <c r="AG275">
        <v>0</v>
      </c>
      <c r="AH275">
        <v>0</v>
      </c>
      <c r="AI275">
        <v>0</v>
      </c>
      <c r="AJ275">
        <v>0</v>
      </c>
      <c r="AK275">
        <v>1</v>
      </c>
      <c r="AL275" t="s">
        <v>219</v>
      </c>
      <c r="AM275" t="s">
        <v>220</v>
      </c>
      <c r="AN275" t="s">
        <v>221</v>
      </c>
      <c r="AO275" t="s">
        <v>222</v>
      </c>
      <c r="AP275" t="s">
        <v>223</v>
      </c>
      <c r="AQ275" t="s">
        <v>74</v>
      </c>
      <c r="AR275" t="s">
        <v>224</v>
      </c>
      <c r="AS275" t="s">
        <v>225</v>
      </c>
      <c r="AT275" t="s">
        <v>4159</v>
      </c>
      <c r="AU275">
        <v>2021</v>
      </c>
      <c r="AV275">
        <v>58</v>
      </c>
      <c r="AW275" t="s">
        <v>74</v>
      </c>
      <c r="AX275" t="s">
        <v>74</v>
      </c>
      <c r="AY275">
        <v>65</v>
      </c>
      <c r="AZ275" t="s">
        <v>74</v>
      </c>
      <c r="BA275" t="s">
        <v>4242</v>
      </c>
      <c r="BB275" t="s">
        <v>74</v>
      </c>
      <c r="BC275" t="s">
        <v>74</v>
      </c>
      <c r="BD275" t="s">
        <v>74</v>
      </c>
      <c r="BE275" t="s">
        <v>4243</v>
      </c>
      <c r="BF275" t="str">
        <f>HYPERLINK("http://dx.doi.org/10.1183/13993003.congress-2021.OA146","http://dx.doi.org/10.1183/13993003.congress-2021.OA146")</f>
        <v>http://dx.doi.org/10.1183/13993003.congress-2021.OA146</v>
      </c>
      <c r="BG275" t="s">
        <v>74</v>
      </c>
      <c r="BH275" t="s">
        <v>74</v>
      </c>
      <c r="BI275">
        <v>3</v>
      </c>
      <c r="BJ275" t="s">
        <v>228</v>
      </c>
      <c r="BK275" t="s">
        <v>512</v>
      </c>
      <c r="BL275" t="s">
        <v>228</v>
      </c>
      <c r="BM275" t="s">
        <v>4162</v>
      </c>
      <c r="BN275" t="s">
        <v>74</v>
      </c>
      <c r="BO275" t="s">
        <v>612</v>
      </c>
      <c r="BP275" t="s">
        <v>74</v>
      </c>
      <c r="BQ275" t="s">
        <v>74</v>
      </c>
      <c r="BR275" t="s">
        <v>104</v>
      </c>
      <c r="BS275" t="s">
        <v>4244</v>
      </c>
      <c r="BT275" t="str">
        <f>HYPERLINK("https%3A%2F%2Fwww.webofscience.com%2Fwos%2Fwoscc%2Ffull-record%2FWOS:000747452100128","View Full Record in Web of Science")</f>
        <v>View Full Record in Web of Science</v>
      </c>
    </row>
    <row r="276" spans="1:72" x14ac:dyDescent="0.25">
      <c r="A276" t="s">
        <v>72</v>
      </c>
      <c r="B276" t="s">
        <v>4245</v>
      </c>
      <c r="C276" t="s">
        <v>74</v>
      </c>
      <c r="D276" t="s">
        <v>74</v>
      </c>
      <c r="E276" t="s">
        <v>74</v>
      </c>
      <c r="F276" t="s">
        <v>4246</v>
      </c>
      <c r="G276" t="s">
        <v>74</v>
      </c>
      <c r="H276" t="s">
        <v>74</v>
      </c>
      <c r="I276" t="s">
        <v>4247</v>
      </c>
      <c r="J276" t="s">
        <v>216</v>
      </c>
      <c r="K276" t="s">
        <v>74</v>
      </c>
      <c r="L276" t="s">
        <v>74</v>
      </c>
      <c r="M276" t="s">
        <v>78</v>
      </c>
      <c r="N276" t="s">
        <v>52</v>
      </c>
      <c r="O276" t="s">
        <v>4152</v>
      </c>
      <c r="P276" t="s">
        <v>4153</v>
      </c>
      <c r="Q276" t="s">
        <v>4154</v>
      </c>
      <c r="R276" t="s">
        <v>2954</v>
      </c>
      <c r="S276" t="s">
        <v>74</v>
      </c>
      <c r="T276" t="s">
        <v>4248</v>
      </c>
      <c r="U276" t="s">
        <v>74</v>
      </c>
      <c r="V276" t="s">
        <v>74</v>
      </c>
      <c r="W276" t="s">
        <v>4249</v>
      </c>
      <c r="X276" t="s">
        <v>4250</v>
      </c>
      <c r="Y276" t="s">
        <v>74</v>
      </c>
      <c r="Z276" t="s">
        <v>4251</v>
      </c>
      <c r="AA276" t="s">
        <v>1873</v>
      </c>
      <c r="AB276" t="s">
        <v>257</v>
      </c>
      <c r="AC276" t="s">
        <v>74</v>
      </c>
      <c r="AD276" t="s">
        <v>74</v>
      </c>
      <c r="AE276" t="s">
        <v>74</v>
      </c>
      <c r="AF276" t="s">
        <v>74</v>
      </c>
      <c r="AG276">
        <v>0</v>
      </c>
      <c r="AH276">
        <v>0</v>
      </c>
      <c r="AI276">
        <v>0</v>
      </c>
      <c r="AJ276">
        <v>0</v>
      </c>
      <c r="AK276">
        <v>0</v>
      </c>
      <c r="AL276" t="s">
        <v>219</v>
      </c>
      <c r="AM276" t="s">
        <v>220</v>
      </c>
      <c r="AN276" t="s">
        <v>221</v>
      </c>
      <c r="AO276" t="s">
        <v>222</v>
      </c>
      <c r="AP276" t="s">
        <v>223</v>
      </c>
      <c r="AQ276" t="s">
        <v>74</v>
      </c>
      <c r="AR276" t="s">
        <v>224</v>
      </c>
      <c r="AS276" t="s">
        <v>225</v>
      </c>
      <c r="AT276" t="s">
        <v>4159</v>
      </c>
      <c r="AU276">
        <v>2021</v>
      </c>
      <c r="AV276">
        <v>58</v>
      </c>
      <c r="AW276" t="s">
        <v>74</v>
      </c>
      <c r="AX276" t="s">
        <v>74</v>
      </c>
      <c r="AY276">
        <v>65</v>
      </c>
      <c r="AZ276" t="s">
        <v>74</v>
      </c>
      <c r="BA276" t="s">
        <v>4252</v>
      </c>
      <c r="BB276" t="s">
        <v>74</v>
      </c>
      <c r="BC276" t="s">
        <v>74</v>
      </c>
      <c r="BD276" t="s">
        <v>74</v>
      </c>
      <c r="BE276" t="s">
        <v>4253</v>
      </c>
      <c r="BF276" t="str">
        <f>HYPERLINK("http://dx.doi.org/10.1183/13993003.congress-2021.PA1925","http://dx.doi.org/10.1183/13993003.congress-2021.PA1925")</f>
        <v>http://dx.doi.org/10.1183/13993003.congress-2021.PA1925</v>
      </c>
      <c r="BG276" t="s">
        <v>74</v>
      </c>
      <c r="BH276" t="s">
        <v>74</v>
      </c>
      <c r="BI276">
        <v>2</v>
      </c>
      <c r="BJ276" t="s">
        <v>228</v>
      </c>
      <c r="BK276" t="s">
        <v>512</v>
      </c>
      <c r="BL276" t="s">
        <v>228</v>
      </c>
      <c r="BM276" t="s">
        <v>4162</v>
      </c>
      <c r="BN276" t="s">
        <v>74</v>
      </c>
      <c r="BO276" t="s">
        <v>74</v>
      </c>
      <c r="BP276" t="s">
        <v>74</v>
      </c>
      <c r="BQ276" t="s">
        <v>74</v>
      </c>
      <c r="BR276" t="s">
        <v>104</v>
      </c>
      <c r="BS276" t="s">
        <v>4254</v>
      </c>
      <c r="BT276" t="str">
        <f>HYPERLINK("https%3A%2F%2Fwww.webofscience.com%2Fwos%2Fwoscc%2Ffull-record%2FWOS:000747452102158","View Full Record in Web of Science")</f>
        <v>View Full Record in Web of Science</v>
      </c>
    </row>
    <row r="277" spans="1:72" x14ac:dyDescent="0.25">
      <c r="A277" t="s">
        <v>72</v>
      </c>
      <c r="B277" t="s">
        <v>4255</v>
      </c>
      <c r="C277" t="s">
        <v>74</v>
      </c>
      <c r="D277" t="s">
        <v>74</v>
      </c>
      <c r="E277" t="s">
        <v>74</v>
      </c>
      <c r="F277" t="s">
        <v>4256</v>
      </c>
      <c r="G277" t="s">
        <v>74</v>
      </c>
      <c r="H277" t="s">
        <v>74</v>
      </c>
      <c r="I277" t="s">
        <v>4257</v>
      </c>
      <c r="J277" t="s">
        <v>216</v>
      </c>
      <c r="K277" t="s">
        <v>74</v>
      </c>
      <c r="L277" t="s">
        <v>74</v>
      </c>
      <c r="M277" t="s">
        <v>78</v>
      </c>
      <c r="N277" t="s">
        <v>52</v>
      </c>
      <c r="O277" t="s">
        <v>4152</v>
      </c>
      <c r="P277" t="s">
        <v>4153</v>
      </c>
      <c r="Q277" t="s">
        <v>4154</v>
      </c>
      <c r="R277" t="s">
        <v>2954</v>
      </c>
      <c r="S277" t="s">
        <v>74</v>
      </c>
      <c r="T277" t="s">
        <v>4258</v>
      </c>
      <c r="U277" t="s">
        <v>74</v>
      </c>
      <c r="V277" t="s">
        <v>74</v>
      </c>
      <c r="W277" t="s">
        <v>4259</v>
      </c>
      <c r="X277" t="s">
        <v>1633</v>
      </c>
      <c r="Y277" t="s">
        <v>74</v>
      </c>
      <c r="Z277" t="s">
        <v>4260</v>
      </c>
      <c r="AA277" t="s">
        <v>1873</v>
      </c>
      <c r="AB277" t="s">
        <v>257</v>
      </c>
      <c r="AC277" t="s">
        <v>74</v>
      </c>
      <c r="AD277" t="s">
        <v>74</v>
      </c>
      <c r="AE277" t="s">
        <v>74</v>
      </c>
      <c r="AF277" t="s">
        <v>74</v>
      </c>
      <c r="AG277">
        <v>0</v>
      </c>
      <c r="AH277">
        <v>1</v>
      </c>
      <c r="AI277">
        <v>1</v>
      </c>
      <c r="AJ277">
        <v>0</v>
      </c>
      <c r="AK277">
        <v>0</v>
      </c>
      <c r="AL277" t="s">
        <v>219</v>
      </c>
      <c r="AM277" t="s">
        <v>220</v>
      </c>
      <c r="AN277" t="s">
        <v>221</v>
      </c>
      <c r="AO277" t="s">
        <v>222</v>
      </c>
      <c r="AP277" t="s">
        <v>223</v>
      </c>
      <c r="AQ277" t="s">
        <v>74</v>
      </c>
      <c r="AR277" t="s">
        <v>224</v>
      </c>
      <c r="AS277" t="s">
        <v>225</v>
      </c>
      <c r="AT277" t="s">
        <v>4159</v>
      </c>
      <c r="AU277">
        <v>2021</v>
      </c>
      <c r="AV277">
        <v>58</v>
      </c>
      <c r="AW277" t="s">
        <v>74</v>
      </c>
      <c r="AX277" t="s">
        <v>74</v>
      </c>
      <c r="AY277">
        <v>65</v>
      </c>
      <c r="AZ277" t="s">
        <v>74</v>
      </c>
      <c r="BA277" t="s">
        <v>4261</v>
      </c>
      <c r="BB277" t="s">
        <v>74</v>
      </c>
      <c r="BC277" t="s">
        <v>74</v>
      </c>
      <c r="BD277" t="s">
        <v>74</v>
      </c>
      <c r="BE277" t="s">
        <v>4262</v>
      </c>
      <c r="BF277" t="str">
        <f>HYPERLINK("http://dx.doi.org/10.1183/13993003.congress-2021.PA3295","http://dx.doi.org/10.1183/13993003.congress-2021.PA3295")</f>
        <v>http://dx.doi.org/10.1183/13993003.congress-2021.PA3295</v>
      </c>
      <c r="BG277" t="s">
        <v>74</v>
      </c>
      <c r="BH277" t="s">
        <v>74</v>
      </c>
      <c r="BI277">
        <v>2</v>
      </c>
      <c r="BJ277" t="s">
        <v>228</v>
      </c>
      <c r="BK277" t="s">
        <v>512</v>
      </c>
      <c r="BL277" t="s">
        <v>228</v>
      </c>
      <c r="BM277" t="s">
        <v>4162</v>
      </c>
      <c r="BN277" t="s">
        <v>74</v>
      </c>
      <c r="BO277" t="s">
        <v>74</v>
      </c>
      <c r="BP277" t="s">
        <v>74</v>
      </c>
      <c r="BQ277" t="s">
        <v>74</v>
      </c>
      <c r="BR277" t="s">
        <v>104</v>
      </c>
      <c r="BS277" t="s">
        <v>4263</v>
      </c>
      <c r="BT277" t="str">
        <f>HYPERLINK("https%3A%2F%2Fwww.webofscience.com%2Fwos%2Fwoscc%2Ffull-record%2FWOS:000747452104091","View Full Record in Web of Science")</f>
        <v>View Full Record in Web of Science</v>
      </c>
    </row>
    <row r="278" spans="1:72" x14ac:dyDescent="0.25">
      <c r="A278" t="s">
        <v>72</v>
      </c>
      <c r="B278" t="s">
        <v>4022</v>
      </c>
      <c r="C278" t="s">
        <v>74</v>
      </c>
      <c r="D278" t="s">
        <v>74</v>
      </c>
      <c r="E278" t="s">
        <v>74</v>
      </c>
      <c r="F278" t="s">
        <v>4264</v>
      </c>
      <c r="G278" t="s">
        <v>74</v>
      </c>
      <c r="H278" t="s">
        <v>74</v>
      </c>
      <c r="I278" t="s">
        <v>4024</v>
      </c>
      <c r="J278" t="s">
        <v>216</v>
      </c>
      <c r="K278" t="s">
        <v>74</v>
      </c>
      <c r="L278" t="s">
        <v>74</v>
      </c>
      <c r="M278" t="s">
        <v>78</v>
      </c>
      <c r="N278" t="s">
        <v>52</v>
      </c>
      <c r="O278" t="s">
        <v>4152</v>
      </c>
      <c r="P278" t="s">
        <v>4153</v>
      </c>
      <c r="Q278" t="s">
        <v>4154</v>
      </c>
      <c r="R278" t="s">
        <v>2954</v>
      </c>
      <c r="S278" t="s">
        <v>74</v>
      </c>
      <c r="T278" t="s">
        <v>4265</v>
      </c>
      <c r="U278" t="s">
        <v>74</v>
      </c>
      <c r="V278" t="s">
        <v>74</v>
      </c>
      <c r="W278" t="s">
        <v>4266</v>
      </c>
      <c r="X278" t="s">
        <v>4267</v>
      </c>
      <c r="Y278" t="s">
        <v>74</v>
      </c>
      <c r="Z278" t="s">
        <v>4268</v>
      </c>
      <c r="AA278" t="s">
        <v>4269</v>
      </c>
      <c r="AB278" t="s">
        <v>257</v>
      </c>
      <c r="AC278" t="s">
        <v>74</v>
      </c>
      <c r="AD278" t="s">
        <v>74</v>
      </c>
      <c r="AE278" t="s">
        <v>74</v>
      </c>
      <c r="AF278" t="s">
        <v>74</v>
      </c>
      <c r="AG278">
        <v>0</v>
      </c>
      <c r="AH278">
        <v>0</v>
      </c>
      <c r="AI278">
        <v>0</v>
      </c>
      <c r="AJ278">
        <v>0</v>
      </c>
      <c r="AK278">
        <v>0</v>
      </c>
      <c r="AL278" t="s">
        <v>219</v>
      </c>
      <c r="AM278" t="s">
        <v>220</v>
      </c>
      <c r="AN278" t="s">
        <v>221</v>
      </c>
      <c r="AO278" t="s">
        <v>222</v>
      </c>
      <c r="AP278" t="s">
        <v>223</v>
      </c>
      <c r="AQ278" t="s">
        <v>74</v>
      </c>
      <c r="AR278" t="s">
        <v>224</v>
      </c>
      <c r="AS278" t="s">
        <v>225</v>
      </c>
      <c r="AT278" t="s">
        <v>4159</v>
      </c>
      <c r="AU278">
        <v>2021</v>
      </c>
      <c r="AV278">
        <v>58</v>
      </c>
      <c r="AW278" t="s">
        <v>74</v>
      </c>
      <c r="AX278" t="s">
        <v>74</v>
      </c>
      <c r="AY278">
        <v>65</v>
      </c>
      <c r="AZ278" t="s">
        <v>74</v>
      </c>
      <c r="BA278" t="s">
        <v>4270</v>
      </c>
      <c r="BB278" t="s">
        <v>74</v>
      </c>
      <c r="BC278" t="s">
        <v>74</v>
      </c>
      <c r="BD278" t="s">
        <v>74</v>
      </c>
      <c r="BE278" t="s">
        <v>4271</v>
      </c>
      <c r="BF278" t="str">
        <f>HYPERLINK("http://dx.doi.org/10.1183/13993003.congress-2021.PA1923","http://dx.doi.org/10.1183/13993003.congress-2021.PA1923")</f>
        <v>http://dx.doi.org/10.1183/13993003.congress-2021.PA1923</v>
      </c>
      <c r="BG278" t="s">
        <v>74</v>
      </c>
      <c r="BH278" t="s">
        <v>74</v>
      </c>
      <c r="BI278">
        <v>3</v>
      </c>
      <c r="BJ278" t="s">
        <v>228</v>
      </c>
      <c r="BK278" t="s">
        <v>512</v>
      </c>
      <c r="BL278" t="s">
        <v>228</v>
      </c>
      <c r="BM278" t="s">
        <v>4162</v>
      </c>
      <c r="BN278" t="s">
        <v>74</v>
      </c>
      <c r="BO278" t="s">
        <v>74</v>
      </c>
      <c r="BP278" t="s">
        <v>74</v>
      </c>
      <c r="BQ278" t="s">
        <v>74</v>
      </c>
      <c r="BR278" t="s">
        <v>104</v>
      </c>
      <c r="BS278" t="s">
        <v>4272</v>
      </c>
      <c r="BT278" t="str">
        <f>HYPERLINK("https%3A%2F%2Fwww.webofscience.com%2Fwos%2Fwoscc%2Ffull-record%2FWOS:000747452102156","View Full Record in Web of Science")</f>
        <v>View Full Record in Web of Science</v>
      </c>
    </row>
    <row r="279" spans="1:72" x14ac:dyDescent="0.25">
      <c r="A279" t="s">
        <v>72</v>
      </c>
      <c r="B279" t="s">
        <v>4273</v>
      </c>
      <c r="C279" t="s">
        <v>74</v>
      </c>
      <c r="D279" t="s">
        <v>74</v>
      </c>
      <c r="E279" t="s">
        <v>74</v>
      </c>
      <c r="F279" t="s">
        <v>4274</v>
      </c>
      <c r="G279" t="s">
        <v>74</v>
      </c>
      <c r="H279" t="s">
        <v>74</v>
      </c>
      <c r="I279" t="s">
        <v>4275</v>
      </c>
      <c r="J279" t="s">
        <v>216</v>
      </c>
      <c r="K279" t="s">
        <v>74</v>
      </c>
      <c r="L279" t="s">
        <v>74</v>
      </c>
      <c r="M279" t="s">
        <v>78</v>
      </c>
      <c r="N279" t="s">
        <v>52</v>
      </c>
      <c r="O279" t="s">
        <v>4152</v>
      </c>
      <c r="P279" t="s">
        <v>4153</v>
      </c>
      <c r="Q279" t="s">
        <v>4154</v>
      </c>
      <c r="R279" t="s">
        <v>2954</v>
      </c>
      <c r="S279" t="s">
        <v>74</v>
      </c>
      <c r="T279" t="s">
        <v>4276</v>
      </c>
      <c r="U279" t="s">
        <v>74</v>
      </c>
      <c r="V279" t="s">
        <v>74</v>
      </c>
      <c r="W279" t="s">
        <v>4277</v>
      </c>
      <c r="X279" t="s">
        <v>3516</v>
      </c>
      <c r="Y279" t="s">
        <v>74</v>
      </c>
      <c r="Z279" t="s">
        <v>4278</v>
      </c>
      <c r="AA279" t="s">
        <v>1873</v>
      </c>
      <c r="AB279" t="s">
        <v>257</v>
      </c>
      <c r="AC279" t="s">
        <v>74</v>
      </c>
      <c r="AD279" t="s">
        <v>74</v>
      </c>
      <c r="AE279" t="s">
        <v>74</v>
      </c>
      <c r="AF279" t="s">
        <v>74</v>
      </c>
      <c r="AG279">
        <v>0</v>
      </c>
      <c r="AH279">
        <v>0</v>
      </c>
      <c r="AI279">
        <v>0</v>
      </c>
      <c r="AJ279">
        <v>0</v>
      </c>
      <c r="AK279">
        <v>0</v>
      </c>
      <c r="AL279" t="s">
        <v>219</v>
      </c>
      <c r="AM279" t="s">
        <v>220</v>
      </c>
      <c r="AN279" t="s">
        <v>221</v>
      </c>
      <c r="AO279" t="s">
        <v>222</v>
      </c>
      <c r="AP279" t="s">
        <v>223</v>
      </c>
      <c r="AQ279" t="s">
        <v>74</v>
      </c>
      <c r="AR279" t="s">
        <v>224</v>
      </c>
      <c r="AS279" t="s">
        <v>225</v>
      </c>
      <c r="AT279" t="s">
        <v>4159</v>
      </c>
      <c r="AU279">
        <v>2021</v>
      </c>
      <c r="AV279">
        <v>58</v>
      </c>
      <c r="AW279" t="s">
        <v>74</v>
      </c>
      <c r="AX279" t="s">
        <v>74</v>
      </c>
      <c r="AY279">
        <v>65</v>
      </c>
      <c r="AZ279" t="s">
        <v>74</v>
      </c>
      <c r="BA279" t="s">
        <v>4279</v>
      </c>
      <c r="BB279" t="s">
        <v>74</v>
      </c>
      <c r="BC279" t="s">
        <v>74</v>
      </c>
      <c r="BD279" t="s">
        <v>74</v>
      </c>
      <c r="BE279" t="s">
        <v>4280</v>
      </c>
      <c r="BF279" t="str">
        <f>HYPERLINK("http://dx.doi.org/10.1183/13993003.congress-2021.OA141","http://dx.doi.org/10.1183/13993003.congress-2021.OA141")</f>
        <v>http://dx.doi.org/10.1183/13993003.congress-2021.OA141</v>
      </c>
      <c r="BG279" t="s">
        <v>74</v>
      </c>
      <c r="BH279" t="s">
        <v>74</v>
      </c>
      <c r="BI279">
        <v>2</v>
      </c>
      <c r="BJ279" t="s">
        <v>228</v>
      </c>
      <c r="BK279" t="s">
        <v>512</v>
      </c>
      <c r="BL279" t="s">
        <v>228</v>
      </c>
      <c r="BM279" t="s">
        <v>4162</v>
      </c>
      <c r="BN279" t="s">
        <v>74</v>
      </c>
      <c r="BO279" t="s">
        <v>74</v>
      </c>
      <c r="BP279" t="s">
        <v>74</v>
      </c>
      <c r="BQ279" t="s">
        <v>74</v>
      </c>
      <c r="BR279" t="s">
        <v>104</v>
      </c>
      <c r="BS279" t="s">
        <v>4281</v>
      </c>
      <c r="BT279" t="str">
        <f>HYPERLINK("https%3A%2F%2Fwww.webofscience.com%2Fwos%2Fwoscc%2Ffull-record%2FWOS:000747452100123","View Full Record in Web of Science")</f>
        <v>View Full Record in Web of Science</v>
      </c>
    </row>
    <row r="280" spans="1:72" x14ac:dyDescent="0.25">
      <c r="A280" t="s">
        <v>72</v>
      </c>
      <c r="B280" t="s">
        <v>4282</v>
      </c>
      <c r="C280" t="s">
        <v>74</v>
      </c>
      <c r="D280" t="s">
        <v>74</v>
      </c>
      <c r="E280" t="s">
        <v>74</v>
      </c>
      <c r="F280" t="s">
        <v>4283</v>
      </c>
      <c r="G280" t="s">
        <v>74</v>
      </c>
      <c r="H280" t="s">
        <v>74</v>
      </c>
      <c r="I280" t="s">
        <v>4284</v>
      </c>
      <c r="J280" t="s">
        <v>4285</v>
      </c>
      <c r="K280" t="s">
        <v>74</v>
      </c>
      <c r="L280" t="s">
        <v>74</v>
      </c>
      <c r="M280" t="s">
        <v>78</v>
      </c>
      <c r="N280" t="s">
        <v>79</v>
      </c>
      <c r="O280" t="s">
        <v>74</v>
      </c>
      <c r="P280" t="s">
        <v>74</v>
      </c>
      <c r="Q280" t="s">
        <v>74</v>
      </c>
      <c r="R280" t="s">
        <v>74</v>
      </c>
      <c r="S280" t="s">
        <v>74</v>
      </c>
      <c r="T280" t="s">
        <v>4286</v>
      </c>
      <c r="U280" t="s">
        <v>4287</v>
      </c>
      <c r="V280" t="s">
        <v>4288</v>
      </c>
      <c r="W280" t="s">
        <v>4289</v>
      </c>
      <c r="X280" t="s">
        <v>4290</v>
      </c>
      <c r="Y280" t="s">
        <v>4291</v>
      </c>
      <c r="Z280" t="s">
        <v>4292</v>
      </c>
      <c r="AA280" t="s">
        <v>4293</v>
      </c>
      <c r="AB280" t="s">
        <v>4294</v>
      </c>
      <c r="AC280" t="s">
        <v>4295</v>
      </c>
      <c r="AD280" t="s">
        <v>4296</v>
      </c>
      <c r="AE280" t="s">
        <v>4297</v>
      </c>
      <c r="AF280" t="s">
        <v>74</v>
      </c>
      <c r="AG280">
        <v>53</v>
      </c>
      <c r="AH280">
        <v>14</v>
      </c>
      <c r="AI280">
        <v>15</v>
      </c>
      <c r="AJ280">
        <v>0</v>
      </c>
      <c r="AK280">
        <v>8</v>
      </c>
      <c r="AL280" t="s">
        <v>1113</v>
      </c>
      <c r="AM280" t="s">
        <v>1114</v>
      </c>
      <c r="AN280" t="s">
        <v>1115</v>
      </c>
      <c r="AO280" t="s">
        <v>4298</v>
      </c>
      <c r="AP280" t="s">
        <v>4299</v>
      </c>
      <c r="AQ280" t="s">
        <v>74</v>
      </c>
      <c r="AR280" t="s">
        <v>4300</v>
      </c>
      <c r="AS280" t="s">
        <v>4301</v>
      </c>
      <c r="AT280" t="s">
        <v>492</v>
      </c>
      <c r="AU280">
        <v>2021</v>
      </c>
      <c r="AV280">
        <v>22</v>
      </c>
      <c r="AW280">
        <v>17</v>
      </c>
      <c r="AX280" t="s">
        <v>74</v>
      </c>
      <c r="AY280" t="s">
        <v>74</v>
      </c>
      <c r="AZ280" t="s">
        <v>74</v>
      </c>
      <c r="BA280" t="s">
        <v>74</v>
      </c>
      <c r="BB280" t="s">
        <v>74</v>
      </c>
      <c r="BC280" t="s">
        <v>74</v>
      </c>
      <c r="BD280">
        <v>9105</v>
      </c>
      <c r="BE280" t="s">
        <v>4302</v>
      </c>
      <c r="BF280" t="str">
        <f>HYPERLINK("http://dx.doi.org/10.3390/ijms22179105","http://dx.doi.org/10.3390/ijms22179105")</f>
        <v>http://dx.doi.org/10.3390/ijms22179105</v>
      </c>
      <c r="BG280" t="s">
        <v>74</v>
      </c>
      <c r="BH280" t="s">
        <v>74</v>
      </c>
      <c r="BI280">
        <v>22</v>
      </c>
      <c r="BJ280" t="s">
        <v>4303</v>
      </c>
      <c r="BK280" t="s">
        <v>101</v>
      </c>
      <c r="BL280" t="s">
        <v>4304</v>
      </c>
      <c r="BM280" t="s">
        <v>4305</v>
      </c>
      <c r="BN280">
        <v>34502015</v>
      </c>
      <c r="BO280" t="s">
        <v>1418</v>
      </c>
      <c r="BP280" t="s">
        <v>74</v>
      </c>
      <c r="BQ280" t="s">
        <v>74</v>
      </c>
      <c r="BR280" t="s">
        <v>104</v>
      </c>
      <c r="BS280" t="s">
        <v>4306</v>
      </c>
      <c r="BT280" t="str">
        <f>HYPERLINK("https%3A%2F%2Fwww.webofscience.com%2Fwos%2Fwoscc%2Ffull-record%2FWOS:000694350500001","View Full Record in Web of Science")</f>
        <v>View Full Record in Web of Science</v>
      </c>
    </row>
    <row r="281" spans="1:72" x14ac:dyDescent="0.25">
      <c r="A281" t="s">
        <v>72</v>
      </c>
      <c r="B281" t="s">
        <v>4307</v>
      </c>
      <c r="C281" t="s">
        <v>74</v>
      </c>
      <c r="D281" t="s">
        <v>74</v>
      </c>
      <c r="E281" t="s">
        <v>74</v>
      </c>
      <c r="F281" t="s">
        <v>4308</v>
      </c>
      <c r="G281" t="s">
        <v>74</v>
      </c>
      <c r="H281" t="s">
        <v>74</v>
      </c>
      <c r="I281" t="s">
        <v>4309</v>
      </c>
      <c r="J281" t="s">
        <v>1805</v>
      </c>
      <c r="K281" t="s">
        <v>74</v>
      </c>
      <c r="L281" t="s">
        <v>74</v>
      </c>
      <c r="M281" t="s">
        <v>78</v>
      </c>
      <c r="N281" t="s">
        <v>140</v>
      </c>
      <c r="O281" t="s">
        <v>74</v>
      </c>
      <c r="P281" t="s">
        <v>74</v>
      </c>
      <c r="Q281" t="s">
        <v>74</v>
      </c>
      <c r="R281" t="s">
        <v>74</v>
      </c>
      <c r="S281" t="s">
        <v>74</v>
      </c>
      <c r="T281" t="s">
        <v>74</v>
      </c>
      <c r="U281" t="s">
        <v>74</v>
      </c>
      <c r="V281" t="s">
        <v>74</v>
      </c>
      <c r="W281" t="s">
        <v>4310</v>
      </c>
      <c r="X281" t="s">
        <v>4311</v>
      </c>
      <c r="Y281" t="s">
        <v>4312</v>
      </c>
      <c r="Z281" t="s">
        <v>4313</v>
      </c>
      <c r="AA281" t="s">
        <v>144</v>
      </c>
      <c r="AB281" t="s">
        <v>74</v>
      </c>
      <c r="AC281" t="s">
        <v>74</v>
      </c>
      <c r="AD281" t="s">
        <v>74</v>
      </c>
      <c r="AE281" t="s">
        <v>74</v>
      </c>
      <c r="AF281" t="s">
        <v>74</v>
      </c>
      <c r="AG281">
        <v>13</v>
      </c>
      <c r="AH281">
        <v>2</v>
      </c>
      <c r="AI281">
        <v>2</v>
      </c>
      <c r="AJ281">
        <v>0</v>
      </c>
      <c r="AK281">
        <v>0</v>
      </c>
      <c r="AL281" t="s">
        <v>1817</v>
      </c>
      <c r="AM281" t="s">
        <v>1818</v>
      </c>
      <c r="AN281" t="s">
        <v>1819</v>
      </c>
      <c r="AO281" t="s">
        <v>1820</v>
      </c>
      <c r="AP281" t="s">
        <v>1821</v>
      </c>
      <c r="AQ281" t="s">
        <v>74</v>
      </c>
      <c r="AR281" t="s">
        <v>1822</v>
      </c>
      <c r="AS281" t="s">
        <v>1823</v>
      </c>
      <c r="AT281" t="s">
        <v>492</v>
      </c>
      <c r="AU281">
        <v>2021</v>
      </c>
      <c r="AV281">
        <v>321</v>
      </c>
      <c r="AW281">
        <v>3</v>
      </c>
      <c r="AX281" t="s">
        <v>74</v>
      </c>
      <c r="AY281" t="s">
        <v>74</v>
      </c>
      <c r="AZ281" t="s">
        <v>74</v>
      </c>
      <c r="BA281" t="s">
        <v>74</v>
      </c>
      <c r="BB281" t="s">
        <v>4314</v>
      </c>
      <c r="BC281" t="s">
        <v>4315</v>
      </c>
      <c r="BD281" t="s">
        <v>74</v>
      </c>
      <c r="BE281" t="s">
        <v>4316</v>
      </c>
      <c r="BF281" t="str">
        <f>HYPERLINK("http://dx.doi.org/10.1152/ajplung.00317.2021","http://dx.doi.org/10.1152/ajplung.00317.2021")</f>
        <v>http://dx.doi.org/10.1152/ajplung.00317.2021</v>
      </c>
      <c r="BG281" t="s">
        <v>74</v>
      </c>
      <c r="BH281" t="s">
        <v>74</v>
      </c>
      <c r="BI281">
        <v>3</v>
      </c>
      <c r="BJ281" t="s">
        <v>1522</v>
      </c>
      <c r="BK281" t="s">
        <v>101</v>
      </c>
      <c r="BL281" t="s">
        <v>1522</v>
      </c>
      <c r="BM281" t="s">
        <v>4317</v>
      </c>
      <c r="BN281">
        <v>34318703</v>
      </c>
      <c r="BO281" t="s">
        <v>74</v>
      </c>
      <c r="BP281" t="s">
        <v>74</v>
      </c>
      <c r="BQ281" t="s">
        <v>74</v>
      </c>
      <c r="BR281" t="s">
        <v>104</v>
      </c>
      <c r="BS281" t="s">
        <v>4318</v>
      </c>
      <c r="BT281" t="str">
        <f>HYPERLINK("https%3A%2F%2Fwww.webofscience.com%2Fwos%2Fwoscc%2Ffull-record%2FWOS:000697308700005","View Full Record in Web of Science")</f>
        <v>View Full Record in Web of Science</v>
      </c>
    </row>
    <row r="282" spans="1:72" x14ac:dyDescent="0.25">
      <c r="A282" t="s">
        <v>72</v>
      </c>
      <c r="B282" t="s">
        <v>4319</v>
      </c>
      <c r="C282" t="s">
        <v>74</v>
      </c>
      <c r="D282" t="s">
        <v>74</v>
      </c>
      <c r="E282" t="s">
        <v>74</v>
      </c>
      <c r="F282" t="s">
        <v>4320</v>
      </c>
      <c r="G282" t="s">
        <v>74</v>
      </c>
      <c r="H282" t="s">
        <v>74</v>
      </c>
      <c r="I282" t="s">
        <v>4321</v>
      </c>
      <c r="J282" t="s">
        <v>4322</v>
      </c>
      <c r="K282" t="s">
        <v>74</v>
      </c>
      <c r="L282" t="s">
        <v>74</v>
      </c>
      <c r="M282" t="s">
        <v>78</v>
      </c>
      <c r="N282" t="s">
        <v>52</v>
      </c>
      <c r="O282" t="s">
        <v>4323</v>
      </c>
      <c r="P282" t="s">
        <v>4324</v>
      </c>
      <c r="Q282" t="s">
        <v>4325</v>
      </c>
      <c r="R282" t="s">
        <v>4326</v>
      </c>
      <c r="S282" t="s">
        <v>74</v>
      </c>
      <c r="T282" t="s">
        <v>74</v>
      </c>
      <c r="U282" t="s">
        <v>74</v>
      </c>
      <c r="V282" t="s">
        <v>74</v>
      </c>
      <c r="W282" t="s">
        <v>4327</v>
      </c>
      <c r="X282" t="s">
        <v>4328</v>
      </c>
      <c r="Y282" t="s">
        <v>74</v>
      </c>
      <c r="Z282" t="s">
        <v>74</v>
      </c>
      <c r="AA282" t="s">
        <v>144</v>
      </c>
      <c r="AB282" t="s">
        <v>257</v>
      </c>
      <c r="AC282" t="s">
        <v>74</v>
      </c>
      <c r="AD282" t="s">
        <v>74</v>
      </c>
      <c r="AE282" t="s">
        <v>74</v>
      </c>
      <c r="AF282" t="s">
        <v>74</v>
      </c>
      <c r="AG282">
        <v>0</v>
      </c>
      <c r="AH282">
        <v>0</v>
      </c>
      <c r="AI282">
        <v>0</v>
      </c>
      <c r="AJ282">
        <v>0</v>
      </c>
      <c r="AK282">
        <v>0</v>
      </c>
      <c r="AL282" t="s">
        <v>169</v>
      </c>
      <c r="AM282" t="s">
        <v>170</v>
      </c>
      <c r="AN282" t="s">
        <v>171</v>
      </c>
      <c r="AO282" t="s">
        <v>4329</v>
      </c>
      <c r="AP282" t="s">
        <v>4330</v>
      </c>
      <c r="AQ282" t="s">
        <v>74</v>
      </c>
      <c r="AR282" t="s">
        <v>4331</v>
      </c>
      <c r="AS282" t="s">
        <v>4332</v>
      </c>
      <c r="AT282" t="s">
        <v>492</v>
      </c>
      <c r="AU282">
        <v>2021</v>
      </c>
      <c r="AV282">
        <v>73</v>
      </c>
      <c r="AW282" t="s">
        <v>74</v>
      </c>
      <c r="AX282" t="s">
        <v>74</v>
      </c>
      <c r="AY282">
        <v>9</v>
      </c>
      <c r="AZ282" t="s">
        <v>1080</v>
      </c>
      <c r="BA282">
        <v>1100</v>
      </c>
      <c r="BB282">
        <v>2285</v>
      </c>
      <c r="BC282">
        <v>2286</v>
      </c>
      <c r="BD282" t="s">
        <v>74</v>
      </c>
      <c r="BE282" t="s">
        <v>74</v>
      </c>
      <c r="BF282" t="s">
        <v>74</v>
      </c>
      <c r="BG282" t="s">
        <v>74</v>
      </c>
      <c r="BH282" t="s">
        <v>74</v>
      </c>
      <c r="BI282">
        <v>2</v>
      </c>
      <c r="BJ282" t="s">
        <v>2369</v>
      </c>
      <c r="BK282" t="s">
        <v>512</v>
      </c>
      <c r="BL282" t="s">
        <v>2369</v>
      </c>
      <c r="BM282" t="s">
        <v>4333</v>
      </c>
      <c r="BN282" t="s">
        <v>74</v>
      </c>
      <c r="BO282" t="s">
        <v>74</v>
      </c>
      <c r="BP282" t="s">
        <v>74</v>
      </c>
      <c r="BQ282" t="s">
        <v>74</v>
      </c>
      <c r="BR282" t="s">
        <v>104</v>
      </c>
      <c r="BS282" t="s">
        <v>4334</v>
      </c>
      <c r="BT282" t="str">
        <f>HYPERLINK("https%3A%2F%2Fwww.webofscience.com%2Fwos%2Fwoscc%2Ffull-record%2FWOS:000744545204140","View Full Record in Web of Science")</f>
        <v>View Full Record in Web of Science</v>
      </c>
    </row>
    <row r="283" spans="1:72" x14ac:dyDescent="0.25">
      <c r="A283" t="s">
        <v>72</v>
      </c>
      <c r="B283" t="s">
        <v>4335</v>
      </c>
      <c r="C283" t="s">
        <v>74</v>
      </c>
      <c r="D283" t="s">
        <v>74</v>
      </c>
      <c r="E283" t="s">
        <v>74</v>
      </c>
      <c r="F283" t="s">
        <v>4336</v>
      </c>
      <c r="G283" t="s">
        <v>74</v>
      </c>
      <c r="H283" t="s">
        <v>74</v>
      </c>
      <c r="I283" t="s">
        <v>4337</v>
      </c>
      <c r="J283" t="s">
        <v>216</v>
      </c>
      <c r="K283" t="s">
        <v>74</v>
      </c>
      <c r="L283" t="s">
        <v>74</v>
      </c>
      <c r="M283" t="s">
        <v>78</v>
      </c>
      <c r="N283" t="s">
        <v>460</v>
      </c>
      <c r="O283" t="s">
        <v>74</v>
      </c>
      <c r="P283" t="s">
        <v>74</v>
      </c>
      <c r="Q283" t="s">
        <v>74</v>
      </c>
      <c r="R283" t="s">
        <v>74</v>
      </c>
      <c r="S283" t="s">
        <v>74</v>
      </c>
      <c r="T283" t="s">
        <v>74</v>
      </c>
      <c r="U283" t="s">
        <v>4338</v>
      </c>
      <c r="V283" t="s">
        <v>74</v>
      </c>
      <c r="W283" t="s">
        <v>4339</v>
      </c>
      <c r="X283" t="s">
        <v>4340</v>
      </c>
      <c r="Y283" t="s">
        <v>4341</v>
      </c>
      <c r="Z283" t="s">
        <v>4342</v>
      </c>
      <c r="AA283" t="s">
        <v>1635</v>
      </c>
      <c r="AB283" t="s">
        <v>4343</v>
      </c>
      <c r="AC283" t="s">
        <v>74</v>
      </c>
      <c r="AD283" t="s">
        <v>74</v>
      </c>
      <c r="AE283" t="s">
        <v>74</v>
      </c>
      <c r="AF283" t="s">
        <v>74</v>
      </c>
      <c r="AG283">
        <v>0</v>
      </c>
      <c r="AH283">
        <v>7</v>
      </c>
      <c r="AI283">
        <v>7</v>
      </c>
      <c r="AJ283">
        <v>0</v>
      </c>
      <c r="AK283">
        <v>2</v>
      </c>
      <c r="AL283" t="s">
        <v>219</v>
      </c>
      <c r="AM283" t="s">
        <v>220</v>
      </c>
      <c r="AN283" t="s">
        <v>221</v>
      </c>
      <c r="AO283" t="s">
        <v>222</v>
      </c>
      <c r="AP283" t="s">
        <v>223</v>
      </c>
      <c r="AQ283" t="s">
        <v>74</v>
      </c>
      <c r="AR283" t="s">
        <v>224</v>
      </c>
      <c r="AS283" t="s">
        <v>225</v>
      </c>
      <c r="AT283" t="s">
        <v>529</v>
      </c>
      <c r="AU283">
        <v>2021</v>
      </c>
      <c r="AV283">
        <v>58</v>
      </c>
      <c r="AW283">
        <v>3</v>
      </c>
      <c r="AX283" t="s">
        <v>74</v>
      </c>
      <c r="AY283" t="s">
        <v>74</v>
      </c>
      <c r="AZ283" t="s">
        <v>74</v>
      </c>
      <c r="BA283" t="s">
        <v>74</v>
      </c>
      <c r="BB283" t="s">
        <v>74</v>
      </c>
      <c r="BC283" t="s">
        <v>74</v>
      </c>
      <c r="BD283">
        <v>2100466</v>
      </c>
      <c r="BE283" t="s">
        <v>4344</v>
      </c>
      <c r="BF283" t="str">
        <f>HYPERLINK("http://dx.doi.org/10.1183/13993003.00466-2021","http://dx.doi.org/10.1183/13993003.00466-2021")</f>
        <v>http://dx.doi.org/10.1183/13993003.00466-2021</v>
      </c>
      <c r="BG283" t="s">
        <v>74</v>
      </c>
      <c r="BH283" t="s">
        <v>74</v>
      </c>
      <c r="BI283">
        <v>5</v>
      </c>
      <c r="BJ283" t="s">
        <v>228</v>
      </c>
      <c r="BK283" t="s">
        <v>101</v>
      </c>
      <c r="BL283" t="s">
        <v>228</v>
      </c>
      <c r="BM283" t="s">
        <v>4345</v>
      </c>
      <c r="BN283">
        <v>34083404</v>
      </c>
      <c r="BO283" t="s">
        <v>1194</v>
      </c>
      <c r="BP283" t="s">
        <v>74</v>
      </c>
      <c r="BQ283" t="s">
        <v>74</v>
      </c>
      <c r="BR283" t="s">
        <v>104</v>
      </c>
      <c r="BS283" t="s">
        <v>4346</v>
      </c>
      <c r="BT283" t="str">
        <f>HYPERLINK("https%3A%2F%2Fwww.webofscience.com%2Fwos%2Fwoscc%2Ffull-record%2FWOS:000731853700019","View Full Record in Web of Science")</f>
        <v>View Full Record in Web of Science</v>
      </c>
    </row>
    <row r="284" spans="1:72" x14ac:dyDescent="0.25">
      <c r="A284" t="s">
        <v>72</v>
      </c>
      <c r="B284" t="s">
        <v>4347</v>
      </c>
      <c r="C284" t="s">
        <v>74</v>
      </c>
      <c r="D284" t="s">
        <v>74</v>
      </c>
      <c r="E284" t="s">
        <v>74</v>
      </c>
      <c r="F284" t="s">
        <v>4348</v>
      </c>
      <c r="G284" t="s">
        <v>74</v>
      </c>
      <c r="H284" t="s">
        <v>74</v>
      </c>
      <c r="I284" t="s">
        <v>4349</v>
      </c>
      <c r="J284" t="s">
        <v>4350</v>
      </c>
      <c r="K284" t="s">
        <v>74</v>
      </c>
      <c r="L284" t="s">
        <v>74</v>
      </c>
      <c r="M284" t="s">
        <v>78</v>
      </c>
      <c r="N284" t="s">
        <v>460</v>
      </c>
      <c r="O284" t="s">
        <v>74</v>
      </c>
      <c r="P284" t="s">
        <v>74</v>
      </c>
      <c r="Q284" t="s">
        <v>74</v>
      </c>
      <c r="R284" t="s">
        <v>74</v>
      </c>
      <c r="S284" t="s">
        <v>74</v>
      </c>
      <c r="T284" t="s">
        <v>74</v>
      </c>
      <c r="U284" t="s">
        <v>74</v>
      </c>
      <c r="V284" t="s">
        <v>74</v>
      </c>
      <c r="W284" t="s">
        <v>4351</v>
      </c>
      <c r="X284" t="s">
        <v>4352</v>
      </c>
      <c r="Y284" t="s">
        <v>4353</v>
      </c>
      <c r="Z284" t="s">
        <v>4354</v>
      </c>
      <c r="AA284" t="s">
        <v>4355</v>
      </c>
      <c r="AB284" t="s">
        <v>4356</v>
      </c>
      <c r="AC284" t="s">
        <v>74</v>
      </c>
      <c r="AD284" t="s">
        <v>74</v>
      </c>
      <c r="AE284" t="s">
        <v>74</v>
      </c>
      <c r="AF284" t="s">
        <v>74</v>
      </c>
      <c r="AG284">
        <v>2</v>
      </c>
      <c r="AH284">
        <v>1</v>
      </c>
      <c r="AI284">
        <v>1</v>
      </c>
      <c r="AJ284">
        <v>0</v>
      </c>
      <c r="AK284">
        <v>0</v>
      </c>
      <c r="AL284" t="s">
        <v>1781</v>
      </c>
      <c r="AM284" t="s">
        <v>486</v>
      </c>
      <c r="AN284" t="s">
        <v>4357</v>
      </c>
      <c r="AO284" t="s">
        <v>4358</v>
      </c>
      <c r="AP284" t="s">
        <v>4359</v>
      </c>
      <c r="AQ284" t="s">
        <v>74</v>
      </c>
      <c r="AR284" t="s">
        <v>4360</v>
      </c>
      <c r="AS284" t="s">
        <v>4361</v>
      </c>
      <c r="AT284" t="s">
        <v>176</v>
      </c>
      <c r="AU284">
        <v>2022</v>
      </c>
      <c r="AV284">
        <v>181</v>
      </c>
      <c r="AW284">
        <v>1</v>
      </c>
      <c r="AX284" t="s">
        <v>74</v>
      </c>
      <c r="AY284" t="s">
        <v>74</v>
      </c>
      <c r="AZ284" t="s">
        <v>74</v>
      </c>
      <c r="BA284" t="s">
        <v>74</v>
      </c>
      <c r="BB284">
        <v>425</v>
      </c>
      <c r="BC284">
        <v>426</v>
      </c>
      <c r="BD284" t="s">
        <v>74</v>
      </c>
      <c r="BE284" t="s">
        <v>4362</v>
      </c>
      <c r="BF284" t="str">
        <f>HYPERLINK("http://dx.doi.org/10.1007/s00431-021-04228-3","http://dx.doi.org/10.1007/s00431-021-04228-3")</f>
        <v>http://dx.doi.org/10.1007/s00431-021-04228-3</v>
      </c>
      <c r="BG284" t="s">
        <v>74</v>
      </c>
      <c r="BH284" t="s">
        <v>4363</v>
      </c>
      <c r="BI284">
        <v>2</v>
      </c>
      <c r="BJ284" t="s">
        <v>4364</v>
      </c>
      <c r="BK284" t="s">
        <v>101</v>
      </c>
      <c r="BL284" t="s">
        <v>4364</v>
      </c>
      <c r="BM284" t="s">
        <v>4365</v>
      </c>
      <c r="BN284">
        <v>34435230</v>
      </c>
      <c r="BO284" t="s">
        <v>74</v>
      </c>
      <c r="BP284" t="s">
        <v>74</v>
      </c>
      <c r="BQ284" t="s">
        <v>74</v>
      </c>
      <c r="BR284" t="s">
        <v>104</v>
      </c>
      <c r="BS284" t="s">
        <v>4366</v>
      </c>
      <c r="BT284" t="str">
        <f>HYPERLINK("https%3A%2F%2Fwww.webofscience.com%2Fwos%2Fwoscc%2Ffull-record%2FWOS:000688424100001","View Full Record in Web of Science")</f>
        <v>View Full Record in Web of Science</v>
      </c>
    </row>
    <row r="285" spans="1:72" x14ac:dyDescent="0.25">
      <c r="A285" t="s">
        <v>72</v>
      </c>
      <c r="B285" t="s">
        <v>4367</v>
      </c>
      <c r="C285" t="s">
        <v>74</v>
      </c>
      <c r="D285" t="s">
        <v>74</v>
      </c>
      <c r="E285" t="s">
        <v>74</v>
      </c>
      <c r="F285" t="s">
        <v>4368</v>
      </c>
      <c r="G285" t="s">
        <v>74</v>
      </c>
      <c r="H285" t="s">
        <v>74</v>
      </c>
      <c r="I285" t="s">
        <v>4369</v>
      </c>
      <c r="J285" t="s">
        <v>3664</v>
      </c>
      <c r="K285" t="s">
        <v>74</v>
      </c>
      <c r="L285" t="s">
        <v>74</v>
      </c>
      <c r="M285" t="s">
        <v>78</v>
      </c>
      <c r="N285" t="s">
        <v>217</v>
      </c>
      <c r="O285" t="s">
        <v>74</v>
      </c>
      <c r="P285" t="s">
        <v>74</v>
      </c>
      <c r="Q285" t="s">
        <v>74</v>
      </c>
      <c r="R285" t="s">
        <v>74</v>
      </c>
      <c r="S285" t="s">
        <v>74</v>
      </c>
      <c r="T285" t="s">
        <v>4370</v>
      </c>
      <c r="U285" t="s">
        <v>74</v>
      </c>
      <c r="V285" t="s">
        <v>4371</v>
      </c>
      <c r="W285" t="s">
        <v>74</v>
      </c>
      <c r="X285" t="s">
        <v>74</v>
      </c>
      <c r="Y285" t="s">
        <v>74</v>
      </c>
      <c r="Z285" t="s">
        <v>2468</v>
      </c>
      <c r="AA285" t="s">
        <v>4372</v>
      </c>
      <c r="AB285" t="s">
        <v>4373</v>
      </c>
      <c r="AC285" t="s">
        <v>4374</v>
      </c>
      <c r="AD285" t="s">
        <v>4375</v>
      </c>
      <c r="AE285" t="s">
        <v>4376</v>
      </c>
      <c r="AF285" t="s">
        <v>74</v>
      </c>
      <c r="AG285">
        <v>1</v>
      </c>
      <c r="AH285">
        <v>27</v>
      </c>
      <c r="AI285">
        <v>27</v>
      </c>
      <c r="AJ285">
        <v>3</v>
      </c>
      <c r="AK285">
        <v>9</v>
      </c>
      <c r="AL285" t="s">
        <v>3673</v>
      </c>
      <c r="AM285" t="s">
        <v>3674</v>
      </c>
      <c r="AN285" t="s">
        <v>3675</v>
      </c>
      <c r="AO285" t="s">
        <v>3676</v>
      </c>
      <c r="AP285" t="s">
        <v>3677</v>
      </c>
      <c r="AQ285" t="s">
        <v>74</v>
      </c>
      <c r="AR285" t="s">
        <v>3678</v>
      </c>
      <c r="AS285" t="s">
        <v>3679</v>
      </c>
      <c r="AT285" t="s">
        <v>98</v>
      </c>
      <c r="AU285">
        <v>2022</v>
      </c>
      <c r="AV285">
        <v>11</v>
      </c>
      <c r="AW285">
        <v>2</v>
      </c>
      <c r="AX285" t="s">
        <v>74</v>
      </c>
      <c r="AY285" t="s">
        <v>74</v>
      </c>
      <c r="AZ285" t="s">
        <v>74</v>
      </c>
      <c r="BA285" t="s">
        <v>74</v>
      </c>
      <c r="BB285">
        <v>106</v>
      </c>
      <c r="BC285">
        <v>119</v>
      </c>
      <c r="BD285" t="s">
        <v>74</v>
      </c>
      <c r="BE285" t="s">
        <v>4377</v>
      </c>
      <c r="BF285" t="str">
        <f>HYPERLINK("http://dx.doi.org/10.21037/acs-2021-pte-10","http://dx.doi.org/10.21037/acs-2021-pte-10")</f>
        <v>http://dx.doi.org/10.21037/acs-2021-pte-10</v>
      </c>
      <c r="BG285" t="s">
        <v>74</v>
      </c>
      <c r="BH285" t="s">
        <v>4363</v>
      </c>
      <c r="BI285">
        <v>14</v>
      </c>
      <c r="BJ285" t="s">
        <v>3681</v>
      </c>
      <c r="BK285" t="s">
        <v>101</v>
      </c>
      <c r="BL285" t="s">
        <v>3682</v>
      </c>
      <c r="BM285" t="s">
        <v>3683</v>
      </c>
      <c r="BN285">
        <v>35433354</v>
      </c>
      <c r="BO285" t="s">
        <v>1665</v>
      </c>
      <c r="BP285" t="s">
        <v>74</v>
      </c>
      <c r="BQ285" t="s">
        <v>74</v>
      </c>
      <c r="BR285" t="s">
        <v>104</v>
      </c>
      <c r="BS285" t="s">
        <v>4378</v>
      </c>
      <c r="BT285" t="str">
        <f>HYPERLINK("https%3A%2F%2Fwww.webofscience.com%2Fwos%2Fwoscc%2Ffull-record%2FWOS:000721693800001","View Full Record in Web of Science")</f>
        <v>View Full Record in Web of Science</v>
      </c>
    </row>
    <row r="286" spans="1:72" x14ac:dyDescent="0.25">
      <c r="A286" t="s">
        <v>72</v>
      </c>
      <c r="B286" t="s">
        <v>4379</v>
      </c>
      <c r="C286" t="s">
        <v>74</v>
      </c>
      <c r="D286" t="s">
        <v>74</v>
      </c>
      <c r="E286" t="s">
        <v>74</v>
      </c>
      <c r="F286" t="s">
        <v>4380</v>
      </c>
      <c r="G286" t="s">
        <v>74</v>
      </c>
      <c r="H286" t="s">
        <v>74</v>
      </c>
      <c r="I286" t="s">
        <v>4381</v>
      </c>
      <c r="J286" t="s">
        <v>983</v>
      </c>
      <c r="K286" t="s">
        <v>74</v>
      </c>
      <c r="L286" t="s">
        <v>74</v>
      </c>
      <c r="M286" t="s">
        <v>78</v>
      </c>
      <c r="N286" t="s">
        <v>79</v>
      </c>
      <c r="O286" t="s">
        <v>74</v>
      </c>
      <c r="P286" t="s">
        <v>74</v>
      </c>
      <c r="Q286" t="s">
        <v>74</v>
      </c>
      <c r="R286" t="s">
        <v>74</v>
      </c>
      <c r="S286" t="s">
        <v>74</v>
      </c>
      <c r="T286" t="s">
        <v>4382</v>
      </c>
      <c r="U286" t="s">
        <v>4383</v>
      </c>
      <c r="V286" t="s">
        <v>4384</v>
      </c>
      <c r="W286" t="s">
        <v>4385</v>
      </c>
      <c r="X286" t="s">
        <v>4386</v>
      </c>
      <c r="Y286" t="s">
        <v>4387</v>
      </c>
      <c r="Z286" t="s">
        <v>3244</v>
      </c>
      <c r="AA286" t="s">
        <v>4388</v>
      </c>
      <c r="AB286" t="s">
        <v>4389</v>
      </c>
      <c r="AC286" t="s">
        <v>3247</v>
      </c>
      <c r="AD286" t="s">
        <v>3247</v>
      </c>
      <c r="AE286" t="s">
        <v>4390</v>
      </c>
      <c r="AF286" t="s">
        <v>74</v>
      </c>
      <c r="AG286">
        <v>23</v>
      </c>
      <c r="AH286">
        <v>36</v>
      </c>
      <c r="AI286">
        <v>38</v>
      </c>
      <c r="AJ286">
        <v>1</v>
      </c>
      <c r="AK286">
        <v>7</v>
      </c>
      <c r="AL286" t="s">
        <v>991</v>
      </c>
      <c r="AM286" t="s">
        <v>486</v>
      </c>
      <c r="AN286" t="s">
        <v>992</v>
      </c>
      <c r="AO286" t="s">
        <v>993</v>
      </c>
      <c r="AP286" t="s">
        <v>994</v>
      </c>
      <c r="AQ286" t="s">
        <v>74</v>
      </c>
      <c r="AR286" t="s">
        <v>995</v>
      </c>
      <c r="AS286" t="s">
        <v>996</v>
      </c>
      <c r="AT286" t="s">
        <v>492</v>
      </c>
      <c r="AU286">
        <v>2021</v>
      </c>
      <c r="AV286">
        <v>40</v>
      </c>
      <c r="AW286">
        <v>9</v>
      </c>
      <c r="AX286" t="s">
        <v>74</v>
      </c>
      <c r="AY286" t="s">
        <v>74</v>
      </c>
      <c r="AZ286" t="s">
        <v>74</v>
      </c>
      <c r="BA286" t="s">
        <v>74</v>
      </c>
      <c r="BB286">
        <v>1009</v>
      </c>
      <c r="BC286">
        <v>1018</v>
      </c>
      <c r="BD286" t="s">
        <v>74</v>
      </c>
      <c r="BE286" t="s">
        <v>4391</v>
      </c>
      <c r="BF286" t="str">
        <f>HYPERLINK("http://dx.doi.org/10.1016/j.healun.2021.04.021","http://dx.doi.org/10.1016/j.healun.2021.04.021")</f>
        <v>http://dx.doi.org/10.1016/j.healun.2021.04.021</v>
      </c>
      <c r="BG286" t="s">
        <v>74</v>
      </c>
      <c r="BH286" t="s">
        <v>4363</v>
      </c>
      <c r="BI286">
        <v>10</v>
      </c>
      <c r="BJ286" t="s">
        <v>1000</v>
      </c>
      <c r="BK286" t="s">
        <v>101</v>
      </c>
      <c r="BL286" t="s">
        <v>1001</v>
      </c>
      <c r="BM286" t="s">
        <v>4392</v>
      </c>
      <c r="BN286">
        <v>34218966</v>
      </c>
      <c r="BO286" t="s">
        <v>161</v>
      </c>
      <c r="BP286" t="s">
        <v>74</v>
      </c>
      <c r="BQ286" t="s">
        <v>74</v>
      </c>
      <c r="BR286" t="s">
        <v>104</v>
      </c>
      <c r="BS286" t="s">
        <v>4393</v>
      </c>
      <c r="BT286" t="str">
        <f>HYPERLINK("https%3A%2F%2Fwww.webofscience.com%2Fwos%2Fwoscc%2Ffull-record%2FWOS:000701976600020","View Full Record in Web of Science")</f>
        <v>View Full Record in Web of Science</v>
      </c>
    </row>
    <row r="287" spans="1:72" x14ac:dyDescent="0.25">
      <c r="A287" t="s">
        <v>72</v>
      </c>
      <c r="B287" t="s">
        <v>4394</v>
      </c>
      <c r="C287" t="s">
        <v>74</v>
      </c>
      <c r="D287" t="s">
        <v>74</v>
      </c>
      <c r="E287" t="s">
        <v>74</v>
      </c>
      <c r="F287" t="s">
        <v>4395</v>
      </c>
      <c r="G287" t="s">
        <v>74</v>
      </c>
      <c r="H287" t="s">
        <v>74</v>
      </c>
      <c r="I287" t="s">
        <v>4396</v>
      </c>
      <c r="J287" t="s">
        <v>4397</v>
      </c>
      <c r="K287" t="s">
        <v>74</v>
      </c>
      <c r="L287" t="s">
        <v>74</v>
      </c>
      <c r="M287" t="s">
        <v>78</v>
      </c>
      <c r="N287" t="s">
        <v>460</v>
      </c>
      <c r="O287" t="s">
        <v>74</v>
      </c>
      <c r="P287" t="s">
        <v>74</v>
      </c>
      <c r="Q287" t="s">
        <v>74</v>
      </c>
      <c r="R287" t="s">
        <v>74</v>
      </c>
      <c r="S287" t="s">
        <v>74</v>
      </c>
      <c r="T287" t="s">
        <v>74</v>
      </c>
      <c r="U287" t="s">
        <v>74</v>
      </c>
      <c r="V287" t="s">
        <v>74</v>
      </c>
      <c r="W287" t="s">
        <v>4398</v>
      </c>
      <c r="X287" t="s">
        <v>4399</v>
      </c>
      <c r="Y287" t="s">
        <v>4400</v>
      </c>
      <c r="Z287" t="s">
        <v>331</v>
      </c>
      <c r="AA287" t="s">
        <v>1468</v>
      </c>
      <c r="AB287" t="s">
        <v>4401</v>
      </c>
      <c r="AC287" t="s">
        <v>74</v>
      </c>
      <c r="AD287" t="s">
        <v>74</v>
      </c>
      <c r="AE287" t="s">
        <v>74</v>
      </c>
      <c r="AF287" t="s">
        <v>74</v>
      </c>
      <c r="AG287">
        <v>5</v>
      </c>
      <c r="AH287">
        <v>2</v>
      </c>
      <c r="AI287">
        <v>2</v>
      </c>
      <c r="AJ287">
        <v>0</v>
      </c>
      <c r="AK287">
        <v>0</v>
      </c>
      <c r="AL287" t="s">
        <v>169</v>
      </c>
      <c r="AM287" t="s">
        <v>170</v>
      </c>
      <c r="AN287" t="s">
        <v>171</v>
      </c>
      <c r="AO287" t="s">
        <v>4402</v>
      </c>
      <c r="AP287" t="s">
        <v>4403</v>
      </c>
      <c r="AQ287" t="s">
        <v>74</v>
      </c>
      <c r="AR287" t="s">
        <v>4404</v>
      </c>
      <c r="AS287" t="s">
        <v>4405</v>
      </c>
      <c r="AT287" t="s">
        <v>226</v>
      </c>
      <c r="AU287">
        <v>2021</v>
      </c>
      <c r="AV287">
        <v>100</v>
      </c>
      <c r="AW287">
        <v>6</v>
      </c>
      <c r="AX287" t="s">
        <v>74</v>
      </c>
      <c r="AY287" t="s">
        <v>74</v>
      </c>
      <c r="AZ287" t="s">
        <v>74</v>
      </c>
      <c r="BA287" t="s">
        <v>74</v>
      </c>
      <c r="BB287">
        <v>771</v>
      </c>
      <c r="BC287">
        <v>772</v>
      </c>
      <c r="BD287" t="s">
        <v>74</v>
      </c>
      <c r="BE287" t="s">
        <v>4406</v>
      </c>
      <c r="BF287" t="str">
        <f>HYPERLINK("http://dx.doi.org/10.1111/cge.14046","http://dx.doi.org/10.1111/cge.14046")</f>
        <v>http://dx.doi.org/10.1111/cge.14046</v>
      </c>
      <c r="BG287" t="s">
        <v>74</v>
      </c>
      <c r="BH287" t="s">
        <v>4363</v>
      </c>
      <c r="BI287">
        <v>2</v>
      </c>
      <c r="BJ287" t="s">
        <v>4407</v>
      </c>
      <c r="BK287" t="s">
        <v>101</v>
      </c>
      <c r="BL287" t="s">
        <v>4407</v>
      </c>
      <c r="BM287" t="s">
        <v>4408</v>
      </c>
      <c r="BN287">
        <v>34435352</v>
      </c>
      <c r="BO287" t="s">
        <v>74</v>
      </c>
      <c r="BP287" t="s">
        <v>74</v>
      </c>
      <c r="BQ287" t="s">
        <v>74</v>
      </c>
      <c r="BR287" t="s">
        <v>104</v>
      </c>
      <c r="BS287" t="s">
        <v>4409</v>
      </c>
      <c r="BT287" t="str">
        <f>HYPERLINK("https%3A%2F%2Fwww.webofscience.com%2Fwos%2Fwoscc%2Ffull-record%2FWOS:000688284100001","View Full Record in Web of Science")</f>
        <v>View Full Record in Web of Science</v>
      </c>
    </row>
    <row r="288" spans="1:72" x14ac:dyDescent="0.25">
      <c r="A288" t="s">
        <v>72</v>
      </c>
      <c r="B288" t="s">
        <v>4410</v>
      </c>
      <c r="C288" t="s">
        <v>74</v>
      </c>
      <c r="D288" t="s">
        <v>74</v>
      </c>
      <c r="E288" t="s">
        <v>74</v>
      </c>
      <c r="F288" t="s">
        <v>4411</v>
      </c>
      <c r="G288" t="s">
        <v>74</v>
      </c>
      <c r="H288" t="s">
        <v>74</v>
      </c>
      <c r="I288" t="s">
        <v>4412</v>
      </c>
      <c r="J288" t="s">
        <v>3048</v>
      </c>
      <c r="K288" t="s">
        <v>74</v>
      </c>
      <c r="L288" t="s">
        <v>74</v>
      </c>
      <c r="M288" t="s">
        <v>78</v>
      </c>
      <c r="N288" t="s">
        <v>79</v>
      </c>
      <c r="O288" t="s">
        <v>74</v>
      </c>
      <c r="P288" t="s">
        <v>74</v>
      </c>
      <c r="Q288" t="s">
        <v>74</v>
      </c>
      <c r="R288" t="s">
        <v>74</v>
      </c>
      <c r="S288" t="s">
        <v>74</v>
      </c>
      <c r="T288" t="s">
        <v>4413</v>
      </c>
      <c r="U288" t="s">
        <v>4414</v>
      </c>
      <c r="V288" t="s">
        <v>4415</v>
      </c>
      <c r="W288" t="s">
        <v>4416</v>
      </c>
      <c r="X288" t="s">
        <v>4417</v>
      </c>
      <c r="Y288" t="s">
        <v>4418</v>
      </c>
      <c r="Z288" t="s">
        <v>971</v>
      </c>
      <c r="AA288" t="s">
        <v>4419</v>
      </c>
      <c r="AB288" t="s">
        <v>4420</v>
      </c>
      <c r="AC288" t="s">
        <v>74</v>
      </c>
      <c r="AD288" t="s">
        <v>74</v>
      </c>
      <c r="AE288" t="s">
        <v>74</v>
      </c>
      <c r="AF288" t="s">
        <v>74</v>
      </c>
      <c r="AG288">
        <v>44</v>
      </c>
      <c r="AH288">
        <v>5</v>
      </c>
      <c r="AI288">
        <v>5</v>
      </c>
      <c r="AJ288">
        <v>0</v>
      </c>
      <c r="AK288">
        <v>0</v>
      </c>
      <c r="AL288" t="s">
        <v>169</v>
      </c>
      <c r="AM288" t="s">
        <v>170</v>
      </c>
      <c r="AN288" t="s">
        <v>171</v>
      </c>
      <c r="AO288" t="s">
        <v>3057</v>
      </c>
      <c r="AP288" t="s">
        <v>3058</v>
      </c>
      <c r="AQ288" t="s">
        <v>74</v>
      </c>
      <c r="AR288" t="s">
        <v>3059</v>
      </c>
      <c r="AS288" t="s">
        <v>3060</v>
      </c>
      <c r="AT288" t="s">
        <v>420</v>
      </c>
      <c r="AU288">
        <v>2021</v>
      </c>
      <c r="AV288">
        <v>21</v>
      </c>
      <c r="AW288">
        <v>10</v>
      </c>
      <c r="AX288" t="s">
        <v>74</v>
      </c>
      <c r="AY288" t="s">
        <v>74</v>
      </c>
      <c r="AZ288" t="s">
        <v>74</v>
      </c>
      <c r="BA288" t="s">
        <v>74</v>
      </c>
      <c r="BB288">
        <v>3388</v>
      </c>
      <c r="BC288">
        <v>3400</v>
      </c>
      <c r="BD288" t="s">
        <v>74</v>
      </c>
      <c r="BE288" t="s">
        <v>4421</v>
      </c>
      <c r="BF288" t="str">
        <f>HYPERLINK("http://dx.doi.org/10.1111/ajt.16600","http://dx.doi.org/10.1111/ajt.16600")</f>
        <v>http://dx.doi.org/10.1111/ajt.16600</v>
      </c>
      <c r="BG288" t="s">
        <v>74</v>
      </c>
      <c r="BH288" t="s">
        <v>4363</v>
      </c>
      <c r="BI288">
        <v>13</v>
      </c>
      <c r="BJ288" t="s">
        <v>3062</v>
      </c>
      <c r="BK288" t="s">
        <v>101</v>
      </c>
      <c r="BL288" t="s">
        <v>3062</v>
      </c>
      <c r="BM288" t="s">
        <v>4422</v>
      </c>
      <c r="BN288">
        <v>33844424</v>
      </c>
      <c r="BO288" t="s">
        <v>161</v>
      </c>
      <c r="BP288" t="s">
        <v>74</v>
      </c>
      <c r="BQ288" t="s">
        <v>74</v>
      </c>
      <c r="BR288" t="s">
        <v>104</v>
      </c>
      <c r="BS288" t="s">
        <v>4423</v>
      </c>
      <c r="BT288" t="str">
        <f>HYPERLINK("https%3A%2F%2Fwww.webofscience.com%2Fwos%2Fwoscc%2Ffull-record%2FWOS:000681291000001","View Full Record in Web of Science")</f>
        <v>View Full Record in Web of Science</v>
      </c>
    </row>
    <row r="289" spans="1:72" x14ac:dyDescent="0.25">
      <c r="A289" t="s">
        <v>72</v>
      </c>
      <c r="B289" t="s">
        <v>4424</v>
      </c>
      <c r="C289" t="s">
        <v>74</v>
      </c>
      <c r="D289" t="s">
        <v>74</v>
      </c>
      <c r="E289" t="s">
        <v>74</v>
      </c>
      <c r="F289" t="s">
        <v>4425</v>
      </c>
      <c r="G289" t="s">
        <v>74</v>
      </c>
      <c r="H289" t="s">
        <v>74</v>
      </c>
      <c r="I289" t="s">
        <v>4426</v>
      </c>
      <c r="J289" t="s">
        <v>4427</v>
      </c>
      <c r="K289" t="s">
        <v>74</v>
      </c>
      <c r="L289" t="s">
        <v>74</v>
      </c>
      <c r="M289" t="s">
        <v>78</v>
      </c>
      <c r="N289" t="s">
        <v>79</v>
      </c>
      <c r="O289" t="s">
        <v>74</v>
      </c>
      <c r="P289" t="s">
        <v>74</v>
      </c>
      <c r="Q289" t="s">
        <v>74</v>
      </c>
      <c r="R289" t="s">
        <v>74</v>
      </c>
      <c r="S289" t="s">
        <v>74</v>
      </c>
      <c r="T289" t="s">
        <v>4428</v>
      </c>
      <c r="U289" t="s">
        <v>74</v>
      </c>
      <c r="V289" t="s">
        <v>4429</v>
      </c>
      <c r="W289" t="s">
        <v>4430</v>
      </c>
      <c r="X289" t="s">
        <v>4431</v>
      </c>
      <c r="Y289" t="s">
        <v>4432</v>
      </c>
      <c r="Z289" t="s">
        <v>3864</v>
      </c>
      <c r="AA289" t="s">
        <v>144</v>
      </c>
      <c r="AB289" t="s">
        <v>74</v>
      </c>
      <c r="AC289" t="s">
        <v>74</v>
      </c>
      <c r="AD289" t="s">
        <v>74</v>
      </c>
      <c r="AE289" t="s">
        <v>74</v>
      </c>
      <c r="AF289" t="s">
        <v>74</v>
      </c>
      <c r="AG289">
        <v>33</v>
      </c>
      <c r="AH289">
        <v>61</v>
      </c>
      <c r="AI289">
        <v>64</v>
      </c>
      <c r="AJ289">
        <v>1</v>
      </c>
      <c r="AK289">
        <v>1</v>
      </c>
      <c r="AL289" t="s">
        <v>485</v>
      </c>
      <c r="AM289" t="s">
        <v>486</v>
      </c>
      <c r="AN289" t="s">
        <v>487</v>
      </c>
      <c r="AO289" t="s">
        <v>4433</v>
      </c>
      <c r="AP289" t="s">
        <v>4434</v>
      </c>
      <c r="AQ289" t="s">
        <v>74</v>
      </c>
      <c r="AR289" t="s">
        <v>4435</v>
      </c>
      <c r="AS289" t="s">
        <v>4436</v>
      </c>
      <c r="AT289" t="s">
        <v>725</v>
      </c>
      <c r="AU289">
        <v>2021</v>
      </c>
      <c r="AV289">
        <v>148</v>
      </c>
      <c r="AW289">
        <v>2</v>
      </c>
      <c r="AX289" t="s">
        <v>74</v>
      </c>
      <c r="AY289" t="s">
        <v>74</v>
      </c>
      <c r="AZ289" t="s">
        <v>74</v>
      </c>
      <c r="BA289" t="s">
        <v>74</v>
      </c>
      <c r="BB289">
        <v>361</v>
      </c>
      <c r="BC289" t="s">
        <v>3083</v>
      </c>
      <c r="BD289" t="s">
        <v>74</v>
      </c>
      <c r="BE289" t="s">
        <v>4437</v>
      </c>
      <c r="BF289" t="str">
        <f>HYPERLINK("http://dx.doi.org/10.1016/j.jaci.2021.06.006","http://dx.doi.org/10.1016/j.jaci.2021.06.006")</f>
        <v>http://dx.doi.org/10.1016/j.jaci.2021.06.006</v>
      </c>
      <c r="BG289" t="s">
        <v>74</v>
      </c>
      <c r="BH289" t="s">
        <v>4363</v>
      </c>
      <c r="BI289">
        <v>20</v>
      </c>
      <c r="BJ289" t="s">
        <v>3085</v>
      </c>
      <c r="BK289" t="s">
        <v>101</v>
      </c>
      <c r="BL289" t="s">
        <v>3085</v>
      </c>
      <c r="BM289" t="s">
        <v>4438</v>
      </c>
      <c r="BN289">
        <v>34144110</v>
      </c>
      <c r="BO289" t="s">
        <v>103</v>
      </c>
      <c r="BP289" t="s">
        <v>74</v>
      </c>
      <c r="BQ289" t="s">
        <v>74</v>
      </c>
      <c r="BR289" t="s">
        <v>104</v>
      </c>
      <c r="BS289" t="s">
        <v>4439</v>
      </c>
      <c r="BT289" t="str">
        <f>HYPERLINK("https%3A%2F%2Fwww.webofscience.com%2Fwos%2Fwoscc%2Ffull-record%2FWOS:000684625700014","View Full Record in Web of Science")</f>
        <v>View Full Record in Web of Science</v>
      </c>
    </row>
    <row r="290" spans="1:72" x14ac:dyDescent="0.25">
      <c r="A290" t="s">
        <v>72</v>
      </c>
      <c r="B290" t="s">
        <v>4424</v>
      </c>
      <c r="C290" t="s">
        <v>74</v>
      </c>
      <c r="D290" t="s">
        <v>74</v>
      </c>
      <c r="E290" t="s">
        <v>74</v>
      </c>
      <c r="F290" t="s">
        <v>4425</v>
      </c>
      <c r="G290" t="s">
        <v>74</v>
      </c>
      <c r="H290" t="s">
        <v>74</v>
      </c>
      <c r="I290" t="s">
        <v>4440</v>
      </c>
      <c r="J290" t="s">
        <v>388</v>
      </c>
      <c r="K290" t="s">
        <v>74</v>
      </c>
      <c r="L290" t="s">
        <v>74</v>
      </c>
      <c r="M290" t="s">
        <v>78</v>
      </c>
      <c r="N290" t="s">
        <v>460</v>
      </c>
      <c r="O290" t="s">
        <v>74</v>
      </c>
      <c r="P290" t="s">
        <v>74</v>
      </c>
      <c r="Q290" t="s">
        <v>74</v>
      </c>
      <c r="R290" t="s">
        <v>74</v>
      </c>
      <c r="S290" t="s">
        <v>74</v>
      </c>
      <c r="T290" t="s">
        <v>74</v>
      </c>
      <c r="U290" t="s">
        <v>4441</v>
      </c>
      <c r="V290" t="s">
        <v>74</v>
      </c>
      <c r="W290" t="s">
        <v>4442</v>
      </c>
      <c r="X290" t="s">
        <v>4443</v>
      </c>
      <c r="Y290" t="s">
        <v>3863</v>
      </c>
      <c r="Z290" t="s">
        <v>3864</v>
      </c>
      <c r="AA290" t="s">
        <v>144</v>
      </c>
      <c r="AB290" t="s">
        <v>74</v>
      </c>
      <c r="AC290" t="s">
        <v>74</v>
      </c>
      <c r="AD290" t="s">
        <v>74</v>
      </c>
      <c r="AE290" t="s">
        <v>74</v>
      </c>
      <c r="AF290" t="s">
        <v>74</v>
      </c>
      <c r="AG290">
        <v>6</v>
      </c>
      <c r="AH290">
        <v>1</v>
      </c>
      <c r="AI290">
        <v>1</v>
      </c>
      <c r="AJ290">
        <v>0</v>
      </c>
      <c r="AK290">
        <v>0</v>
      </c>
      <c r="AL290" t="s">
        <v>397</v>
      </c>
      <c r="AM290" t="s">
        <v>1074</v>
      </c>
      <c r="AN290" t="s">
        <v>4444</v>
      </c>
      <c r="AO290" t="s">
        <v>400</v>
      </c>
      <c r="AP290" t="s">
        <v>74</v>
      </c>
      <c r="AQ290" t="s">
        <v>74</v>
      </c>
      <c r="AR290" t="s">
        <v>401</v>
      </c>
      <c r="AS290" t="s">
        <v>402</v>
      </c>
      <c r="AT290" t="s">
        <v>725</v>
      </c>
      <c r="AU290">
        <v>2021</v>
      </c>
      <c r="AV290">
        <v>9</v>
      </c>
      <c r="AW290">
        <v>8</v>
      </c>
      <c r="AX290" t="s">
        <v>74</v>
      </c>
      <c r="AY290" t="s">
        <v>74</v>
      </c>
      <c r="AZ290" t="s">
        <v>74</v>
      </c>
      <c r="BA290" t="s">
        <v>74</v>
      </c>
      <c r="BB290" t="s">
        <v>4445</v>
      </c>
      <c r="BC290" t="s">
        <v>4446</v>
      </c>
      <c r="BD290" t="s">
        <v>74</v>
      </c>
      <c r="BE290" t="s">
        <v>4447</v>
      </c>
      <c r="BF290" t="str">
        <f>HYPERLINK("http://dx.doi.org/10.1016/S2213-2600(21)00239-3","http://dx.doi.org/10.1016/S2213-2600(21)00239-3")</f>
        <v>http://dx.doi.org/10.1016/S2213-2600(21)00239-3</v>
      </c>
      <c r="BG290" t="s">
        <v>74</v>
      </c>
      <c r="BH290" t="s">
        <v>4363</v>
      </c>
      <c r="BI290">
        <v>2</v>
      </c>
      <c r="BJ290" t="s">
        <v>341</v>
      </c>
      <c r="BK290" t="s">
        <v>101</v>
      </c>
      <c r="BL290" t="s">
        <v>342</v>
      </c>
      <c r="BM290" t="s">
        <v>4448</v>
      </c>
      <c r="BN290">
        <v>34153271</v>
      </c>
      <c r="BO290" t="s">
        <v>470</v>
      </c>
      <c r="BP290" t="s">
        <v>74</v>
      </c>
      <c r="BQ290" t="s">
        <v>74</v>
      </c>
      <c r="BR290" t="s">
        <v>104</v>
      </c>
      <c r="BS290" t="s">
        <v>4449</v>
      </c>
      <c r="BT290" t="str">
        <f>HYPERLINK("https%3A%2F%2Fwww.webofscience.com%2Fwos%2Fwoscc%2Ffull-record%2FWOS:000692814700004","View Full Record in Web of Science")</f>
        <v>View Full Record in Web of Science</v>
      </c>
    </row>
    <row r="291" spans="1:72" x14ac:dyDescent="0.25">
      <c r="A291" t="s">
        <v>72</v>
      </c>
      <c r="B291" t="s">
        <v>4450</v>
      </c>
      <c r="C291" t="s">
        <v>74</v>
      </c>
      <c r="D291" t="s">
        <v>74</v>
      </c>
      <c r="E291" t="s">
        <v>74</v>
      </c>
      <c r="F291" t="s">
        <v>4451</v>
      </c>
      <c r="G291" t="s">
        <v>74</v>
      </c>
      <c r="H291" t="s">
        <v>74</v>
      </c>
      <c r="I291" t="s">
        <v>4452</v>
      </c>
      <c r="J291" t="s">
        <v>216</v>
      </c>
      <c r="K291" t="s">
        <v>74</v>
      </c>
      <c r="L291" t="s">
        <v>74</v>
      </c>
      <c r="M291" t="s">
        <v>78</v>
      </c>
      <c r="N291" t="s">
        <v>460</v>
      </c>
      <c r="O291" t="s">
        <v>74</v>
      </c>
      <c r="P291" t="s">
        <v>74</v>
      </c>
      <c r="Q291" t="s">
        <v>74</v>
      </c>
      <c r="R291" t="s">
        <v>74</v>
      </c>
      <c r="S291" t="s">
        <v>74</v>
      </c>
      <c r="T291" t="s">
        <v>74</v>
      </c>
      <c r="U291" t="s">
        <v>4453</v>
      </c>
      <c r="V291" t="s">
        <v>4454</v>
      </c>
      <c r="W291" t="s">
        <v>4455</v>
      </c>
      <c r="X291" t="s">
        <v>4456</v>
      </c>
      <c r="Y291" t="s">
        <v>4457</v>
      </c>
      <c r="Z291" t="s">
        <v>3416</v>
      </c>
      <c r="AA291" t="s">
        <v>2432</v>
      </c>
      <c r="AB291" t="s">
        <v>4458</v>
      </c>
      <c r="AC291" t="s">
        <v>74</v>
      </c>
      <c r="AD291" t="s">
        <v>74</v>
      </c>
      <c r="AE291" t="s">
        <v>74</v>
      </c>
      <c r="AF291" t="s">
        <v>74</v>
      </c>
      <c r="AG291">
        <v>11</v>
      </c>
      <c r="AH291">
        <v>0</v>
      </c>
      <c r="AI291">
        <v>0</v>
      </c>
      <c r="AJ291">
        <v>0</v>
      </c>
      <c r="AK291">
        <v>4</v>
      </c>
      <c r="AL291" t="s">
        <v>219</v>
      </c>
      <c r="AM291" t="s">
        <v>220</v>
      </c>
      <c r="AN291" t="s">
        <v>221</v>
      </c>
      <c r="AO291" t="s">
        <v>222</v>
      </c>
      <c r="AP291" t="s">
        <v>223</v>
      </c>
      <c r="AQ291" t="s">
        <v>74</v>
      </c>
      <c r="AR291" t="s">
        <v>224</v>
      </c>
      <c r="AS291" t="s">
        <v>225</v>
      </c>
      <c r="AT291" t="s">
        <v>742</v>
      </c>
      <c r="AU291">
        <v>2021</v>
      </c>
      <c r="AV291">
        <v>58</v>
      </c>
      <c r="AW291">
        <v>2</v>
      </c>
      <c r="AX291" t="s">
        <v>74</v>
      </c>
      <c r="AY291" t="s">
        <v>74</v>
      </c>
      <c r="AZ291" t="s">
        <v>74</v>
      </c>
      <c r="BA291" t="s">
        <v>74</v>
      </c>
      <c r="BB291" t="s">
        <v>74</v>
      </c>
      <c r="BC291" t="s">
        <v>74</v>
      </c>
      <c r="BD291">
        <v>2101365</v>
      </c>
      <c r="BE291" t="s">
        <v>4459</v>
      </c>
      <c r="BF291" t="str">
        <f>HYPERLINK("http://dx.doi.org/10.1183/13993003.01365-2021","http://dx.doi.org/10.1183/13993003.01365-2021")</f>
        <v>http://dx.doi.org/10.1183/13993003.01365-2021</v>
      </c>
      <c r="BG291" t="s">
        <v>74</v>
      </c>
      <c r="BH291" t="s">
        <v>74</v>
      </c>
      <c r="BI291">
        <v>3</v>
      </c>
      <c r="BJ291" t="s">
        <v>228</v>
      </c>
      <c r="BK291" t="s">
        <v>101</v>
      </c>
      <c r="BL291" t="s">
        <v>228</v>
      </c>
      <c r="BM291" t="s">
        <v>4460</v>
      </c>
      <c r="BN291">
        <v>34413125</v>
      </c>
      <c r="BO291" t="s">
        <v>1194</v>
      </c>
      <c r="BP291" t="s">
        <v>74</v>
      </c>
      <c r="BQ291" t="s">
        <v>74</v>
      </c>
      <c r="BR291" t="s">
        <v>104</v>
      </c>
      <c r="BS291" t="s">
        <v>4461</v>
      </c>
      <c r="BT291" t="str">
        <f>HYPERLINK("https%3A%2F%2Fwww.webofscience.com%2Fwos%2Fwoscc%2Ffull-record%2FWOS:000694804400008","View Full Record in Web of Science")</f>
        <v>View Full Record in Web of Science</v>
      </c>
    </row>
    <row r="292" spans="1:72" x14ac:dyDescent="0.25">
      <c r="A292" t="s">
        <v>72</v>
      </c>
      <c r="B292" t="s">
        <v>4462</v>
      </c>
      <c r="C292" t="s">
        <v>74</v>
      </c>
      <c r="D292" t="s">
        <v>74</v>
      </c>
      <c r="E292" t="s">
        <v>74</v>
      </c>
      <c r="F292" t="s">
        <v>4463</v>
      </c>
      <c r="G292" t="s">
        <v>74</v>
      </c>
      <c r="H292" t="s">
        <v>74</v>
      </c>
      <c r="I292" t="s">
        <v>4464</v>
      </c>
      <c r="J292" t="s">
        <v>216</v>
      </c>
      <c r="K292" t="s">
        <v>74</v>
      </c>
      <c r="L292" t="s">
        <v>74</v>
      </c>
      <c r="M292" t="s">
        <v>78</v>
      </c>
      <c r="N292" t="s">
        <v>460</v>
      </c>
      <c r="O292" t="s">
        <v>74</v>
      </c>
      <c r="P292" t="s">
        <v>74</v>
      </c>
      <c r="Q292" t="s">
        <v>74</v>
      </c>
      <c r="R292" t="s">
        <v>74</v>
      </c>
      <c r="S292" t="s">
        <v>74</v>
      </c>
      <c r="T292" t="s">
        <v>74</v>
      </c>
      <c r="U292" t="s">
        <v>4465</v>
      </c>
      <c r="V292" t="s">
        <v>74</v>
      </c>
      <c r="W292" t="s">
        <v>4466</v>
      </c>
      <c r="X292" t="s">
        <v>4467</v>
      </c>
      <c r="Y292" t="s">
        <v>4468</v>
      </c>
      <c r="Z292" t="s">
        <v>4469</v>
      </c>
      <c r="AA292" t="s">
        <v>4470</v>
      </c>
      <c r="AB292" t="s">
        <v>4471</v>
      </c>
      <c r="AC292" t="s">
        <v>74</v>
      </c>
      <c r="AD292" t="s">
        <v>74</v>
      </c>
      <c r="AE292" t="s">
        <v>74</v>
      </c>
      <c r="AF292" t="s">
        <v>74</v>
      </c>
      <c r="AG292">
        <v>4</v>
      </c>
      <c r="AH292">
        <v>7</v>
      </c>
      <c r="AI292">
        <v>7</v>
      </c>
      <c r="AJ292">
        <v>0</v>
      </c>
      <c r="AK292">
        <v>1</v>
      </c>
      <c r="AL292" t="s">
        <v>219</v>
      </c>
      <c r="AM292" t="s">
        <v>220</v>
      </c>
      <c r="AN292" t="s">
        <v>221</v>
      </c>
      <c r="AO292" t="s">
        <v>222</v>
      </c>
      <c r="AP292" t="s">
        <v>223</v>
      </c>
      <c r="AQ292" t="s">
        <v>74</v>
      </c>
      <c r="AR292" t="s">
        <v>224</v>
      </c>
      <c r="AS292" t="s">
        <v>225</v>
      </c>
      <c r="AT292" t="s">
        <v>742</v>
      </c>
      <c r="AU292">
        <v>2021</v>
      </c>
      <c r="AV292">
        <v>58</v>
      </c>
      <c r="AW292">
        <v>2</v>
      </c>
      <c r="AX292" t="s">
        <v>74</v>
      </c>
      <c r="AY292" t="s">
        <v>74</v>
      </c>
      <c r="AZ292" t="s">
        <v>74</v>
      </c>
      <c r="BA292" t="s">
        <v>74</v>
      </c>
      <c r="BB292" t="s">
        <v>74</v>
      </c>
      <c r="BC292" t="s">
        <v>74</v>
      </c>
      <c r="BD292">
        <v>2101033</v>
      </c>
      <c r="BE292" t="s">
        <v>4472</v>
      </c>
      <c r="BF292" t="str">
        <f>HYPERLINK("http://dx.doi.org/10.1183/13993003.01033-2021","http://dx.doi.org/10.1183/13993003.01033-2021")</f>
        <v>http://dx.doi.org/10.1183/13993003.01033-2021</v>
      </c>
      <c r="BG292" t="s">
        <v>74</v>
      </c>
      <c r="BH292" t="s">
        <v>74</v>
      </c>
      <c r="BI292">
        <v>2</v>
      </c>
      <c r="BJ292" t="s">
        <v>228</v>
      </c>
      <c r="BK292" t="s">
        <v>101</v>
      </c>
      <c r="BL292" t="s">
        <v>228</v>
      </c>
      <c r="BM292" t="s">
        <v>4473</v>
      </c>
      <c r="BN292">
        <v>33986033</v>
      </c>
      <c r="BO292" t="s">
        <v>470</v>
      </c>
      <c r="BP292" t="s">
        <v>74</v>
      </c>
      <c r="BQ292" t="s">
        <v>74</v>
      </c>
      <c r="BR292" t="s">
        <v>104</v>
      </c>
      <c r="BS292" t="s">
        <v>4474</v>
      </c>
      <c r="BT292" t="str">
        <f>HYPERLINK("https%3A%2F%2Fwww.webofscience.com%2Fwos%2Fwoscc%2Ffull-record%2FWOS:000684220600010","View Full Record in Web of Science")</f>
        <v>View Full Record in Web of Science</v>
      </c>
    </row>
    <row r="293" spans="1:72" x14ac:dyDescent="0.25">
      <c r="A293" t="s">
        <v>72</v>
      </c>
      <c r="B293" t="s">
        <v>4475</v>
      </c>
      <c r="C293" t="s">
        <v>74</v>
      </c>
      <c r="D293" t="s">
        <v>74</v>
      </c>
      <c r="E293" t="s">
        <v>74</v>
      </c>
      <c r="F293" t="s">
        <v>4476</v>
      </c>
      <c r="G293" t="s">
        <v>74</v>
      </c>
      <c r="H293" t="s">
        <v>74</v>
      </c>
      <c r="I293" t="s">
        <v>4477</v>
      </c>
      <c r="J293" t="s">
        <v>216</v>
      </c>
      <c r="K293" t="s">
        <v>74</v>
      </c>
      <c r="L293" t="s">
        <v>74</v>
      </c>
      <c r="M293" t="s">
        <v>78</v>
      </c>
      <c r="N293" t="s">
        <v>79</v>
      </c>
      <c r="O293" t="s">
        <v>74</v>
      </c>
      <c r="P293" t="s">
        <v>74</v>
      </c>
      <c r="Q293" t="s">
        <v>74</v>
      </c>
      <c r="R293" t="s">
        <v>74</v>
      </c>
      <c r="S293" t="s">
        <v>74</v>
      </c>
      <c r="T293" t="s">
        <v>74</v>
      </c>
      <c r="U293" t="s">
        <v>4478</v>
      </c>
      <c r="V293" t="s">
        <v>4479</v>
      </c>
      <c r="W293" t="s">
        <v>4480</v>
      </c>
      <c r="X293" t="s">
        <v>4481</v>
      </c>
      <c r="Y293" t="s">
        <v>4482</v>
      </c>
      <c r="Z293" t="s">
        <v>2236</v>
      </c>
      <c r="AA293" t="s">
        <v>4483</v>
      </c>
      <c r="AB293" t="s">
        <v>4484</v>
      </c>
      <c r="AC293" t="s">
        <v>74</v>
      </c>
      <c r="AD293" t="s">
        <v>74</v>
      </c>
      <c r="AE293" t="s">
        <v>74</v>
      </c>
      <c r="AF293" t="s">
        <v>74</v>
      </c>
      <c r="AG293">
        <v>40</v>
      </c>
      <c r="AH293">
        <v>28</v>
      </c>
      <c r="AI293">
        <v>28</v>
      </c>
      <c r="AJ293">
        <v>0</v>
      </c>
      <c r="AK293">
        <v>4</v>
      </c>
      <c r="AL293" t="s">
        <v>219</v>
      </c>
      <c r="AM293" t="s">
        <v>220</v>
      </c>
      <c r="AN293" t="s">
        <v>221</v>
      </c>
      <c r="AO293" t="s">
        <v>222</v>
      </c>
      <c r="AP293" t="s">
        <v>223</v>
      </c>
      <c r="AQ293" t="s">
        <v>74</v>
      </c>
      <c r="AR293" t="s">
        <v>224</v>
      </c>
      <c r="AS293" t="s">
        <v>225</v>
      </c>
      <c r="AT293" t="s">
        <v>742</v>
      </c>
      <c r="AU293">
        <v>2021</v>
      </c>
      <c r="AV293">
        <v>58</v>
      </c>
      <c r="AW293">
        <v>2</v>
      </c>
      <c r="AX293" t="s">
        <v>74</v>
      </c>
      <c r="AY293" t="s">
        <v>74</v>
      </c>
      <c r="AZ293" t="s">
        <v>74</v>
      </c>
      <c r="BA293" t="s">
        <v>74</v>
      </c>
      <c r="BB293" t="s">
        <v>74</v>
      </c>
      <c r="BC293" t="s">
        <v>74</v>
      </c>
      <c r="BD293">
        <v>2003358</v>
      </c>
      <c r="BE293" t="s">
        <v>4485</v>
      </c>
      <c r="BF293" t="str">
        <f>HYPERLINK("http://dx.doi.org/10.1183/13993003.03358-2020","http://dx.doi.org/10.1183/13993003.03358-2020")</f>
        <v>http://dx.doi.org/10.1183/13993003.03358-2020</v>
      </c>
      <c r="BG293" t="s">
        <v>74</v>
      </c>
      <c r="BH293" t="s">
        <v>74</v>
      </c>
      <c r="BI293">
        <v>12</v>
      </c>
      <c r="BJ293" t="s">
        <v>228</v>
      </c>
      <c r="BK293" t="s">
        <v>101</v>
      </c>
      <c r="BL293" t="s">
        <v>228</v>
      </c>
      <c r="BM293" t="s">
        <v>4473</v>
      </c>
      <c r="BN293">
        <v>33479107</v>
      </c>
      <c r="BO293" t="s">
        <v>2854</v>
      </c>
      <c r="BP293" t="s">
        <v>74</v>
      </c>
      <c r="BQ293" t="s">
        <v>74</v>
      </c>
      <c r="BR293" t="s">
        <v>104</v>
      </c>
      <c r="BS293" t="s">
        <v>4486</v>
      </c>
      <c r="BT293" t="str">
        <f>HYPERLINK("https%3A%2F%2Fwww.webofscience.com%2Fwos%2Fwoscc%2Ffull-record%2FWOS:000684220600005","View Full Record in Web of Science")</f>
        <v>View Full Record in Web of Science</v>
      </c>
    </row>
    <row r="294" spans="1:72" x14ac:dyDescent="0.25">
      <c r="A294" t="s">
        <v>72</v>
      </c>
      <c r="B294" t="s">
        <v>4487</v>
      </c>
      <c r="C294" t="s">
        <v>74</v>
      </c>
      <c r="D294" t="s">
        <v>74</v>
      </c>
      <c r="E294" t="s">
        <v>74</v>
      </c>
      <c r="F294" t="s">
        <v>4488</v>
      </c>
      <c r="G294" t="s">
        <v>74</v>
      </c>
      <c r="H294" t="s">
        <v>74</v>
      </c>
      <c r="I294" t="s">
        <v>4489</v>
      </c>
      <c r="J294" t="s">
        <v>216</v>
      </c>
      <c r="K294" t="s">
        <v>74</v>
      </c>
      <c r="L294" t="s">
        <v>74</v>
      </c>
      <c r="M294" t="s">
        <v>78</v>
      </c>
      <c r="N294" t="s">
        <v>460</v>
      </c>
      <c r="O294" t="s">
        <v>74</v>
      </c>
      <c r="P294" t="s">
        <v>74</v>
      </c>
      <c r="Q294" t="s">
        <v>74</v>
      </c>
      <c r="R294" t="s">
        <v>74</v>
      </c>
      <c r="S294" t="s">
        <v>74</v>
      </c>
      <c r="T294" t="s">
        <v>74</v>
      </c>
      <c r="U294" t="s">
        <v>4490</v>
      </c>
      <c r="V294" t="s">
        <v>74</v>
      </c>
      <c r="W294" t="s">
        <v>4491</v>
      </c>
      <c r="X294" t="s">
        <v>4492</v>
      </c>
      <c r="Y294" t="s">
        <v>4493</v>
      </c>
      <c r="Z294" t="s">
        <v>3648</v>
      </c>
      <c r="AA294" t="s">
        <v>4494</v>
      </c>
      <c r="AB294" t="s">
        <v>4495</v>
      </c>
      <c r="AC294" t="s">
        <v>4496</v>
      </c>
      <c r="AD294" t="s">
        <v>4497</v>
      </c>
      <c r="AE294" t="s">
        <v>4498</v>
      </c>
      <c r="AF294" t="s">
        <v>74</v>
      </c>
      <c r="AG294">
        <v>10</v>
      </c>
      <c r="AH294">
        <v>18</v>
      </c>
      <c r="AI294">
        <v>18</v>
      </c>
      <c r="AJ294">
        <v>0</v>
      </c>
      <c r="AK294">
        <v>1</v>
      </c>
      <c r="AL294" t="s">
        <v>219</v>
      </c>
      <c r="AM294" t="s">
        <v>220</v>
      </c>
      <c r="AN294" t="s">
        <v>221</v>
      </c>
      <c r="AO294" t="s">
        <v>222</v>
      </c>
      <c r="AP294" t="s">
        <v>223</v>
      </c>
      <c r="AQ294" t="s">
        <v>74</v>
      </c>
      <c r="AR294" t="s">
        <v>224</v>
      </c>
      <c r="AS294" t="s">
        <v>225</v>
      </c>
      <c r="AT294" t="s">
        <v>742</v>
      </c>
      <c r="AU294">
        <v>2021</v>
      </c>
      <c r="AV294">
        <v>58</v>
      </c>
      <c r="AW294">
        <v>2</v>
      </c>
      <c r="AX294" t="s">
        <v>74</v>
      </c>
      <c r="AY294" t="s">
        <v>74</v>
      </c>
      <c r="AZ294" t="s">
        <v>74</v>
      </c>
      <c r="BA294" t="s">
        <v>74</v>
      </c>
      <c r="BB294" t="s">
        <v>74</v>
      </c>
      <c r="BC294" t="s">
        <v>74</v>
      </c>
      <c r="BD294">
        <v>2004625</v>
      </c>
      <c r="BE294" t="s">
        <v>4499</v>
      </c>
      <c r="BF294" t="str">
        <f>HYPERLINK("http://dx.doi.org/10.1183/13993003.04625-2020","http://dx.doi.org/10.1183/13993003.04625-2020")</f>
        <v>http://dx.doi.org/10.1183/13993003.04625-2020</v>
      </c>
      <c r="BG294" t="s">
        <v>74</v>
      </c>
      <c r="BH294" t="s">
        <v>74</v>
      </c>
      <c r="BI294">
        <v>4</v>
      </c>
      <c r="BJ294" t="s">
        <v>228</v>
      </c>
      <c r="BK294" t="s">
        <v>101</v>
      </c>
      <c r="BL294" t="s">
        <v>228</v>
      </c>
      <c r="BM294" t="s">
        <v>4460</v>
      </c>
      <c r="BN294">
        <v>33833034</v>
      </c>
      <c r="BO294" t="s">
        <v>4500</v>
      </c>
      <c r="BP294" t="s">
        <v>74</v>
      </c>
      <c r="BQ294" t="s">
        <v>74</v>
      </c>
      <c r="BR294" t="s">
        <v>104</v>
      </c>
      <c r="BS294" t="s">
        <v>4501</v>
      </c>
      <c r="BT294" t="str">
        <f>HYPERLINK("https%3A%2F%2Fwww.webofscience.com%2Fwos%2Fwoscc%2Ffull-record%2FWOS:000694804400024","View Full Record in Web of Science")</f>
        <v>View Full Record in Web of Science</v>
      </c>
    </row>
    <row r="295" spans="1:72" x14ac:dyDescent="0.25">
      <c r="A295" t="s">
        <v>72</v>
      </c>
      <c r="B295" t="s">
        <v>4502</v>
      </c>
      <c r="C295" t="s">
        <v>74</v>
      </c>
      <c r="D295" t="s">
        <v>74</v>
      </c>
      <c r="E295" t="s">
        <v>74</v>
      </c>
      <c r="F295" t="s">
        <v>4236</v>
      </c>
      <c r="G295" t="s">
        <v>74</v>
      </c>
      <c r="H295" t="s">
        <v>74</v>
      </c>
      <c r="I295" t="s">
        <v>4237</v>
      </c>
      <c r="J295" t="s">
        <v>712</v>
      </c>
      <c r="K295" t="s">
        <v>74</v>
      </c>
      <c r="L295" t="s">
        <v>74</v>
      </c>
      <c r="M295" t="s">
        <v>78</v>
      </c>
      <c r="N295" t="s">
        <v>79</v>
      </c>
      <c r="O295" t="s">
        <v>74</v>
      </c>
      <c r="P295" t="s">
        <v>74</v>
      </c>
      <c r="Q295" t="s">
        <v>74</v>
      </c>
      <c r="R295" t="s">
        <v>74</v>
      </c>
      <c r="S295" t="s">
        <v>74</v>
      </c>
      <c r="T295" t="s">
        <v>4503</v>
      </c>
      <c r="U295" t="s">
        <v>4504</v>
      </c>
      <c r="V295" t="s">
        <v>4505</v>
      </c>
      <c r="W295" t="s">
        <v>4506</v>
      </c>
      <c r="X295" t="s">
        <v>4507</v>
      </c>
      <c r="Y295" t="s">
        <v>1754</v>
      </c>
      <c r="Z295" t="s">
        <v>331</v>
      </c>
      <c r="AA295" t="s">
        <v>4508</v>
      </c>
      <c r="AB295" t="s">
        <v>4509</v>
      </c>
      <c r="AC295" t="s">
        <v>4510</v>
      </c>
      <c r="AD295" t="s">
        <v>4511</v>
      </c>
      <c r="AE295" t="s">
        <v>4512</v>
      </c>
      <c r="AF295" t="s">
        <v>74</v>
      </c>
      <c r="AG295">
        <v>52</v>
      </c>
      <c r="AH295">
        <v>12</v>
      </c>
      <c r="AI295">
        <v>12</v>
      </c>
      <c r="AJ295">
        <v>1</v>
      </c>
      <c r="AK295">
        <v>2</v>
      </c>
      <c r="AL295" t="s">
        <v>649</v>
      </c>
      <c r="AM295" t="s">
        <v>486</v>
      </c>
      <c r="AN295" t="s">
        <v>650</v>
      </c>
      <c r="AO295" t="s">
        <v>4513</v>
      </c>
      <c r="AP295" t="s">
        <v>722</v>
      </c>
      <c r="AQ295" t="s">
        <v>74</v>
      </c>
      <c r="AR295" t="s">
        <v>723</v>
      </c>
      <c r="AS295" t="s">
        <v>724</v>
      </c>
      <c r="AT295" t="s">
        <v>725</v>
      </c>
      <c r="AU295">
        <v>2021</v>
      </c>
      <c r="AV295">
        <v>18</v>
      </c>
      <c r="AW295">
        <v>8</v>
      </c>
      <c r="AX295" t="s">
        <v>74</v>
      </c>
      <c r="AY295" t="s">
        <v>74</v>
      </c>
      <c r="AZ295" t="s">
        <v>74</v>
      </c>
      <c r="BA295" t="s">
        <v>74</v>
      </c>
      <c r="BB295">
        <v>1306</v>
      </c>
      <c r="BC295">
        <v>1315</v>
      </c>
      <c r="BD295" t="s">
        <v>74</v>
      </c>
      <c r="BE295" t="s">
        <v>4514</v>
      </c>
      <c r="BF295" t="str">
        <f>HYPERLINK("http://dx.doi.org/10.1513/AnnalsATS.202008-913OC","http://dx.doi.org/10.1513/AnnalsATS.202008-913OC")</f>
        <v>http://dx.doi.org/10.1513/AnnalsATS.202008-913OC</v>
      </c>
      <c r="BG295" t="s">
        <v>74</v>
      </c>
      <c r="BH295" t="s">
        <v>74</v>
      </c>
      <c r="BI295">
        <v>10</v>
      </c>
      <c r="BJ295" t="s">
        <v>228</v>
      </c>
      <c r="BK295" t="s">
        <v>101</v>
      </c>
      <c r="BL295" t="s">
        <v>228</v>
      </c>
      <c r="BM295" t="s">
        <v>4515</v>
      </c>
      <c r="BN295">
        <v>33502958</v>
      </c>
      <c r="BO295" t="s">
        <v>612</v>
      </c>
      <c r="BP295" t="s">
        <v>74</v>
      </c>
      <c r="BQ295" t="s">
        <v>74</v>
      </c>
      <c r="BR295" t="s">
        <v>104</v>
      </c>
      <c r="BS295" t="s">
        <v>4516</v>
      </c>
      <c r="BT295" t="str">
        <f>HYPERLINK("https%3A%2F%2Fwww.webofscience.com%2Fwos%2Fwoscc%2Ffull-record%2FWOS:000680216300009","View Full Record in Web of Science")</f>
        <v>View Full Record in Web of Science</v>
      </c>
    </row>
    <row r="296" spans="1:72" x14ac:dyDescent="0.25">
      <c r="A296" t="s">
        <v>72</v>
      </c>
      <c r="B296" t="s">
        <v>4517</v>
      </c>
      <c r="C296" t="s">
        <v>74</v>
      </c>
      <c r="D296" t="s">
        <v>74</v>
      </c>
      <c r="E296" t="s">
        <v>74</v>
      </c>
      <c r="F296" t="s">
        <v>4518</v>
      </c>
      <c r="G296" t="s">
        <v>74</v>
      </c>
      <c r="H296" t="s">
        <v>74</v>
      </c>
      <c r="I296" t="s">
        <v>4519</v>
      </c>
      <c r="J296" t="s">
        <v>216</v>
      </c>
      <c r="K296" t="s">
        <v>74</v>
      </c>
      <c r="L296" t="s">
        <v>74</v>
      </c>
      <c r="M296" t="s">
        <v>78</v>
      </c>
      <c r="N296" t="s">
        <v>79</v>
      </c>
      <c r="O296" t="s">
        <v>74</v>
      </c>
      <c r="P296" t="s">
        <v>74</v>
      </c>
      <c r="Q296" t="s">
        <v>74</v>
      </c>
      <c r="R296" t="s">
        <v>74</v>
      </c>
      <c r="S296" t="s">
        <v>74</v>
      </c>
      <c r="T296" t="s">
        <v>74</v>
      </c>
      <c r="U296" t="s">
        <v>4520</v>
      </c>
      <c r="V296" t="s">
        <v>4521</v>
      </c>
      <c r="W296" t="s">
        <v>4522</v>
      </c>
      <c r="X296" t="s">
        <v>4523</v>
      </c>
      <c r="Y296" t="s">
        <v>4524</v>
      </c>
      <c r="Z296" t="s">
        <v>86</v>
      </c>
      <c r="AA296" t="s">
        <v>4525</v>
      </c>
      <c r="AB296" t="s">
        <v>4526</v>
      </c>
      <c r="AC296" t="s">
        <v>4527</v>
      </c>
      <c r="AD296" t="s">
        <v>4528</v>
      </c>
      <c r="AE296" t="s">
        <v>4529</v>
      </c>
      <c r="AF296" t="s">
        <v>74</v>
      </c>
      <c r="AG296">
        <v>45</v>
      </c>
      <c r="AH296">
        <v>36</v>
      </c>
      <c r="AI296">
        <v>37</v>
      </c>
      <c r="AJ296">
        <v>4</v>
      </c>
      <c r="AK296">
        <v>23</v>
      </c>
      <c r="AL296" t="s">
        <v>219</v>
      </c>
      <c r="AM296" t="s">
        <v>220</v>
      </c>
      <c r="AN296" t="s">
        <v>221</v>
      </c>
      <c r="AO296" t="s">
        <v>222</v>
      </c>
      <c r="AP296" t="s">
        <v>223</v>
      </c>
      <c r="AQ296" t="s">
        <v>74</v>
      </c>
      <c r="AR296" t="s">
        <v>224</v>
      </c>
      <c r="AS296" t="s">
        <v>225</v>
      </c>
      <c r="AT296" t="s">
        <v>742</v>
      </c>
      <c r="AU296">
        <v>2021</v>
      </c>
      <c r="AV296">
        <v>58</v>
      </c>
      <c r="AW296">
        <v>2</v>
      </c>
      <c r="AX296" t="s">
        <v>74</v>
      </c>
      <c r="AY296" t="s">
        <v>74</v>
      </c>
      <c r="AZ296" t="s">
        <v>74</v>
      </c>
      <c r="BA296" t="s">
        <v>74</v>
      </c>
      <c r="BB296" t="s">
        <v>74</v>
      </c>
      <c r="BC296" t="s">
        <v>74</v>
      </c>
      <c r="BD296">
        <v>2000332</v>
      </c>
      <c r="BE296" t="s">
        <v>4530</v>
      </c>
      <c r="BF296" t="str">
        <f>HYPERLINK("http://dx.doi.org/10.1183/13993003.00332-2020","http://dx.doi.org/10.1183/13993003.00332-2020")</f>
        <v>http://dx.doi.org/10.1183/13993003.00332-2020</v>
      </c>
      <c r="BG296" t="s">
        <v>74</v>
      </c>
      <c r="BH296" t="s">
        <v>74</v>
      </c>
      <c r="BI296">
        <v>17</v>
      </c>
      <c r="BJ296" t="s">
        <v>228</v>
      </c>
      <c r="BK296" t="s">
        <v>101</v>
      </c>
      <c r="BL296" t="s">
        <v>228</v>
      </c>
      <c r="BM296" t="s">
        <v>4473</v>
      </c>
      <c r="BN296">
        <v>33446602</v>
      </c>
      <c r="BO296" t="s">
        <v>2854</v>
      </c>
      <c r="BP296" t="s">
        <v>74</v>
      </c>
      <c r="BQ296" t="s">
        <v>74</v>
      </c>
      <c r="BR296" t="s">
        <v>104</v>
      </c>
      <c r="BS296" t="s">
        <v>4531</v>
      </c>
      <c r="BT296" t="str">
        <f>HYPERLINK("https%3A%2F%2Fwww.webofscience.com%2Fwos%2Fwoscc%2Ffull-record%2FWOS:000684220600004","View Full Record in Web of Science")</f>
        <v>View Full Record in Web of Science</v>
      </c>
    </row>
    <row r="297" spans="1:72" x14ac:dyDescent="0.25">
      <c r="A297" t="s">
        <v>72</v>
      </c>
      <c r="B297" t="s">
        <v>4532</v>
      </c>
      <c r="C297" t="s">
        <v>74</v>
      </c>
      <c r="D297" t="s">
        <v>74</v>
      </c>
      <c r="E297" t="s">
        <v>74</v>
      </c>
      <c r="F297" t="s">
        <v>4533</v>
      </c>
      <c r="G297" t="s">
        <v>74</v>
      </c>
      <c r="H297" t="s">
        <v>74</v>
      </c>
      <c r="I297" t="s">
        <v>4534</v>
      </c>
      <c r="J297" t="s">
        <v>4535</v>
      </c>
      <c r="K297" t="s">
        <v>74</v>
      </c>
      <c r="L297" t="s">
        <v>74</v>
      </c>
      <c r="M297" t="s">
        <v>78</v>
      </c>
      <c r="N297" t="s">
        <v>79</v>
      </c>
      <c r="O297" t="s">
        <v>74</v>
      </c>
      <c r="P297" t="s">
        <v>74</v>
      </c>
      <c r="Q297" t="s">
        <v>74</v>
      </c>
      <c r="R297" t="s">
        <v>74</v>
      </c>
      <c r="S297" t="s">
        <v>74</v>
      </c>
      <c r="T297" t="s">
        <v>74</v>
      </c>
      <c r="U297" t="s">
        <v>4536</v>
      </c>
      <c r="V297" t="s">
        <v>4537</v>
      </c>
      <c r="W297" t="s">
        <v>4538</v>
      </c>
      <c r="X297" t="s">
        <v>4539</v>
      </c>
      <c r="Y297" t="s">
        <v>4540</v>
      </c>
      <c r="Z297" t="s">
        <v>4541</v>
      </c>
      <c r="AA297" t="s">
        <v>4542</v>
      </c>
      <c r="AB297" t="s">
        <v>4543</v>
      </c>
      <c r="AC297" t="s">
        <v>4544</v>
      </c>
      <c r="AD297" t="s">
        <v>4544</v>
      </c>
      <c r="AE297" t="s">
        <v>4545</v>
      </c>
      <c r="AF297" t="s">
        <v>74</v>
      </c>
      <c r="AG297">
        <v>39</v>
      </c>
      <c r="AH297">
        <v>11</v>
      </c>
      <c r="AI297">
        <v>11</v>
      </c>
      <c r="AJ297">
        <v>1</v>
      </c>
      <c r="AK297">
        <v>1</v>
      </c>
      <c r="AL297" t="s">
        <v>169</v>
      </c>
      <c r="AM297" t="s">
        <v>170</v>
      </c>
      <c r="AN297" t="s">
        <v>171</v>
      </c>
      <c r="AO297" t="s">
        <v>4546</v>
      </c>
      <c r="AP297" t="s">
        <v>4547</v>
      </c>
      <c r="AQ297" t="s">
        <v>74</v>
      </c>
      <c r="AR297" t="s">
        <v>4548</v>
      </c>
      <c r="AS297" t="s">
        <v>4549</v>
      </c>
      <c r="AT297" t="s">
        <v>529</v>
      </c>
      <c r="AU297">
        <v>2021</v>
      </c>
      <c r="AV297">
        <v>96</v>
      </c>
      <c r="AW297">
        <v>9</v>
      </c>
      <c r="AX297" t="s">
        <v>74</v>
      </c>
      <c r="AY297" t="s">
        <v>74</v>
      </c>
      <c r="AZ297" t="s">
        <v>74</v>
      </c>
      <c r="BA297" t="s">
        <v>74</v>
      </c>
      <c r="BB297">
        <v>1166</v>
      </c>
      <c r="BC297">
        <v>1175</v>
      </c>
      <c r="BD297" t="s">
        <v>74</v>
      </c>
      <c r="BE297" t="s">
        <v>4550</v>
      </c>
      <c r="BF297" t="str">
        <f>HYPERLINK("http://dx.doi.org/10.1002/ajh.26271","http://dx.doi.org/10.1002/ajh.26271")</f>
        <v>http://dx.doi.org/10.1002/ajh.26271</v>
      </c>
      <c r="BG297" t="s">
        <v>74</v>
      </c>
      <c r="BH297" t="s">
        <v>4551</v>
      </c>
      <c r="BI297">
        <v>10</v>
      </c>
      <c r="BJ297" t="s">
        <v>318</v>
      </c>
      <c r="BK297" t="s">
        <v>101</v>
      </c>
      <c r="BL297" t="s">
        <v>318</v>
      </c>
      <c r="BM297" t="s">
        <v>4552</v>
      </c>
      <c r="BN297">
        <v>34143511</v>
      </c>
      <c r="BO297" t="s">
        <v>1194</v>
      </c>
      <c r="BP297" t="s">
        <v>74</v>
      </c>
      <c r="BQ297" t="s">
        <v>74</v>
      </c>
      <c r="BR297" t="s">
        <v>104</v>
      </c>
      <c r="BS297" t="s">
        <v>4553</v>
      </c>
      <c r="BT297" t="str">
        <f>HYPERLINK("https%3A%2F%2Fwww.webofscience.com%2Fwos%2Fwoscc%2Ffull-record%2FWOS:000674069000001","View Full Record in Web of Science")</f>
        <v>View Full Record in Web of Science</v>
      </c>
    </row>
    <row r="298" spans="1:72" x14ac:dyDescent="0.25">
      <c r="A298" t="s">
        <v>72</v>
      </c>
      <c r="B298" t="s">
        <v>4554</v>
      </c>
      <c r="C298" t="s">
        <v>74</v>
      </c>
      <c r="D298" t="s">
        <v>74</v>
      </c>
      <c r="E298" t="s">
        <v>74</v>
      </c>
      <c r="F298" t="s">
        <v>4555</v>
      </c>
      <c r="G298" t="s">
        <v>74</v>
      </c>
      <c r="H298" t="s">
        <v>74</v>
      </c>
      <c r="I298" t="s">
        <v>4556</v>
      </c>
      <c r="J298" t="s">
        <v>3068</v>
      </c>
      <c r="K298" t="s">
        <v>74</v>
      </c>
      <c r="L298" t="s">
        <v>74</v>
      </c>
      <c r="M298" t="s">
        <v>78</v>
      </c>
      <c r="N298" t="s">
        <v>79</v>
      </c>
      <c r="O298" t="s">
        <v>74</v>
      </c>
      <c r="P298" t="s">
        <v>74</v>
      </c>
      <c r="Q298" t="s">
        <v>74</v>
      </c>
      <c r="R298" t="s">
        <v>74</v>
      </c>
      <c r="S298" t="s">
        <v>74</v>
      </c>
      <c r="T298" t="s">
        <v>4557</v>
      </c>
      <c r="U298" t="s">
        <v>4558</v>
      </c>
      <c r="V298" t="s">
        <v>4559</v>
      </c>
      <c r="W298" t="s">
        <v>4560</v>
      </c>
      <c r="X298" t="s">
        <v>4561</v>
      </c>
      <c r="Y298" t="s">
        <v>4562</v>
      </c>
      <c r="Z298" t="s">
        <v>4563</v>
      </c>
      <c r="AA298" t="s">
        <v>4564</v>
      </c>
      <c r="AB298" t="s">
        <v>4565</v>
      </c>
      <c r="AC298" t="s">
        <v>4566</v>
      </c>
      <c r="AD298" t="s">
        <v>4566</v>
      </c>
      <c r="AE298" t="s">
        <v>4567</v>
      </c>
      <c r="AF298" t="s">
        <v>74</v>
      </c>
      <c r="AG298">
        <v>117</v>
      </c>
      <c r="AH298">
        <v>96</v>
      </c>
      <c r="AI298">
        <v>101</v>
      </c>
      <c r="AJ298">
        <v>2</v>
      </c>
      <c r="AK298">
        <v>9</v>
      </c>
      <c r="AL298" t="s">
        <v>92</v>
      </c>
      <c r="AM298" t="s">
        <v>93</v>
      </c>
      <c r="AN298" t="s">
        <v>94</v>
      </c>
      <c r="AO298" t="s">
        <v>3079</v>
      </c>
      <c r="AP298" t="s">
        <v>3080</v>
      </c>
      <c r="AQ298" t="s">
        <v>74</v>
      </c>
      <c r="AR298" t="s">
        <v>3081</v>
      </c>
      <c r="AS298" t="s">
        <v>3082</v>
      </c>
      <c r="AT298" t="s">
        <v>785</v>
      </c>
      <c r="AU298">
        <v>2021</v>
      </c>
      <c r="AV298">
        <v>9</v>
      </c>
      <c r="AW298">
        <v>7</v>
      </c>
      <c r="AX298" t="s">
        <v>74</v>
      </c>
      <c r="AY298" t="s">
        <v>74</v>
      </c>
      <c r="AZ298" t="s">
        <v>74</v>
      </c>
      <c r="BA298" t="s">
        <v>74</v>
      </c>
      <c r="BB298">
        <v>2702</v>
      </c>
      <c r="BC298">
        <v>2714</v>
      </c>
      <c r="BD298" t="s">
        <v>74</v>
      </c>
      <c r="BE298" t="s">
        <v>4568</v>
      </c>
      <c r="BF298" t="str">
        <f>HYPERLINK("http://dx.doi.org/10.1016/j.jaip.2021.01.011","http://dx.doi.org/10.1016/j.jaip.2021.01.011")</f>
        <v>http://dx.doi.org/10.1016/j.jaip.2021.01.011</v>
      </c>
      <c r="BG298" t="s">
        <v>74</v>
      </c>
      <c r="BH298" t="s">
        <v>4551</v>
      </c>
      <c r="BI298">
        <v>13</v>
      </c>
      <c r="BJ298" t="s">
        <v>3085</v>
      </c>
      <c r="BK298" t="s">
        <v>101</v>
      </c>
      <c r="BL298" t="s">
        <v>3085</v>
      </c>
      <c r="BM298" t="s">
        <v>4569</v>
      </c>
      <c r="BN298">
        <v>33486142</v>
      </c>
      <c r="BO298" t="s">
        <v>246</v>
      </c>
      <c r="BP298" t="s">
        <v>74</v>
      </c>
      <c r="BQ298" t="s">
        <v>74</v>
      </c>
      <c r="BR298" t="s">
        <v>104</v>
      </c>
      <c r="BS298" t="s">
        <v>4570</v>
      </c>
      <c r="BT298" t="str">
        <f>HYPERLINK("https%3A%2F%2Fwww.webofscience.com%2Fwos%2Fwoscc%2Ffull-record%2FWOS:000672543000020","View Full Record in Web of Science")</f>
        <v>View Full Record in Web of Science</v>
      </c>
    </row>
    <row r="299" spans="1:72" x14ac:dyDescent="0.25">
      <c r="A299" t="s">
        <v>72</v>
      </c>
      <c r="B299" t="s">
        <v>4571</v>
      </c>
      <c r="C299" t="s">
        <v>74</v>
      </c>
      <c r="D299" t="s">
        <v>74</v>
      </c>
      <c r="E299" t="s">
        <v>74</v>
      </c>
      <c r="F299" t="s">
        <v>4572</v>
      </c>
      <c r="G299" t="s">
        <v>74</v>
      </c>
      <c r="H299" t="s">
        <v>74</v>
      </c>
      <c r="I299" t="s">
        <v>4573</v>
      </c>
      <c r="J299" t="s">
        <v>251</v>
      </c>
      <c r="K299" t="s">
        <v>74</v>
      </c>
      <c r="L299" t="s">
        <v>74</v>
      </c>
      <c r="M299" t="s">
        <v>78</v>
      </c>
      <c r="N299" t="s">
        <v>79</v>
      </c>
      <c r="O299" t="s">
        <v>74</v>
      </c>
      <c r="P299" t="s">
        <v>74</v>
      </c>
      <c r="Q299" t="s">
        <v>74</v>
      </c>
      <c r="R299" t="s">
        <v>74</v>
      </c>
      <c r="S299" t="s">
        <v>74</v>
      </c>
      <c r="T299" t="s">
        <v>4574</v>
      </c>
      <c r="U299" t="s">
        <v>4575</v>
      </c>
      <c r="V299" t="s">
        <v>4576</v>
      </c>
      <c r="W299" t="s">
        <v>4577</v>
      </c>
      <c r="X299" t="s">
        <v>4578</v>
      </c>
      <c r="Y299" t="s">
        <v>4579</v>
      </c>
      <c r="Z299" t="s">
        <v>4580</v>
      </c>
      <c r="AA299" t="s">
        <v>4581</v>
      </c>
      <c r="AB299" t="s">
        <v>4582</v>
      </c>
      <c r="AC299" t="s">
        <v>4583</v>
      </c>
      <c r="AD299" t="s">
        <v>4584</v>
      </c>
      <c r="AE299" t="s">
        <v>4585</v>
      </c>
      <c r="AF299" t="s">
        <v>74</v>
      </c>
      <c r="AG299">
        <v>90</v>
      </c>
      <c r="AH299">
        <v>52</v>
      </c>
      <c r="AI299">
        <v>62</v>
      </c>
      <c r="AJ299">
        <v>1</v>
      </c>
      <c r="AK299">
        <v>27</v>
      </c>
      <c r="AL299" t="s">
        <v>122</v>
      </c>
      <c r="AM299" t="s">
        <v>123</v>
      </c>
      <c r="AN299" t="s">
        <v>124</v>
      </c>
      <c r="AO299" t="s">
        <v>258</v>
      </c>
      <c r="AP299" t="s">
        <v>259</v>
      </c>
      <c r="AQ299" t="s">
        <v>74</v>
      </c>
      <c r="AR299" t="s">
        <v>251</v>
      </c>
      <c r="AS299" t="s">
        <v>260</v>
      </c>
      <c r="AT299" t="s">
        <v>4586</v>
      </c>
      <c r="AU299">
        <v>2021</v>
      </c>
      <c r="AV299">
        <v>144</v>
      </c>
      <c r="AW299">
        <v>1</v>
      </c>
      <c r="AX299" t="s">
        <v>74</v>
      </c>
      <c r="AY299" t="s">
        <v>74</v>
      </c>
      <c r="AZ299" t="s">
        <v>74</v>
      </c>
      <c r="BA299" t="s">
        <v>74</v>
      </c>
      <c r="BB299">
        <v>52</v>
      </c>
      <c r="BC299">
        <v>73</v>
      </c>
      <c r="BD299" t="s">
        <v>74</v>
      </c>
      <c r="BE299" t="s">
        <v>4587</v>
      </c>
      <c r="BF299" t="str">
        <f>HYPERLINK("http://dx.doi.org/10.1161/CIRCULATIONAHA.120.047978","http://dx.doi.org/10.1161/CIRCULATIONAHA.120.047978")</f>
        <v>http://dx.doi.org/10.1161/CIRCULATIONAHA.120.047978</v>
      </c>
      <c r="BG299" t="s">
        <v>74</v>
      </c>
      <c r="BH299" t="s">
        <v>74</v>
      </c>
      <c r="BI299">
        <v>22</v>
      </c>
      <c r="BJ299" t="s">
        <v>263</v>
      </c>
      <c r="BK299" t="s">
        <v>101</v>
      </c>
      <c r="BL299" t="s">
        <v>133</v>
      </c>
      <c r="BM299" t="s">
        <v>4588</v>
      </c>
      <c r="BN299">
        <v>34078089</v>
      </c>
      <c r="BO299" t="s">
        <v>4589</v>
      </c>
      <c r="BP299" t="s">
        <v>74</v>
      </c>
      <c r="BQ299" t="s">
        <v>74</v>
      </c>
      <c r="BR299" t="s">
        <v>104</v>
      </c>
      <c r="BS299" t="s">
        <v>4590</v>
      </c>
      <c r="BT299" t="str">
        <f>HYPERLINK("https%3A%2F%2Fwww.webofscience.com%2Fwos%2Fwoscc%2Ffull-record%2FWOS:000669921200011","View Full Record in Web of Science")</f>
        <v>View Full Record in Web of Science</v>
      </c>
    </row>
    <row r="300" spans="1:72" x14ac:dyDescent="0.25">
      <c r="A300" t="s">
        <v>72</v>
      </c>
      <c r="B300" t="s">
        <v>4591</v>
      </c>
      <c r="C300" t="s">
        <v>74</v>
      </c>
      <c r="D300" t="s">
        <v>74</v>
      </c>
      <c r="E300" t="s">
        <v>74</v>
      </c>
      <c r="F300" t="s">
        <v>4592</v>
      </c>
      <c r="G300" t="s">
        <v>74</v>
      </c>
      <c r="H300" t="s">
        <v>74</v>
      </c>
      <c r="I300" t="s">
        <v>4593</v>
      </c>
      <c r="J300" t="s">
        <v>4594</v>
      </c>
      <c r="K300" t="s">
        <v>74</v>
      </c>
      <c r="L300" t="s">
        <v>74</v>
      </c>
      <c r="M300" t="s">
        <v>78</v>
      </c>
      <c r="N300" t="s">
        <v>79</v>
      </c>
      <c r="O300" t="s">
        <v>74</v>
      </c>
      <c r="P300" t="s">
        <v>74</v>
      </c>
      <c r="Q300" t="s">
        <v>74</v>
      </c>
      <c r="R300" t="s">
        <v>74</v>
      </c>
      <c r="S300" t="s">
        <v>74</v>
      </c>
      <c r="T300" t="s">
        <v>4595</v>
      </c>
      <c r="U300" t="s">
        <v>4596</v>
      </c>
      <c r="V300" t="s">
        <v>4597</v>
      </c>
      <c r="W300" t="s">
        <v>4598</v>
      </c>
      <c r="X300" t="s">
        <v>4599</v>
      </c>
      <c r="Y300" t="s">
        <v>4600</v>
      </c>
      <c r="Z300" t="s">
        <v>4601</v>
      </c>
      <c r="AA300" t="s">
        <v>4602</v>
      </c>
      <c r="AB300" t="s">
        <v>4603</v>
      </c>
      <c r="AC300" t="s">
        <v>4604</v>
      </c>
      <c r="AD300" t="s">
        <v>4605</v>
      </c>
      <c r="AE300" t="s">
        <v>4606</v>
      </c>
      <c r="AF300" t="s">
        <v>74</v>
      </c>
      <c r="AG300">
        <v>56</v>
      </c>
      <c r="AH300">
        <v>41</v>
      </c>
      <c r="AI300">
        <v>43</v>
      </c>
      <c r="AJ300">
        <v>0</v>
      </c>
      <c r="AK300">
        <v>11</v>
      </c>
      <c r="AL300" t="s">
        <v>1073</v>
      </c>
      <c r="AM300" t="s">
        <v>1074</v>
      </c>
      <c r="AN300" t="s">
        <v>1075</v>
      </c>
      <c r="AO300" t="s">
        <v>4607</v>
      </c>
      <c r="AP300" t="s">
        <v>4608</v>
      </c>
      <c r="AQ300" t="s">
        <v>74</v>
      </c>
      <c r="AR300" t="s">
        <v>4609</v>
      </c>
      <c r="AS300" t="s">
        <v>4610</v>
      </c>
      <c r="AT300" t="s">
        <v>4611</v>
      </c>
      <c r="AU300">
        <v>2022</v>
      </c>
      <c r="AV300">
        <v>118</v>
      </c>
      <c r="AW300">
        <v>7</v>
      </c>
      <c r="AX300" t="s">
        <v>74</v>
      </c>
      <c r="AY300" t="s">
        <v>74</v>
      </c>
      <c r="AZ300" t="s">
        <v>74</v>
      </c>
      <c r="BA300" t="s">
        <v>74</v>
      </c>
      <c r="BB300">
        <v>1805</v>
      </c>
      <c r="BC300">
        <v>1820</v>
      </c>
      <c r="BD300" t="s">
        <v>74</v>
      </c>
      <c r="BE300" t="s">
        <v>4612</v>
      </c>
      <c r="BF300" t="str">
        <f>HYPERLINK("http://dx.doi.org/10.1093/cvr/cvab187","http://dx.doi.org/10.1093/cvr/cvab187")</f>
        <v>http://dx.doi.org/10.1093/cvr/cvab187</v>
      </c>
      <c r="BG300" t="s">
        <v>74</v>
      </c>
      <c r="BH300" t="s">
        <v>4551</v>
      </c>
      <c r="BI300">
        <v>16</v>
      </c>
      <c r="BJ300" t="s">
        <v>132</v>
      </c>
      <c r="BK300" t="s">
        <v>101</v>
      </c>
      <c r="BL300" t="s">
        <v>133</v>
      </c>
      <c r="BM300" t="s">
        <v>4613</v>
      </c>
      <c r="BN300">
        <v>34086873</v>
      </c>
      <c r="BO300" t="s">
        <v>246</v>
      </c>
      <c r="BP300" t="s">
        <v>74</v>
      </c>
      <c r="BQ300" t="s">
        <v>74</v>
      </c>
      <c r="BR300" t="s">
        <v>104</v>
      </c>
      <c r="BS300" t="s">
        <v>4614</v>
      </c>
      <c r="BT300" t="str">
        <f>HYPERLINK("https%3A%2F%2Fwww.webofscience.com%2Fwos%2Fwoscc%2Ffull-record%2FWOS:000755828900001","View Full Record in Web of Science")</f>
        <v>View Full Record in Web of Science</v>
      </c>
    </row>
    <row r="301" spans="1:72" x14ac:dyDescent="0.25">
      <c r="A301" t="s">
        <v>72</v>
      </c>
      <c r="B301" t="s">
        <v>4615</v>
      </c>
      <c r="C301" t="s">
        <v>74</v>
      </c>
      <c r="D301" t="s">
        <v>74</v>
      </c>
      <c r="E301" t="s">
        <v>74</v>
      </c>
      <c r="F301" t="s">
        <v>4616</v>
      </c>
      <c r="G301" t="s">
        <v>74</v>
      </c>
      <c r="H301" t="s">
        <v>74</v>
      </c>
      <c r="I301" t="s">
        <v>4617</v>
      </c>
      <c r="J301" t="s">
        <v>216</v>
      </c>
      <c r="K301" t="s">
        <v>74</v>
      </c>
      <c r="L301" t="s">
        <v>74</v>
      </c>
      <c r="M301" t="s">
        <v>78</v>
      </c>
      <c r="N301" t="s">
        <v>460</v>
      </c>
      <c r="O301" t="s">
        <v>74</v>
      </c>
      <c r="P301" t="s">
        <v>74</v>
      </c>
      <c r="Q301" t="s">
        <v>74</v>
      </c>
      <c r="R301" t="s">
        <v>74</v>
      </c>
      <c r="S301" t="s">
        <v>74</v>
      </c>
      <c r="T301" t="s">
        <v>74</v>
      </c>
      <c r="U301" t="s">
        <v>4618</v>
      </c>
      <c r="V301" t="s">
        <v>74</v>
      </c>
      <c r="W301" t="s">
        <v>4619</v>
      </c>
      <c r="X301" t="s">
        <v>4620</v>
      </c>
      <c r="Y301" t="s">
        <v>4468</v>
      </c>
      <c r="Z301" t="s">
        <v>4469</v>
      </c>
      <c r="AA301" t="s">
        <v>4621</v>
      </c>
      <c r="AB301" t="s">
        <v>4622</v>
      </c>
      <c r="AC301" t="s">
        <v>74</v>
      </c>
      <c r="AD301" t="s">
        <v>74</v>
      </c>
      <c r="AE301" t="s">
        <v>74</v>
      </c>
      <c r="AF301" t="s">
        <v>74</v>
      </c>
      <c r="AG301">
        <v>13</v>
      </c>
      <c r="AH301">
        <v>35</v>
      </c>
      <c r="AI301">
        <v>35</v>
      </c>
      <c r="AJ301">
        <v>0</v>
      </c>
      <c r="AK301">
        <v>0</v>
      </c>
      <c r="AL301" t="s">
        <v>219</v>
      </c>
      <c r="AM301" t="s">
        <v>220</v>
      </c>
      <c r="AN301" t="s">
        <v>221</v>
      </c>
      <c r="AO301" t="s">
        <v>222</v>
      </c>
      <c r="AP301" t="s">
        <v>223</v>
      </c>
      <c r="AQ301" t="s">
        <v>74</v>
      </c>
      <c r="AR301" t="s">
        <v>224</v>
      </c>
      <c r="AS301" t="s">
        <v>225</v>
      </c>
      <c r="AT301" t="s">
        <v>806</v>
      </c>
      <c r="AU301">
        <v>2021</v>
      </c>
      <c r="AV301">
        <v>58</v>
      </c>
      <c r="AW301">
        <v>1</v>
      </c>
      <c r="AX301" t="s">
        <v>74</v>
      </c>
      <c r="AY301" t="s">
        <v>74</v>
      </c>
      <c r="AZ301" t="s">
        <v>74</v>
      </c>
      <c r="BA301" t="s">
        <v>74</v>
      </c>
      <c r="BB301" t="s">
        <v>74</v>
      </c>
      <c r="BC301" t="s">
        <v>74</v>
      </c>
      <c r="BD301">
        <v>2100116</v>
      </c>
      <c r="BE301" t="s">
        <v>4623</v>
      </c>
      <c r="BF301" t="str">
        <f>HYPERLINK("http://dx.doi.org/10.1183/13993003.00116-2021","http://dx.doi.org/10.1183/13993003.00116-2021")</f>
        <v>http://dx.doi.org/10.1183/13993003.00116-2021</v>
      </c>
      <c r="BG301" t="s">
        <v>74</v>
      </c>
      <c r="BH301" t="s">
        <v>74</v>
      </c>
      <c r="BI301">
        <v>4</v>
      </c>
      <c r="BJ301" t="s">
        <v>228</v>
      </c>
      <c r="BK301" t="s">
        <v>101</v>
      </c>
      <c r="BL301" t="s">
        <v>228</v>
      </c>
      <c r="BM301" t="s">
        <v>4624</v>
      </c>
      <c r="BN301">
        <v>33692122</v>
      </c>
      <c r="BO301" t="s">
        <v>246</v>
      </c>
      <c r="BP301" t="s">
        <v>74</v>
      </c>
      <c r="BQ301" t="s">
        <v>74</v>
      </c>
      <c r="BR301" t="s">
        <v>104</v>
      </c>
      <c r="BS301" t="s">
        <v>4625</v>
      </c>
      <c r="BT301" t="str">
        <f>HYPERLINK("https%3A%2F%2Fwww.webofscience.com%2Fwos%2Fwoscc%2Ffull-record%2FWOS:000697742000007","View Full Record in Web of Science")</f>
        <v>View Full Record in Web of Science</v>
      </c>
    </row>
    <row r="302" spans="1:72" x14ac:dyDescent="0.25">
      <c r="A302" t="s">
        <v>72</v>
      </c>
      <c r="B302" t="s">
        <v>4626</v>
      </c>
      <c r="C302" t="s">
        <v>74</v>
      </c>
      <c r="D302" t="s">
        <v>74</v>
      </c>
      <c r="E302" t="s">
        <v>74</v>
      </c>
      <c r="F302" t="s">
        <v>4627</v>
      </c>
      <c r="G302" t="s">
        <v>74</v>
      </c>
      <c r="H302" t="s">
        <v>74</v>
      </c>
      <c r="I302" t="s">
        <v>4628</v>
      </c>
      <c r="J302" t="s">
        <v>216</v>
      </c>
      <c r="K302" t="s">
        <v>74</v>
      </c>
      <c r="L302" t="s">
        <v>74</v>
      </c>
      <c r="M302" t="s">
        <v>78</v>
      </c>
      <c r="N302" t="s">
        <v>79</v>
      </c>
      <c r="O302" t="s">
        <v>74</v>
      </c>
      <c r="P302" t="s">
        <v>74</v>
      </c>
      <c r="Q302" t="s">
        <v>74</v>
      </c>
      <c r="R302" t="s">
        <v>74</v>
      </c>
      <c r="S302" t="s">
        <v>74</v>
      </c>
      <c r="T302" t="s">
        <v>74</v>
      </c>
      <c r="U302" t="s">
        <v>4629</v>
      </c>
      <c r="V302" t="s">
        <v>4630</v>
      </c>
      <c r="W302" t="s">
        <v>4631</v>
      </c>
      <c r="X302" t="s">
        <v>4632</v>
      </c>
      <c r="Y302" t="s">
        <v>4633</v>
      </c>
      <c r="Z302" t="s">
        <v>377</v>
      </c>
      <c r="AA302" t="s">
        <v>4634</v>
      </c>
      <c r="AB302" t="s">
        <v>4635</v>
      </c>
      <c r="AC302" t="s">
        <v>4636</v>
      </c>
      <c r="AD302" t="s">
        <v>4637</v>
      </c>
      <c r="AE302" t="s">
        <v>4638</v>
      </c>
      <c r="AF302" t="s">
        <v>74</v>
      </c>
      <c r="AG302">
        <v>37</v>
      </c>
      <c r="AH302">
        <v>62</v>
      </c>
      <c r="AI302">
        <v>62</v>
      </c>
      <c r="AJ302">
        <v>1</v>
      </c>
      <c r="AK302">
        <v>6</v>
      </c>
      <c r="AL302" t="s">
        <v>219</v>
      </c>
      <c r="AM302" t="s">
        <v>220</v>
      </c>
      <c r="AN302" t="s">
        <v>221</v>
      </c>
      <c r="AO302" t="s">
        <v>222</v>
      </c>
      <c r="AP302" t="s">
        <v>223</v>
      </c>
      <c r="AQ302" t="s">
        <v>74</v>
      </c>
      <c r="AR302" t="s">
        <v>224</v>
      </c>
      <c r="AS302" t="s">
        <v>225</v>
      </c>
      <c r="AT302" t="s">
        <v>806</v>
      </c>
      <c r="AU302">
        <v>2021</v>
      </c>
      <c r="AV302">
        <v>58</v>
      </c>
      <c r="AW302">
        <v>1</v>
      </c>
      <c r="AX302" t="s">
        <v>74</v>
      </c>
      <c r="AY302" t="s">
        <v>74</v>
      </c>
      <c r="AZ302" t="s">
        <v>74</v>
      </c>
      <c r="BA302" t="s">
        <v>74</v>
      </c>
      <c r="BB302" t="s">
        <v>74</v>
      </c>
      <c r="BC302" t="s">
        <v>74</v>
      </c>
      <c r="BD302">
        <v>2004229</v>
      </c>
      <c r="BE302" t="s">
        <v>4639</v>
      </c>
      <c r="BF302" t="str">
        <f>HYPERLINK("http://dx.doi.org/10.1183/13993003.04229-2020","http://dx.doi.org/10.1183/13993003.04229-2020")</f>
        <v>http://dx.doi.org/10.1183/13993003.04229-2020</v>
      </c>
      <c r="BG302" t="s">
        <v>74</v>
      </c>
      <c r="BH302" t="s">
        <v>74</v>
      </c>
      <c r="BI302">
        <v>16</v>
      </c>
      <c r="BJ302" t="s">
        <v>228</v>
      </c>
      <c r="BK302" t="s">
        <v>101</v>
      </c>
      <c r="BL302" t="s">
        <v>228</v>
      </c>
      <c r="BM302" t="s">
        <v>4624</v>
      </c>
      <c r="BN302">
        <v>33380512</v>
      </c>
      <c r="BO302" t="s">
        <v>4640</v>
      </c>
      <c r="BP302" t="s">
        <v>74</v>
      </c>
      <c r="BQ302" t="s">
        <v>74</v>
      </c>
      <c r="BR302" t="s">
        <v>104</v>
      </c>
      <c r="BS302" t="s">
        <v>4641</v>
      </c>
      <c r="BT302" t="str">
        <f>HYPERLINK("https%3A%2F%2Fwww.webofscience.com%2Fwos%2Fwoscc%2Ffull-record%2FWOS:000697742000026","View Full Record in Web of Science")</f>
        <v>View Full Record in Web of Science</v>
      </c>
    </row>
    <row r="303" spans="1:72" x14ac:dyDescent="0.25">
      <c r="A303" t="s">
        <v>72</v>
      </c>
      <c r="B303" t="s">
        <v>4642</v>
      </c>
      <c r="C303" t="s">
        <v>74</v>
      </c>
      <c r="D303" t="s">
        <v>74</v>
      </c>
      <c r="E303" t="s">
        <v>74</v>
      </c>
      <c r="F303" t="s">
        <v>4643</v>
      </c>
      <c r="G303" t="s">
        <v>74</v>
      </c>
      <c r="H303" t="s">
        <v>74</v>
      </c>
      <c r="I303" t="s">
        <v>4644</v>
      </c>
      <c r="J303" t="s">
        <v>216</v>
      </c>
      <c r="K303" t="s">
        <v>74</v>
      </c>
      <c r="L303" t="s">
        <v>74</v>
      </c>
      <c r="M303" t="s">
        <v>78</v>
      </c>
      <c r="N303" t="s">
        <v>140</v>
      </c>
      <c r="O303" t="s">
        <v>74</v>
      </c>
      <c r="P303" t="s">
        <v>74</v>
      </c>
      <c r="Q303" t="s">
        <v>74</v>
      </c>
      <c r="R303" t="s">
        <v>74</v>
      </c>
      <c r="S303" t="s">
        <v>74</v>
      </c>
      <c r="T303" t="s">
        <v>74</v>
      </c>
      <c r="U303" t="s">
        <v>74</v>
      </c>
      <c r="V303" t="s">
        <v>74</v>
      </c>
      <c r="W303" t="s">
        <v>4645</v>
      </c>
      <c r="X303" t="s">
        <v>4646</v>
      </c>
      <c r="Y303" t="s">
        <v>4647</v>
      </c>
      <c r="Z303" t="s">
        <v>331</v>
      </c>
      <c r="AA303" t="s">
        <v>4648</v>
      </c>
      <c r="AB303" t="s">
        <v>4649</v>
      </c>
      <c r="AC303" t="s">
        <v>74</v>
      </c>
      <c r="AD303" t="s">
        <v>74</v>
      </c>
      <c r="AE303" t="s">
        <v>74</v>
      </c>
      <c r="AF303" t="s">
        <v>74</v>
      </c>
      <c r="AG303">
        <v>18</v>
      </c>
      <c r="AH303">
        <v>21</v>
      </c>
      <c r="AI303">
        <v>21</v>
      </c>
      <c r="AJ303">
        <v>0</v>
      </c>
      <c r="AK303">
        <v>1</v>
      </c>
      <c r="AL303" t="s">
        <v>219</v>
      </c>
      <c r="AM303" t="s">
        <v>220</v>
      </c>
      <c r="AN303" t="s">
        <v>221</v>
      </c>
      <c r="AO303" t="s">
        <v>222</v>
      </c>
      <c r="AP303" t="s">
        <v>223</v>
      </c>
      <c r="AQ303" t="s">
        <v>74</v>
      </c>
      <c r="AR303" t="s">
        <v>224</v>
      </c>
      <c r="AS303" t="s">
        <v>225</v>
      </c>
      <c r="AT303" t="s">
        <v>806</v>
      </c>
      <c r="AU303">
        <v>2021</v>
      </c>
      <c r="AV303">
        <v>58</v>
      </c>
      <c r="AW303">
        <v>1</v>
      </c>
      <c r="AX303" t="s">
        <v>74</v>
      </c>
      <c r="AY303" t="s">
        <v>74</v>
      </c>
      <c r="AZ303" t="s">
        <v>74</v>
      </c>
      <c r="BA303" t="s">
        <v>74</v>
      </c>
      <c r="BB303" t="s">
        <v>74</v>
      </c>
      <c r="BC303" t="s">
        <v>74</v>
      </c>
      <c r="BD303">
        <v>2101090</v>
      </c>
      <c r="BE303" t="s">
        <v>4650</v>
      </c>
      <c r="BF303" t="str">
        <f>HYPERLINK("http://dx.doi.org/10.1183/13993003.01090-2021","http://dx.doi.org/10.1183/13993003.01090-2021")</f>
        <v>http://dx.doi.org/10.1183/13993003.01090-2021</v>
      </c>
      <c r="BG303" t="s">
        <v>74</v>
      </c>
      <c r="BH303" t="s">
        <v>74</v>
      </c>
      <c r="BI303">
        <v>8</v>
      </c>
      <c r="BJ303" t="s">
        <v>228</v>
      </c>
      <c r="BK303" t="s">
        <v>101</v>
      </c>
      <c r="BL303" t="s">
        <v>228</v>
      </c>
      <c r="BM303" t="s">
        <v>4624</v>
      </c>
      <c r="BN303">
        <v>33958429</v>
      </c>
      <c r="BO303" t="s">
        <v>470</v>
      </c>
      <c r="BP303" t="s">
        <v>74</v>
      </c>
      <c r="BQ303" t="s">
        <v>74</v>
      </c>
      <c r="BR303" t="s">
        <v>104</v>
      </c>
      <c r="BS303" t="s">
        <v>4651</v>
      </c>
      <c r="BT303" t="str">
        <f>HYPERLINK("https%3A%2F%2Fwww.webofscience.com%2Fwos%2Fwoscc%2Ffull-record%2FWOS:000697742000031","View Full Record in Web of Science")</f>
        <v>View Full Record in Web of Science</v>
      </c>
    </row>
    <row r="304" spans="1:72" x14ac:dyDescent="0.25">
      <c r="A304" t="s">
        <v>72</v>
      </c>
      <c r="B304" t="s">
        <v>4652</v>
      </c>
      <c r="C304" t="s">
        <v>74</v>
      </c>
      <c r="D304" t="s">
        <v>74</v>
      </c>
      <c r="E304" t="s">
        <v>74</v>
      </c>
      <c r="F304" t="s">
        <v>4653</v>
      </c>
      <c r="G304" t="s">
        <v>74</v>
      </c>
      <c r="H304" t="s">
        <v>74</v>
      </c>
      <c r="I304" t="s">
        <v>4654</v>
      </c>
      <c r="J304" t="s">
        <v>435</v>
      </c>
      <c r="K304" t="s">
        <v>74</v>
      </c>
      <c r="L304" t="s">
        <v>74</v>
      </c>
      <c r="M304" t="s">
        <v>78</v>
      </c>
      <c r="N304" t="s">
        <v>79</v>
      </c>
      <c r="O304" t="s">
        <v>74</v>
      </c>
      <c r="P304" t="s">
        <v>74</v>
      </c>
      <c r="Q304" t="s">
        <v>74</v>
      </c>
      <c r="R304" t="s">
        <v>74</v>
      </c>
      <c r="S304" t="s">
        <v>74</v>
      </c>
      <c r="T304" t="s">
        <v>4655</v>
      </c>
      <c r="U304" t="s">
        <v>4656</v>
      </c>
      <c r="V304" t="s">
        <v>4657</v>
      </c>
      <c r="W304" t="s">
        <v>4658</v>
      </c>
      <c r="X304" t="s">
        <v>4659</v>
      </c>
      <c r="Y304" t="s">
        <v>4660</v>
      </c>
      <c r="Z304" t="s">
        <v>4661</v>
      </c>
      <c r="AA304" t="s">
        <v>4662</v>
      </c>
      <c r="AB304" t="s">
        <v>4663</v>
      </c>
      <c r="AC304" t="s">
        <v>74</v>
      </c>
      <c r="AD304" t="s">
        <v>74</v>
      </c>
      <c r="AE304" t="s">
        <v>74</v>
      </c>
      <c r="AF304" t="s">
        <v>74</v>
      </c>
      <c r="AG304">
        <v>10</v>
      </c>
      <c r="AH304">
        <v>1</v>
      </c>
      <c r="AI304">
        <v>1</v>
      </c>
      <c r="AJ304">
        <v>1</v>
      </c>
      <c r="AK304">
        <v>4</v>
      </c>
      <c r="AL304" t="s">
        <v>1330</v>
      </c>
      <c r="AM304" t="s">
        <v>1331</v>
      </c>
      <c r="AN304" t="s">
        <v>1332</v>
      </c>
      <c r="AO304" t="s">
        <v>448</v>
      </c>
      <c r="AP304" t="s">
        <v>449</v>
      </c>
      <c r="AQ304" t="s">
        <v>74</v>
      </c>
      <c r="AR304" t="s">
        <v>450</v>
      </c>
      <c r="AS304" t="s">
        <v>451</v>
      </c>
      <c r="AT304" t="s">
        <v>785</v>
      </c>
      <c r="AU304">
        <v>2021</v>
      </c>
      <c r="AV304">
        <v>11</v>
      </c>
      <c r="AW304">
        <v>3</v>
      </c>
      <c r="AX304" t="s">
        <v>74</v>
      </c>
      <c r="AY304" t="s">
        <v>74</v>
      </c>
      <c r="AZ304" t="s">
        <v>74</v>
      </c>
      <c r="BA304" t="s">
        <v>74</v>
      </c>
      <c r="BB304" t="s">
        <v>74</v>
      </c>
      <c r="BC304" t="s">
        <v>74</v>
      </c>
      <c r="BD304">
        <v>2.0458940211029552E+16</v>
      </c>
      <c r="BE304" t="s">
        <v>4664</v>
      </c>
      <c r="BF304" t="str">
        <f>HYPERLINK("http://dx.doi.org/10.1177/20458940211029550","http://dx.doi.org/10.1177/20458940211029550")</f>
        <v>http://dx.doi.org/10.1177/20458940211029550</v>
      </c>
      <c r="BG304" t="s">
        <v>74</v>
      </c>
      <c r="BH304" t="s">
        <v>74</v>
      </c>
      <c r="BI304">
        <v>4</v>
      </c>
      <c r="BJ304" t="s">
        <v>209</v>
      </c>
      <c r="BK304" t="s">
        <v>101</v>
      </c>
      <c r="BL304" t="s">
        <v>210</v>
      </c>
      <c r="BM304" t="s">
        <v>4665</v>
      </c>
      <c r="BN304">
        <v>34285798</v>
      </c>
      <c r="BO304" t="s">
        <v>809</v>
      </c>
      <c r="BP304" t="s">
        <v>74</v>
      </c>
      <c r="BQ304" t="s">
        <v>74</v>
      </c>
      <c r="BR304" t="s">
        <v>104</v>
      </c>
      <c r="BS304" t="s">
        <v>4666</v>
      </c>
      <c r="BT304" t="str">
        <f>HYPERLINK("https%3A%2F%2Fwww.webofscience.com%2Fwos%2Fwoscc%2Ffull-record%2FWOS:000691342600001","View Full Record in Web of Science")</f>
        <v>View Full Record in Web of Science</v>
      </c>
    </row>
    <row r="305" spans="1:72" x14ac:dyDescent="0.25">
      <c r="A305" t="s">
        <v>72</v>
      </c>
      <c r="B305" t="s">
        <v>4667</v>
      </c>
      <c r="C305" t="s">
        <v>74</v>
      </c>
      <c r="D305" t="s">
        <v>74</v>
      </c>
      <c r="E305" t="s">
        <v>74</v>
      </c>
      <c r="F305" t="s">
        <v>4668</v>
      </c>
      <c r="G305" t="s">
        <v>74</v>
      </c>
      <c r="H305" t="s">
        <v>74</v>
      </c>
      <c r="I305" t="s">
        <v>4669</v>
      </c>
      <c r="J305" t="s">
        <v>349</v>
      </c>
      <c r="K305" t="s">
        <v>74</v>
      </c>
      <c r="L305" t="s">
        <v>74</v>
      </c>
      <c r="M305" t="s">
        <v>78</v>
      </c>
      <c r="N305" t="s">
        <v>299</v>
      </c>
      <c r="O305" t="s">
        <v>74</v>
      </c>
      <c r="P305" t="s">
        <v>74</v>
      </c>
      <c r="Q305" t="s">
        <v>74</v>
      </c>
      <c r="R305" t="s">
        <v>74</v>
      </c>
      <c r="S305" t="s">
        <v>74</v>
      </c>
      <c r="T305" t="s">
        <v>74</v>
      </c>
      <c r="U305" t="s">
        <v>4670</v>
      </c>
      <c r="V305" t="s">
        <v>4671</v>
      </c>
      <c r="W305" t="s">
        <v>4672</v>
      </c>
      <c r="X305" t="s">
        <v>4673</v>
      </c>
      <c r="Y305" t="s">
        <v>4674</v>
      </c>
      <c r="Z305" t="s">
        <v>4675</v>
      </c>
      <c r="AA305" t="s">
        <v>144</v>
      </c>
      <c r="AB305" t="s">
        <v>257</v>
      </c>
      <c r="AC305" t="s">
        <v>74</v>
      </c>
      <c r="AD305" t="s">
        <v>74</v>
      </c>
      <c r="AE305" t="s">
        <v>74</v>
      </c>
      <c r="AF305" t="s">
        <v>74</v>
      </c>
      <c r="AG305">
        <v>78</v>
      </c>
      <c r="AH305">
        <v>3</v>
      </c>
      <c r="AI305">
        <v>3</v>
      </c>
      <c r="AJ305">
        <v>2</v>
      </c>
      <c r="AK305">
        <v>8</v>
      </c>
      <c r="AL305" t="s">
        <v>92</v>
      </c>
      <c r="AM305" t="s">
        <v>361</v>
      </c>
      <c r="AN305" t="s">
        <v>362</v>
      </c>
      <c r="AO305" t="s">
        <v>74</v>
      </c>
      <c r="AP305" t="s">
        <v>363</v>
      </c>
      <c r="AQ305" t="s">
        <v>74</v>
      </c>
      <c r="AR305" t="s">
        <v>364</v>
      </c>
      <c r="AS305" t="s">
        <v>365</v>
      </c>
      <c r="AT305" t="s">
        <v>315</v>
      </c>
      <c r="AU305">
        <v>2021</v>
      </c>
      <c r="AV305">
        <v>80</v>
      </c>
      <c r="AW305" t="s">
        <v>74</v>
      </c>
      <c r="AX305" t="s">
        <v>74</v>
      </c>
      <c r="AY305" t="s">
        <v>74</v>
      </c>
      <c r="AZ305" t="s">
        <v>74</v>
      </c>
      <c r="BA305" t="s">
        <v>74</v>
      </c>
      <c r="BB305" t="s">
        <v>74</v>
      </c>
      <c r="BC305" t="s">
        <v>74</v>
      </c>
      <c r="BD305">
        <v>100835</v>
      </c>
      <c r="BE305" t="s">
        <v>4676</v>
      </c>
      <c r="BF305" t="str">
        <f>HYPERLINK("http://dx.doi.org/10.1016/j.resmer.2021.100835","http://dx.doi.org/10.1016/j.resmer.2021.100835")</f>
        <v>http://dx.doi.org/10.1016/j.resmer.2021.100835</v>
      </c>
      <c r="BG305" t="s">
        <v>74</v>
      </c>
      <c r="BH305" t="s">
        <v>4677</v>
      </c>
      <c r="BI305">
        <v>10</v>
      </c>
      <c r="BJ305" t="s">
        <v>228</v>
      </c>
      <c r="BK305" t="s">
        <v>101</v>
      </c>
      <c r="BL305" t="s">
        <v>228</v>
      </c>
      <c r="BM305" t="s">
        <v>4678</v>
      </c>
      <c r="BN305">
        <v>34174525</v>
      </c>
      <c r="BO305" t="s">
        <v>2517</v>
      </c>
      <c r="BP305" t="s">
        <v>74</v>
      </c>
      <c r="BQ305" t="s">
        <v>74</v>
      </c>
      <c r="BR305" t="s">
        <v>104</v>
      </c>
      <c r="BS305" t="s">
        <v>4679</v>
      </c>
      <c r="BT305" t="str">
        <f>HYPERLINK("https%3A%2F%2Fwww.webofscience.com%2Fwos%2Fwoscc%2Ffull-record%2FWOS:000702946700013","View Full Record in Web of Science")</f>
        <v>View Full Record in Web of Science</v>
      </c>
    </row>
    <row r="306" spans="1:72" x14ac:dyDescent="0.25">
      <c r="A306" t="s">
        <v>72</v>
      </c>
      <c r="B306" t="s">
        <v>4680</v>
      </c>
      <c r="C306" t="s">
        <v>74</v>
      </c>
      <c r="D306" t="s">
        <v>74</v>
      </c>
      <c r="E306" t="s">
        <v>74</v>
      </c>
      <c r="F306" t="s">
        <v>4681</v>
      </c>
      <c r="G306" t="s">
        <v>74</v>
      </c>
      <c r="H306" t="s">
        <v>74</v>
      </c>
      <c r="I306" t="s">
        <v>4682</v>
      </c>
      <c r="J306" t="s">
        <v>983</v>
      </c>
      <c r="K306" t="s">
        <v>74</v>
      </c>
      <c r="L306" t="s">
        <v>74</v>
      </c>
      <c r="M306" t="s">
        <v>78</v>
      </c>
      <c r="N306" t="s">
        <v>79</v>
      </c>
      <c r="O306" t="s">
        <v>74</v>
      </c>
      <c r="P306" t="s">
        <v>74</v>
      </c>
      <c r="Q306" t="s">
        <v>74</v>
      </c>
      <c r="R306" t="s">
        <v>74</v>
      </c>
      <c r="S306" t="s">
        <v>74</v>
      </c>
      <c r="T306" t="s">
        <v>4683</v>
      </c>
      <c r="U306" t="s">
        <v>4684</v>
      </c>
      <c r="V306" t="s">
        <v>4685</v>
      </c>
      <c r="W306" t="s">
        <v>4686</v>
      </c>
      <c r="X306" t="s">
        <v>4687</v>
      </c>
      <c r="Y306" t="s">
        <v>4688</v>
      </c>
      <c r="Z306" t="s">
        <v>2236</v>
      </c>
      <c r="AA306" t="s">
        <v>780</v>
      </c>
      <c r="AB306" t="s">
        <v>4689</v>
      </c>
      <c r="AC306" t="s">
        <v>74</v>
      </c>
      <c r="AD306" t="s">
        <v>74</v>
      </c>
      <c r="AE306" t="s">
        <v>74</v>
      </c>
      <c r="AF306" t="s">
        <v>74</v>
      </c>
      <c r="AG306">
        <v>38</v>
      </c>
      <c r="AH306">
        <v>1</v>
      </c>
      <c r="AI306">
        <v>1</v>
      </c>
      <c r="AJ306">
        <v>0</v>
      </c>
      <c r="AK306">
        <v>0</v>
      </c>
      <c r="AL306" t="s">
        <v>991</v>
      </c>
      <c r="AM306" t="s">
        <v>486</v>
      </c>
      <c r="AN306" t="s">
        <v>992</v>
      </c>
      <c r="AO306" t="s">
        <v>993</v>
      </c>
      <c r="AP306" t="s">
        <v>994</v>
      </c>
      <c r="AQ306" t="s">
        <v>74</v>
      </c>
      <c r="AR306" t="s">
        <v>995</v>
      </c>
      <c r="AS306" t="s">
        <v>996</v>
      </c>
      <c r="AT306" t="s">
        <v>785</v>
      </c>
      <c r="AU306">
        <v>2021</v>
      </c>
      <c r="AV306">
        <v>40</v>
      </c>
      <c r="AW306">
        <v>7</v>
      </c>
      <c r="AX306" t="s">
        <v>74</v>
      </c>
      <c r="AY306" t="s">
        <v>74</v>
      </c>
      <c r="AZ306" t="s">
        <v>74</v>
      </c>
      <c r="BA306" t="s">
        <v>74</v>
      </c>
      <c r="BB306">
        <v>652</v>
      </c>
      <c r="BC306">
        <v>661</v>
      </c>
      <c r="BD306" t="s">
        <v>74</v>
      </c>
      <c r="BE306" t="s">
        <v>4690</v>
      </c>
      <c r="BF306" t="str">
        <f>HYPERLINK("http://dx.doi.org/10.1016/j.healun.2021.03.013","http://dx.doi.org/10.1016/j.healun.2021.03.013")</f>
        <v>http://dx.doi.org/10.1016/j.healun.2021.03.013</v>
      </c>
      <c r="BG306" t="s">
        <v>74</v>
      </c>
      <c r="BH306" t="s">
        <v>4677</v>
      </c>
      <c r="BI306">
        <v>10</v>
      </c>
      <c r="BJ306" t="s">
        <v>1000</v>
      </c>
      <c r="BK306" t="s">
        <v>101</v>
      </c>
      <c r="BL306" t="s">
        <v>1001</v>
      </c>
      <c r="BM306" t="s">
        <v>4691</v>
      </c>
      <c r="BN306">
        <v>33849770</v>
      </c>
      <c r="BO306" t="s">
        <v>103</v>
      </c>
      <c r="BP306" t="s">
        <v>74</v>
      </c>
      <c r="BQ306" t="s">
        <v>74</v>
      </c>
      <c r="BR306" t="s">
        <v>104</v>
      </c>
      <c r="BS306" t="s">
        <v>4692</v>
      </c>
      <c r="BT306" t="str">
        <f>HYPERLINK("https%3A%2F%2Fwww.webofscience.com%2Fwos%2Fwoscc%2Ffull-record%2FWOS:000665026100016","View Full Record in Web of Science")</f>
        <v>View Full Record in Web of Science</v>
      </c>
    </row>
    <row r="307" spans="1:72" x14ac:dyDescent="0.25">
      <c r="A307" t="s">
        <v>72</v>
      </c>
      <c r="B307" t="s">
        <v>4693</v>
      </c>
      <c r="C307" t="s">
        <v>74</v>
      </c>
      <c r="D307" t="s">
        <v>74</v>
      </c>
      <c r="E307" t="s">
        <v>74</v>
      </c>
      <c r="F307" t="s">
        <v>4694</v>
      </c>
      <c r="G307" t="s">
        <v>74</v>
      </c>
      <c r="H307" t="s">
        <v>74</v>
      </c>
      <c r="I307" t="s">
        <v>4695</v>
      </c>
      <c r="J307" t="s">
        <v>349</v>
      </c>
      <c r="K307" t="s">
        <v>74</v>
      </c>
      <c r="L307" t="s">
        <v>74</v>
      </c>
      <c r="M307" t="s">
        <v>78</v>
      </c>
      <c r="N307" t="s">
        <v>140</v>
      </c>
      <c r="O307" t="s">
        <v>74</v>
      </c>
      <c r="P307" t="s">
        <v>74</v>
      </c>
      <c r="Q307" t="s">
        <v>74</v>
      </c>
      <c r="R307" t="s">
        <v>74</v>
      </c>
      <c r="S307" t="s">
        <v>74</v>
      </c>
      <c r="T307" t="s">
        <v>74</v>
      </c>
      <c r="U307" t="s">
        <v>4696</v>
      </c>
      <c r="V307" t="s">
        <v>74</v>
      </c>
      <c r="W307" t="s">
        <v>4697</v>
      </c>
      <c r="X307" t="s">
        <v>4698</v>
      </c>
      <c r="Y307" t="s">
        <v>4699</v>
      </c>
      <c r="Z307" t="s">
        <v>4700</v>
      </c>
      <c r="AA307" t="s">
        <v>4701</v>
      </c>
      <c r="AB307" t="s">
        <v>4702</v>
      </c>
      <c r="AC307" t="s">
        <v>859</v>
      </c>
      <c r="AD307" t="s">
        <v>860</v>
      </c>
      <c r="AE307" t="s">
        <v>4703</v>
      </c>
      <c r="AF307" t="s">
        <v>74</v>
      </c>
      <c r="AG307">
        <v>17</v>
      </c>
      <c r="AH307">
        <v>2</v>
      </c>
      <c r="AI307">
        <v>2</v>
      </c>
      <c r="AJ307">
        <v>0</v>
      </c>
      <c r="AK307">
        <v>1</v>
      </c>
      <c r="AL307" t="s">
        <v>92</v>
      </c>
      <c r="AM307" t="s">
        <v>361</v>
      </c>
      <c r="AN307" t="s">
        <v>362</v>
      </c>
      <c r="AO307" t="s">
        <v>74</v>
      </c>
      <c r="AP307" t="s">
        <v>363</v>
      </c>
      <c r="AQ307" t="s">
        <v>74</v>
      </c>
      <c r="AR307" t="s">
        <v>364</v>
      </c>
      <c r="AS307" t="s">
        <v>365</v>
      </c>
      <c r="AT307" t="s">
        <v>315</v>
      </c>
      <c r="AU307">
        <v>2021</v>
      </c>
      <c r="AV307">
        <v>80</v>
      </c>
      <c r="AW307" t="s">
        <v>74</v>
      </c>
      <c r="AX307" t="s">
        <v>74</v>
      </c>
      <c r="AY307" t="s">
        <v>74</v>
      </c>
      <c r="AZ307" t="s">
        <v>74</v>
      </c>
      <c r="BA307" t="s">
        <v>74</v>
      </c>
      <c r="BB307" t="s">
        <v>74</v>
      </c>
      <c r="BC307" t="s">
        <v>74</v>
      </c>
      <c r="BD307">
        <v>100813</v>
      </c>
      <c r="BE307" t="s">
        <v>4704</v>
      </c>
      <c r="BF307" t="str">
        <f>HYPERLINK("http://dx.doi.org/10.1016/j.resmer.2021.100813","http://dx.doi.org/10.1016/j.resmer.2021.100813")</f>
        <v>http://dx.doi.org/10.1016/j.resmer.2021.100813</v>
      </c>
      <c r="BG307" t="s">
        <v>74</v>
      </c>
      <c r="BH307" t="s">
        <v>4677</v>
      </c>
      <c r="BI307">
        <v>3</v>
      </c>
      <c r="BJ307" t="s">
        <v>228</v>
      </c>
      <c r="BK307" t="s">
        <v>101</v>
      </c>
      <c r="BL307" t="s">
        <v>228</v>
      </c>
      <c r="BM307" t="s">
        <v>4678</v>
      </c>
      <c r="BN307">
        <v>34171552</v>
      </c>
      <c r="BO307" t="s">
        <v>74</v>
      </c>
      <c r="BP307" t="s">
        <v>74</v>
      </c>
      <c r="BQ307" t="s">
        <v>74</v>
      </c>
      <c r="BR307" t="s">
        <v>104</v>
      </c>
      <c r="BS307" t="s">
        <v>4705</v>
      </c>
      <c r="BT307" t="str">
        <f>HYPERLINK("https%3A%2F%2Fwww.webofscience.com%2Fwos%2Fwoscc%2Ffull-record%2FWOS:000702946700005","View Full Record in Web of Science")</f>
        <v>View Full Record in Web of Science</v>
      </c>
    </row>
    <row r="308" spans="1:72" x14ac:dyDescent="0.25">
      <c r="A308" t="s">
        <v>72</v>
      </c>
      <c r="B308" t="s">
        <v>4706</v>
      </c>
      <c r="C308" t="s">
        <v>74</v>
      </c>
      <c r="D308" t="s">
        <v>74</v>
      </c>
      <c r="E308" t="s">
        <v>74</v>
      </c>
      <c r="F308" t="s">
        <v>4707</v>
      </c>
      <c r="G308" t="s">
        <v>74</v>
      </c>
      <c r="H308" t="s">
        <v>74</v>
      </c>
      <c r="I308" t="s">
        <v>4708</v>
      </c>
      <c r="J308" t="s">
        <v>349</v>
      </c>
      <c r="K308" t="s">
        <v>74</v>
      </c>
      <c r="L308" t="s">
        <v>74</v>
      </c>
      <c r="M308" t="s">
        <v>78</v>
      </c>
      <c r="N308" t="s">
        <v>460</v>
      </c>
      <c r="O308" t="s">
        <v>74</v>
      </c>
      <c r="P308" t="s">
        <v>74</v>
      </c>
      <c r="Q308" t="s">
        <v>74</v>
      </c>
      <c r="R308" t="s">
        <v>74</v>
      </c>
      <c r="S308" t="s">
        <v>74</v>
      </c>
      <c r="T308" t="s">
        <v>74</v>
      </c>
      <c r="U308" t="s">
        <v>4709</v>
      </c>
      <c r="V308" t="s">
        <v>74</v>
      </c>
      <c r="W308" t="s">
        <v>4710</v>
      </c>
      <c r="X308" t="s">
        <v>4711</v>
      </c>
      <c r="Y308" t="s">
        <v>4712</v>
      </c>
      <c r="Z308" t="s">
        <v>4713</v>
      </c>
      <c r="AA308" t="s">
        <v>4714</v>
      </c>
      <c r="AB308" t="s">
        <v>257</v>
      </c>
      <c r="AC308" t="s">
        <v>74</v>
      </c>
      <c r="AD308" t="s">
        <v>74</v>
      </c>
      <c r="AE308" t="s">
        <v>74</v>
      </c>
      <c r="AF308" t="s">
        <v>74</v>
      </c>
      <c r="AG308">
        <v>16</v>
      </c>
      <c r="AH308">
        <v>1</v>
      </c>
      <c r="AI308">
        <v>1</v>
      </c>
      <c r="AJ308">
        <v>0</v>
      </c>
      <c r="AK308">
        <v>3</v>
      </c>
      <c r="AL308" t="s">
        <v>92</v>
      </c>
      <c r="AM308" t="s">
        <v>361</v>
      </c>
      <c r="AN308" t="s">
        <v>362</v>
      </c>
      <c r="AO308" t="s">
        <v>74</v>
      </c>
      <c r="AP308" t="s">
        <v>363</v>
      </c>
      <c r="AQ308" t="s">
        <v>74</v>
      </c>
      <c r="AR308" t="s">
        <v>364</v>
      </c>
      <c r="AS308" t="s">
        <v>365</v>
      </c>
      <c r="AT308" t="s">
        <v>315</v>
      </c>
      <c r="AU308">
        <v>2021</v>
      </c>
      <c r="AV308">
        <v>80</v>
      </c>
      <c r="AW308" t="s">
        <v>74</v>
      </c>
      <c r="AX308" t="s">
        <v>74</v>
      </c>
      <c r="AY308" t="s">
        <v>74</v>
      </c>
      <c r="AZ308" t="s">
        <v>74</v>
      </c>
      <c r="BA308" t="s">
        <v>74</v>
      </c>
      <c r="BB308" t="s">
        <v>74</v>
      </c>
      <c r="BC308" t="s">
        <v>74</v>
      </c>
      <c r="BD308">
        <v>100831</v>
      </c>
      <c r="BE308" t="s">
        <v>4715</v>
      </c>
      <c r="BF308" t="str">
        <f>HYPERLINK("http://dx.doi.org/10.1016/j.resmer.2021.100831","http://dx.doi.org/10.1016/j.resmer.2021.100831")</f>
        <v>http://dx.doi.org/10.1016/j.resmer.2021.100831</v>
      </c>
      <c r="BG308" t="s">
        <v>74</v>
      </c>
      <c r="BH308" t="s">
        <v>4677</v>
      </c>
      <c r="BI308">
        <v>2</v>
      </c>
      <c r="BJ308" t="s">
        <v>228</v>
      </c>
      <c r="BK308" t="s">
        <v>101</v>
      </c>
      <c r="BL308" t="s">
        <v>228</v>
      </c>
      <c r="BM308" t="s">
        <v>4678</v>
      </c>
      <c r="BN308">
        <v>34146893</v>
      </c>
      <c r="BO308" t="s">
        <v>612</v>
      </c>
      <c r="BP308" t="s">
        <v>74</v>
      </c>
      <c r="BQ308" t="s">
        <v>74</v>
      </c>
      <c r="BR308" t="s">
        <v>104</v>
      </c>
      <c r="BS308" t="s">
        <v>4716</v>
      </c>
      <c r="BT308" t="str">
        <f>HYPERLINK("https%3A%2F%2Fwww.webofscience.com%2Fwos%2Fwoscc%2Ffull-record%2FWOS:000702946700009","View Full Record in Web of Science")</f>
        <v>View Full Record in Web of Science</v>
      </c>
    </row>
    <row r="309" spans="1:72" x14ac:dyDescent="0.25">
      <c r="A309" t="s">
        <v>72</v>
      </c>
      <c r="B309" t="s">
        <v>4717</v>
      </c>
      <c r="C309" t="s">
        <v>74</v>
      </c>
      <c r="D309" t="s">
        <v>74</v>
      </c>
      <c r="E309" t="s">
        <v>74</v>
      </c>
      <c r="F309" t="s">
        <v>4718</v>
      </c>
      <c r="G309" t="s">
        <v>74</v>
      </c>
      <c r="H309" t="s">
        <v>74</v>
      </c>
      <c r="I309" t="s">
        <v>4719</v>
      </c>
      <c r="J309" t="s">
        <v>4720</v>
      </c>
      <c r="K309" t="s">
        <v>74</v>
      </c>
      <c r="L309" t="s">
        <v>74</v>
      </c>
      <c r="M309" t="s">
        <v>78</v>
      </c>
      <c r="N309" t="s">
        <v>79</v>
      </c>
      <c r="O309" t="s">
        <v>74</v>
      </c>
      <c r="P309" t="s">
        <v>74</v>
      </c>
      <c r="Q309" t="s">
        <v>74</v>
      </c>
      <c r="R309" t="s">
        <v>74</v>
      </c>
      <c r="S309" t="s">
        <v>74</v>
      </c>
      <c r="T309" t="s">
        <v>4721</v>
      </c>
      <c r="U309" t="s">
        <v>4722</v>
      </c>
      <c r="V309" t="s">
        <v>4723</v>
      </c>
      <c r="W309" t="s">
        <v>4724</v>
      </c>
      <c r="X309" t="s">
        <v>4725</v>
      </c>
      <c r="Y309" t="s">
        <v>4726</v>
      </c>
      <c r="Z309" t="s">
        <v>331</v>
      </c>
      <c r="AA309" t="s">
        <v>4727</v>
      </c>
      <c r="AB309" t="s">
        <v>4728</v>
      </c>
      <c r="AC309" t="s">
        <v>74</v>
      </c>
      <c r="AD309" t="s">
        <v>74</v>
      </c>
      <c r="AE309" t="s">
        <v>74</v>
      </c>
      <c r="AF309" t="s">
        <v>74</v>
      </c>
      <c r="AG309">
        <v>34</v>
      </c>
      <c r="AH309">
        <v>5</v>
      </c>
      <c r="AI309">
        <v>5</v>
      </c>
      <c r="AJ309">
        <v>0</v>
      </c>
      <c r="AK309">
        <v>0</v>
      </c>
      <c r="AL309" t="s">
        <v>4729</v>
      </c>
      <c r="AM309" t="s">
        <v>486</v>
      </c>
      <c r="AN309" t="s">
        <v>4730</v>
      </c>
      <c r="AO309" t="s">
        <v>4731</v>
      </c>
      <c r="AP309" t="s">
        <v>4732</v>
      </c>
      <c r="AQ309" t="s">
        <v>74</v>
      </c>
      <c r="AR309" t="s">
        <v>4733</v>
      </c>
      <c r="AS309" t="s">
        <v>4734</v>
      </c>
      <c r="AT309" t="s">
        <v>420</v>
      </c>
      <c r="AU309">
        <v>2021</v>
      </c>
      <c r="AV309">
        <v>41</v>
      </c>
      <c r="AW309">
        <v>7</v>
      </c>
      <c r="AX309" t="s">
        <v>74</v>
      </c>
      <c r="AY309" t="s">
        <v>74</v>
      </c>
      <c r="AZ309" t="s">
        <v>74</v>
      </c>
      <c r="BA309" t="s">
        <v>74</v>
      </c>
      <c r="BB309">
        <v>1549</v>
      </c>
      <c r="BC309">
        <v>1562</v>
      </c>
      <c r="BD309" t="s">
        <v>74</v>
      </c>
      <c r="BE309" t="s">
        <v>4735</v>
      </c>
      <c r="BF309" t="str">
        <f>HYPERLINK("http://dx.doi.org/10.1007/s10875-021-01064-w","http://dx.doi.org/10.1007/s10875-021-01064-w")</f>
        <v>http://dx.doi.org/10.1007/s10875-021-01064-w</v>
      </c>
      <c r="BG309" t="s">
        <v>74</v>
      </c>
      <c r="BH309" t="s">
        <v>4677</v>
      </c>
      <c r="BI309">
        <v>14</v>
      </c>
      <c r="BJ309" t="s">
        <v>159</v>
      </c>
      <c r="BK309" t="s">
        <v>101</v>
      </c>
      <c r="BL309" t="s">
        <v>159</v>
      </c>
      <c r="BM309" t="s">
        <v>4736</v>
      </c>
      <c r="BN309">
        <v>34110542</v>
      </c>
      <c r="BO309" t="s">
        <v>74</v>
      </c>
      <c r="BP309" t="s">
        <v>74</v>
      </c>
      <c r="BQ309" t="s">
        <v>74</v>
      </c>
      <c r="BR309" t="s">
        <v>104</v>
      </c>
      <c r="BS309" t="s">
        <v>4737</v>
      </c>
      <c r="BT309" t="str">
        <f>HYPERLINK("https%3A%2F%2Fwww.webofscience.com%2Fwos%2Fwoscc%2Ffull-record%2FWOS:000659780700001","View Full Record in Web of Science")</f>
        <v>View Full Record in Web of Science</v>
      </c>
    </row>
    <row r="310" spans="1:72" x14ac:dyDescent="0.25">
      <c r="A310" t="s">
        <v>72</v>
      </c>
      <c r="B310" t="s">
        <v>4738</v>
      </c>
      <c r="C310" t="s">
        <v>74</v>
      </c>
      <c r="D310" t="s">
        <v>74</v>
      </c>
      <c r="E310" t="s">
        <v>74</v>
      </c>
      <c r="F310" t="s">
        <v>4739</v>
      </c>
      <c r="G310" t="s">
        <v>74</v>
      </c>
      <c r="H310" t="s">
        <v>74</v>
      </c>
      <c r="I310" t="s">
        <v>4740</v>
      </c>
      <c r="J310" t="s">
        <v>1348</v>
      </c>
      <c r="K310" t="s">
        <v>74</v>
      </c>
      <c r="L310" t="s">
        <v>74</v>
      </c>
      <c r="M310" t="s">
        <v>1349</v>
      </c>
      <c r="N310" t="s">
        <v>79</v>
      </c>
      <c r="O310" t="s">
        <v>74</v>
      </c>
      <c r="P310" t="s">
        <v>74</v>
      </c>
      <c r="Q310" t="s">
        <v>74</v>
      </c>
      <c r="R310" t="s">
        <v>74</v>
      </c>
      <c r="S310" t="s">
        <v>74</v>
      </c>
      <c r="T310" t="s">
        <v>4741</v>
      </c>
      <c r="U310" t="s">
        <v>4742</v>
      </c>
      <c r="V310" t="s">
        <v>4743</v>
      </c>
      <c r="W310" t="s">
        <v>4744</v>
      </c>
      <c r="X310" t="s">
        <v>4745</v>
      </c>
      <c r="Y310" t="s">
        <v>4746</v>
      </c>
      <c r="Z310" t="s">
        <v>4747</v>
      </c>
      <c r="AA310" t="s">
        <v>144</v>
      </c>
      <c r="AB310" t="s">
        <v>74</v>
      </c>
      <c r="AC310" t="s">
        <v>74</v>
      </c>
      <c r="AD310" t="s">
        <v>74</v>
      </c>
      <c r="AE310" t="s">
        <v>74</v>
      </c>
      <c r="AF310" t="s">
        <v>74</v>
      </c>
      <c r="AG310">
        <v>76</v>
      </c>
      <c r="AH310">
        <v>1</v>
      </c>
      <c r="AI310">
        <v>1</v>
      </c>
      <c r="AJ310">
        <v>0</v>
      </c>
      <c r="AK310">
        <v>5</v>
      </c>
      <c r="AL310" t="s">
        <v>1358</v>
      </c>
      <c r="AM310" t="s">
        <v>1359</v>
      </c>
      <c r="AN310" t="s">
        <v>1360</v>
      </c>
      <c r="AO310" t="s">
        <v>1361</v>
      </c>
      <c r="AP310" t="s">
        <v>1362</v>
      </c>
      <c r="AQ310" t="s">
        <v>74</v>
      </c>
      <c r="AR310" t="s">
        <v>1363</v>
      </c>
      <c r="AS310" t="s">
        <v>1364</v>
      </c>
      <c r="AT310" t="s">
        <v>1060</v>
      </c>
      <c r="AU310">
        <v>2021</v>
      </c>
      <c r="AV310">
        <v>38</v>
      </c>
      <c r="AW310">
        <v>6</v>
      </c>
      <c r="AX310" t="s">
        <v>74</v>
      </c>
      <c r="AY310" t="s">
        <v>74</v>
      </c>
      <c r="AZ310" t="s">
        <v>74</v>
      </c>
      <c r="BA310" t="s">
        <v>74</v>
      </c>
      <c r="BB310">
        <v>638</v>
      </c>
      <c r="BC310">
        <v>645</v>
      </c>
      <c r="BD310" t="s">
        <v>74</v>
      </c>
      <c r="BE310" t="s">
        <v>4748</v>
      </c>
      <c r="BF310" t="str">
        <f>HYPERLINK("http://dx.doi.org/10.1016/j.rmr.2021.04.008","http://dx.doi.org/10.1016/j.rmr.2021.04.008")</f>
        <v>http://dx.doi.org/10.1016/j.rmr.2021.04.008</v>
      </c>
      <c r="BG310" t="s">
        <v>74</v>
      </c>
      <c r="BH310" t="s">
        <v>4677</v>
      </c>
      <c r="BI310">
        <v>8</v>
      </c>
      <c r="BJ310" t="s">
        <v>228</v>
      </c>
      <c r="BK310" t="s">
        <v>101</v>
      </c>
      <c r="BL310" t="s">
        <v>228</v>
      </c>
      <c r="BM310" t="s">
        <v>4749</v>
      </c>
      <c r="BN310">
        <v>34024646</v>
      </c>
      <c r="BO310" t="s">
        <v>1194</v>
      </c>
      <c r="BP310" t="s">
        <v>74</v>
      </c>
      <c r="BQ310" t="s">
        <v>74</v>
      </c>
      <c r="BR310" t="s">
        <v>104</v>
      </c>
      <c r="BS310" t="s">
        <v>4750</v>
      </c>
      <c r="BT310" t="str">
        <f>HYPERLINK("https%3A%2F%2Fwww.webofscience.com%2Fwos%2Fwoscc%2Ffull-record%2FWOS:000661011300008","View Full Record in Web of Science")</f>
        <v>View Full Record in Web of Science</v>
      </c>
    </row>
    <row r="311" spans="1:72" x14ac:dyDescent="0.25">
      <c r="A311" t="s">
        <v>72</v>
      </c>
      <c r="B311" t="s">
        <v>4347</v>
      </c>
      <c r="C311" t="s">
        <v>74</v>
      </c>
      <c r="D311" t="s">
        <v>74</v>
      </c>
      <c r="E311" t="s">
        <v>74</v>
      </c>
      <c r="F311" t="s">
        <v>4348</v>
      </c>
      <c r="G311" t="s">
        <v>74</v>
      </c>
      <c r="H311" t="s">
        <v>74</v>
      </c>
      <c r="I311" t="s">
        <v>4751</v>
      </c>
      <c r="J311" t="s">
        <v>4350</v>
      </c>
      <c r="K311" t="s">
        <v>74</v>
      </c>
      <c r="L311" t="s">
        <v>74</v>
      </c>
      <c r="M311" t="s">
        <v>78</v>
      </c>
      <c r="N311" t="s">
        <v>299</v>
      </c>
      <c r="O311" t="s">
        <v>74</v>
      </c>
      <c r="P311" t="s">
        <v>74</v>
      </c>
      <c r="Q311" t="s">
        <v>74</v>
      </c>
      <c r="R311" t="s">
        <v>74</v>
      </c>
      <c r="S311" t="s">
        <v>74</v>
      </c>
      <c r="T311" t="s">
        <v>4752</v>
      </c>
      <c r="U311" t="s">
        <v>4753</v>
      </c>
      <c r="V311" t="s">
        <v>4754</v>
      </c>
      <c r="W311" t="s">
        <v>4755</v>
      </c>
      <c r="X311" t="s">
        <v>4756</v>
      </c>
      <c r="Y311" t="s">
        <v>4757</v>
      </c>
      <c r="Z311" t="s">
        <v>4758</v>
      </c>
      <c r="AA311" t="s">
        <v>4355</v>
      </c>
      <c r="AB311" t="s">
        <v>4759</v>
      </c>
      <c r="AC311" t="s">
        <v>74</v>
      </c>
      <c r="AD311" t="s">
        <v>74</v>
      </c>
      <c r="AE311" t="s">
        <v>74</v>
      </c>
      <c r="AF311" t="s">
        <v>74</v>
      </c>
      <c r="AG311">
        <v>90</v>
      </c>
      <c r="AH311">
        <v>19</v>
      </c>
      <c r="AI311">
        <v>19</v>
      </c>
      <c r="AJ311">
        <v>2</v>
      </c>
      <c r="AK311">
        <v>6</v>
      </c>
      <c r="AL311" t="s">
        <v>1781</v>
      </c>
      <c r="AM311" t="s">
        <v>486</v>
      </c>
      <c r="AN311" t="s">
        <v>4357</v>
      </c>
      <c r="AO311" t="s">
        <v>4358</v>
      </c>
      <c r="AP311" t="s">
        <v>4359</v>
      </c>
      <c r="AQ311" t="s">
        <v>74</v>
      </c>
      <c r="AR311" t="s">
        <v>4360</v>
      </c>
      <c r="AS311" t="s">
        <v>4361</v>
      </c>
      <c r="AT311" t="s">
        <v>725</v>
      </c>
      <c r="AU311">
        <v>2021</v>
      </c>
      <c r="AV311">
        <v>180</v>
      </c>
      <c r="AW311">
        <v>8</v>
      </c>
      <c r="AX311" t="s">
        <v>74</v>
      </c>
      <c r="AY311" t="s">
        <v>74</v>
      </c>
      <c r="AZ311" t="s">
        <v>74</v>
      </c>
      <c r="BA311" t="s">
        <v>74</v>
      </c>
      <c r="BB311">
        <v>2379</v>
      </c>
      <c r="BC311">
        <v>2387</v>
      </c>
      <c r="BD311" t="s">
        <v>74</v>
      </c>
      <c r="BE311" t="s">
        <v>4760</v>
      </c>
      <c r="BF311" t="str">
        <f>HYPERLINK("http://dx.doi.org/10.1007/s00431-021-04138-4","http://dx.doi.org/10.1007/s00431-021-04138-4")</f>
        <v>http://dx.doi.org/10.1007/s00431-021-04138-4</v>
      </c>
      <c r="BG311" t="s">
        <v>74</v>
      </c>
      <c r="BH311" t="s">
        <v>4677</v>
      </c>
      <c r="BI311">
        <v>9</v>
      </c>
      <c r="BJ311" t="s">
        <v>4364</v>
      </c>
      <c r="BK311" t="s">
        <v>101</v>
      </c>
      <c r="BL311" t="s">
        <v>4364</v>
      </c>
      <c r="BM311" t="s">
        <v>4761</v>
      </c>
      <c r="BN311">
        <v>34091748</v>
      </c>
      <c r="BO311" t="s">
        <v>3737</v>
      </c>
      <c r="BP311" t="s">
        <v>74</v>
      </c>
      <c r="BQ311" t="s">
        <v>74</v>
      </c>
      <c r="BR311" t="s">
        <v>104</v>
      </c>
      <c r="BS311" t="s">
        <v>4762</v>
      </c>
      <c r="BT311" t="str">
        <f>HYPERLINK("https%3A%2F%2Fwww.webofscience.com%2Fwos%2Fwoscc%2Ffull-record%2FWOS:000658244800002","View Full Record in Web of Science")</f>
        <v>View Full Record in Web of Science</v>
      </c>
    </row>
    <row r="312" spans="1:72" x14ac:dyDescent="0.25">
      <c r="A312" t="s">
        <v>72</v>
      </c>
      <c r="B312" t="s">
        <v>4763</v>
      </c>
      <c r="C312" t="s">
        <v>74</v>
      </c>
      <c r="D312" t="s">
        <v>74</v>
      </c>
      <c r="E312" t="s">
        <v>74</v>
      </c>
      <c r="F312" t="s">
        <v>4764</v>
      </c>
      <c r="G312" t="s">
        <v>74</v>
      </c>
      <c r="H312" t="s">
        <v>74</v>
      </c>
      <c r="I312" t="s">
        <v>4765</v>
      </c>
      <c r="J312" t="s">
        <v>216</v>
      </c>
      <c r="K312" t="s">
        <v>74</v>
      </c>
      <c r="L312" t="s">
        <v>74</v>
      </c>
      <c r="M312" t="s">
        <v>78</v>
      </c>
      <c r="N312" t="s">
        <v>79</v>
      </c>
      <c r="O312" t="s">
        <v>74</v>
      </c>
      <c r="P312" t="s">
        <v>74</v>
      </c>
      <c r="Q312" t="s">
        <v>74</v>
      </c>
      <c r="R312" t="s">
        <v>74</v>
      </c>
      <c r="S312" t="s">
        <v>74</v>
      </c>
      <c r="T312" t="s">
        <v>74</v>
      </c>
      <c r="U312" t="s">
        <v>4766</v>
      </c>
      <c r="V312" t="s">
        <v>4767</v>
      </c>
      <c r="W312" t="s">
        <v>4768</v>
      </c>
      <c r="X312" t="s">
        <v>4769</v>
      </c>
      <c r="Y312" t="s">
        <v>4770</v>
      </c>
      <c r="Z312" t="s">
        <v>4771</v>
      </c>
      <c r="AA312" t="s">
        <v>4772</v>
      </c>
      <c r="AB312" t="s">
        <v>4773</v>
      </c>
      <c r="AC312" t="s">
        <v>4774</v>
      </c>
      <c r="AD312" t="s">
        <v>4775</v>
      </c>
      <c r="AE312" t="s">
        <v>4776</v>
      </c>
      <c r="AF312" t="s">
        <v>74</v>
      </c>
      <c r="AG312">
        <v>211</v>
      </c>
      <c r="AH312">
        <v>330</v>
      </c>
      <c r="AI312">
        <v>355</v>
      </c>
      <c r="AJ312">
        <v>3</v>
      </c>
      <c r="AK312">
        <v>46</v>
      </c>
      <c r="AL312" t="s">
        <v>219</v>
      </c>
      <c r="AM312" t="s">
        <v>220</v>
      </c>
      <c r="AN312" t="s">
        <v>221</v>
      </c>
      <c r="AO312" t="s">
        <v>222</v>
      </c>
      <c r="AP312" t="s">
        <v>223</v>
      </c>
      <c r="AQ312" t="s">
        <v>74</v>
      </c>
      <c r="AR312" t="s">
        <v>224</v>
      </c>
      <c r="AS312" t="s">
        <v>225</v>
      </c>
      <c r="AT312" t="s">
        <v>933</v>
      </c>
      <c r="AU312">
        <v>2021</v>
      </c>
      <c r="AV312">
        <v>57</v>
      </c>
      <c r="AW312">
        <v>6</v>
      </c>
      <c r="AX312" t="s">
        <v>74</v>
      </c>
      <c r="AY312" t="s">
        <v>74</v>
      </c>
      <c r="AZ312" t="s">
        <v>74</v>
      </c>
      <c r="BA312" t="s">
        <v>74</v>
      </c>
      <c r="BB312" t="s">
        <v>74</v>
      </c>
      <c r="BC312" t="s">
        <v>74</v>
      </c>
      <c r="BD312">
        <v>2002828</v>
      </c>
      <c r="BE312" t="s">
        <v>4777</v>
      </c>
      <c r="BF312" t="str">
        <f>HYPERLINK("http://dx.doi.org/10.1183/13993003.02828-2020","http://dx.doi.org/10.1183/13993003.02828-2020")</f>
        <v>http://dx.doi.org/10.1183/13993003.02828-2020</v>
      </c>
      <c r="BG312" t="s">
        <v>74</v>
      </c>
      <c r="BH312" t="s">
        <v>74</v>
      </c>
      <c r="BI312">
        <v>37</v>
      </c>
      <c r="BJ312" t="s">
        <v>228</v>
      </c>
      <c r="BK312" t="s">
        <v>101</v>
      </c>
      <c r="BL312" t="s">
        <v>228</v>
      </c>
      <c r="BM312" t="s">
        <v>4778</v>
      </c>
      <c r="BN312">
        <v>33334946</v>
      </c>
      <c r="BO312" t="s">
        <v>4779</v>
      </c>
      <c r="BP312" t="s">
        <v>1155</v>
      </c>
      <c r="BQ312" t="s">
        <v>1156</v>
      </c>
      <c r="BR312" t="s">
        <v>104</v>
      </c>
      <c r="BS312" t="s">
        <v>4780</v>
      </c>
      <c r="BT312" t="str">
        <f>HYPERLINK("https%3A%2F%2Fwww.webofscience.com%2Fwos%2Fwoscc%2Ffull-record%2FWOS:000670910500004","View Full Record in Web of Science")</f>
        <v>View Full Record in Web of Science</v>
      </c>
    </row>
    <row r="313" spans="1:72" x14ac:dyDescent="0.25">
      <c r="A313" t="s">
        <v>72</v>
      </c>
      <c r="B313" t="s">
        <v>4781</v>
      </c>
      <c r="C313" t="s">
        <v>74</v>
      </c>
      <c r="D313" t="s">
        <v>74</v>
      </c>
      <c r="E313" t="s">
        <v>74</v>
      </c>
      <c r="F313" t="s">
        <v>4782</v>
      </c>
      <c r="G313" t="s">
        <v>74</v>
      </c>
      <c r="H313" t="s">
        <v>74</v>
      </c>
      <c r="I313" t="s">
        <v>4783</v>
      </c>
      <c r="J313" t="s">
        <v>2375</v>
      </c>
      <c r="K313" t="s">
        <v>74</v>
      </c>
      <c r="L313" t="s">
        <v>74</v>
      </c>
      <c r="M313" t="s">
        <v>78</v>
      </c>
      <c r="N313" t="s">
        <v>79</v>
      </c>
      <c r="O313" t="s">
        <v>74</v>
      </c>
      <c r="P313" t="s">
        <v>74</v>
      </c>
      <c r="Q313" t="s">
        <v>74</v>
      </c>
      <c r="R313" t="s">
        <v>74</v>
      </c>
      <c r="S313" t="s">
        <v>74</v>
      </c>
      <c r="T313" t="s">
        <v>4784</v>
      </c>
      <c r="U313" t="s">
        <v>4785</v>
      </c>
      <c r="V313" t="s">
        <v>4786</v>
      </c>
      <c r="W313" t="s">
        <v>4787</v>
      </c>
      <c r="X313" t="s">
        <v>4788</v>
      </c>
      <c r="Y313" t="s">
        <v>4789</v>
      </c>
      <c r="Z313" t="s">
        <v>4790</v>
      </c>
      <c r="AA313" t="s">
        <v>4791</v>
      </c>
      <c r="AB313" t="s">
        <v>4792</v>
      </c>
      <c r="AC313" t="s">
        <v>4793</v>
      </c>
      <c r="AD313" t="s">
        <v>4794</v>
      </c>
      <c r="AE313" t="s">
        <v>4795</v>
      </c>
      <c r="AF313" t="s">
        <v>74</v>
      </c>
      <c r="AG313">
        <v>67</v>
      </c>
      <c r="AH313">
        <v>13</v>
      </c>
      <c r="AI313">
        <v>13</v>
      </c>
      <c r="AJ313">
        <v>1</v>
      </c>
      <c r="AK313">
        <v>8</v>
      </c>
      <c r="AL313" t="s">
        <v>1113</v>
      </c>
      <c r="AM313" t="s">
        <v>1114</v>
      </c>
      <c r="AN313" t="s">
        <v>1115</v>
      </c>
      <c r="AO313" t="s">
        <v>74</v>
      </c>
      <c r="AP313" t="s">
        <v>2388</v>
      </c>
      <c r="AQ313" t="s">
        <v>74</v>
      </c>
      <c r="AR313" t="s">
        <v>2389</v>
      </c>
      <c r="AS313" t="s">
        <v>2390</v>
      </c>
      <c r="AT313" t="s">
        <v>1060</v>
      </c>
      <c r="AU313">
        <v>2021</v>
      </c>
      <c r="AV313">
        <v>10</v>
      </c>
      <c r="AW313">
        <v>6</v>
      </c>
      <c r="AX313" t="s">
        <v>74</v>
      </c>
      <c r="AY313" t="s">
        <v>74</v>
      </c>
      <c r="AZ313" t="s">
        <v>74</v>
      </c>
      <c r="BA313" t="s">
        <v>74</v>
      </c>
      <c r="BB313" t="s">
        <v>74</v>
      </c>
      <c r="BC313" t="s">
        <v>74</v>
      </c>
      <c r="BD313">
        <v>1559</v>
      </c>
      <c r="BE313" t="s">
        <v>4796</v>
      </c>
      <c r="BF313" t="str">
        <f>HYPERLINK("http://dx.doi.org/10.3390/cells10061559","http://dx.doi.org/10.3390/cells10061559")</f>
        <v>http://dx.doi.org/10.3390/cells10061559</v>
      </c>
      <c r="BG313" t="s">
        <v>74</v>
      </c>
      <c r="BH313" t="s">
        <v>74</v>
      </c>
      <c r="BI313">
        <v>21</v>
      </c>
      <c r="BJ313" t="s">
        <v>2392</v>
      </c>
      <c r="BK313" t="s">
        <v>101</v>
      </c>
      <c r="BL313" t="s">
        <v>2392</v>
      </c>
      <c r="BM313" t="s">
        <v>4797</v>
      </c>
      <c r="BN313">
        <v>34205639</v>
      </c>
      <c r="BO313" t="s">
        <v>809</v>
      </c>
      <c r="BP313" t="s">
        <v>74</v>
      </c>
      <c r="BQ313" t="s">
        <v>74</v>
      </c>
      <c r="BR313" t="s">
        <v>104</v>
      </c>
      <c r="BS313" t="s">
        <v>4798</v>
      </c>
      <c r="BT313" t="str">
        <f>HYPERLINK("https%3A%2F%2Fwww.webofscience.com%2Fwos%2Fwoscc%2Ffull-record%2FWOS:000665343700001","View Full Record in Web of Science")</f>
        <v>View Full Record in Web of Science</v>
      </c>
    </row>
    <row r="314" spans="1:72" x14ac:dyDescent="0.25">
      <c r="A314" t="s">
        <v>72</v>
      </c>
      <c r="B314" t="s">
        <v>4319</v>
      </c>
      <c r="C314" t="s">
        <v>74</v>
      </c>
      <c r="D314" t="s">
        <v>74</v>
      </c>
      <c r="E314" t="s">
        <v>74</v>
      </c>
      <c r="F314" t="s">
        <v>4799</v>
      </c>
      <c r="G314" t="s">
        <v>74</v>
      </c>
      <c r="H314" t="s">
        <v>74</v>
      </c>
      <c r="I314" t="s">
        <v>4800</v>
      </c>
      <c r="J314" t="s">
        <v>2580</v>
      </c>
      <c r="K314" t="s">
        <v>74</v>
      </c>
      <c r="L314" t="s">
        <v>74</v>
      </c>
      <c r="M314" t="s">
        <v>78</v>
      </c>
      <c r="N314" t="s">
        <v>52</v>
      </c>
      <c r="O314" t="s">
        <v>4801</v>
      </c>
      <c r="P314" t="s">
        <v>4802</v>
      </c>
      <c r="Q314" t="s">
        <v>4325</v>
      </c>
      <c r="R314" t="s">
        <v>74</v>
      </c>
      <c r="S314" t="s">
        <v>74</v>
      </c>
      <c r="T314" t="s">
        <v>74</v>
      </c>
      <c r="U314" t="s">
        <v>74</v>
      </c>
      <c r="V314" t="s">
        <v>74</v>
      </c>
      <c r="W314" t="s">
        <v>4803</v>
      </c>
      <c r="X314" t="s">
        <v>4804</v>
      </c>
      <c r="Y314" t="s">
        <v>74</v>
      </c>
      <c r="Z314" t="s">
        <v>74</v>
      </c>
      <c r="AA314" t="s">
        <v>3383</v>
      </c>
      <c r="AB314" t="s">
        <v>3384</v>
      </c>
      <c r="AC314" t="s">
        <v>74</v>
      </c>
      <c r="AD314" t="s">
        <v>74</v>
      </c>
      <c r="AE314" t="s">
        <v>74</v>
      </c>
      <c r="AF314" t="s">
        <v>74</v>
      </c>
      <c r="AG314">
        <v>1</v>
      </c>
      <c r="AH314">
        <v>1</v>
      </c>
      <c r="AI314">
        <v>1</v>
      </c>
      <c r="AJ314">
        <v>0</v>
      </c>
      <c r="AK314">
        <v>0</v>
      </c>
      <c r="AL314" t="s">
        <v>2590</v>
      </c>
      <c r="AM314" t="s">
        <v>201</v>
      </c>
      <c r="AN314" t="s">
        <v>2591</v>
      </c>
      <c r="AO314" t="s">
        <v>2592</v>
      </c>
      <c r="AP314" t="s">
        <v>2593</v>
      </c>
      <c r="AQ314" t="s">
        <v>74</v>
      </c>
      <c r="AR314" t="s">
        <v>2594</v>
      </c>
      <c r="AS314" t="s">
        <v>2595</v>
      </c>
      <c r="AT314" t="s">
        <v>1060</v>
      </c>
      <c r="AU314">
        <v>2021</v>
      </c>
      <c r="AV314">
        <v>80</v>
      </c>
      <c r="AW314" t="s">
        <v>74</v>
      </c>
      <c r="AX314" t="s">
        <v>74</v>
      </c>
      <c r="AY314">
        <v>1</v>
      </c>
      <c r="AZ314" t="s">
        <v>74</v>
      </c>
      <c r="BA314" t="s">
        <v>4805</v>
      </c>
      <c r="BB314">
        <v>52</v>
      </c>
      <c r="BC314">
        <v>52</v>
      </c>
      <c r="BD314" t="s">
        <v>74</v>
      </c>
      <c r="BE314" t="s">
        <v>4806</v>
      </c>
      <c r="BF314" t="str">
        <f>HYPERLINK("http://dx.doi.org/10.1136/annrheumdis-2021-eular.2668","http://dx.doi.org/10.1136/annrheumdis-2021-eular.2668")</f>
        <v>http://dx.doi.org/10.1136/annrheumdis-2021-eular.2668</v>
      </c>
      <c r="BG314" t="s">
        <v>74</v>
      </c>
      <c r="BH314" t="s">
        <v>74</v>
      </c>
      <c r="BI314">
        <v>1</v>
      </c>
      <c r="BJ314" t="s">
        <v>2369</v>
      </c>
      <c r="BK314" t="s">
        <v>512</v>
      </c>
      <c r="BL314" t="s">
        <v>2369</v>
      </c>
      <c r="BM314" t="s">
        <v>4807</v>
      </c>
      <c r="BN314" t="s">
        <v>74</v>
      </c>
      <c r="BO314" t="s">
        <v>74</v>
      </c>
      <c r="BP314" t="s">
        <v>74</v>
      </c>
      <c r="BQ314" t="s">
        <v>74</v>
      </c>
      <c r="BR314" t="s">
        <v>104</v>
      </c>
      <c r="BS314" t="s">
        <v>4808</v>
      </c>
      <c r="BT314" t="str">
        <f>HYPERLINK("https%3A%2F%2Fwww.webofscience.com%2Fwos%2Fwoscc%2Ffull-record%2FWOS:000692629300093","View Full Record in Web of Science")</f>
        <v>View Full Record in Web of Science</v>
      </c>
    </row>
    <row r="315" spans="1:72" x14ac:dyDescent="0.25">
      <c r="A315" t="s">
        <v>72</v>
      </c>
      <c r="B315" t="s">
        <v>4809</v>
      </c>
      <c r="C315" t="s">
        <v>74</v>
      </c>
      <c r="D315" t="s">
        <v>74</v>
      </c>
      <c r="E315" t="s">
        <v>74</v>
      </c>
      <c r="F315" t="s">
        <v>4810</v>
      </c>
      <c r="G315" t="s">
        <v>74</v>
      </c>
      <c r="H315" t="s">
        <v>74</v>
      </c>
      <c r="I315" t="s">
        <v>4811</v>
      </c>
      <c r="J315" t="s">
        <v>637</v>
      </c>
      <c r="K315" t="s">
        <v>74</v>
      </c>
      <c r="L315" t="s">
        <v>74</v>
      </c>
      <c r="M315" t="s">
        <v>78</v>
      </c>
      <c r="N315" t="s">
        <v>52</v>
      </c>
      <c r="O315" t="s">
        <v>2003</v>
      </c>
      <c r="P315" t="s">
        <v>4812</v>
      </c>
      <c r="Q315" t="s">
        <v>4325</v>
      </c>
      <c r="R315" t="s">
        <v>2006</v>
      </c>
      <c r="S315" t="s">
        <v>74</v>
      </c>
      <c r="T315" t="s">
        <v>74</v>
      </c>
      <c r="U315" t="s">
        <v>74</v>
      </c>
      <c r="V315" t="s">
        <v>74</v>
      </c>
      <c r="W315" t="s">
        <v>4813</v>
      </c>
      <c r="X315" t="s">
        <v>4814</v>
      </c>
      <c r="Y315" t="s">
        <v>74</v>
      </c>
      <c r="Z315" t="s">
        <v>74</v>
      </c>
      <c r="AA315" t="s">
        <v>4815</v>
      </c>
      <c r="AB315" t="s">
        <v>1489</v>
      </c>
      <c r="AC315" t="s">
        <v>4816</v>
      </c>
      <c r="AD315" t="s">
        <v>4816</v>
      </c>
      <c r="AE315" t="s">
        <v>4817</v>
      </c>
      <c r="AF315" t="s">
        <v>74</v>
      </c>
      <c r="AG315">
        <v>0</v>
      </c>
      <c r="AH315">
        <v>2</v>
      </c>
      <c r="AI315">
        <v>2</v>
      </c>
      <c r="AJ315">
        <v>0</v>
      </c>
      <c r="AK315">
        <v>0</v>
      </c>
      <c r="AL315" t="s">
        <v>649</v>
      </c>
      <c r="AM315" t="s">
        <v>486</v>
      </c>
      <c r="AN315" t="s">
        <v>650</v>
      </c>
      <c r="AO315" t="s">
        <v>651</v>
      </c>
      <c r="AP315" t="s">
        <v>652</v>
      </c>
      <c r="AQ315" t="s">
        <v>74</v>
      </c>
      <c r="AR315" t="s">
        <v>653</v>
      </c>
      <c r="AS315" t="s">
        <v>654</v>
      </c>
      <c r="AT315" t="s">
        <v>960</v>
      </c>
      <c r="AU315">
        <v>2021</v>
      </c>
      <c r="AV315">
        <v>203</v>
      </c>
      <c r="AW315">
        <v>9</v>
      </c>
      <c r="AX315" t="s">
        <v>74</v>
      </c>
      <c r="AY315" t="s">
        <v>998</v>
      </c>
      <c r="AZ315" t="s">
        <v>74</v>
      </c>
      <c r="BA315" t="s">
        <v>4818</v>
      </c>
      <c r="BB315" t="s">
        <v>74</v>
      </c>
      <c r="BC315" t="s">
        <v>74</v>
      </c>
      <c r="BD315" t="s">
        <v>74</v>
      </c>
      <c r="BE315" t="s">
        <v>74</v>
      </c>
      <c r="BF315" t="s">
        <v>74</v>
      </c>
      <c r="BG315" t="s">
        <v>74</v>
      </c>
      <c r="BH315" t="s">
        <v>74</v>
      </c>
      <c r="BI315">
        <v>2</v>
      </c>
      <c r="BJ315" t="s">
        <v>341</v>
      </c>
      <c r="BK315" t="s">
        <v>512</v>
      </c>
      <c r="BL315" t="s">
        <v>342</v>
      </c>
      <c r="BM315" t="s">
        <v>4819</v>
      </c>
      <c r="BN315" t="s">
        <v>74</v>
      </c>
      <c r="BO315" t="s">
        <v>74</v>
      </c>
      <c r="BP315" t="s">
        <v>74</v>
      </c>
      <c r="BQ315" t="s">
        <v>74</v>
      </c>
      <c r="BR315" t="s">
        <v>104</v>
      </c>
      <c r="BS315" t="s">
        <v>4820</v>
      </c>
      <c r="BT315" t="str">
        <f>HYPERLINK("https%3A%2F%2Fwww.webofscience.com%2Fwos%2Fwoscc%2Ffull-record%2FWOS:000685468900186","View Full Record in Web of Science")</f>
        <v>View Full Record in Web of Science</v>
      </c>
    </row>
    <row r="316" spans="1:72" x14ac:dyDescent="0.25">
      <c r="A316" t="s">
        <v>72</v>
      </c>
      <c r="B316" t="s">
        <v>4821</v>
      </c>
      <c r="C316" t="s">
        <v>74</v>
      </c>
      <c r="D316" t="s">
        <v>74</v>
      </c>
      <c r="E316" t="s">
        <v>74</v>
      </c>
      <c r="F316" t="s">
        <v>4822</v>
      </c>
      <c r="G316" t="s">
        <v>74</v>
      </c>
      <c r="H316" t="s">
        <v>74</v>
      </c>
      <c r="I316" t="s">
        <v>4823</v>
      </c>
      <c r="J316" t="s">
        <v>637</v>
      </c>
      <c r="K316" t="s">
        <v>74</v>
      </c>
      <c r="L316" t="s">
        <v>74</v>
      </c>
      <c r="M316" t="s">
        <v>78</v>
      </c>
      <c r="N316" t="s">
        <v>52</v>
      </c>
      <c r="O316" t="s">
        <v>2003</v>
      </c>
      <c r="P316" t="s">
        <v>4812</v>
      </c>
      <c r="Q316" t="s">
        <v>4325</v>
      </c>
      <c r="R316" t="s">
        <v>2006</v>
      </c>
      <c r="S316" t="s">
        <v>74</v>
      </c>
      <c r="T316" t="s">
        <v>74</v>
      </c>
      <c r="U316" t="s">
        <v>74</v>
      </c>
      <c r="V316" t="s">
        <v>74</v>
      </c>
      <c r="W316" t="s">
        <v>4824</v>
      </c>
      <c r="X316" t="s">
        <v>4825</v>
      </c>
      <c r="Y316" t="s">
        <v>74</v>
      </c>
      <c r="Z316" t="s">
        <v>2009</v>
      </c>
      <c r="AA316" t="s">
        <v>4826</v>
      </c>
      <c r="AB316" t="s">
        <v>74</v>
      </c>
      <c r="AC316" t="s">
        <v>4827</v>
      </c>
      <c r="AD316" t="s">
        <v>4827</v>
      </c>
      <c r="AE316" t="s">
        <v>4828</v>
      </c>
      <c r="AF316" t="s">
        <v>74</v>
      </c>
      <c r="AG316">
        <v>0</v>
      </c>
      <c r="AH316">
        <v>0</v>
      </c>
      <c r="AI316">
        <v>0</v>
      </c>
      <c r="AJ316">
        <v>0</v>
      </c>
      <c r="AK316">
        <v>0</v>
      </c>
      <c r="AL316" t="s">
        <v>649</v>
      </c>
      <c r="AM316" t="s">
        <v>486</v>
      </c>
      <c r="AN316" t="s">
        <v>650</v>
      </c>
      <c r="AO316" t="s">
        <v>651</v>
      </c>
      <c r="AP316" t="s">
        <v>652</v>
      </c>
      <c r="AQ316" t="s">
        <v>74</v>
      </c>
      <c r="AR316" t="s">
        <v>653</v>
      </c>
      <c r="AS316" t="s">
        <v>654</v>
      </c>
      <c r="AT316" t="s">
        <v>960</v>
      </c>
      <c r="AU316">
        <v>2021</v>
      </c>
      <c r="AV316">
        <v>203</v>
      </c>
      <c r="AW316">
        <v>9</v>
      </c>
      <c r="AX316" t="s">
        <v>74</v>
      </c>
      <c r="AY316" t="s">
        <v>998</v>
      </c>
      <c r="AZ316" t="s">
        <v>74</v>
      </c>
      <c r="BA316" t="s">
        <v>4829</v>
      </c>
      <c r="BB316" t="s">
        <v>74</v>
      </c>
      <c r="BC316" t="s">
        <v>74</v>
      </c>
      <c r="BD316" t="s">
        <v>74</v>
      </c>
      <c r="BE316" t="s">
        <v>74</v>
      </c>
      <c r="BF316" t="s">
        <v>74</v>
      </c>
      <c r="BG316" t="s">
        <v>74</v>
      </c>
      <c r="BH316" t="s">
        <v>74</v>
      </c>
      <c r="BI316">
        <v>1</v>
      </c>
      <c r="BJ316" t="s">
        <v>341</v>
      </c>
      <c r="BK316" t="s">
        <v>512</v>
      </c>
      <c r="BL316" t="s">
        <v>342</v>
      </c>
      <c r="BM316" t="s">
        <v>4819</v>
      </c>
      <c r="BN316" t="s">
        <v>74</v>
      </c>
      <c r="BO316" t="s">
        <v>74</v>
      </c>
      <c r="BP316" t="s">
        <v>74</v>
      </c>
      <c r="BQ316" t="s">
        <v>74</v>
      </c>
      <c r="BR316" t="s">
        <v>104</v>
      </c>
      <c r="BS316" t="s">
        <v>4830</v>
      </c>
      <c r="BT316" t="str">
        <f>HYPERLINK("https%3A%2F%2Fwww.webofscience.com%2Fwos%2Fwoscc%2Ffull-record%2FWOS:000685468900069","View Full Record in Web of Science")</f>
        <v>View Full Record in Web of Science</v>
      </c>
    </row>
    <row r="317" spans="1:72" x14ac:dyDescent="0.25">
      <c r="A317" t="s">
        <v>72</v>
      </c>
      <c r="B317" t="s">
        <v>4831</v>
      </c>
      <c r="C317" t="s">
        <v>74</v>
      </c>
      <c r="D317" t="s">
        <v>74</v>
      </c>
      <c r="E317" t="s">
        <v>74</v>
      </c>
      <c r="F317" t="s">
        <v>4832</v>
      </c>
      <c r="G317" t="s">
        <v>74</v>
      </c>
      <c r="H317" t="s">
        <v>74</v>
      </c>
      <c r="I317" t="s">
        <v>4833</v>
      </c>
      <c r="J317" t="s">
        <v>4594</v>
      </c>
      <c r="K317" t="s">
        <v>74</v>
      </c>
      <c r="L317" t="s">
        <v>74</v>
      </c>
      <c r="M317" t="s">
        <v>78</v>
      </c>
      <c r="N317" t="s">
        <v>79</v>
      </c>
      <c r="O317" t="s">
        <v>74</v>
      </c>
      <c r="P317" t="s">
        <v>74</v>
      </c>
      <c r="Q317" t="s">
        <v>74</v>
      </c>
      <c r="R317" t="s">
        <v>74</v>
      </c>
      <c r="S317" t="s">
        <v>74</v>
      </c>
      <c r="T317" t="s">
        <v>4834</v>
      </c>
      <c r="U317" t="s">
        <v>4835</v>
      </c>
      <c r="V317" t="s">
        <v>4836</v>
      </c>
      <c r="W317" t="s">
        <v>4837</v>
      </c>
      <c r="X317" t="s">
        <v>4838</v>
      </c>
      <c r="Y317" t="s">
        <v>4839</v>
      </c>
      <c r="Z317" t="s">
        <v>276</v>
      </c>
      <c r="AA317" t="s">
        <v>4840</v>
      </c>
      <c r="AB317" t="s">
        <v>4841</v>
      </c>
      <c r="AC317" t="s">
        <v>4842</v>
      </c>
      <c r="AD317" t="s">
        <v>4843</v>
      </c>
      <c r="AE317" t="s">
        <v>4844</v>
      </c>
      <c r="AF317" t="s">
        <v>74</v>
      </c>
      <c r="AG317">
        <v>36</v>
      </c>
      <c r="AH317">
        <v>29</v>
      </c>
      <c r="AI317">
        <v>29</v>
      </c>
      <c r="AJ317">
        <v>1</v>
      </c>
      <c r="AK317">
        <v>16</v>
      </c>
      <c r="AL317" t="s">
        <v>1073</v>
      </c>
      <c r="AM317" t="s">
        <v>1074</v>
      </c>
      <c r="AN317" t="s">
        <v>1075</v>
      </c>
      <c r="AO317" t="s">
        <v>4607</v>
      </c>
      <c r="AP317" t="s">
        <v>4608</v>
      </c>
      <c r="AQ317" t="s">
        <v>74</v>
      </c>
      <c r="AR317" t="s">
        <v>4609</v>
      </c>
      <c r="AS317" t="s">
        <v>4610</v>
      </c>
      <c r="AT317" t="s">
        <v>960</v>
      </c>
      <c r="AU317">
        <v>2021</v>
      </c>
      <c r="AV317">
        <v>117</v>
      </c>
      <c r="AW317">
        <v>5</v>
      </c>
      <c r="AX317" t="s">
        <v>74</v>
      </c>
      <c r="AY317" t="s">
        <v>74</v>
      </c>
      <c r="AZ317" t="s">
        <v>74</v>
      </c>
      <c r="BA317" t="s">
        <v>74</v>
      </c>
      <c r="BB317">
        <v>1391</v>
      </c>
      <c r="BC317">
        <v>1401</v>
      </c>
      <c r="BD317" t="s">
        <v>74</v>
      </c>
      <c r="BE317" t="s">
        <v>4845</v>
      </c>
      <c r="BF317" t="str">
        <f>HYPERLINK("http://dx.doi.org/10.1093/cvr/cvaa200","http://dx.doi.org/10.1093/cvr/cvaa200")</f>
        <v>http://dx.doi.org/10.1093/cvr/cvaa200</v>
      </c>
      <c r="BG317" t="s">
        <v>74</v>
      </c>
      <c r="BH317" t="s">
        <v>74</v>
      </c>
      <c r="BI317">
        <v>11</v>
      </c>
      <c r="BJ317" t="s">
        <v>132</v>
      </c>
      <c r="BK317" t="s">
        <v>101</v>
      </c>
      <c r="BL317" t="s">
        <v>133</v>
      </c>
      <c r="BM317" t="s">
        <v>4846</v>
      </c>
      <c r="BN317">
        <v>32653925</v>
      </c>
      <c r="BO317" t="s">
        <v>612</v>
      </c>
      <c r="BP317" t="s">
        <v>74</v>
      </c>
      <c r="BQ317" t="s">
        <v>74</v>
      </c>
      <c r="BR317" t="s">
        <v>104</v>
      </c>
      <c r="BS317" t="s">
        <v>4847</v>
      </c>
      <c r="BT317" t="str">
        <f>HYPERLINK("https%3A%2F%2Fwww.webofscience.com%2Fwos%2Fwoscc%2Ffull-record%2FWOS:000661514200022","View Full Record in Web of Science")</f>
        <v>View Full Record in Web of Science</v>
      </c>
    </row>
    <row r="318" spans="1:72" x14ac:dyDescent="0.25">
      <c r="A318" t="s">
        <v>72</v>
      </c>
      <c r="B318" t="s">
        <v>4848</v>
      </c>
      <c r="C318" t="s">
        <v>74</v>
      </c>
      <c r="D318" t="s">
        <v>74</v>
      </c>
      <c r="E318" t="s">
        <v>74</v>
      </c>
      <c r="F318" t="s">
        <v>4849</v>
      </c>
      <c r="G318" t="s">
        <v>74</v>
      </c>
      <c r="H318" t="s">
        <v>74</v>
      </c>
      <c r="I318" t="s">
        <v>4850</v>
      </c>
      <c r="J318" t="s">
        <v>4851</v>
      </c>
      <c r="K318" t="s">
        <v>74</v>
      </c>
      <c r="L318" t="s">
        <v>74</v>
      </c>
      <c r="M318" t="s">
        <v>78</v>
      </c>
      <c r="N318" t="s">
        <v>79</v>
      </c>
      <c r="O318" t="s">
        <v>74</v>
      </c>
      <c r="P318" t="s">
        <v>74</v>
      </c>
      <c r="Q318" t="s">
        <v>74</v>
      </c>
      <c r="R318" t="s">
        <v>74</v>
      </c>
      <c r="S318" t="s">
        <v>74</v>
      </c>
      <c r="T318" t="s">
        <v>4852</v>
      </c>
      <c r="U318" t="s">
        <v>4853</v>
      </c>
      <c r="V318" t="s">
        <v>4854</v>
      </c>
      <c r="W318" t="s">
        <v>4855</v>
      </c>
      <c r="X318" t="s">
        <v>4856</v>
      </c>
      <c r="Y318" t="s">
        <v>4857</v>
      </c>
      <c r="Z318" t="s">
        <v>4858</v>
      </c>
      <c r="AA318" t="s">
        <v>4859</v>
      </c>
      <c r="AB318" t="s">
        <v>4860</v>
      </c>
      <c r="AC318" t="s">
        <v>74</v>
      </c>
      <c r="AD318" t="s">
        <v>74</v>
      </c>
      <c r="AE318" t="s">
        <v>74</v>
      </c>
      <c r="AF318" t="s">
        <v>74</v>
      </c>
      <c r="AG318">
        <v>29</v>
      </c>
      <c r="AH318">
        <v>13</v>
      </c>
      <c r="AI318">
        <v>13</v>
      </c>
      <c r="AJ318">
        <v>0</v>
      </c>
      <c r="AK318">
        <v>4</v>
      </c>
      <c r="AL318" t="s">
        <v>1854</v>
      </c>
      <c r="AM318" t="s">
        <v>201</v>
      </c>
      <c r="AN318" t="s">
        <v>1855</v>
      </c>
      <c r="AO318" t="s">
        <v>74</v>
      </c>
      <c r="AP318" t="s">
        <v>4861</v>
      </c>
      <c r="AQ318" t="s">
        <v>74</v>
      </c>
      <c r="AR318" t="s">
        <v>4862</v>
      </c>
      <c r="AS318" t="s">
        <v>4863</v>
      </c>
      <c r="AT318" t="s">
        <v>960</v>
      </c>
      <c r="AU318">
        <v>2021</v>
      </c>
      <c r="AV318">
        <v>16</v>
      </c>
      <c r="AW318">
        <v>1</v>
      </c>
      <c r="AX318" t="s">
        <v>74</v>
      </c>
      <c r="AY318" t="s">
        <v>74</v>
      </c>
      <c r="AZ318" t="s">
        <v>74</v>
      </c>
      <c r="BA318" t="s">
        <v>74</v>
      </c>
      <c r="BB318" t="s">
        <v>74</v>
      </c>
      <c r="BC318" t="s">
        <v>74</v>
      </c>
      <c r="BD318">
        <v>196</v>
      </c>
      <c r="BE318" t="s">
        <v>4864</v>
      </c>
      <c r="BF318" t="str">
        <f>HYPERLINK("http://dx.doi.org/10.1186/s13023-021-01752-1","http://dx.doi.org/10.1186/s13023-021-01752-1")</f>
        <v>http://dx.doi.org/10.1186/s13023-021-01752-1</v>
      </c>
      <c r="BG318" t="s">
        <v>74</v>
      </c>
      <c r="BH318" t="s">
        <v>74</v>
      </c>
      <c r="BI318">
        <v>9</v>
      </c>
      <c r="BJ318" t="s">
        <v>4865</v>
      </c>
      <c r="BK318" t="s">
        <v>101</v>
      </c>
      <c r="BL318" t="s">
        <v>4866</v>
      </c>
      <c r="BM318" t="s">
        <v>4867</v>
      </c>
      <c r="BN318">
        <v>33933110</v>
      </c>
      <c r="BO318" t="s">
        <v>809</v>
      </c>
      <c r="BP318" t="s">
        <v>74</v>
      </c>
      <c r="BQ318" t="s">
        <v>74</v>
      </c>
      <c r="BR318" t="s">
        <v>104</v>
      </c>
      <c r="BS318" t="s">
        <v>4868</v>
      </c>
      <c r="BT318" t="str">
        <f>HYPERLINK("https%3A%2F%2Fwww.webofscience.com%2Fwos%2Fwoscc%2Ffull-record%2FWOS:000658928600001","View Full Record in Web of Science")</f>
        <v>View Full Record in Web of Science</v>
      </c>
    </row>
    <row r="319" spans="1:72" x14ac:dyDescent="0.25">
      <c r="A319" t="s">
        <v>72</v>
      </c>
      <c r="B319" t="s">
        <v>4869</v>
      </c>
      <c r="C319" t="s">
        <v>74</v>
      </c>
      <c r="D319" t="s">
        <v>74</v>
      </c>
      <c r="E319" t="s">
        <v>74</v>
      </c>
      <c r="F319" t="s">
        <v>4870</v>
      </c>
      <c r="G319" t="s">
        <v>74</v>
      </c>
      <c r="H319" t="s">
        <v>74</v>
      </c>
      <c r="I319" t="s">
        <v>4871</v>
      </c>
      <c r="J319" t="s">
        <v>637</v>
      </c>
      <c r="K319" t="s">
        <v>74</v>
      </c>
      <c r="L319" t="s">
        <v>74</v>
      </c>
      <c r="M319" t="s">
        <v>78</v>
      </c>
      <c r="N319" t="s">
        <v>52</v>
      </c>
      <c r="O319" t="s">
        <v>2003</v>
      </c>
      <c r="P319" t="s">
        <v>4812</v>
      </c>
      <c r="Q319" t="s">
        <v>4325</v>
      </c>
      <c r="R319" t="s">
        <v>2006</v>
      </c>
      <c r="S319" t="s">
        <v>74</v>
      </c>
      <c r="T319" t="s">
        <v>74</v>
      </c>
      <c r="U319" t="s">
        <v>74</v>
      </c>
      <c r="V319" t="s">
        <v>74</v>
      </c>
      <c r="W319" t="s">
        <v>4872</v>
      </c>
      <c r="X319" t="s">
        <v>4873</v>
      </c>
      <c r="Y319" t="s">
        <v>74</v>
      </c>
      <c r="Z319" t="s">
        <v>3402</v>
      </c>
      <c r="AA319" t="s">
        <v>144</v>
      </c>
      <c r="AB319" t="s">
        <v>74</v>
      </c>
      <c r="AC319" t="s">
        <v>4874</v>
      </c>
      <c r="AD319" t="s">
        <v>4875</v>
      </c>
      <c r="AE319" t="s">
        <v>4876</v>
      </c>
      <c r="AF319" t="s">
        <v>74</v>
      </c>
      <c r="AG319">
        <v>0</v>
      </c>
      <c r="AH319">
        <v>0</v>
      </c>
      <c r="AI319">
        <v>0</v>
      </c>
      <c r="AJ319">
        <v>0</v>
      </c>
      <c r="AK319">
        <v>0</v>
      </c>
      <c r="AL319" t="s">
        <v>649</v>
      </c>
      <c r="AM319" t="s">
        <v>486</v>
      </c>
      <c r="AN319" t="s">
        <v>650</v>
      </c>
      <c r="AO319" t="s">
        <v>651</v>
      </c>
      <c r="AP319" t="s">
        <v>652</v>
      </c>
      <c r="AQ319" t="s">
        <v>74</v>
      </c>
      <c r="AR319" t="s">
        <v>653</v>
      </c>
      <c r="AS319" t="s">
        <v>654</v>
      </c>
      <c r="AT319" t="s">
        <v>960</v>
      </c>
      <c r="AU319">
        <v>2021</v>
      </c>
      <c r="AV319">
        <v>203</v>
      </c>
      <c r="AW319">
        <v>9</v>
      </c>
      <c r="AX319" t="s">
        <v>74</v>
      </c>
      <c r="AY319" t="s">
        <v>998</v>
      </c>
      <c r="AZ319" t="s">
        <v>74</v>
      </c>
      <c r="BA319" t="s">
        <v>4877</v>
      </c>
      <c r="BB319" t="s">
        <v>74</v>
      </c>
      <c r="BC319" t="s">
        <v>74</v>
      </c>
      <c r="BD319" t="s">
        <v>74</v>
      </c>
      <c r="BE319" t="s">
        <v>74</v>
      </c>
      <c r="BF319" t="s">
        <v>74</v>
      </c>
      <c r="BG319" t="s">
        <v>74</v>
      </c>
      <c r="BH319" t="s">
        <v>74</v>
      </c>
      <c r="BI319">
        <v>2</v>
      </c>
      <c r="BJ319" t="s">
        <v>341</v>
      </c>
      <c r="BK319" t="s">
        <v>512</v>
      </c>
      <c r="BL319" t="s">
        <v>342</v>
      </c>
      <c r="BM319" t="s">
        <v>4819</v>
      </c>
      <c r="BN319" t="s">
        <v>74</v>
      </c>
      <c r="BO319" t="s">
        <v>74</v>
      </c>
      <c r="BP319" t="s">
        <v>74</v>
      </c>
      <c r="BQ319" t="s">
        <v>74</v>
      </c>
      <c r="BR319" t="s">
        <v>104</v>
      </c>
      <c r="BS319" t="s">
        <v>4878</v>
      </c>
      <c r="BT319" t="str">
        <f>HYPERLINK("https%3A%2F%2Fwww.webofscience.com%2Fwos%2Fwoscc%2Ffull-record%2FWOS:000685468900445","View Full Record in Web of Science")</f>
        <v>View Full Record in Web of Science</v>
      </c>
    </row>
    <row r="320" spans="1:72" x14ac:dyDescent="0.25">
      <c r="A320" t="s">
        <v>72</v>
      </c>
      <c r="B320" t="s">
        <v>4879</v>
      </c>
      <c r="C320" t="s">
        <v>74</v>
      </c>
      <c r="D320" t="s">
        <v>74</v>
      </c>
      <c r="E320" t="s">
        <v>74</v>
      </c>
      <c r="F320" t="s">
        <v>4880</v>
      </c>
      <c r="G320" t="s">
        <v>74</v>
      </c>
      <c r="H320" t="s">
        <v>74</v>
      </c>
      <c r="I320" t="s">
        <v>4881</v>
      </c>
      <c r="J320" t="s">
        <v>637</v>
      </c>
      <c r="K320" t="s">
        <v>74</v>
      </c>
      <c r="L320" t="s">
        <v>74</v>
      </c>
      <c r="M320" t="s">
        <v>78</v>
      </c>
      <c r="N320" t="s">
        <v>52</v>
      </c>
      <c r="O320" t="s">
        <v>2003</v>
      </c>
      <c r="P320" t="s">
        <v>4812</v>
      </c>
      <c r="Q320" t="s">
        <v>4325</v>
      </c>
      <c r="R320" t="s">
        <v>2006</v>
      </c>
      <c r="S320" t="s">
        <v>74</v>
      </c>
      <c r="T320" t="s">
        <v>74</v>
      </c>
      <c r="U320" t="s">
        <v>74</v>
      </c>
      <c r="V320" t="s">
        <v>74</v>
      </c>
      <c r="W320" t="s">
        <v>4882</v>
      </c>
      <c r="X320" t="s">
        <v>4883</v>
      </c>
      <c r="Y320" t="s">
        <v>74</v>
      </c>
      <c r="Z320" t="s">
        <v>74</v>
      </c>
      <c r="AA320" t="s">
        <v>4884</v>
      </c>
      <c r="AB320" t="s">
        <v>4885</v>
      </c>
      <c r="AC320" t="s">
        <v>4886</v>
      </c>
      <c r="AD320" t="s">
        <v>4887</v>
      </c>
      <c r="AE320" t="s">
        <v>4888</v>
      </c>
      <c r="AF320" t="s">
        <v>74</v>
      </c>
      <c r="AG320">
        <v>0</v>
      </c>
      <c r="AH320">
        <v>5</v>
      </c>
      <c r="AI320">
        <v>5</v>
      </c>
      <c r="AJ320">
        <v>0</v>
      </c>
      <c r="AK320">
        <v>1</v>
      </c>
      <c r="AL320" t="s">
        <v>649</v>
      </c>
      <c r="AM320" t="s">
        <v>486</v>
      </c>
      <c r="AN320" t="s">
        <v>650</v>
      </c>
      <c r="AO320" t="s">
        <v>651</v>
      </c>
      <c r="AP320" t="s">
        <v>652</v>
      </c>
      <c r="AQ320" t="s">
        <v>74</v>
      </c>
      <c r="AR320" t="s">
        <v>653</v>
      </c>
      <c r="AS320" t="s">
        <v>654</v>
      </c>
      <c r="AT320" t="s">
        <v>960</v>
      </c>
      <c r="AU320">
        <v>2021</v>
      </c>
      <c r="AV320">
        <v>203</v>
      </c>
      <c r="AW320">
        <v>9</v>
      </c>
      <c r="AX320" t="s">
        <v>74</v>
      </c>
      <c r="AY320" t="s">
        <v>998</v>
      </c>
      <c r="AZ320" t="s">
        <v>74</v>
      </c>
      <c r="BA320" t="s">
        <v>4889</v>
      </c>
      <c r="BB320" t="s">
        <v>74</v>
      </c>
      <c r="BC320" t="s">
        <v>74</v>
      </c>
      <c r="BD320" t="s">
        <v>74</v>
      </c>
      <c r="BE320" t="s">
        <v>74</v>
      </c>
      <c r="BF320" t="s">
        <v>74</v>
      </c>
      <c r="BG320" t="s">
        <v>74</v>
      </c>
      <c r="BH320" t="s">
        <v>74</v>
      </c>
      <c r="BI320">
        <v>3</v>
      </c>
      <c r="BJ320" t="s">
        <v>341</v>
      </c>
      <c r="BK320" t="s">
        <v>512</v>
      </c>
      <c r="BL320" t="s">
        <v>342</v>
      </c>
      <c r="BM320" t="s">
        <v>4819</v>
      </c>
      <c r="BN320" t="s">
        <v>74</v>
      </c>
      <c r="BO320" t="s">
        <v>74</v>
      </c>
      <c r="BP320" t="s">
        <v>74</v>
      </c>
      <c r="BQ320" t="s">
        <v>74</v>
      </c>
      <c r="BR320" t="s">
        <v>104</v>
      </c>
      <c r="BS320" t="s">
        <v>4890</v>
      </c>
      <c r="BT320" t="str">
        <f>HYPERLINK("https%3A%2F%2Fwww.webofscience.com%2Fwos%2Fwoscc%2Ffull-record%2FWOS:000685468900183","View Full Record in Web of Science")</f>
        <v>View Full Record in Web of Science</v>
      </c>
    </row>
    <row r="321" spans="1:72" x14ac:dyDescent="0.25">
      <c r="A321" t="s">
        <v>72</v>
      </c>
      <c r="B321" t="s">
        <v>4891</v>
      </c>
      <c r="C321" t="s">
        <v>74</v>
      </c>
      <c r="D321" t="s">
        <v>74</v>
      </c>
      <c r="E321" t="s">
        <v>74</v>
      </c>
      <c r="F321" t="s">
        <v>4892</v>
      </c>
      <c r="G321" t="s">
        <v>74</v>
      </c>
      <c r="H321" t="s">
        <v>74</v>
      </c>
      <c r="I321" t="s">
        <v>4893</v>
      </c>
      <c r="J321" t="s">
        <v>637</v>
      </c>
      <c r="K321" t="s">
        <v>74</v>
      </c>
      <c r="L321" t="s">
        <v>74</v>
      </c>
      <c r="M321" t="s">
        <v>78</v>
      </c>
      <c r="N321" t="s">
        <v>52</v>
      </c>
      <c r="O321" t="s">
        <v>2003</v>
      </c>
      <c r="P321" t="s">
        <v>4812</v>
      </c>
      <c r="Q321" t="s">
        <v>4325</v>
      </c>
      <c r="R321" t="s">
        <v>2006</v>
      </c>
      <c r="S321" t="s">
        <v>74</v>
      </c>
      <c r="T321" t="s">
        <v>74</v>
      </c>
      <c r="U321" t="s">
        <v>74</v>
      </c>
      <c r="V321" t="s">
        <v>74</v>
      </c>
      <c r="W321" t="s">
        <v>4894</v>
      </c>
      <c r="X321" t="s">
        <v>1575</v>
      </c>
      <c r="Y321" t="s">
        <v>74</v>
      </c>
      <c r="Z321" t="s">
        <v>74</v>
      </c>
      <c r="AA321" t="s">
        <v>4895</v>
      </c>
      <c r="AB321" t="s">
        <v>74</v>
      </c>
      <c r="AC321" t="s">
        <v>4896</v>
      </c>
      <c r="AD321" t="s">
        <v>4897</v>
      </c>
      <c r="AE321" t="s">
        <v>4898</v>
      </c>
      <c r="AF321" t="s">
        <v>74</v>
      </c>
      <c r="AG321">
        <v>0</v>
      </c>
      <c r="AH321">
        <v>0</v>
      </c>
      <c r="AI321">
        <v>0</v>
      </c>
      <c r="AJ321">
        <v>0</v>
      </c>
      <c r="AK321">
        <v>0</v>
      </c>
      <c r="AL321" t="s">
        <v>649</v>
      </c>
      <c r="AM321" t="s">
        <v>486</v>
      </c>
      <c r="AN321" t="s">
        <v>650</v>
      </c>
      <c r="AO321" t="s">
        <v>651</v>
      </c>
      <c r="AP321" t="s">
        <v>652</v>
      </c>
      <c r="AQ321" t="s">
        <v>74</v>
      </c>
      <c r="AR321" t="s">
        <v>653</v>
      </c>
      <c r="AS321" t="s">
        <v>654</v>
      </c>
      <c r="AT321" t="s">
        <v>960</v>
      </c>
      <c r="AU321">
        <v>2021</v>
      </c>
      <c r="AV321">
        <v>203</v>
      </c>
      <c r="AW321">
        <v>9</v>
      </c>
      <c r="AX321" t="s">
        <v>74</v>
      </c>
      <c r="AY321" t="s">
        <v>998</v>
      </c>
      <c r="AZ321" t="s">
        <v>74</v>
      </c>
      <c r="BA321" t="s">
        <v>4899</v>
      </c>
      <c r="BB321" t="s">
        <v>74</v>
      </c>
      <c r="BC321" t="s">
        <v>74</v>
      </c>
      <c r="BD321" t="s">
        <v>74</v>
      </c>
      <c r="BE321" t="s">
        <v>74</v>
      </c>
      <c r="BF321" t="s">
        <v>74</v>
      </c>
      <c r="BG321" t="s">
        <v>74</v>
      </c>
      <c r="BH321" t="s">
        <v>74</v>
      </c>
      <c r="BI321">
        <v>1</v>
      </c>
      <c r="BJ321" t="s">
        <v>341</v>
      </c>
      <c r="BK321" t="s">
        <v>512</v>
      </c>
      <c r="BL321" t="s">
        <v>342</v>
      </c>
      <c r="BM321" t="s">
        <v>4819</v>
      </c>
      <c r="BN321" t="s">
        <v>74</v>
      </c>
      <c r="BO321" t="s">
        <v>74</v>
      </c>
      <c r="BP321" t="s">
        <v>74</v>
      </c>
      <c r="BQ321" t="s">
        <v>74</v>
      </c>
      <c r="BR321" t="s">
        <v>104</v>
      </c>
      <c r="BS321" t="s">
        <v>4900</v>
      </c>
      <c r="BT321" t="str">
        <f>HYPERLINK("https%3A%2F%2Fwww.webofscience.com%2Fwos%2Fwoscc%2Ffull-record%2FWOS:000685468903432","View Full Record in Web of Science")</f>
        <v>View Full Record in Web of Science</v>
      </c>
    </row>
    <row r="322" spans="1:72" x14ac:dyDescent="0.25">
      <c r="A322" t="s">
        <v>72</v>
      </c>
      <c r="B322" t="s">
        <v>4901</v>
      </c>
      <c r="C322" t="s">
        <v>74</v>
      </c>
      <c r="D322" t="s">
        <v>74</v>
      </c>
      <c r="E322" t="s">
        <v>74</v>
      </c>
      <c r="F322" t="s">
        <v>4902</v>
      </c>
      <c r="G322" t="s">
        <v>74</v>
      </c>
      <c r="H322" t="s">
        <v>74</v>
      </c>
      <c r="I322" t="s">
        <v>4903</v>
      </c>
      <c r="J322" t="s">
        <v>637</v>
      </c>
      <c r="K322" t="s">
        <v>74</v>
      </c>
      <c r="L322" t="s">
        <v>74</v>
      </c>
      <c r="M322" t="s">
        <v>78</v>
      </c>
      <c r="N322" t="s">
        <v>52</v>
      </c>
      <c r="O322" t="s">
        <v>2003</v>
      </c>
      <c r="P322" t="s">
        <v>4812</v>
      </c>
      <c r="Q322" t="s">
        <v>4325</v>
      </c>
      <c r="R322" t="s">
        <v>2006</v>
      </c>
      <c r="S322" t="s">
        <v>74</v>
      </c>
      <c r="T322" t="s">
        <v>74</v>
      </c>
      <c r="U322" t="s">
        <v>74</v>
      </c>
      <c r="V322" t="s">
        <v>74</v>
      </c>
      <c r="W322" t="s">
        <v>4904</v>
      </c>
      <c r="X322" t="s">
        <v>4905</v>
      </c>
      <c r="Y322" t="s">
        <v>74</v>
      </c>
      <c r="Z322" t="s">
        <v>4906</v>
      </c>
      <c r="AA322" t="s">
        <v>1780</v>
      </c>
      <c r="AB322" t="s">
        <v>74</v>
      </c>
      <c r="AC322" t="s">
        <v>74</v>
      </c>
      <c r="AD322" t="s">
        <v>74</v>
      </c>
      <c r="AE322" t="s">
        <v>74</v>
      </c>
      <c r="AF322" t="s">
        <v>74</v>
      </c>
      <c r="AG322">
        <v>0</v>
      </c>
      <c r="AH322">
        <v>0</v>
      </c>
      <c r="AI322">
        <v>0</v>
      </c>
      <c r="AJ322">
        <v>0</v>
      </c>
      <c r="AK322">
        <v>0</v>
      </c>
      <c r="AL322" t="s">
        <v>649</v>
      </c>
      <c r="AM322" t="s">
        <v>486</v>
      </c>
      <c r="AN322" t="s">
        <v>650</v>
      </c>
      <c r="AO322" t="s">
        <v>651</v>
      </c>
      <c r="AP322" t="s">
        <v>652</v>
      </c>
      <c r="AQ322" t="s">
        <v>74</v>
      </c>
      <c r="AR322" t="s">
        <v>653</v>
      </c>
      <c r="AS322" t="s">
        <v>654</v>
      </c>
      <c r="AT322" t="s">
        <v>960</v>
      </c>
      <c r="AU322">
        <v>2021</v>
      </c>
      <c r="AV322">
        <v>203</v>
      </c>
      <c r="AW322">
        <v>9</v>
      </c>
      <c r="AX322" t="s">
        <v>74</v>
      </c>
      <c r="AY322" t="s">
        <v>998</v>
      </c>
      <c r="AZ322" t="s">
        <v>74</v>
      </c>
      <c r="BA322" t="s">
        <v>4907</v>
      </c>
      <c r="BB322" t="s">
        <v>74</v>
      </c>
      <c r="BC322" t="s">
        <v>74</v>
      </c>
      <c r="BD322" t="s">
        <v>74</v>
      </c>
      <c r="BE322" t="s">
        <v>74</v>
      </c>
      <c r="BF322" t="s">
        <v>74</v>
      </c>
      <c r="BG322" t="s">
        <v>74</v>
      </c>
      <c r="BH322" t="s">
        <v>74</v>
      </c>
      <c r="BI322">
        <v>1</v>
      </c>
      <c r="BJ322" t="s">
        <v>341</v>
      </c>
      <c r="BK322" t="s">
        <v>512</v>
      </c>
      <c r="BL322" t="s">
        <v>342</v>
      </c>
      <c r="BM322" t="s">
        <v>4819</v>
      </c>
      <c r="BN322" t="s">
        <v>74</v>
      </c>
      <c r="BO322" t="s">
        <v>74</v>
      </c>
      <c r="BP322" t="s">
        <v>74</v>
      </c>
      <c r="BQ322" t="s">
        <v>74</v>
      </c>
      <c r="BR322" t="s">
        <v>104</v>
      </c>
      <c r="BS322" t="s">
        <v>4908</v>
      </c>
      <c r="BT322" t="str">
        <f>HYPERLINK("https%3A%2F%2Fwww.webofscience.com%2Fwos%2Fwoscc%2Ffull-record%2FWOS:000685468903430","View Full Record in Web of Science")</f>
        <v>View Full Record in Web of Science</v>
      </c>
    </row>
    <row r="323" spans="1:72" x14ac:dyDescent="0.25">
      <c r="A323" t="s">
        <v>72</v>
      </c>
      <c r="B323" t="s">
        <v>4909</v>
      </c>
      <c r="C323" t="s">
        <v>74</v>
      </c>
      <c r="D323" t="s">
        <v>74</v>
      </c>
      <c r="E323" t="s">
        <v>74</v>
      </c>
      <c r="F323" t="s">
        <v>4910</v>
      </c>
      <c r="G323" t="s">
        <v>74</v>
      </c>
      <c r="H323" t="s">
        <v>74</v>
      </c>
      <c r="I323" t="s">
        <v>4911</v>
      </c>
      <c r="J323" t="s">
        <v>637</v>
      </c>
      <c r="K323" t="s">
        <v>74</v>
      </c>
      <c r="L323" t="s">
        <v>74</v>
      </c>
      <c r="M323" t="s">
        <v>78</v>
      </c>
      <c r="N323" t="s">
        <v>52</v>
      </c>
      <c r="O323" t="s">
        <v>2003</v>
      </c>
      <c r="P323" t="s">
        <v>4812</v>
      </c>
      <c r="Q323" t="s">
        <v>4325</v>
      </c>
      <c r="R323" t="s">
        <v>2006</v>
      </c>
      <c r="S323" t="s">
        <v>74</v>
      </c>
      <c r="T323" t="s">
        <v>74</v>
      </c>
      <c r="U323" t="s">
        <v>74</v>
      </c>
      <c r="V323" t="s">
        <v>74</v>
      </c>
      <c r="W323" t="s">
        <v>4912</v>
      </c>
      <c r="X323" t="s">
        <v>4913</v>
      </c>
      <c r="Y323" t="s">
        <v>74</v>
      </c>
      <c r="Z323" t="s">
        <v>74</v>
      </c>
      <c r="AA323" t="s">
        <v>4914</v>
      </c>
      <c r="AB323" t="s">
        <v>4915</v>
      </c>
      <c r="AC323" t="s">
        <v>4916</v>
      </c>
      <c r="AD323" t="s">
        <v>4917</v>
      </c>
      <c r="AE323" t="s">
        <v>4918</v>
      </c>
      <c r="AF323" t="s">
        <v>74</v>
      </c>
      <c r="AG323">
        <v>0</v>
      </c>
      <c r="AH323">
        <v>1</v>
      </c>
      <c r="AI323">
        <v>1</v>
      </c>
      <c r="AJ323">
        <v>0</v>
      </c>
      <c r="AK323">
        <v>0</v>
      </c>
      <c r="AL323" t="s">
        <v>649</v>
      </c>
      <c r="AM323" t="s">
        <v>486</v>
      </c>
      <c r="AN323" t="s">
        <v>650</v>
      </c>
      <c r="AO323" t="s">
        <v>651</v>
      </c>
      <c r="AP323" t="s">
        <v>652</v>
      </c>
      <c r="AQ323" t="s">
        <v>74</v>
      </c>
      <c r="AR323" t="s">
        <v>653</v>
      </c>
      <c r="AS323" t="s">
        <v>654</v>
      </c>
      <c r="AT323" t="s">
        <v>960</v>
      </c>
      <c r="AU323">
        <v>2021</v>
      </c>
      <c r="AV323">
        <v>203</v>
      </c>
      <c r="AW323">
        <v>9</v>
      </c>
      <c r="AX323" t="s">
        <v>74</v>
      </c>
      <c r="AY323" t="s">
        <v>998</v>
      </c>
      <c r="AZ323" t="s">
        <v>74</v>
      </c>
      <c r="BA323" t="s">
        <v>4919</v>
      </c>
      <c r="BB323" t="s">
        <v>74</v>
      </c>
      <c r="BC323" t="s">
        <v>74</v>
      </c>
      <c r="BD323" t="s">
        <v>74</v>
      </c>
      <c r="BE323" t="s">
        <v>74</v>
      </c>
      <c r="BF323" t="s">
        <v>74</v>
      </c>
      <c r="BG323" t="s">
        <v>74</v>
      </c>
      <c r="BH323" t="s">
        <v>74</v>
      </c>
      <c r="BI323">
        <v>2</v>
      </c>
      <c r="BJ323" t="s">
        <v>341</v>
      </c>
      <c r="BK323" t="s">
        <v>512</v>
      </c>
      <c r="BL323" t="s">
        <v>342</v>
      </c>
      <c r="BM323" t="s">
        <v>4819</v>
      </c>
      <c r="BN323" t="s">
        <v>74</v>
      </c>
      <c r="BO323" t="s">
        <v>74</v>
      </c>
      <c r="BP323" t="s">
        <v>74</v>
      </c>
      <c r="BQ323" t="s">
        <v>74</v>
      </c>
      <c r="BR323" t="s">
        <v>104</v>
      </c>
      <c r="BS323" t="s">
        <v>4920</v>
      </c>
      <c r="BT323" t="str">
        <f>HYPERLINK("https%3A%2F%2Fwww.webofscience.com%2Fwos%2Fwoscc%2Ffull-record%2FWOS:000685468903384","View Full Record in Web of Science")</f>
        <v>View Full Record in Web of Science</v>
      </c>
    </row>
    <row r="324" spans="1:72" x14ac:dyDescent="0.25">
      <c r="A324" t="s">
        <v>72</v>
      </c>
      <c r="B324" t="s">
        <v>4921</v>
      </c>
      <c r="C324" t="s">
        <v>74</v>
      </c>
      <c r="D324" t="s">
        <v>74</v>
      </c>
      <c r="E324" t="s">
        <v>74</v>
      </c>
      <c r="F324" t="s">
        <v>4922</v>
      </c>
      <c r="G324" t="s">
        <v>74</v>
      </c>
      <c r="H324" t="s">
        <v>74</v>
      </c>
      <c r="I324" t="s">
        <v>4923</v>
      </c>
      <c r="J324" t="s">
        <v>637</v>
      </c>
      <c r="K324" t="s">
        <v>74</v>
      </c>
      <c r="L324" t="s">
        <v>74</v>
      </c>
      <c r="M324" t="s">
        <v>78</v>
      </c>
      <c r="N324" t="s">
        <v>79</v>
      </c>
      <c r="O324" t="s">
        <v>74</v>
      </c>
      <c r="P324" t="s">
        <v>74</v>
      </c>
      <c r="Q324" t="s">
        <v>74</v>
      </c>
      <c r="R324" t="s">
        <v>74</v>
      </c>
      <c r="S324" t="s">
        <v>74</v>
      </c>
      <c r="T324" t="s">
        <v>4924</v>
      </c>
      <c r="U324" t="s">
        <v>4925</v>
      </c>
      <c r="V324" t="s">
        <v>4926</v>
      </c>
      <c r="W324" t="s">
        <v>4927</v>
      </c>
      <c r="X324" t="s">
        <v>4928</v>
      </c>
      <c r="Y324" t="s">
        <v>4929</v>
      </c>
      <c r="Z324" t="s">
        <v>4930</v>
      </c>
      <c r="AA324" t="s">
        <v>4931</v>
      </c>
      <c r="AB324" t="s">
        <v>4932</v>
      </c>
      <c r="AC324" t="s">
        <v>4933</v>
      </c>
      <c r="AD324" t="s">
        <v>4934</v>
      </c>
      <c r="AE324" t="s">
        <v>4935</v>
      </c>
      <c r="AF324" t="s">
        <v>74</v>
      </c>
      <c r="AG324">
        <v>59</v>
      </c>
      <c r="AH324">
        <v>47</v>
      </c>
      <c r="AI324">
        <v>51</v>
      </c>
      <c r="AJ324">
        <v>4</v>
      </c>
      <c r="AK324">
        <v>29</v>
      </c>
      <c r="AL324" t="s">
        <v>649</v>
      </c>
      <c r="AM324" t="s">
        <v>486</v>
      </c>
      <c r="AN324" t="s">
        <v>650</v>
      </c>
      <c r="AO324" t="s">
        <v>651</v>
      </c>
      <c r="AP324" t="s">
        <v>652</v>
      </c>
      <c r="AQ324" t="s">
        <v>74</v>
      </c>
      <c r="AR324" t="s">
        <v>653</v>
      </c>
      <c r="AS324" t="s">
        <v>654</v>
      </c>
      <c r="AT324" t="s">
        <v>4936</v>
      </c>
      <c r="AU324">
        <v>2021</v>
      </c>
      <c r="AV324">
        <v>203</v>
      </c>
      <c r="AW324">
        <v>8</v>
      </c>
      <c r="AX324" t="s">
        <v>74</v>
      </c>
      <c r="AY324" t="s">
        <v>74</v>
      </c>
      <c r="AZ324" t="s">
        <v>74</v>
      </c>
      <c r="BA324" t="s">
        <v>74</v>
      </c>
      <c r="BB324">
        <v>1006</v>
      </c>
      <c r="BC324">
        <v>1022</v>
      </c>
      <c r="BD324" t="s">
        <v>74</v>
      </c>
      <c r="BE324" t="s">
        <v>4937</v>
      </c>
      <c r="BF324" t="str">
        <f>HYPERLINK("http://dx.doi.org/10.1164/rccm.202006-2169OC","http://dx.doi.org/10.1164/rccm.202006-2169OC")</f>
        <v>http://dx.doi.org/10.1164/rccm.202006-2169OC</v>
      </c>
      <c r="BG324" t="s">
        <v>74</v>
      </c>
      <c r="BH324" t="s">
        <v>74</v>
      </c>
      <c r="BI324">
        <v>17</v>
      </c>
      <c r="BJ324" t="s">
        <v>341</v>
      </c>
      <c r="BK324" t="s">
        <v>101</v>
      </c>
      <c r="BL324" t="s">
        <v>342</v>
      </c>
      <c r="BM324" t="s">
        <v>4938</v>
      </c>
      <c r="BN324">
        <v>33021809</v>
      </c>
      <c r="BO324" t="s">
        <v>103</v>
      </c>
      <c r="BP324" t="s">
        <v>74</v>
      </c>
      <c r="BQ324" t="s">
        <v>74</v>
      </c>
      <c r="BR324" t="s">
        <v>104</v>
      </c>
      <c r="BS324" t="s">
        <v>4939</v>
      </c>
      <c r="BT324" t="str">
        <f>HYPERLINK("https%3A%2F%2Fwww.webofscience.com%2Fwos%2Fwoscc%2Ffull-record%2FWOS:000641150300016","View Full Record in Web of Science")</f>
        <v>View Full Record in Web of Science</v>
      </c>
    </row>
    <row r="325" spans="1:72" x14ac:dyDescent="0.25">
      <c r="A325" t="s">
        <v>72</v>
      </c>
      <c r="B325" t="s">
        <v>4940</v>
      </c>
      <c r="C325" t="s">
        <v>74</v>
      </c>
      <c r="D325" t="s">
        <v>74</v>
      </c>
      <c r="E325" t="s">
        <v>74</v>
      </c>
      <c r="F325" t="s">
        <v>4941</v>
      </c>
      <c r="G325" t="s">
        <v>74</v>
      </c>
      <c r="H325" t="s">
        <v>74</v>
      </c>
      <c r="I325" t="s">
        <v>4942</v>
      </c>
      <c r="J325" t="s">
        <v>216</v>
      </c>
      <c r="K325" t="s">
        <v>74</v>
      </c>
      <c r="L325" t="s">
        <v>74</v>
      </c>
      <c r="M325" t="s">
        <v>78</v>
      </c>
      <c r="N325" t="s">
        <v>79</v>
      </c>
      <c r="O325" t="s">
        <v>74</v>
      </c>
      <c r="P325" t="s">
        <v>74</v>
      </c>
      <c r="Q325" t="s">
        <v>74</v>
      </c>
      <c r="R325" t="s">
        <v>74</v>
      </c>
      <c r="S325" t="s">
        <v>74</v>
      </c>
      <c r="T325" t="s">
        <v>74</v>
      </c>
      <c r="U325" t="s">
        <v>4943</v>
      </c>
      <c r="V325" t="s">
        <v>4944</v>
      </c>
      <c r="W325" t="s">
        <v>4945</v>
      </c>
      <c r="X325" t="s">
        <v>4946</v>
      </c>
      <c r="Y325" t="s">
        <v>4947</v>
      </c>
      <c r="Z325" t="s">
        <v>3181</v>
      </c>
      <c r="AA325" t="s">
        <v>4948</v>
      </c>
      <c r="AB325" t="s">
        <v>4949</v>
      </c>
      <c r="AC325" t="s">
        <v>243</v>
      </c>
      <c r="AD325" t="s">
        <v>243</v>
      </c>
      <c r="AE325" t="s">
        <v>4950</v>
      </c>
      <c r="AF325" t="s">
        <v>74</v>
      </c>
      <c r="AG325">
        <v>140</v>
      </c>
      <c r="AH325">
        <v>146</v>
      </c>
      <c r="AI325">
        <v>157</v>
      </c>
      <c r="AJ325">
        <v>1</v>
      </c>
      <c r="AK325">
        <v>18</v>
      </c>
      <c r="AL325" t="s">
        <v>219</v>
      </c>
      <c r="AM325" t="s">
        <v>220</v>
      </c>
      <c r="AN325" t="s">
        <v>221</v>
      </c>
      <c r="AO325" t="s">
        <v>222</v>
      </c>
      <c r="AP325" t="s">
        <v>223</v>
      </c>
      <c r="AQ325" t="s">
        <v>74</v>
      </c>
      <c r="AR325" t="s">
        <v>224</v>
      </c>
      <c r="AS325" t="s">
        <v>225</v>
      </c>
      <c r="AT325" t="s">
        <v>1017</v>
      </c>
      <c r="AU325">
        <v>2021</v>
      </c>
      <c r="AV325">
        <v>57</v>
      </c>
      <c r="AW325">
        <v>4</v>
      </c>
      <c r="AX325" t="s">
        <v>74</v>
      </c>
      <c r="AY325" t="s">
        <v>74</v>
      </c>
      <c r="AZ325" t="s">
        <v>74</v>
      </c>
      <c r="BA325" t="s">
        <v>74</v>
      </c>
      <c r="BB325" t="s">
        <v>74</v>
      </c>
      <c r="BC325" t="s">
        <v>74</v>
      </c>
      <c r="BD325">
        <v>2100048</v>
      </c>
      <c r="BE325" t="s">
        <v>4951</v>
      </c>
      <c r="BF325" t="str">
        <f>HYPERLINK("http://dx.doi.org/10.1183/13993003.00048-2021","http://dx.doi.org/10.1183/13993003.00048-2021")</f>
        <v>http://dx.doi.org/10.1183/13993003.00048-2021</v>
      </c>
      <c r="BG325" t="s">
        <v>74</v>
      </c>
      <c r="BH325" t="s">
        <v>74</v>
      </c>
      <c r="BI325">
        <v>20</v>
      </c>
      <c r="BJ325" t="s">
        <v>228</v>
      </c>
      <c r="BK325" t="s">
        <v>101</v>
      </c>
      <c r="BL325" t="s">
        <v>228</v>
      </c>
      <c r="BM325" t="s">
        <v>4952</v>
      </c>
      <c r="BN325">
        <v>33692120</v>
      </c>
      <c r="BO325" t="s">
        <v>246</v>
      </c>
      <c r="BP325" t="s">
        <v>1155</v>
      </c>
      <c r="BQ325" t="s">
        <v>1156</v>
      </c>
      <c r="BR325" t="s">
        <v>104</v>
      </c>
      <c r="BS325" t="s">
        <v>4953</v>
      </c>
      <c r="BT325" t="str">
        <f>HYPERLINK("https%3A%2F%2Fwww.webofscience.com%2Fwos%2Fwoscc%2Ffull-record%2FWOS:000658753000013","View Full Record in Web of Science")</f>
        <v>View Full Record in Web of Science</v>
      </c>
    </row>
    <row r="326" spans="1:72" x14ac:dyDescent="0.25">
      <c r="A326" t="s">
        <v>72</v>
      </c>
      <c r="B326" t="s">
        <v>4954</v>
      </c>
      <c r="C326" t="s">
        <v>74</v>
      </c>
      <c r="D326" t="s">
        <v>74</v>
      </c>
      <c r="E326" t="s">
        <v>74</v>
      </c>
      <c r="F326" t="s">
        <v>4955</v>
      </c>
      <c r="G326" t="s">
        <v>74</v>
      </c>
      <c r="H326" t="s">
        <v>74</v>
      </c>
      <c r="I326" t="s">
        <v>4956</v>
      </c>
      <c r="J326" t="s">
        <v>793</v>
      </c>
      <c r="K326" t="s">
        <v>74</v>
      </c>
      <c r="L326" t="s">
        <v>74</v>
      </c>
      <c r="M326" t="s">
        <v>78</v>
      </c>
      <c r="N326" t="s">
        <v>79</v>
      </c>
      <c r="O326" t="s">
        <v>74</v>
      </c>
      <c r="P326" t="s">
        <v>74</v>
      </c>
      <c r="Q326" t="s">
        <v>74</v>
      </c>
      <c r="R326" t="s">
        <v>74</v>
      </c>
      <c r="S326" t="s">
        <v>74</v>
      </c>
      <c r="T326" t="s">
        <v>74</v>
      </c>
      <c r="U326" t="s">
        <v>4957</v>
      </c>
      <c r="V326" t="s">
        <v>4958</v>
      </c>
      <c r="W326" t="s">
        <v>4959</v>
      </c>
      <c r="X326" t="s">
        <v>4960</v>
      </c>
      <c r="Y326" t="s">
        <v>4961</v>
      </c>
      <c r="Z326" t="s">
        <v>4962</v>
      </c>
      <c r="AA326" t="s">
        <v>4963</v>
      </c>
      <c r="AB326" t="s">
        <v>4964</v>
      </c>
      <c r="AC326" t="s">
        <v>74</v>
      </c>
      <c r="AD326" t="s">
        <v>74</v>
      </c>
      <c r="AE326" t="s">
        <v>74</v>
      </c>
      <c r="AF326" t="s">
        <v>74</v>
      </c>
      <c r="AG326">
        <v>38</v>
      </c>
      <c r="AH326">
        <v>6</v>
      </c>
      <c r="AI326">
        <v>6</v>
      </c>
      <c r="AJ326">
        <v>0</v>
      </c>
      <c r="AK326">
        <v>1</v>
      </c>
      <c r="AL326" t="s">
        <v>219</v>
      </c>
      <c r="AM326" t="s">
        <v>220</v>
      </c>
      <c r="AN326" t="s">
        <v>221</v>
      </c>
      <c r="AO326" t="s">
        <v>74</v>
      </c>
      <c r="AP326" t="s">
        <v>803</v>
      </c>
      <c r="AQ326" t="s">
        <v>74</v>
      </c>
      <c r="AR326" t="s">
        <v>804</v>
      </c>
      <c r="AS326" t="s">
        <v>805</v>
      </c>
      <c r="AT326" t="s">
        <v>1017</v>
      </c>
      <c r="AU326">
        <v>2021</v>
      </c>
      <c r="AV326">
        <v>7</v>
      </c>
      <c r="AW326">
        <v>2</v>
      </c>
      <c r="AX326" t="s">
        <v>74</v>
      </c>
      <c r="AY326" t="s">
        <v>74</v>
      </c>
      <c r="AZ326" t="s">
        <v>74</v>
      </c>
      <c r="BA326" t="s">
        <v>74</v>
      </c>
      <c r="BB326" t="s">
        <v>74</v>
      </c>
      <c r="BC326" t="s">
        <v>74</v>
      </c>
      <c r="BD326" t="s">
        <v>4965</v>
      </c>
      <c r="BE326" t="s">
        <v>4966</v>
      </c>
      <c r="BF326" t="str">
        <f>HYPERLINK("http://dx.doi.org/10.1183/23120541.00941-2020","http://dx.doi.org/10.1183/23120541.00941-2020")</f>
        <v>http://dx.doi.org/10.1183/23120541.00941-2020</v>
      </c>
      <c r="BG326" t="s">
        <v>74</v>
      </c>
      <c r="BH326" t="s">
        <v>74</v>
      </c>
      <c r="BI326">
        <v>9</v>
      </c>
      <c r="BJ326" t="s">
        <v>228</v>
      </c>
      <c r="BK326" t="s">
        <v>101</v>
      </c>
      <c r="BL326" t="s">
        <v>228</v>
      </c>
      <c r="BM326" t="s">
        <v>4967</v>
      </c>
      <c r="BN326">
        <v>34084780</v>
      </c>
      <c r="BO326" t="s">
        <v>1665</v>
      </c>
      <c r="BP326" t="s">
        <v>74</v>
      </c>
      <c r="BQ326" t="s">
        <v>74</v>
      </c>
      <c r="BR326" t="s">
        <v>104</v>
      </c>
      <c r="BS326" t="s">
        <v>4968</v>
      </c>
      <c r="BT326" t="str">
        <f>HYPERLINK("https%3A%2F%2Fwww.webofscience.com%2Fwos%2Fwoscc%2Ffull-record%2FWOS:000684169700049","View Full Record in Web of Science")</f>
        <v>View Full Record in Web of Science</v>
      </c>
    </row>
    <row r="327" spans="1:72" x14ac:dyDescent="0.25">
      <c r="A327" t="s">
        <v>72</v>
      </c>
      <c r="B327" t="s">
        <v>4969</v>
      </c>
      <c r="C327" t="s">
        <v>74</v>
      </c>
      <c r="D327" t="s">
        <v>74</v>
      </c>
      <c r="E327" t="s">
        <v>74</v>
      </c>
      <c r="F327" t="s">
        <v>4970</v>
      </c>
      <c r="G327" t="s">
        <v>74</v>
      </c>
      <c r="H327" t="s">
        <v>4971</v>
      </c>
      <c r="I327" t="s">
        <v>4972</v>
      </c>
      <c r="J327" t="s">
        <v>2276</v>
      </c>
      <c r="K327" t="s">
        <v>74</v>
      </c>
      <c r="L327" t="s">
        <v>74</v>
      </c>
      <c r="M327" t="s">
        <v>78</v>
      </c>
      <c r="N327" t="s">
        <v>79</v>
      </c>
      <c r="O327" t="s">
        <v>74</v>
      </c>
      <c r="P327" t="s">
        <v>74</v>
      </c>
      <c r="Q327" t="s">
        <v>74</v>
      </c>
      <c r="R327" t="s">
        <v>74</v>
      </c>
      <c r="S327" t="s">
        <v>74</v>
      </c>
      <c r="T327" t="s">
        <v>74</v>
      </c>
      <c r="U327" t="s">
        <v>74</v>
      </c>
      <c r="V327" t="s">
        <v>4973</v>
      </c>
      <c r="W327" t="s">
        <v>4974</v>
      </c>
      <c r="X327" t="s">
        <v>4975</v>
      </c>
      <c r="Y327" t="s">
        <v>4976</v>
      </c>
      <c r="Z327" t="s">
        <v>4977</v>
      </c>
      <c r="AA327" t="s">
        <v>4978</v>
      </c>
      <c r="AB327" t="s">
        <v>4979</v>
      </c>
      <c r="AC327" t="s">
        <v>4816</v>
      </c>
      <c r="AD327" t="s">
        <v>4816</v>
      </c>
      <c r="AE327" t="s">
        <v>4980</v>
      </c>
      <c r="AF327" t="s">
        <v>74</v>
      </c>
      <c r="AG327">
        <v>27</v>
      </c>
      <c r="AH327">
        <v>299</v>
      </c>
      <c r="AI327">
        <v>306</v>
      </c>
      <c r="AJ327">
        <v>9</v>
      </c>
      <c r="AK327">
        <v>70</v>
      </c>
      <c r="AL327" t="s">
        <v>2284</v>
      </c>
      <c r="AM327" t="s">
        <v>2285</v>
      </c>
      <c r="AN327" t="s">
        <v>2286</v>
      </c>
      <c r="AO327" t="s">
        <v>2287</v>
      </c>
      <c r="AP327" t="s">
        <v>2288</v>
      </c>
      <c r="AQ327" t="s">
        <v>74</v>
      </c>
      <c r="AR327" t="s">
        <v>2289</v>
      </c>
      <c r="AS327" t="s">
        <v>2290</v>
      </c>
      <c r="AT327" t="s">
        <v>1017</v>
      </c>
      <c r="AU327">
        <v>2021</v>
      </c>
      <c r="AV327">
        <v>384</v>
      </c>
      <c r="AW327">
        <v>13</v>
      </c>
      <c r="AX327" t="s">
        <v>74</v>
      </c>
      <c r="AY327" t="s">
        <v>74</v>
      </c>
      <c r="AZ327" t="s">
        <v>74</v>
      </c>
      <c r="BA327" t="s">
        <v>74</v>
      </c>
      <c r="BB327">
        <v>1204</v>
      </c>
      <c r="BC327">
        <v>1215</v>
      </c>
      <c r="BD327" t="s">
        <v>74</v>
      </c>
      <c r="BE327" t="s">
        <v>4981</v>
      </c>
      <c r="BF327" t="str">
        <f>HYPERLINK("http://dx.doi.org/10.1056/NEJMoa2024277","http://dx.doi.org/10.1056/NEJMoa2024277")</f>
        <v>http://dx.doi.org/10.1056/NEJMoa2024277</v>
      </c>
      <c r="BG327" t="s">
        <v>74</v>
      </c>
      <c r="BH327" t="s">
        <v>74</v>
      </c>
      <c r="BI327">
        <v>12</v>
      </c>
      <c r="BJ327" t="s">
        <v>1152</v>
      </c>
      <c r="BK327" t="s">
        <v>101</v>
      </c>
      <c r="BL327" t="s">
        <v>1153</v>
      </c>
      <c r="BM327" t="s">
        <v>4982</v>
      </c>
      <c r="BN327">
        <v>33789009</v>
      </c>
      <c r="BO327" t="s">
        <v>2854</v>
      </c>
      <c r="BP327" t="s">
        <v>1155</v>
      </c>
      <c r="BQ327" t="s">
        <v>1156</v>
      </c>
      <c r="BR327" t="s">
        <v>104</v>
      </c>
      <c r="BS327" t="s">
        <v>4983</v>
      </c>
      <c r="BT327" t="str">
        <f>HYPERLINK("https%3A%2F%2Fwww.webofscience.com%2Fwos%2Fwoscc%2Ffull-record%2FWOS:000637850100007","View Full Record in Web of Science")</f>
        <v>View Full Record in Web of Science</v>
      </c>
    </row>
    <row r="328" spans="1:72" x14ac:dyDescent="0.25">
      <c r="A328" t="s">
        <v>72</v>
      </c>
      <c r="B328" t="s">
        <v>4984</v>
      </c>
      <c r="C328" t="s">
        <v>74</v>
      </c>
      <c r="D328" t="s">
        <v>74</v>
      </c>
      <c r="E328" t="s">
        <v>74</v>
      </c>
      <c r="F328" t="s">
        <v>4985</v>
      </c>
      <c r="G328" t="s">
        <v>74</v>
      </c>
      <c r="H328" t="s">
        <v>74</v>
      </c>
      <c r="I328" t="s">
        <v>4986</v>
      </c>
      <c r="J328" t="s">
        <v>4987</v>
      </c>
      <c r="K328" t="s">
        <v>74</v>
      </c>
      <c r="L328" t="s">
        <v>74</v>
      </c>
      <c r="M328" t="s">
        <v>78</v>
      </c>
      <c r="N328" t="s">
        <v>52</v>
      </c>
      <c r="O328" t="s">
        <v>74</v>
      </c>
      <c r="P328" t="s">
        <v>74</v>
      </c>
      <c r="Q328" t="s">
        <v>74</v>
      </c>
      <c r="R328" t="s">
        <v>74</v>
      </c>
      <c r="S328" t="s">
        <v>74</v>
      </c>
      <c r="T328" t="s">
        <v>74</v>
      </c>
      <c r="U328" t="s">
        <v>74</v>
      </c>
      <c r="V328" t="s">
        <v>74</v>
      </c>
      <c r="W328" t="s">
        <v>4988</v>
      </c>
      <c r="X328" t="s">
        <v>4989</v>
      </c>
      <c r="Y328" t="s">
        <v>74</v>
      </c>
      <c r="Z328" t="s">
        <v>74</v>
      </c>
      <c r="AA328" t="s">
        <v>144</v>
      </c>
      <c r="AB328" t="s">
        <v>74</v>
      </c>
      <c r="AC328" t="s">
        <v>145</v>
      </c>
      <c r="AD328" t="s">
        <v>146</v>
      </c>
      <c r="AE328" t="s">
        <v>145</v>
      </c>
      <c r="AF328" t="s">
        <v>74</v>
      </c>
      <c r="AG328">
        <v>0</v>
      </c>
      <c r="AH328">
        <v>0</v>
      </c>
      <c r="AI328">
        <v>0</v>
      </c>
      <c r="AJ328">
        <v>0</v>
      </c>
      <c r="AK328">
        <v>0</v>
      </c>
      <c r="AL328" t="s">
        <v>4990</v>
      </c>
      <c r="AM328" t="s">
        <v>4991</v>
      </c>
      <c r="AN328" t="s">
        <v>4992</v>
      </c>
      <c r="AO328" t="s">
        <v>4993</v>
      </c>
      <c r="AP328" t="s">
        <v>4994</v>
      </c>
      <c r="AQ328" t="s">
        <v>74</v>
      </c>
      <c r="AR328" t="s">
        <v>4987</v>
      </c>
      <c r="AS328" t="s">
        <v>4995</v>
      </c>
      <c r="AT328" t="s">
        <v>997</v>
      </c>
      <c r="AU328">
        <v>2021</v>
      </c>
      <c r="AV328">
        <v>75</v>
      </c>
      <c r="AW328" t="s">
        <v>74</v>
      </c>
      <c r="AX328" t="s">
        <v>74</v>
      </c>
      <c r="AY328">
        <v>1</v>
      </c>
      <c r="AZ328" t="s">
        <v>74</v>
      </c>
      <c r="BA328" t="s">
        <v>4996</v>
      </c>
      <c r="BB328" t="s">
        <v>4997</v>
      </c>
      <c r="BC328" t="s">
        <v>4997</v>
      </c>
      <c r="BD328" t="s">
        <v>74</v>
      </c>
      <c r="BE328" t="s">
        <v>4998</v>
      </c>
      <c r="BF328" t="str">
        <f>HYPERLINK("http://dx.doi.org/10.1055/s-0041-1723318","http://dx.doi.org/10.1055/s-0041-1723318")</f>
        <v>http://dx.doi.org/10.1055/s-0041-1723318</v>
      </c>
      <c r="BG328" t="s">
        <v>74</v>
      </c>
      <c r="BH328" t="s">
        <v>74</v>
      </c>
      <c r="BI328">
        <v>1</v>
      </c>
      <c r="BJ328" t="s">
        <v>228</v>
      </c>
      <c r="BK328" t="s">
        <v>2192</v>
      </c>
      <c r="BL328" t="s">
        <v>228</v>
      </c>
      <c r="BM328" t="s">
        <v>4999</v>
      </c>
      <c r="BN328" t="s">
        <v>74</v>
      </c>
      <c r="BO328" t="s">
        <v>74</v>
      </c>
      <c r="BP328" t="s">
        <v>74</v>
      </c>
      <c r="BQ328" t="s">
        <v>74</v>
      </c>
      <c r="BR328" t="s">
        <v>104</v>
      </c>
      <c r="BS328" t="s">
        <v>5000</v>
      </c>
      <c r="BT328" t="str">
        <f>HYPERLINK("https%3A%2F%2Fwww.webofscience.com%2Fwos%2Fwoscc%2Ffull-record%2FWOS:000645825800049","View Full Record in Web of Science")</f>
        <v>View Full Record in Web of Science</v>
      </c>
    </row>
    <row r="329" spans="1:72" x14ac:dyDescent="0.25">
      <c r="A329" t="s">
        <v>72</v>
      </c>
      <c r="B329" t="s">
        <v>5001</v>
      </c>
      <c r="C329" t="s">
        <v>74</v>
      </c>
      <c r="D329" t="s">
        <v>74</v>
      </c>
      <c r="E329" t="s">
        <v>74</v>
      </c>
      <c r="F329" t="s">
        <v>5002</v>
      </c>
      <c r="G329" t="s">
        <v>74</v>
      </c>
      <c r="H329" t="s">
        <v>74</v>
      </c>
      <c r="I329" t="s">
        <v>5003</v>
      </c>
      <c r="J329" t="s">
        <v>435</v>
      </c>
      <c r="K329" t="s">
        <v>74</v>
      </c>
      <c r="L329" t="s">
        <v>74</v>
      </c>
      <c r="M329" t="s">
        <v>78</v>
      </c>
      <c r="N329" t="s">
        <v>79</v>
      </c>
      <c r="O329" t="s">
        <v>74</v>
      </c>
      <c r="P329" t="s">
        <v>74</v>
      </c>
      <c r="Q329" t="s">
        <v>74</v>
      </c>
      <c r="R329" t="s">
        <v>74</v>
      </c>
      <c r="S329" t="s">
        <v>74</v>
      </c>
      <c r="T329" t="s">
        <v>5004</v>
      </c>
      <c r="U329" t="s">
        <v>5005</v>
      </c>
      <c r="V329" t="s">
        <v>5006</v>
      </c>
      <c r="W329" t="s">
        <v>5007</v>
      </c>
      <c r="X329" t="s">
        <v>5008</v>
      </c>
      <c r="Y329" t="s">
        <v>5009</v>
      </c>
      <c r="Z329" t="s">
        <v>4675</v>
      </c>
      <c r="AA329" t="s">
        <v>5010</v>
      </c>
      <c r="AB329" t="s">
        <v>5011</v>
      </c>
      <c r="AC329" t="s">
        <v>74</v>
      </c>
      <c r="AD329" t="s">
        <v>74</v>
      </c>
      <c r="AE329" t="s">
        <v>74</v>
      </c>
      <c r="AF329" t="s">
        <v>74</v>
      </c>
      <c r="AG329">
        <v>38</v>
      </c>
      <c r="AH329">
        <v>6</v>
      </c>
      <c r="AI329">
        <v>6</v>
      </c>
      <c r="AJ329">
        <v>1</v>
      </c>
      <c r="AK329">
        <v>1</v>
      </c>
      <c r="AL329" t="s">
        <v>169</v>
      </c>
      <c r="AM329" t="s">
        <v>170</v>
      </c>
      <c r="AN329" t="s">
        <v>171</v>
      </c>
      <c r="AO329" t="s">
        <v>448</v>
      </c>
      <c r="AP329" t="s">
        <v>449</v>
      </c>
      <c r="AQ329" t="s">
        <v>74</v>
      </c>
      <c r="AR329" t="s">
        <v>450</v>
      </c>
      <c r="AS329" t="s">
        <v>451</v>
      </c>
      <c r="AT329" t="s">
        <v>997</v>
      </c>
      <c r="AU329">
        <v>2021</v>
      </c>
      <c r="AV329">
        <v>11</v>
      </c>
      <c r="AW329">
        <v>2</v>
      </c>
      <c r="AX329" t="s">
        <v>74</v>
      </c>
      <c r="AY329" t="s">
        <v>74</v>
      </c>
      <c r="AZ329" t="s">
        <v>74</v>
      </c>
      <c r="BA329" t="s">
        <v>74</v>
      </c>
      <c r="BB329" t="s">
        <v>74</v>
      </c>
      <c r="BC329" t="s">
        <v>74</v>
      </c>
      <c r="BD329">
        <v>2045894021996930</v>
      </c>
      <c r="BE329" t="s">
        <v>5012</v>
      </c>
      <c r="BF329" t="str">
        <f>HYPERLINK("http://dx.doi.org/10.1177/2045894021996930","http://dx.doi.org/10.1177/2045894021996930")</f>
        <v>http://dx.doi.org/10.1177/2045894021996930</v>
      </c>
      <c r="BG329" t="s">
        <v>74</v>
      </c>
      <c r="BH329" t="s">
        <v>74</v>
      </c>
      <c r="BI329">
        <v>9</v>
      </c>
      <c r="BJ329" t="s">
        <v>209</v>
      </c>
      <c r="BK329" t="s">
        <v>101</v>
      </c>
      <c r="BL329" t="s">
        <v>210</v>
      </c>
      <c r="BM329" t="s">
        <v>5013</v>
      </c>
      <c r="BN329">
        <v>33868638</v>
      </c>
      <c r="BO329" t="s">
        <v>5014</v>
      </c>
      <c r="BP329" t="s">
        <v>74</v>
      </c>
      <c r="BQ329" t="s">
        <v>74</v>
      </c>
      <c r="BR329" t="s">
        <v>104</v>
      </c>
      <c r="BS329" t="s">
        <v>5015</v>
      </c>
      <c r="BT329" t="str">
        <f>HYPERLINK("https%3A%2F%2Fwww.webofscience.com%2Fwos%2Fwoscc%2Ffull-record%2FWOS:000636711600001","View Full Record in Web of Science")</f>
        <v>View Full Record in Web of Science</v>
      </c>
    </row>
    <row r="330" spans="1:72" x14ac:dyDescent="0.25">
      <c r="A330" t="s">
        <v>72</v>
      </c>
      <c r="B330" t="s">
        <v>5016</v>
      </c>
      <c r="C330" t="s">
        <v>74</v>
      </c>
      <c r="D330" t="s">
        <v>74</v>
      </c>
      <c r="E330" t="s">
        <v>74</v>
      </c>
      <c r="F330" t="s">
        <v>5017</v>
      </c>
      <c r="G330" t="s">
        <v>74</v>
      </c>
      <c r="H330" t="s">
        <v>74</v>
      </c>
      <c r="I330" t="s">
        <v>5018</v>
      </c>
      <c r="J330" t="s">
        <v>983</v>
      </c>
      <c r="K330" t="s">
        <v>74</v>
      </c>
      <c r="L330" t="s">
        <v>74</v>
      </c>
      <c r="M330" t="s">
        <v>78</v>
      </c>
      <c r="N330" t="s">
        <v>52</v>
      </c>
      <c r="O330" t="s">
        <v>74</v>
      </c>
      <c r="P330" t="s">
        <v>74</v>
      </c>
      <c r="Q330" t="s">
        <v>74</v>
      </c>
      <c r="R330" t="s">
        <v>74</v>
      </c>
      <c r="S330" t="s">
        <v>74</v>
      </c>
      <c r="T330" t="s">
        <v>74</v>
      </c>
      <c r="U330" t="s">
        <v>74</v>
      </c>
      <c r="V330" t="s">
        <v>74</v>
      </c>
      <c r="W330" t="s">
        <v>5019</v>
      </c>
      <c r="X330" t="s">
        <v>5020</v>
      </c>
      <c r="Y330" t="s">
        <v>74</v>
      </c>
      <c r="Z330" t="s">
        <v>74</v>
      </c>
      <c r="AA330" t="s">
        <v>2203</v>
      </c>
      <c r="AB330" t="s">
        <v>257</v>
      </c>
      <c r="AC330" t="s">
        <v>74</v>
      </c>
      <c r="AD330" t="s">
        <v>74</v>
      </c>
      <c r="AE330" t="s">
        <v>74</v>
      </c>
      <c r="AF330" t="s">
        <v>74</v>
      </c>
      <c r="AG330">
        <v>0</v>
      </c>
      <c r="AH330">
        <v>0</v>
      </c>
      <c r="AI330">
        <v>0</v>
      </c>
      <c r="AJ330">
        <v>0</v>
      </c>
      <c r="AK330">
        <v>0</v>
      </c>
      <c r="AL330" t="s">
        <v>991</v>
      </c>
      <c r="AM330" t="s">
        <v>486</v>
      </c>
      <c r="AN330" t="s">
        <v>992</v>
      </c>
      <c r="AO330" t="s">
        <v>993</v>
      </c>
      <c r="AP330" t="s">
        <v>994</v>
      </c>
      <c r="AQ330" t="s">
        <v>74</v>
      </c>
      <c r="AR330" t="s">
        <v>995</v>
      </c>
      <c r="AS330" t="s">
        <v>996</v>
      </c>
      <c r="AT330" t="s">
        <v>997</v>
      </c>
      <c r="AU330">
        <v>2021</v>
      </c>
      <c r="AV330">
        <v>40</v>
      </c>
      <c r="AW330">
        <v>4</v>
      </c>
      <c r="AX330" t="s">
        <v>74</v>
      </c>
      <c r="AY330" t="s">
        <v>998</v>
      </c>
      <c r="AZ330" t="s">
        <v>74</v>
      </c>
      <c r="BA330">
        <v>439</v>
      </c>
      <c r="BB330" t="s">
        <v>5021</v>
      </c>
      <c r="BC330" t="s">
        <v>5021</v>
      </c>
      <c r="BD330" t="s">
        <v>74</v>
      </c>
      <c r="BE330" t="s">
        <v>74</v>
      </c>
      <c r="BF330" t="s">
        <v>74</v>
      </c>
      <c r="BG330" t="s">
        <v>74</v>
      </c>
      <c r="BH330" t="s">
        <v>74</v>
      </c>
      <c r="BI330">
        <v>1</v>
      </c>
      <c r="BJ330" t="s">
        <v>1000</v>
      </c>
      <c r="BK330" t="s">
        <v>101</v>
      </c>
      <c r="BL330" t="s">
        <v>1001</v>
      </c>
      <c r="BM330" t="s">
        <v>5022</v>
      </c>
      <c r="BN330" t="s">
        <v>74</v>
      </c>
      <c r="BO330" t="s">
        <v>74</v>
      </c>
      <c r="BP330" t="s">
        <v>74</v>
      </c>
      <c r="BQ330" t="s">
        <v>74</v>
      </c>
      <c r="BR330" t="s">
        <v>104</v>
      </c>
      <c r="BS330" t="s">
        <v>5023</v>
      </c>
      <c r="BT330" t="str">
        <f>HYPERLINK("https%3A%2F%2Fwww.webofscience.com%2Fwos%2Fwoscc%2Ffull-record%2FWOS:000631254400430","View Full Record in Web of Science")</f>
        <v>View Full Record in Web of Science</v>
      </c>
    </row>
    <row r="331" spans="1:72" x14ac:dyDescent="0.25">
      <c r="A331" t="s">
        <v>72</v>
      </c>
      <c r="B331" t="s">
        <v>5024</v>
      </c>
      <c r="C331" t="s">
        <v>74</v>
      </c>
      <c r="D331" t="s">
        <v>74</v>
      </c>
      <c r="E331" t="s">
        <v>74</v>
      </c>
      <c r="F331" t="s">
        <v>5025</v>
      </c>
      <c r="G331" t="s">
        <v>74</v>
      </c>
      <c r="H331" t="s">
        <v>74</v>
      </c>
      <c r="I331" t="s">
        <v>5026</v>
      </c>
      <c r="J331" t="s">
        <v>3940</v>
      </c>
      <c r="K331" t="s">
        <v>74</v>
      </c>
      <c r="L331" t="s">
        <v>74</v>
      </c>
      <c r="M331" t="s">
        <v>78</v>
      </c>
      <c r="N331" t="s">
        <v>79</v>
      </c>
      <c r="O331" t="s">
        <v>74</v>
      </c>
      <c r="P331" t="s">
        <v>74</v>
      </c>
      <c r="Q331" t="s">
        <v>74</v>
      </c>
      <c r="R331" t="s">
        <v>74</v>
      </c>
      <c r="S331" t="s">
        <v>74</v>
      </c>
      <c r="T331" t="s">
        <v>74</v>
      </c>
      <c r="U331" t="s">
        <v>74</v>
      </c>
      <c r="V331" t="s">
        <v>5027</v>
      </c>
      <c r="W331" t="s">
        <v>5028</v>
      </c>
      <c r="X331" t="s">
        <v>5029</v>
      </c>
      <c r="Y331" t="s">
        <v>5030</v>
      </c>
      <c r="Z331" t="s">
        <v>5031</v>
      </c>
      <c r="AA331" t="s">
        <v>4895</v>
      </c>
      <c r="AB331" t="s">
        <v>5032</v>
      </c>
      <c r="AC331" t="s">
        <v>5033</v>
      </c>
      <c r="AD331" t="s">
        <v>5034</v>
      </c>
      <c r="AE331" t="s">
        <v>5035</v>
      </c>
      <c r="AF331" t="s">
        <v>74</v>
      </c>
      <c r="AG331">
        <v>51</v>
      </c>
      <c r="AH331">
        <v>42</v>
      </c>
      <c r="AI331">
        <v>42</v>
      </c>
      <c r="AJ331">
        <v>0</v>
      </c>
      <c r="AK331">
        <v>10</v>
      </c>
      <c r="AL331" t="s">
        <v>5036</v>
      </c>
      <c r="AM331" t="s">
        <v>283</v>
      </c>
      <c r="AN331" t="s">
        <v>284</v>
      </c>
      <c r="AO331" t="s">
        <v>3952</v>
      </c>
      <c r="AP331" t="s">
        <v>74</v>
      </c>
      <c r="AQ331" t="s">
        <v>74</v>
      </c>
      <c r="AR331" t="s">
        <v>3953</v>
      </c>
      <c r="AS331" t="s">
        <v>3954</v>
      </c>
      <c r="AT331" t="s">
        <v>5037</v>
      </c>
      <c r="AU331">
        <v>2021</v>
      </c>
      <c r="AV331">
        <v>12</v>
      </c>
      <c r="AW331">
        <v>1</v>
      </c>
      <c r="AX331" t="s">
        <v>74</v>
      </c>
      <c r="AY331" t="s">
        <v>74</v>
      </c>
      <c r="AZ331" t="s">
        <v>74</v>
      </c>
      <c r="BA331" t="s">
        <v>74</v>
      </c>
      <c r="BB331" t="s">
        <v>74</v>
      </c>
      <c r="BC331" t="s">
        <v>74</v>
      </c>
      <c r="BD331">
        <v>1720</v>
      </c>
      <c r="BE331" t="s">
        <v>5038</v>
      </c>
      <c r="BF331" t="str">
        <f>HYPERLINK("http://dx.doi.org/10.1038/s41467-021-21961-3","http://dx.doi.org/10.1038/s41467-021-21961-3")</f>
        <v>http://dx.doi.org/10.1038/s41467-021-21961-3</v>
      </c>
      <c r="BG331" t="s">
        <v>74</v>
      </c>
      <c r="BH331" t="s">
        <v>74</v>
      </c>
      <c r="BI331">
        <v>14</v>
      </c>
      <c r="BJ331" t="s">
        <v>290</v>
      </c>
      <c r="BK331" t="s">
        <v>101</v>
      </c>
      <c r="BL331" t="s">
        <v>291</v>
      </c>
      <c r="BM331" t="s">
        <v>5039</v>
      </c>
      <c r="BN331">
        <v>33741934</v>
      </c>
      <c r="BO331" t="s">
        <v>809</v>
      </c>
      <c r="BP331" t="s">
        <v>74</v>
      </c>
      <c r="BQ331" t="s">
        <v>74</v>
      </c>
      <c r="BR331" t="s">
        <v>104</v>
      </c>
      <c r="BS331" t="s">
        <v>5040</v>
      </c>
      <c r="BT331" t="str">
        <f>HYPERLINK("https%3A%2F%2Fwww.webofscience.com%2Fwos%2Fwoscc%2Ffull-record%2FWOS:000631927600005","View Full Record in Web of Science")</f>
        <v>View Full Record in Web of Science</v>
      </c>
    </row>
    <row r="332" spans="1:72" x14ac:dyDescent="0.25">
      <c r="A332" t="s">
        <v>72</v>
      </c>
      <c r="B332" t="s">
        <v>5041</v>
      </c>
      <c r="C332" t="s">
        <v>74</v>
      </c>
      <c r="D332" t="s">
        <v>74</v>
      </c>
      <c r="E332" t="s">
        <v>74</v>
      </c>
      <c r="F332" t="s">
        <v>5042</v>
      </c>
      <c r="G332" t="s">
        <v>74</v>
      </c>
      <c r="H332" t="s">
        <v>74</v>
      </c>
      <c r="I332" t="s">
        <v>5043</v>
      </c>
      <c r="J332" t="s">
        <v>637</v>
      </c>
      <c r="K332" t="s">
        <v>74</v>
      </c>
      <c r="L332" t="s">
        <v>74</v>
      </c>
      <c r="M332" t="s">
        <v>78</v>
      </c>
      <c r="N332" t="s">
        <v>140</v>
      </c>
      <c r="O332" t="s">
        <v>74</v>
      </c>
      <c r="P332" t="s">
        <v>74</v>
      </c>
      <c r="Q332" t="s">
        <v>74</v>
      </c>
      <c r="R332" t="s">
        <v>74</v>
      </c>
      <c r="S332" t="s">
        <v>74</v>
      </c>
      <c r="T332" t="s">
        <v>74</v>
      </c>
      <c r="U332" t="s">
        <v>5044</v>
      </c>
      <c r="V332" t="s">
        <v>74</v>
      </c>
      <c r="W332" t="s">
        <v>5045</v>
      </c>
      <c r="X332" t="s">
        <v>5046</v>
      </c>
      <c r="Y332" t="s">
        <v>5047</v>
      </c>
      <c r="Z332" t="s">
        <v>74</v>
      </c>
      <c r="AA332" t="s">
        <v>144</v>
      </c>
      <c r="AB332" t="s">
        <v>74</v>
      </c>
      <c r="AC332" t="s">
        <v>74</v>
      </c>
      <c r="AD332" t="s">
        <v>74</v>
      </c>
      <c r="AE332" t="s">
        <v>74</v>
      </c>
      <c r="AF332" t="s">
        <v>74</v>
      </c>
      <c r="AG332">
        <v>17</v>
      </c>
      <c r="AH332">
        <v>5</v>
      </c>
      <c r="AI332">
        <v>5</v>
      </c>
      <c r="AJ332">
        <v>0</v>
      </c>
      <c r="AK332">
        <v>0</v>
      </c>
      <c r="AL332" t="s">
        <v>649</v>
      </c>
      <c r="AM332" t="s">
        <v>486</v>
      </c>
      <c r="AN332" t="s">
        <v>650</v>
      </c>
      <c r="AO332" t="s">
        <v>651</v>
      </c>
      <c r="AP332" t="s">
        <v>652</v>
      </c>
      <c r="AQ332" t="s">
        <v>74</v>
      </c>
      <c r="AR332" t="s">
        <v>653</v>
      </c>
      <c r="AS332" t="s">
        <v>654</v>
      </c>
      <c r="AT332" t="s">
        <v>5048</v>
      </c>
      <c r="AU332">
        <v>2021</v>
      </c>
      <c r="AV332">
        <v>203</v>
      </c>
      <c r="AW332">
        <v>6</v>
      </c>
      <c r="AX332" t="s">
        <v>74</v>
      </c>
      <c r="AY332" t="s">
        <v>74</v>
      </c>
      <c r="AZ332" t="s">
        <v>74</v>
      </c>
      <c r="BA332" t="s">
        <v>74</v>
      </c>
      <c r="BB332">
        <v>675</v>
      </c>
      <c r="BC332">
        <v>677</v>
      </c>
      <c r="BD332" t="s">
        <v>74</v>
      </c>
      <c r="BE332" t="s">
        <v>5049</v>
      </c>
      <c r="BF332" t="str">
        <f>HYPERLINK("http://dx.doi.org/10.1164/rccm.202012-4350ED","http://dx.doi.org/10.1164/rccm.202012-4350ED")</f>
        <v>http://dx.doi.org/10.1164/rccm.202012-4350ED</v>
      </c>
      <c r="BG332" t="s">
        <v>74</v>
      </c>
      <c r="BH332" t="s">
        <v>74</v>
      </c>
      <c r="BI332">
        <v>4</v>
      </c>
      <c r="BJ332" t="s">
        <v>341</v>
      </c>
      <c r="BK332" t="s">
        <v>101</v>
      </c>
      <c r="BL332" t="s">
        <v>342</v>
      </c>
      <c r="BM332" t="s">
        <v>5050</v>
      </c>
      <c r="BN332">
        <v>33357026</v>
      </c>
      <c r="BO332" t="s">
        <v>246</v>
      </c>
      <c r="BP332" t="s">
        <v>74</v>
      </c>
      <c r="BQ332" t="s">
        <v>74</v>
      </c>
      <c r="BR332" t="s">
        <v>104</v>
      </c>
      <c r="BS332" t="s">
        <v>5051</v>
      </c>
      <c r="BT332" t="str">
        <f>HYPERLINK("https%3A%2F%2Fwww.webofscience.com%2Fwos%2Fwoscc%2Ffull-record%2FWOS:000629650700012","View Full Record in Web of Science")</f>
        <v>View Full Record in Web of Science</v>
      </c>
    </row>
    <row r="333" spans="1:72" x14ac:dyDescent="0.25">
      <c r="A333" t="s">
        <v>72</v>
      </c>
      <c r="B333" t="s">
        <v>5052</v>
      </c>
      <c r="C333" t="s">
        <v>74</v>
      </c>
      <c r="D333" t="s">
        <v>74</v>
      </c>
      <c r="E333" t="s">
        <v>74</v>
      </c>
      <c r="F333" t="s">
        <v>5053</v>
      </c>
      <c r="G333" t="s">
        <v>74</v>
      </c>
      <c r="H333" t="s">
        <v>74</v>
      </c>
      <c r="I333" t="s">
        <v>5054</v>
      </c>
      <c r="J333" t="s">
        <v>475</v>
      </c>
      <c r="K333" t="s">
        <v>74</v>
      </c>
      <c r="L333" t="s">
        <v>74</v>
      </c>
      <c r="M333" t="s">
        <v>78</v>
      </c>
      <c r="N333" t="s">
        <v>79</v>
      </c>
      <c r="O333" t="s">
        <v>74</v>
      </c>
      <c r="P333" t="s">
        <v>74</v>
      </c>
      <c r="Q333" t="s">
        <v>74</v>
      </c>
      <c r="R333" t="s">
        <v>74</v>
      </c>
      <c r="S333" t="s">
        <v>74</v>
      </c>
      <c r="T333" t="s">
        <v>5055</v>
      </c>
      <c r="U333" t="s">
        <v>74</v>
      </c>
      <c r="V333" t="s">
        <v>5056</v>
      </c>
      <c r="W333" t="s">
        <v>5057</v>
      </c>
      <c r="X333" t="s">
        <v>5058</v>
      </c>
      <c r="Y333" t="s">
        <v>5059</v>
      </c>
      <c r="Z333" t="s">
        <v>5060</v>
      </c>
      <c r="AA333" t="s">
        <v>144</v>
      </c>
      <c r="AB333" t="s">
        <v>5061</v>
      </c>
      <c r="AC333" t="s">
        <v>5062</v>
      </c>
      <c r="AD333" t="s">
        <v>5063</v>
      </c>
      <c r="AE333" t="s">
        <v>5064</v>
      </c>
      <c r="AF333" t="s">
        <v>74</v>
      </c>
      <c r="AG333">
        <v>24</v>
      </c>
      <c r="AH333">
        <v>6</v>
      </c>
      <c r="AI333">
        <v>6</v>
      </c>
      <c r="AJ333">
        <v>0</v>
      </c>
      <c r="AK333">
        <v>0</v>
      </c>
      <c r="AL333" t="s">
        <v>485</v>
      </c>
      <c r="AM333" t="s">
        <v>486</v>
      </c>
      <c r="AN333" t="s">
        <v>487</v>
      </c>
      <c r="AO333" t="s">
        <v>488</v>
      </c>
      <c r="AP333" t="s">
        <v>489</v>
      </c>
      <c r="AQ333" t="s">
        <v>74</v>
      </c>
      <c r="AR333" t="s">
        <v>490</v>
      </c>
      <c r="AS333" t="s">
        <v>491</v>
      </c>
      <c r="AT333" t="s">
        <v>997</v>
      </c>
      <c r="AU333">
        <v>2021</v>
      </c>
      <c r="AV333">
        <v>161</v>
      </c>
      <c r="AW333">
        <v>4</v>
      </c>
      <c r="AX333" t="s">
        <v>74</v>
      </c>
      <c r="AY333" t="s">
        <v>74</v>
      </c>
      <c r="AZ333" t="s">
        <v>74</v>
      </c>
      <c r="BA333" t="s">
        <v>74</v>
      </c>
      <c r="BB333">
        <v>1532</v>
      </c>
      <c r="BC333" t="s">
        <v>3083</v>
      </c>
      <c r="BD333" t="s">
        <v>74</v>
      </c>
      <c r="BE333" t="s">
        <v>5065</v>
      </c>
      <c r="BF333" t="str">
        <f>HYPERLINK("http://dx.doi.org/10.1016/j.jtcvs.2019.11.133","http://dx.doi.org/10.1016/j.jtcvs.2019.11.133")</f>
        <v>http://dx.doi.org/10.1016/j.jtcvs.2019.11.133</v>
      </c>
      <c r="BG333" t="s">
        <v>74</v>
      </c>
      <c r="BH333" t="s">
        <v>5066</v>
      </c>
      <c r="BI333">
        <v>16</v>
      </c>
      <c r="BJ333" t="s">
        <v>495</v>
      </c>
      <c r="BK333" t="s">
        <v>101</v>
      </c>
      <c r="BL333" t="s">
        <v>496</v>
      </c>
      <c r="BM333" t="s">
        <v>5067</v>
      </c>
      <c r="BN333">
        <v>32007254</v>
      </c>
      <c r="BO333" t="s">
        <v>1194</v>
      </c>
      <c r="BP333" t="s">
        <v>74</v>
      </c>
      <c r="BQ333" t="s">
        <v>74</v>
      </c>
      <c r="BR333" t="s">
        <v>104</v>
      </c>
      <c r="BS333" t="s">
        <v>5068</v>
      </c>
      <c r="BT333" t="str">
        <f>HYPERLINK("https%3A%2F%2Fwww.webofscience.com%2Fwos%2Fwoscc%2Ffull-record%2FWOS:000630194900111","View Full Record in Web of Science")</f>
        <v>View Full Record in Web of Science</v>
      </c>
    </row>
    <row r="334" spans="1:72" x14ac:dyDescent="0.25">
      <c r="A334" t="s">
        <v>72</v>
      </c>
      <c r="B334" t="s">
        <v>5069</v>
      </c>
      <c r="C334" t="s">
        <v>74</v>
      </c>
      <c r="D334" t="s">
        <v>74</v>
      </c>
      <c r="E334" t="s">
        <v>74</v>
      </c>
      <c r="F334" t="s">
        <v>5070</v>
      </c>
      <c r="G334" t="s">
        <v>74</v>
      </c>
      <c r="H334" t="s">
        <v>74</v>
      </c>
      <c r="I334" t="s">
        <v>5071</v>
      </c>
      <c r="J334" t="s">
        <v>1529</v>
      </c>
      <c r="K334" t="s">
        <v>74</v>
      </c>
      <c r="L334" t="s">
        <v>74</v>
      </c>
      <c r="M334" t="s">
        <v>78</v>
      </c>
      <c r="N334" t="s">
        <v>299</v>
      </c>
      <c r="O334" t="s">
        <v>74</v>
      </c>
      <c r="P334" t="s">
        <v>74</v>
      </c>
      <c r="Q334" t="s">
        <v>74</v>
      </c>
      <c r="R334" t="s">
        <v>74</v>
      </c>
      <c r="S334" t="s">
        <v>74</v>
      </c>
      <c r="T334" t="s">
        <v>74</v>
      </c>
      <c r="U334" t="s">
        <v>5072</v>
      </c>
      <c r="V334" t="s">
        <v>5073</v>
      </c>
      <c r="W334" t="s">
        <v>5074</v>
      </c>
      <c r="X334" t="s">
        <v>5075</v>
      </c>
      <c r="Y334" t="s">
        <v>5076</v>
      </c>
      <c r="Z334" t="s">
        <v>377</v>
      </c>
      <c r="AA334" t="s">
        <v>144</v>
      </c>
      <c r="AB334" t="s">
        <v>5077</v>
      </c>
      <c r="AC334" t="s">
        <v>5078</v>
      </c>
      <c r="AD334" t="s">
        <v>5078</v>
      </c>
      <c r="AE334" t="s">
        <v>5079</v>
      </c>
      <c r="AF334" t="s">
        <v>74</v>
      </c>
      <c r="AG334">
        <v>52</v>
      </c>
      <c r="AH334">
        <v>14</v>
      </c>
      <c r="AI334">
        <v>15</v>
      </c>
      <c r="AJ334">
        <v>1</v>
      </c>
      <c r="AK334">
        <v>2</v>
      </c>
      <c r="AL334" t="s">
        <v>1358</v>
      </c>
      <c r="AM334" t="s">
        <v>1359</v>
      </c>
      <c r="AN334" t="s">
        <v>1360</v>
      </c>
      <c r="AO334" t="s">
        <v>1533</v>
      </c>
      <c r="AP334" t="s">
        <v>1534</v>
      </c>
      <c r="AQ334" t="s">
        <v>74</v>
      </c>
      <c r="AR334" t="s">
        <v>1535</v>
      </c>
      <c r="AS334" t="s">
        <v>1536</v>
      </c>
      <c r="AT334" t="s">
        <v>997</v>
      </c>
      <c r="AU334">
        <v>2021</v>
      </c>
      <c r="AV334">
        <v>50</v>
      </c>
      <c r="AW334">
        <v>1</v>
      </c>
      <c r="AX334" t="s">
        <v>74</v>
      </c>
      <c r="AY334" t="s">
        <v>74</v>
      </c>
      <c r="AZ334" t="s">
        <v>74</v>
      </c>
      <c r="BA334" t="s">
        <v>74</v>
      </c>
      <c r="BB334" t="s">
        <v>74</v>
      </c>
      <c r="BC334" t="s">
        <v>74</v>
      </c>
      <c r="BD334">
        <v>104062</v>
      </c>
      <c r="BE334" t="s">
        <v>5080</v>
      </c>
      <c r="BF334" t="str">
        <f>HYPERLINK("http://dx.doi.org/10.1016/j.lpm.2021.104062","http://dx.doi.org/10.1016/j.lpm.2021.104062")</f>
        <v>http://dx.doi.org/10.1016/j.lpm.2021.104062</v>
      </c>
      <c r="BG334" t="s">
        <v>74</v>
      </c>
      <c r="BH334" t="s">
        <v>5066</v>
      </c>
      <c r="BI334">
        <v>7</v>
      </c>
      <c r="BJ334" t="s">
        <v>1152</v>
      </c>
      <c r="BK334" t="s">
        <v>101</v>
      </c>
      <c r="BL334" t="s">
        <v>1153</v>
      </c>
      <c r="BM334" t="s">
        <v>5081</v>
      </c>
      <c r="BN334">
        <v>33548377</v>
      </c>
      <c r="BO334" t="s">
        <v>74</v>
      </c>
      <c r="BP334" t="s">
        <v>74</v>
      </c>
      <c r="BQ334" t="s">
        <v>74</v>
      </c>
      <c r="BR334" t="s">
        <v>104</v>
      </c>
      <c r="BS334" t="s">
        <v>5082</v>
      </c>
      <c r="BT334" t="str">
        <f>HYPERLINK("https%3A%2F%2Fwww.webofscience.com%2Fwos%2Fwoscc%2Ffull-record%2FWOS:000732520000008","View Full Record in Web of Science")</f>
        <v>View Full Record in Web of Science</v>
      </c>
    </row>
    <row r="335" spans="1:72" x14ac:dyDescent="0.25">
      <c r="A335" t="s">
        <v>72</v>
      </c>
      <c r="B335" t="s">
        <v>5083</v>
      </c>
      <c r="C335" t="s">
        <v>74</v>
      </c>
      <c r="D335" t="s">
        <v>74</v>
      </c>
      <c r="E335" t="s">
        <v>74</v>
      </c>
      <c r="F335" t="s">
        <v>5084</v>
      </c>
      <c r="G335" t="s">
        <v>74</v>
      </c>
      <c r="H335" t="s">
        <v>74</v>
      </c>
      <c r="I335" t="s">
        <v>5085</v>
      </c>
      <c r="J335" t="s">
        <v>3068</v>
      </c>
      <c r="K335" t="s">
        <v>74</v>
      </c>
      <c r="L335" t="s">
        <v>74</v>
      </c>
      <c r="M335" t="s">
        <v>78</v>
      </c>
      <c r="N335" t="s">
        <v>299</v>
      </c>
      <c r="O335" t="s">
        <v>74</v>
      </c>
      <c r="P335" t="s">
        <v>74</v>
      </c>
      <c r="Q335" t="s">
        <v>74</v>
      </c>
      <c r="R335" t="s">
        <v>74</v>
      </c>
      <c r="S335" t="s">
        <v>74</v>
      </c>
      <c r="T335" t="s">
        <v>5086</v>
      </c>
      <c r="U335" t="s">
        <v>5087</v>
      </c>
      <c r="V335" t="s">
        <v>5088</v>
      </c>
      <c r="W335" t="s">
        <v>5089</v>
      </c>
      <c r="X335" t="s">
        <v>5090</v>
      </c>
      <c r="Y335" t="s">
        <v>5091</v>
      </c>
      <c r="Z335" t="s">
        <v>5092</v>
      </c>
      <c r="AA335" t="s">
        <v>5093</v>
      </c>
      <c r="AB335" t="s">
        <v>5094</v>
      </c>
      <c r="AC335" t="s">
        <v>74</v>
      </c>
      <c r="AD335" t="s">
        <v>74</v>
      </c>
      <c r="AE335" t="s">
        <v>74</v>
      </c>
      <c r="AF335" t="s">
        <v>74</v>
      </c>
      <c r="AG335">
        <v>48</v>
      </c>
      <c r="AH335">
        <v>29</v>
      </c>
      <c r="AI335">
        <v>30</v>
      </c>
      <c r="AJ335">
        <v>0</v>
      </c>
      <c r="AK335">
        <v>7</v>
      </c>
      <c r="AL335" t="s">
        <v>92</v>
      </c>
      <c r="AM335" t="s">
        <v>93</v>
      </c>
      <c r="AN335" t="s">
        <v>94</v>
      </c>
      <c r="AO335" t="s">
        <v>3079</v>
      </c>
      <c r="AP335" t="s">
        <v>3080</v>
      </c>
      <c r="AQ335" t="s">
        <v>74</v>
      </c>
      <c r="AR335" t="s">
        <v>3081</v>
      </c>
      <c r="AS335" t="s">
        <v>3082</v>
      </c>
      <c r="AT335" t="s">
        <v>98</v>
      </c>
      <c r="AU335">
        <v>2021</v>
      </c>
      <c r="AV335">
        <v>9</v>
      </c>
      <c r="AW335">
        <v>3</v>
      </c>
      <c r="AX335" t="s">
        <v>74</v>
      </c>
      <c r="AY335" t="s">
        <v>74</v>
      </c>
      <c r="AZ335" t="s">
        <v>74</v>
      </c>
      <c r="BA335" t="s">
        <v>74</v>
      </c>
      <c r="BB335">
        <v>1081</v>
      </c>
      <c r="BC335">
        <v>1088</v>
      </c>
      <c r="BD335" t="s">
        <v>74</v>
      </c>
      <c r="BE335" t="s">
        <v>5095</v>
      </c>
      <c r="BF335" t="str">
        <f>HYPERLINK("http://dx.doi.org/10.1016/j.jaip.2020.10.048","http://dx.doi.org/10.1016/j.jaip.2020.10.048")</f>
        <v>http://dx.doi.org/10.1016/j.jaip.2020.10.048</v>
      </c>
      <c r="BG335" t="s">
        <v>74</v>
      </c>
      <c r="BH335" t="s">
        <v>5066</v>
      </c>
      <c r="BI335">
        <v>8</v>
      </c>
      <c r="BJ335" t="s">
        <v>3085</v>
      </c>
      <c r="BK335" t="s">
        <v>101</v>
      </c>
      <c r="BL335" t="s">
        <v>3085</v>
      </c>
      <c r="BM335" t="s">
        <v>5096</v>
      </c>
      <c r="BN335">
        <v>33685606</v>
      </c>
      <c r="BO335" t="s">
        <v>74</v>
      </c>
      <c r="BP335" t="s">
        <v>74</v>
      </c>
      <c r="BQ335" t="s">
        <v>74</v>
      </c>
      <c r="BR335" t="s">
        <v>104</v>
      </c>
      <c r="BS335" t="s">
        <v>5097</v>
      </c>
      <c r="BT335" t="str">
        <f>HYPERLINK("https%3A%2F%2Fwww.webofscience.com%2Fwos%2Fwoscc%2Ffull-record%2FWOS:000631092100001","View Full Record in Web of Science")</f>
        <v>View Full Record in Web of Science</v>
      </c>
    </row>
    <row r="336" spans="1:72" x14ac:dyDescent="0.25">
      <c r="A336" t="s">
        <v>72</v>
      </c>
      <c r="B336" t="s">
        <v>5098</v>
      </c>
      <c r="C336" t="s">
        <v>74</v>
      </c>
      <c r="D336" t="s">
        <v>74</v>
      </c>
      <c r="E336" t="s">
        <v>74</v>
      </c>
      <c r="F336" t="s">
        <v>5099</v>
      </c>
      <c r="G336" t="s">
        <v>74</v>
      </c>
      <c r="H336" t="s">
        <v>74</v>
      </c>
      <c r="I336" t="s">
        <v>5100</v>
      </c>
      <c r="J336" t="s">
        <v>324</v>
      </c>
      <c r="K336" t="s">
        <v>74</v>
      </c>
      <c r="L336" t="s">
        <v>74</v>
      </c>
      <c r="M336" t="s">
        <v>78</v>
      </c>
      <c r="N336" t="s">
        <v>79</v>
      </c>
      <c r="O336" t="s">
        <v>74</v>
      </c>
      <c r="P336" t="s">
        <v>74</v>
      </c>
      <c r="Q336" t="s">
        <v>74</v>
      </c>
      <c r="R336" t="s">
        <v>74</v>
      </c>
      <c r="S336" t="s">
        <v>74</v>
      </c>
      <c r="T336" t="s">
        <v>5101</v>
      </c>
      <c r="U336" t="s">
        <v>5102</v>
      </c>
      <c r="V336" t="s">
        <v>5103</v>
      </c>
      <c r="W336" t="s">
        <v>5104</v>
      </c>
      <c r="X336" t="s">
        <v>5105</v>
      </c>
      <c r="Y336" t="s">
        <v>5106</v>
      </c>
      <c r="Z336" t="s">
        <v>331</v>
      </c>
      <c r="AA336" t="s">
        <v>5107</v>
      </c>
      <c r="AB336" t="s">
        <v>5108</v>
      </c>
      <c r="AC336" t="s">
        <v>74</v>
      </c>
      <c r="AD336" t="s">
        <v>74</v>
      </c>
      <c r="AE336" t="s">
        <v>74</v>
      </c>
      <c r="AF336" t="s">
        <v>74</v>
      </c>
      <c r="AG336">
        <v>24</v>
      </c>
      <c r="AH336">
        <v>20</v>
      </c>
      <c r="AI336">
        <v>20</v>
      </c>
      <c r="AJ336">
        <v>0</v>
      </c>
      <c r="AK336">
        <v>3</v>
      </c>
      <c r="AL336" t="s">
        <v>92</v>
      </c>
      <c r="AM336" t="s">
        <v>93</v>
      </c>
      <c r="AN336" t="s">
        <v>94</v>
      </c>
      <c r="AO336" t="s">
        <v>337</v>
      </c>
      <c r="AP336" t="s">
        <v>338</v>
      </c>
      <c r="AQ336" t="s">
        <v>74</v>
      </c>
      <c r="AR336" t="s">
        <v>324</v>
      </c>
      <c r="AS336" t="s">
        <v>339</v>
      </c>
      <c r="AT336" t="s">
        <v>98</v>
      </c>
      <c r="AU336">
        <v>2021</v>
      </c>
      <c r="AV336">
        <v>159</v>
      </c>
      <c r="AW336">
        <v>3</v>
      </c>
      <c r="AX336" t="s">
        <v>74</v>
      </c>
      <c r="AY336" t="s">
        <v>74</v>
      </c>
      <c r="AZ336" t="s">
        <v>74</v>
      </c>
      <c r="BA336" t="s">
        <v>74</v>
      </c>
      <c r="BB336">
        <v>1197</v>
      </c>
      <c r="BC336">
        <v>1207</v>
      </c>
      <c r="BD336" t="s">
        <v>74</v>
      </c>
      <c r="BE336" t="s">
        <v>5109</v>
      </c>
      <c r="BF336" t="str">
        <f>HYPERLINK("http://dx.doi.org/10.1016/j.chest.2020.09.238","http://dx.doi.org/10.1016/j.chest.2020.09.238")</f>
        <v>http://dx.doi.org/10.1016/j.chest.2020.09.238</v>
      </c>
      <c r="BG336" t="s">
        <v>74</v>
      </c>
      <c r="BH336" t="s">
        <v>5066</v>
      </c>
      <c r="BI336">
        <v>11</v>
      </c>
      <c r="BJ336" t="s">
        <v>341</v>
      </c>
      <c r="BK336" t="s">
        <v>101</v>
      </c>
      <c r="BL336" t="s">
        <v>342</v>
      </c>
      <c r="BM336" t="s">
        <v>5110</v>
      </c>
      <c r="BN336">
        <v>32979348</v>
      </c>
      <c r="BO336" t="s">
        <v>2854</v>
      </c>
      <c r="BP336" t="s">
        <v>74</v>
      </c>
      <c r="BQ336" t="s">
        <v>74</v>
      </c>
      <c r="BR336" t="s">
        <v>104</v>
      </c>
      <c r="BS336" t="s">
        <v>5111</v>
      </c>
      <c r="BT336" t="str">
        <f>HYPERLINK("https%3A%2F%2Fwww.webofscience.com%2Fwos%2Fwoscc%2Ffull-record%2FWOS:000632456400051","View Full Record in Web of Science")</f>
        <v>View Full Record in Web of Science</v>
      </c>
    </row>
    <row r="337" spans="1:72" x14ac:dyDescent="0.25">
      <c r="A337" t="s">
        <v>72</v>
      </c>
      <c r="B337" t="s">
        <v>5112</v>
      </c>
      <c r="C337" t="s">
        <v>74</v>
      </c>
      <c r="D337" t="s">
        <v>74</v>
      </c>
      <c r="E337" t="s">
        <v>74</v>
      </c>
      <c r="F337" t="s">
        <v>5113</v>
      </c>
      <c r="G337" t="s">
        <v>74</v>
      </c>
      <c r="H337" t="s">
        <v>74</v>
      </c>
      <c r="I337" t="s">
        <v>5114</v>
      </c>
      <c r="J337" t="s">
        <v>5115</v>
      </c>
      <c r="K337" t="s">
        <v>74</v>
      </c>
      <c r="L337" t="s">
        <v>74</v>
      </c>
      <c r="M337" t="s">
        <v>78</v>
      </c>
      <c r="N337" t="s">
        <v>79</v>
      </c>
      <c r="O337" t="s">
        <v>74</v>
      </c>
      <c r="P337" t="s">
        <v>74</v>
      </c>
      <c r="Q337" t="s">
        <v>74</v>
      </c>
      <c r="R337" t="s">
        <v>74</v>
      </c>
      <c r="S337" t="s">
        <v>74</v>
      </c>
      <c r="T337" t="s">
        <v>5116</v>
      </c>
      <c r="U337" t="s">
        <v>74</v>
      </c>
      <c r="V337" t="s">
        <v>5117</v>
      </c>
      <c r="W337" t="s">
        <v>5118</v>
      </c>
      <c r="X337" t="s">
        <v>5119</v>
      </c>
      <c r="Y337" t="s">
        <v>5120</v>
      </c>
      <c r="Z337" t="s">
        <v>5121</v>
      </c>
      <c r="AA337" t="s">
        <v>5122</v>
      </c>
      <c r="AB337" t="s">
        <v>5123</v>
      </c>
      <c r="AC337" t="s">
        <v>5124</v>
      </c>
      <c r="AD337" t="s">
        <v>5124</v>
      </c>
      <c r="AE337" t="s">
        <v>5125</v>
      </c>
      <c r="AF337" t="s">
        <v>74</v>
      </c>
      <c r="AG337">
        <v>54</v>
      </c>
      <c r="AH337">
        <v>10</v>
      </c>
      <c r="AI337">
        <v>10</v>
      </c>
      <c r="AJ337">
        <v>0</v>
      </c>
      <c r="AK337">
        <v>3</v>
      </c>
      <c r="AL337" t="s">
        <v>1854</v>
      </c>
      <c r="AM337" t="s">
        <v>201</v>
      </c>
      <c r="AN337" t="s">
        <v>1855</v>
      </c>
      <c r="AO337" t="s">
        <v>74</v>
      </c>
      <c r="AP337" t="s">
        <v>5126</v>
      </c>
      <c r="AQ337" t="s">
        <v>74</v>
      </c>
      <c r="AR337" t="s">
        <v>5127</v>
      </c>
      <c r="AS337" t="s">
        <v>5128</v>
      </c>
      <c r="AT337" t="s">
        <v>5129</v>
      </c>
      <c r="AU337">
        <v>2021</v>
      </c>
      <c r="AV337">
        <v>21</v>
      </c>
      <c r="AW337">
        <v>1</v>
      </c>
      <c r="AX337" t="s">
        <v>74</v>
      </c>
      <c r="AY337" t="s">
        <v>74</v>
      </c>
      <c r="AZ337" t="s">
        <v>74</v>
      </c>
      <c r="BA337" t="s">
        <v>74</v>
      </c>
      <c r="BB337" t="s">
        <v>74</v>
      </c>
      <c r="BC337" t="s">
        <v>74</v>
      </c>
      <c r="BD337">
        <v>153</v>
      </c>
      <c r="BE337" t="s">
        <v>5130</v>
      </c>
      <c r="BF337" t="str">
        <f>HYPERLINK("http://dx.doi.org/10.1186/s12877-021-02100-5","http://dx.doi.org/10.1186/s12877-021-02100-5")</f>
        <v>http://dx.doi.org/10.1186/s12877-021-02100-5</v>
      </c>
      <c r="BG337" t="s">
        <v>74</v>
      </c>
      <c r="BH337" t="s">
        <v>74</v>
      </c>
      <c r="BI337">
        <v>9</v>
      </c>
      <c r="BJ337" t="s">
        <v>5131</v>
      </c>
      <c r="BK337" t="s">
        <v>2614</v>
      </c>
      <c r="BL337" t="s">
        <v>5132</v>
      </c>
      <c r="BM337" t="s">
        <v>5133</v>
      </c>
      <c r="BN337">
        <v>33653285</v>
      </c>
      <c r="BO337" t="s">
        <v>1665</v>
      </c>
      <c r="BP337" t="s">
        <v>74</v>
      </c>
      <c r="BQ337" t="s">
        <v>74</v>
      </c>
      <c r="BR337" t="s">
        <v>104</v>
      </c>
      <c r="BS337" t="s">
        <v>5134</v>
      </c>
      <c r="BT337" t="str">
        <f>HYPERLINK("https%3A%2F%2Fwww.webofscience.com%2Fwos%2Fwoscc%2Ffull-record%2FWOS:000626110300003","View Full Record in Web of Science")</f>
        <v>View Full Record in Web of Science</v>
      </c>
    </row>
    <row r="338" spans="1:72" x14ac:dyDescent="0.25">
      <c r="A338" t="s">
        <v>72</v>
      </c>
      <c r="B338" t="s">
        <v>5135</v>
      </c>
      <c r="C338" t="s">
        <v>74</v>
      </c>
      <c r="D338" t="s">
        <v>74</v>
      </c>
      <c r="E338" t="s">
        <v>74</v>
      </c>
      <c r="F338" t="s">
        <v>5136</v>
      </c>
      <c r="G338" t="s">
        <v>74</v>
      </c>
      <c r="H338" t="s">
        <v>74</v>
      </c>
      <c r="I338" t="s">
        <v>5137</v>
      </c>
      <c r="J338" t="s">
        <v>388</v>
      </c>
      <c r="K338" t="s">
        <v>74</v>
      </c>
      <c r="L338" t="s">
        <v>74</v>
      </c>
      <c r="M338" t="s">
        <v>78</v>
      </c>
      <c r="N338" t="s">
        <v>217</v>
      </c>
      <c r="O338" t="s">
        <v>74</v>
      </c>
      <c r="P338" t="s">
        <v>74</v>
      </c>
      <c r="Q338" t="s">
        <v>74</v>
      </c>
      <c r="R338" t="s">
        <v>74</v>
      </c>
      <c r="S338" t="s">
        <v>74</v>
      </c>
      <c r="T338" t="s">
        <v>74</v>
      </c>
      <c r="U338" t="s">
        <v>74</v>
      </c>
      <c r="V338" t="s">
        <v>74</v>
      </c>
      <c r="W338" t="s">
        <v>74</v>
      </c>
      <c r="X338" t="s">
        <v>74</v>
      </c>
      <c r="Y338" t="s">
        <v>74</v>
      </c>
      <c r="Z338" t="s">
        <v>74</v>
      </c>
      <c r="AA338" t="s">
        <v>5138</v>
      </c>
      <c r="AB338" t="s">
        <v>74</v>
      </c>
      <c r="AC338" t="s">
        <v>74</v>
      </c>
      <c r="AD338" t="s">
        <v>74</v>
      </c>
      <c r="AE338" t="s">
        <v>74</v>
      </c>
      <c r="AF338" t="s">
        <v>74</v>
      </c>
      <c r="AG338">
        <v>1</v>
      </c>
      <c r="AH338">
        <v>0</v>
      </c>
      <c r="AI338">
        <v>0</v>
      </c>
      <c r="AJ338">
        <v>1</v>
      </c>
      <c r="AK338">
        <v>2</v>
      </c>
      <c r="AL338" t="s">
        <v>397</v>
      </c>
      <c r="AM338" t="s">
        <v>1074</v>
      </c>
      <c r="AN338" t="s">
        <v>4444</v>
      </c>
      <c r="AO338" t="s">
        <v>400</v>
      </c>
      <c r="AP338" t="s">
        <v>74</v>
      </c>
      <c r="AQ338" t="s">
        <v>74</v>
      </c>
      <c r="AR338" t="s">
        <v>401</v>
      </c>
      <c r="AS338" t="s">
        <v>402</v>
      </c>
      <c r="AT338" t="s">
        <v>98</v>
      </c>
      <c r="AU338">
        <v>2021</v>
      </c>
      <c r="AV338">
        <v>9</v>
      </c>
      <c r="AW338">
        <v>3</v>
      </c>
      <c r="AX338" t="s">
        <v>74</v>
      </c>
      <c r="AY338" t="s">
        <v>74</v>
      </c>
      <c r="AZ338" t="s">
        <v>74</v>
      </c>
      <c r="BA338" t="s">
        <v>74</v>
      </c>
      <c r="BB338" t="s">
        <v>5139</v>
      </c>
      <c r="BC338" t="s">
        <v>5139</v>
      </c>
      <c r="BD338" t="s">
        <v>74</v>
      </c>
      <c r="BE338" t="s">
        <v>5140</v>
      </c>
      <c r="BF338" t="str">
        <f>HYPERLINK("http://dx.doi.org/10.1016/S2213-2600(21)00088-6","http://dx.doi.org/10.1016/S2213-2600(21)00088-6")</f>
        <v>http://dx.doi.org/10.1016/S2213-2600(21)00088-6</v>
      </c>
      <c r="BG338" t="s">
        <v>74</v>
      </c>
      <c r="BH338" t="s">
        <v>5066</v>
      </c>
      <c r="BI338">
        <v>1</v>
      </c>
      <c r="BJ338" t="s">
        <v>341</v>
      </c>
      <c r="BK338" t="s">
        <v>101</v>
      </c>
      <c r="BL338" t="s">
        <v>342</v>
      </c>
      <c r="BM338" t="s">
        <v>5141</v>
      </c>
      <c r="BN338" t="s">
        <v>74</v>
      </c>
      <c r="BO338" t="s">
        <v>74</v>
      </c>
      <c r="BP338" t="s">
        <v>74</v>
      </c>
      <c r="BQ338" t="s">
        <v>74</v>
      </c>
      <c r="BR338" t="s">
        <v>104</v>
      </c>
      <c r="BS338" t="s">
        <v>5142</v>
      </c>
      <c r="BT338" t="str">
        <f>HYPERLINK("https%3A%2F%2Fwww.webofscience.com%2Fwos%2Fwoscc%2Ffull-record%2FWOS:000631393700008","View Full Record in Web of Science")</f>
        <v>View Full Record in Web of Science</v>
      </c>
    </row>
    <row r="339" spans="1:72" x14ac:dyDescent="0.25">
      <c r="A339" t="s">
        <v>72</v>
      </c>
      <c r="B339" t="s">
        <v>5143</v>
      </c>
      <c r="C339" t="s">
        <v>74</v>
      </c>
      <c r="D339" t="s">
        <v>74</v>
      </c>
      <c r="E339" t="s">
        <v>74</v>
      </c>
      <c r="F339" t="s">
        <v>5144</v>
      </c>
      <c r="G339" t="s">
        <v>74</v>
      </c>
      <c r="H339" t="s">
        <v>5145</v>
      </c>
      <c r="I339" t="s">
        <v>5146</v>
      </c>
      <c r="J339" t="s">
        <v>189</v>
      </c>
      <c r="K339" t="s">
        <v>74</v>
      </c>
      <c r="L339" t="s">
        <v>74</v>
      </c>
      <c r="M339" t="s">
        <v>78</v>
      </c>
      <c r="N339" t="s">
        <v>79</v>
      </c>
      <c r="O339" t="s">
        <v>74</v>
      </c>
      <c r="P339" t="s">
        <v>74</v>
      </c>
      <c r="Q339" t="s">
        <v>74</v>
      </c>
      <c r="R339" t="s">
        <v>74</v>
      </c>
      <c r="S339" t="s">
        <v>74</v>
      </c>
      <c r="T339" t="s">
        <v>5147</v>
      </c>
      <c r="U339" t="s">
        <v>5148</v>
      </c>
      <c r="V339" t="s">
        <v>5149</v>
      </c>
      <c r="W339" t="s">
        <v>5150</v>
      </c>
      <c r="X339" t="s">
        <v>5151</v>
      </c>
      <c r="Y339" t="s">
        <v>5152</v>
      </c>
      <c r="Z339" t="s">
        <v>5153</v>
      </c>
      <c r="AA339" t="s">
        <v>5154</v>
      </c>
      <c r="AB339" t="s">
        <v>5155</v>
      </c>
      <c r="AC339" t="s">
        <v>5156</v>
      </c>
      <c r="AD339" t="s">
        <v>5157</v>
      </c>
      <c r="AE339" t="s">
        <v>5158</v>
      </c>
      <c r="AF339" t="s">
        <v>74</v>
      </c>
      <c r="AG339">
        <v>32</v>
      </c>
      <c r="AH339">
        <v>24</v>
      </c>
      <c r="AI339">
        <v>25</v>
      </c>
      <c r="AJ339">
        <v>0</v>
      </c>
      <c r="AK339">
        <v>6</v>
      </c>
      <c r="AL339" t="s">
        <v>200</v>
      </c>
      <c r="AM339" t="s">
        <v>201</v>
      </c>
      <c r="AN339" t="s">
        <v>202</v>
      </c>
      <c r="AO339" t="s">
        <v>203</v>
      </c>
      <c r="AP339" t="s">
        <v>204</v>
      </c>
      <c r="AQ339" t="s">
        <v>74</v>
      </c>
      <c r="AR339" t="s">
        <v>205</v>
      </c>
      <c r="AS339" t="s">
        <v>206</v>
      </c>
      <c r="AT339" t="s">
        <v>98</v>
      </c>
      <c r="AU339">
        <v>2021</v>
      </c>
      <c r="AV339">
        <v>178</v>
      </c>
      <c r="AW339" t="s">
        <v>74</v>
      </c>
      <c r="AX339" t="s">
        <v>74</v>
      </c>
      <c r="AY339" t="s">
        <v>74</v>
      </c>
      <c r="AZ339" t="s">
        <v>74</v>
      </c>
      <c r="BA339" t="s">
        <v>74</v>
      </c>
      <c r="BB339" t="s">
        <v>74</v>
      </c>
      <c r="BC339" t="s">
        <v>74</v>
      </c>
      <c r="BD339">
        <v>106220</v>
      </c>
      <c r="BE339" t="s">
        <v>5159</v>
      </c>
      <c r="BF339" t="str">
        <f>HYPERLINK("http://dx.doi.org/10.1016/j.rmed.2020.106220","http://dx.doi.org/10.1016/j.rmed.2020.106220")</f>
        <v>http://dx.doi.org/10.1016/j.rmed.2020.106220</v>
      </c>
      <c r="BG339" t="s">
        <v>74</v>
      </c>
      <c r="BH339" t="s">
        <v>74</v>
      </c>
      <c r="BI339">
        <v>11</v>
      </c>
      <c r="BJ339" t="s">
        <v>209</v>
      </c>
      <c r="BK339" t="s">
        <v>101</v>
      </c>
      <c r="BL339" t="s">
        <v>210</v>
      </c>
      <c r="BM339" t="s">
        <v>5160</v>
      </c>
      <c r="BN339">
        <v>33540340</v>
      </c>
      <c r="BO339" t="s">
        <v>5161</v>
      </c>
      <c r="BP339" t="s">
        <v>74</v>
      </c>
      <c r="BQ339" t="s">
        <v>74</v>
      </c>
      <c r="BR339" t="s">
        <v>104</v>
      </c>
      <c r="BS339" t="s">
        <v>5162</v>
      </c>
      <c r="BT339" t="str">
        <f>HYPERLINK("https%3A%2F%2Fwww.webofscience.com%2Fwos%2Fwoscc%2Ffull-record%2FWOS:000623791800001","View Full Record in Web of Science")</f>
        <v>View Full Record in Web of Science</v>
      </c>
    </row>
    <row r="340" spans="1:72" x14ac:dyDescent="0.25">
      <c r="A340" t="s">
        <v>72</v>
      </c>
      <c r="B340" t="s">
        <v>5163</v>
      </c>
      <c r="C340" t="s">
        <v>74</v>
      </c>
      <c r="D340" t="s">
        <v>74</v>
      </c>
      <c r="E340" t="s">
        <v>74</v>
      </c>
      <c r="F340" t="s">
        <v>5164</v>
      </c>
      <c r="G340" t="s">
        <v>74</v>
      </c>
      <c r="H340" t="s">
        <v>74</v>
      </c>
      <c r="I340" t="s">
        <v>5165</v>
      </c>
      <c r="J340" t="s">
        <v>1348</v>
      </c>
      <c r="K340" t="s">
        <v>74</v>
      </c>
      <c r="L340" t="s">
        <v>74</v>
      </c>
      <c r="M340" t="s">
        <v>1349</v>
      </c>
      <c r="N340" t="s">
        <v>460</v>
      </c>
      <c r="O340" t="s">
        <v>74</v>
      </c>
      <c r="P340" t="s">
        <v>74</v>
      </c>
      <c r="Q340" t="s">
        <v>74</v>
      </c>
      <c r="R340" t="s">
        <v>74</v>
      </c>
      <c r="S340" t="s">
        <v>74</v>
      </c>
      <c r="T340" t="s">
        <v>74</v>
      </c>
      <c r="U340" t="s">
        <v>74</v>
      </c>
      <c r="V340" t="s">
        <v>74</v>
      </c>
      <c r="W340" t="s">
        <v>5166</v>
      </c>
      <c r="X340" t="s">
        <v>5167</v>
      </c>
      <c r="Y340" t="s">
        <v>5168</v>
      </c>
      <c r="Z340" t="s">
        <v>331</v>
      </c>
      <c r="AA340" t="s">
        <v>144</v>
      </c>
      <c r="AB340" t="s">
        <v>74</v>
      </c>
      <c r="AC340" t="s">
        <v>74</v>
      </c>
      <c r="AD340" t="s">
        <v>74</v>
      </c>
      <c r="AE340" t="s">
        <v>74</v>
      </c>
      <c r="AF340" t="s">
        <v>74</v>
      </c>
      <c r="AG340">
        <v>9</v>
      </c>
      <c r="AH340">
        <v>0</v>
      </c>
      <c r="AI340">
        <v>0</v>
      </c>
      <c r="AJ340">
        <v>0</v>
      </c>
      <c r="AK340">
        <v>0</v>
      </c>
      <c r="AL340" t="s">
        <v>1358</v>
      </c>
      <c r="AM340" t="s">
        <v>1359</v>
      </c>
      <c r="AN340" t="s">
        <v>1360</v>
      </c>
      <c r="AO340" t="s">
        <v>1361</v>
      </c>
      <c r="AP340" t="s">
        <v>1362</v>
      </c>
      <c r="AQ340" t="s">
        <v>74</v>
      </c>
      <c r="AR340" t="s">
        <v>1363</v>
      </c>
      <c r="AS340" t="s">
        <v>1364</v>
      </c>
      <c r="AT340" t="s">
        <v>129</v>
      </c>
      <c r="AU340">
        <v>2021</v>
      </c>
      <c r="AV340">
        <v>38</v>
      </c>
      <c r="AW340">
        <v>2</v>
      </c>
      <c r="AX340" t="s">
        <v>74</v>
      </c>
      <c r="AY340" t="s">
        <v>74</v>
      </c>
      <c r="AZ340" t="s">
        <v>74</v>
      </c>
      <c r="BA340" t="s">
        <v>74</v>
      </c>
      <c r="BB340">
        <v>215</v>
      </c>
      <c r="BC340">
        <v>216</v>
      </c>
      <c r="BD340" t="s">
        <v>74</v>
      </c>
      <c r="BE340" t="s">
        <v>5169</v>
      </c>
      <c r="BF340" t="str">
        <f>HYPERLINK("http://dx.doi.org/10.1016/j.rmr.2021.01.008","http://dx.doi.org/10.1016/j.rmr.2021.01.008")</f>
        <v>http://dx.doi.org/10.1016/j.rmr.2021.01.008</v>
      </c>
      <c r="BG340" t="s">
        <v>74</v>
      </c>
      <c r="BH340" t="s">
        <v>5066</v>
      </c>
      <c r="BI340">
        <v>2</v>
      </c>
      <c r="BJ340" t="s">
        <v>228</v>
      </c>
      <c r="BK340" t="s">
        <v>101</v>
      </c>
      <c r="BL340" t="s">
        <v>228</v>
      </c>
      <c r="BM340" t="s">
        <v>5170</v>
      </c>
      <c r="BN340">
        <v>33573875</v>
      </c>
      <c r="BO340" t="s">
        <v>74</v>
      </c>
      <c r="BP340" t="s">
        <v>74</v>
      </c>
      <c r="BQ340" t="s">
        <v>74</v>
      </c>
      <c r="BR340" t="s">
        <v>104</v>
      </c>
      <c r="BS340" t="s">
        <v>5171</v>
      </c>
      <c r="BT340" t="str">
        <f>HYPERLINK("https%3A%2F%2Fwww.webofscience.com%2Fwos%2Fwoscc%2Ffull-record%2FWOS:000630329500013","View Full Record in Web of Science")</f>
        <v>View Full Record in Web of Science</v>
      </c>
    </row>
    <row r="341" spans="1:72" x14ac:dyDescent="0.25">
      <c r="A341" t="s">
        <v>72</v>
      </c>
      <c r="B341" t="s">
        <v>5172</v>
      </c>
      <c r="C341" t="s">
        <v>74</v>
      </c>
      <c r="D341" t="s">
        <v>74</v>
      </c>
      <c r="E341" t="s">
        <v>74</v>
      </c>
      <c r="F341" t="s">
        <v>5173</v>
      </c>
      <c r="G341" t="s">
        <v>74</v>
      </c>
      <c r="H341" t="s">
        <v>74</v>
      </c>
      <c r="I341" t="s">
        <v>5174</v>
      </c>
      <c r="J341" t="s">
        <v>5175</v>
      </c>
      <c r="K341" t="s">
        <v>74</v>
      </c>
      <c r="L341" t="s">
        <v>74</v>
      </c>
      <c r="M341" t="s">
        <v>78</v>
      </c>
      <c r="N341" t="s">
        <v>79</v>
      </c>
      <c r="O341" t="s">
        <v>74</v>
      </c>
      <c r="P341" t="s">
        <v>74</v>
      </c>
      <c r="Q341" t="s">
        <v>74</v>
      </c>
      <c r="R341" t="s">
        <v>74</v>
      </c>
      <c r="S341" t="s">
        <v>74</v>
      </c>
      <c r="T341" t="s">
        <v>74</v>
      </c>
      <c r="U341" t="s">
        <v>5176</v>
      </c>
      <c r="V341" t="s">
        <v>5177</v>
      </c>
      <c r="W341" t="s">
        <v>5178</v>
      </c>
      <c r="X341" t="s">
        <v>5179</v>
      </c>
      <c r="Y341" t="s">
        <v>5180</v>
      </c>
      <c r="Z341" t="s">
        <v>5181</v>
      </c>
      <c r="AA341" t="s">
        <v>5182</v>
      </c>
      <c r="AB341" t="s">
        <v>5183</v>
      </c>
      <c r="AC341" t="s">
        <v>5184</v>
      </c>
      <c r="AD341" t="s">
        <v>5185</v>
      </c>
      <c r="AE341" t="s">
        <v>5186</v>
      </c>
      <c r="AF341" t="s">
        <v>74</v>
      </c>
      <c r="AG341">
        <v>139</v>
      </c>
      <c r="AH341">
        <v>46</v>
      </c>
      <c r="AI341">
        <v>48</v>
      </c>
      <c r="AJ341">
        <v>1</v>
      </c>
      <c r="AK341">
        <v>7</v>
      </c>
      <c r="AL341" t="s">
        <v>5187</v>
      </c>
      <c r="AM341" t="s">
        <v>5188</v>
      </c>
      <c r="AN341" t="s">
        <v>5189</v>
      </c>
      <c r="AO341" t="s">
        <v>5190</v>
      </c>
      <c r="AP341" t="s">
        <v>74</v>
      </c>
      <c r="AQ341" t="s">
        <v>74</v>
      </c>
      <c r="AR341" t="s">
        <v>5175</v>
      </c>
      <c r="AS341" t="s">
        <v>5191</v>
      </c>
      <c r="AT341" t="s">
        <v>98</v>
      </c>
      <c r="AU341">
        <v>2021</v>
      </c>
      <c r="AV341">
        <v>298</v>
      </c>
      <c r="AW341">
        <v>3</v>
      </c>
      <c r="AX341" t="s">
        <v>74</v>
      </c>
      <c r="AY341" t="s">
        <v>74</v>
      </c>
      <c r="AZ341" t="s">
        <v>74</v>
      </c>
      <c r="BA341" t="s">
        <v>74</v>
      </c>
      <c r="BB341">
        <v>531</v>
      </c>
      <c r="BC341">
        <v>549</v>
      </c>
      <c r="BD341" t="s">
        <v>74</v>
      </c>
      <c r="BE341" t="s">
        <v>5192</v>
      </c>
      <c r="BF341" t="str">
        <f>HYPERLINK("http://dx.doi.org/10.1148/radiol.2020203108","http://dx.doi.org/10.1148/radiol.2020203108")</f>
        <v>http://dx.doi.org/10.1148/radiol.2020203108</v>
      </c>
      <c r="BG341" t="s">
        <v>74</v>
      </c>
      <c r="BH341" t="s">
        <v>74</v>
      </c>
      <c r="BI341">
        <v>19</v>
      </c>
      <c r="BJ341" t="s">
        <v>892</v>
      </c>
      <c r="BK341" t="s">
        <v>101</v>
      </c>
      <c r="BL341" t="s">
        <v>892</v>
      </c>
      <c r="BM341" t="s">
        <v>5193</v>
      </c>
      <c r="BN341">
        <v>33399507</v>
      </c>
      <c r="BO341" t="s">
        <v>74</v>
      </c>
      <c r="BP341" t="s">
        <v>74</v>
      </c>
      <c r="BQ341" t="s">
        <v>74</v>
      </c>
      <c r="BR341" t="s">
        <v>104</v>
      </c>
      <c r="BS341" t="s">
        <v>5194</v>
      </c>
      <c r="BT341" t="str">
        <f>HYPERLINK("https%3A%2F%2Fwww.webofscience.com%2Fwos%2Fwoscc%2Ffull-record%2FWOS:000621371200016","View Full Record in Web of Science")</f>
        <v>View Full Record in Web of Science</v>
      </c>
    </row>
    <row r="342" spans="1:72" x14ac:dyDescent="0.25">
      <c r="A342" t="s">
        <v>72</v>
      </c>
      <c r="B342" t="s">
        <v>5195</v>
      </c>
      <c r="C342" t="s">
        <v>74</v>
      </c>
      <c r="D342" t="s">
        <v>74</v>
      </c>
      <c r="E342" t="s">
        <v>74</v>
      </c>
      <c r="F342" t="s">
        <v>5196</v>
      </c>
      <c r="G342" t="s">
        <v>74</v>
      </c>
      <c r="H342" t="s">
        <v>74</v>
      </c>
      <c r="I342" t="s">
        <v>5197</v>
      </c>
      <c r="J342" t="s">
        <v>637</v>
      </c>
      <c r="K342" t="s">
        <v>74</v>
      </c>
      <c r="L342" t="s">
        <v>74</v>
      </c>
      <c r="M342" t="s">
        <v>78</v>
      </c>
      <c r="N342" t="s">
        <v>460</v>
      </c>
      <c r="O342" t="s">
        <v>74</v>
      </c>
      <c r="P342" t="s">
        <v>74</v>
      </c>
      <c r="Q342" t="s">
        <v>74</v>
      </c>
      <c r="R342" t="s">
        <v>74</v>
      </c>
      <c r="S342" t="s">
        <v>74</v>
      </c>
      <c r="T342" t="s">
        <v>74</v>
      </c>
      <c r="U342" t="s">
        <v>74</v>
      </c>
      <c r="V342" t="s">
        <v>74</v>
      </c>
      <c r="W342" t="s">
        <v>5198</v>
      </c>
      <c r="X342" t="s">
        <v>5199</v>
      </c>
      <c r="Y342" t="s">
        <v>5200</v>
      </c>
      <c r="Z342" t="s">
        <v>5201</v>
      </c>
      <c r="AA342" t="s">
        <v>5202</v>
      </c>
      <c r="AB342" t="s">
        <v>5203</v>
      </c>
      <c r="AC342" t="s">
        <v>74</v>
      </c>
      <c r="AD342" t="s">
        <v>74</v>
      </c>
      <c r="AE342" t="s">
        <v>74</v>
      </c>
      <c r="AF342" t="s">
        <v>74</v>
      </c>
      <c r="AG342">
        <v>11</v>
      </c>
      <c r="AH342">
        <v>0</v>
      </c>
      <c r="AI342">
        <v>0</v>
      </c>
      <c r="AJ342">
        <v>0</v>
      </c>
      <c r="AK342">
        <v>1</v>
      </c>
      <c r="AL342" t="s">
        <v>649</v>
      </c>
      <c r="AM342" t="s">
        <v>486</v>
      </c>
      <c r="AN342" t="s">
        <v>650</v>
      </c>
      <c r="AO342" t="s">
        <v>651</v>
      </c>
      <c r="AP342" t="s">
        <v>652</v>
      </c>
      <c r="AQ342" t="s">
        <v>74</v>
      </c>
      <c r="AR342" t="s">
        <v>653</v>
      </c>
      <c r="AS342" t="s">
        <v>654</v>
      </c>
      <c r="AT342" t="s">
        <v>2334</v>
      </c>
      <c r="AU342">
        <v>2021</v>
      </c>
      <c r="AV342">
        <v>203</v>
      </c>
      <c r="AW342">
        <v>4</v>
      </c>
      <c r="AX342" t="s">
        <v>74</v>
      </c>
      <c r="AY342" t="s">
        <v>74</v>
      </c>
      <c r="AZ342" t="s">
        <v>74</v>
      </c>
      <c r="BA342" t="s">
        <v>74</v>
      </c>
      <c r="BB342">
        <v>524</v>
      </c>
      <c r="BC342">
        <v>525</v>
      </c>
      <c r="BD342" t="s">
        <v>74</v>
      </c>
      <c r="BE342" t="s">
        <v>5204</v>
      </c>
      <c r="BF342" t="str">
        <f>HYPERLINK("http://dx.doi.org/10.1164/rccm.202009-3664LE","http://dx.doi.org/10.1164/rccm.202009-3664LE")</f>
        <v>http://dx.doi.org/10.1164/rccm.202009-3664LE</v>
      </c>
      <c r="BG342" t="s">
        <v>74</v>
      </c>
      <c r="BH342" t="s">
        <v>74</v>
      </c>
      <c r="BI342">
        <v>3</v>
      </c>
      <c r="BJ342" t="s">
        <v>341</v>
      </c>
      <c r="BK342" t="s">
        <v>101</v>
      </c>
      <c r="BL342" t="s">
        <v>342</v>
      </c>
      <c r="BM342" t="s">
        <v>5205</v>
      </c>
      <c r="BN342">
        <v>33105080</v>
      </c>
      <c r="BO342" t="s">
        <v>470</v>
      </c>
      <c r="BP342" t="s">
        <v>74</v>
      </c>
      <c r="BQ342" t="s">
        <v>74</v>
      </c>
      <c r="BR342" t="s">
        <v>104</v>
      </c>
      <c r="BS342" t="s">
        <v>5206</v>
      </c>
      <c r="BT342" t="str">
        <f>HYPERLINK("https%3A%2F%2Fwww.webofscience.com%2Fwos%2Fwoscc%2Ffull-record%2FWOS:000619666200027","View Full Record in Web of Science")</f>
        <v>View Full Record in Web of Science</v>
      </c>
    </row>
    <row r="343" spans="1:72" x14ac:dyDescent="0.25">
      <c r="A343" t="s">
        <v>72</v>
      </c>
      <c r="B343" t="s">
        <v>5207</v>
      </c>
      <c r="C343" t="s">
        <v>74</v>
      </c>
      <c r="D343" t="s">
        <v>74</v>
      </c>
      <c r="E343" t="s">
        <v>74</v>
      </c>
      <c r="F343" t="s">
        <v>5208</v>
      </c>
      <c r="G343" t="s">
        <v>74</v>
      </c>
      <c r="H343" t="s">
        <v>74</v>
      </c>
      <c r="I343" t="s">
        <v>5209</v>
      </c>
      <c r="J343" t="s">
        <v>324</v>
      </c>
      <c r="K343" t="s">
        <v>74</v>
      </c>
      <c r="L343" t="s">
        <v>74</v>
      </c>
      <c r="M343" t="s">
        <v>78</v>
      </c>
      <c r="N343" t="s">
        <v>79</v>
      </c>
      <c r="O343" t="s">
        <v>74</v>
      </c>
      <c r="P343" t="s">
        <v>74</v>
      </c>
      <c r="Q343" t="s">
        <v>74</v>
      </c>
      <c r="R343" t="s">
        <v>74</v>
      </c>
      <c r="S343" t="s">
        <v>74</v>
      </c>
      <c r="T343" t="s">
        <v>5210</v>
      </c>
      <c r="U343" t="s">
        <v>5211</v>
      </c>
      <c r="V343" t="s">
        <v>5212</v>
      </c>
      <c r="W343" t="s">
        <v>5213</v>
      </c>
      <c r="X343" t="s">
        <v>5214</v>
      </c>
      <c r="Y343" t="s">
        <v>5215</v>
      </c>
      <c r="Z343" t="s">
        <v>5216</v>
      </c>
      <c r="AA343" t="s">
        <v>5217</v>
      </c>
      <c r="AB343" t="s">
        <v>5218</v>
      </c>
      <c r="AC343" t="s">
        <v>5219</v>
      </c>
      <c r="AD343" t="s">
        <v>5220</v>
      </c>
      <c r="AE343" t="s">
        <v>5221</v>
      </c>
      <c r="AF343" t="s">
        <v>74</v>
      </c>
      <c r="AG343">
        <v>29</v>
      </c>
      <c r="AH343">
        <v>28</v>
      </c>
      <c r="AI343">
        <v>28</v>
      </c>
      <c r="AJ343">
        <v>1</v>
      </c>
      <c r="AK343">
        <v>1</v>
      </c>
      <c r="AL343" t="s">
        <v>92</v>
      </c>
      <c r="AM343" t="s">
        <v>93</v>
      </c>
      <c r="AN343" t="s">
        <v>94</v>
      </c>
      <c r="AO343" t="s">
        <v>337</v>
      </c>
      <c r="AP343" t="s">
        <v>338</v>
      </c>
      <c r="AQ343" t="s">
        <v>74</v>
      </c>
      <c r="AR343" t="s">
        <v>324</v>
      </c>
      <c r="AS343" t="s">
        <v>339</v>
      </c>
      <c r="AT343" t="s">
        <v>129</v>
      </c>
      <c r="AU343">
        <v>2021</v>
      </c>
      <c r="AV343">
        <v>159</v>
      </c>
      <c r="AW343">
        <v>2</v>
      </c>
      <c r="AX343" t="s">
        <v>74</v>
      </c>
      <c r="AY343" t="s">
        <v>74</v>
      </c>
      <c r="AZ343" t="s">
        <v>74</v>
      </c>
      <c r="BA343" t="s">
        <v>74</v>
      </c>
      <c r="BB343">
        <v>791</v>
      </c>
      <c r="BC343">
        <v>797</v>
      </c>
      <c r="BD343" t="s">
        <v>74</v>
      </c>
      <c r="BE343" t="s">
        <v>5222</v>
      </c>
      <c r="BF343" t="str">
        <f>HYPERLINK("http://dx.doi.org/10.1016/j.chest.2020.08.019","http://dx.doi.org/10.1016/j.chest.2020.08.019")</f>
        <v>http://dx.doi.org/10.1016/j.chest.2020.08.019</v>
      </c>
      <c r="BG343" t="s">
        <v>74</v>
      </c>
      <c r="BH343" t="s">
        <v>5223</v>
      </c>
      <c r="BI343">
        <v>7</v>
      </c>
      <c r="BJ343" t="s">
        <v>341</v>
      </c>
      <c r="BK343" t="s">
        <v>101</v>
      </c>
      <c r="BL343" t="s">
        <v>342</v>
      </c>
      <c r="BM343" t="s">
        <v>5224</v>
      </c>
      <c r="BN343">
        <v>32805242</v>
      </c>
      <c r="BO343" t="s">
        <v>74</v>
      </c>
      <c r="BP343" t="s">
        <v>74</v>
      </c>
      <c r="BQ343" t="s">
        <v>74</v>
      </c>
      <c r="BR343" t="s">
        <v>104</v>
      </c>
      <c r="BS343" t="s">
        <v>5225</v>
      </c>
      <c r="BT343" t="str">
        <f>HYPERLINK("https%3A%2F%2Fwww.webofscience.com%2Fwos%2Fwoscc%2Ffull-record%2FWOS:000632441600056","View Full Record in Web of Science")</f>
        <v>View Full Record in Web of Science</v>
      </c>
    </row>
    <row r="344" spans="1:72" x14ac:dyDescent="0.25">
      <c r="A344" t="s">
        <v>72</v>
      </c>
      <c r="B344" t="s">
        <v>5226</v>
      </c>
      <c r="C344" t="s">
        <v>74</v>
      </c>
      <c r="D344" t="s">
        <v>74</v>
      </c>
      <c r="E344" t="s">
        <v>74</v>
      </c>
      <c r="F344" t="s">
        <v>5227</v>
      </c>
      <c r="G344" t="s">
        <v>74</v>
      </c>
      <c r="H344" t="s">
        <v>74</v>
      </c>
      <c r="I344" t="s">
        <v>5228</v>
      </c>
      <c r="J344" t="s">
        <v>5229</v>
      </c>
      <c r="K344" t="s">
        <v>74</v>
      </c>
      <c r="L344" t="s">
        <v>74</v>
      </c>
      <c r="M344" t="s">
        <v>78</v>
      </c>
      <c r="N344" t="s">
        <v>79</v>
      </c>
      <c r="O344" t="s">
        <v>74</v>
      </c>
      <c r="P344" t="s">
        <v>74</v>
      </c>
      <c r="Q344" t="s">
        <v>74</v>
      </c>
      <c r="R344" t="s">
        <v>74</v>
      </c>
      <c r="S344" t="s">
        <v>74</v>
      </c>
      <c r="T344" t="s">
        <v>74</v>
      </c>
      <c r="U344" t="s">
        <v>5230</v>
      </c>
      <c r="V344" t="s">
        <v>5231</v>
      </c>
      <c r="W344" t="s">
        <v>5232</v>
      </c>
      <c r="X344" t="s">
        <v>5233</v>
      </c>
      <c r="Y344" t="s">
        <v>5234</v>
      </c>
      <c r="Z344" t="s">
        <v>5235</v>
      </c>
      <c r="AA344" t="s">
        <v>5236</v>
      </c>
      <c r="AB344" t="s">
        <v>5237</v>
      </c>
      <c r="AC344" t="s">
        <v>74</v>
      </c>
      <c r="AD344" t="s">
        <v>74</v>
      </c>
      <c r="AE344" t="s">
        <v>74</v>
      </c>
      <c r="AF344" t="s">
        <v>74</v>
      </c>
      <c r="AG344">
        <v>99</v>
      </c>
      <c r="AH344">
        <v>15</v>
      </c>
      <c r="AI344">
        <v>15</v>
      </c>
      <c r="AJ344">
        <v>0</v>
      </c>
      <c r="AK344">
        <v>11</v>
      </c>
      <c r="AL344" t="s">
        <v>92</v>
      </c>
      <c r="AM344" t="s">
        <v>93</v>
      </c>
      <c r="AN344" t="s">
        <v>94</v>
      </c>
      <c r="AO344" t="s">
        <v>5238</v>
      </c>
      <c r="AP344" t="s">
        <v>74</v>
      </c>
      <c r="AQ344" t="s">
        <v>74</v>
      </c>
      <c r="AR344" t="s">
        <v>5239</v>
      </c>
      <c r="AS344" t="s">
        <v>5240</v>
      </c>
      <c r="AT344" t="s">
        <v>129</v>
      </c>
      <c r="AU344">
        <v>2021</v>
      </c>
      <c r="AV344">
        <v>3</v>
      </c>
      <c r="AW344">
        <v>2</v>
      </c>
      <c r="AX344" t="s">
        <v>74</v>
      </c>
      <c r="AY344" t="s">
        <v>74</v>
      </c>
      <c r="AZ344" t="s">
        <v>74</v>
      </c>
      <c r="BA344" t="s">
        <v>74</v>
      </c>
      <c r="BB344" t="s">
        <v>5241</v>
      </c>
      <c r="BC344" t="s">
        <v>5242</v>
      </c>
      <c r="BD344" t="s">
        <v>74</v>
      </c>
      <c r="BE344" t="s">
        <v>5243</v>
      </c>
      <c r="BF344" t="str">
        <f>HYPERLINK("http://dx.doi.org/10.1016/S2665-9913(20)30356-8","http://dx.doi.org/10.1016/S2665-9913(20)30356-8")</f>
        <v>http://dx.doi.org/10.1016/S2665-9913(20)30356-8</v>
      </c>
      <c r="BG344" t="s">
        <v>74</v>
      </c>
      <c r="BH344" t="s">
        <v>74</v>
      </c>
      <c r="BI344">
        <v>11</v>
      </c>
      <c r="BJ344" t="s">
        <v>2369</v>
      </c>
      <c r="BK344" t="s">
        <v>101</v>
      </c>
      <c r="BL344" t="s">
        <v>2369</v>
      </c>
      <c r="BM344" t="s">
        <v>5244</v>
      </c>
      <c r="BN344">
        <v>38279370</v>
      </c>
      <c r="BO344" t="s">
        <v>74</v>
      </c>
      <c r="BP344" t="s">
        <v>74</v>
      </c>
      <c r="BQ344" t="s">
        <v>74</v>
      </c>
      <c r="BR344" t="s">
        <v>104</v>
      </c>
      <c r="BS344" t="s">
        <v>5245</v>
      </c>
      <c r="BT344" t="str">
        <f>HYPERLINK("https%3A%2F%2Fwww.webofscience.com%2Fwos%2Fwoscc%2Ffull-record%2FWOS:000632643700004","View Full Record in Web of Science")</f>
        <v>View Full Record in Web of Science</v>
      </c>
    </row>
    <row r="345" spans="1:72" x14ac:dyDescent="0.25">
      <c r="A345" t="s">
        <v>72</v>
      </c>
      <c r="B345" t="s">
        <v>5246</v>
      </c>
      <c r="C345" t="s">
        <v>74</v>
      </c>
      <c r="D345" t="s">
        <v>74</v>
      </c>
      <c r="E345" t="s">
        <v>74</v>
      </c>
      <c r="F345" t="s">
        <v>5247</v>
      </c>
      <c r="G345" t="s">
        <v>74</v>
      </c>
      <c r="H345" t="s">
        <v>74</v>
      </c>
      <c r="I345" t="s">
        <v>5248</v>
      </c>
      <c r="J345" t="s">
        <v>216</v>
      </c>
      <c r="K345" t="s">
        <v>74</v>
      </c>
      <c r="L345" t="s">
        <v>74</v>
      </c>
      <c r="M345" t="s">
        <v>78</v>
      </c>
      <c r="N345" t="s">
        <v>460</v>
      </c>
      <c r="O345" t="s">
        <v>74</v>
      </c>
      <c r="P345" t="s">
        <v>74</v>
      </c>
      <c r="Q345" t="s">
        <v>74</v>
      </c>
      <c r="R345" t="s">
        <v>74</v>
      </c>
      <c r="S345" t="s">
        <v>74</v>
      </c>
      <c r="T345" t="s">
        <v>74</v>
      </c>
      <c r="U345" t="s">
        <v>74</v>
      </c>
      <c r="V345" t="s">
        <v>74</v>
      </c>
      <c r="W345" t="s">
        <v>5249</v>
      </c>
      <c r="X345" t="s">
        <v>5250</v>
      </c>
      <c r="Y345" t="s">
        <v>1754</v>
      </c>
      <c r="Z345" t="s">
        <v>331</v>
      </c>
      <c r="AA345" t="s">
        <v>5251</v>
      </c>
      <c r="AB345" t="s">
        <v>5252</v>
      </c>
      <c r="AC345" t="s">
        <v>74</v>
      </c>
      <c r="AD345" t="s">
        <v>74</v>
      </c>
      <c r="AE345" t="s">
        <v>74</v>
      </c>
      <c r="AF345" t="s">
        <v>74</v>
      </c>
      <c r="AG345">
        <v>14</v>
      </c>
      <c r="AH345">
        <v>2</v>
      </c>
      <c r="AI345">
        <v>2</v>
      </c>
      <c r="AJ345">
        <v>0</v>
      </c>
      <c r="AK345">
        <v>1</v>
      </c>
      <c r="AL345" t="s">
        <v>219</v>
      </c>
      <c r="AM345" t="s">
        <v>220</v>
      </c>
      <c r="AN345" t="s">
        <v>221</v>
      </c>
      <c r="AO345" t="s">
        <v>222</v>
      </c>
      <c r="AP345" t="s">
        <v>223</v>
      </c>
      <c r="AQ345" t="s">
        <v>74</v>
      </c>
      <c r="AR345" t="s">
        <v>224</v>
      </c>
      <c r="AS345" t="s">
        <v>225</v>
      </c>
      <c r="AT345" t="s">
        <v>2573</v>
      </c>
      <c r="AU345">
        <v>2021</v>
      </c>
      <c r="AV345">
        <v>57</v>
      </c>
      <c r="AW345">
        <v>2</v>
      </c>
      <c r="AX345" t="s">
        <v>74</v>
      </c>
      <c r="AY345" t="s">
        <v>74</v>
      </c>
      <c r="AZ345" t="s">
        <v>74</v>
      </c>
      <c r="BA345" t="s">
        <v>74</v>
      </c>
      <c r="BB345" t="s">
        <v>74</v>
      </c>
      <c r="BC345" t="s">
        <v>74</v>
      </c>
      <c r="BD345">
        <v>2003132</v>
      </c>
      <c r="BE345" t="s">
        <v>5253</v>
      </c>
      <c r="BF345" t="str">
        <f>HYPERLINK("http://dx.doi.org/10.1183/13993003.03132-2020","http://dx.doi.org/10.1183/13993003.03132-2020")</f>
        <v>http://dx.doi.org/10.1183/13993003.03132-2020</v>
      </c>
      <c r="BG345" t="s">
        <v>74</v>
      </c>
      <c r="BH345" t="s">
        <v>74</v>
      </c>
      <c r="BI345">
        <v>3</v>
      </c>
      <c r="BJ345" t="s">
        <v>228</v>
      </c>
      <c r="BK345" t="s">
        <v>101</v>
      </c>
      <c r="BL345" t="s">
        <v>228</v>
      </c>
      <c r="BM345" t="s">
        <v>5254</v>
      </c>
      <c r="BN345">
        <v>33093116</v>
      </c>
      <c r="BO345" t="s">
        <v>1194</v>
      </c>
      <c r="BP345" t="s">
        <v>74</v>
      </c>
      <c r="BQ345" t="s">
        <v>74</v>
      </c>
      <c r="BR345" t="s">
        <v>104</v>
      </c>
      <c r="BS345" t="s">
        <v>5255</v>
      </c>
      <c r="BT345" t="str">
        <f>HYPERLINK("https%3A%2F%2Fwww.webofscience.com%2Fwos%2Fwoscc%2Ffull-record%2FWOS:000640891200013","View Full Record in Web of Science")</f>
        <v>View Full Record in Web of Science</v>
      </c>
    </row>
    <row r="346" spans="1:72" x14ac:dyDescent="0.25">
      <c r="A346" t="s">
        <v>72</v>
      </c>
      <c r="B346" t="s">
        <v>213</v>
      </c>
      <c r="C346" t="s">
        <v>74</v>
      </c>
      <c r="D346" t="s">
        <v>74</v>
      </c>
      <c r="E346" t="s">
        <v>74</v>
      </c>
      <c r="F346" t="s">
        <v>214</v>
      </c>
      <c r="G346" t="s">
        <v>74</v>
      </c>
      <c r="H346" t="s">
        <v>74</v>
      </c>
      <c r="I346" t="s">
        <v>5256</v>
      </c>
      <c r="J346" t="s">
        <v>216</v>
      </c>
      <c r="K346" t="s">
        <v>74</v>
      </c>
      <c r="L346" t="s">
        <v>74</v>
      </c>
      <c r="M346" t="s">
        <v>78</v>
      </c>
      <c r="N346" t="s">
        <v>299</v>
      </c>
      <c r="O346" t="s">
        <v>74</v>
      </c>
      <c r="P346" t="s">
        <v>74</v>
      </c>
      <c r="Q346" t="s">
        <v>74</v>
      </c>
      <c r="R346" t="s">
        <v>74</v>
      </c>
      <c r="S346" t="s">
        <v>74</v>
      </c>
      <c r="T346" t="s">
        <v>74</v>
      </c>
      <c r="U346" t="s">
        <v>5257</v>
      </c>
      <c r="V346" t="s">
        <v>5258</v>
      </c>
      <c r="W346" t="s">
        <v>5259</v>
      </c>
      <c r="X346" t="s">
        <v>5260</v>
      </c>
      <c r="Y346" t="s">
        <v>5261</v>
      </c>
      <c r="Z346" t="s">
        <v>377</v>
      </c>
      <c r="AA346" t="s">
        <v>415</v>
      </c>
      <c r="AB346" t="s">
        <v>357</v>
      </c>
      <c r="AC346" t="s">
        <v>74</v>
      </c>
      <c r="AD346" t="s">
        <v>74</v>
      </c>
      <c r="AE346" t="s">
        <v>74</v>
      </c>
      <c r="AF346" t="s">
        <v>74</v>
      </c>
      <c r="AG346">
        <v>100</v>
      </c>
      <c r="AH346">
        <v>97</v>
      </c>
      <c r="AI346">
        <v>100</v>
      </c>
      <c r="AJ346">
        <v>2</v>
      </c>
      <c r="AK346">
        <v>24</v>
      </c>
      <c r="AL346" t="s">
        <v>219</v>
      </c>
      <c r="AM346" t="s">
        <v>220</v>
      </c>
      <c r="AN346" t="s">
        <v>221</v>
      </c>
      <c r="AO346" t="s">
        <v>222</v>
      </c>
      <c r="AP346" t="s">
        <v>223</v>
      </c>
      <c r="AQ346" t="s">
        <v>74</v>
      </c>
      <c r="AR346" t="s">
        <v>224</v>
      </c>
      <c r="AS346" t="s">
        <v>225</v>
      </c>
      <c r="AT346" t="s">
        <v>129</v>
      </c>
      <c r="AU346">
        <v>2021</v>
      </c>
      <c r="AV346">
        <v>57</v>
      </c>
      <c r="AW346">
        <v>2</v>
      </c>
      <c r="AX346" t="s">
        <v>74</v>
      </c>
      <c r="AY346" t="s">
        <v>74</v>
      </c>
      <c r="AZ346" t="s">
        <v>74</v>
      </c>
      <c r="BA346" t="s">
        <v>74</v>
      </c>
      <c r="BB346" t="s">
        <v>74</v>
      </c>
      <c r="BC346" t="s">
        <v>74</v>
      </c>
      <c r="BD346">
        <v>2002341</v>
      </c>
      <c r="BE346" t="s">
        <v>5262</v>
      </c>
      <c r="BF346" t="str">
        <f>HYPERLINK("http://dx.doi.org/10.1183/13993003.02341-2020","http://dx.doi.org/10.1183/13993003.02341-2020")</f>
        <v>http://dx.doi.org/10.1183/13993003.02341-2020</v>
      </c>
      <c r="BG346" t="s">
        <v>74</v>
      </c>
      <c r="BH346" t="s">
        <v>74</v>
      </c>
      <c r="BI346">
        <v>14</v>
      </c>
      <c r="BJ346" t="s">
        <v>228</v>
      </c>
      <c r="BK346" t="s">
        <v>101</v>
      </c>
      <c r="BL346" t="s">
        <v>228</v>
      </c>
      <c r="BM346" t="s">
        <v>5263</v>
      </c>
      <c r="BN346">
        <v>32817256</v>
      </c>
      <c r="BO346" t="s">
        <v>1908</v>
      </c>
      <c r="BP346" t="s">
        <v>74</v>
      </c>
      <c r="BQ346" t="s">
        <v>74</v>
      </c>
      <c r="BR346" t="s">
        <v>104</v>
      </c>
      <c r="BS346" t="s">
        <v>5264</v>
      </c>
      <c r="BT346" t="str">
        <f>HYPERLINK("https%3A%2F%2Fwww.webofscience.com%2Fwos%2Fwoscc%2Ffull-record%2FWOS:000619682500002","View Full Record in Web of Science")</f>
        <v>View Full Record in Web of Science</v>
      </c>
    </row>
    <row r="347" spans="1:72" x14ac:dyDescent="0.25">
      <c r="A347" t="s">
        <v>72</v>
      </c>
      <c r="B347" t="s">
        <v>5265</v>
      </c>
      <c r="C347" t="s">
        <v>74</v>
      </c>
      <c r="D347" t="s">
        <v>74</v>
      </c>
      <c r="E347" t="s">
        <v>74</v>
      </c>
      <c r="F347" t="s">
        <v>5266</v>
      </c>
      <c r="G347" t="s">
        <v>74</v>
      </c>
      <c r="H347" t="s">
        <v>74</v>
      </c>
      <c r="I347" t="s">
        <v>5267</v>
      </c>
      <c r="J347" t="s">
        <v>189</v>
      </c>
      <c r="K347" t="s">
        <v>74</v>
      </c>
      <c r="L347" t="s">
        <v>74</v>
      </c>
      <c r="M347" t="s">
        <v>78</v>
      </c>
      <c r="N347" t="s">
        <v>79</v>
      </c>
      <c r="O347" t="s">
        <v>74</v>
      </c>
      <c r="P347" t="s">
        <v>74</v>
      </c>
      <c r="Q347" t="s">
        <v>74</v>
      </c>
      <c r="R347" t="s">
        <v>74</v>
      </c>
      <c r="S347" t="s">
        <v>74</v>
      </c>
      <c r="T347" t="s">
        <v>5268</v>
      </c>
      <c r="U347" t="s">
        <v>5269</v>
      </c>
      <c r="V347" t="s">
        <v>5270</v>
      </c>
      <c r="W347" t="s">
        <v>5271</v>
      </c>
      <c r="X347" t="s">
        <v>5272</v>
      </c>
      <c r="Y347" t="s">
        <v>5273</v>
      </c>
      <c r="Z347" t="s">
        <v>5274</v>
      </c>
      <c r="AA347" t="s">
        <v>5275</v>
      </c>
      <c r="AB347" t="s">
        <v>5276</v>
      </c>
      <c r="AC347" t="s">
        <v>5277</v>
      </c>
      <c r="AD347" t="s">
        <v>5278</v>
      </c>
      <c r="AE347" t="s">
        <v>5158</v>
      </c>
      <c r="AF347" t="s">
        <v>74</v>
      </c>
      <c r="AG347">
        <v>27</v>
      </c>
      <c r="AH347">
        <v>17</v>
      </c>
      <c r="AI347">
        <v>17</v>
      </c>
      <c r="AJ347">
        <v>2</v>
      </c>
      <c r="AK347">
        <v>9</v>
      </c>
      <c r="AL347" t="s">
        <v>200</v>
      </c>
      <c r="AM347" t="s">
        <v>201</v>
      </c>
      <c r="AN347" t="s">
        <v>202</v>
      </c>
      <c r="AO347" t="s">
        <v>203</v>
      </c>
      <c r="AP347" t="s">
        <v>204</v>
      </c>
      <c r="AQ347" t="s">
        <v>74</v>
      </c>
      <c r="AR347" t="s">
        <v>205</v>
      </c>
      <c r="AS347" t="s">
        <v>206</v>
      </c>
      <c r="AT347" t="s">
        <v>129</v>
      </c>
      <c r="AU347">
        <v>2021</v>
      </c>
      <c r="AV347">
        <v>177</v>
      </c>
      <c r="AW347" t="s">
        <v>74</v>
      </c>
      <c r="AX347" t="s">
        <v>74</v>
      </c>
      <c r="AY347" t="s">
        <v>74</v>
      </c>
      <c r="AZ347" t="s">
        <v>74</v>
      </c>
      <c r="BA347" t="s">
        <v>74</v>
      </c>
      <c r="BB347" t="s">
        <v>74</v>
      </c>
      <c r="BC347" t="s">
        <v>74</v>
      </c>
      <c r="BD347">
        <v>106241</v>
      </c>
      <c r="BE347" t="s">
        <v>5279</v>
      </c>
      <c r="BF347" t="str">
        <f>HYPERLINK("http://dx.doi.org/10.1016/j.rmed.2020.106241","http://dx.doi.org/10.1016/j.rmed.2020.106241")</f>
        <v>http://dx.doi.org/10.1016/j.rmed.2020.106241</v>
      </c>
      <c r="BG347" t="s">
        <v>74</v>
      </c>
      <c r="BH347" t="s">
        <v>74</v>
      </c>
      <c r="BI347">
        <v>11</v>
      </c>
      <c r="BJ347" t="s">
        <v>209</v>
      </c>
      <c r="BK347" t="s">
        <v>101</v>
      </c>
      <c r="BL347" t="s">
        <v>210</v>
      </c>
      <c r="BM347" t="s">
        <v>5280</v>
      </c>
      <c r="BN347">
        <v>33422952</v>
      </c>
      <c r="BO347" t="s">
        <v>246</v>
      </c>
      <c r="BP347" t="s">
        <v>74</v>
      </c>
      <c r="BQ347" t="s">
        <v>74</v>
      </c>
      <c r="BR347" t="s">
        <v>104</v>
      </c>
      <c r="BS347" t="s">
        <v>5281</v>
      </c>
      <c r="BT347" t="str">
        <f>HYPERLINK("https%3A%2F%2Fwww.webofscience.com%2Fwos%2Fwoscc%2Ffull-record%2FWOS:000621700500001","View Full Record in Web of Science")</f>
        <v>View Full Record in Web of Science</v>
      </c>
    </row>
    <row r="348" spans="1:72" x14ac:dyDescent="0.25">
      <c r="A348" t="s">
        <v>72</v>
      </c>
      <c r="B348" t="s">
        <v>5282</v>
      </c>
      <c r="C348" t="s">
        <v>74</v>
      </c>
      <c r="D348" t="s">
        <v>74</v>
      </c>
      <c r="E348" t="s">
        <v>74</v>
      </c>
      <c r="F348" t="s">
        <v>5283</v>
      </c>
      <c r="G348" t="s">
        <v>74</v>
      </c>
      <c r="H348" t="s">
        <v>74</v>
      </c>
      <c r="I348" t="s">
        <v>5284</v>
      </c>
      <c r="J348" t="s">
        <v>5285</v>
      </c>
      <c r="K348" t="s">
        <v>74</v>
      </c>
      <c r="L348" t="s">
        <v>74</v>
      </c>
      <c r="M348" t="s">
        <v>78</v>
      </c>
      <c r="N348" t="s">
        <v>79</v>
      </c>
      <c r="O348" t="s">
        <v>74</v>
      </c>
      <c r="P348" t="s">
        <v>74</v>
      </c>
      <c r="Q348" t="s">
        <v>74</v>
      </c>
      <c r="R348" t="s">
        <v>74</v>
      </c>
      <c r="S348" t="s">
        <v>74</v>
      </c>
      <c r="T348" t="s">
        <v>5286</v>
      </c>
      <c r="U348" t="s">
        <v>5287</v>
      </c>
      <c r="V348" t="s">
        <v>5288</v>
      </c>
      <c r="W348" t="s">
        <v>5289</v>
      </c>
      <c r="X348" t="s">
        <v>5290</v>
      </c>
      <c r="Y348" t="s">
        <v>5291</v>
      </c>
      <c r="Z348" t="s">
        <v>5292</v>
      </c>
      <c r="AA348" t="s">
        <v>5293</v>
      </c>
      <c r="AB348" t="s">
        <v>5294</v>
      </c>
      <c r="AC348" t="s">
        <v>5295</v>
      </c>
      <c r="AD348" t="s">
        <v>5296</v>
      </c>
      <c r="AE348" t="s">
        <v>5297</v>
      </c>
      <c r="AF348" t="s">
        <v>74</v>
      </c>
      <c r="AG348">
        <v>38</v>
      </c>
      <c r="AH348">
        <v>35</v>
      </c>
      <c r="AI348">
        <v>35</v>
      </c>
      <c r="AJ348">
        <v>0</v>
      </c>
      <c r="AK348">
        <v>8</v>
      </c>
      <c r="AL348" t="s">
        <v>122</v>
      </c>
      <c r="AM348" t="s">
        <v>123</v>
      </c>
      <c r="AN348" t="s">
        <v>124</v>
      </c>
      <c r="AO348" t="s">
        <v>5298</v>
      </c>
      <c r="AP348" t="s">
        <v>74</v>
      </c>
      <c r="AQ348" t="s">
        <v>74</v>
      </c>
      <c r="AR348" t="s">
        <v>5299</v>
      </c>
      <c r="AS348" t="s">
        <v>5300</v>
      </c>
      <c r="AT348" t="s">
        <v>129</v>
      </c>
      <c r="AU348">
        <v>2021</v>
      </c>
      <c r="AV348">
        <v>14</v>
      </c>
      <c r="AW348">
        <v>1</v>
      </c>
      <c r="AX348" t="s">
        <v>74</v>
      </c>
      <c r="AY348" t="s">
        <v>74</v>
      </c>
      <c r="AZ348" t="s">
        <v>74</v>
      </c>
      <c r="BA348" t="s">
        <v>74</v>
      </c>
      <c r="BB348" t="s">
        <v>74</v>
      </c>
      <c r="BC348" t="s">
        <v>74</v>
      </c>
      <c r="BD348" t="s">
        <v>5301</v>
      </c>
      <c r="BE348" t="s">
        <v>5302</v>
      </c>
      <c r="BF348" t="str">
        <f>HYPERLINK("http://dx.doi.org/10.1161/CIRCGEN.120.003155","http://dx.doi.org/10.1161/CIRCGEN.120.003155")</f>
        <v>http://dx.doi.org/10.1161/CIRCGEN.120.003155</v>
      </c>
      <c r="BG348" t="s">
        <v>74</v>
      </c>
      <c r="BH348" t="s">
        <v>74</v>
      </c>
      <c r="BI348">
        <v>14</v>
      </c>
      <c r="BJ348" t="s">
        <v>5303</v>
      </c>
      <c r="BK348" t="s">
        <v>101</v>
      </c>
      <c r="BL348" t="s">
        <v>5304</v>
      </c>
      <c r="BM348" t="s">
        <v>5305</v>
      </c>
      <c r="BN348">
        <v>33320693</v>
      </c>
      <c r="BO348" t="s">
        <v>5306</v>
      </c>
      <c r="BP348" t="s">
        <v>74</v>
      </c>
      <c r="BQ348" t="s">
        <v>74</v>
      </c>
      <c r="BR348" t="s">
        <v>104</v>
      </c>
      <c r="BS348" t="s">
        <v>5307</v>
      </c>
      <c r="BT348" t="str">
        <f>HYPERLINK("https%3A%2F%2Fwww.webofscience.com%2Fwos%2Fwoscc%2Ffull-record%2FWOS:000639305600017","View Full Record in Web of Science")</f>
        <v>View Full Record in Web of Science</v>
      </c>
    </row>
    <row r="349" spans="1:72" x14ac:dyDescent="0.25">
      <c r="A349" t="s">
        <v>72</v>
      </c>
      <c r="B349" t="s">
        <v>5308</v>
      </c>
      <c r="C349" t="s">
        <v>74</v>
      </c>
      <c r="D349" t="s">
        <v>74</v>
      </c>
      <c r="E349" t="s">
        <v>74</v>
      </c>
      <c r="F349" t="s">
        <v>5309</v>
      </c>
      <c r="G349" t="s">
        <v>74</v>
      </c>
      <c r="H349" t="s">
        <v>74</v>
      </c>
      <c r="I349" t="s">
        <v>5310</v>
      </c>
      <c r="J349" t="s">
        <v>4594</v>
      </c>
      <c r="K349" t="s">
        <v>74</v>
      </c>
      <c r="L349" t="s">
        <v>74</v>
      </c>
      <c r="M349" t="s">
        <v>78</v>
      </c>
      <c r="N349" t="s">
        <v>79</v>
      </c>
      <c r="O349" t="s">
        <v>74</v>
      </c>
      <c r="P349" t="s">
        <v>74</v>
      </c>
      <c r="Q349" t="s">
        <v>74</v>
      </c>
      <c r="R349" t="s">
        <v>74</v>
      </c>
      <c r="S349" t="s">
        <v>74</v>
      </c>
      <c r="T349" t="s">
        <v>5311</v>
      </c>
      <c r="U349" t="s">
        <v>5312</v>
      </c>
      <c r="V349" t="s">
        <v>5313</v>
      </c>
      <c r="W349" t="s">
        <v>5314</v>
      </c>
      <c r="X349" t="s">
        <v>5315</v>
      </c>
      <c r="Y349" t="s">
        <v>5316</v>
      </c>
      <c r="Z349" t="s">
        <v>3416</v>
      </c>
      <c r="AA349" t="s">
        <v>5317</v>
      </c>
      <c r="AB349" t="s">
        <v>5318</v>
      </c>
      <c r="AC349" t="s">
        <v>5319</v>
      </c>
      <c r="AD349" t="s">
        <v>5320</v>
      </c>
      <c r="AE349" t="s">
        <v>5321</v>
      </c>
      <c r="AF349" t="s">
        <v>74</v>
      </c>
      <c r="AG349">
        <v>50</v>
      </c>
      <c r="AH349">
        <v>25</v>
      </c>
      <c r="AI349">
        <v>26</v>
      </c>
      <c r="AJ349">
        <v>0</v>
      </c>
      <c r="AK349">
        <v>5</v>
      </c>
      <c r="AL349" t="s">
        <v>1073</v>
      </c>
      <c r="AM349" t="s">
        <v>1074</v>
      </c>
      <c r="AN349" t="s">
        <v>1075</v>
      </c>
      <c r="AO349" t="s">
        <v>4607</v>
      </c>
      <c r="AP349" t="s">
        <v>4608</v>
      </c>
      <c r="AQ349" t="s">
        <v>74</v>
      </c>
      <c r="AR349" t="s">
        <v>4609</v>
      </c>
      <c r="AS349" t="s">
        <v>4610</v>
      </c>
      <c r="AT349" t="s">
        <v>1414</v>
      </c>
      <c r="AU349">
        <v>2021</v>
      </c>
      <c r="AV349">
        <v>117</v>
      </c>
      <c r="AW349">
        <v>12</v>
      </c>
      <c r="AX349" t="s">
        <v>74</v>
      </c>
      <c r="AY349" t="s">
        <v>74</v>
      </c>
      <c r="AZ349" t="s">
        <v>74</v>
      </c>
      <c r="BA349" t="s">
        <v>74</v>
      </c>
      <c r="BB349">
        <v>2474</v>
      </c>
      <c r="BC349">
        <v>2488</v>
      </c>
      <c r="BD349" t="s">
        <v>74</v>
      </c>
      <c r="BE349" t="s">
        <v>5322</v>
      </c>
      <c r="BF349" t="str">
        <f>HYPERLINK("http://dx.doi.org/10.1093/cvr/cvab016","http://dx.doi.org/10.1093/cvr/cvab016")</f>
        <v>http://dx.doi.org/10.1093/cvr/cvab016</v>
      </c>
      <c r="BG349" t="s">
        <v>74</v>
      </c>
      <c r="BH349" t="s">
        <v>5323</v>
      </c>
      <c r="BI349">
        <v>15</v>
      </c>
      <c r="BJ349" t="s">
        <v>132</v>
      </c>
      <c r="BK349" t="s">
        <v>101</v>
      </c>
      <c r="BL349" t="s">
        <v>133</v>
      </c>
      <c r="BM349" t="s">
        <v>5324</v>
      </c>
      <c r="BN349">
        <v>33483721</v>
      </c>
      <c r="BO349" t="s">
        <v>3117</v>
      </c>
      <c r="BP349" t="s">
        <v>74</v>
      </c>
      <c r="BQ349" t="s">
        <v>74</v>
      </c>
      <c r="BR349" t="s">
        <v>104</v>
      </c>
      <c r="BS349" t="s">
        <v>5325</v>
      </c>
      <c r="BT349" t="str">
        <f>HYPERLINK("https%3A%2F%2Fwww.webofscience.com%2Fwos%2Fwoscc%2Ffull-record%2FWOS:000717498300012","View Full Record in Web of Science")</f>
        <v>View Full Record in Web of Science</v>
      </c>
    </row>
    <row r="350" spans="1:72" x14ac:dyDescent="0.25">
      <c r="A350" t="s">
        <v>72</v>
      </c>
      <c r="B350" t="s">
        <v>5326</v>
      </c>
      <c r="C350" t="s">
        <v>74</v>
      </c>
      <c r="D350" t="s">
        <v>74</v>
      </c>
      <c r="E350" t="s">
        <v>74</v>
      </c>
      <c r="F350" t="s">
        <v>5327</v>
      </c>
      <c r="G350" t="s">
        <v>74</v>
      </c>
      <c r="H350" t="s">
        <v>74</v>
      </c>
      <c r="I350" t="s">
        <v>5328</v>
      </c>
      <c r="J350" t="s">
        <v>324</v>
      </c>
      <c r="K350" t="s">
        <v>74</v>
      </c>
      <c r="L350" t="s">
        <v>74</v>
      </c>
      <c r="M350" t="s">
        <v>78</v>
      </c>
      <c r="N350" t="s">
        <v>299</v>
      </c>
      <c r="O350" t="s">
        <v>74</v>
      </c>
      <c r="P350" t="s">
        <v>74</v>
      </c>
      <c r="Q350" t="s">
        <v>74</v>
      </c>
      <c r="R350" t="s">
        <v>74</v>
      </c>
      <c r="S350" t="s">
        <v>74</v>
      </c>
      <c r="T350" t="s">
        <v>5329</v>
      </c>
      <c r="U350" t="s">
        <v>5330</v>
      </c>
      <c r="V350" t="s">
        <v>5331</v>
      </c>
      <c r="W350" t="s">
        <v>5332</v>
      </c>
      <c r="X350" t="s">
        <v>5333</v>
      </c>
      <c r="Y350" t="s">
        <v>5334</v>
      </c>
      <c r="Z350" t="s">
        <v>1296</v>
      </c>
      <c r="AA350" t="s">
        <v>5335</v>
      </c>
      <c r="AB350" t="s">
        <v>5336</v>
      </c>
      <c r="AC350" t="s">
        <v>5337</v>
      </c>
      <c r="AD350" t="s">
        <v>5338</v>
      </c>
      <c r="AE350" t="s">
        <v>5339</v>
      </c>
      <c r="AF350" t="s">
        <v>74</v>
      </c>
      <c r="AG350">
        <v>87</v>
      </c>
      <c r="AH350">
        <v>19</v>
      </c>
      <c r="AI350">
        <v>22</v>
      </c>
      <c r="AJ350">
        <v>0</v>
      </c>
      <c r="AK350">
        <v>6</v>
      </c>
      <c r="AL350" t="s">
        <v>92</v>
      </c>
      <c r="AM350" t="s">
        <v>93</v>
      </c>
      <c r="AN350" t="s">
        <v>94</v>
      </c>
      <c r="AO350" t="s">
        <v>337</v>
      </c>
      <c r="AP350" t="s">
        <v>338</v>
      </c>
      <c r="AQ350" t="s">
        <v>74</v>
      </c>
      <c r="AR350" t="s">
        <v>324</v>
      </c>
      <c r="AS350" t="s">
        <v>339</v>
      </c>
      <c r="AT350" t="s">
        <v>176</v>
      </c>
      <c r="AU350">
        <v>2021</v>
      </c>
      <c r="AV350">
        <v>159</v>
      </c>
      <c r="AW350">
        <v>1</v>
      </c>
      <c r="AX350" t="s">
        <v>74</v>
      </c>
      <c r="AY350" t="s">
        <v>74</v>
      </c>
      <c r="AZ350" t="s">
        <v>74</v>
      </c>
      <c r="BA350" t="s">
        <v>74</v>
      </c>
      <c r="BB350">
        <v>239</v>
      </c>
      <c r="BC350">
        <v>248</v>
      </c>
      <c r="BD350" t="s">
        <v>74</v>
      </c>
      <c r="BE350" t="s">
        <v>5340</v>
      </c>
      <c r="BF350" t="str">
        <f>HYPERLINK("http://dx.doi.org/10.1016/j.chest.2020.07.075","http://dx.doi.org/10.1016/j.chest.2020.07.075")</f>
        <v>http://dx.doi.org/10.1016/j.chest.2020.07.075</v>
      </c>
      <c r="BG350" t="s">
        <v>74</v>
      </c>
      <c r="BH350" t="s">
        <v>5323</v>
      </c>
      <c r="BI350">
        <v>10</v>
      </c>
      <c r="BJ350" t="s">
        <v>341</v>
      </c>
      <c r="BK350" t="s">
        <v>101</v>
      </c>
      <c r="BL350" t="s">
        <v>342</v>
      </c>
      <c r="BM350" t="s">
        <v>5341</v>
      </c>
      <c r="BN350">
        <v>32795478</v>
      </c>
      <c r="BO350" t="s">
        <v>74</v>
      </c>
      <c r="BP350" t="s">
        <v>74</v>
      </c>
      <c r="BQ350" t="s">
        <v>74</v>
      </c>
      <c r="BR350" t="s">
        <v>104</v>
      </c>
      <c r="BS350" t="s">
        <v>5342</v>
      </c>
      <c r="BT350" t="str">
        <f>HYPERLINK("https%3A%2F%2Fwww.webofscience.com%2Fwos%2Fwoscc%2Ffull-record%2FWOS:000607460700053","View Full Record in Web of Science")</f>
        <v>View Full Record in Web of Science</v>
      </c>
    </row>
    <row r="351" spans="1:72" x14ac:dyDescent="0.25">
      <c r="A351" t="s">
        <v>72</v>
      </c>
      <c r="B351" t="s">
        <v>5343</v>
      </c>
      <c r="C351" t="s">
        <v>74</v>
      </c>
      <c r="D351" t="s">
        <v>74</v>
      </c>
      <c r="E351" t="s">
        <v>74</v>
      </c>
      <c r="F351" t="s">
        <v>5344</v>
      </c>
      <c r="G351" t="s">
        <v>74</v>
      </c>
      <c r="H351" t="s">
        <v>74</v>
      </c>
      <c r="I351" t="s">
        <v>5345</v>
      </c>
      <c r="J351" t="s">
        <v>216</v>
      </c>
      <c r="K351" t="s">
        <v>74</v>
      </c>
      <c r="L351" t="s">
        <v>74</v>
      </c>
      <c r="M351" t="s">
        <v>78</v>
      </c>
      <c r="N351" t="s">
        <v>299</v>
      </c>
      <c r="O351" t="s">
        <v>74</v>
      </c>
      <c r="P351" t="s">
        <v>74</v>
      </c>
      <c r="Q351" t="s">
        <v>74</v>
      </c>
      <c r="R351" t="s">
        <v>74</v>
      </c>
      <c r="S351" t="s">
        <v>74</v>
      </c>
      <c r="T351" t="s">
        <v>74</v>
      </c>
      <c r="U351" t="s">
        <v>5346</v>
      </c>
      <c r="V351" t="s">
        <v>5347</v>
      </c>
      <c r="W351" t="s">
        <v>5348</v>
      </c>
      <c r="X351" t="s">
        <v>5349</v>
      </c>
      <c r="Y351" t="s">
        <v>5350</v>
      </c>
      <c r="Z351" t="s">
        <v>4030</v>
      </c>
      <c r="AA351" t="s">
        <v>5351</v>
      </c>
      <c r="AB351" t="s">
        <v>5352</v>
      </c>
      <c r="AC351" t="s">
        <v>74</v>
      </c>
      <c r="AD351" t="s">
        <v>74</v>
      </c>
      <c r="AE351" t="s">
        <v>74</v>
      </c>
      <c r="AF351" t="s">
        <v>74</v>
      </c>
      <c r="AG351">
        <v>105</v>
      </c>
      <c r="AH351">
        <v>74</v>
      </c>
      <c r="AI351">
        <v>80</v>
      </c>
      <c r="AJ351">
        <v>2</v>
      </c>
      <c r="AK351">
        <v>20</v>
      </c>
      <c r="AL351" t="s">
        <v>219</v>
      </c>
      <c r="AM351" t="s">
        <v>220</v>
      </c>
      <c r="AN351" t="s">
        <v>221</v>
      </c>
      <c r="AO351" t="s">
        <v>222</v>
      </c>
      <c r="AP351" t="s">
        <v>223</v>
      </c>
      <c r="AQ351" t="s">
        <v>74</v>
      </c>
      <c r="AR351" t="s">
        <v>224</v>
      </c>
      <c r="AS351" t="s">
        <v>225</v>
      </c>
      <c r="AT351" t="s">
        <v>1247</v>
      </c>
      <c r="AU351">
        <v>2021</v>
      </c>
      <c r="AV351">
        <v>57</v>
      </c>
      <c r="AW351">
        <v>1</v>
      </c>
      <c r="AX351" t="s">
        <v>74</v>
      </c>
      <c r="AY351" t="s">
        <v>74</v>
      </c>
      <c r="AZ351" t="s">
        <v>74</v>
      </c>
      <c r="BA351" t="s">
        <v>74</v>
      </c>
      <c r="BB351" t="s">
        <v>74</v>
      </c>
      <c r="BC351" t="s">
        <v>74</v>
      </c>
      <c r="BD351">
        <v>2002258</v>
      </c>
      <c r="BE351" t="s">
        <v>5353</v>
      </c>
      <c r="BF351" t="str">
        <f>HYPERLINK("http://dx.doi.org/10.1183/13993003.02258-2020","http://dx.doi.org/10.1183/13993003.02258-2020")</f>
        <v>http://dx.doi.org/10.1183/13993003.02258-2020</v>
      </c>
      <c r="BG351" t="s">
        <v>74</v>
      </c>
      <c r="BH351" t="s">
        <v>74</v>
      </c>
      <c r="BI351">
        <v>17</v>
      </c>
      <c r="BJ351" t="s">
        <v>228</v>
      </c>
      <c r="BK351" t="s">
        <v>101</v>
      </c>
      <c r="BL351" t="s">
        <v>228</v>
      </c>
      <c r="BM351" t="s">
        <v>5354</v>
      </c>
      <c r="BN351">
        <v>32747397</v>
      </c>
      <c r="BO351" t="s">
        <v>1194</v>
      </c>
      <c r="BP351" t="s">
        <v>74</v>
      </c>
      <c r="BQ351" t="s">
        <v>74</v>
      </c>
      <c r="BR351" t="s">
        <v>104</v>
      </c>
      <c r="BS351" t="s">
        <v>5355</v>
      </c>
      <c r="BT351" t="str">
        <f>HYPERLINK("https%3A%2F%2Fwww.webofscience.com%2Fwos%2Fwoscc%2Ffull-record%2FWOS:000608406300007","View Full Record in Web of Science")</f>
        <v>View Full Record in Web of Science</v>
      </c>
    </row>
    <row r="352" spans="1:72" x14ac:dyDescent="0.25">
      <c r="A352" t="s">
        <v>72</v>
      </c>
      <c r="B352" t="s">
        <v>5356</v>
      </c>
      <c r="C352" t="s">
        <v>74</v>
      </c>
      <c r="D352" t="s">
        <v>74</v>
      </c>
      <c r="E352" t="s">
        <v>74</v>
      </c>
      <c r="F352" t="s">
        <v>5357</v>
      </c>
      <c r="G352" t="s">
        <v>74</v>
      </c>
      <c r="H352" t="s">
        <v>74</v>
      </c>
      <c r="I352" t="s">
        <v>5358</v>
      </c>
      <c r="J352" t="s">
        <v>216</v>
      </c>
      <c r="K352" t="s">
        <v>74</v>
      </c>
      <c r="L352" t="s">
        <v>74</v>
      </c>
      <c r="M352" t="s">
        <v>78</v>
      </c>
      <c r="N352" t="s">
        <v>460</v>
      </c>
      <c r="O352" t="s">
        <v>74</v>
      </c>
      <c r="P352" t="s">
        <v>74</v>
      </c>
      <c r="Q352" t="s">
        <v>74</v>
      </c>
      <c r="R352" t="s">
        <v>74</v>
      </c>
      <c r="S352" t="s">
        <v>74</v>
      </c>
      <c r="T352" t="s">
        <v>74</v>
      </c>
      <c r="U352" t="s">
        <v>5359</v>
      </c>
      <c r="V352" t="s">
        <v>74</v>
      </c>
      <c r="W352" t="s">
        <v>5360</v>
      </c>
      <c r="X352" t="s">
        <v>5361</v>
      </c>
      <c r="Y352" t="s">
        <v>5362</v>
      </c>
      <c r="Z352" t="s">
        <v>5363</v>
      </c>
      <c r="AA352" t="s">
        <v>5364</v>
      </c>
      <c r="AB352" t="s">
        <v>5365</v>
      </c>
      <c r="AC352" t="s">
        <v>74</v>
      </c>
      <c r="AD352" t="s">
        <v>74</v>
      </c>
      <c r="AE352" t="s">
        <v>74</v>
      </c>
      <c r="AF352" t="s">
        <v>74</v>
      </c>
      <c r="AG352">
        <v>14</v>
      </c>
      <c r="AH352">
        <v>12</v>
      </c>
      <c r="AI352">
        <v>12</v>
      </c>
      <c r="AJ352">
        <v>0</v>
      </c>
      <c r="AK352">
        <v>1</v>
      </c>
      <c r="AL352" t="s">
        <v>219</v>
      </c>
      <c r="AM352" t="s">
        <v>220</v>
      </c>
      <c r="AN352" t="s">
        <v>221</v>
      </c>
      <c r="AO352" t="s">
        <v>222</v>
      </c>
      <c r="AP352" t="s">
        <v>223</v>
      </c>
      <c r="AQ352" t="s">
        <v>74</v>
      </c>
      <c r="AR352" t="s">
        <v>224</v>
      </c>
      <c r="AS352" t="s">
        <v>225</v>
      </c>
      <c r="AT352" t="s">
        <v>1247</v>
      </c>
      <c r="AU352">
        <v>2021</v>
      </c>
      <c r="AV352">
        <v>57</v>
      </c>
      <c r="AW352">
        <v>1</v>
      </c>
      <c r="AX352" t="s">
        <v>74</v>
      </c>
      <c r="AY352" t="s">
        <v>74</v>
      </c>
      <c r="AZ352" t="s">
        <v>74</v>
      </c>
      <c r="BA352" t="s">
        <v>74</v>
      </c>
      <c r="BB352" t="s">
        <v>74</v>
      </c>
      <c r="BC352" t="s">
        <v>74</v>
      </c>
      <c r="BD352">
        <v>2002208</v>
      </c>
      <c r="BE352" t="s">
        <v>5366</v>
      </c>
      <c r="BF352" t="str">
        <f>HYPERLINK("http://dx.doi.org/10.1183/13993003.02208-2020","http://dx.doi.org/10.1183/13993003.02208-2020")</f>
        <v>http://dx.doi.org/10.1183/13993003.02208-2020</v>
      </c>
      <c r="BG352" t="s">
        <v>74</v>
      </c>
      <c r="BH352" t="s">
        <v>74</v>
      </c>
      <c r="BI352">
        <v>4</v>
      </c>
      <c r="BJ352" t="s">
        <v>228</v>
      </c>
      <c r="BK352" t="s">
        <v>101</v>
      </c>
      <c r="BL352" t="s">
        <v>228</v>
      </c>
      <c r="BM352" t="s">
        <v>5367</v>
      </c>
      <c r="BN352">
        <v>32675214</v>
      </c>
      <c r="BO352" t="s">
        <v>1194</v>
      </c>
      <c r="BP352" t="s">
        <v>74</v>
      </c>
      <c r="BQ352" t="s">
        <v>74</v>
      </c>
      <c r="BR352" t="s">
        <v>104</v>
      </c>
      <c r="BS352" t="s">
        <v>5368</v>
      </c>
      <c r="BT352" t="str">
        <f>HYPERLINK("https%3A%2F%2Fwww.webofscience.com%2Fwos%2Fwoscc%2Ffull-record%2FWOS:000625355700018","View Full Record in Web of Science")</f>
        <v>View Full Record in Web of Science</v>
      </c>
    </row>
    <row r="353" spans="1:72" x14ac:dyDescent="0.25">
      <c r="A353" t="s">
        <v>72</v>
      </c>
      <c r="B353" t="s">
        <v>5369</v>
      </c>
      <c r="C353" t="s">
        <v>74</v>
      </c>
      <c r="D353" t="s">
        <v>74</v>
      </c>
      <c r="E353" t="s">
        <v>74</v>
      </c>
      <c r="F353" t="s">
        <v>5370</v>
      </c>
      <c r="G353" t="s">
        <v>74</v>
      </c>
      <c r="H353" t="s">
        <v>5371</v>
      </c>
      <c r="I353" t="s">
        <v>5372</v>
      </c>
      <c r="J353" t="s">
        <v>5373</v>
      </c>
      <c r="K353" t="s">
        <v>74</v>
      </c>
      <c r="L353" t="s">
        <v>74</v>
      </c>
      <c r="M353" t="s">
        <v>78</v>
      </c>
      <c r="N353" t="s">
        <v>79</v>
      </c>
      <c r="O353" t="s">
        <v>74</v>
      </c>
      <c r="P353" t="s">
        <v>74</v>
      </c>
      <c r="Q353" t="s">
        <v>74</v>
      </c>
      <c r="R353" t="s">
        <v>74</v>
      </c>
      <c r="S353" t="s">
        <v>74</v>
      </c>
      <c r="T353" t="s">
        <v>5374</v>
      </c>
      <c r="U353" t="s">
        <v>5375</v>
      </c>
      <c r="V353" t="s">
        <v>5376</v>
      </c>
      <c r="W353" t="s">
        <v>5377</v>
      </c>
      <c r="X353" t="s">
        <v>5378</v>
      </c>
      <c r="Y353" t="s">
        <v>5379</v>
      </c>
      <c r="Z353" t="s">
        <v>5380</v>
      </c>
      <c r="AA353" t="s">
        <v>5381</v>
      </c>
      <c r="AB353" t="s">
        <v>5382</v>
      </c>
      <c r="AC353" t="s">
        <v>2733</v>
      </c>
      <c r="AD353" t="s">
        <v>2733</v>
      </c>
      <c r="AE353" t="s">
        <v>5383</v>
      </c>
      <c r="AF353" t="s">
        <v>74</v>
      </c>
      <c r="AG353">
        <v>28</v>
      </c>
      <c r="AH353">
        <v>5</v>
      </c>
      <c r="AI353">
        <v>5</v>
      </c>
      <c r="AJ353">
        <v>0</v>
      </c>
      <c r="AK353">
        <v>1</v>
      </c>
      <c r="AL353" t="s">
        <v>5384</v>
      </c>
      <c r="AM353" t="s">
        <v>5385</v>
      </c>
      <c r="AN353" t="s">
        <v>5386</v>
      </c>
      <c r="AO353" t="s">
        <v>5387</v>
      </c>
      <c r="AP353" t="s">
        <v>74</v>
      </c>
      <c r="AQ353" t="s">
        <v>74</v>
      </c>
      <c r="AR353" t="s">
        <v>5388</v>
      </c>
      <c r="AS353" t="s">
        <v>5389</v>
      </c>
      <c r="AT353" t="s">
        <v>74</v>
      </c>
      <c r="AU353">
        <v>2021</v>
      </c>
      <c r="AV353">
        <v>14</v>
      </c>
      <c r="AW353" t="s">
        <v>74</v>
      </c>
      <c r="AX353" t="s">
        <v>74</v>
      </c>
      <c r="AY353" t="s">
        <v>74</v>
      </c>
      <c r="AZ353" t="s">
        <v>74</v>
      </c>
      <c r="BA353" t="s">
        <v>74</v>
      </c>
      <c r="BB353">
        <v>1129</v>
      </c>
      <c r="BC353">
        <v>1138</v>
      </c>
      <c r="BD353" t="s">
        <v>74</v>
      </c>
      <c r="BE353" t="s">
        <v>5390</v>
      </c>
      <c r="BF353" t="str">
        <f>HYPERLINK("http://dx.doi.org/10.2147/JAA.S310888","http://dx.doi.org/10.2147/JAA.S310888")</f>
        <v>http://dx.doi.org/10.2147/JAA.S310888</v>
      </c>
      <c r="BG353" t="s">
        <v>74</v>
      </c>
      <c r="BH353" t="s">
        <v>74</v>
      </c>
      <c r="BI353">
        <v>10</v>
      </c>
      <c r="BJ353" t="s">
        <v>5391</v>
      </c>
      <c r="BK353" t="s">
        <v>101</v>
      </c>
      <c r="BL353" t="s">
        <v>5391</v>
      </c>
      <c r="BM353" t="s">
        <v>5392</v>
      </c>
      <c r="BN353">
        <v>34588784</v>
      </c>
      <c r="BO353" t="s">
        <v>809</v>
      </c>
      <c r="BP353" t="s">
        <v>74</v>
      </c>
      <c r="BQ353" t="s">
        <v>74</v>
      </c>
      <c r="BR353" t="s">
        <v>104</v>
      </c>
      <c r="BS353" t="s">
        <v>5393</v>
      </c>
      <c r="BT353" t="str">
        <f>HYPERLINK("https%3A%2F%2Fwww.webofscience.com%2Fwos%2Fwoscc%2Ffull-record%2FWOS:000701657300002","View Full Record in Web of Science")</f>
        <v>View Full Record in Web of Science</v>
      </c>
    </row>
    <row r="354" spans="1:72" x14ac:dyDescent="0.25">
      <c r="A354" t="s">
        <v>72</v>
      </c>
      <c r="B354" t="s">
        <v>5394</v>
      </c>
      <c r="C354" t="s">
        <v>74</v>
      </c>
      <c r="D354" t="s">
        <v>74</v>
      </c>
      <c r="E354" t="s">
        <v>74</v>
      </c>
      <c r="F354" t="s">
        <v>5395</v>
      </c>
      <c r="G354" t="s">
        <v>74</v>
      </c>
      <c r="H354" t="s">
        <v>74</v>
      </c>
      <c r="I354" t="s">
        <v>5396</v>
      </c>
      <c r="J354" t="s">
        <v>216</v>
      </c>
      <c r="K354" t="s">
        <v>74</v>
      </c>
      <c r="L354" t="s">
        <v>74</v>
      </c>
      <c r="M354" t="s">
        <v>78</v>
      </c>
      <c r="N354" t="s">
        <v>140</v>
      </c>
      <c r="O354" t="s">
        <v>74</v>
      </c>
      <c r="P354" t="s">
        <v>74</v>
      </c>
      <c r="Q354" t="s">
        <v>74</v>
      </c>
      <c r="R354" t="s">
        <v>74</v>
      </c>
      <c r="S354" t="s">
        <v>74</v>
      </c>
      <c r="T354" t="s">
        <v>74</v>
      </c>
      <c r="U354" t="s">
        <v>74</v>
      </c>
      <c r="V354" t="s">
        <v>74</v>
      </c>
      <c r="W354" t="s">
        <v>5397</v>
      </c>
      <c r="X354" t="s">
        <v>5398</v>
      </c>
      <c r="Y354" t="s">
        <v>5399</v>
      </c>
      <c r="Z354" t="s">
        <v>5400</v>
      </c>
      <c r="AA354" t="s">
        <v>5401</v>
      </c>
      <c r="AB354" t="s">
        <v>5402</v>
      </c>
      <c r="AC354" t="s">
        <v>74</v>
      </c>
      <c r="AD354" t="s">
        <v>74</v>
      </c>
      <c r="AE354" t="s">
        <v>74</v>
      </c>
      <c r="AF354" t="s">
        <v>74</v>
      </c>
      <c r="AG354">
        <v>46</v>
      </c>
      <c r="AH354">
        <v>3</v>
      </c>
      <c r="AI354">
        <v>3</v>
      </c>
      <c r="AJ354">
        <v>0</v>
      </c>
      <c r="AK354">
        <v>5</v>
      </c>
      <c r="AL354" t="s">
        <v>219</v>
      </c>
      <c r="AM354" t="s">
        <v>220</v>
      </c>
      <c r="AN354" t="s">
        <v>221</v>
      </c>
      <c r="AO354" t="s">
        <v>222</v>
      </c>
      <c r="AP354" t="s">
        <v>223</v>
      </c>
      <c r="AQ354" t="s">
        <v>74</v>
      </c>
      <c r="AR354" t="s">
        <v>224</v>
      </c>
      <c r="AS354" t="s">
        <v>225</v>
      </c>
      <c r="AT354" t="s">
        <v>1247</v>
      </c>
      <c r="AU354">
        <v>2021</v>
      </c>
      <c r="AV354">
        <v>57</v>
      </c>
      <c r="AW354">
        <v>1</v>
      </c>
      <c r="AX354" t="s">
        <v>74</v>
      </c>
      <c r="AY354" t="s">
        <v>74</v>
      </c>
      <c r="AZ354" t="s">
        <v>74</v>
      </c>
      <c r="BA354" t="s">
        <v>74</v>
      </c>
      <c r="BB354" t="s">
        <v>74</v>
      </c>
      <c r="BC354" t="s">
        <v>74</v>
      </c>
      <c r="BD354">
        <v>2100084</v>
      </c>
      <c r="BE354" t="s">
        <v>5403</v>
      </c>
      <c r="BF354" t="str">
        <f>HYPERLINK("http://dx.doi.org/10.1183/13993003.00084-2021","http://dx.doi.org/10.1183/13993003.00084-2021")</f>
        <v>http://dx.doi.org/10.1183/13993003.00084-2021</v>
      </c>
      <c r="BG354" t="s">
        <v>74</v>
      </c>
      <c r="BH354" t="s">
        <v>74</v>
      </c>
      <c r="BI354">
        <v>7</v>
      </c>
      <c r="BJ354" t="s">
        <v>228</v>
      </c>
      <c r="BK354" t="s">
        <v>101</v>
      </c>
      <c r="BL354" t="s">
        <v>228</v>
      </c>
      <c r="BM354" t="s">
        <v>5367</v>
      </c>
      <c r="BN354">
        <v>33509907</v>
      </c>
      <c r="BO354" t="s">
        <v>1194</v>
      </c>
      <c r="BP354" t="s">
        <v>74</v>
      </c>
      <c r="BQ354" t="s">
        <v>74</v>
      </c>
      <c r="BR354" t="s">
        <v>104</v>
      </c>
      <c r="BS354" t="s">
        <v>5404</v>
      </c>
      <c r="BT354" t="str">
        <f>HYPERLINK("https%3A%2F%2Fwww.webofscience.com%2Fwos%2Fwoscc%2Ffull-record%2FWOS:000625355700031","View Full Record in Web of Science")</f>
        <v>View Full Record in Web of Science</v>
      </c>
    </row>
    <row r="355" spans="1:72" x14ac:dyDescent="0.25">
      <c r="A355" t="s">
        <v>72</v>
      </c>
      <c r="B355" t="s">
        <v>5405</v>
      </c>
      <c r="C355" t="s">
        <v>74</v>
      </c>
      <c r="D355" t="s">
        <v>74</v>
      </c>
      <c r="E355" t="s">
        <v>74</v>
      </c>
      <c r="F355" t="s">
        <v>5406</v>
      </c>
      <c r="G355" t="s">
        <v>74</v>
      </c>
      <c r="H355" t="s">
        <v>74</v>
      </c>
      <c r="I355" t="s">
        <v>5407</v>
      </c>
      <c r="J355" t="s">
        <v>435</v>
      </c>
      <c r="K355" t="s">
        <v>74</v>
      </c>
      <c r="L355" t="s">
        <v>74</v>
      </c>
      <c r="M355" t="s">
        <v>78</v>
      </c>
      <c r="N355" t="s">
        <v>79</v>
      </c>
      <c r="O355" t="s">
        <v>74</v>
      </c>
      <c r="P355" t="s">
        <v>74</v>
      </c>
      <c r="Q355" t="s">
        <v>74</v>
      </c>
      <c r="R355" t="s">
        <v>74</v>
      </c>
      <c r="S355" t="s">
        <v>74</v>
      </c>
      <c r="T355" t="s">
        <v>5408</v>
      </c>
      <c r="U355" t="s">
        <v>74</v>
      </c>
      <c r="V355" t="s">
        <v>5409</v>
      </c>
      <c r="W355" t="s">
        <v>5410</v>
      </c>
      <c r="X355" t="s">
        <v>5411</v>
      </c>
      <c r="Y355" t="s">
        <v>5412</v>
      </c>
      <c r="Z355" t="s">
        <v>1614</v>
      </c>
      <c r="AA355" t="s">
        <v>5413</v>
      </c>
      <c r="AB355" t="s">
        <v>5414</v>
      </c>
      <c r="AC355" t="s">
        <v>5415</v>
      </c>
      <c r="AD355" t="s">
        <v>5416</v>
      </c>
      <c r="AE355" t="s">
        <v>5417</v>
      </c>
      <c r="AF355" t="s">
        <v>74</v>
      </c>
      <c r="AG355">
        <v>58</v>
      </c>
      <c r="AH355">
        <v>9</v>
      </c>
      <c r="AI355">
        <v>9</v>
      </c>
      <c r="AJ355">
        <v>0</v>
      </c>
      <c r="AK355">
        <v>6</v>
      </c>
      <c r="AL355" t="s">
        <v>1330</v>
      </c>
      <c r="AM355" t="s">
        <v>1331</v>
      </c>
      <c r="AN355" t="s">
        <v>1332</v>
      </c>
      <c r="AO355" t="s">
        <v>448</v>
      </c>
      <c r="AP355" t="s">
        <v>449</v>
      </c>
      <c r="AQ355" t="s">
        <v>74</v>
      </c>
      <c r="AR355" t="s">
        <v>450</v>
      </c>
      <c r="AS355" t="s">
        <v>451</v>
      </c>
      <c r="AT355" t="s">
        <v>176</v>
      </c>
      <c r="AU355">
        <v>2021</v>
      </c>
      <c r="AV355">
        <v>11</v>
      </c>
      <c r="AW355">
        <v>1</v>
      </c>
      <c r="AX355" t="s">
        <v>74</v>
      </c>
      <c r="AY355" t="s">
        <v>74</v>
      </c>
      <c r="AZ355" t="s">
        <v>74</v>
      </c>
      <c r="BA355" t="s">
        <v>74</v>
      </c>
      <c r="BB355" t="s">
        <v>74</v>
      </c>
      <c r="BC355" t="s">
        <v>74</v>
      </c>
      <c r="BD355">
        <v>2045894021996190</v>
      </c>
      <c r="BE355" t="s">
        <v>5418</v>
      </c>
      <c r="BF355" t="str">
        <f>HYPERLINK("http://dx.doi.org/10.1177/2045894021996190","http://dx.doi.org/10.1177/2045894021996190")</f>
        <v>http://dx.doi.org/10.1177/2045894021996190</v>
      </c>
      <c r="BG355" t="s">
        <v>74</v>
      </c>
      <c r="BH355" t="s">
        <v>74</v>
      </c>
      <c r="BI355">
        <v>16</v>
      </c>
      <c r="BJ355" t="s">
        <v>209</v>
      </c>
      <c r="BK355" t="s">
        <v>101</v>
      </c>
      <c r="BL355" t="s">
        <v>210</v>
      </c>
      <c r="BM355" t="s">
        <v>5419</v>
      </c>
      <c r="BN355">
        <v>34408849</v>
      </c>
      <c r="BO355" t="s">
        <v>1665</v>
      </c>
      <c r="BP355" t="s">
        <v>74</v>
      </c>
      <c r="BQ355" t="s">
        <v>74</v>
      </c>
      <c r="BR355" t="s">
        <v>104</v>
      </c>
      <c r="BS355" t="s">
        <v>5420</v>
      </c>
      <c r="BT355" t="str">
        <f>HYPERLINK("https%3A%2F%2Fwww.webofscience.com%2Fwos%2Fwoscc%2Ffull-record%2FWOS:000626033800001","View Full Record in Web of Science")</f>
        <v>View Full Record in Web of Science</v>
      </c>
    </row>
    <row r="356" spans="1:72" x14ac:dyDescent="0.25">
      <c r="A356" t="s">
        <v>72</v>
      </c>
      <c r="B356" t="s">
        <v>5421</v>
      </c>
      <c r="C356" t="s">
        <v>74</v>
      </c>
      <c r="D356" t="s">
        <v>74</v>
      </c>
      <c r="E356" t="s">
        <v>74</v>
      </c>
      <c r="F356" t="s">
        <v>5173</v>
      </c>
      <c r="G356" t="s">
        <v>74</v>
      </c>
      <c r="H356" t="s">
        <v>74</v>
      </c>
      <c r="I356" t="s">
        <v>5422</v>
      </c>
      <c r="J356" t="s">
        <v>216</v>
      </c>
      <c r="K356" t="s">
        <v>74</v>
      </c>
      <c r="L356" t="s">
        <v>74</v>
      </c>
      <c r="M356" t="s">
        <v>78</v>
      </c>
      <c r="N356" t="s">
        <v>79</v>
      </c>
      <c r="O356" t="s">
        <v>74</v>
      </c>
      <c r="P356" t="s">
        <v>74</v>
      </c>
      <c r="Q356" t="s">
        <v>74</v>
      </c>
      <c r="R356" t="s">
        <v>74</v>
      </c>
      <c r="S356" t="s">
        <v>74</v>
      </c>
      <c r="T356" t="s">
        <v>74</v>
      </c>
      <c r="U356" t="s">
        <v>5176</v>
      </c>
      <c r="V356" t="s">
        <v>5423</v>
      </c>
      <c r="W356" t="s">
        <v>5424</v>
      </c>
      <c r="X356" t="s">
        <v>5425</v>
      </c>
      <c r="Y356" t="s">
        <v>5426</v>
      </c>
      <c r="Z356" t="s">
        <v>5181</v>
      </c>
      <c r="AA356" t="s">
        <v>5427</v>
      </c>
      <c r="AB356" t="s">
        <v>5428</v>
      </c>
      <c r="AC356" t="s">
        <v>5429</v>
      </c>
      <c r="AD356" t="s">
        <v>5430</v>
      </c>
      <c r="AE356" t="s">
        <v>5431</v>
      </c>
      <c r="AF356" t="s">
        <v>74</v>
      </c>
      <c r="AG356">
        <v>138</v>
      </c>
      <c r="AH356">
        <v>59</v>
      </c>
      <c r="AI356">
        <v>59</v>
      </c>
      <c r="AJ356">
        <v>0</v>
      </c>
      <c r="AK356">
        <v>4</v>
      </c>
      <c r="AL356" t="s">
        <v>219</v>
      </c>
      <c r="AM356" t="s">
        <v>220</v>
      </c>
      <c r="AN356" t="s">
        <v>221</v>
      </c>
      <c r="AO356" t="s">
        <v>222</v>
      </c>
      <c r="AP356" t="s">
        <v>223</v>
      </c>
      <c r="AQ356" t="s">
        <v>74</v>
      </c>
      <c r="AR356" t="s">
        <v>224</v>
      </c>
      <c r="AS356" t="s">
        <v>225</v>
      </c>
      <c r="AT356" t="s">
        <v>1247</v>
      </c>
      <c r="AU356">
        <v>2021</v>
      </c>
      <c r="AV356">
        <v>57</v>
      </c>
      <c r="AW356">
        <v>1</v>
      </c>
      <c r="AX356" t="s">
        <v>74</v>
      </c>
      <c r="AY356" t="s">
        <v>74</v>
      </c>
      <c r="AZ356" t="s">
        <v>74</v>
      </c>
      <c r="BA356" t="s">
        <v>74</v>
      </c>
      <c r="BB356" t="s">
        <v>74</v>
      </c>
      <c r="BC356" t="s">
        <v>74</v>
      </c>
      <c r="BD356">
        <v>2004455</v>
      </c>
      <c r="BE356" t="s">
        <v>5432</v>
      </c>
      <c r="BF356" t="str">
        <f>HYPERLINK("http://dx.doi.org/10.1183/13993003.04455-2020","http://dx.doi.org/10.1183/13993003.04455-2020")</f>
        <v>http://dx.doi.org/10.1183/13993003.04455-2020</v>
      </c>
      <c r="BG356" t="s">
        <v>74</v>
      </c>
      <c r="BH356" t="s">
        <v>74</v>
      </c>
      <c r="BI356">
        <v>24</v>
      </c>
      <c r="BJ356" t="s">
        <v>228</v>
      </c>
      <c r="BK356" t="s">
        <v>101</v>
      </c>
      <c r="BL356" t="s">
        <v>228</v>
      </c>
      <c r="BM356" t="s">
        <v>5354</v>
      </c>
      <c r="BN356">
        <v>33402372</v>
      </c>
      <c r="BO356" t="s">
        <v>1194</v>
      </c>
      <c r="BP356" t="s">
        <v>74</v>
      </c>
      <c r="BQ356" t="s">
        <v>74</v>
      </c>
      <c r="BR356" t="s">
        <v>104</v>
      </c>
      <c r="BS356" t="s">
        <v>5433</v>
      </c>
      <c r="BT356" t="str">
        <f>HYPERLINK("https%3A%2F%2Fwww.webofscience.com%2Fwos%2Fwoscc%2Ffull-record%2FWOS:000608406300006","View Full Record in Web of Science")</f>
        <v>View Full Record in Web of Science</v>
      </c>
    </row>
    <row r="357" spans="1:72" x14ac:dyDescent="0.25">
      <c r="A357" t="s">
        <v>72</v>
      </c>
      <c r="B357" t="s">
        <v>5434</v>
      </c>
      <c r="C357" t="s">
        <v>74</v>
      </c>
      <c r="D357" t="s">
        <v>74</v>
      </c>
      <c r="E357" t="s">
        <v>74</v>
      </c>
      <c r="F357" t="s">
        <v>5435</v>
      </c>
      <c r="G357" t="s">
        <v>74</v>
      </c>
      <c r="H357" t="s">
        <v>5436</v>
      </c>
      <c r="I357" t="s">
        <v>5437</v>
      </c>
      <c r="J357" t="s">
        <v>4322</v>
      </c>
      <c r="K357" t="s">
        <v>74</v>
      </c>
      <c r="L357" t="s">
        <v>74</v>
      </c>
      <c r="M357" t="s">
        <v>78</v>
      </c>
      <c r="N357" t="s">
        <v>79</v>
      </c>
      <c r="O357" t="s">
        <v>74</v>
      </c>
      <c r="P357" t="s">
        <v>74</v>
      </c>
      <c r="Q357" t="s">
        <v>74</v>
      </c>
      <c r="R357" t="s">
        <v>74</v>
      </c>
      <c r="S357" t="s">
        <v>74</v>
      </c>
      <c r="T357" t="s">
        <v>74</v>
      </c>
      <c r="U357" t="s">
        <v>5438</v>
      </c>
      <c r="V357" t="s">
        <v>5439</v>
      </c>
      <c r="W357" t="s">
        <v>5440</v>
      </c>
      <c r="X357" t="s">
        <v>5441</v>
      </c>
      <c r="Y357" t="s">
        <v>5442</v>
      </c>
      <c r="Z357" t="s">
        <v>1917</v>
      </c>
      <c r="AA357" t="s">
        <v>5443</v>
      </c>
      <c r="AB357" t="s">
        <v>5444</v>
      </c>
      <c r="AC357" t="s">
        <v>5445</v>
      </c>
      <c r="AD357" t="s">
        <v>5446</v>
      </c>
      <c r="AE357" t="s">
        <v>5447</v>
      </c>
      <c r="AF357" t="s">
        <v>74</v>
      </c>
      <c r="AG357">
        <v>38</v>
      </c>
      <c r="AH357">
        <v>35</v>
      </c>
      <c r="AI357">
        <v>36</v>
      </c>
      <c r="AJ357">
        <v>0</v>
      </c>
      <c r="AK357">
        <v>15</v>
      </c>
      <c r="AL357" t="s">
        <v>169</v>
      </c>
      <c r="AM357" t="s">
        <v>170</v>
      </c>
      <c r="AN357" t="s">
        <v>171</v>
      </c>
      <c r="AO357" t="s">
        <v>4329</v>
      </c>
      <c r="AP357" t="s">
        <v>4330</v>
      </c>
      <c r="AQ357" t="s">
        <v>74</v>
      </c>
      <c r="AR357" t="s">
        <v>4331</v>
      </c>
      <c r="AS357" t="s">
        <v>4332</v>
      </c>
      <c r="AT357" t="s">
        <v>129</v>
      </c>
      <c r="AU357">
        <v>2021</v>
      </c>
      <c r="AV357">
        <v>73</v>
      </c>
      <c r="AW357">
        <v>2</v>
      </c>
      <c r="AX357" t="s">
        <v>74</v>
      </c>
      <c r="AY357" t="s">
        <v>74</v>
      </c>
      <c r="AZ357" t="s">
        <v>74</v>
      </c>
      <c r="BA357" t="s">
        <v>74</v>
      </c>
      <c r="BB357">
        <v>295</v>
      </c>
      <c r="BC357">
        <v>304</v>
      </c>
      <c r="BD357" t="s">
        <v>74</v>
      </c>
      <c r="BE357" t="s">
        <v>5448</v>
      </c>
      <c r="BF357" t="str">
        <f>HYPERLINK("http://dx.doi.org/10.1002/art.41512","http://dx.doi.org/10.1002/art.41512")</f>
        <v>http://dx.doi.org/10.1002/art.41512</v>
      </c>
      <c r="BG357" t="s">
        <v>74</v>
      </c>
      <c r="BH357" t="s">
        <v>5449</v>
      </c>
      <c r="BI357">
        <v>10</v>
      </c>
      <c r="BJ357" t="s">
        <v>2369</v>
      </c>
      <c r="BK357" t="s">
        <v>101</v>
      </c>
      <c r="BL357" t="s">
        <v>2369</v>
      </c>
      <c r="BM357" t="s">
        <v>5450</v>
      </c>
      <c r="BN357">
        <v>32892515</v>
      </c>
      <c r="BO357" t="s">
        <v>74</v>
      </c>
      <c r="BP357" t="s">
        <v>74</v>
      </c>
      <c r="BQ357" t="s">
        <v>74</v>
      </c>
      <c r="BR357" t="s">
        <v>104</v>
      </c>
      <c r="BS357" t="s">
        <v>5451</v>
      </c>
      <c r="BT357" t="str">
        <f>HYPERLINK("https%3A%2F%2Fwww.webofscience.com%2Fwos%2Fwoscc%2Ffull-record%2FWOS:000603315700001","View Full Record in Web of Science")</f>
        <v>View Full Record in Web of Science</v>
      </c>
    </row>
    <row r="358" spans="1:72" x14ac:dyDescent="0.25">
      <c r="A358" t="s">
        <v>72</v>
      </c>
      <c r="B358" t="s">
        <v>5452</v>
      </c>
      <c r="C358" t="s">
        <v>74</v>
      </c>
      <c r="D358" t="s">
        <v>74</v>
      </c>
      <c r="E358" t="s">
        <v>74</v>
      </c>
      <c r="F358" t="s">
        <v>5453</v>
      </c>
      <c r="G358" t="s">
        <v>74</v>
      </c>
      <c r="H358" t="s">
        <v>5454</v>
      </c>
      <c r="I358" t="s">
        <v>5455</v>
      </c>
      <c r="J358" t="s">
        <v>5456</v>
      </c>
      <c r="K358" t="s">
        <v>74</v>
      </c>
      <c r="L358" t="s">
        <v>74</v>
      </c>
      <c r="M358" t="s">
        <v>78</v>
      </c>
      <c r="N358" t="s">
        <v>79</v>
      </c>
      <c r="O358" t="s">
        <v>74</v>
      </c>
      <c r="P358" t="s">
        <v>74</v>
      </c>
      <c r="Q358" t="s">
        <v>74</v>
      </c>
      <c r="R358" t="s">
        <v>74</v>
      </c>
      <c r="S358" t="s">
        <v>74</v>
      </c>
      <c r="T358" t="s">
        <v>74</v>
      </c>
      <c r="U358" t="s">
        <v>5457</v>
      </c>
      <c r="V358" t="s">
        <v>5458</v>
      </c>
      <c r="W358" t="s">
        <v>5459</v>
      </c>
      <c r="X358" t="s">
        <v>5460</v>
      </c>
      <c r="Y358" t="s">
        <v>5461</v>
      </c>
      <c r="Z358" t="s">
        <v>5462</v>
      </c>
      <c r="AA358" t="s">
        <v>5463</v>
      </c>
      <c r="AB358" t="s">
        <v>5464</v>
      </c>
      <c r="AC358" t="s">
        <v>74</v>
      </c>
      <c r="AD358" t="s">
        <v>74</v>
      </c>
      <c r="AE358" t="s">
        <v>74</v>
      </c>
      <c r="AF358" t="s">
        <v>74</v>
      </c>
      <c r="AG358">
        <v>41</v>
      </c>
      <c r="AH358">
        <v>13</v>
      </c>
      <c r="AI358">
        <v>13</v>
      </c>
      <c r="AJ358">
        <v>0</v>
      </c>
      <c r="AK358">
        <v>2</v>
      </c>
      <c r="AL358" t="s">
        <v>5465</v>
      </c>
      <c r="AM358" t="s">
        <v>5466</v>
      </c>
      <c r="AN358" t="s">
        <v>5467</v>
      </c>
      <c r="AO358" t="s">
        <v>5468</v>
      </c>
      <c r="AP358" t="s">
        <v>74</v>
      </c>
      <c r="AQ358" t="s">
        <v>74</v>
      </c>
      <c r="AR358" t="s">
        <v>5456</v>
      </c>
      <c r="AS358" t="s">
        <v>5469</v>
      </c>
      <c r="AT358" t="s">
        <v>5470</v>
      </c>
      <c r="AU358">
        <v>2020</v>
      </c>
      <c r="AV358">
        <v>15</v>
      </c>
      <c r="AW358">
        <v>12</v>
      </c>
      <c r="AX358" t="s">
        <v>74</v>
      </c>
      <c r="AY358" t="s">
        <v>74</v>
      </c>
      <c r="AZ358" t="s">
        <v>74</v>
      </c>
      <c r="BA358" t="s">
        <v>74</v>
      </c>
      <c r="BB358" t="s">
        <v>74</v>
      </c>
      <c r="BC358" t="s">
        <v>74</v>
      </c>
      <c r="BD358" t="s">
        <v>5471</v>
      </c>
      <c r="BE358" t="s">
        <v>5472</v>
      </c>
      <c r="BF358" t="str">
        <f>HYPERLINK("http://dx.doi.org/10.1371/journal.pone.0243961","http://dx.doi.org/10.1371/journal.pone.0243961")</f>
        <v>http://dx.doi.org/10.1371/journal.pone.0243961</v>
      </c>
      <c r="BG358" t="s">
        <v>74</v>
      </c>
      <c r="BH358" t="s">
        <v>74</v>
      </c>
      <c r="BI358">
        <v>16</v>
      </c>
      <c r="BJ358" t="s">
        <v>290</v>
      </c>
      <c r="BK358" t="s">
        <v>101</v>
      </c>
      <c r="BL358" t="s">
        <v>291</v>
      </c>
      <c r="BM358" t="s">
        <v>5473</v>
      </c>
      <c r="BN358">
        <v>33326457</v>
      </c>
      <c r="BO358" t="s">
        <v>809</v>
      </c>
      <c r="BP358" t="s">
        <v>74</v>
      </c>
      <c r="BQ358" t="s">
        <v>74</v>
      </c>
      <c r="BR358" t="s">
        <v>104</v>
      </c>
      <c r="BS358" t="s">
        <v>5474</v>
      </c>
      <c r="BT358" t="str">
        <f>HYPERLINK("https%3A%2F%2Fwww.webofscience.com%2Fwos%2Fwoscc%2Ffull-record%2FWOS:000600176400066","View Full Record in Web of Science")</f>
        <v>View Full Record in Web of Science</v>
      </c>
    </row>
    <row r="359" spans="1:72" x14ac:dyDescent="0.25">
      <c r="A359" t="s">
        <v>72</v>
      </c>
      <c r="B359" t="s">
        <v>5475</v>
      </c>
      <c r="C359" t="s">
        <v>74</v>
      </c>
      <c r="D359" t="s">
        <v>74</v>
      </c>
      <c r="E359" t="s">
        <v>74</v>
      </c>
      <c r="F359" t="s">
        <v>5476</v>
      </c>
      <c r="G359" t="s">
        <v>74</v>
      </c>
      <c r="H359" t="s">
        <v>5477</v>
      </c>
      <c r="I359" t="s">
        <v>5478</v>
      </c>
      <c r="J359" t="s">
        <v>5479</v>
      </c>
      <c r="K359" t="s">
        <v>74</v>
      </c>
      <c r="L359" t="s">
        <v>74</v>
      </c>
      <c r="M359" t="s">
        <v>78</v>
      </c>
      <c r="N359" t="s">
        <v>299</v>
      </c>
      <c r="O359" t="s">
        <v>74</v>
      </c>
      <c r="P359" t="s">
        <v>74</v>
      </c>
      <c r="Q359" t="s">
        <v>74</v>
      </c>
      <c r="R359" t="s">
        <v>74</v>
      </c>
      <c r="S359" t="s">
        <v>74</v>
      </c>
      <c r="T359" t="s">
        <v>5480</v>
      </c>
      <c r="U359" t="s">
        <v>5481</v>
      </c>
      <c r="V359" t="s">
        <v>5482</v>
      </c>
      <c r="W359" t="s">
        <v>5483</v>
      </c>
      <c r="X359" t="s">
        <v>5484</v>
      </c>
      <c r="Y359" t="s">
        <v>5485</v>
      </c>
      <c r="Z359" t="s">
        <v>4563</v>
      </c>
      <c r="AA359" t="s">
        <v>5486</v>
      </c>
      <c r="AB359" t="s">
        <v>5487</v>
      </c>
      <c r="AC359" t="s">
        <v>5488</v>
      </c>
      <c r="AD359" t="s">
        <v>5488</v>
      </c>
      <c r="AE359" t="s">
        <v>5489</v>
      </c>
      <c r="AF359" t="s">
        <v>74</v>
      </c>
      <c r="AG359">
        <v>274</v>
      </c>
      <c r="AH359">
        <v>69</v>
      </c>
      <c r="AI359">
        <v>72</v>
      </c>
      <c r="AJ359">
        <v>4</v>
      </c>
      <c r="AK359">
        <v>64</v>
      </c>
      <c r="AL359" t="s">
        <v>169</v>
      </c>
      <c r="AM359" t="s">
        <v>170</v>
      </c>
      <c r="AN359" t="s">
        <v>171</v>
      </c>
      <c r="AO359" t="s">
        <v>74</v>
      </c>
      <c r="AP359" t="s">
        <v>5490</v>
      </c>
      <c r="AQ359" t="s">
        <v>74</v>
      </c>
      <c r="AR359" t="s">
        <v>5491</v>
      </c>
      <c r="AS359" t="s">
        <v>5492</v>
      </c>
      <c r="AT359" t="s">
        <v>5493</v>
      </c>
      <c r="AU359">
        <v>2020</v>
      </c>
      <c r="AV359">
        <v>10</v>
      </c>
      <c r="AW359">
        <v>1</v>
      </c>
      <c r="AX359" t="s">
        <v>74</v>
      </c>
      <c r="AY359" t="s">
        <v>74</v>
      </c>
      <c r="AZ359" t="s">
        <v>74</v>
      </c>
      <c r="BA359" t="s">
        <v>74</v>
      </c>
      <c r="BB359" t="s">
        <v>74</v>
      </c>
      <c r="BC359" t="s">
        <v>74</v>
      </c>
      <c r="BD359">
        <v>58</v>
      </c>
      <c r="BE359" t="s">
        <v>5494</v>
      </c>
      <c r="BF359" t="str">
        <f>HYPERLINK("http://dx.doi.org/10.1186/s13601-020-00362-7","http://dx.doi.org/10.1186/s13601-020-00362-7")</f>
        <v>http://dx.doi.org/10.1186/s13601-020-00362-7</v>
      </c>
      <c r="BG359" t="s">
        <v>74</v>
      </c>
      <c r="BH359" t="s">
        <v>74</v>
      </c>
      <c r="BI359">
        <v>18</v>
      </c>
      <c r="BJ359" t="s">
        <v>601</v>
      </c>
      <c r="BK359" t="s">
        <v>101</v>
      </c>
      <c r="BL359" t="s">
        <v>601</v>
      </c>
      <c r="BM359" t="s">
        <v>5495</v>
      </c>
      <c r="BN359">
        <v>33292691</v>
      </c>
      <c r="BO359" t="s">
        <v>5014</v>
      </c>
      <c r="BP359" t="s">
        <v>74</v>
      </c>
      <c r="BQ359" t="s">
        <v>74</v>
      </c>
      <c r="BR359" t="s">
        <v>104</v>
      </c>
      <c r="BS359" t="s">
        <v>5496</v>
      </c>
      <c r="BT359" t="str">
        <f>HYPERLINK("https%3A%2F%2Fwww.webofscience.com%2Fwos%2Fwoscc%2Ffull-record%2FWOS:000595576200001","View Full Record in Web of Science")</f>
        <v>View Full Record in Web of Science</v>
      </c>
    </row>
    <row r="360" spans="1:72" x14ac:dyDescent="0.25">
      <c r="A360" t="s">
        <v>72</v>
      </c>
      <c r="B360" t="s">
        <v>5497</v>
      </c>
      <c r="C360" t="s">
        <v>74</v>
      </c>
      <c r="D360" t="s">
        <v>74</v>
      </c>
      <c r="E360" t="s">
        <v>74</v>
      </c>
      <c r="F360" t="s">
        <v>5498</v>
      </c>
      <c r="G360" t="s">
        <v>74</v>
      </c>
      <c r="H360" t="s">
        <v>74</v>
      </c>
      <c r="I360" t="s">
        <v>5499</v>
      </c>
      <c r="J360" t="s">
        <v>324</v>
      </c>
      <c r="K360" t="s">
        <v>74</v>
      </c>
      <c r="L360" t="s">
        <v>74</v>
      </c>
      <c r="M360" t="s">
        <v>78</v>
      </c>
      <c r="N360" t="s">
        <v>460</v>
      </c>
      <c r="O360" t="s">
        <v>74</v>
      </c>
      <c r="P360" t="s">
        <v>74</v>
      </c>
      <c r="Q360" t="s">
        <v>74</v>
      </c>
      <c r="R360" t="s">
        <v>74</v>
      </c>
      <c r="S360" t="s">
        <v>74</v>
      </c>
      <c r="T360" t="s">
        <v>74</v>
      </c>
      <c r="U360" t="s">
        <v>5500</v>
      </c>
      <c r="V360" t="s">
        <v>74</v>
      </c>
      <c r="W360" t="s">
        <v>5501</v>
      </c>
      <c r="X360" t="s">
        <v>5502</v>
      </c>
      <c r="Y360" t="s">
        <v>5503</v>
      </c>
      <c r="Z360" t="s">
        <v>5504</v>
      </c>
      <c r="AA360" t="s">
        <v>5505</v>
      </c>
      <c r="AB360" t="s">
        <v>5506</v>
      </c>
      <c r="AC360" t="s">
        <v>74</v>
      </c>
      <c r="AD360" t="s">
        <v>74</v>
      </c>
      <c r="AE360" t="s">
        <v>74</v>
      </c>
      <c r="AF360" t="s">
        <v>74</v>
      </c>
      <c r="AG360">
        <v>19</v>
      </c>
      <c r="AH360">
        <v>9</v>
      </c>
      <c r="AI360">
        <v>9</v>
      </c>
      <c r="AJ360">
        <v>0</v>
      </c>
      <c r="AK360">
        <v>1</v>
      </c>
      <c r="AL360" t="s">
        <v>92</v>
      </c>
      <c r="AM360" t="s">
        <v>93</v>
      </c>
      <c r="AN360" t="s">
        <v>94</v>
      </c>
      <c r="AO360" t="s">
        <v>337</v>
      </c>
      <c r="AP360" t="s">
        <v>338</v>
      </c>
      <c r="AQ360" t="s">
        <v>74</v>
      </c>
      <c r="AR360" t="s">
        <v>324</v>
      </c>
      <c r="AS360" t="s">
        <v>339</v>
      </c>
      <c r="AT360" t="s">
        <v>226</v>
      </c>
      <c r="AU360">
        <v>2020</v>
      </c>
      <c r="AV360">
        <v>158</v>
      </c>
      <c r="AW360">
        <v>6</v>
      </c>
      <c r="AX360" t="s">
        <v>74</v>
      </c>
      <c r="AY360" t="s">
        <v>74</v>
      </c>
      <c r="AZ360" t="s">
        <v>74</v>
      </c>
      <c r="BA360" t="s">
        <v>74</v>
      </c>
      <c r="BB360">
        <v>2602</v>
      </c>
      <c r="BC360">
        <v>2609</v>
      </c>
      <c r="BD360" t="s">
        <v>74</v>
      </c>
      <c r="BE360" t="s">
        <v>5507</v>
      </c>
      <c r="BF360" t="str">
        <f>HYPERLINK("http://dx.doi.org/10.1016/j.chest.2020.07.094","http://dx.doi.org/10.1016/j.chest.2020.07.094")</f>
        <v>http://dx.doi.org/10.1016/j.chest.2020.07.094</v>
      </c>
      <c r="BG360" t="s">
        <v>74</v>
      </c>
      <c r="BH360" t="s">
        <v>74</v>
      </c>
      <c r="BI360">
        <v>8</v>
      </c>
      <c r="BJ360" t="s">
        <v>341</v>
      </c>
      <c r="BK360" t="s">
        <v>101</v>
      </c>
      <c r="BL360" t="s">
        <v>342</v>
      </c>
      <c r="BM360" t="s">
        <v>5508</v>
      </c>
      <c r="BN360">
        <v>32919988</v>
      </c>
      <c r="BO360" t="s">
        <v>103</v>
      </c>
      <c r="BP360" t="s">
        <v>74</v>
      </c>
      <c r="BQ360" t="s">
        <v>74</v>
      </c>
      <c r="BR360" t="s">
        <v>104</v>
      </c>
      <c r="BS360" t="s">
        <v>5509</v>
      </c>
      <c r="BT360" t="str">
        <f>HYPERLINK("https%3A%2F%2Fwww.webofscience.com%2Fwos%2Fwoscc%2Ffull-record%2FWOS:000600577700030","View Full Record in Web of Science")</f>
        <v>View Full Record in Web of Science</v>
      </c>
    </row>
    <row r="361" spans="1:72" x14ac:dyDescent="0.25">
      <c r="A361" t="s">
        <v>72</v>
      </c>
      <c r="B361" t="s">
        <v>5510</v>
      </c>
      <c r="C361" t="s">
        <v>74</v>
      </c>
      <c r="D361" t="s">
        <v>74</v>
      </c>
      <c r="E361" t="s">
        <v>74</v>
      </c>
      <c r="F361" t="s">
        <v>5511</v>
      </c>
      <c r="G361" t="s">
        <v>74</v>
      </c>
      <c r="H361" t="s">
        <v>74</v>
      </c>
      <c r="I361" t="s">
        <v>5512</v>
      </c>
      <c r="J361" t="s">
        <v>1962</v>
      </c>
      <c r="K361" t="s">
        <v>74</v>
      </c>
      <c r="L361" t="s">
        <v>74</v>
      </c>
      <c r="M361" t="s">
        <v>78</v>
      </c>
      <c r="N361" t="s">
        <v>52</v>
      </c>
      <c r="O361" t="s">
        <v>74</v>
      </c>
      <c r="P361" t="s">
        <v>74</v>
      </c>
      <c r="Q361" t="s">
        <v>74</v>
      </c>
      <c r="R361" t="s">
        <v>74</v>
      </c>
      <c r="S361" t="s">
        <v>74</v>
      </c>
      <c r="T361" t="s">
        <v>74</v>
      </c>
      <c r="U361" t="s">
        <v>74</v>
      </c>
      <c r="V361" t="s">
        <v>74</v>
      </c>
      <c r="W361" t="s">
        <v>5513</v>
      </c>
      <c r="X361" t="s">
        <v>5514</v>
      </c>
      <c r="Y361" t="s">
        <v>74</v>
      </c>
      <c r="Z361" t="s">
        <v>74</v>
      </c>
      <c r="AA361" t="s">
        <v>5515</v>
      </c>
      <c r="AB361" t="s">
        <v>3168</v>
      </c>
      <c r="AC361" t="s">
        <v>74</v>
      </c>
      <c r="AD361" t="s">
        <v>74</v>
      </c>
      <c r="AE361" t="s">
        <v>74</v>
      </c>
      <c r="AF361" t="s">
        <v>74</v>
      </c>
      <c r="AG361">
        <v>0</v>
      </c>
      <c r="AH361">
        <v>0</v>
      </c>
      <c r="AI361">
        <v>0</v>
      </c>
      <c r="AJ361">
        <v>0</v>
      </c>
      <c r="AK361">
        <v>1</v>
      </c>
      <c r="AL361" t="s">
        <v>1971</v>
      </c>
      <c r="AM361" t="s">
        <v>201</v>
      </c>
      <c r="AN361" t="s">
        <v>1972</v>
      </c>
      <c r="AO361" t="s">
        <v>1973</v>
      </c>
      <c r="AP361" t="s">
        <v>1974</v>
      </c>
      <c r="AQ361" t="s">
        <v>74</v>
      </c>
      <c r="AR361" t="s">
        <v>1975</v>
      </c>
      <c r="AS361" t="s">
        <v>1976</v>
      </c>
      <c r="AT361" t="s">
        <v>226</v>
      </c>
      <c r="AU361">
        <v>2020</v>
      </c>
      <c r="AV361">
        <v>28</v>
      </c>
      <c r="AW361" t="s">
        <v>5516</v>
      </c>
      <c r="AX361" t="s">
        <v>74</v>
      </c>
      <c r="AY361">
        <v>1</v>
      </c>
      <c r="AZ361" t="s">
        <v>74</v>
      </c>
      <c r="BA361" t="s">
        <v>5517</v>
      </c>
      <c r="BB361">
        <v>280</v>
      </c>
      <c r="BC361">
        <v>280</v>
      </c>
      <c r="BD361" t="s">
        <v>74</v>
      </c>
      <c r="BE361" t="s">
        <v>74</v>
      </c>
      <c r="BF361" t="s">
        <v>74</v>
      </c>
      <c r="BG361" t="s">
        <v>74</v>
      </c>
      <c r="BH361" t="s">
        <v>74</v>
      </c>
      <c r="BI361">
        <v>1</v>
      </c>
      <c r="BJ361" t="s">
        <v>1979</v>
      </c>
      <c r="BK361" t="s">
        <v>101</v>
      </c>
      <c r="BL361" t="s">
        <v>1979</v>
      </c>
      <c r="BM361" t="s">
        <v>5518</v>
      </c>
      <c r="BN361" t="s">
        <v>74</v>
      </c>
      <c r="BO361" t="s">
        <v>74</v>
      </c>
      <c r="BP361" t="s">
        <v>74</v>
      </c>
      <c r="BQ361" t="s">
        <v>74</v>
      </c>
      <c r="BR361" t="s">
        <v>104</v>
      </c>
      <c r="BS361" t="s">
        <v>5519</v>
      </c>
      <c r="BT361" t="str">
        <f>HYPERLINK("https%3A%2F%2Fwww.webofscience.com%2Fwos%2Fwoscc%2Ffull-record%2FWOS:000598482601076","View Full Record in Web of Science")</f>
        <v>View Full Record in Web of Science</v>
      </c>
    </row>
    <row r="362" spans="1:72" x14ac:dyDescent="0.25">
      <c r="A362" t="s">
        <v>72</v>
      </c>
      <c r="B362" t="s">
        <v>5520</v>
      </c>
      <c r="C362" t="s">
        <v>74</v>
      </c>
      <c r="D362" t="s">
        <v>74</v>
      </c>
      <c r="E362" t="s">
        <v>74</v>
      </c>
      <c r="F362" t="s">
        <v>5521</v>
      </c>
      <c r="G362" t="s">
        <v>74</v>
      </c>
      <c r="H362" t="s">
        <v>74</v>
      </c>
      <c r="I362" t="s">
        <v>5522</v>
      </c>
      <c r="J362" t="s">
        <v>5523</v>
      </c>
      <c r="K362" t="s">
        <v>74</v>
      </c>
      <c r="L362" t="s">
        <v>74</v>
      </c>
      <c r="M362" t="s">
        <v>78</v>
      </c>
      <c r="N362" t="s">
        <v>460</v>
      </c>
      <c r="O362" t="s">
        <v>74</v>
      </c>
      <c r="P362" t="s">
        <v>74</v>
      </c>
      <c r="Q362" t="s">
        <v>74</v>
      </c>
      <c r="R362" t="s">
        <v>74</v>
      </c>
      <c r="S362" t="s">
        <v>74</v>
      </c>
      <c r="T362" t="s">
        <v>5524</v>
      </c>
      <c r="U362" t="s">
        <v>5525</v>
      </c>
      <c r="V362" t="s">
        <v>74</v>
      </c>
      <c r="W362" t="s">
        <v>5526</v>
      </c>
      <c r="X362" t="s">
        <v>1633</v>
      </c>
      <c r="Y362" t="s">
        <v>5527</v>
      </c>
      <c r="Z362" t="s">
        <v>5528</v>
      </c>
      <c r="AA362" t="s">
        <v>5529</v>
      </c>
      <c r="AB362" t="s">
        <v>5530</v>
      </c>
      <c r="AC362" t="s">
        <v>74</v>
      </c>
      <c r="AD362" t="s">
        <v>74</v>
      </c>
      <c r="AE362" t="s">
        <v>74</v>
      </c>
      <c r="AF362" t="s">
        <v>74</v>
      </c>
      <c r="AG362">
        <v>9</v>
      </c>
      <c r="AH362">
        <v>7</v>
      </c>
      <c r="AI362">
        <v>7</v>
      </c>
      <c r="AJ362">
        <v>0</v>
      </c>
      <c r="AK362">
        <v>4</v>
      </c>
      <c r="AL362" t="s">
        <v>397</v>
      </c>
      <c r="AM362" t="s">
        <v>1074</v>
      </c>
      <c r="AN362" t="s">
        <v>4444</v>
      </c>
      <c r="AO362" t="s">
        <v>5531</v>
      </c>
      <c r="AP362" t="s">
        <v>5532</v>
      </c>
      <c r="AQ362" t="s">
        <v>74</v>
      </c>
      <c r="AR362" t="s">
        <v>5533</v>
      </c>
      <c r="AS362" t="s">
        <v>5534</v>
      </c>
      <c r="AT362" t="s">
        <v>226</v>
      </c>
      <c r="AU362">
        <v>2020</v>
      </c>
      <c r="AV362">
        <v>125</v>
      </c>
      <c r="AW362">
        <v>6</v>
      </c>
      <c r="AX362" t="s">
        <v>74</v>
      </c>
      <c r="AY362" t="s">
        <v>74</v>
      </c>
      <c r="AZ362" t="s">
        <v>74</v>
      </c>
      <c r="BA362" t="s">
        <v>74</v>
      </c>
      <c r="BB362" t="s">
        <v>5535</v>
      </c>
      <c r="BC362" t="s">
        <v>5536</v>
      </c>
      <c r="BD362" t="s">
        <v>74</v>
      </c>
      <c r="BE362" t="s">
        <v>5537</v>
      </c>
      <c r="BF362" t="str">
        <f>HYPERLINK("http://dx.doi.org/10.1016/j.bja.2020.09.017","http://dx.doi.org/10.1016/j.bja.2020.09.017")</f>
        <v>http://dx.doi.org/10.1016/j.bja.2020.09.017</v>
      </c>
      <c r="BG362" t="s">
        <v>74</v>
      </c>
      <c r="BH362" t="s">
        <v>74</v>
      </c>
      <c r="BI362">
        <v>4</v>
      </c>
      <c r="BJ362" t="s">
        <v>2920</v>
      </c>
      <c r="BK362" t="s">
        <v>101</v>
      </c>
      <c r="BL362" t="s">
        <v>2920</v>
      </c>
      <c r="BM362" t="s">
        <v>5538</v>
      </c>
      <c r="BN362">
        <v>33190717</v>
      </c>
      <c r="BO362" t="s">
        <v>1194</v>
      </c>
      <c r="BP362" t="s">
        <v>74</v>
      </c>
      <c r="BQ362" t="s">
        <v>74</v>
      </c>
      <c r="BR362" t="s">
        <v>104</v>
      </c>
      <c r="BS362" t="s">
        <v>5539</v>
      </c>
      <c r="BT362" t="str">
        <f>HYPERLINK("https%3A%2F%2Fwww.webofscience.com%2Fwos%2Fwoscc%2Ffull-record%2FWOS:000590872800014","View Full Record in Web of Science")</f>
        <v>View Full Record in Web of Science</v>
      </c>
    </row>
    <row r="363" spans="1:72" x14ac:dyDescent="0.25">
      <c r="A363" t="s">
        <v>72</v>
      </c>
      <c r="B363" t="s">
        <v>5540</v>
      </c>
      <c r="C363" t="s">
        <v>74</v>
      </c>
      <c r="D363" t="s">
        <v>74</v>
      </c>
      <c r="E363" t="s">
        <v>74</v>
      </c>
      <c r="F363" t="s">
        <v>5541</v>
      </c>
      <c r="G363" t="s">
        <v>74</v>
      </c>
      <c r="H363" t="s">
        <v>74</v>
      </c>
      <c r="I363" t="s">
        <v>5542</v>
      </c>
      <c r="J363" t="s">
        <v>251</v>
      </c>
      <c r="K363" t="s">
        <v>74</v>
      </c>
      <c r="L363" t="s">
        <v>74</v>
      </c>
      <c r="M363" t="s">
        <v>78</v>
      </c>
      <c r="N363" t="s">
        <v>52</v>
      </c>
      <c r="O363" t="s">
        <v>74</v>
      </c>
      <c r="P363" t="s">
        <v>74</v>
      </c>
      <c r="Q363" t="s">
        <v>74</v>
      </c>
      <c r="R363" t="s">
        <v>74</v>
      </c>
      <c r="S363" t="s">
        <v>74</v>
      </c>
      <c r="T363" t="s">
        <v>74</v>
      </c>
      <c r="U363" t="s">
        <v>74</v>
      </c>
      <c r="V363" t="s">
        <v>74</v>
      </c>
      <c r="W363" t="s">
        <v>74</v>
      </c>
      <c r="X363" t="s">
        <v>74</v>
      </c>
      <c r="Y363" t="s">
        <v>74</v>
      </c>
      <c r="Z363" t="s">
        <v>74</v>
      </c>
      <c r="AA363" t="s">
        <v>5543</v>
      </c>
      <c r="AB363" t="s">
        <v>74</v>
      </c>
      <c r="AC363" t="s">
        <v>74</v>
      </c>
      <c r="AD363" t="s">
        <v>74</v>
      </c>
      <c r="AE363" t="s">
        <v>74</v>
      </c>
      <c r="AF363" t="s">
        <v>74</v>
      </c>
      <c r="AG363">
        <v>0</v>
      </c>
      <c r="AH363">
        <v>0</v>
      </c>
      <c r="AI363">
        <v>0</v>
      </c>
      <c r="AJ363">
        <v>0</v>
      </c>
      <c r="AK363">
        <v>4</v>
      </c>
      <c r="AL363" t="s">
        <v>122</v>
      </c>
      <c r="AM363" t="s">
        <v>123</v>
      </c>
      <c r="AN363" t="s">
        <v>124</v>
      </c>
      <c r="AO363" t="s">
        <v>258</v>
      </c>
      <c r="AP363" t="s">
        <v>259</v>
      </c>
      <c r="AQ363" t="s">
        <v>74</v>
      </c>
      <c r="AR363" t="s">
        <v>251</v>
      </c>
      <c r="AS363" t="s">
        <v>260</v>
      </c>
      <c r="AT363" t="s">
        <v>5544</v>
      </c>
      <c r="AU363">
        <v>2020</v>
      </c>
      <c r="AV363">
        <v>142</v>
      </c>
      <c r="AW363" t="s">
        <v>74</v>
      </c>
      <c r="AX363" t="s">
        <v>74</v>
      </c>
      <c r="AY363">
        <v>3</v>
      </c>
      <c r="AZ363" t="s">
        <v>74</v>
      </c>
      <c r="BA363" t="s">
        <v>5545</v>
      </c>
      <c r="BB363" t="s">
        <v>74</v>
      </c>
      <c r="BC363" t="s">
        <v>74</v>
      </c>
      <c r="BD363" t="s">
        <v>74</v>
      </c>
      <c r="BE363" t="s">
        <v>74</v>
      </c>
      <c r="BF363" t="s">
        <v>74</v>
      </c>
      <c r="BG363" t="s">
        <v>74</v>
      </c>
      <c r="BH363" t="s">
        <v>74</v>
      </c>
      <c r="BI363">
        <v>2</v>
      </c>
      <c r="BJ363" t="s">
        <v>263</v>
      </c>
      <c r="BK363" t="s">
        <v>101</v>
      </c>
      <c r="BL363" t="s">
        <v>133</v>
      </c>
      <c r="BM363" t="s">
        <v>5546</v>
      </c>
      <c r="BN363" t="s">
        <v>74</v>
      </c>
      <c r="BO363" t="s">
        <v>74</v>
      </c>
      <c r="BP363" t="s">
        <v>74</v>
      </c>
      <c r="BQ363" t="s">
        <v>74</v>
      </c>
      <c r="BR363" t="s">
        <v>104</v>
      </c>
      <c r="BS363" t="s">
        <v>5547</v>
      </c>
      <c r="BT363" t="str">
        <f>HYPERLINK("https%3A%2F%2Fwww.webofscience.com%2Fwos%2Fwoscc%2Ffull-record%2FWOS:000607190401235","View Full Record in Web of Science")</f>
        <v>View Full Record in Web of Science</v>
      </c>
    </row>
    <row r="364" spans="1:72" x14ac:dyDescent="0.25">
      <c r="A364" t="s">
        <v>72</v>
      </c>
      <c r="B364" t="s">
        <v>5548</v>
      </c>
      <c r="C364" t="s">
        <v>74</v>
      </c>
      <c r="D364" t="s">
        <v>74</v>
      </c>
      <c r="E364" t="s">
        <v>74</v>
      </c>
      <c r="F364" t="s">
        <v>5549</v>
      </c>
      <c r="G364" t="s">
        <v>74</v>
      </c>
      <c r="H364" t="s">
        <v>74</v>
      </c>
      <c r="I364" t="s">
        <v>5550</v>
      </c>
      <c r="J364" t="s">
        <v>216</v>
      </c>
      <c r="K364" t="s">
        <v>74</v>
      </c>
      <c r="L364" t="s">
        <v>74</v>
      </c>
      <c r="M364" t="s">
        <v>78</v>
      </c>
      <c r="N364" t="s">
        <v>79</v>
      </c>
      <c r="O364" t="s">
        <v>74</v>
      </c>
      <c r="P364" t="s">
        <v>74</v>
      </c>
      <c r="Q364" t="s">
        <v>74</v>
      </c>
      <c r="R364" t="s">
        <v>74</v>
      </c>
      <c r="S364" t="s">
        <v>74</v>
      </c>
      <c r="T364" t="s">
        <v>74</v>
      </c>
      <c r="U364" t="s">
        <v>5551</v>
      </c>
      <c r="V364" t="s">
        <v>5552</v>
      </c>
      <c r="W364" t="s">
        <v>5553</v>
      </c>
      <c r="X364" t="s">
        <v>5554</v>
      </c>
      <c r="Y364" t="s">
        <v>5555</v>
      </c>
      <c r="Z364" t="s">
        <v>377</v>
      </c>
      <c r="AA364" t="s">
        <v>5556</v>
      </c>
      <c r="AB364" t="s">
        <v>5557</v>
      </c>
      <c r="AC364" t="s">
        <v>74</v>
      </c>
      <c r="AD364" t="s">
        <v>74</v>
      </c>
      <c r="AE364" t="s">
        <v>74</v>
      </c>
      <c r="AF364" t="s">
        <v>74</v>
      </c>
      <c r="AG364">
        <v>31</v>
      </c>
      <c r="AH364">
        <v>88</v>
      </c>
      <c r="AI364">
        <v>91</v>
      </c>
      <c r="AJ364">
        <v>0</v>
      </c>
      <c r="AK364">
        <v>0</v>
      </c>
      <c r="AL364" t="s">
        <v>219</v>
      </c>
      <c r="AM364" t="s">
        <v>220</v>
      </c>
      <c r="AN364" t="s">
        <v>221</v>
      </c>
      <c r="AO364" t="s">
        <v>222</v>
      </c>
      <c r="AP364" t="s">
        <v>223</v>
      </c>
      <c r="AQ364" t="s">
        <v>74</v>
      </c>
      <c r="AR364" t="s">
        <v>224</v>
      </c>
      <c r="AS364" t="s">
        <v>225</v>
      </c>
      <c r="AT364" t="s">
        <v>1414</v>
      </c>
      <c r="AU364">
        <v>2020</v>
      </c>
      <c r="AV364">
        <v>56</v>
      </c>
      <c r="AW364">
        <v>5</v>
      </c>
      <c r="AX364" t="s">
        <v>74</v>
      </c>
      <c r="AY364" t="s">
        <v>74</v>
      </c>
      <c r="AZ364" t="s">
        <v>74</v>
      </c>
      <c r="BA364" t="s">
        <v>74</v>
      </c>
      <c r="BB364" t="s">
        <v>74</v>
      </c>
      <c r="BC364" t="s">
        <v>74</v>
      </c>
      <c r="BD364">
        <v>2001875</v>
      </c>
      <c r="BE364" t="s">
        <v>5558</v>
      </c>
      <c r="BF364" t="str">
        <f>HYPERLINK("http://dx.doi.org/10.1183/13993003.01875-2020","http://dx.doi.org/10.1183/13993003.01875-2020")</f>
        <v>http://dx.doi.org/10.1183/13993003.01875-2020</v>
      </c>
      <c r="BG364" t="s">
        <v>74</v>
      </c>
      <c r="BH364" t="s">
        <v>74</v>
      </c>
      <c r="BI364">
        <v>11</v>
      </c>
      <c r="BJ364" t="s">
        <v>228</v>
      </c>
      <c r="BK364" t="s">
        <v>101</v>
      </c>
      <c r="BL364" t="s">
        <v>228</v>
      </c>
      <c r="BM364" t="s">
        <v>5559</v>
      </c>
      <c r="BN364">
        <v>32732333</v>
      </c>
      <c r="BO364" t="s">
        <v>470</v>
      </c>
      <c r="BP364" t="s">
        <v>74</v>
      </c>
      <c r="BQ364" t="s">
        <v>74</v>
      </c>
      <c r="BR364" t="s">
        <v>104</v>
      </c>
      <c r="BS364" t="s">
        <v>5560</v>
      </c>
      <c r="BT364" t="str">
        <f>HYPERLINK("https%3A%2F%2Fwww.webofscience.com%2Fwos%2Fwoscc%2Ffull-record%2FWOS:000607520600016","View Full Record in Web of Science")</f>
        <v>View Full Record in Web of Science</v>
      </c>
    </row>
    <row r="365" spans="1:72" x14ac:dyDescent="0.25">
      <c r="A365" t="s">
        <v>72</v>
      </c>
      <c r="B365" t="s">
        <v>5561</v>
      </c>
      <c r="C365" t="s">
        <v>74</v>
      </c>
      <c r="D365" t="s">
        <v>74</v>
      </c>
      <c r="E365" t="s">
        <v>74</v>
      </c>
      <c r="F365" t="s">
        <v>5562</v>
      </c>
      <c r="G365" t="s">
        <v>74</v>
      </c>
      <c r="H365" t="s">
        <v>74</v>
      </c>
      <c r="I365" t="s">
        <v>5563</v>
      </c>
      <c r="J365" t="s">
        <v>1068</v>
      </c>
      <c r="K365" t="s">
        <v>74</v>
      </c>
      <c r="L365" t="s">
        <v>74</v>
      </c>
      <c r="M365" t="s">
        <v>78</v>
      </c>
      <c r="N365" t="s">
        <v>52</v>
      </c>
      <c r="O365" t="s">
        <v>5564</v>
      </c>
      <c r="P365" t="s">
        <v>5565</v>
      </c>
      <c r="Q365" t="s">
        <v>4325</v>
      </c>
      <c r="R365" t="s">
        <v>5566</v>
      </c>
      <c r="S365" t="s">
        <v>74</v>
      </c>
      <c r="T365" t="s">
        <v>74</v>
      </c>
      <c r="U365" t="s">
        <v>74</v>
      </c>
      <c r="V365" t="s">
        <v>74</v>
      </c>
      <c r="W365" t="s">
        <v>5567</v>
      </c>
      <c r="X365" t="s">
        <v>5568</v>
      </c>
      <c r="Y365" t="s">
        <v>74</v>
      </c>
      <c r="Z365" t="s">
        <v>5569</v>
      </c>
      <c r="AA365" t="s">
        <v>5570</v>
      </c>
      <c r="AB365" t="s">
        <v>74</v>
      </c>
      <c r="AC365" t="s">
        <v>5571</v>
      </c>
      <c r="AD365" t="s">
        <v>5571</v>
      </c>
      <c r="AE365" t="s">
        <v>5572</v>
      </c>
      <c r="AF365" t="s">
        <v>74</v>
      </c>
      <c r="AG365">
        <v>0</v>
      </c>
      <c r="AH365">
        <v>0</v>
      </c>
      <c r="AI365">
        <v>0</v>
      </c>
      <c r="AJ365">
        <v>0</v>
      </c>
      <c r="AK365">
        <v>0</v>
      </c>
      <c r="AL365" t="s">
        <v>1073</v>
      </c>
      <c r="AM365" t="s">
        <v>1074</v>
      </c>
      <c r="AN365" t="s">
        <v>1075</v>
      </c>
      <c r="AO365" t="s">
        <v>1076</v>
      </c>
      <c r="AP365" t="s">
        <v>1077</v>
      </c>
      <c r="AQ365" t="s">
        <v>74</v>
      </c>
      <c r="AR365" t="s">
        <v>1078</v>
      </c>
      <c r="AS365" t="s">
        <v>1079</v>
      </c>
      <c r="AT365" t="s">
        <v>315</v>
      </c>
      <c r="AU365">
        <v>2020</v>
      </c>
      <c r="AV365">
        <v>41</v>
      </c>
      <c r="AW365" t="s">
        <v>74</v>
      </c>
      <c r="AX365" t="s">
        <v>74</v>
      </c>
      <c r="AY365">
        <v>2</v>
      </c>
      <c r="AZ365" t="s">
        <v>74</v>
      </c>
      <c r="BA365" t="s">
        <v>74</v>
      </c>
      <c r="BB365">
        <v>3155</v>
      </c>
      <c r="BC365">
        <v>3155</v>
      </c>
      <c r="BD365" t="s">
        <v>74</v>
      </c>
      <c r="BE365" t="s">
        <v>74</v>
      </c>
      <c r="BF365" t="s">
        <v>74</v>
      </c>
      <c r="BG365" t="s">
        <v>74</v>
      </c>
      <c r="BH365" t="s">
        <v>74</v>
      </c>
      <c r="BI365">
        <v>1</v>
      </c>
      <c r="BJ365" t="s">
        <v>132</v>
      </c>
      <c r="BK365" t="s">
        <v>512</v>
      </c>
      <c r="BL365" t="s">
        <v>133</v>
      </c>
      <c r="BM365" t="s">
        <v>5573</v>
      </c>
      <c r="BN365" t="s">
        <v>74</v>
      </c>
      <c r="BO365" t="s">
        <v>74</v>
      </c>
      <c r="BP365" t="s">
        <v>74</v>
      </c>
      <c r="BQ365" t="s">
        <v>74</v>
      </c>
      <c r="BR365" t="s">
        <v>104</v>
      </c>
      <c r="BS365" t="s">
        <v>5574</v>
      </c>
      <c r="BT365" t="str">
        <f>HYPERLINK("https%3A%2F%2Fwww.webofscience.com%2Fwos%2Fwoscc%2Ffull-record%2FWOS:000606106303162","View Full Record in Web of Science")</f>
        <v>View Full Record in Web of Science</v>
      </c>
    </row>
    <row r="366" spans="1:72" x14ac:dyDescent="0.25">
      <c r="A366" t="s">
        <v>72</v>
      </c>
      <c r="B366" t="s">
        <v>5575</v>
      </c>
      <c r="C366" t="s">
        <v>74</v>
      </c>
      <c r="D366" t="s">
        <v>74</v>
      </c>
      <c r="E366" t="s">
        <v>74</v>
      </c>
      <c r="F366" t="s">
        <v>5576</v>
      </c>
      <c r="G366" t="s">
        <v>74</v>
      </c>
      <c r="H366" t="s">
        <v>74</v>
      </c>
      <c r="I366" t="s">
        <v>5577</v>
      </c>
      <c r="J366" t="s">
        <v>4135</v>
      </c>
      <c r="K366" t="s">
        <v>74</v>
      </c>
      <c r="L366" t="s">
        <v>74</v>
      </c>
      <c r="M366" t="s">
        <v>78</v>
      </c>
      <c r="N366" t="s">
        <v>52</v>
      </c>
      <c r="O366" t="s">
        <v>74</v>
      </c>
      <c r="P366" t="s">
        <v>74</v>
      </c>
      <c r="Q366" t="s">
        <v>74</v>
      </c>
      <c r="R366" t="s">
        <v>74</v>
      </c>
      <c r="S366" t="s">
        <v>74</v>
      </c>
      <c r="T366" t="s">
        <v>74</v>
      </c>
      <c r="U366" t="s">
        <v>74</v>
      </c>
      <c r="V366" t="s">
        <v>74</v>
      </c>
      <c r="W366" t="s">
        <v>74</v>
      </c>
      <c r="X366" t="s">
        <v>74</v>
      </c>
      <c r="Y366" t="s">
        <v>74</v>
      </c>
      <c r="Z366" t="s">
        <v>74</v>
      </c>
      <c r="AA366" t="s">
        <v>144</v>
      </c>
      <c r="AB366" t="s">
        <v>74</v>
      </c>
      <c r="AC366" t="s">
        <v>74</v>
      </c>
      <c r="AD366" t="s">
        <v>74</v>
      </c>
      <c r="AE366" t="s">
        <v>74</v>
      </c>
      <c r="AF366" t="s">
        <v>74</v>
      </c>
      <c r="AG366">
        <v>0</v>
      </c>
      <c r="AH366">
        <v>1</v>
      </c>
      <c r="AI366">
        <v>1</v>
      </c>
      <c r="AJ366">
        <v>0</v>
      </c>
      <c r="AK366">
        <v>0</v>
      </c>
      <c r="AL366" t="s">
        <v>991</v>
      </c>
      <c r="AM366" t="s">
        <v>486</v>
      </c>
      <c r="AN366" t="s">
        <v>992</v>
      </c>
      <c r="AO366" t="s">
        <v>4141</v>
      </c>
      <c r="AP366" t="s">
        <v>4142</v>
      </c>
      <c r="AQ366" t="s">
        <v>74</v>
      </c>
      <c r="AR366" t="s">
        <v>4143</v>
      </c>
      <c r="AS366" t="s">
        <v>4144</v>
      </c>
      <c r="AT366" t="s">
        <v>315</v>
      </c>
      <c r="AU366">
        <v>2020</v>
      </c>
      <c r="AV366">
        <v>125</v>
      </c>
      <c r="AW366">
        <v>5</v>
      </c>
      <c r="AX366" t="s">
        <v>74</v>
      </c>
      <c r="AY366" t="s">
        <v>998</v>
      </c>
      <c r="AZ366" t="s">
        <v>74</v>
      </c>
      <c r="BA366" t="s">
        <v>5578</v>
      </c>
      <c r="BB366" t="s">
        <v>5579</v>
      </c>
      <c r="BC366" t="s">
        <v>5579</v>
      </c>
      <c r="BD366" t="s">
        <v>74</v>
      </c>
      <c r="BE366" t="s">
        <v>74</v>
      </c>
      <c r="BF366" t="s">
        <v>74</v>
      </c>
      <c r="BG366" t="s">
        <v>74</v>
      </c>
      <c r="BH366" t="s">
        <v>74</v>
      </c>
      <c r="BI366">
        <v>1</v>
      </c>
      <c r="BJ366" t="s">
        <v>3085</v>
      </c>
      <c r="BK366" t="s">
        <v>101</v>
      </c>
      <c r="BL366" t="s">
        <v>3085</v>
      </c>
      <c r="BM366" t="s">
        <v>5580</v>
      </c>
      <c r="BN366" t="s">
        <v>74</v>
      </c>
      <c r="BO366" t="s">
        <v>74</v>
      </c>
      <c r="BP366" t="s">
        <v>74</v>
      </c>
      <c r="BQ366" t="s">
        <v>74</v>
      </c>
      <c r="BR366" t="s">
        <v>104</v>
      </c>
      <c r="BS366" t="s">
        <v>5581</v>
      </c>
      <c r="BT366" t="str">
        <f>HYPERLINK("https%3A%2F%2Fwww.webofscience.com%2Fwos%2Fwoscc%2Ffull-record%2FWOS:000591726500080","View Full Record in Web of Science")</f>
        <v>View Full Record in Web of Science</v>
      </c>
    </row>
    <row r="367" spans="1:72" x14ac:dyDescent="0.25">
      <c r="A367" t="s">
        <v>72</v>
      </c>
      <c r="B367" t="s">
        <v>5582</v>
      </c>
      <c r="C367" t="s">
        <v>74</v>
      </c>
      <c r="D367" t="s">
        <v>74</v>
      </c>
      <c r="E367" t="s">
        <v>74</v>
      </c>
      <c r="F367" t="s">
        <v>5583</v>
      </c>
      <c r="G367" t="s">
        <v>74</v>
      </c>
      <c r="H367" t="s">
        <v>74</v>
      </c>
      <c r="I367" t="s">
        <v>5584</v>
      </c>
      <c r="J367" t="s">
        <v>5585</v>
      </c>
      <c r="K367" t="s">
        <v>74</v>
      </c>
      <c r="L367" t="s">
        <v>74</v>
      </c>
      <c r="M367" t="s">
        <v>78</v>
      </c>
      <c r="N367" t="s">
        <v>79</v>
      </c>
      <c r="O367" t="s">
        <v>74</v>
      </c>
      <c r="P367" t="s">
        <v>74</v>
      </c>
      <c r="Q367" t="s">
        <v>74</v>
      </c>
      <c r="R367" t="s">
        <v>74</v>
      </c>
      <c r="S367" t="s">
        <v>74</v>
      </c>
      <c r="T367" t="s">
        <v>5586</v>
      </c>
      <c r="U367" t="s">
        <v>5587</v>
      </c>
      <c r="V367" t="s">
        <v>5588</v>
      </c>
      <c r="W367" t="s">
        <v>5589</v>
      </c>
      <c r="X367" t="s">
        <v>5590</v>
      </c>
      <c r="Y367" t="s">
        <v>5591</v>
      </c>
      <c r="Z367" t="s">
        <v>5592</v>
      </c>
      <c r="AA367" t="s">
        <v>5593</v>
      </c>
      <c r="AB367" t="s">
        <v>5594</v>
      </c>
      <c r="AC367" t="s">
        <v>5595</v>
      </c>
      <c r="AD367" t="s">
        <v>5596</v>
      </c>
      <c r="AE367" t="s">
        <v>5597</v>
      </c>
      <c r="AF367" t="s">
        <v>74</v>
      </c>
      <c r="AG367">
        <v>26</v>
      </c>
      <c r="AH367">
        <v>2</v>
      </c>
      <c r="AI367">
        <v>2</v>
      </c>
      <c r="AJ367">
        <v>0</v>
      </c>
      <c r="AK367">
        <v>4</v>
      </c>
      <c r="AL367" t="s">
        <v>1113</v>
      </c>
      <c r="AM367" t="s">
        <v>1114</v>
      </c>
      <c r="AN367" t="s">
        <v>1115</v>
      </c>
      <c r="AO367" t="s">
        <v>74</v>
      </c>
      <c r="AP367" t="s">
        <v>5598</v>
      </c>
      <c r="AQ367" t="s">
        <v>74</v>
      </c>
      <c r="AR367" t="s">
        <v>5585</v>
      </c>
      <c r="AS367" t="s">
        <v>5599</v>
      </c>
      <c r="AT367" t="s">
        <v>315</v>
      </c>
      <c r="AU367">
        <v>2020</v>
      </c>
      <c r="AV367">
        <v>8</v>
      </c>
      <c r="AW367">
        <v>11</v>
      </c>
      <c r="AX367" t="s">
        <v>74</v>
      </c>
      <c r="AY367" t="s">
        <v>74</v>
      </c>
      <c r="AZ367" t="s">
        <v>74</v>
      </c>
      <c r="BA367" t="s">
        <v>74</v>
      </c>
      <c r="BB367" t="s">
        <v>74</v>
      </c>
      <c r="BC367" t="s">
        <v>74</v>
      </c>
      <c r="BD367">
        <v>493</v>
      </c>
      <c r="BE367" t="s">
        <v>5600</v>
      </c>
      <c r="BF367" t="str">
        <f>HYPERLINK("http://dx.doi.org/10.3390/biomedicines8110493","http://dx.doi.org/10.3390/biomedicines8110493")</f>
        <v>http://dx.doi.org/10.3390/biomedicines8110493</v>
      </c>
      <c r="BG367" t="s">
        <v>74</v>
      </c>
      <c r="BH367" t="s">
        <v>74</v>
      </c>
      <c r="BI367">
        <v>15</v>
      </c>
      <c r="BJ367" t="s">
        <v>5601</v>
      </c>
      <c r="BK367" t="s">
        <v>101</v>
      </c>
      <c r="BL367" t="s">
        <v>5602</v>
      </c>
      <c r="BM367" t="s">
        <v>5603</v>
      </c>
      <c r="BN367">
        <v>33187154</v>
      </c>
      <c r="BO367" t="s">
        <v>809</v>
      </c>
      <c r="BP367" t="s">
        <v>74</v>
      </c>
      <c r="BQ367" t="s">
        <v>74</v>
      </c>
      <c r="BR367" t="s">
        <v>104</v>
      </c>
      <c r="BS367" t="s">
        <v>5604</v>
      </c>
      <c r="BT367" t="str">
        <f>HYPERLINK("https%3A%2F%2Fwww.webofscience.com%2Fwos%2Fwoscc%2Ffull-record%2FWOS:000593636700001","View Full Record in Web of Science")</f>
        <v>View Full Record in Web of Science</v>
      </c>
    </row>
    <row r="368" spans="1:72" x14ac:dyDescent="0.25">
      <c r="A368" t="s">
        <v>72</v>
      </c>
      <c r="B368" t="s">
        <v>5605</v>
      </c>
      <c r="C368" t="s">
        <v>74</v>
      </c>
      <c r="D368" t="s">
        <v>74</v>
      </c>
      <c r="E368" t="s">
        <v>74</v>
      </c>
      <c r="F368" t="s">
        <v>5606</v>
      </c>
      <c r="G368" t="s">
        <v>74</v>
      </c>
      <c r="H368" t="s">
        <v>74</v>
      </c>
      <c r="I368" t="s">
        <v>5607</v>
      </c>
      <c r="J368" t="s">
        <v>5608</v>
      </c>
      <c r="K368" t="s">
        <v>74</v>
      </c>
      <c r="L368" t="s">
        <v>74</v>
      </c>
      <c r="M368" t="s">
        <v>78</v>
      </c>
      <c r="N368" t="s">
        <v>217</v>
      </c>
      <c r="O368" t="s">
        <v>74</v>
      </c>
      <c r="P368" t="s">
        <v>74</v>
      </c>
      <c r="Q368" t="s">
        <v>74</v>
      </c>
      <c r="R368" t="s">
        <v>74</v>
      </c>
      <c r="S368" t="s">
        <v>74</v>
      </c>
      <c r="T368" t="s">
        <v>74</v>
      </c>
      <c r="U368" t="s">
        <v>74</v>
      </c>
      <c r="V368" t="s">
        <v>74</v>
      </c>
      <c r="W368" t="s">
        <v>5609</v>
      </c>
      <c r="X368" t="s">
        <v>5610</v>
      </c>
      <c r="Y368" t="s">
        <v>5611</v>
      </c>
      <c r="Z368" t="s">
        <v>86</v>
      </c>
      <c r="AA368" t="s">
        <v>5612</v>
      </c>
      <c r="AB368" t="s">
        <v>5613</v>
      </c>
      <c r="AC368" t="s">
        <v>74</v>
      </c>
      <c r="AD368" t="s">
        <v>74</v>
      </c>
      <c r="AE368" t="s">
        <v>74</v>
      </c>
      <c r="AF368" t="s">
        <v>74</v>
      </c>
      <c r="AG368">
        <v>1</v>
      </c>
      <c r="AH368">
        <v>0</v>
      </c>
      <c r="AI368">
        <v>0</v>
      </c>
      <c r="AJ368">
        <v>1</v>
      </c>
      <c r="AK368">
        <v>2</v>
      </c>
      <c r="AL368" t="s">
        <v>92</v>
      </c>
      <c r="AM368" t="s">
        <v>93</v>
      </c>
      <c r="AN368" t="s">
        <v>94</v>
      </c>
      <c r="AO368" t="s">
        <v>5614</v>
      </c>
      <c r="AP368" t="s">
        <v>5615</v>
      </c>
      <c r="AQ368" t="s">
        <v>74</v>
      </c>
      <c r="AR368" t="s">
        <v>5616</v>
      </c>
      <c r="AS368" t="s">
        <v>5617</v>
      </c>
      <c r="AT368" t="s">
        <v>315</v>
      </c>
      <c r="AU368">
        <v>2020</v>
      </c>
      <c r="AV368">
        <v>73</v>
      </c>
      <c r="AW368">
        <v>5</v>
      </c>
      <c r="AX368" t="s">
        <v>74</v>
      </c>
      <c r="AY368" t="s">
        <v>74</v>
      </c>
      <c r="AZ368" t="s">
        <v>74</v>
      </c>
      <c r="BA368" t="s">
        <v>74</v>
      </c>
      <c r="BB368">
        <v>1293</v>
      </c>
      <c r="BC368">
        <v>1294</v>
      </c>
      <c r="BD368" t="s">
        <v>74</v>
      </c>
      <c r="BE368" t="s">
        <v>5618</v>
      </c>
      <c r="BF368" t="str">
        <f>HYPERLINK("http://dx.doi.org/10.1016/j.jhep.2020.08.023","http://dx.doi.org/10.1016/j.jhep.2020.08.023")</f>
        <v>http://dx.doi.org/10.1016/j.jhep.2020.08.023</v>
      </c>
      <c r="BG368" t="s">
        <v>74</v>
      </c>
      <c r="BH368" t="s">
        <v>74</v>
      </c>
      <c r="BI368">
        <v>2</v>
      </c>
      <c r="BJ368" t="s">
        <v>100</v>
      </c>
      <c r="BK368" t="s">
        <v>101</v>
      </c>
      <c r="BL368" t="s">
        <v>100</v>
      </c>
      <c r="BM368" t="s">
        <v>5619</v>
      </c>
      <c r="BN368">
        <v>32907706</v>
      </c>
      <c r="BO368" t="s">
        <v>1194</v>
      </c>
      <c r="BP368" t="s">
        <v>74</v>
      </c>
      <c r="BQ368" t="s">
        <v>74</v>
      </c>
      <c r="BR368" t="s">
        <v>104</v>
      </c>
      <c r="BS368" t="s">
        <v>5620</v>
      </c>
      <c r="BT368" t="str">
        <f>HYPERLINK("https%3A%2F%2Fwww.webofscience.com%2Fwos%2Fwoscc%2Ffull-record%2FWOS:000579809700046","View Full Record in Web of Science")</f>
        <v>View Full Record in Web of Science</v>
      </c>
    </row>
    <row r="369" spans="1:72" x14ac:dyDescent="0.25">
      <c r="A369" t="s">
        <v>72</v>
      </c>
      <c r="B369" t="s">
        <v>5621</v>
      </c>
      <c r="C369" t="s">
        <v>74</v>
      </c>
      <c r="D369" t="s">
        <v>74</v>
      </c>
      <c r="E369" t="s">
        <v>74</v>
      </c>
      <c r="F369" t="s">
        <v>5622</v>
      </c>
      <c r="G369" t="s">
        <v>74</v>
      </c>
      <c r="H369" t="s">
        <v>74</v>
      </c>
      <c r="I369" t="s">
        <v>5623</v>
      </c>
      <c r="J369" t="s">
        <v>5624</v>
      </c>
      <c r="K369" t="s">
        <v>74</v>
      </c>
      <c r="L369" t="s">
        <v>74</v>
      </c>
      <c r="M369" t="s">
        <v>78</v>
      </c>
      <c r="N369" t="s">
        <v>299</v>
      </c>
      <c r="O369" t="s">
        <v>74</v>
      </c>
      <c r="P369" t="s">
        <v>74</v>
      </c>
      <c r="Q369" t="s">
        <v>74</v>
      </c>
      <c r="R369" t="s">
        <v>74</v>
      </c>
      <c r="S369" t="s">
        <v>74</v>
      </c>
      <c r="T369" t="s">
        <v>5625</v>
      </c>
      <c r="U369" t="s">
        <v>5626</v>
      </c>
      <c r="V369" t="s">
        <v>5627</v>
      </c>
      <c r="W369" t="s">
        <v>5628</v>
      </c>
      <c r="X369" t="s">
        <v>5629</v>
      </c>
      <c r="Y369" t="s">
        <v>5630</v>
      </c>
      <c r="Z369" t="s">
        <v>4563</v>
      </c>
      <c r="AA369" t="s">
        <v>5631</v>
      </c>
      <c r="AB369" t="s">
        <v>5632</v>
      </c>
      <c r="AC369" t="s">
        <v>5633</v>
      </c>
      <c r="AD369" t="s">
        <v>5634</v>
      </c>
      <c r="AE369" t="s">
        <v>5635</v>
      </c>
      <c r="AF369" t="s">
        <v>74</v>
      </c>
      <c r="AG369">
        <v>99</v>
      </c>
      <c r="AH369">
        <v>53</v>
      </c>
      <c r="AI369">
        <v>56</v>
      </c>
      <c r="AJ369">
        <v>6</v>
      </c>
      <c r="AK369">
        <v>73</v>
      </c>
      <c r="AL369" t="s">
        <v>169</v>
      </c>
      <c r="AM369" t="s">
        <v>170</v>
      </c>
      <c r="AN369" t="s">
        <v>171</v>
      </c>
      <c r="AO369" t="s">
        <v>5636</v>
      </c>
      <c r="AP369" t="s">
        <v>5637</v>
      </c>
      <c r="AQ369" t="s">
        <v>74</v>
      </c>
      <c r="AR369" t="s">
        <v>5624</v>
      </c>
      <c r="AS369" t="s">
        <v>601</v>
      </c>
      <c r="AT369" t="s">
        <v>176</v>
      </c>
      <c r="AU369">
        <v>2021</v>
      </c>
      <c r="AV369">
        <v>76</v>
      </c>
      <c r="AW369">
        <v>1</v>
      </c>
      <c r="AX369" t="s">
        <v>74</v>
      </c>
      <c r="AY369" t="s">
        <v>74</v>
      </c>
      <c r="AZ369" t="s">
        <v>74</v>
      </c>
      <c r="BA369" t="s">
        <v>74</v>
      </c>
      <c r="BB369">
        <v>168</v>
      </c>
      <c r="BC369">
        <v>190</v>
      </c>
      <c r="BD369" t="s">
        <v>74</v>
      </c>
      <c r="BE369" t="s">
        <v>5638</v>
      </c>
      <c r="BF369" t="str">
        <f>HYPERLINK("http://dx.doi.org/10.1111/all.14422","http://dx.doi.org/10.1111/all.14422")</f>
        <v>http://dx.doi.org/10.1111/all.14422</v>
      </c>
      <c r="BG369" t="s">
        <v>74</v>
      </c>
      <c r="BH369" t="s">
        <v>5639</v>
      </c>
      <c r="BI369">
        <v>23</v>
      </c>
      <c r="BJ369" t="s">
        <v>3085</v>
      </c>
      <c r="BK369" t="s">
        <v>101</v>
      </c>
      <c r="BL369" t="s">
        <v>3085</v>
      </c>
      <c r="BM369" t="s">
        <v>5640</v>
      </c>
      <c r="BN369">
        <v>32512619</v>
      </c>
      <c r="BO369" t="s">
        <v>5641</v>
      </c>
      <c r="BP369" t="s">
        <v>74</v>
      </c>
      <c r="BQ369" t="s">
        <v>74</v>
      </c>
      <c r="BR369" t="s">
        <v>104</v>
      </c>
      <c r="BS369" t="s">
        <v>5642</v>
      </c>
      <c r="BT369" t="str">
        <f>HYPERLINK("https%3A%2F%2Fwww.webofscience.com%2Fwos%2Fwoscc%2Ffull-record%2FWOS:000581175300001","View Full Record in Web of Science")</f>
        <v>View Full Record in Web of Science</v>
      </c>
    </row>
    <row r="370" spans="1:72" x14ac:dyDescent="0.25">
      <c r="A370" t="s">
        <v>72</v>
      </c>
      <c r="B370" t="s">
        <v>5643</v>
      </c>
      <c r="C370" t="s">
        <v>74</v>
      </c>
      <c r="D370" t="s">
        <v>74</v>
      </c>
      <c r="E370" t="s">
        <v>74</v>
      </c>
      <c r="F370" t="s">
        <v>5644</v>
      </c>
      <c r="G370" t="s">
        <v>74</v>
      </c>
      <c r="H370" t="s">
        <v>74</v>
      </c>
      <c r="I370" t="s">
        <v>5645</v>
      </c>
      <c r="J370" t="s">
        <v>793</v>
      </c>
      <c r="K370" t="s">
        <v>74</v>
      </c>
      <c r="L370" t="s">
        <v>74</v>
      </c>
      <c r="M370" t="s">
        <v>78</v>
      </c>
      <c r="N370" t="s">
        <v>460</v>
      </c>
      <c r="O370" t="s">
        <v>74</v>
      </c>
      <c r="P370" t="s">
        <v>74</v>
      </c>
      <c r="Q370" t="s">
        <v>74</v>
      </c>
      <c r="R370" t="s">
        <v>74</v>
      </c>
      <c r="S370" t="s">
        <v>74</v>
      </c>
      <c r="T370" t="s">
        <v>74</v>
      </c>
      <c r="U370" t="s">
        <v>5646</v>
      </c>
      <c r="V370" t="s">
        <v>74</v>
      </c>
      <c r="W370" t="s">
        <v>5647</v>
      </c>
      <c r="X370" t="s">
        <v>5648</v>
      </c>
      <c r="Y370" t="s">
        <v>5649</v>
      </c>
      <c r="Z370" t="s">
        <v>4771</v>
      </c>
      <c r="AA370" t="s">
        <v>5650</v>
      </c>
      <c r="AB370" t="s">
        <v>5651</v>
      </c>
      <c r="AC370" t="s">
        <v>74</v>
      </c>
      <c r="AD370" t="s">
        <v>74</v>
      </c>
      <c r="AE370" t="s">
        <v>74</v>
      </c>
      <c r="AF370" t="s">
        <v>74</v>
      </c>
      <c r="AG370">
        <v>15</v>
      </c>
      <c r="AH370">
        <v>41</v>
      </c>
      <c r="AI370">
        <v>41</v>
      </c>
      <c r="AJ370">
        <v>0</v>
      </c>
      <c r="AK370">
        <v>5</v>
      </c>
      <c r="AL370" t="s">
        <v>219</v>
      </c>
      <c r="AM370" t="s">
        <v>220</v>
      </c>
      <c r="AN370" t="s">
        <v>221</v>
      </c>
      <c r="AO370" t="s">
        <v>74</v>
      </c>
      <c r="AP370" t="s">
        <v>803</v>
      </c>
      <c r="AQ370" t="s">
        <v>74</v>
      </c>
      <c r="AR370" t="s">
        <v>804</v>
      </c>
      <c r="AS370" t="s">
        <v>805</v>
      </c>
      <c r="AT370" t="s">
        <v>2820</v>
      </c>
      <c r="AU370">
        <v>2020</v>
      </c>
      <c r="AV370">
        <v>6</v>
      </c>
      <c r="AW370">
        <v>4</v>
      </c>
      <c r="AX370" t="s">
        <v>74</v>
      </c>
      <c r="AY370" t="s">
        <v>74</v>
      </c>
      <c r="AZ370" t="s">
        <v>74</v>
      </c>
      <c r="BA370" t="s">
        <v>74</v>
      </c>
      <c r="BB370" t="s">
        <v>74</v>
      </c>
      <c r="BC370" t="s">
        <v>74</v>
      </c>
      <c r="BD370" t="s">
        <v>5652</v>
      </c>
      <c r="BE370" t="s">
        <v>5653</v>
      </c>
      <c r="BF370" t="str">
        <f>HYPERLINK("http://dx.doi.org/10.1183/23120541.00520-2020","http://dx.doi.org/10.1183/23120541.00520-2020")</f>
        <v>http://dx.doi.org/10.1183/23120541.00520-2020</v>
      </c>
      <c r="BG370" t="s">
        <v>74</v>
      </c>
      <c r="BH370" t="s">
        <v>74</v>
      </c>
      <c r="BI370">
        <v>4</v>
      </c>
      <c r="BJ370" t="s">
        <v>228</v>
      </c>
      <c r="BK370" t="s">
        <v>101</v>
      </c>
      <c r="BL370" t="s">
        <v>228</v>
      </c>
      <c r="BM370" t="s">
        <v>5654</v>
      </c>
      <c r="BN370">
        <v>33263061</v>
      </c>
      <c r="BO370" t="s">
        <v>809</v>
      </c>
      <c r="BP370" t="s">
        <v>74</v>
      </c>
      <c r="BQ370" t="s">
        <v>74</v>
      </c>
      <c r="BR370" t="s">
        <v>104</v>
      </c>
      <c r="BS370" t="s">
        <v>5655</v>
      </c>
      <c r="BT370" t="str">
        <f>HYPERLINK("https%3A%2F%2Fwww.webofscience.com%2Fwos%2Fwoscc%2Ffull-record%2FWOS:000603682700101","View Full Record in Web of Science")</f>
        <v>View Full Record in Web of Science</v>
      </c>
    </row>
    <row r="371" spans="1:72" x14ac:dyDescent="0.25">
      <c r="A371" t="s">
        <v>72</v>
      </c>
      <c r="B371" t="s">
        <v>5656</v>
      </c>
      <c r="C371" t="s">
        <v>74</v>
      </c>
      <c r="D371" t="s">
        <v>74</v>
      </c>
      <c r="E371" t="s">
        <v>74</v>
      </c>
      <c r="F371" t="s">
        <v>5657</v>
      </c>
      <c r="G371" t="s">
        <v>74</v>
      </c>
      <c r="H371" t="s">
        <v>74</v>
      </c>
      <c r="I371" t="s">
        <v>5658</v>
      </c>
      <c r="J371" t="s">
        <v>435</v>
      </c>
      <c r="K371" t="s">
        <v>74</v>
      </c>
      <c r="L371" t="s">
        <v>74</v>
      </c>
      <c r="M371" t="s">
        <v>78</v>
      </c>
      <c r="N371" t="s">
        <v>79</v>
      </c>
      <c r="O371" t="s">
        <v>74</v>
      </c>
      <c r="P371" t="s">
        <v>74</v>
      </c>
      <c r="Q371" t="s">
        <v>74</v>
      </c>
      <c r="R371" t="s">
        <v>74</v>
      </c>
      <c r="S371" t="s">
        <v>74</v>
      </c>
      <c r="T371" t="s">
        <v>5659</v>
      </c>
      <c r="U371" t="s">
        <v>5660</v>
      </c>
      <c r="V371" t="s">
        <v>5661</v>
      </c>
      <c r="W371" t="s">
        <v>5662</v>
      </c>
      <c r="X371" t="s">
        <v>5663</v>
      </c>
      <c r="Y371" t="s">
        <v>5664</v>
      </c>
      <c r="Z371" t="s">
        <v>5665</v>
      </c>
      <c r="AA371" t="s">
        <v>5666</v>
      </c>
      <c r="AB371" t="s">
        <v>5667</v>
      </c>
      <c r="AC371" t="s">
        <v>5668</v>
      </c>
      <c r="AD371" t="s">
        <v>5668</v>
      </c>
      <c r="AE371" t="s">
        <v>5669</v>
      </c>
      <c r="AF371" t="s">
        <v>74</v>
      </c>
      <c r="AG371">
        <v>15</v>
      </c>
      <c r="AH371">
        <v>6</v>
      </c>
      <c r="AI371">
        <v>6</v>
      </c>
      <c r="AJ371">
        <v>0</v>
      </c>
      <c r="AK371">
        <v>10</v>
      </c>
      <c r="AL371" t="s">
        <v>1330</v>
      </c>
      <c r="AM371" t="s">
        <v>1331</v>
      </c>
      <c r="AN371" t="s">
        <v>1332</v>
      </c>
      <c r="AO371" t="s">
        <v>448</v>
      </c>
      <c r="AP371" t="s">
        <v>449</v>
      </c>
      <c r="AQ371" t="s">
        <v>74</v>
      </c>
      <c r="AR371" t="s">
        <v>450</v>
      </c>
      <c r="AS371" t="s">
        <v>451</v>
      </c>
      <c r="AT371" t="s">
        <v>420</v>
      </c>
      <c r="AU371">
        <v>2020</v>
      </c>
      <c r="AV371">
        <v>10</v>
      </c>
      <c r="AW371">
        <v>4</v>
      </c>
      <c r="AX371" t="s">
        <v>74</v>
      </c>
      <c r="AY371" t="s">
        <v>74</v>
      </c>
      <c r="AZ371" t="s">
        <v>74</v>
      </c>
      <c r="BA371" t="s">
        <v>74</v>
      </c>
      <c r="BB371" t="s">
        <v>74</v>
      </c>
      <c r="BC371" t="s">
        <v>74</v>
      </c>
      <c r="BD371">
        <v>2045894020907884</v>
      </c>
      <c r="BE371" t="s">
        <v>5670</v>
      </c>
      <c r="BF371" t="str">
        <f>HYPERLINK("http://dx.doi.org/10.1177/2045894020907884","http://dx.doi.org/10.1177/2045894020907884")</f>
        <v>http://dx.doi.org/10.1177/2045894020907884</v>
      </c>
      <c r="BG371" t="s">
        <v>74</v>
      </c>
      <c r="BH371" t="s">
        <v>74</v>
      </c>
      <c r="BI371">
        <v>4</v>
      </c>
      <c r="BJ371" t="s">
        <v>209</v>
      </c>
      <c r="BK371" t="s">
        <v>101</v>
      </c>
      <c r="BL371" t="s">
        <v>210</v>
      </c>
      <c r="BM371" t="s">
        <v>5671</v>
      </c>
      <c r="BN371">
        <v>33149891</v>
      </c>
      <c r="BO371" t="s">
        <v>809</v>
      </c>
      <c r="BP371" t="s">
        <v>74</v>
      </c>
      <c r="BQ371" t="s">
        <v>74</v>
      </c>
      <c r="BR371" t="s">
        <v>104</v>
      </c>
      <c r="BS371" t="s">
        <v>5672</v>
      </c>
      <c r="BT371" t="str">
        <f>HYPERLINK("https%3A%2F%2Fwww.webofscience.com%2Fwos%2Fwoscc%2Ffull-record%2FWOS:000581620900001","View Full Record in Web of Science")</f>
        <v>View Full Record in Web of Science</v>
      </c>
    </row>
    <row r="372" spans="1:72" x14ac:dyDescent="0.25">
      <c r="A372" t="s">
        <v>72</v>
      </c>
      <c r="B372" t="s">
        <v>5673</v>
      </c>
      <c r="C372" t="s">
        <v>74</v>
      </c>
      <c r="D372" t="s">
        <v>74</v>
      </c>
      <c r="E372" t="s">
        <v>74</v>
      </c>
      <c r="F372" t="s">
        <v>5674</v>
      </c>
      <c r="G372" t="s">
        <v>74</v>
      </c>
      <c r="H372" t="s">
        <v>74</v>
      </c>
      <c r="I372" t="s">
        <v>5675</v>
      </c>
      <c r="J372" t="s">
        <v>324</v>
      </c>
      <c r="K372" t="s">
        <v>74</v>
      </c>
      <c r="L372" t="s">
        <v>74</v>
      </c>
      <c r="M372" t="s">
        <v>78</v>
      </c>
      <c r="N372" t="s">
        <v>52</v>
      </c>
      <c r="O372" t="s">
        <v>2788</v>
      </c>
      <c r="P372" t="s">
        <v>5676</v>
      </c>
      <c r="Q372" t="s">
        <v>4325</v>
      </c>
      <c r="R372" t="s">
        <v>2791</v>
      </c>
      <c r="S372" t="s">
        <v>74</v>
      </c>
      <c r="T372" t="s">
        <v>74</v>
      </c>
      <c r="U372" t="s">
        <v>74</v>
      </c>
      <c r="V372" t="s">
        <v>74</v>
      </c>
      <c r="W372" t="s">
        <v>74</v>
      </c>
      <c r="X372" t="s">
        <v>74</v>
      </c>
      <c r="Y372" t="s">
        <v>74</v>
      </c>
      <c r="Z372" t="s">
        <v>74</v>
      </c>
      <c r="AA372" t="s">
        <v>5677</v>
      </c>
      <c r="AB372" t="s">
        <v>74</v>
      </c>
      <c r="AC372" t="s">
        <v>74</v>
      </c>
      <c r="AD372" t="s">
        <v>74</v>
      </c>
      <c r="AE372" t="s">
        <v>74</v>
      </c>
      <c r="AF372" t="s">
        <v>74</v>
      </c>
      <c r="AG372">
        <v>0</v>
      </c>
      <c r="AH372">
        <v>2</v>
      </c>
      <c r="AI372">
        <v>2</v>
      </c>
      <c r="AJ372">
        <v>0</v>
      </c>
      <c r="AK372">
        <v>1</v>
      </c>
      <c r="AL372" t="s">
        <v>92</v>
      </c>
      <c r="AM372" t="s">
        <v>93</v>
      </c>
      <c r="AN372" t="s">
        <v>94</v>
      </c>
      <c r="AO372" t="s">
        <v>337</v>
      </c>
      <c r="AP372" t="s">
        <v>338</v>
      </c>
      <c r="AQ372" t="s">
        <v>74</v>
      </c>
      <c r="AR372" t="s">
        <v>324</v>
      </c>
      <c r="AS372" t="s">
        <v>339</v>
      </c>
      <c r="AT372" t="s">
        <v>420</v>
      </c>
      <c r="AU372">
        <v>2020</v>
      </c>
      <c r="AV372">
        <v>158</v>
      </c>
      <c r="AW372">
        <v>4</v>
      </c>
      <c r="AX372" t="s">
        <v>74</v>
      </c>
      <c r="AY372" t="s">
        <v>998</v>
      </c>
      <c r="AZ372" t="s">
        <v>74</v>
      </c>
      <c r="BA372" t="s">
        <v>74</v>
      </c>
      <c r="BB372" t="s">
        <v>5678</v>
      </c>
      <c r="BC372" t="s">
        <v>5679</v>
      </c>
      <c r="BD372" t="s">
        <v>74</v>
      </c>
      <c r="BE372" t="s">
        <v>5680</v>
      </c>
      <c r="BF372" t="str">
        <f>HYPERLINK("http://dx.doi.org/10.1016/j.chest.2020.09.033","http://dx.doi.org/10.1016/j.chest.2020.09.033")</f>
        <v>http://dx.doi.org/10.1016/j.chest.2020.09.033</v>
      </c>
      <c r="BG372" t="s">
        <v>74</v>
      </c>
      <c r="BH372" t="s">
        <v>74</v>
      </c>
      <c r="BI372">
        <v>3</v>
      </c>
      <c r="BJ372" t="s">
        <v>341</v>
      </c>
      <c r="BK372" t="s">
        <v>512</v>
      </c>
      <c r="BL372" t="s">
        <v>342</v>
      </c>
      <c r="BM372" t="s">
        <v>5681</v>
      </c>
      <c r="BN372" t="s">
        <v>74</v>
      </c>
      <c r="BO372" t="s">
        <v>1194</v>
      </c>
      <c r="BP372" t="s">
        <v>74</v>
      </c>
      <c r="BQ372" t="s">
        <v>74</v>
      </c>
      <c r="BR372" t="s">
        <v>104</v>
      </c>
      <c r="BS372" t="s">
        <v>5682</v>
      </c>
      <c r="BT372" t="str">
        <f>HYPERLINK("https%3A%2F%2Fwww.webofscience.com%2Fwos%2Fwoscc%2Ffull-record%2FWOS:000582625302434","View Full Record in Web of Science")</f>
        <v>View Full Record in Web of Science</v>
      </c>
    </row>
    <row r="373" spans="1:72" x14ac:dyDescent="0.25">
      <c r="A373" t="s">
        <v>72</v>
      </c>
      <c r="B373" t="s">
        <v>5683</v>
      </c>
      <c r="C373" t="s">
        <v>74</v>
      </c>
      <c r="D373" t="s">
        <v>74</v>
      </c>
      <c r="E373" t="s">
        <v>74</v>
      </c>
      <c r="F373" t="s">
        <v>5684</v>
      </c>
      <c r="G373" t="s">
        <v>74</v>
      </c>
      <c r="H373" t="s">
        <v>74</v>
      </c>
      <c r="I373" t="s">
        <v>5685</v>
      </c>
      <c r="J373" t="s">
        <v>4285</v>
      </c>
      <c r="K373" t="s">
        <v>74</v>
      </c>
      <c r="L373" t="s">
        <v>74</v>
      </c>
      <c r="M373" t="s">
        <v>78</v>
      </c>
      <c r="N373" t="s">
        <v>79</v>
      </c>
      <c r="O373" t="s">
        <v>74</v>
      </c>
      <c r="P373" t="s">
        <v>74</v>
      </c>
      <c r="Q373" t="s">
        <v>74</v>
      </c>
      <c r="R373" t="s">
        <v>74</v>
      </c>
      <c r="S373" t="s">
        <v>74</v>
      </c>
      <c r="T373" t="s">
        <v>5686</v>
      </c>
      <c r="U373" t="s">
        <v>5687</v>
      </c>
      <c r="V373" t="s">
        <v>5688</v>
      </c>
      <c r="W373" t="s">
        <v>5689</v>
      </c>
      <c r="X373" t="s">
        <v>5690</v>
      </c>
      <c r="Y373" t="s">
        <v>5691</v>
      </c>
      <c r="Z373" t="s">
        <v>5692</v>
      </c>
      <c r="AA373" t="s">
        <v>1812</v>
      </c>
      <c r="AB373" t="s">
        <v>5693</v>
      </c>
      <c r="AC373" t="s">
        <v>5694</v>
      </c>
      <c r="AD373" t="s">
        <v>5695</v>
      </c>
      <c r="AE373" t="s">
        <v>5696</v>
      </c>
      <c r="AF373" t="s">
        <v>74</v>
      </c>
      <c r="AG373">
        <v>61</v>
      </c>
      <c r="AH373">
        <v>17</v>
      </c>
      <c r="AI373">
        <v>17</v>
      </c>
      <c r="AJ373">
        <v>0</v>
      </c>
      <c r="AK373">
        <v>7</v>
      </c>
      <c r="AL373" t="s">
        <v>1113</v>
      </c>
      <c r="AM373" t="s">
        <v>1114</v>
      </c>
      <c r="AN373" t="s">
        <v>1115</v>
      </c>
      <c r="AO373" t="s">
        <v>74</v>
      </c>
      <c r="AP373" t="s">
        <v>4299</v>
      </c>
      <c r="AQ373" t="s">
        <v>74</v>
      </c>
      <c r="AR373" t="s">
        <v>4300</v>
      </c>
      <c r="AS373" t="s">
        <v>4301</v>
      </c>
      <c r="AT373" t="s">
        <v>420</v>
      </c>
      <c r="AU373">
        <v>2020</v>
      </c>
      <c r="AV373">
        <v>21</v>
      </c>
      <c r="AW373">
        <v>19</v>
      </c>
      <c r="AX373" t="s">
        <v>74</v>
      </c>
      <c r="AY373" t="s">
        <v>74</v>
      </c>
      <c r="AZ373" t="s">
        <v>74</v>
      </c>
      <c r="BA373" t="s">
        <v>74</v>
      </c>
      <c r="BB373" t="s">
        <v>74</v>
      </c>
      <c r="BC373" t="s">
        <v>74</v>
      </c>
      <c r="BD373">
        <v>7400</v>
      </c>
      <c r="BE373" t="s">
        <v>5697</v>
      </c>
      <c r="BF373" t="str">
        <f>HYPERLINK("http://dx.doi.org/10.3390/ijms21197400","http://dx.doi.org/10.3390/ijms21197400")</f>
        <v>http://dx.doi.org/10.3390/ijms21197400</v>
      </c>
      <c r="BG373" t="s">
        <v>74</v>
      </c>
      <c r="BH373" t="s">
        <v>74</v>
      </c>
      <c r="BI373">
        <v>21</v>
      </c>
      <c r="BJ373" t="s">
        <v>4303</v>
      </c>
      <c r="BK373" t="s">
        <v>101</v>
      </c>
      <c r="BL373" t="s">
        <v>4304</v>
      </c>
      <c r="BM373" t="s">
        <v>5698</v>
      </c>
      <c r="BN373">
        <v>33036472</v>
      </c>
      <c r="BO373" t="s">
        <v>1665</v>
      </c>
      <c r="BP373" t="s">
        <v>74</v>
      </c>
      <c r="BQ373" t="s">
        <v>74</v>
      </c>
      <c r="BR373" t="s">
        <v>104</v>
      </c>
      <c r="BS373" t="s">
        <v>5699</v>
      </c>
      <c r="BT373" t="str">
        <f>HYPERLINK("https%3A%2F%2Fwww.webofscience.com%2Fwos%2Fwoscc%2Ffull-record%2FWOS:000586625100001","View Full Record in Web of Science")</f>
        <v>View Full Record in Web of Science</v>
      </c>
    </row>
    <row r="374" spans="1:72" x14ac:dyDescent="0.25">
      <c r="A374" t="s">
        <v>72</v>
      </c>
      <c r="B374" t="s">
        <v>5700</v>
      </c>
      <c r="C374" t="s">
        <v>74</v>
      </c>
      <c r="D374" t="s">
        <v>74</v>
      </c>
      <c r="E374" t="s">
        <v>74</v>
      </c>
      <c r="F374" t="s">
        <v>5701</v>
      </c>
      <c r="G374" t="s">
        <v>74</v>
      </c>
      <c r="H374" t="s">
        <v>74</v>
      </c>
      <c r="I374" t="s">
        <v>5702</v>
      </c>
      <c r="J374" t="s">
        <v>4322</v>
      </c>
      <c r="K374" t="s">
        <v>74</v>
      </c>
      <c r="L374" t="s">
        <v>74</v>
      </c>
      <c r="M374" t="s">
        <v>78</v>
      </c>
      <c r="N374" t="s">
        <v>52</v>
      </c>
      <c r="O374" t="s">
        <v>5703</v>
      </c>
      <c r="P374" t="s">
        <v>5704</v>
      </c>
      <c r="Q374" t="s">
        <v>4325</v>
      </c>
      <c r="R374" t="s">
        <v>5705</v>
      </c>
      <c r="S374" t="s">
        <v>74</v>
      </c>
      <c r="T374" t="s">
        <v>74</v>
      </c>
      <c r="U374" t="s">
        <v>74</v>
      </c>
      <c r="V374" t="s">
        <v>74</v>
      </c>
      <c r="W374" t="s">
        <v>5706</v>
      </c>
      <c r="X374" t="s">
        <v>5707</v>
      </c>
      <c r="Y374" t="s">
        <v>74</v>
      </c>
      <c r="Z374" t="s">
        <v>74</v>
      </c>
      <c r="AA374" t="s">
        <v>5708</v>
      </c>
      <c r="AB374" t="s">
        <v>5709</v>
      </c>
      <c r="AC374" t="s">
        <v>74</v>
      </c>
      <c r="AD374" t="s">
        <v>74</v>
      </c>
      <c r="AE374" t="s">
        <v>74</v>
      </c>
      <c r="AF374" t="s">
        <v>74</v>
      </c>
      <c r="AG374">
        <v>0</v>
      </c>
      <c r="AH374">
        <v>0</v>
      </c>
      <c r="AI374">
        <v>0</v>
      </c>
      <c r="AJ374">
        <v>0</v>
      </c>
      <c r="AK374">
        <v>0</v>
      </c>
      <c r="AL374" t="s">
        <v>169</v>
      </c>
      <c r="AM374" t="s">
        <v>170</v>
      </c>
      <c r="AN374" t="s">
        <v>171</v>
      </c>
      <c r="AO374" t="s">
        <v>4329</v>
      </c>
      <c r="AP374" t="s">
        <v>4330</v>
      </c>
      <c r="AQ374" t="s">
        <v>74</v>
      </c>
      <c r="AR374" t="s">
        <v>4331</v>
      </c>
      <c r="AS374" t="s">
        <v>4332</v>
      </c>
      <c r="AT374" t="s">
        <v>420</v>
      </c>
      <c r="AU374">
        <v>2020</v>
      </c>
      <c r="AV374">
        <v>72</v>
      </c>
      <c r="AW374" t="s">
        <v>74</v>
      </c>
      <c r="AX374" t="s">
        <v>74</v>
      </c>
      <c r="AY374">
        <v>10</v>
      </c>
      <c r="AZ374" t="s">
        <v>1080</v>
      </c>
      <c r="BA374">
        <v>1522</v>
      </c>
      <c r="BB374" t="s">
        <v>74</v>
      </c>
      <c r="BC374" t="s">
        <v>74</v>
      </c>
      <c r="BD374" t="s">
        <v>74</v>
      </c>
      <c r="BE374" t="s">
        <v>74</v>
      </c>
      <c r="BF374" t="s">
        <v>74</v>
      </c>
      <c r="BG374" t="s">
        <v>74</v>
      </c>
      <c r="BH374" t="s">
        <v>74</v>
      </c>
      <c r="BI374">
        <v>2</v>
      </c>
      <c r="BJ374" t="s">
        <v>2369</v>
      </c>
      <c r="BK374" t="s">
        <v>512</v>
      </c>
      <c r="BL374" t="s">
        <v>2369</v>
      </c>
      <c r="BM374" t="s">
        <v>5710</v>
      </c>
      <c r="BN374" t="s">
        <v>74</v>
      </c>
      <c r="BO374" t="s">
        <v>74</v>
      </c>
      <c r="BP374" t="s">
        <v>74</v>
      </c>
      <c r="BQ374" t="s">
        <v>74</v>
      </c>
      <c r="BR374" t="s">
        <v>104</v>
      </c>
      <c r="BS374" t="s">
        <v>5711</v>
      </c>
      <c r="BT374" t="str">
        <f>HYPERLINK("https%3A%2F%2Fwww.webofscience.com%2Fwos%2Fwoscc%2Ffull-record%2FWOS:000587568505026","View Full Record in Web of Science")</f>
        <v>View Full Record in Web of Science</v>
      </c>
    </row>
    <row r="375" spans="1:72" x14ac:dyDescent="0.25">
      <c r="A375" t="s">
        <v>72</v>
      </c>
      <c r="B375" t="s">
        <v>5712</v>
      </c>
      <c r="C375" t="s">
        <v>74</v>
      </c>
      <c r="D375" t="s">
        <v>74</v>
      </c>
      <c r="E375" t="s">
        <v>74</v>
      </c>
      <c r="F375" t="s">
        <v>5713</v>
      </c>
      <c r="G375" t="s">
        <v>74</v>
      </c>
      <c r="H375" t="s">
        <v>74</v>
      </c>
      <c r="I375" t="s">
        <v>5714</v>
      </c>
      <c r="J375" t="s">
        <v>216</v>
      </c>
      <c r="K375" t="s">
        <v>74</v>
      </c>
      <c r="L375" t="s">
        <v>74</v>
      </c>
      <c r="M375" t="s">
        <v>78</v>
      </c>
      <c r="N375" t="s">
        <v>79</v>
      </c>
      <c r="O375" t="s">
        <v>74</v>
      </c>
      <c r="P375" t="s">
        <v>74</v>
      </c>
      <c r="Q375" t="s">
        <v>74</v>
      </c>
      <c r="R375" t="s">
        <v>74</v>
      </c>
      <c r="S375" t="s">
        <v>74</v>
      </c>
      <c r="T375" t="s">
        <v>74</v>
      </c>
      <c r="U375" t="s">
        <v>5715</v>
      </c>
      <c r="V375" t="s">
        <v>5716</v>
      </c>
      <c r="W375" t="s">
        <v>5717</v>
      </c>
      <c r="X375" t="s">
        <v>5718</v>
      </c>
      <c r="Y375" t="s">
        <v>5719</v>
      </c>
      <c r="Z375" t="s">
        <v>331</v>
      </c>
      <c r="AA375" t="s">
        <v>5720</v>
      </c>
      <c r="AB375" t="s">
        <v>5721</v>
      </c>
      <c r="AC375" t="s">
        <v>74</v>
      </c>
      <c r="AD375" t="s">
        <v>74</v>
      </c>
      <c r="AE375" t="s">
        <v>74</v>
      </c>
      <c r="AF375" t="s">
        <v>74</v>
      </c>
      <c r="AG375">
        <v>109</v>
      </c>
      <c r="AH375">
        <v>36</v>
      </c>
      <c r="AI375">
        <v>40</v>
      </c>
      <c r="AJ375">
        <v>2</v>
      </c>
      <c r="AK375">
        <v>15</v>
      </c>
      <c r="AL375" t="s">
        <v>219</v>
      </c>
      <c r="AM375" t="s">
        <v>220</v>
      </c>
      <c r="AN375" t="s">
        <v>221</v>
      </c>
      <c r="AO375" t="s">
        <v>222</v>
      </c>
      <c r="AP375" t="s">
        <v>223</v>
      </c>
      <c r="AQ375" t="s">
        <v>74</v>
      </c>
      <c r="AR375" t="s">
        <v>224</v>
      </c>
      <c r="AS375" t="s">
        <v>225</v>
      </c>
      <c r="AT375" t="s">
        <v>2820</v>
      </c>
      <c r="AU375">
        <v>2020</v>
      </c>
      <c r="AV375">
        <v>56</v>
      </c>
      <c r="AW375">
        <v>4</v>
      </c>
      <c r="AX375" t="s">
        <v>74</v>
      </c>
      <c r="AY375" t="s">
        <v>74</v>
      </c>
      <c r="AZ375" t="s">
        <v>74</v>
      </c>
      <c r="BA375" t="s">
        <v>74</v>
      </c>
      <c r="BB375" t="s">
        <v>74</v>
      </c>
      <c r="BC375" t="s">
        <v>74</v>
      </c>
      <c r="BD375">
        <v>2000279</v>
      </c>
      <c r="BE375" t="s">
        <v>5722</v>
      </c>
      <c r="BF375" t="str">
        <f>HYPERLINK("http://dx.doi.org/10.1183/13993003.00279-2020","http://dx.doi.org/10.1183/13993003.00279-2020")</f>
        <v>http://dx.doi.org/10.1183/13993003.00279-2020</v>
      </c>
      <c r="BG375" t="s">
        <v>74</v>
      </c>
      <c r="BH375" t="s">
        <v>74</v>
      </c>
      <c r="BI375">
        <v>16</v>
      </c>
      <c r="BJ375" t="s">
        <v>228</v>
      </c>
      <c r="BK375" t="s">
        <v>101</v>
      </c>
      <c r="BL375" t="s">
        <v>228</v>
      </c>
      <c r="BM375" t="s">
        <v>5723</v>
      </c>
      <c r="BN375">
        <v>32527740</v>
      </c>
      <c r="BO375" t="s">
        <v>1194</v>
      </c>
      <c r="BP375" t="s">
        <v>74</v>
      </c>
      <c r="BQ375" t="s">
        <v>74</v>
      </c>
      <c r="BR375" t="s">
        <v>104</v>
      </c>
      <c r="BS375" t="s">
        <v>5724</v>
      </c>
      <c r="BT375" t="str">
        <f>HYPERLINK("https%3A%2F%2Fwww.webofscience.com%2Fwos%2Fwoscc%2Ffull-record%2FWOS:000607060500010","View Full Record in Web of Science")</f>
        <v>View Full Record in Web of Science</v>
      </c>
    </row>
    <row r="376" spans="1:72" x14ac:dyDescent="0.25">
      <c r="A376" t="s">
        <v>72</v>
      </c>
      <c r="B376" t="s">
        <v>5725</v>
      </c>
      <c r="C376" t="s">
        <v>74</v>
      </c>
      <c r="D376" t="s">
        <v>74</v>
      </c>
      <c r="E376" t="s">
        <v>74</v>
      </c>
      <c r="F376" t="s">
        <v>5726</v>
      </c>
      <c r="G376" t="s">
        <v>74</v>
      </c>
      <c r="H376" t="s">
        <v>74</v>
      </c>
      <c r="I376" t="s">
        <v>5727</v>
      </c>
      <c r="J376" t="s">
        <v>814</v>
      </c>
      <c r="K376" t="s">
        <v>74</v>
      </c>
      <c r="L376" t="s">
        <v>74</v>
      </c>
      <c r="M376" t="s">
        <v>78</v>
      </c>
      <c r="N376" t="s">
        <v>140</v>
      </c>
      <c r="O376" t="s">
        <v>74</v>
      </c>
      <c r="P376" t="s">
        <v>74</v>
      </c>
      <c r="Q376" t="s">
        <v>74</v>
      </c>
      <c r="R376" t="s">
        <v>74</v>
      </c>
      <c r="S376" t="s">
        <v>74</v>
      </c>
      <c r="T376" t="s">
        <v>74</v>
      </c>
      <c r="U376" t="s">
        <v>5728</v>
      </c>
      <c r="V376" t="s">
        <v>74</v>
      </c>
      <c r="W376" t="s">
        <v>5729</v>
      </c>
      <c r="X376" t="s">
        <v>5730</v>
      </c>
      <c r="Y376" t="s">
        <v>5731</v>
      </c>
      <c r="Z376" t="s">
        <v>5732</v>
      </c>
      <c r="AA376" t="s">
        <v>5733</v>
      </c>
      <c r="AB376" t="s">
        <v>5734</v>
      </c>
      <c r="AC376" t="s">
        <v>74</v>
      </c>
      <c r="AD376" t="s">
        <v>74</v>
      </c>
      <c r="AE376" t="s">
        <v>74</v>
      </c>
      <c r="AF376" t="s">
        <v>74</v>
      </c>
      <c r="AG376">
        <v>23</v>
      </c>
      <c r="AH376">
        <v>4</v>
      </c>
      <c r="AI376">
        <v>4</v>
      </c>
      <c r="AJ376">
        <v>0</v>
      </c>
      <c r="AK376">
        <v>1</v>
      </c>
      <c r="AL376" t="s">
        <v>219</v>
      </c>
      <c r="AM376" t="s">
        <v>220</v>
      </c>
      <c r="AN376" t="s">
        <v>221</v>
      </c>
      <c r="AO376" t="s">
        <v>823</v>
      </c>
      <c r="AP376" t="s">
        <v>824</v>
      </c>
      <c r="AQ376" t="s">
        <v>74</v>
      </c>
      <c r="AR376" t="s">
        <v>825</v>
      </c>
      <c r="AS376" t="s">
        <v>826</v>
      </c>
      <c r="AT376" t="s">
        <v>2883</v>
      </c>
      <c r="AU376">
        <v>2020</v>
      </c>
      <c r="AV376">
        <v>29</v>
      </c>
      <c r="AW376">
        <v>157</v>
      </c>
      <c r="AX376" t="s">
        <v>74</v>
      </c>
      <c r="AY376" t="s">
        <v>74</v>
      </c>
      <c r="AZ376" t="s">
        <v>74</v>
      </c>
      <c r="BA376" t="s">
        <v>74</v>
      </c>
      <c r="BB376" t="s">
        <v>74</v>
      </c>
      <c r="BC376" t="s">
        <v>74</v>
      </c>
      <c r="BD376">
        <v>200310</v>
      </c>
      <c r="BE376" t="s">
        <v>5735</v>
      </c>
      <c r="BF376" t="str">
        <f>HYPERLINK("http://dx.doi.org/10.1183/16000617.0310-2020","http://dx.doi.org/10.1183/16000617.0310-2020")</f>
        <v>http://dx.doi.org/10.1183/16000617.0310-2020</v>
      </c>
      <c r="BG376" t="s">
        <v>74</v>
      </c>
      <c r="BH376" t="s">
        <v>74</v>
      </c>
      <c r="BI376">
        <v>5</v>
      </c>
      <c r="BJ376" t="s">
        <v>228</v>
      </c>
      <c r="BK376" t="s">
        <v>101</v>
      </c>
      <c r="BL376" t="s">
        <v>228</v>
      </c>
      <c r="BM376" t="s">
        <v>5736</v>
      </c>
      <c r="BN376">
        <v>33020070</v>
      </c>
      <c r="BO376" t="s">
        <v>809</v>
      </c>
      <c r="BP376" t="s">
        <v>74</v>
      </c>
      <c r="BQ376" t="s">
        <v>74</v>
      </c>
      <c r="BR376" t="s">
        <v>104</v>
      </c>
      <c r="BS376" t="s">
        <v>5737</v>
      </c>
      <c r="BT376" t="str">
        <f>HYPERLINK("https%3A%2F%2Fwww.webofscience.com%2Fwos%2Fwoscc%2Ffull-record%2FWOS:000583849000029","View Full Record in Web of Science")</f>
        <v>View Full Record in Web of Science</v>
      </c>
    </row>
    <row r="377" spans="1:72" x14ac:dyDescent="0.25">
      <c r="A377" t="s">
        <v>72</v>
      </c>
      <c r="B377" t="s">
        <v>5738</v>
      </c>
      <c r="C377" t="s">
        <v>74</v>
      </c>
      <c r="D377" t="s">
        <v>74</v>
      </c>
      <c r="E377" t="s">
        <v>74</v>
      </c>
      <c r="F377" t="s">
        <v>5739</v>
      </c>
      <c r="G377" t="s">
        <v>74</v>
      </c>
      <c r="H377" t="s">
        <v>74</v>
      </c>
      <c r="I377" t="s">
        <v>5740</v>
      </c>
      <c r="J377" t="s">
        <v>5624</v>
      </c>
      <c r="K377" t="s">
        <v>74</v>
      </c>
      <c r="L377" t="s">
        <v>74</v>
      </c>
      <c r="M377" t="s">
        <v>78</v>
      </c>
      <c r="N377" t="s">
        <v>460</v>
      </c>
      <c r="O377" t="s">
        <v>74</v>
      </c>
      <c r="P377" t="s">
        <v>74</v>
      </c>
      <c r="Q377" t="s">
        <v>74</v>
      </c>
      <c r="R377" t="s">
        <v>74</v>
      </c>
      <c r="S377" t="s">
        <v>74</v>
      </c>
      <c r="T377" t="s">
        <v>74</v>
      </c>
      <c r="U377" t="s">
        <v>74</v>
      </c>
      <c r="V377" t="s">
        <v>74</v>
      </c>
      <c r="W377" t="s">
        <v>5741</v>
      </c>
      <c r="X377" t="s">
        <v>5742</v>
      </c>
      <c r="Y377" t="s">
        <v>5743</v>
      </c>
      <c r="Z377" t="s">
        <v>4563</v>
      </c>
      <c r="AA377" t="s">
        <v>5744</v>
      </c>
      <c r="AB377" t="s">
        <v>5745</v>
      </c>
      <c r="AC377" t="s">
        <v>5746</v>
      </c>
      <c r="AD377" t="s">
        <v>5746</v>
      </c>
      <c r="AE377" t="s">
        <v>5747</v>
      </c>
      <c r="AF377" t="s">
        <v>74</v>
      </c>
      <c r="AG377">
        <v>19</v>
      </c>
      <c r="AH377">
        <v>65</v>
      </c>
      <c r="AI377">
        <v>73</v>
      </c>
      <c r="AJ377">
        <v>0</v>
      </c>
      <c r="AK377">
        <v>26</v>
      </c>
      <c r="AL377" t="s">
        <v>169</v>
      </c>
      <c r="AM377" t="s">
        <v>170</v>
      </c>
      <c r="AN377" t="s">
        <v>171</v>
      </c>
      <c r="AO377" t="s">
        <v>5636</v>
      </c>
      <c r="AP377" t="s">
        <v>5637</v>
      </c>
      <c r="AQ377" t="s">
        <v>74</v>
      </c>
      <c r="AR377" t="s">
        <v>5624</v>
      </c>
      <c r="AS377" t="s">
        <v>601</v>
      </c>
      <c r="AT377" t="s">
        <v>98</v>
      </c>
      <c r="AU377">
        <v>2021</v>
      </c>
      <c r="AV377">
        <v>76</v>
      </c>
      <c r="AW377">
        <v>3</v>
      </c>
      <c r="AX377" t="s">
        <v>74</v>
      </c>
      <c r="AY377" t="s">
        <v>74</v>
      </c>
      <c r="AZ377" t="s">
        <v>1080</v>
      </c>
      <c r="BA377" t="s">
        <v>74</v>
      </c>
      <c r="BB377">
        <v>689</v>
      </c>
      <c r="BC377">
        <v>697</v>
      </c>
      <c r="BD377" t="s">
        <v>74</v>
      </c>
      <c r="BE377" t="s">
        <v>5748</v>
      </c>
      <c r="BF377" t="str">
        <f>HYPERLINK("http://dx.doi.org/10.1111/all.14471","http://dx.doi.org/10.1111/all.14471")</f>
        <v>http://dx.doi.org/10.1111/all.14471</v>
      </c>
      <c r="BG377" t="s">
        <v>74</v>
      </c>
      <c r="BH377" t="s">
        <v>5749</v>
      </c>
      <c r="BI377">
        <v>9</v>
      </c>
      <c r="BJ377" t="s">
        <v>3085</v>
      </c>
      <c r="BK377" t="s">
        <v>101</v>
      </c>
      <c r="BL377" t="s">
        <v>3085</v>
      </c>
      <c r="BM377" t="s">
        <v>5750</v>
      </c>
      <c r="BN377">
        <v>32588922</v>
      </c>
      <c r="BO377" t="s">
        <v>246</v>
      </c>
      <c r="BP377" t="s">
        <v>74</v>
      </c>
      <c r="BQ377" t="s">
        <v>74</v>
      </c>
      <c r="BR377" t="s">
        <v>104</v>
      </c>
      <c r="BS377" t="s">
        <v>5751</v>
      </c>
      <c r="BT377" t="str">
        <f>HYPERLINK("https%3A%2F%2Fwww.webofscience.com%2Fwos%2Fwoscc%2Ffull-record%2FWOS:000571269800001","View Full Record in Web of Science")</f>
        <v>View Full Record in Web of Science</v>
      </c>
    </row>
    <row r="378" spans="1:72" x14ac:dyDescent="0.25">
      <c r="A378" t="s">
        <v>72</v>
      </c>
      <c r="B378" t="s">
        <v>5752</v>
      </c>
      <c r="C378" t="s">
        <v>74</v>
      </c>
      <c r="D378" t="s">
        <v>74</v>
      </c>
      <c r="E378" t="s">
        <v>74</v>
      </c>
      <c r="F378" t="s">
        <v>5753</v>
      </c>
      <c r="G378" t="s">
        <v>74</v>
      </c>
      <c r="H378" t="s">
        <v>5754</v>
      </c>
      <c r="I378" t="s">
        <v>5755</v>
      </c>
      <c r="J378" t="s">
        <v>5624</v>
      </c>
      <c r="K378" t="s">
        <v>74</v>
      </c>
      <c r="L378" t="s">
        <v>74</v>
      </c>
      <c r="M378" t="s">
        <v>78</v>
      </c>
      <c r="N378" t="s">
        <v>299</v>
      </c>
      <c r="O378" t="s">
        <v>74</v>
      </c>
      <c r="P378" t="s">
        <v>74</v>
      </c>
      <c r="Q378" t="s">
        <v>74</v>
      </c>
      <c r="R378" t="s">
        <v>74</v>
      </c>
      <c r="S378" t="s">
        <v>74</v>
      </c>
      <c r="T378" t="s">
        <v>5756</v>
      </c>
      <c r="U378" t="s">
        <v>5757</v>
      </c>
      <c r="V378" t="s">
        <v>5758</v>
      </c>
      <c r="W378" t="s">
        <v>5759</v>
      </c>
      <c r="X378" t="s">
        <v>5760</v>
      </c>
      <c r="Y378" t="s">
        <v>5761</v>
      </c>
      <c r="Z378" t="s">
        <v>4563</v>
      </c>
      <c r="AA378" t="s">
        <v>5762</v>
      </c>
      <c r="AB378" t="s">
        <v>5763</v>
      </c>
      <c r="AC378" t="s">
        <v>74</v>
      </c>
      <c r="AD378" t="s">
        <v>74</v>
      </c>
      <c r="AE378" t="s">
        <v>74</v>
      </c>
      <c r="AF378" t="s">
        <v>74</v>
      </c>
      <c r="AG378">
        <v>155</v>
      </c>
      <c r="AH378">
        <v>103</v>
      </c>
      <c r="AI378">
        <v>106</v>
      </c>
      <c r="AJ378">
        <v>3</v>
      </c>
      <c r="AK378">
        <v>84</v>
      </c>
      <c r="AL378" t="s">
        <v>169</v>
      </c>
      <c r="AM378" t="s">
        <v>170</v>
      </c>
      <c r="AN378" t="s">
        <v>171</v>
      </c>
      <c r="AO378" t="s">
        <v>5636</v>
      </c>
      <c r="AP378" t="s">
        <v>5637</v>
      </c>
      <c r="AQ378" t="s">
        <v>74</v>
      </c>
      <c r="AR378" t="s">
        <v>5624</v>
      </c>
      <c r="AS378" t="s">
        <v>601</v>
      </c>
      <c r="AT378" t="s">
        <v>98</v>
      </c>
      <c r="AU378">
        <v>2021</v>
      </c>
      <c r="AV378">
        <v>76</v>
      </c>
      <c r="AW378">
        <v>3</v>
      </c>
      <c r="AX378" t="s">
        <v>74</v>
      </c>
      <c r="AY378" t="s">
        <v>74</v>
      </c>
      <c r="AZ378" t="s">
        <v>1080</v>
      </c>
      <c r="BA378" t="s">
        <v>74</v>
      </c>
      <c r="BB378">
        <v>735</v>
      </c>
      <c r="BC378">
        <v>750</v>
      </c>
      <c r="BD378" t="s">
        <v>74</v>
      </c>
      <c r="BE378" t="s">
        <v>5764</v>
      </c>
      <c r="BF378" t="str">
        <f>HYPERLINK("http://dx.doi.org/10.1111/all.14549","http://dx.doi.org/10.1111/all.14549")</f>
        <v>http://dx.doi.org/10.1111/all.14549</v>
      </c>
      <c r="BG378" t="s">
        <v>74</v>
      </c>
      <c r="BH378" t="s">
        <v>5749</v>
      </c>
      <c r="BI378">
        <v>16</v>
      </c>
      <c r="BJ378" t="s">
        <v>3085</v>
      </c>
      <c r="BK378" t="s">
        <v>101</v>
      </c>
      <c r="BL378" t="s">
        <v>3085</v>
      </c>
      <c r="BM378" t="s">
        <v>5750</v>
      </c>
      <c r="BN378">
        <v>32762135</v>
      </c>
      <c r="BO378" t="s">
        <v>5765</v>
      </c>
      <c r="BP378" t="s">
        <v>74</v>
      </c>
      <c r="BQ378" t="s">
        <v>74</v>
      </c>
      <c r="BR378" t="s">
        <v>104</v>
      </c>
      <c r="BS378" t="s">
        <v>5766</v>
      </c>
      <c r="BT378" t="str">
        <f>HYPERLINK("https%3A%2F%2Fwww.webofscience.com%2Fwos%2Fwoscc%2Ffull-record%2FWOS:000569812500001","View Full Record in Web of Science")</f>
        <v>View Full Record in Web of Science</v>
      </c>
    </row>
    <row r="379" spans="1:72" x14ac:dyDescent="0.25">
      <c r="A379" t="s">
        <v>72</v>
      </c>
      <c r="B379" t="s">
        <v>5767</v>
      </c>
      <c r="C379" t="s">
        <v>74</v>
      </c>
      <c r="D379" t="s">
        <v>74</v>
      </c>
      <c r="E379" t="s">
        <v>74</v>
      </c>
      <c r="F379" t="s">
        <v>5768</v>
      </c>
      <c r="G379" t="s">
        <v>74</v>
      </c>
      <c r="H379" t="s">
        <v>74</v>
      </c>
      <c r="I379" t="s">
        <v>5769</v>
      </c>
      <c r="J379" t="s">
        <v>637</v>
      </c>
      <c r="K379" t="s">
        <v>74</v>
      </c>
      <c r="L379" t="s">
        <v>74</v>
      </c>
      <c r="M379" t="s">
        <v>78</v>
      </c>
      <c r="N379" t="s">
        <v>79</v>
      </c>
      <c r="O379" t="s">
        <v>74</v>
      </c>
      <c r="P379" t="s">
        <v>74</v>
      </c>
      <c r="Q379" t="s">
        <v>74</v>
      </c>
      <c r="R379" t="s">
        <v>74</v>
      </c>
      <c r="S379" t="s">
        <v>74</v>
      </c>
      <c r="T379" t="s">
        <v>5770</v>
      </c>
      <c r="U379" t="s">
        <v>5771</v>
      </c>
      <c r="V379" t="s">
        <v>5772</v>
      </c>
      <c r="W379" t="s">
        <v>5773</v>
      </c>
      <c r="X379" t="s">
        <v>5774</v>
      </c>
      <c r="Y379" t="s">
        <v>1754</v>
      </c>
      <c r="Z379" t="s">
        <v>331</v>
      </c>
      <c r="AA379" t="s">
        <v>5775</v>
      </c>
      <c r="AB379" t="s">
        <v>5776</v>
      </c>
      <c r="AC379" t="s">
        <v>74</v>
      </c>
      <c r="AD379" t="s">
        <v>74</v>
      </c>
      <c r="AE379" t="s">
        <v>74</v>
      </c>
      <c r="AF379" t="s">
        <v>74</v>
      </c>
      <c r="AG379">
        <v>39</v>
      </c>
      <c r="AH379">
        <v>17</v>
      </c>
      <c r="AI379">
        <v>17</v>
      </c>
      <c r="AJ379">
        <v>0</v>
      </c>
      <c r="AK379">
        <v>4</v>
      </c>
      <c r="AL379" t="s">
        <v>649</v>
      </c>
      <c r="AM379" t="s">
        <v>486</v>
      </c>
      <c r="AN379" t="s">
        <v>650</v>
      </c>
      <c r="AO379" t="s">
        <v>651</v>
      </c>
      <c r="AP379" t="s">
        <v>652</v>
      </c>
      <c r="AQ379" t="s">
        <v>74</v>
      </c>
      <c r="AR379" t="s">
        <v>653</v>
      </c>
      <c r="AS379" t="s">
        <v>654</v>
      </c>
      <c r="AT379" t="s">
        <v>5777</v>
      </c>
      <c r="AU379">
        <v>2020</v>
      </c>
      <c r="AV379">
        <v>202</v>
      </c>
      <c r="AW379">
        <v>6</v>
      </c>
      <c r="AX379" t="s">
        <v>74</v>
      </c>
      <c r="AY379" t="s">
        <v>74</v>
      </c>
      <c r="AZ379" t="s">
        <v>74</v>
      </c>
      <c r="BA379" t="s">
        <v>74</v>
      </c>
      <c r="BB379">
        <v>843</v>
      </c>
      <c r="BC379">
        <v>852</v>
      </c>
      <c r="BD379" t="s">
        <v>74</v>
      </c>
      <c r="BE379" t="s">
        <v>5778</v>
      </c>
      <c r="BF379" t="str">
        <f>HYPERLINK("http://dx.doi.org/10.1164/rccm.202001-0105OC","http://dx.doi.org/10.1164/rccm.202001-0105OC")</f>
        <v>http://dx.doi.org/10.1164/rccm.202001-0105OC</v>
      </c>
      <c r="BG379" t="s">
        <v>74</v>
      </c>
      <c r="BH379" t="s">
        <v>74</v>
      </c>
      <c r="BI379">
        <v>10</v>
      </c>
      <c r="BJ379" t="s">
        <v>341</v>
      </c>
      <c r="BK379" t="s">
        <v>101</v>
      </c>
      <c r="BL379" t="s">
        <v>342</v>
      </c>
      <c r="BM379" t="s">
        <v>5779</v>
      </c>
      <c r="BN379">
        <v>32437637</v>
      </c>
      <c r="BO379" t="s">
        <v>74</v>
      </c>
      <c r="BP379" t="s">
        <v>74</v>
      </c>
      <c r="BQ379" t="s">
        <v>74</v>
      </c>
      <c r="BR379" t="s">
        <v>104</v>
      </c>
      <c r="BS379" t="s">
        <v>5780</v>
      </c>
      <c r="BT379" t="str">
        <f>HYPERLINK("https%3A%2F%2Fwww.webofscience.com%2Fwos%2Fwoscc%2Ffull-record%2FWOS:000571994000014","View Full Record in Web of Science")</f>
        <v>View Full Record in Web of Science</v>
      </c>
    </row>
    <row r="380" spans="1:72" x14ac:dyDescent="0.25">
      <c r="A380" t="s">
        <v>72</v>
      </c>
      <c r="B380" t="s">
        <v>5781</v>
      </c>
      <c r="C380" t="s">
        <v>74</v>
      </c>
      <c r="D380" t="s">
        <v>74</v>
      </c>
      <c r="E380" t="s">
        <v>74</v>
      </c>
      <c r="F380" t="s">
        <v>5782</v>
      </c>
      <c r="G380" t="s">
        <v>74</v>
      </c>
      <c r="H380" t="s">
        <v>74</v>
      </c>
      <c r="I380" t="s">
        <v>5783</v>
      </c>
      <c r="J380" t="s">
        <v>216</v>
      </c>
      <c r="K380" t="s">
        <v>74</v>
      </c>
      <c r="L380" t="s">
        <v>74</v>
      </c>
      <c r="M380" t="s">
        <v>78</v>
      </c>
      <c r="N380" t="s">
        <v>52</v>
      </c>
      <c r="O380" t="s">
        <v>74</v>
      </c>
      <c r="P380" t="s">
        <v>74</v>
      </c>
      <c r="Q380" t="s">
        <v>74</v>
      </c>
      <c r="R380" t="s">
        <v>74</v>
      </c>
      <c r="S380" t="s">
        <v>74</v>
      </c>
      <c r="T380" t="s">
        <v>1585</v>
      </c>
      <c r="U380" t="s">
        <v>74</v>
      </c>
      <c r="V380" t="s">
        <v>74</v>
      </c>
      <c r="W380" t="s">
        <v>5784</v>
      </c>
      <c r="X380" t="s">
        <v>5785</v>
      </c>
      <c r="Y380" t="s">
        <v>74</v>
      </c>
      <c r="Z380" t="s">
        <v>5786</v>
      </c>
      <c r="AA380" t="s">
        <v>5787</v>
      </c>
      <c r="AB380" t="s">
        <v>74</v>
      </c>
      <c r="AC380" t="s">
        <v>4874</v>
      </c>
      <c r="AD380" t="s">
        <v>4875</v>
      </c>
      <c r="AE380" t="s">
        <v>5788</v>
      </c>
      <c r="AF380" t="s">
        <v>74</v>
      </c>
      <c r="AG380">
        <v>0</v>
      </c>
      <c r="AH380">
        <v>5</v>
      </c>
      <c r="AI380">
        <v>5</v>
      </c>
      <c r="AJ380">
        <v>0</v>
      </c>
      <c r="AK380">
        <v>1</v>
      </c>
      <c r="AL380" t="s">
        <v>219</v>
      </c>
      <c r="AM380" t="s">
        <v>220</v>
      </c>
      <c r="AN380" t="s">
        <v>221</v>
      </c>
      <c r="AO380" t="s">
        <v>222</v>
      </c>
      <c r="AP380" t="s">
        <v>223</v>
      </c>
      <c r="AQ380" t="s">
        <v>74</v>
      </c>
      <c r="AR380" t="s">
        <v>224</v>
      </c>
      <c r="AS380" t="s">
        <v>225</v>
      </c>
      <c r="AT380" t="s">
        <v>5789</v>
      </c>
      <c r="AU380">
        <v>2020</v>
      </c>
      <c r="AV380">
        <v>56</v>
      </c>
      <c r="AW380" t="s">
        <v>74</v>
      </c>
      <c r="AX380" t="s">
        <v>74</v>
      </c>
      <c r="AY380">
        <v>64</v>
      </c>
      <c r="AZ380" t="s">
        <v>74</v>
      </c>
      <c r="BA380">
        <v>5280</v>
      </c>
      <c r="BB380" t="s">
        <v>74</v>
      </c>
      <c r="BC380" t="s">
        <v>74</v>
      </c>
      <c r="BD380" t="s">
        <v>74</v>
      </c>
      <c r="BE380" t="s">
        <v>5790</v>
      </c>
      <c r="BF380" t="str">
        <f>HYPERLINK("http://dx.doi.org/10.1183/13993003.congress-2020.5280","http://dx.doi.org/10.1183/13993003.congress-2020.5280")</f>
        <v>http://dx.doi.org/10.1183/13993003.congress-2020.5280</v>
      </c>
      <c r="BG380" t="s">
        <v>74</v>
      </c>
      <c r="BH380" t="s">
        <v>74</v>
      </c>
      <c r="BI380">
        <v>3</v>
      </c>
      <c r="BJ380" t="s">
        <v>228</v>
      </c>
      <c r="BK380" t="s">
        <v>101</v>
      </c>
      <c r="BL380" t="s">
        <v>228</v>
      </c>
      <c r="BM380" t="s">
        <v>5791</v>
      </c>
      <c r="BN380" t="s">
        <v>74</v>
      </c>
      <c r="BO380" t="s">
        <v>74</v>
      </c>
      <c r="BP380" t="s">
        <v>74</v>
      </c>
      <c r="BQ380" t="s">
        <v>74</v>
      </c>
      <c r="BR380" t="s">
        <v>104</v>
      </c>
      <c r="BS380" t="s">
        <v>5792</v>
      </c>
      <c r="BT380" t="str">
        <f>HYPERLINK("https%3A%2F%2Fwww.webofscience.com%2Fwos%2Fwoscc%2Ffull-record%2FWOS:000606501408178","View Full Record in Web of Science")</f>
        <v>View Full Record in Web of Science</v>
      </c>
    </row>
    <row r="381" spans="1:72" x14ac:dyDescent="0.25">
      <c r="A381" t="s">
        <v>72</v>
      </c>
      <c r="B381" t="s">
        <v>5793</v>
      </c>
      <c r="C381" t="s">
        <v>74</v>
      </c>
      <c r="D381" t="s">
        <v>74</v>
      </c>
      <c r="E381" t="s">
        <v>74</v>
      </c>
      <c r="F381" t="s">
        <v>5794</v>
      </c>
      <c r="G381" t="s">
        <v>74</v>
      </c>
      <c r="H381" t="s">
        <v>74</v>
      </c>
      <c r="I381" t="s">
        <v>5795</v>
      </c>
      <c r="J381" t="s">
        <v>216</v>
      </c>
      <c r="K381" t="s">
        <v>74</v>
      </c>
      <c r="L381" t="s">
        <v>74</v>
      </c>
      <c r="M381" t="s">
        <v>78</v>
      </c>
      <c r="N381" t="s">
        <v>52</v>
      </c>
      <c r="O381" t="s">
        <v>74</v>
      </c>
      <c r="P381" t="s">
        <v>74</v>
      </c>
      <c r="Q381" t="s">
        <v>74</v>
      </c>
      <c r="R381" t="s">
        <v>74</v>
      </c>
      <c r="S381" t="s">
        <v>74</v>
      </c>
      <c r="T381" t="s">
        <v>5796</v>
      </c>
      <c r="U381" t="s">
        <v>74</v>
      </c>
      <c r="V381" t="s">
        <v>74</v>
      </c>
      <c r="W381" t="s">
        <v>5797</v>
      </c>
      <c r="X381" t="s">
        <v>5798</v>
      </c>
      <c r="Y381" t="s">
        <v>74</v>
      </c>
      <c r="Z381" t="s">
        <v>2009</v>
      </c>
      <c r="AA381" t="s">
        <v>5799</v>
      </c>
      <c r="AB381" t="s">
        <v>74</v>
      </c>
      <c r="AC381" t="s">
        <v>74</v>
      </c>
      <c r="AD381" t="s">
        <v>74</v>
      </c>
      <c r="AE381" t="s">
        <v>74</v>
      </c>
      <c r="AF381" t="s">
        <v>74</v>
      </c>
      <c r="AG381">
        <v>0</v>
      </c>
      <c r="AH381">
        <v>0</v>
      </c>
      <c r="AI381">
        <v>0</v>
      </c>
      <c r="AJ381">
        <v>0</v>
      </c>
      <c r="AK381">
        <v>1</v>
      </c>
      <c r="AL381" t="s">
        <v>219</v>
      </c>
      <c r="AM381" t="s">
        <v>220</v>
      </c>
      <c r="AN381" t="s">
        <v>221</v>
      </c>
      <c r="AO381" t="s">
        <v>222</v>
      </c>
      <c r="AP381" t="s">
        <v>223</v>
      </c>
      <c r="AQ381" t="s">
        <v>74</v>
      </c>
      <c r="AR381" t="s">
        <v>224</v>
      </c>
      <c r="AS381" t="s">
        <v>225</v>
      </c>
      <c r="AT381" t="s">
        <v>5789</v>
      </c>
      <c r="AU381">
        <v>2020</v>
      </c>
      <c r="AV381">
        <v>56</v>
      </c>
      <c r="AW381" t="s">
        <v>74</v>
      </c>
      <c r="AX381" t="s">
        <v>74</v>
      </c>
      <c r="AY381">
        <v>64</v>
      </c>
      <c r="AZ381" t="s">
        <v>74</v>
      </c>
      <c r="BA381">
        <v>3558</v>
      </c>
      <c r="BB381" t="s">
        <v>74</v>
      </c>
      <c r="BC381" t="s">
        <v>74</v>
      </c>
      <c r="BD381" t="s">
        <v>74</v>
      </c>
      <c r="BE381" t="s">
        <v>5800</v>
      </c>
      <c r="BF381" t="str">
        <f>HYPERLINK("http://dx.doi.org/10.1183/13993003.congress-2020.3558","http://dx.doi.org/10.1183/13993003.congress-2020.3558")</f>
        <v>http://dx.doi.org/10.1183/13993003.congress-2020.3558</v>
      </c>
      <c r="BG381" t="s">
        <v>74</v>
      </c>
      <c r="BH381" t="s">
        <v>74</v>
      </c>
      <c r="BI381">
        <v>2</v>
      </c>
      <c r="BJ381" t="s">
        <v>228</v>
      </c>
      <c r="BK381" t="s">
        <v>101</v>
      </c>
      <c r="BL381" t="s">
        <v>228</v>
      </c>
      <c r="BM381" t="s">
        <v>5791</v>
      </c>
      <c r="BN381" t="s">
        <v>74</v>
      </c>
      <c r="BO381" t="s">
        <v>74</v>
      </c>
      <c r="BP381" t="s">
        <v>74</v>
      </c>
      <c r="BQ381" t="s">
        <v>74</v>
      </c>
      <c r="BR381" t="s">
        <v>104</v>
      </c>
      <c r="BS381" t="s">
        <v>5801</v>
      </c>
      <c r="BT381" t="str">
        <f>HYPERLINK("https%3A%2F%2Fwww.webofscience.com%2Fwos%2Fwoscc%2Ffull-record%2FWOS:000606501407089","View Full Record in Web of Science")</f>
        <v>View Full Record in Web of Science</v>
      </c>
    </row>
    <row r="382" spans="1:72" x14ac:dyDescent="0.25">
      <c r="A382" t="s">
        <v>72</v>
      </c>
      <c r="B382" t="s">
        <v>5802</v>
      </c>
      <c r="C382" t="s">
        <v>74</v>
      </c>
      <c r="D382" t="s">
        <v>74</v>
      </c>
      <c r="E382" t="s">
        <v>74</v>
      </c>
      <c r="F382" t="s">
        <v>5803</v>
      </c>
      <c r="G382" t="s">
        <v>74</v>
      </c>
      <c r="H382" t="s">
        <v>74</v>
      </c>
      <c r="I382" t="s">
        <v>5804</v>
      </c>
      <c r="J382" t="s">
        <v>216</v>
      </c>
      <c r="K382" t="s">
        <v>74</v>
      </c>
      <c r="L382" t="s">
        <v>74</v>
      </c>
      <c r="M382" t="s">
        <v>78</v>
      </c>
      <c r="N382" t="s">
        <v>52</v>
      </c>
      <c r="O382" t="s">
        <v>74</v>
      </c>
      <c r="P382" t="s">
        <v>74</v>
      </c>
      <c r="Q382" t="s">
        <v>74</v>
      </c>
      <c r="R382" t="s">
        <v>74</v>
      </c>
      <c r="S382" t="s">
        <v>74</v>
      </c>
      <c r="T382" t="s">
        <v>5805</v>
      </c>
      <c r="U382" t="s">
        <v>74</v>
      </c>
      <c r="V382" t="s">
        <v>74</v>
      </c>
      <c r="W382" t="s">
        <v>5806</v>
      </c>
      <c r="X382" t="s">
        <v>5807</v>
      </c>
      <c r="Y382" t="s">
        <v>74</v>
      </c>
      <c r="Z382" t="s">
        <v>508</v>
      </c>
      <c r="AA382" t="s">
        <v>5808</v>
      </c>
      <c r="AB382" t="s">
        <v>5709</v>
      </c>
      <c r="AC382" t="s">
        <v>74</v>
      </c>
      <c r="AD382" t="s">
        <v>74</v>
      </c>
      <c r="AE382" t="s">
        <v>74</v>
      </c>
      <c r="AF382" t="s">
        <v>74</v>
      </c>
      <c r="AG382">
        <v>0</v>
      </c>
      <c r="AH382">
        <v>0</v>
      </c>
      <c r="AI382">
        <v>0</v>
      </c>
      <c r="AJ382">
        <v>0</v>
      </c>
      <c r="AK382">
        <v>4</v>
      </c>
      <c r="AL382" t="s">
        <v>219</v>
      </c>
      <c r="AM382" t="s">
        <v>220</v>
      </c>
      <c r="AN382" t="s">
        <v>221</v>
      </c>
      <c r="AO382" t="s">
        <v>222</v>
      </c>
      <c r="AP382" t="s">
        <v>223</v>
      </c>
      <c r="AQ382" t="s">
        <v>74</v>
      </c>
      <c r="AR382" t="s">
        <v>224</v>
      </c>
      <c r="AS382" t="s">
        <v>225</v>
      </c>
      <c r="AT382" t="s">
        <v>5789</v>
      </c>
      <c r="AU382">
        <v>2020</v>
      </c>
      <c r="AV382">
        <v>56</v>
      </c>
      <c r="AW382" t="s">
        <v>74</v>
      </c>
      <c r="AX382" t="s">
        <v>74</v>
      </c>
      <c r="AY382">
        <v>64</v>
      </c>
      <c r="AZ382" t="s">
        <v>74</v>
      </c>
      <c r="BA382">
        <v>3970</v>
      </c>
      <c r="BB382" t="s">
        <v>74</v>
      </c>
      <c r="BC382" t="s">
        <v>74</v>
      </c>
      <c r="BD382" t="s">
        <v>74</v>
      </c>
      <c r="BE382" t="s">
        <v>5809</v>
      </c>
      <c r="BF382" t="str">
        <f>HYPERLINK("http://dx.doi.org/10.1183/13993003.congress-2020.3970","http://dx.doi.org/10.1183/13993003.congress-2020.3970")</f>
        <v>http://dx.doi.org/10.1183/13993003.congress-2020.3970</v>
      </c>
      <c r="BG382" t="s">
        <v>74</v>
      </c>
      <c r="BH382" t="s">
        <v>74</v>
      </c>
      <c r="BI382">
        <v>3</v>
      </c>
      <c r="BJ382" t="s">
        <v>228</v>
      </c>
      <c r="BK382" t="s">
        <v>101</v>
      </c>
      <c r="BL382" t="s">
        <v>228</v>
      </c>
      <c r="BM382" t="s">
        <v>5791</v>
      </c>
      <c r="BN382" t="s">
        <v>74</v>
      </c>
      <c r="BO382" t="s">
        <v>74</v>
      </c>
      <c r="BP382" t="s">
        <v>74</v>
      </c>
      <c r="BQ382" t="s">
        <v>74</v>
      </c>
      <c r="BR382" t="s">
        <v>104</v>
      </c>
      <c r="BS382" t="s">
        <v>5810</v>
      </c>
      <c r="BT382" t="str">
        <f>HYPERLINK("https%3A%2F%2Fwww.webofscience.com%2Fwos%2Fwoscc%2Ffull-record%2FWOS:000606501407225","View Full Record in Web of Science")</f>
        <v>View Full Record in Web of Science</v>
      </c>
    </row>
    <row r="383" spans="1:72" x14ac:dyDescent="0.25">
      <c r="A383" t="s">
        <v>72</v>
      </c>
      <c r="B383" t="s">
        <v>4831</v>
      </c>
      <c r="C383" t="s">
        <v>74</v>
      </c>
      <c r="D383" t="s">
        <v>74</v>
      </c>
      <c r="E383" t="s">
        <v>74</v>
      </c>
      <c r="F383" t="s">
        <v>5811</v>
      </c>
      <c r="G383" t="s">
        <v>74</v>
      </c>
      <c r="H383" t="s">
        <v>74</v>
      </c>
      <c r="I383" t="s">
        <v>5812</v>
      </c>
      <c r="J383" t="s">
        <v>216</v>
      </c>
      <c r="K383" t="s">
        <v>74</v>
      </c>
      <c r="L383" t="s">
        <v>74</v>
      </c>
      <c r="M383" t="s">
        <v>78</v>
      </c>
      <c r="N383" t="s">
        <v>52</v>
      </c>
      <c r="O383" t="s">
        <v>74</v>
      </c>
      <c r="P383" t="s">
        <v>74</v>
      </c>
      <c r="Q383" t="s">
        <v>74</v>
      </c>
      <c r="R383" t="s">
        <v>74</v>
      </c>
      <c r="S383" t="s">
        <v>74</v>
      </c>
      <c r="T383" t="s">
        <v>1226</v>
      </c>
      <c r="U383" t="s">
        <v>74</v>
      </c>
      <c r="V383" t="s">
        <v>74</v>
      </c>
      <c r="W383" t="s">
        <v>5813</v>
      </c>
      <c r="X383" t="s">
        <v>5814</v>
      </c>
      <c r="Y383" t="s">
        <v>74</v>
      </c>
      <c r="Z383" t="s">
        <v>820</v>
      </c>
      <c r="AA383" t="s">
        <v>5815</v>
      </c>
      <c r="AB383" t="s">
        <v>74</v>
      </c>
      <c r="AC383" t="s">
        <v>74</v>
      </c>
      <c r="AD383" t="s">
        <v>74</v>
      </c>
      <c r="AE383" t="s">
        <v>74</v>
      </c>
      <c r="AF383" t="s">
        <v>74</v>
      </c>
      <c r="AG383">
        <v>0</v>
      </c>
      <c r="AH383">
        <v>0</v>
      </c>
      <c r="AI383">
        <v>0</v>
      </c>
      <c r="AJ383">
        <v>0</v>
      </c>
      <c r="AK383">
        <v>3</v>
      </c>
      <c r="AL383" t="s">
        <v>219</v>
      </c>
      <c r="AM383" t="s">
        <v>220</v>
      </c>
      <c r="AN383" t="s">
        <v>221</v>
      </c>
      <c r="AO383" t="s">
        <v>222</v>
      </c>
      <c r="AP383" t="s">
        <v>223</v>
      </c>
      <c r="AQ383" t="s">
        <v>74</v>
      </c>
      <c r="AR383" t="s">
        <v>224</v>
      </c>
      <c r="AS383" t="s">
        <v>225</v>
      </c>
      <c r="AT383" t="s">
        <v>5789</v>
      </c>
      <c r="AU383">
        <v>2020</v>
      </c>
      <c r="AV383">
        <v>56</v>
      </c>
      <c r="AW383" t="s">
        <v>74</v>
      </c>
      <c r="AX383" t="s">
        <v>74</v>
      </c>
      <c r="AY383">
        <v>64</v>
      </c>
      <c r="AZ383" t="s">
        <v>74</v>
      </c>
      <c r="BA383">
        <v>1482</v>
      </c>
      <c r="BB383" t="s">
        <v>74</v>
      </c>
      <c r="BC383" t="s">
        <v>74</v>
      </c>
      <c r="BD383" t="s">
        <v>74</v>
      </c>
      <c r="BE383" t="s">
        <v>5816</v>
      </c>
      <c r="BF383" t="str">
        <f>HYPERLINK("http://dx.doi.org/10.1183/13993003.congress-2020.1482","http://dx.doi.org/10.1183/13993003.congress-2020.1482")</f>
        <v>http://dx.doi.org/10.1183/13993003.congress-2020.1482</v>
      </c>
      <c r="BG383" t="s">
        <v>74</v>
      </c>
      <c r="BH383" t="s">
        <v>74</v>
      </c>
      <c r="BI383">
        <v>2</v>
      </c>
      <c r="BJ383" t="s">
        <v>228</v>
      </c>
      <c r="BK383" t="s">
        <v>101</v>
      </c>
      <c r="BL383" t="s">
        <v>228</v>
      </c>
      <c r="BM383" t="s">
        <v>5791</v>
      </c>
      <c r="BN383" t="s">
        <v>74</v>
      </c>
      <c r="BO383" t="s">
        <v>612</v>
      </c>
      <c r="BP383" t="s">
        <v>74</v>
      </c>
      <c r="BQ383" t="s">
        <v>74</v>
      </c>
      <c r="BR383" t="s">
        <v>104</v>
      </c>
      <c r="BS383" t="s">
        <v>5817</v>
      </c>
      <c r="BT383" t="str">
        <f>HYPERLINK("https%3A%2F%2Fwww.webofscience.com%2Fwos%2Fwoscc%2Ffull-record%2FWOS:000606501402448","View Full Record in Web of Science")</f>
        <v>View Full Record in Web of Science</v>
      </c>
    </row>
    <row r="384" spans="1:72" x14ac:dyDescent="0.25">
      <c r="A384" t="s">
        <v>72</v>
      </c>
      <c r="B384" t="s">
        <v>5818</v>
      </c>
      <c r="C384" t="s">
        <v>74</v>
      </c>
      <c r="D384" t="s">
        <v>74</v>
      </c>
      <c r="E384" t="s">
        <v>74</v>
      </c>
      <c r="F384" t="s">
        <v>5819</v>
      </c>
      <c r="G384" t="s">
        <v>74</v>
      </c>
      <c r="H384" t="s">
        <v>74</v>
      </c>
      <c r="I384" t="s">
        <v>5820</v>
      </c>
      <c r="J384" t="s">
        <v>216</v>
      </c>
      <c r="K384" t="s">
        <v>74</v>
      </c>
      <c r="L384" t="s">
        <v>74</v>
      </c>
      <c r="M384" t="s">
        <v>78</v>
      </c>
      <c r="N384" t="s">
        <v>52</v>
      </c>
      <c r="O384" t="s">
        <v>74</v>
      </c>
      <c r="P384" t="s">
        <v>74</v>
      </c>
      <c r="Q384" t="s">
        <v>74</v>
      </c>
      <c r="R384" t="s">
        <v>74</v>
      </c>
      <c r="S384" t="s">
        <v>74</v>
      </c>
      <c r="T384" t="s">
        <v>5821</v>
      </c>
      <c r="U384" t="s">
        <v>74</v>
      </c>
      <c r="V384" t="s">
        <v>74</v>
      </c>
      <c r="W384" t="s">
        <v>5822</v>
      </c>
      <c r="X384" t="s">
        <v>5823</v>
      </c>
      <c r="Y384" t="s">
        <v>74</v>
      </c>
      <c r="Z384" t="s">
        <v>5824</v>
      </c>
      <c r="AA384" t="s">
        <v>5825</v>
      </c>
      <c r="AB384" t="s">
        <v>5826</v>
      </c>
      <c r="AC384" t="s">
        <v>74</v>
      </c>
      <c r="AD384" t="s">
        <v>74</v>
      </c>
      <c r="AE384" t="s">
        <v>74</v>
      </c>
      <c r="AF384" t="s">
        <v>74</v>
      </c>
      <c r="AG384">
        <v>0</v>
      </c>
      <c r="AH384">
        <v>1</v>
      </c>
      <c r="AI384">
        <v>1</v>
      </c>
      <c r="AJ384">
        <v>0</v>
      </c>
      <c r="AK384">
        <v>3</v>
      </c>
      <c r="AL384" t="s">
        <v>219</v>
      </c>
      <c r="AM384" t="s">
        <v>220</v>
      </c>
      <c r="AN384" t="s">
        <v>221</v>
      </c>
      <c r="AO384" t="s">
        <v>222</v>
      </c>
      <c r="AP384" t="s">
        <v>223</v>
      </c>
      <c r="AQ384" t="s">
        <v>74</v>
      </c>
      <c r="AR384" t="s">
        <v>224</v>
      </c>
      <c r="AS384" t="s">
        <v>225</v>
      </c>
      <c r="AT384" t="s">
        <v>5789</v>
      </c>
      <c r="AU384">
        <v>2020</v>
      </c>
      <c r="AV384">
        <v>56</v>
      </c>
      <c r="AW384" t="s">
        <v>74</v>
      </c>
      <c r="AX384" t="s">
        <v>74</v>
      </c>
      <c r="AY384">
        <v>64</v>
      </c>
      <c r="AZ384" t="s">
        <v>74</v>
      </c>
      <c r="BA384">
        <v>3549</v>
      </c>
      <c r="BB384" t="s">
        <v>74</v>
      </c>
      <c r="BC384" t="s">
        <v>74</v>
      </c>
      <c r="BD384" t="s">
        <v>74</v>
      </c>
      <c r="BE384" t="s">
        <v>5827</v>
      </c>
      <c r="BF384" t="str">
        <f>HYPERLINK("http://dx.doi.org/10.1183/13993003.congress-2020.3549","http://dx.doi.org/10.1183/13993003.congress-2020.3549")</f>
        <v>http://dx.doi.org/10.1183/13993003.congress-2020.3549</v>
      </c>
      <c r="BG384" t="s">
        <v>74</v>
      </c>
      <c r="BH384" t="s">
        <v>74</v>
      </c>
      <c r="BI384">
        <v>2</v>
      </c>
      <c r="BJ384" t="s">
        <v>228</v>
      </c>
      <c r="BK384" t="s">
        <v>101</v>
      </c>
      <c r="BL384" t="s">
        <v>228</v>
      </c>
      <c r="BM384" t="s">
        <v>5791</v>
      </c>
      <c r="BN384" t="s">
        <v>74</v>
      </c>
      <c r="BO384" t="s">
        <v>74</v>
      </c>
      <c r="BP384" t="s">
        <v>74</v>
      </c>
      <c r="BQ384" t="s">
        <v>74</v>
      </c>
      <c r="BR384" t="s">
        <v>104</v>
      </c>
      <c r="BS384" t="s">
        <v>5828</v>
      </c>
      <c r="BT384" t="str">
        <f>HYPERLINK("https%3A%2F%2Fwww.webofscience.com%2Fwos%2Fwoscc%2Ffull-record%2FWOS:000606501407080","View Full Record in Web of Science")</f>
        <v>View Full Record in Web of Science</v>
      </c>
    </row>
    <row r="385" spans="1:72" x14ac:dyDescent="0.25">
      <c r="A385" t="s">
        <v>72</v>
      </c>
      <c r="B385" t="s">
        <v>5829</v>
      </c>
      <c r="C385" t="s">
        <v>74</v>
      </c>
      <c r="D385" t="s">
        <v>74</v>
      </c>
      <c r="E385" t="s">
        <v>74</v>
      </c>
      <c r="F385" t="s">
        <v>5830</v>
      </c>
      <c r="G385" t="s">
        <v>74</v>
      </c>
      <c r="H385" t="s">
        <v>74</v>
      </c>
      <c r="I385" t="s">
        <v>5831</v>
      </c>
      <c r="J385" t="s">
        <v>216</v>
      </c>
      <c r="K385" t="s">
        <v>74</v>
      </c>
      <c r="L385" t="s">
        <v>74</v>
      </c>
      <c r="M385" t="s">
        <v>78</v>
      </c>
      <c r="N385" t="s">
        <v>52</v>
      </c>
      <c r="O385" t="s">
        <v>74</v>
      </c>
      <c r="P385" t="s">
        <v>74</v>
      </c>
      <c r="Q385" t="s">
        <v>74</v>
      </c>
      <c r="R385" t="s">
        <v>74</v>
      </c>
      <c r="S385" t="s">
        <v>74</v>
      </c>
      <c r="T385" t="s">
        <v>1226</v>
      </c>
      <c r="U385" t="s">
        <v>74</v>
      </c>
      <c r="V385" t="s">
        <v>74</v>
      </c>
      <c r="W385" t="s">
        <v>5832</v>
      </c>
      <c r="X385" t="s">
        <v>5833</v>
      </c>
      <c r="Y385" t="s">
        <v>74</v>
      </c>
      <c r="Z385" t="s">
        <v>5834</v>
      </c>
      <c r="AA385" t="s">
        <v>5835</v>
      </c>
      <c r="AB385" t="s">
        <v>5709</v>
      </c>
      <c r="AC385" t="s">
        <v>74</v>
      </c>
      <c r="AD385" t="s">
        <v>74</v>
      </c>
      <c r="AE385" t="s">
        <v>74</v>
      </c>
      <c r="AF385" t="s">
        <v>74</v>
      </c>
      <c r="AG385">
        <v>0</v>
      </c>
      <c r="AH385">
        <v>0</v>
      </c>
      <c r="AI385">
        <v>0</v>
      </c>
      <c r="AJ385">
        <v>0</v>
      </c>
      <c r="AK385">
        <v>0</v>
      </c>
      <c r="AL385" t="s">
        <v>219</v>
      </c>
      <c r="AM385" t="s">
        <v>220</v>
      </c>
      <c r="AN385" t="s">
        <v>221</v>
      </c>
      <c r="AO385" t="s">
        <v>222</v>
      </c>
      <c r="AP385" t="s">
        <v>223</v>
      </c>
      <c r="AQ385" t="s">
        <v>74</v>
      </c>
      <c r="AR385" t="s">
        <v>224</v>
      </c>
      <c r="AS385" t="s">
        <v>225</v>
      </c>
      <c r="AT385" t="s">
        <v>5789</v>
      </c>
      <c r="AU385">
        <v>2020</v>
      </c>
      <c r="AV385">
        <v>56</v>
      </c>
      <c r="AW385" t="s">
        <v>74</v>
      </c>
      <c r="AX385" t="s">
        <v>74</v>
      </c>
      <c r="AY385">
        <v>64</v>
      </c>
      <c r="AZ385" t="s">
        <v>74</v>
      </c>
      <c r="BA385">
        <v>1510</v>
      </c>
      <c r="BB385" t="s">
        <v>74</v>
      </c>
      <c r="BC385" t="s">
        <v>74</v>
      </c>
      <c r="BD385" t="s">
        <v>74</v>
      </c>
      <c r="BE385" t="s">
        <v>5836</v>
      </c>
      <c r="BF385" t="str">
        <f>HYPERLINK("http://dx.doi.org/10.1183/13993003.congress-2020.1510","http://dx.doi.org/10.1183/13993003.congress-2020.1510")</f>
        <v>http://dx.doi.org/10.1183/13993003.congress-2020.1510</v>
      </c>
      <c r="BG385" t="s">
        <v>74</v>
      </c>
      <c r="BH385" t="s">
        <v>74</v>
      </c>
      <c r="BI385">
        <v>2</v>
      </c>
      <c r="BJ385" t="s">
        <v>228</v>
      </c>
      <c r="BK385" t="s">
        <v>101</v>
      </c>
      <c r="BL385" t="s">
        <v>228</v>
      </c>
      <c r="BM385" t="s">
        <v>5791</v>
      </c>
      <c r="BN385" t="s">
        <v>74</v>
      </c>
      <c r="BO385" t="s">
        <v>74</v>
      </c>
      <c r="BP385" t="s">
        <v>74</v>
      </c>
      <c r="BQ385" t="s">
        <v>74</v>
      </c>
      <c r="BR385" t="s">
        <v>104</v>
      </c>
      <c r="BS385" t="s">
        <v>5837</v>
      </c>
      <c r="BT385" t="str">
        <f>HYPERLINK("https%3A%2F%2Fwww.webofscience.com%2Fwos%2Fwoscc%2Ffull-record%2FWOS:000606501402476","View Full Record in Web of Science")</f>
        <v>View Full Record in Web of Science</v>
      </c>
    </row>
    <row r="386" spans="1:72" x14ac:dyDescent="0.25">
      <c r="A386" t="s">
        <v>72</v>
      </c>
      <c r="B386" t="s">
        <v>5838</v>
      </c>
      <c r="C386" t="s">
        <v>74</v>
      </c>
      <c r="D386" t="s">
        <v>74</v>
      </c>
      <c r="E386" t="s">
        <v>74</v>
      </c>
      <c r="F386" t="s">
        <v>5839</v>
      </c>
      <c r="G386" t="s">
        <v>74</v>
      </c>
      <c r="H386" t="s">
        <v>74</v>
      </c>
      <c r="I386" t="s">
        <v>5840</v>
      </c>
      <c r="J386" t="s">
        <v>216</v>
      </c>
      <c r="K386" t="s">
        <v>74</v>
      </c>
      <c r="L386" t="s">
        <v>74</v>
      </c>
      <c r="M386" t="s">
        <v>78</v>
      </c>
      <c r="N386" t="s">
        <v>52</v>
      </c>
      <c r="O386" t="s">
        <v>74</v>
      </c>
      <c r="P386" t="s">
        <v>74</v>
      </c>
      <c r="Q386" t="s">
        <v>74</v>
      </c>
      <c r="R386" t="s">
        <v>74</v>
      </c>
      <c r="S386" t="s">
        <v>74</v>
      </c>
      <c r="T386" t="s">
        <v>1226</v>
      </c>
      <c r="U386" t="s">
        <v>74</v>
      </c>
      <c r="V386" t="s">
        <v>74</v>
      </c>
      <c r="W386" t="s">
        <v>5841</v>
      </c>
      <c r="X386" t="s">
        <v>5842</v>
      </c>
      <c r="Y386" t="s">
        <v>74</v>
      </c>
      <c r="Z386" t="s">
        <v>1596</v>
      </c>
      <c r="AA386" t="s">
        <v>5843</v>
      </c>
      <c r="AB386" t="s">
        <v>5709</v>
      </c>
      <c r="AC386" t="s">
        <v>74</v>
      </c>
      <c r="AD386" t="s">
        <v>74</v>
      </c>
      <c r="AE386" t="s">
        <v>74</v>
      </c>
      <c r="AF386" t="s">
        <v>74</v>
      </c>
      <c r="AG386">
        <v>0</v>
      </c>
      <c r="AH386">
        <v>0</v>
      </c>
      <c r="AI386">
        <v>0</v>
      </c>
      <c r="AJ386">
        <v>0</v>
      </c>
      <c r="AK386">
        <v>1</v>
      </c>
      <c r="AL386" t="s">
        <v>219</v>
      </c>
      <c r="AM386" t="s">
        <v>220</v>
      </c>
      <c r="AN386" t="s">
        <v>221</v>
      </c>
      <c r="AO386" t="s">
        <v>222</v>
      </c>
      <c r="AP386" t="s">
        <v>223</v>
      </c>
      <c r="AQ386" t="s">
        <v>74</v>
      </c>
      <c r="AR386" t="s">
        <v>224</v>
      </c>
      <c r="AS386" t="s">
        <v>225</v>
      </c>
      <c r="AT386" t="s">
        <v>5789</v>
      </c>
      <c r="AU386">
        <v>2020</v>
      </c>
      <c r="AV386">
        <v>56</v>
      </c>
      <c r="AW386" t="s">
        <v>74</v>
      </c>
      <c r="AX386" t="s">
        <v>74</v>
      </c>
      <c r="AY386">
        <v>64</v>
      </c>
      <c r="AZ386" t="s">
        <v>74</v>
      </c>
      <c r="BA386">
        <v>1539</v>
      </c>
      <c r="BB386" t="s">
        <v>74</v>
      </c>
      <c r="BC386" t="s">
        <v>74</v>
      </c>
      <c r="BD386" t="s">
        <v>74</v>
      </c>
      <c r="BE386" t="s">
        <v>5844</v>
      </c>
      <c r="BF386" t="str">
        <f>HYPERLINK("http://dx.doi.org/10.1183/13993003.congress-2020.1539","http://dx.doi.org/10.1183/13993003.congress-2020.1539")</f>
        <v>http://dx.doi.org/10.1183/13993003.congress-2020.1539</v>
      </c>
      <c r="BG386" t="s">
        <v>74</v>
      </c>
      <c r="BH386" t="s">
        <v>74</v>
      </c>
      <c r="BI386">
        <v>2</v>
      </c>
      <c r="BJ386" t="s">
        <v>228</v>
      </c>
      <c r="BK386" t="s">
        <v>101</v>
      </c>
      <c r="BL386" t="s">
        <v>228</v>
      </c>
      <c r="BM386" t="s">
        <v>5791</v>
      </c>
      <c r="BN386" t="s">
        <v>74</v>
      </c>
      <c r="BO386" t="s">
        <v>74</v>
      </c>
      <c r="BP386" t="s">
        <v>74</v>
      </c>
      <c r="BQ386" t="s">
        <v>74</v>
      </c>
      <c r="BR386" t="s">
        <v>104</v>
      </c>
      <c r="BS386" t="s">
        <v>5845</v>
      </c>
      <c r="BT386" t="str">
        <f>HYPERLINK("https%3A%2F%2Fwww.webofscience.com%2Fwos%2Fwoscc%2Ffull-record%2FWOS:000606501403023","View Full Record in Web of Science")</f>
        <v>View Full Record in Web of Science</v>
      </c>
    </row>
    <row r="387" spans="1:72" x14ac:dyDescent="0.25">
      <c r="A387" t="s">
        <v>72</v>
      </c>
      <c r="B387" t="s">
        <v>5846</v>
      </c>
      <c r="C387" t="s">
        <v>74</v>
      </c>
      <c r="D387" t="s">
        <v>74</v>
      </c>
      <c r="E387" t="s">
        <v>74</v>
      </c>
      <c r="F387" t="s">
        <v>5847</v>
      </c>
      <c r="G387" t="s">
        <v>74</v>
      </c>
      <c r="H387" t="s">
        <v>74</v>
      </c>
      <c r="I387" t="s">
        <v>5848</v>
      </c>
      <c r="J387" t="s">
        <v>216</v>
      </c>
      <c r="K387" t="s">
        <v>74</v>
      </c>
      <c r="L387" t="s">
        <v>74</v>
      </c>
      <c r="M387" t="s">
        <v>78</v>
      </c>
      <c r="N387" t="s">
        <v>52</v>
      </c>
      <c r="O387" t="s">
        <v>74</v>
      </c>
      <c r="P387" t="s">
        <v>74</v>
      </c>
      <c r="Q387" t="s">
        <v>74</v>
      </c>
      <c r="R387" t="s">
        <v>74</v>
      </c>
      <c r="S387" t="s">
        <v>74</v>
      </c>
      <c r="T387" t="s">
        <v>5849</v>
      </c>
      <c r="U387" t="s">
        <v>74</v>
      </c>
      <c r="V387" t="s">
        <v>74</v>
      </c>
      <c r="W387" t="s">
        <v>5850</v>
      </c>
      <c r="X387" t="s">
        <v>5851</v>
      </c>
      <c r="Y387" t="s">
        <v>74</v>
      </c>
      <c r="Z387" t="s">
        <v>4190</v>
      </c>
      <c r="AA387" t="s">
        <v>3154</v>
      </c>
      <c r="AB387" t="s">
        <v>74</v>
      </c>
      <c r="AC387" t="s">
        <v>74</v>
      </c>
      <c r="AD387" t="s">
        <v>74</v>
      </c>
      <c r="AE387" t="s">
        <v>74</v>
      </c>
      <c r="AF387" t="s">
        <v>74</v>
      </c>
      <c r="AG387">
        <v>0</v>
      </c>
      <c r="AH387">
        <v>0</v>
      </c>
      <c r="AI387">
        <v>0</v>
      </c>
      <c r="AJ387">
        <v>0</v>
      </c>
      <c r="AK387">
        <v>3</v>
      </c>
      <c r="AL387" t="s">
        <v>219</v>
      </c>
      <c r="AM387" t="s">
        <v>220</v>
      </c>
      <c r="AN387" t="s">
        <v>221</v>
      </c>
      <c r="AO387" t="s">
        <v>222</v>
      </c>
      <c r="AP387" t="s">
        <v>223</v>
      </c>
      <c r="AQ387" t="s">
        <v>74</v>
      </c>
      <c r="AR387" t="s">
        <v>224</v>
      </c>
      <c r="AS387" t="s">
        <v>225</v>
      </c>
      <c r="AT387" t="s">
        <v>5789</v>
      </c>
      <c r="AU387">
        <v>2020</v>
      </c>
      <c r="AV387">
        <v>56</v>
      </c>
      <c r="AW387" t="s">
        <v>74</v>
      </c>
      <c r="AX387" t="s">
        <v>74</v>
      </c>
      <c r="AY387">
        <v>64</v>
      </c>
      <c r="AZ387" t="s">
        <v>74</v>
      </c>
      <c r="BA387">
        <v>3557</v>
      </c>
      <c r="BB387" t="s">
        <v>74</v>
      </c>
      <c r="BC387" t="s">
        <v>74</v>
      </c>
      <c r="BD387" t="s">
        <v>74</v>
      </c>
      <c r="BE387" t="s">
        <v>5852</v>
      </c>
      <c r="BF387" t="str">
        <f>HYPERLINK("http://dx.doi.org/10.1183/13993003.congress-2020.3557","http://dx.doi.org/10.1183/13993003.congress-2020.3557")</f>
        <v>http://dx.doi.org/10.1183/13993003.congress-2020.3557</v>
      </c>
      <c r="BG387" t="s">
        <v>74</v>
      </c>
      <c r="BH387" t="s">
        <v>74</v>
      </c>
      <c r="BI387">
        <v>2</v>
      </c>
      <c r="BJ387" t="s">
        <v>228</v>
      </c>
      <c r="BK387" t="s">
        <v>101</v>
      </c>
      <c r="BL387" t="s">
        <v>228</v>
      </c>
      <c r="BM387" t="s">
        <v>5791</v>
      </c>
      <c r="BN387" t="s">
        <v>74</v>
      </c>
      <c r="BO387" t="s">
        <v>74</v>
      </c>
      <c r="BP387" t="s">
        <v>74</v>
      </c>
      <c r="BQ387" t="s">
        <v>74</v>
      </c>
      <c r="BR387" t="s">
        <v>104</v>
      </c>
      <c r="BS387" t="s">
        <v>5853</v>
      </c>
      <c r="BT387" t="str">
        <f>HYPERLINK("https%3A%2F%2Fwww.webofscience.com%2Fwos%2Fwoscc%2Ffull-record%2FWOS:000606501407088","View Full Record in Web of Science")</f>
        <v>View Full Record in Web of Science</v>
      </c>
    </row>
    <row r="388" spans="1:72" x14ac:dyDescent="0.25">
      <c r="A388" t="s">
        <v>72</v>
      </c>
      <c r="B388" t="s">
        <v>5854</v>
      </c>
      <c r="C388" t="s">
        <v>74</v>
      </c>
      <c r="D388" t="s">
        <v>74</v>
      </c>
      <c r="E388" t="s">
        <v>74</v>
      </c>
      <c r="F388" t="s">
        <v>5855</v>
      </c>
      <c r="G388" t="s">
        <v>74</v>
      </c>
      <c r="H388" t="s">
        <v>74</v>
      </c>
      <c r="I388" t="s">
        <v>5856</v>
      </c>
      <c r="J388" t="s">
        <v>216</v>
      </c>
      <c r="K388" t="s">
        <v>74</v>
      </c>
      <c r="L388" t="s">
        <v>74</v>
      </c>
      <c r="M388" t="s">
        <v>78</v>
      </c>
      <c r="N388" t="s">
        <v>52</v>
      </c>
      <c r="O388" t="s">
        <v>74</v>
      </c>
      <c r="P388" t="s">
        <v>74</v>
      </c>
      <c r="Q388" t="s">
        <v>74</v>
      </c>
      <c r="R388" t="s">
        <v>74</v>
      </c>
      <c r="S388" t="s">
        <v>74</v>
      </c>
      <c r="T388" t="s">
        <v>5857</v>
      </c>
      <c r="U388" t="s">
        <v>74</v>
      </c>
      <c r="V388" t="s">
        <v>74</v>
      </c>
      <c r="W388" t="s">
        <v>5858</v>
      </c>
      <c r="X388" t="s">
        <v>5859</v>
      </c>
      <c r="Y388" t="s">
        <v>74</v>
      </c>
      <c r="Z388" t="s">
        <v>4190</v>
      </c>
      <c r="AA388" t="s">
        <v>1468</v>
      </c>
      <c r="AB388" t="s">
        <v>5709</v>
      </c>
      <c r="AC388" t="s">
        <v>74</v>
      </c>
      <c r="AD388" t="s">
        <v>74</v>
      </c>
      <c r="AE388" t="s">
        <v>74</v>
      </c>
      <c r="AF388" t="s">
        <v>74</v>
      </c>
      <c r="AG388">
        <v>0</v>
      </c>
      <c r="AH388">
        <v>0</v>
      </c>
      <c r="AI388">
        <v>0</v>
      </c>
      <c r="AJ388">
        <v>0</v>
      </c>
      <c r="AK388">
        <v>2</v>
      </c>
      <c r="AL388" t="s">
        <v>219</v>
      </c>
      <c r="AM388" t="s">
        <v>220</v>
      </c>
      <c r="AN388" t="s">
        <v>221</v>
      </c>
      <c r="AO388" t="s">
        <v>222</v>
      </c>
      <c r="AP388" t="s">
        <v>223</v>
      </c>
      <c r="AQ388" t="s">
        <v>74</v>
      </c>
      <c r="AR388" t="s">
        <v>224</v>
      </c>
      <c r="AS388" t="s">
        <v>225</v>
      </c>
      <c r="AT388" t="s">
        <v>5789</v>
      </c>
      <c r="AU388">
        <v>2020</v>
      </c>
      <c r="AV388">
        <v>56</v>
      </c>
      <c r="AW388" t="s">
        <v>74</v>
      </c>
      <c r="AX388" t="s">
        <v>74</v>
      </c>
      <c r="AY388">
        <v>64</v>
      </c>
      <c r="AZ388" t="s">
        <v>74</v>
      </c>
      <c r="BA388">
        <v>1535</v>
      </c>
      <c r="BB388" t="s">
        <v>74</v>
      </c>
      <c r="BC388" t="s">
        <v>74</v>
      </c>
      <c r="BD388" t="s">
        <v>74</v>
      </c>
      <c r="BE388" t="s">
        <v>5860</v>
      </c>
      <c r="BF388" t="str">
        <f>HYPERLINK("http://dx.doi.org/10.1183/13993003.congress-2020.1535","http://dx.doi.org/10.1183/13993003.congress-2020.1535")</f>
        <v>http://dx.doi.org/10.1183/13993003.congress-2020.1535</v>
      </c>
      <c r="BG388" t="s">
        <v>74</v>
      </c>
      <c r="BH388" t="s">
        <v>74</v>
      </c>
      <c r="BI388">
        <v>2</v>
      </c>
      <c r="BJ388" t="s">
        <v>228</v>
      </c>
      <c r="BK388" t="s">
        <v>101</v>
      </c>
      <c r="BL388" t="s">
        <v>228</v>
      </c>
      <c r="BM388" t="s">
        <v>5791</v>
      </c>
      <c r="BN388" t="s">
        <v>74</v>
      </c>
      <c r="BO388" t="s">
        <v>74</v>
      </c>
      <c r="BP388" t="s">
        <v>74</v>
      </c>
      <c r="BQ388" t="s">
        <v>74</v>
      </c>
      <c r="BR388" t="s">
        <v>104</v>
      </c>
      <c r="BS388" t="s">
        <v>5861</v>
      </c>
      <c r="BT388" t="str">
        <f>HYPERLINK("https%3A%2F%2Fwww.webofscience.com%2Fwos%2Fwoscc%2Ffull-record%2FWOS:000606501403019","View Full Record in Web of Science")</f>
        <v>View Full Record in Web of Science</v>
      </c>
    </row>
    <row r="389" spans="1:72" x14ac:dyDescent="0.25">
      <c r="A389" t="s">
        <v>72</v>
      </c>
      <c r="B389" t="s">
        <v>5862</v>
      </c>
      <c r="C389" t="s">
        <v>74</v>
      </c>
      <c r="D389" t="s">
        <v>74</v>
      </c>
      <c r="E389" t="s">
        <v>74</v>
      </c>
      <c r="F389" t="s">
        <v>5863</v>
      </c>
      <c r="G389" t="s">
        <v>74</v>
      </c>
      <c r="H389" t="s">
        <v>74</v>
      </c>
      <c r="I389" t="s">
        <v>5864</v>
      </c>
      <c r="J389" t="s">
        <v>216</v>
      </c>
      <c r="K389" t="s">
        <v>74</v>
      </c>
      <c r="L389" t="s">
        <v>74</v>
      </c>
      <c r="M389" t="s">
        <v>78</v>
      </c>
      <c r="N389" t="s">
        <v>52</v>
      </c>
      <c r="O389" t="s">
        <v>74</v>
      </c>
      <c r="P389" t="s">
        <v>74</v>
      </c>
      <c r="Q389" t="s">
        <v>74</v>
      </c>
      <c r="R389" t="s">
        <v>74</v>
      </c>
      <c r="S389" t="s">
        <v>74</v>
      </c>
      <c r="T389" t="s">
        <v>5865</v>
      </c>
      <c r="U389" t="s">
        <v>74</v>
      </c>
      <c r="V389" t="s">
        <v>74</v>
      </c>
      <c r="W389" t="s">
        <v>5866</v>
      </c>
      <c r="X389" t="s">
        <v>5867</v>
      </c>
      <c r="Y389" t="s">
        <v>74</v>
      </c>
      <c r="Z389" t="s">
        <v>4210</v>
      </c>
      <c r="AA389" t="s">
        <v>2432</v>
      </c>
      <c r="AB389" t="s">
        <v>5709</v>
      </c>
      <c r="AC389" t="s">
        <v>74</v>
      </c>
      <c r="AD389" t="s">
        <v>74</v>
      </c>
      <c r="AE389" t="s">
        <v>74</v>
      </c>
      <c r="AF389" t="s">
        <v>74</v>
      </c>
      <c r="AG389">
        <v>0</v>
      </c>
      <c r="AH389">
        <v>0</v>
      </c>
      <c r="AI389">
        <v>0</v>
      </c>
      <c r="AJ389">
        <v>0</v>
      </c>
      <c r="AK389">
        <v>1</v>
      </c>
      <c r="AL389" t="s">
        <v>219</v>
      </c>
      <c r="AM389" t="s">
        <v>220</v>
      </c>
      <c r="AN389" t="s">
        <v>221</v>
      </c>
      <c r="AO389" t="s">
        <v>222</v>
      </c>
      <c r="AP389" t="s">
        <v>223</v>
      </c>
      <c r="AQ389" t="s">
        <v>74</v>
      </c>
      <c r="AR389" t="s">
        <v>224</v>
      </c>
      <c r="AS389" t="s">
        <v>225</v>
      </c>
      <c r="AT389" t="s">
        <v>5789</v>
      </c>
      <c r="AU389">
        <v>2020</v>
      </c>
      <c r="AV389">
        <v>56</v>
      </c>
      <c r="AW389" t="s">
        <v>74</v>
      </c>
      <c r="AX389" t="s">
        <v>74</v>
      </c>
      <c r="AY389">
        <v>64</v>
      </c>
      <c r="AZ389" t="s">
        <v>74</v>
      </c>
      <c r="BA389">
        <v>3561</v>
      </c>
      <c r="BB389" t="s">
        <v>74</v>
      </c>
      <c r="BC389" t="s">
        <v>74</v>
      </c>
      <c r="BD389" t="s">
        <v>74</v>
      </c>
      <c r="BE389" t="s">
        <v>5868</v>
      </c>
      <c r="BF389" t="str">
        <f>HYPERLINK("http://dx.doi.org/10.1183/13993003.congress-2020.3561","http://dx.doi.org/10.1183/13993003.congress-2020.3561")</f>
        <v>http://dx.doi.org/10.1183/13993003.congress-2020.3561</v>
      </c>
      <c r="BG389" t="s">
        <v>74</v>
      </c>
      <c r="BH389" t="s">
        <v>74</v>
      </c>
      <c r="BI389">
        <v>2</v>
      </c>
      <c r="BJ389" t="s">
        <v>228</v>
      </c>
      <c r="BK389" t="s">
        <v>101</v>
      </c>
      <c r="BL389" t="s">
        <v>228</v>
      </c>
      <c r="BM389" t="s">
        <v>5791</v>
      </c>
      <c r="BN389" t="s">
        <v>74</v>
      </c>
      <c r="BO389" t="s">
        <v>74</v>
      </c>
      <c r="BP389" t="s">
        <v>74</v>
      </c>
      <c r="BQ389" t="s">
        <v>74</v>
      </c>
      <c r="BR389" t="s">
        <v>104</v>
      </c>
      <c r="BS389" t="s">
        <v>5869</v>
      </c>
      <c r="BT389" t="str">
        <f>HYPERLINK("https%3A%2F%2Fwww.webofscience.com%2Fwos%2Fwoscc%2Ffull-record%2FWOS:000606501407092","View Full Record in Web of Science")</f>
        <v>View Full Record in Web of Science</v>
      </c>
    </row>
    <row r="390" spans="1:72" x14ac:dyDescent="0.25">
      <c r="A390" t="s">
        <v>72</v>
      </c>
      <c r="B390" t="s">
        <v>4901</v>
      </c>
      <c r="C390" t="s">
        <v>74</v>
      </c>
      <c r="D390" t="s">
        <v>74</v>
      </c>
      <c r="E390" t="s">
        <v>74</v>
      </c>
      <c r="F390" t="s">
        <v>5870</v>
      </c>
      <c r="G390" t="s">
        <v>74</v>
      </c>
      <c r="H390" t="s">
        <v>74</v>
      </c>
      <c r="I390" t="s">
        <v>5871</v>
      </c>
      <c r="J390" t="s">
        <v>216</v>
      </c>
      <c r="K390" t="s">
        <v>74</v>
      </c>
      <c r="L390" t="s">
        <v>74</v>
      </c>
      <c r="M390" t="s">
        <v>78</v>
      </c>
      <c r="N390" t="s">
        <v>52</v>
      </c>
      <c r="O390" t="s">
        <v>74</v>
      </c>
      <c r="P390" t="s">
        <v>74</v>
      </c>
      <c r="Q390" t="s">
        <v>74</v>
      </c>
      <c r="R390" t="s">
        <v>74</v>
      </c>
      <c r="S390" t="s">
        <v>74</v>
      </c>
      <c r="T390" t="s">
        <v>5872</v>
      </c>
      <c r="U390" t="s">
        <v>74</v>
      </c>
      <c r="V390" t="s">
        <v>74</v>
      </c>
      <c r="W390" t="s">
        <v>5873</v>
      </c>
      <c r="X390" t="s">
        <v>5874</v>
      </c>
      <c r="Y390" t="s">
        <v>74</v>
      </c>
      <c r="Z390" t="s">
        <v>5875</v>
      </c>
      <c r="AA390" t="s">
        <v>3154</v>
      </c>
      <c r="AB390" t="s">
        <v>74</v>
      </c>
      <c r="AC390" t="s">
        <v>74</v>
      </c>
      <c r="AD390" t="s">
        <v>74</v>
      </c>
      <c r="AE390" t="s">
        <v>74</v>
      </c>
      <c r="AF390" t="s">
        <v>74</v>
      </c>
      <c r="AG390">
        <v>0</v>
      </c>
      <c r="AH390">
        <v>0</v>
      </c>
      <c r="AI390">
        <v>0</v>
      </c>
      <c r="AJ390">
        <v>0</v>
      </c>
      <c r="AK390">
        <v>1</v>
      </c>
      <c r="AL390" t="s">
        <v>219</v>
      </c>
      <c r="AM390" t="s">
        <v>220</v>
      </c>
      <c r="AN390" t="s">
        <v>221</v>
      </c>
      <c r="AO390" t="s">
        <v>222</v>
      </c>
      <c r="AP390" t="s">
        <v>223</v>
      </c>
      <c r="AQ390" t="s">
        <v>74</v>
      </c>
      <c r="AR390" t="s">
        <v>224</v>
      </c>
      <c r="AS390" t="s">
        <v>225</v>
      </c>
      <c r="AT390" t="s">
        <v>5789</v>
      </c>
      <c r="AU390">
        <v>2020</v>
      </c>
      <c r="AV390">
        <v>56</v>
      </c>
      <c r="AW390" t="s">
        <v>74</v>
      </c>
      <c r="AX390" t="s">
        <v>74</v>
      </c>
      <c r="AY390">
        <v>64</v>
      </c>
      <c r="AZ390" t="s">
        <v>74</v>
      </c>
      <c r="BA390">
        <v>3559</v>
      </c>
      <c r="BB390" t="s">
        <v>74</v>
      </c>
      <c r="BC390" t="s">
        <v>74</v>
      </c>
      <c r="BD390" t="s">
        <v>74</v>
      </c>
      <c r="BE390" t="s">
        <v>5876</v>
      </c>
      <c r="BF390" t="str">
        <f>HYPERLINK("http://dx.doi.org/10.1183/13993003.congress-2020.3559","http://dx.doi.org/10.1183/13993003.congress-2020.3559")</f>
        <v>http://dx.doi.org/10.1183/13993003.congress-2020.3559</v>
      </c>
      <c r="BG390" t="s">
        <v>74</v>
      </c>
      <c r="BH390" t="s">
        <v>74</v>
      </c>
      <c r="BI390">
        <v>2</v>
      </c>
      <c r="BJ390" t="s">
        <v>228</v>
      </c>
      <c r="BK390" t="s">
        <v>101</v>
      </c>
      <c r="BL390" t="s">
        <v>228</v>
      </c>
      <c r="BM390" t="s">
        <v>5791</v>
      </c>
      <c r="BN390" t="s">
        <v>74</v>
      </c>
      <c r="BO390" t="s">
        <v>74</v>
      </c>
      <c r="BP390" t="s">
        <v>74</v>
      </c>
      <c r="BQ390" t="s">
        <v>74</v>
      </c>
      <c r="BR390" t="s">
        <v>104</v>
      </c>
      <c r="BS390" t="s">
        <v>5877</v>
      </c>
      <c r="BT390" t="str">
        <f>HYPERLINK("https%3A%2F%2Fwww.webofscience.com%2Fwos%2Fwoscc%2Ffull-record%2FWOS:000606501407090","View Full Record in Web of Science")</f>
        <v>View Full Record in Web of Science</v>
      </c>
    </row>
    <row r="391" spans="1:72" x14ac:dyDescent="0.25">
      <c r="A391" t="s">
        <v>72</v>
      </c>
      <c r="B391" t="s">
        <v>5878</v>
      </c>
      <c r="C391" t="s">
        <v>74</v>
      </c>
      <c r="D391" t="s">
        <v>74</v>
      </c>
      <c r="E391" t="s">
        <v>74</v>
      </c>
      <c r="F391" t="s">
        <v>5879</v>
      </c>
      <c r="G391" t="s">
        <v>74</v>
      </c>
      <c r="H391" t="s">
        <v>74</v>
      </c>
      <c r="I391" t="s">
        <v>5880</v>
      </c>
      <c r="J391" t="s">
        <v>216</v>
      </c>
      <c r="K391" t="s">
        <v>74</v>
      </c>
      <c r="L391" t="s">
        <v>74</v>
      </c>
      <c r="M391" t="s">
        <v>78</v>
      </c>
      <c r="N391" t="s">
        <v>52</v>
      </c>
      <c r="O391" t="s">
        <v>74</v>
      </c>
      <c r="P391" t="s">
        <v>74</v>
      </c>
      <c r="Q391" t="s">
        <v>74</v>
      </c>
      <c r="R391" t="s">
        <v>74</v>
      </c>
      <c r="S391" t="s">
        <v>74</v>
      </c>
      <c r="T391" t="s">
        <v>5865</v>
      </c>
      <c r="U391" t="s">
        <v>74</v>
      </c>
      <c r="V391" t="s">
        <v>74</v>
      </c>
      <c r="W391" t="s">
        <v>5881</v>
      </c>
      <c r="X391" t="s">
        <v>5882</v>
      </c>
      <c r="Y391" t="s">
        <v>74</v>
      </c>
      <c r="Z391" t="s">
        <v>5883</v>
      </c>
      <c r="AA391" t="s">
        <v>5884</v>
      </c>
      <c r="AB391" t="s">
        <v>5885</v>
      </c>
      <c r="AC391" t="s">
        <v>74</v>
      </c>
      <c r="AD391" t="s">
        <v>74</v>
      </c>
      <c r="AE391" t="s">
        <v>74</v>
      </c>
      <c r="AF391" t="s">
        <v>74</v>
      </c>
      <c r="AG391">
        <v>0</v>
      </c>
      <c r="AH391">
        <v>0</v>
      </c>
      <c r="AI391">
        <v>0</v>
      </c>
      <c r="AJ391">
        <v>0</v>
      </c>
      <c r="AK391">
        <v>0</v>
      </c>
      <c r="AL391" t="s">
        <v>219</v>
      </c>
      <c r="AM391" t="s">
        <v>220</v>
      </c>
      <c r="AN391" t="s">
        <v>221</v>
      </c>
      <c r="AO391" t="s">
        <v>222</v>
      </c>
      <c r="AP391" t="s">
        <v>223</v>
      </c>
      <c r="AQ391" t="s">
        <v>74</v>
      </c>
      <c r="AR391" t="s">
        <v>224</v>
      </c>
      <c r="AS391" t="s">
        <v>225</v>
      </c>
      <c r="AT391" t="s">
        <v>5789</v>
      </c>
      <c r="AU391">
        <v>2020</v>
      </c>
      <c r="AV391">
        <v>56</v>
      </c>
      <c r="AW391" t="s">
        <v>74</v>
      </c>
      <c r="AX391" t="s">
        <v>74</v>
      </c>
      <c r="AY391">
        <v>64</v>
      </c>
      <c r="AZ391" t="s">
        <v>74</v>
      </c>
      <c r="BA391">
        <v>3551</v>
      </c>
      <c r="BB391" t="s">
        <v>74</v>
      </c>
      <c r="BC391" t="s">
        <v>74</v>
      </c>
      <c r="BD391" t="s">
        <v>74</v>
      </c>
      <c r="BE391" t="s">
        <v>5886</v>
      </c>
      <c r="BF391" t="str">
        <f>HYPERLINK("http://dx.doi.org/10.1183/13993003.congress-2020.3551","http://dx.doi.org/10.1183/13993003.congress-2020.3551")</f>
        <v>http://dx.doi.org/10.1183/13993003.congress-2020.3551</v>
      </c>
      <c r="BG391" t="s">
        <v>74</v>
      </c>
      <c r="BH391" t="s">
        <v>74</v>
      </c>
      <c r="BI391">
        <v>2</v>
      </c>
      <c r="BJ391" t="s">
        <v>228</v>
      </c>
      <c r="BK391" t="s">
        <v>101</v>
      </c>
      <c r="BL391" t="s">
        <v>228</v>
      </c>
      <c r="BM391" t="s">
        <v>5791</v>
      </c>
      <c r="BN391" t="s">
        <v>74</v>
      </c>
      <c r="BO391" t="s">
        <v>74</v>
      </c>
      <c r="BP391" t="s">
        <v>74</v>
      </c>
      <c r="BQ391" t="s">
        <v>74</v>
      </c>
      <c r="BR391" t="s">
        <v>104</v>
      </c>
      <c r="BS391" t="s">
        <v>5887</v>
      </c>
      <c r="BT391" t="str">
        <f>HYPERLINK("https%3A%2F%2Fwww.webofscience.com%2Fwos%2Fwoscc%2Ffull-record%2FWOS:000606501407082","View Full Record in Web of Science")</f>
        <v>View Full Record in Web of Science</v>
      </c>
    </row>
    <row r="392" spans="1:72" x14ac:dyDescent="0.25">
      <c r="A392" t="s">
        <v>72</v>
      </c>
      <c r="B392" t="s">
        <v>5888</v>
      </c>
      <c r="C392" t="s">
        <v>74</v>
      </c>
      <c r="D392" t="s">
        <v>74</v>
      </c>
      <c r="E392" t="s">
        <v>74</v>
      </c>
      <c r="F392" t="s">
        <v>5889</v>
      </c>
      <c r="G392" t="s">
        <v>74</v>
      </c>
      <c r="H392" t="s">
        <v>74</v>
      </c>
      <c r="I392" t="s">
        <v>5890</v>
      </c>
      <c r="J392" t="s">
        <v>216</v>
      </c>
      <c r="K392" t="s">
        <v>74</v>
      </c>
      <c r="L392" t="s">
        <v>74</v>
      </c>
      <c r="M392" t="s">
        <v>78</v>
      </c>
      <c r="N392" t="s">
        <v>52</v>
      </c>
      <c r="O392" t="s">
        <v>74</v>
      </c>
      <c r="P392" t="s">
        <v>74</v>
      </c>
      <c r="Q392" t="s">
        <v>74</v>
      </c>
      <c r="R392" t="s">
        <v>74</v>
      </c>
      <c r="S392" t="s">
        <v>74</v>
      </c>
      <c r="T392" t="s">
        <v>5891</v>
      </c>
      <c r="U392" t="s">
        <v>74</v>
      </c>
      <c r="V392" t="s">
        <v>74</v>
      </c>
      <c r="W392" t="s">
        <v>5892</v>
      </c>
      <c r="X392" t="s">
        <v>5893</v>
      </c>
      <c r="Y392" t="s">
        <v>74</v>
      </c>
      <c r="Z392" t="s">
        <v>1448</v>
      </c>
      <c r="AA392" t="s">
        <v>5894</v>
      </c>
      <c r="AB392" t="s">
        <v>5709</v>
      </c>
      <c r="AC392" t="s">
        <v>74</v>
      </c>
      <c r="AD392" t="s">
        <v>74</v>
      </c>
      <c r="AE392" t="s">
        <v>74</v>
      </c>
      <c r="AF392" t="s">
        <v>74</v>
      </c>
      <c r="AG392">
        <v>0</v>
      </c>
      <c r="AH392">
        <v>1</v>
      </c>
      <c r="AI392">
        <v>1</v>
      </c>
      <c r="AJ392">
        <v>0</v>
      </c>
      <c r="AK392">
        <v>0</v>
      </c>
      <c r="AL392" t="s">
        <v>219</v>
      </c>
      <c r="AM392" t="s">
        <v>220</v>
      </c>
      <c r="AN392" t="s">
        <v>221</v>
      </c>
      <c r="AO392" t="s">
        <v>222</v>
      </c>
      <c r="AP392" t="s">
        <v>223</v>
      </c>
      <c r="AQ392" t="s">
        <v>74</v>
      </c>
      <c r="AR392" t="s">
        <v>224</v>
      </c>
      <c r="AS392" t="s">
        <v>225</v>
      </c>
      <c r="AT392" t="s">
        <v>5789</v>
      </c>
      <c r="AU392">
        <v>2020</v>
      </c>
      <c r="AV392">
        <v>56</v>
      </c>
      <c r="AW392" t="s">
        <v>74</v>
      </c>
      <c r="AX392" t="s">
        <v>74</v>
      </c>
      <c r="AY392">
        <v>64</v>
      </c>
      <c r="AZ392" t="s">
        <v>74</v>
      </c>
      <c r="BA392">
        <v>4460</v>
      </c>
      <c r="BB392" t="s">
        <v>74</v>
      </c>
      <c r="BC392" t="s">
        <v>74</v>
      </c>
      <c r="BD392" t="s">
        <v>74</v>
      </c>
      <c r="BE392" t="s">
        <v>5895</v>
      </c>
      <c r="BF392" t="str">
        <f>HYPERLINK("http://dx.doi.org/10.1183/13993003.congress-2020.4460","http://dx.doi.org/10.1183/13993003.congress-2020.4460")</f>
        <v>http://dx.doi.org/10.1183/13993003.congress-2020.4460</v>
      </c>
      <c r="BG392" t="s">
        <v>74</v>
      </c>
      <c r="BH392" t="s">
        <v>74</v>
      </c>
      <c r="BI392">
        <v>3</v>
      </c>
      <c r="BJ392" t="s">
        <v>228</v>
      </c>
      <c r="BK392" t="s">
        <v>101</v>
      </c>
      <c r="BL392" t="s">
        <v>228</v>
      </c>
      <c r="BM392" t="s">
        <v>5791</v>
      </c>
      <c r="BN392" t="s">
        <v>74</v>
      </c>
      <c r="BO392" t="s">
        <v>74</v>
      </c>
      <c r="BP392" t="s">
        <v>74</v>
      </c>
      <c r="BQ392" t="s">
        <v>74</v>
      </c>
      <c r="BR392" t="s">
        <v>104</v>
      </c>
      <c r="BS392" t="s">
        <v>5896</v>
      </c>
      <c r="BT392" t="str">
        <f>HYPERLINK("https%3A%2F%2Fwww.webofscience.com%2Fwos%2Fwoscc%2Ffull-record%2FWOS:000606501407394","View Full Record in Web of Science")</f>
        <v>View Full Record in Web of Science</v>
      </c>
    </row>
    <row r="393" spans="1:72" x14ac:dyDescent="0.25">
      <c r="A393" t="s">
        <v>72</v>
      </c>
      <c r="B393" t="s">
        <v>5897</v>
      </c>
      <c r="C393" t="s">
        <v>74</v>
      </c>
      <c r="D393" t="s">
        <v>74</v>
      </c>
      <c r="E393" t="s">
        <v>74</v>
      </c>
      <c r="F393" t="s">
        <v>5898</v>
      </c>
      <c r="G393" t="s">
        <v>74</v>
      </c>
      <c r="H393" t="s">
        <v>74</v>
      </c>
      <c r="I393" t="s">
        <v>5899</v>
      </c>
      <c r="J393" t="s">
        <v>216</v>
      </c>
      <c r="K393" t="s">
        <v>74</v>
      </c>
      <c r="L393" t="s">
        <v>74</v>
      </c>
      <c r="M393" t="s">
        <v>78</v>
      </c>
      <c r="N393" t="s">
        <v>52</v>
      </c>
      <c r="O393" t="s">
        <v>74</v>
      </c>
      <c r="P393" t="s">
        <v>74</v>
      </c>
      <c r="Q393" t="s">
        <v>74</v>
      </c>
      <c r="R393" t="s">
        <v>74</v>
      </c>
      <c r="S393" t="s">
        <v>74</v>
      </c>
      <c r="T393" t="s">
        <v>5900</v>
      </c>
      <c r="U393" t="s">
        <v>74</v>
      </c>
      <c r="V393" t="s">
        <v>74</v>
      </c>
      <c r="W393" t="s">
        <v>5901</v>
      </c>
      <c r="X393" t="s">
        <v>5902</v>
      </c>
      <c r="Y393" t="s">
        <v>74</v>
      </c>
      <c r="Z393" t="s">
        <v>5903</v>
      </c>
      <c r="AA393" t="s">
        <v>5904</v>
      </c>
      <c r="AB393" t="s">
        <v>5905</v>
      </c>
      <c r="AC393" t="s">
        <v>5906</v>
      </c>
      <c r="AD393" t="s">
        <v>5907</v>
      </c>
      <c r="AE393" t="s">
        <v>74</v>
      </c>
      <c r="AF393" t="s">
        <v>74</v>
      </c>
      <c r="AG393">
        <v>0</v>
      </c>
      <c r="AH393">
        <v>0</v>
      </c>
      <c r="AI393">
        <v>0</v>
      </c>
      <c r="AJ393">
        <v>0</v>
      </c>
      <c r="AK393">
        <v>6</v>
      </c>
      <c r="AL393" t="s">
        <v>219</v>
      </c>
      <c r="AM393" t="s">
        <v>220</v>
      </c>
      <c r="AN393" t="s">
        <v>221</v>
      </c>
      <c r="AO393" t="s">
        <v>222</v>
      </c>
      <c r="AP393" t="s">
        <v>223</v>
      </c>
      <c r="AQ393" t="s">
        <v>74</v>
      </c>
      <c r="AR393" t="s">
        <v>224</v>
      </c>
      <c r="AS393" t="s">
        <v>225</v>
      </c>
      <c r="AT393" t="s">
        <v>5789</v>
      </c>
      <c r="AU393">
        <v>2020</v>
      </c>
      <c r="AV393">
        <v>56</v>
      </c>
      <c r="AW393" t="s">
        <v>74</v>
      </c>
      <c r="AX393" t="s">
        <v>74</v>
      </c>
      <c r="AY393">
        <v>64</v>
      </c>
      <c r="AZ393" t="s">
        <v>74</v>
      </c>
      <c r="BA393">
        <v>4458</v>
      </c>
      <c r="BB393" t="s">
        <v>74</v>
      </c>
      <c r="BC393" t="s">
        <v>74</v>
      </c>
      <c r="BD393" t="s">
        <v>74</v>
      </c>
      <c r="BE393" t="s">
        <v>5908</v>
      </c>
      <c r="BF393" t="str">
        <f>HYPERLINK("http://dx.doi.org/10.1183/13993003.congress-2020.4458","http://dx.doi.org/10.1183/13993003.congress-2020.4458")</f>
        <v>http://dx.doi.org/10.1183/13993003.congress-2020.4458</v>
      </c>
      <c r="BG393" t="s">
        <v>74</v>
      </c>
      <c r="BH393" t="s">
        <v>74</v>
      </c>
      <c r="BI393">
        <v>3</v>
      </c>
      <c r="BJ393" t="s">
        <v>228</v>
      </c>
      <c r="BK393" t="s">
        <v>101</v>
      </c>
      <c r="BL393" t="s">
        <v>228</v>
      </c>
      <c r="BM393" t="s">
        <v>5791</v>
      </c>
      <c r="BN393" t="s">
        <v>74</v>
      </c>
      <c r="BO393" t="s">
        <v>74</v>
      </c>
      <c r="BP393" t="s">
        <v>74</v>
      </c>
      <c r="BQ393" t="s">
        <v>74</v>
      </c>
      <c r="BR393" t="s">
        <v>104</v>
      </c>
      <c r="BS393" t="s">
        <v>5909</v>
      </c>
      <c r="BT393" t="str">
        <f>HYPERLINK("https%3A%2F%2Fwww.webofscience.com%2Fwos%2Fwoscc%2Ffull-record%2FWOS:000606501407392","View Full Record in Web of Science")</f>
        <v>View Full Record in Web of Science</v>
      </c>
    </row>
    <row r="394" spans="1:72" x14ac:dyDescent="0.25">
      <c r="A394" t="s">
        <v>72</v>
      </c>
      <c r="B394" t="s">
        <v>5910</v>
      </c>
      <c r="C394" t="s">
        <v>74</v>
      </c>
      <c r="D394" t="s">
        <v>74</v>
      </c>
      <c r="E394" t="s">
        <v>74</v>
      </c>
      <c r="F394" t="s">
        <v>5911</v>
      </c>
      <c r="G394" t="s">
        <v>74</v>
      </c>
      <c r="H394" t="s">
        <v>74</v>
      </c>
      <c r="I394" t="s">
        <v>5912</v>
      </c>
      <c r="J394" t="s">
        <v>216</v>
      </c>
      <c r="K394" t="s">
        <v>74</v>
      </c>
      <c r="L394" t="s">
        <v>74</v>
      </c>
      <c r="M394" t="s">
        <v>78</v>
      </c>
      <c r="N394" t="s">
        <v>52</v>
      </c>
      <c r="O394" t="s">
        <v>74</v>
      </c>
      <c r="P394" t="s">
        <v>74</v>
      </c>
      <c r="Q394" t="s">
        <v>74</v>
      </c>
      <c r="R394" t="s">
        <v>74</v>
      </c>
      <c r="S394" t="s">
        <v>74</v>
      </c>
      <c r="T394" t="s">
        <v>5805</v>
      </c>
      <c r="U394" t="s">
        <v>74</v>
      </c>
      <c r="V394" t="s">
        <v>74</v>
      </c>
      <c r="W394" t="s">
        <v>5913</v>
      </c>
      <c r="X394" t="s">
        <v>74</v>
      </c>
      <c r="Y394" t="s">
        <v>74</v>
      </c>
      <c r="Z394" t="s">
        <v>5914</v>
      </c>
      <c r="AA394" t="s">
        <v>630</v>
      </c>
      <c r="AB394" t="s">
        <v>5709</v>
      </c>
      <c r="AC394" t="s">
        <v>74</v>
      </c>
      <c r="AD394" t="s">
        <v>74</v>
      </c>
      <c r="AE394" t="s">
        <v>74</v>
      </c>
      <c r="AF394" t="s">
        <v>74</v>
      </c>
      <c r="AG394">
        <v>0</v>
      </c>
      <c r="AH394">
        <v>0</v>
      </c>
      <c r="AI394">
        <v>0</v>
      </c>
      <c r="AJ394">
        <v>1</v>
      </c>
      <c r="AK394">
        <v>4</v>
      </c>
      <c r="AL394" t="s">
        <v>219</v>
      </c>
      <c r="AM394" t="s">
        <v>220</v>
      </c>
      <c r="AN394" t="s">
        <v>221</v>
      </c>
      <c r="AO394" t="s">
        <v>222</v>
      </c>
      <c r="AP394" t="s">
        <v>223</v>
      </c>
      <c r="AQ394" t="s">
        <v>74</v>
      </c>
      <c r="AR394" t="s">
        <v>224</v>
      </c>
      <c r="AS394" t="s">
        <v>225</v>
      </c>
      <c r="AT394" t="s">
        <v>5789</v>
      </c>
      <c r="AU394">
        <v>2020</v>
      </c>
      <c r="AV394">
        <v>56</v>
      </c>
      <c r="AW394" t="s">
        <v>74</v>
      </c>
      <c r="AX394" t="s">
        <v>74</v>
      </c>
      <c r="AY394">
        <v>64</v>
      </c>
      <c r="AZ394" t="s">
        <v>74</v>
      </c>
      <c r="BA394">
        <v>1544</v>
      </c>
      <c r="BB394" t="s">
        <v>74</v>
      </c>
      <c r="BC394" t="s">
        <v>74</v>
      </c>
      <c r="BD394" t="s">
        <v>74</v>
      </c>
      <c r="BE394" t="s">
        <v>5915</v>
      </c>
      <c r="BF394" t="str">
        <f>HYPERLINK("http://dx.doi.org/10.1183/13993003.congress-2020.1544","http://dx.doi.org/10.1183/13993003.congress-2020.1544")</f>
        <v>http://dx.doi.org/10.1183/13993003.congress-2020.1544</v>
      </c>
      <c r="BG394" t="s">
        <v>74</v>
      </c>
      <c r="BH394" t="s">
        <v>74</v>
      </c>
      <c r="BI394">
        <v>2</v>
      </c>
      <c r="BJ394" t="s">
        <v>228</v>
      </c>
      <c r="BK394" t="s">
        <v>101</v>
      </c>
      <c r="BL394" t="s">
        <v>228</v>
      </c>
      <c r="BM394" t="s">
        <v>5791</v>
      </c>
      <c r="BN394" t="s">
        <v>74</v>
      </c>
      <c r="BO394" t="s">
        <v>74</v>
      </c>
      <c r="BP394" t="s">
        <v>74</v>
      </c>
      <c r="BQ394" t="s">
        <v>74</v>
      </c>
      <c r="BR394" t="s">
        <v>104</v>
      </c>
      <c r="BS394" t="s">
        <v>5916</v>
      </c>
      <c r="BT394" t="str">
        <f>HYPERLINK("https%3A%2F%2Fwww.webofscience.com%2Fwos%2Fwoscc%2Ffull-record%2FWOS:000606501403028","View Full Record in Web of Science")</f>
        <v>View Full Record in Web of Science</v>
      </c>
    </row>
    <row r="395" spans="1:72" x14ac:dyDescent="0.25">
      <c r="A395" t="s">
        <v>72</v>
      </c>
      <c r="B395" t="s">
        <v>5917</v>
      </c>
      <c r="C395" t="s">
        <v>74</v>
      </c>
      <c r="D395" t="s">
        <v>74</v>
      </c>
      <c r="E395" t="s">
        <v>74</v>
      </c>
      <c r="F395" t="s">
        <v>5918</v>
      </c>
      <c r="G395" t="s">
        <v>74</v>
      </c>
      <c r="H395" t="s">
        <v>74</v>
      </c>
      <c r="I395" t="s">
        <v>5919</v>
      </c>
      <c r="J395" t="s">
        <v>216</v>
      </c>
      <c r="K395" t="s">
        <v>74</v>
      </c>
      <c r="L395" t="s">
        <v>74</v>
      </c>
      <c r="M395" t="s">
        <v>78</v>
      </c>
      <c r="N395" t="s">
        <v>52</v>
      </c>
      <c r="O395" t="s">
        <v>74</v>
      </c>
      <c r="P395" t="s">
        <v>74</v>
      </c>
      <c r="Q395" t="s">
        <v>74</v>
      </c>
      <c r="R395" t="s">
        <v>74</v>
      </c>
      <c r="S395" t="s">
        <v>74</v>
      </c>
      <c r="T395" t="s">
        <v>5920</v>
      </c>
      <c r="U395" t="s">
        <v>74</v>
      </c>
      <c r="V395" t="s">
        <v>74</v>
      </c>
      <c r="W395" t="s">
        <v>5921</v>
      </c>
      <c r="X395" t="s">
        <v>5922</v>
      </c>
      <c r="Y395" t="s">
        <v>74</v>
      </c>
      <c r="Z395" t="s">
        <v>5923</v>
      </c>
      <c r="AA395" t="s">
        <v>1873</v>
      </c>
      <c r="AB395" t="s">
        <v>74</v>
      </c>
      <c r="AC395" t="s">
        <v>74</v>
      </c>
      <c r="AD395" t="s">
        <v>74</v>
      </c>
      <c r="AE395" t="s">
        <v>74</v>
      </c>
      <c r="AF395" t="s">
        <v>74</v>
      </c>
      <c r="AG395">
        <v>0</v>
      </c>
      <c r="AH395">
        <v>0</v>
      </c>
      <c r="AI395">
        <v>0</v>
      </c>
      <c r="AJ395">
        <v>0</v>
      </c>
      <c r="AK395">
        <v>0</v>
      </c>
      <c r="AL395" t="s">
        <v>219</v>
      </c>
      <c r="AM395" t="s">
        <v>220</v>
      </c>
      <c r="AN395" t="s">
        <v>221</v>
      </c>
      <c r="AO395" t="s">
        <v>222</v>
      </c>
      <c r="AP395" t="s">
        <v>223</v>
      </c>
      <c r="AQ395" t="s">
        <v>74</v>
      </c>
      <c r="AR395" t="s">
        <v>224</v>
      </c>
      <c r="AS395" t="s">
        <v>225</v>
      </c>
      <c r="AT395" t="s">
        <v>5789</v>
      </c>
      <c r="AU395">
        <v>2020</v>
      </c>
      <c r="AV395">
        <v>56</v>
      </c>
      <c r="AW395" t="s">
        <v>74</v>
      </c>
      <c r="AX395" t="s">
        <v>74</v>
      </c>
      <c r="AY395">
        <v>64</v>
      </c>
      <c r="AZ395" t="s">
        <v>74</v>
      </c>
      <c r="BA395">
        <v>1459</v>
      </c>
      <c r="BB395" t="s">
        <v>74</v>
      </c>
      <c r="BC395" t="s">
        <v>74</v>
      </c>
      <c r="BD395" t="s">
        <v>74</v>
      </c>
      <c r="BE395" t="s">
        <v>5924</v>
      </c>
      <c r="BF395" t="str">
        <f>HYPERLINK("http://dx.doi.org/10.1183/13993003.congress-2020.1459","http://dx.doi.org/10.1183/13993003.congress-2020.1459")</f>
        <v>http://dx.doi.org/10.1183/13993003.congress-2020.1459</v>
      </c>
      <c r="BG395" t="s">
        <v>74</v>
      </c>
      <c r="BH395" t="s">
        <v>74</v>
      </c>
      <c r="BI395">
        <v>2</v>
      </c>
      <c r="BJ395" t="s">
        <v>228</v>
      </c>
      <c r="BK395" t="s">
        <v>101</v>
      </c>
      <c r="BL395" t="s">
        <v>228</v>
      </c>
      <c r="BM395" t="s">
        <v>5791</v>
      </c>
      <c r="BN395" t="s">
        <v>74</v>
      </c>
      <c r="BO395" t="s">
        <v>74</v>
      </c>
      <c r="BP395" t="s">
        <v>74</v>
      </c>
      <c r="BQ395" t="s">
        <v>74</v>
      </c>
      <c r="BR395" t="s">
        <v>104</v>
      </c>
      <c r="BS395" t="s">
        <v>5925</v>
      </c>
      <c r="BT395" t="str">
        <f>HYPERLINK("https%3A%2F%2Fwww.webofscience.com%2Fwos%2Fwoscc%2Ffull-record%2FWOS:000606501402425","View Full Record in Web of Science")</f>
        <v>View Full Record in Web of Science</v>
      </c>
    </row>
    <row r="396" spans="1:72" x14ac:dyDescent="0.25">
      <c r="A396" t="s">
        <v>72</v>
      </c>
      <c r="B396" t="s">
        <v>5926</v>
      </c>
      <c r="C396" t="s">
        <v>74</v>
      </c>
      <c r="D396" t="s">
        <v>74</v>
      </c>
      <c r="E396" t="s">
        <v>74</v>
      </c>
      <c r="F396" t="s">
        <v>5927</v>
      </c>
      <c r="G396" t="s">
        <v>74</v>
      </c>
      <c r="H396" t="s">
        <v>74</v>
      </c>
      <c r="I396" t="s">
        <v>5928</v>
      </c>
      <c r="J396" t="s">
        <v>216</v>
      </c>
      <c r="K396" t="s">
        <v>74</v>
      </c>
      <c r="L396" t="s">
        <v>74</v>
      </c>
      <c r="M396" t="s">
        <v>78</v>
      </c>
      <c r="N396" t="s">
        <v>52</v>
      </c>
      <c r="O396" t="s">
        <v>74</v>
      </c>
      <c r="P396" t="s">
        <v>74</v>
      </c>
      <c r="Q396" t="s">
        <v>74</v>
      </c>
      <c r="R396" t="s">
        <v>74</v>
      </c>
      <c r="S396" t="s">
        <v>74</v>
      </c>
      <c r="T396" t="s">
        <v>5929</v>
      </c>
      <c r="U396" t="s">
        <v>74</v>
      </c>
      <c r="V396" t="s">
        <v>74</v>
      </c>
      <c r="W396" t="s">
        <v>5930</v>
      </c>
      <c r="X396" t="s">
        <v>5931</v>
      </c>
      <c r="Y396" t="s">
        <v>74</v>
      </c>
      <c r="Z396" t="s">
        <v>5932</v>
      </c>
      <c r="AA396" t="s">
        <v>5933</v>
      </c>
      <c r="AB396" t="s">
        <v>5934</v>
      </c>
      <c r="AC396" t="s">
        <v>74</v>
      </c>
      <c r="AD396" t="s">
        <v>74</v>
      </c>
      <c r="AE396" t="s">
        <v>74</v>
      </c>
      <c r="AF396" t="s">
        <v>74</v>
      </c>
      <c r="AG396">
        <v>0</v>
      </c>
      <c r="AH396">
        <v>0</v>
      </c>
      <c r="AI396">
        <v>0</v>
      </c>
      <c r="AJ396">
        <v>0</v>
      </c>
      <c r="AK396">
        <v>1</v>
      </c>
      <c r="AL396" t="s">
        <v>219</v>
      </c>
      <c r="AM396" t="s">
        <v>220</v>
      </c>
      <c r="AN396" t="s">
        <v>221</v>
      </c>
      <c r="AO396" t="s">
        <v>222</v>
      </c>
      <c r="AP396" t="s">
        <v>223</v>
      </c>
      <c r="AQ396" t="s">
        <v>74</v>
      </c>
      <c r="AR396" t="s">
        <v>224</v>
      </c>
      <c r="AS396" t="s">
        <v>225</v>
      </c>
      <c r="AT396" t="s">
        <v>5789</v>
      </c>
      <c r="AU396">
        <v>2020</v>
      </c>
      <c r="AV396">
        <v>56</v>
      </c>
      <c r="AW396" t="s">
        <v>74</v>
      </c>
      <c r="AX396" t="s">
        <v>74</v>
      </c>
      <c r="AY396">
        <v>64</v>
      </c>
      <c r="AZ396" t="s">
        <v>74</v>
      </c>
      <c r="BA396">
        <v>4464</v>
      </c>
      <c r="BB396" t="s">
        <v>74</v>
      </c>
      <c r="BC396" t="s">
        <v>74</v>
      </c>
      <c r="BD396" t="s">
        <v>74</v>
      </c>
      <c r="BE396" t="s">
        <v>5935</v>
      </c>
      <c r="BF396" t="str">
        <f>HYPERLINK("http://dx.doi.org/10.1183/13993003.congress-2020.4464","http://dx.doi.org/10.1183/13993003.congress-2020.4464")</f>
        <v>http://dx.doi.org/10.1183/13993003.congress-2020.4464</v>
      </c>
      <c r="BG396" t="s">
        <v>74</v>
      </c>
      <c r="BH396" t="s">
        <v>74</v>
      </c>
      <c r="BI396">
        <v>3</v>
      </c>
      <c r="BJ396" t="s">
        <v>228</v>
      </c>
      <c r="BK396" t="s">
        <v>101</v>
      </c>
      <c r="BL396" t="s">
        <v>228</v>
      </c>
      <c r="BM396" t="s">
        <v>5791</v>
      </c>
      <c r="BN396" t="s">
        <v>74</v>
      </c>
      <c r="BO396" t="s">
        <v>74</v>
      </c>
      <c r="BP396" t="s">
        <v>74</v>
      </c>
      <c r="BQ396" t="s">
        <v>74</v>
      </c>
      <c r="BR396" t="s">
        <v>104</v>
      </c>
      <c r="BS396" t="s">
        <v>5936</v>
      </c>
      <c r="BT396" t="str">
        <f>HYPERLINK("https%3A%2F%2Fwww.webofscience.com%2Fwos%2Fwoscc%2Ffull-record%2FWOS:000606501407398","View Full Record in Web of Science")</f>
        <v>View Full Record in Web of Science</v>
      </c>
    </row>
    <row r="397" spans="1:72" x14ac:dyDescent="0.25">
      <c r="A397" t="s">
        <v>72</v>
      </c>
      <c r="B397" t="s">
        <v>5937</v>
      </c>
      <c r="C397" t="s">
        <v>74</v>
      </c>
      <c r="D397" t="s">
        <v>74</v>
      </c>
      <c r="E397" t="s">
        <v>74</v>
      </c>
      <c r="F397" t="s">
        <v>5938</v>
      </c>
      <c r="G397" t="s">
        <v>74</v>
      </c>
      <c r="H397" t="s">
        <v>74</v>
      </c>
      <c r="I397" t="s">
        <v>5939</v>
      </c>
      <c r="J397" t="s">
        <v>216</v>
      </c>
      <c r="K397" t="s">
        <v>74</v>
      </c>
      <c r="L397" t="s">
        <v>74</v>
      </c>
      <c r="M397" t="s">
        <v>78</v>
      </c>
      <c r="N397" t="s">
        <v>52</v>
      </c>
      <c r="O397" t="s">
        <v>74</v>
      </c>
      <c r="P397" t="s">
        <v>74</v>
      </c>
      <c r="Q397" t="s">
        <v>74</v>
      </c>
      <c r="R397" t="s">
        <v>74</v>
      </c>
      <c r="S397" t="s">
        <v>74</v>
      </c>
      <c r="T397" t="s">
        <v>5940</v>
      </c>
      <c r="U397" t="s">
        <v>74</v>
      </c>
      <c r="V397" t="s">
        <v>74</v>
      </c>
      <c r="W397" t="s">
        <v>5941</v>
      </c>
      <c r="X397" t="s">
        <v>5942</v>
      </c>
      <c r="Y397" t="s">
        <v>74</v>
      </c>
      <c r="Z397" t="s">
        <v>5943</v>
      </c>
      <c r="AA397" t="s">
        <v>5944</v>
      </c>
      <c r="AB397" t="s">
        <v>5709</v>
      </c>
      <c r="AC397" t="s">
        <v>74</v>
      </c>
      <c r="AD397" t="s">
        <v>74</v>
      </c>
      <c r="AE397" t="s">
        <v>74</v>
      </c>
      <c r="AF397" t="s">
        <v>74</v>
      </c>
      <c r="AG397">
        <v>0</v>
      </c>
      <c r="AH397">
        <v>0</v>
      </c>
      <c r="AI397">
        <v>0</v>
      </c>
      <c r="AJ397">
        <v>1</v>
      </c>
      <c r="AK397">
        <v>4</v>
      </c>
      <c r="AL397" t="s">
        <v>219</v>
      </c>
      <c r="AM397" t="s">
        <v>220</v>
      </c>
      <c r="AN397" t="s">
        <v>221</v>
      </c>
      <c r="AO397" t="s">
        <v>222</v>
      </c>
      <c r="AP397" t="s">
        <v>223</v>
      </c>
      <c r="AQ397" t="s">
        <v>74</v>
      </c>
      <c r="AR397" t="s">
        <v>224</v>
      </c>
      <c r="AS397" t="s">
        <v>225</v>
      </c>
      <c r="AT397" t="s">
        <v>5789</v>
      </c>
      <c r="AU397">
        <v>2020</v>
      </c>
      <c r="AV397">
        <v>56</v>
      </c>
      <c r="AW397" t="s">
        <v>74</v>
      </c>
      <c r="AX397" t="s">
        <v>74</v>
      </c>
      <c r="AY397">
        <v>64</v>
      </c>
      <c r="AZ397" t="s">
        <v>74</v>
      </c>
      <c r="BA397">
        <v>1478</v>
      </c>
      <c r="BB397" t="s">
        <v>74</v>
      </c>
      <c r="BC397" t="s">
        <v>74</v>
      </c>
      <c r="BD397" t="s">
        <v>74</v>
      </c>
      <c r="BE397" t="s">
        <v>5945</v>
      </c>
      <c r="BF397" t="str">
        <f>HYPERLINK("http://dx.doi.org/10.1183/13993003.congress-2020.1478","http://dx.doi.org/10.1183/13993003.congress-2020.1478")</f>
        <v>http://dx.doi.org/10.1183/13993003.congress-2020.1478</v>
      </c>
      <c r="BG397" t="s">
        <v>74</v>
      </c>
      <c r="BH397" t="s">
        <v>74</v>
      </c>
      <c r="BI397">
        <v>2</v>
      </c>
      <c r="BJ397" t="s">
        <v>228</v>
      </c>
      <c r="BK397" t="s">
        <v>101</v>
      </c>
      <c r="BL397" t="s">
        <v>228</v>
      </c>
      <c r="BM397" t="s">
        <v>5791</v>
      </c>
      <c r="BN397" t="s">
        <v>74</v>
      </c>
      <c r="BO397" t="s">
        <v>74</v>
      </c>
      <c r="BP397" t="s">
        <v>74</v>
      </c>
      <c r="BQ397" t="s">
        <v>74</v>
      </c>
      <c r="BR397" t="s">
        <v>104</v>
      </c>
      <c r="BS397" t="s">
        <v>5946</v>
      </c>
      <c r="BT397" t="str">
        <f>HYPERLINK("https%3A%2F%2Fwww.webofscience.com%2Fwos%2Fwoscc%2Ffull-record%2FWOS:000606501402444","View Full Record in Web of Science")</f>
        <v>View Full Record in Web of Science</v>
      </c>
    </row>
    <row r="398" spans="1:72" x14ac:dyDescent="0.25">
      <c r="A398" t="s">
        <v>72</v>
      </c>
      <c r="B398" t="s">
        <v>5947</v>
      </c>
      <c r="C398" t="s">
        <v>74</v>
      </c>
      <c r="D398" t="s">
        <v>74</v>
      </c>
      <c r="E398" t="s">
        <v>74</v>
      </c>
      <c r="F398" t="s">
        <v>5948</v>
      </c>
      <c r="G398" t="s">
        <v>74</v>
      </c>
      <c r="H398" t="s">
        <v>74</v>
      </c>
      <c r="I398" t="s">
        <v>5949</v>
      </c>
      <c r="J398" t="s">
        <v>216</v>
      </c>
      <c r="K398" t="s">
        <v>74</v>
      </c>
      <c r="L398" t="s">
        <v>74</v>
      </c>
      <c r="M398" t="s">
        <v>78</v>
      </c>
      <c r="N398" t="s">
        <v>52</v>
      </c>
      <c r="O398" t="s">
        <v>74</v>
      </c>
      <c r="P398" t="s">
        <v>74</v>
      </c>
      <c r="Q398" t="s">
        <v>74</v>
      </c>
      <c r="R398" t="s">
        <v>74</v>
      </c>
      <c r="S398" t="s">
        <v>74</v>
      </c>
      <c r="T398" t="s">
        <v>1226</v>
      </c>
      <c r="U398" t="s">
        <v>74</v>
      </c>
      <c r="V398" t="s">
        <v>74</v>
      </c>
      <c r="W398" t="s">
        <v>5950</v>
      </c>
      <c r="X398" t="s">
        <v>5951</v>
      </c>
      <c r="Y398" t="s">
        <v>74</v>
      </c>
      <c r="Z398" t="s">
        <v>5952</v>
      </c>
      <c r="AA398" t="s">
        <v>5953</v>
      </c>
      <c r="AB398" t="s">
        <v>5709</v>
      </c>
      <c r="AC398" t="s">
        <v>74</v>
      </c>
      <c r="AD398" t="s">
        <v>74</v>
      </c>
      <c r="AE398" t="s">
        <v>74</v>
      </c>
      <c r="AF398" t="s">
        <v>74</v>
      </c>
      <c r="AG398">
        <v>0</v>
      </c>
      <c r="AH398">
        <v>0</v>
      </c>
      <c r="AI398">
        <v>0</v>
      </c>
      <c r="AJ398">
        <v>0</v>
      </c>
      <c r="AK398">
        <v>0</v>
      </c>
      <c r="AL398" t="s">
        <v>219</v>
      </c>
      <c r="AM398" t="s">
        <v>220</v>
      </c>
      <c r="AN398" t="s">
        <v>221</v>
      </c>
      <c r="AO398" t="s">
        <v>222</v>
      </c>
      <c r="AP398" t="s">
        <v>223</v>
      </c>
      <c r="AQ398" t="s">
        <v>74</v>
      </c>
      <c r="AR398" t="s">
        <v>224</v>
      </c>
      <c r="AS398" t="s">
        <v>225</v>
      </c>
      <c r="AT398" t="s">
        <v>5789</v>
      </c>
      <c r="AU398">
        <v>2020</v>
      </c>
      <c r="AV398">
        <v>56</v>
      </c>
      <c r="AW398" t="s">
        <v>74</v>
      </c>
      <c r="AX398" t="s">
        <v>74</v>
      </c>
      <c r="AY398">
        <v>64</v>
      </c>
      <c r="AZ398" t="s">
        <v>74</v>
      </c>
      <c r="BA398">
        <v>1537</v>
      </c>
      <c r="BB398" t="s">
        <v>74</v>
      </c>
      <c r="BC398" t="s">
        <v>74</v>
      </c>
      <c r="BD398" t="s">
        <v>74</v>
      </c>
      <c r="BE398" t="s">
        <v>5954</v>
      </c>
      <c r="BF398" t="str">
        <f>HYPERLINK("http://dx.doi.org/10.1183/13993003.congress-2020.1537","http://dx.doi.org/10.1183/13993003.congress-2020.1537")</f>
        <v>http://dx.doi.org/10.1183/13993003.congress-2020.1537</v>
      </c>
      <c r="BG398" t="s">
        <v>74</v>
      </c>
      <c r="BH398" t="s">
        <v>74</v>
      </c>
      <c r="BI398">
        <v>2</v>
      </c>
      <c r="BJ398" t="s">
        <v>228</v>
      </c>
      <c r="BK398" t="s">
        <v>101</v>
      </c>
      <c r="BL398" t="s">
        <v>228</v>
      </c>
      <c r="BM398" t="s">
        <v>5791</v>
      </c>
      <c r="BN398" t="s">
        <v>74</v>
      </c>
      <c r="BO398" t="s">
        <v>74</v>
      </c>
      <c r="BP398" t="s">
        <v>74</v>
      </c>
      <c r="BQ398" t="s">
        <v>74</v>
      </c>
      <c r="BR398" t="s">
        <v>104</v>
      </c>
      <c r="BS398" t="s">
        <v>5955</v>
      </c>
      <c r="BT398" t="str">
        <f>HYPERLINK("https%3A%2F%2Fwww.webofscience.com%2Fwos%2Fwoscc%2Ffull-record%2FWOS:000606501403021","View Full Record in Web of Science")</f>
        <v>View Full Record in Web of Science</v>
      </c>
    </row>
    <row r="399" spans="1:72" x14ac:dyDescent="0.25">
      <c r="A399" t="s">
        <v>72</v>
      </c>
      <c r="B399" t="s">
        <v>5956</v>
      </c>
      <c r="C399" t="s">
        <v>74</v>
      </c>
      <c r="D399" t="s">
        <v>74</v>
      </c>
      <c r="E399" t="s">
        <v>74</v>
      </c>
      <c r="F399" t="s">
        <v>5957</v>
      </c>
      <c r="G399" t="s">
        <v>74</v>
      </c>
      <c r="H399" t="s">
        <v>74</v>
      </c>
      <c r="I399" t="s">
        <v>5958</v>
      </c>
      <c r="J399" t="s">
        <v>5959</v>
      </c>
      <c r="K399" t="s">
        <v>74</v>
      </c>
      <c r="L399" t="s">
        <v>74</v>
      </c>
      <c r="M399" t="s">
        <v>78</v>
      </c>
      <c r="N399" t="s">
        <v>299</v>
      </c>
      <c r="O399" t="s">
        <v>74</v>
      </c>
      <c r="P399" t="s">
        <v>74</v>
      </c>
      <c r="Q399" t="s">
        <v>74</v>
      </c>
      <c r="R399" t="s">
        <v>74</v>
      </c>
      <c r="S399" t="s">
        <v>74</v>
      </c>
      <c r="T399" t="s">
        <v>5960</v>
      </c>
      <c r="U399" t="s">
        <v>5961</v>
      </c>
      <c r="V399" t="s">
        <v>5962</v>
      </c>
      <c r="W399" t="s">
        <v>5963</v>
      </c>
      <c r="X399" t="s">
        <v>5964</v>
      </c>
      <c r="Y399" t="s">
        <v>5965</v>
      </c>
      <c r="Z399" t="s">
        <v>5966</v>
      </c>
      <c r="AA399" t="s">
        <v>144</v>
      </c>
      <c r="AB399" t="s">
        <v>74</v>
      </c>
      <c r="AC399" t="s">
        <v>74</v>
      </c>
      <c r="AD399" t="s">
        <v>74</v>
      </c>
      <c r="AE399" t="s">
        <v>74</v>
      </c>
      <c r="AF399" t="s">
        <v>74</v>
      </c>
      <c r="AG399">
        <v>56</v>
      </c>
      <c r="AH399">
        <v>14</v>
      </c>
      <c r="AI399">
        <v>14</v>
      </c>
      <c r="AJ399">
        <v>0</v>
      </c>
      <c r="AK399">
        <v>4</v>
      </c>
      <c r="AL399" t="s">
        <v>122</v>
      </c>
      <c r="AM399" t="s">
        <v>123</v>
      </c>
      <c r="AN399" t="s">
        <v>124</v>
      </c>
      <c r="AO399" t="s">
        <v>5967</v>
      </c>
      <c r="AP399" t="s">
        <v>5968</v>
      </c>
      <c r="AQ399" t="s">
        <v>74</v>
      </c>
      <c r="AR399" t="s">
        <v>5969</v>
      </c>
      <c r="AS399" t="s">
        <v>5970</v>
      </c>
      <c r="AT399" t="s">
        <v>492</v>
      </c>
      <c r="AU399">
        <v>2020</v>
      </c>
      <c r="AV399">
        <v>26</v>
      </c>
      <c r="AW399">
        <v>5</v>
      </c>
      <c r="AX399" t="s">
        <v>74</v>
      </c>
      <c r="AY399" t="s">
        <v>74</v>
      </c>
      <c r="AZ399" t="s">
        <v>74</v>
      </c>
      <c r="BA399" t="s">
        <v>74</v>
      </c>
      <c r="BB399">
        <v>582</v>
      </c>
      <c r="BC399">
        <v>590</v>
      </c>
      <c r="BD399" t="s">
        <v>74</v>
      </c>
      <c r="BE399" t="s">
        <v>5971</v>
      </c>
      <c r="BF399" t="str">
        <f>HYPERLINK("http://dx.doi.org/10.1097/MCP.0000000000000701","http://dx.doi.org/10.1097/MCP.0000000000000701")</f>
        <v>http://dx.doi.org/10.1097/MCP.0000000000000701</v>
      </c>
      <c r="BG399" t="s">
        <v>74</v>
      </c>
      <c r="BH399" t="s">
        <v>74</v>
      </c>
      <c r="BI399">
        <v>9</v>
      </c>
      <c r="BJ399" t="s">
        <v>228</v>
      </c>
      <c r="BK399" t="s">
        <v>101</v>
      </c>
      <c r="BL399" t="s">
        <v>228</v>
      </c>
      <c r="BM399" t="s">
        <v>5972</v>
      </c>
      <c r="BN399">
        <v>32740377</v>
      </c>
      <c r="BO399" t="s">
        <v>74</v>
      </c>
      <c r="BP399" t="s">
        <v>74</v>
      </c>
      <c r="BQ399" t="s">
        <v>74</v>
      </c>
      <c r="BR399" t="s">
        <v>104</v>
      </c>
      <c r="BS399" t="s">
        <v>5973</v>
      </c>
      <c r="BT399" t="str">
        <f>HYPERLINK("https%3A%2F%2Fwww.webofscience.com%2Fwos%2Fwoscc%2Ffull-record%2FWOS:000570253600028","View Full Record in Web of Science")</f>
        <v>View Full Record in Web of Science</v>
      </c>
    </row>
    <row r="400" spans="1:72" x14ac:dyDescent="0.25">
      <c r="A400" t="s">
        <v>72</v>
      </c>
      <c r="B400" t="s">
        <v>5974</v>
      </c>
      <c r="C400" t="s">
        <v>74</v>
      </c>
      <c r="D400" t="s">
        <v>74</v>
      </c>
      <c r="E400" t="s">
        <v>74</v>
      </c>
      <c r="F400" t="s">
        <v>5975</v>
      </c>
      <c r="G400" t="s">
        <v>74</v>
      </c>
      <c r="H400" t="s">
        <v>74</v>
      </c>
      <c r="I400" t="s">
        <v>5976</v>
      </c>
      <c r="J400" t="s">
        <v>189</v>
      </c>
      <c r="K400" t="s">
        <v>74</v>
      </c>
      <c r="L400" t="s">
        <v>74</v>
      </c>
      <c r="M400" t="s">
        <v>78</v>
      </c>
      <c r="N400" t="s">
        <v>299</v>
      </c>
      <c r="O400" t="s">
        <v>74</v>
      </c>
      <c r="P400" t="s">
        <v>74</v>
      </c>
      <c r="Q400" t="s">
        <v>74</v>
      </c>
      <c r="R400" t="s">
        <v>74</v>
      </c>
      <c r="S400" t="s">
        <v>74</v>
      </c>
      <c r="T400" t="s">
        <v>5977</v>
      </c>
      <c r="U400" t="s">
        <v>5978</v>
      </c>
      <c r="V400" t="s">
        <v>5979</v>
      </c>
      <c r="W400" t="s">
        <v>5980</v>
      </c>
      <c r="X400" t="s">
        <v>5981</v>
      </c>
      <c r="Y400" t="s">
        <v>5982</v>
      </c>
      <c r="Z400" t="s">
        <v>3764</v>
      </c>
      <c r="AA400" t="s">
        <v>5983</v>
      </c>
      <c r="AB400" t="s">
        <v>5984</v>
      </c>
      <c r="AC400" t="s">
        <v>74</v>
      </c>
      <c r="AD400" t="s">
        <v>74</v>
      </c>
      <c r="AE400" t="s">
        <v>74</v>
      </c>
      <c r="AF400" t="s">
        <v>74</v>
      </c>
      <c r="AG400">
        <v>48</v>
      </c>
      <c r="AH400">
        <v>70</v>
      </c>
      <c r="AI400">
        <v>71</v>
      </c>
      <c r="AJ400">
        <v>1</v>
      </c>
      <c r="AK400">
        <v>22</v>
      </c>
      <c r="AL400" t="s">
        <v>200</v>
      </c>
      <c r="AM400" t="s">
        <v>201</v>
      </c>
      <c r="AN400" t="s">
        <v>202</v>
      </c>
      <c r="AO400" t="s">
        <v>203</v>
      </c>
      <c r="AP400" t="s">
        <v>204</v>
      </c>
      <c r="AQ400" t="s">
        <v>74</v>
      </c>
      <c r="AR400" t="s">
        <v>205</v>
      </c>
      <c r="AS400" t="s">
        <v>206</v>
      </c>
      <c r="AT400" t="s">
        <v>492</v>
      </c>
      <c r="AU400">
        <v>2020</v>
      </c>
      <c r="AV400">
        <v>171</v>
      </c>
      <c r="AW400" t="s">
        <v>74</v>
      </c>
      <c r="AX400" t="s">
        <v>74</v>
      </c>
      <c r="AY400" t="s">
        <v>74</v>
      </c>
      <c r="AZ400" t="s">
        <v>74</v>
      </c>
      <c r="BA400" t="s">
        <v>74</v>
      </c>
      <c r="BB400" t="s">
        <v>74</v>
      </c>
      <c r="BC400" t="s">
        <v>74</v>
      </c>
      <c r="BD400">
        <v>106099</v>
      </c>
      <c r="BE400" t="s">
        <v>5985</v>
      </c>
      <c r="BF400" t="str">
        <f>HYPERLINK("http://dx.doi.org/10.1016/j.rmed.2020.106099","http://dx.doi.org/10.1016/j.rmed.2020.106099")</f>
        <v>http://dx.doi.org/10.1016/j.rmed.2020.106099</v>
      </c>
      <c r="BG400" t="s">
        <v>74</v>
      </c>
      <c r="BH400" t="s">
        <v>74</v>
      </c>
      <c r="BI400">
        <v>5</v>
      </c>
      <c r="BJ400" t="s">
        <v>209</v>
      </c>
      <c r="BK400" t="s">
        <v>101</v>
      </c>
      <c r="BL400" t="s">
        <v>210</v>
      </c>
      <c r="BM400" t="s">
        <v>5986</v>
      </c>
      <c r="BN400">
        <v>32829182</v>
      </c>
      <c r="BO400" t="s">
        <v>1194</v>
      </c>
      <c r="BP400" t="s">
        <v>74</v>
      </c>
      <c r="BQ400" t="s">
        <v>74</v>
      </c>
      <c r="BR400" t="s">
        <v>104</v>
      </c>
      <c r="BS400" t="s">
        <v>5987</v>
      </c>
      <c r="BT400" t="str">
        <f>HYPERLINK("https%3A%2F%2Fwww.webofscience.com%2Fwos%2Fwoscc%2Ffull-record%2FWOS:000569861100001","View Full Record in Web of Science")</f>
        <v>View Full Record in Web of Science</v>
      </c>
    </row>
    <row r="401" spans="1:72" x14ac:dyDescent="0.25">
      <c r="A401" t="s">
        <v>72</v>
      </c>
      <c r="B401" t="s">
        <v>5988</v>
      </c>
      <c r="C401" t="s">
        <v>74</v>
      </c>
      <c r="D401" t="s">
        <v>74</v>
      </c>
      <c r="E401" t="s">
        <v>74</v>
      </c>
      <c r="F401" t="s">
        <v>5989</v>
      </c>
      <c r="G401" t="s">
        <v>74</v>
      </c>
      <c r="H401" t="s">
        <v>74</v>
      </c>
      <c r="I401" t="s">
        <v>5990</v>
      </c>
      <c r="J401" t="s">
        <v>5991</v>
      </c>
      <c r="K401" t="s">
        <v>74</v>
      </c>
      <c r="L401" t="s">
        <v>74</v>
      </c>
      <c r="M401" t="s">
        <v>78</v>
      </c>
      <c r="N401" t="s">
        <v>52</v>
      </c>
      <c r="O401" t="s">
        <v>5992</v>
      </c>
      <c r="P401" t="s">
        <v>5993</v>
      </c>
      <c r="Q401" t="s">
        <v>4325</v>
      </c>
      <c r="R401" t="s">
        <v>5994</v>
      </c>
      <c r="S401" t="s">
        <v>74</v>
      </c>
      <c r="T401" t="s">
        <v>74</v>
      </c>
      <c r="U401" t="s">
        <v>74</v>
      </c>
      <c r="V401" t="s">
        <v>74</v>
      </c>
      <c r="W401" t="s">
        <v>5995</v>
      </c>
      <c r="X401" t="s">
        <v>5996</v>
      </c>
      <c r="Y401" t="s">
        <v>74</v>
      </c>
      <c r="Z401" t="s">
        <v>74</v>
      </c>
      <c r="AA401" t="s">
        <v>5997</v>
      </c>
      <c r="AB401" t="s">
        <v>74</v>
      </c>
      <c r="AC401" t="s">
        <v>74</v>
      </c>
      <c r="AD401" t="s">
        <v>74</v>
      </c>
      <c r="AE401" t="s">
        <v>74</v>
      </c>
      <c r="AF401" t="s">
        <v>74</v>
      </c>
      <c r="AG401">
        <v>0</v>
      </c>
      <c r="AH401">
        <v>0</v>
      </c>
      <c r="AI401">
        <v>0</v>
      </c>
      <c r="AJ401">
        <v>0</v>
      </c>
      <c r="AK401">
        <v>0</v>
      </c>
      <c r="AL401" t="s">
        <v>92</v>
      </c>
      <c r="AM401" t="s">
        <v>93</v>
      </c>
      <c r="AN401" t="s">
        <v>94</v>
      </c>
      <c r="AO401" t="s">
        <v>5998</v>
      </c>
      <c r="AP401" t="s">
        <v>5999</v>
      </c>
      <c r="AQ401" t="s">
        <v>74</v>
      </c>
      <c r="AR401" t="s">
        <v>6000</v>
      </c>
      <c r="AS401" t="s">
        <v>6001</v>
      </c>
      <c r="AT401" t="s">
        <v>492</v>
      </c>
      <c r="AU401">
        <v>2020</v>
      </c>
      <c r="AV401">
        <v>31</v>
      </c>
      <c r="AW401" t="s">
        <v>74</v>
      </c>
      <c r="AX401" t="s">
        <v>74</v>
      </c>
      <c r="AY401">
        <v>4</v>
      </c>
      <c r="AZ401" t="s">
        <v>74</v>
      </c>
      <c r="BA401" t="s">
        <v>6002</v>
      </c>
      <c r="BB401" t="s">
        <v>6003</v>
      </c>
      <c r="BC401" t="s">
        <v>6003</v>
      </c>
      <c r="BD401" t="s">
        <v>74</v>
      </c>
      <c r="BE401" t="s">
        <v>6004</v>
      </c>
      <c r="BF401" t="str">
        <f>HYPERLINK("http://dx.doi.org/10.1016/j.annonc.2020.08.1320","http://dx.doi.org/10.1016/j.annonc.2020.08.1320")</f>
        <v>http://dx.doi.org/10.1016/j.annonc.2020.08.1320</v>
      </c>
      <c r="BG401" t="s">
        <v>74</v>
      </c>
      <c r="BH401" t="s">
        <v>74</v>
      </c>
      <c r="BI401">
        <v>1</v>
      </c>
      <c r="BJ401" t="s">
        <v>6005</v>
      </c>
      <c r="BK401" t="s">
        <v>512</v>
      </c>
      <c r="BL401" t="s">
        <v>6005</v>
      </c>
      <c r="BM401" t="s">
        <v>6006</v>
      </c>
      <c r="BN401" t="s">
        <v>74</v>
      </c>
      <c r="BO401" t="s">
        <v>1194</v>
      </c>
      <c r="BP401" t="s">
        <v>74</v>
      </c>
      <c r="BQ401" t="s">
        <v>74</v>
      </c>
      <c r="BR401" t="s">
        <v>104</v>
      </c>
      <c r="BS401" t="s">
        <v>6007</v>
      </c>
      <c r="BT401" t="str">
        <f>HYPERLINK("https%3A%2F%2Fwww.webofscience.com%2Fwos%2Fwoscc%2Ffull-record%2FWOS:000573469102597","View Full Record in Web of Science")</f>
        <v>View Full Record in Web of Science</v>
      </c>
    </row>
    <row r="402" spans="1:72" x14ac:dyDescent="0.25">
      <c r="A402" t="s">
        <v>72</v>
      </c>
      <c r="B402" t="s">
        <v>6008</v>
      </c>
      <c r="C402" t="s">
        <v>74</v>
      </c>
      <c r="D402" t="s">
        <v>74</v>
      </c>
      <c r="E402" t="s">
        <v>74</v>
      </c>
      <c r="F402" t="s">
        <v>6009</v>
      </c>
      <c r="G402" t="s">
        <v>74</v>
      </c>
      <c r="H402" t="s">
        <v>74</v>
      </c>
      <c r="I402" t="s">
        <v>6010</v>
      </c>
      <c r="J402" t="s">
        <v>216</v>
      </c>
      <c r="K402" t="s">
        <v>74</v>
      </c>
      <c r="L402" t="s">
        <v>74</v>
      </c>
      <c r="M402" t="s">
        <v>78</v>
      </c>
      <c r="N402" t="s">
        <v>140</v>
      </c>
      <c r="O402" t="s">
        <v>74</v>
      </c>
      <c r="P402" t="s">
        <v>74</v>
      </c>
      <c r="Q402" t="s">
        <v>74</v>
      </c>
      <c r="R402" t="s">
        <v>74</v>
      </c>
      <c r="S402" t="s">
        <v>74</v>
      </c>
      <c r="T402" t="s">
        <v>74</v>
      </c>
      <c r="U402" t="s">
        <v>6011</v>
      </c>
      <c r="V402" t="s">
        <v>74</v>
      </c>
      <c r="W402" t="s">
        <v>6012</v>
      </c>
      <c r="X402" t="s">
        <v>6013</v>
      </c>
      <c r="Y402" t="s">
        <v>6014</v>
      </c>
      <c r="Z402" t="s">
        <v>6015</v>
      </c>
      <c r="AA402" t="s">
        <v>144</v>
      </c>
      <c r="AB402" t="s">
        <v>257</v>
      </c>
      <c r="AC402" t="s">
        <v>74</v>
      </c>
      <c r="AD402" t="s">
        <v>74</v>
      </c>
      <c r="AE402" t="s">
        <v>74</v>
      </c>
      <c r="AF402" t="s">
        <v>74</v>
      </c>
      <c r="AG402">
        <v>24</v>
      </c>
      <c r="AH402">
        <v>1</v>
      </c>
      <c r="AI402">
        <v>1</v>
      </c>
      <c r="AJ402">
        <v>0</v>
      </c>
      <c r="AK402">
        <v>2</v>
      </c>
      <c r="AL402" t="s">
        <v>219</v>
      </c>
      <c r="AM402" t="s">
        <v>220</v>
      </c>
      <c r="AN402" t="s">
        <v>221</v>
      </c>
      <c r="AO402" t="s">
        <v>222</v>
      </c>
      <c r="AP402" t="s">
        <v>223</v>
      </c>
      <c r="AQ402" t="s">
        <v>74</v>
      </c>
      <c r="AR402" t="s">
        <v>224</v>
      </c>
      <c r="AS402" t="s">
        <v>225</v>
      </c>
      <c r="AT402" t="s">
        <v>529</v>
      </c>
      <c r="AU402">
        <v>2020</v>
      </c>
      <c r="AV402">
        <v>56</v>
      </c>
      <c r="AW402">
        <v>3</v>
      </c>
      <c r="AX402" t="s">
        <v>74</v>
      </c>
      <c r="AY402" t="s">
        <v>74</v>
      </c>
      <c r="AZ402" t="s">
        <v>74</v>
      </c>
      <c r="BA402" t="s">
        <v>74</v>
      </c>
      <c r="BB402" t="s">
        <v>74</v>
      </c>
      <c r="BC402" t="s">
        <v>74</v>
      </c>
      <c r="BD402">
        <v>2002281</v>
      </c>
      <c r="BE402" t="s">
        <v>6016</v>
      </c>
      <c r="BF402" t="str">
        <f>HYPERLINK("http://dx.doi.org/10.1183/13993003.02281-2020","http://dx.doi.org/10.1183/13993003.02281-2020")</f>
        <v>http://dx.doi.org/10.1183/13993003.02281-2020</v>
      </c>
      <c r="BG402" t="s">
        <v>74</v>
      </c>
      <c r="BH402" t="s">
        <v>74</v>
      </c>
      <c r="BI402">
        <v>5</v>
      </c>
      <c r="BJ402" t="s">
        <v>228</v>
      </c>
      <c r="BK402" t="s">
        <v>101</v>
      </c>
      <c r="BL402" t="s">
        <v>228</v>
      </c>
      <c r="BM402" t="s">
        <v>6017</v>
      </c>
      <c r="BN402">
        <v>32747396</v>
      </c>
      <c r="BO402" t="s">
        <v>470</v>
      </c>
      <c r="BP402" t="s">
        <v>74</v>
      </c>
      <c r="BQ402" t="s">
        <v>74</v>
      </c>
      <c r="BR402" t="s">
        <v>104</v>
      </c>
      <c r="BS402" t="s">
        <v>6018</v>
      </c>
      <c r="BT402" t="str">
        <f>HYPERLINK("https%3A%2F%2Fwww.webofscience.com%2Fwos%2Fwoscc%2Ffull-record%2FWOS:000589173000018","View Full Record in Web of Science")</f>
        <v>View Full Record in Web of Science</v>
      </c>
    </row>
    <row r="403" spans="1:72" x14ac:dyDescent="0.25">
      <c r="A403" t="s">
        <v>72</v>
      </c>
      <c r="B403" t="s">
        <v>6019</v>
      </c>
      <c r="C403" t="s">
        <v>74</v>
      </c>
      <c r="D403" t="s">
        <v>74</v>
      </c>
      <c r="E403" t="s">
        <v>74</v>
      </c>
      <c r="F403" t="s">
        <v>6020</v>
      </c>
      <c r="G403" t="s">
        <v>74</v>
      </c>
      <c r="H403" t="s">
        <v>74</v>
      </c>
      <c r="I403" t="s">
        <v>6021</v>
      </c>
      <c r="J403" t="s">
        <v>2645</v>
      </c>
      <c r="K403" t="s">
        <v>74</v>
      </c>
      <c r="L403" t="s">
        <v>74</v>
      </c>
      <c r="M403" t="s">
        <v>78</v>
      </c>
      <c r="N403" t="s">
        <v>299</v>
      </c>
      <c r="O403" t="s">
        <v>74</v>
      </c>
      <c r="P403" t="s">
        <v>74</v>
      </c>
      <c r="Q403" t="s">
        <v>74</v>
      </c>
      <c r="R403" t="s">
        <v>74</v>
      </c>
      <c r="S403" t="s">
        <v>74</v>
      </c>
      <c r="T403" t="s">
        <v>6022</v>
      </c>
      <c r="U403" t="s">
        <v>6023</v>
      </c>
      <c r="V403" t="s">
        <v>6024</v>
      </c>
      <c r="W403" t="s">
        <v>6025</v>
      </c>
      <c r="X403" t="s">
        <v>6026</v>
      </c>
      <c r="Y403" t="s">
        <v>6027</v>
      </c>
      <c r="Z403" t="s">
        <v>6028</v>
      </c>
      <c r="AA403" t="s">
        <v>6029</v>
      </c>
      <c r="AB403" t="s">
        <v>6030</v>
      </c>
      <c r="AC403" t="s">
        <v>6031</v>
      </c>
      <c r="AD403" t="s">
        <v>6032</v>
      </c>
      <c r="AE403" t="s">
        <v>6033</v>
      </c>
      <c r="AF403" t="s">
        <v>74</v>
      </c>
      <c r="AG403">
        <v>148</v>
      </c>
      <c r="AH403">
        <v>31</v>
      </c>
      <c r="AI403">
        <v>31</v>
      </c>
      <c r="AJ403">
        <v>0</v>
      </c>
      <c r="AK403">
        <v>8</v>
      </c>
      <c r="AL403" t="s">
        <v>1113</v>
      </c>
      <c r="AM403" t="s">
        <v>1114</v>
      </c>
      <c r="AN403" t="s">
        <v>1115</v>
      </c>
      <c r="AO403" t="s">
        <v>74</v>
      </c>
      <c r="AP403" t="s">
        <v>2657</v>
      </c>
      <c r="AQ403" t="s">
        <v>74</v>
      </c>
      <c r="AR403" t="s">
        <v>2645</v>
      </c>
      <c r="AS403" t="s">
        <v>2658</v>
      </c>
      <c r="AT403" t="s">
        <v>492</v>
      </c>
      <c r="AU403">
        <v>2020</v>
      </c>
      <c r="AV403">
        <v>10</v>
      </c>
      <c r="AW403">
        <v>9</v>
      </c>
      <c r="AX403" t="s">
        <v>74</v>
      </c>
      <c r="AY403" t="s">
        <v>74</v>
      </c>
      <c r="AZ403" t="s">
        <v>74</v>
      </c>
      <c r="BA403" t="s">
        <v>74</v>
      </c>
      <c r="BB403" t="s">
        <v>74</v>
      </c>
      <c r="BC403" t="s">
        <v>74</v>
      </c>
      <c r="BD403">
        <v>1261</v>
      </c>
      <c r="BE403" t="s">
        <v>6034</v>
      </c>
      <c r="BF403" t="str">
        <f>HYPERLINK("http://dx.doi.org/10.3390/biom10091261","http://dx.doi.org/10.3390/biom10091261")</f>
        <v>http://dx.doi.org/10.3390/biom10091261</v>
      </c>
      <c r="BG403" t="s">
        <v>74</v>
      </c>
      <c r="BH403" t="s">
        <v>74</v>
      </c>
      <c r="BI403">
        <v>22</v>
      </c>
      <c r="BJ403" t="s">
        <v>2660</v>
      </c>
      <c r="BK403" t="s">
        <v>101</v>
      </c>
      <c r="BL403" t="s">
        <v>2660</v>
      </c>
      <c r="BM403" t="s">
        <v>6035</v>
      </c>
      <c r="BN403">
        <v>32882918</v>
      </c>
      <c r="BO403" t="s">
        <v>1665</v>
      </c>
      <c r="BP403" t="s">
        <v>74</v>
      </c>
      <c r="BQ403" t="s">
        <v>74</v>
      </c>
      <c r="BR403" t="s">
        <v>104</v>
      </c>
      <c r="BS403" t="s">
        <v>6036</v>
      </c>
      <c r="BT403" t="str">
        <f>HYPERLINK("https%3A%2F%2Fwww.webofscience.com%2Fwos%2Fwoscc%2Ffull-record%2FWOS:000581425300001","View Full Record in Web of Science")</f>
        <v>View Full Record in Web of Science</v>
      </c>
    </row>
    <row r="404" spans="1:72" x14ac:dyDescent="0.25">
      <c r="A404" t="s">
        <v>72</v>
      </c>
      <c r="B404" t="s">
        <v>6037</v>
      </c>
      <c r="C404" t="s">
        <v>74</v>
      </c>
      <c r="D404" t="s">
        <v>74</v>
      </c>
      <c r="E404" t="s">
        <v>74</v>
      </c>
      <c r="F404" t="s">
        <v>6038</v>
      </c>
      <c r="G404" t="s">
        <v>74</v>
      </c>
      <c r="H404" t="s">
        <v>74</v>
      </c>
      <c r="I404" t="s">
        <v>6039</v>
      </c>
      <c r="J404" t="s">
        <v>388</v>
      </c>
      <c r="K404" t="s">
        <v>74</v>
      </c>
      <c r="L404" t="s">
        <v>74</v>
      </c>
      <c r="M404" t="s">
        <v>78</v>
      </c>
      <c r="N404" t="s">
        <v>79</v>
      </c>
      <c r="O404" t="s">
        <v>74</v>
      </c>
      <c r="P404" t="s">
        <v>74</v>
      </c>
      <c r="Q404" t="s">
        <v>74</v>
      </c>
      <c r="R404" t="s">
        <v>74</v>
      </c>
      <c r="S404" t="s">
        <v>74</v>
      </c>
      <c r="T404" t="s">
        <v>74</v>
      </c>
      <c r="U404" t="s">
        <v>6040</v>
      </c>
      <c r="V404" t="s">
        <v>6041</v>
      </c>
      <c r="W404" t="s">
        <v>6042</v>
      </c>
      <c r="X404" t="s">
        <v>6043</v>
      </c>
      <c r="Y404" t="s">
        <v>6044</v>
      </c>
      <c r="Z404" t="s">
        <v>3648</v>
      </c>
      <c r="AA404" t="s">
        <v>6045</v>
      </c>
      <c r="AB404" t="s">
        <v>6046</v>
      </c>
      <c r="AC404" t="s">
        <v>6047</v>
      </c>
      <c r="AD404" t="s">
        <v>6048</v>
      </c>
      <c r="AE404" t="s">
        <v>6049</v>
      </c>
      <c r="AF404" t="s">
        <v>74</v>
      </c>
      <c r="AG404">
        <v>31</v>
      </c>
      <c r="AH404">
        <v>161</v>
      </c>
      <c r="AI404">
        <v>169</v>
      </c>
      <c r="AJ404">
        <v>4</v>
      </c>
      <c r="AK404">
        <v>7</v>
      </c>
      <c r="AL404" t="s">
        <v>397</v>
      </c>
      <c r="AM404" t="s">
        <v>1074</v>
      </c>
      <c r="AN404" t="s">
        <v>4444</v>
      </c>
      <c r="AO404" t="s">
        <v>400</v>
      </c>
      <c r="AP404" t="s">
        <v>74</v>
      </c>
      <c r="AQ404" t="s">
        <v>74</v>
      </c>
      <c r="AR404" t="s">
        <v>401</v>
      </c>
      <c r="AS404" t="s">
        <v>402</v>
      </c>
      <c r="AT404" t="s">
        <v>492</v>
      </c>
      <c r="AU404">
        <v>2020</v>
      </c>
      <c r="AV404">
        <v>8</v>
      </c>
      <c r="AW404">
        <v>9</v>
      </c>
      <c r="AX404" t="s">
        <v>74</v>
      </c>
      <c r="AY404" t="s">
        <v>74</v>
      </c>
      <c r="AZ404" t="s">
        <v>74</v>
      </c>
      <c r="BA404" t="s">
        <v>74</v>
      </c>
      <c r="BB404">
        <v>873</v>
      </c>
      <c r="BC404">
        <v>884</v>
      </c>
      <c r="BD404" t="s">
        <v>74</v>
      </c>
      <c r="BE404" t="s">
        <v>6050</v>
      </c>
      <c r="BF404" t="str">
        <f>HYPERLINK("http://dx.doi.org/10.1016/S2213-2600(20)30317-9","http://dx.doi.org/10.1016/S2213-2600(20)30317-9")</f>
        <v>http://dx.doi.org/10.1016/S2213-2600(20)30317-9</v>
      </c>
      <c r="BG404" t="s">
        <v>74</v>
      </c>
      <c r="BH404" t="s">
        <v>74</v>
      </c>
      <c r="BI404">
        <v>12</v>
      </c>
      <c r="BJ404" t="s">
        <v>341</v>
      </c>
      <c r="BK404" t="s">
        <v>101</v>
      </c>
      <c r="BL404" t="s">
        <v>342</v>
      </c>
      <c r="BM404" t="s">
        <v>6051</v>
      </c>
      <c r="BN404">
        <v>32730752</v>
      </c>
      <c r="BO404" t="s">
        <v>4589</v>
      </c>
      <c r="BP404" t="s">
        <v>74</v>
      </c>
      <c r="BQ404" t="s">
        <v>74</v>
      </c>
      <c r="BR404" t="s">
        <v>104</v>
      </c>
      <c r="BS404" t="s">
        <v>6052</v>
      </c>
      <c r="BT404" t="str">
        <f>HYPERLINK("https%3A%2F%2Fwww.webofscience.com%2Fwos%2Fwoscc%2Ffull-record%2FWOS:000568662600019","View Full Record in Web of Science")</f>
        <v>View Full Record in Web of Science</v>
      </c>
    </row>
    <row r="405" spans="1:72" x14ac:dyDescent="0.25">
      <c r="A405" t="s">
        <v>72</v>
      </c>
      <c r="B405" t="s">
        <v>6053</v>
      </c>
      <c r="C405" t="s">
        <v>74</v>
      </c>
      <c r="D405" t="s">
        <v>74</v>
      </c>
      <c r="E405" t="s">
        <v>74</v>
      </c>
      <c r="F405" t="s">
        <v>6054</v>
      </c>
      <c r="G405" t="s">
        <v>74</v>
      </c>
      <c r="H405" t="s">
        <v>74</v>
      </c>
      <c r="I405" t="s">
        <v>6055</v>
      </c>
      <c r="J405" t="s">
        <v>637</v>
      </c>
      <c r="K405" t="s">
        <v>74</v>
      </c>
      <c r="L405" t="s">
        <v>74</v>
      </c>
      <c r="M405" t="s">
        <v>78</v>
      </c>
      <c r="N405" t="s">
        <v>140</v>
      </c>
      <c r="O405" t="s">
        <v>74</v>
      </c>
      <c r="P405" t="s">
        <v>74</v>
      </c>
      <c r="Q405" t="s">
        <v>74</v>
      </c>
      <c r="R405" t="s">
        <v>74</v>
      </c>
      <c r="S405" t="s">
        <v>74</v>
      </c>
      <c r="T405" t="s">
        <v>74</v>
      </c>
      <c r="U405" t="s">
        <v>74</v>
      </c>
      <c r="V405" t="s">
        <v>74</v>
      </c>
      <c r="W405" t="s">
        <v>6056</v>
      </c>
      <c r="X405" t="s">
        <v>6057</v>
      </c>
      <c r="Y405" t="s">
        <v>6058</v>
      </c>
      <c r="Z405" t="s">
        <v>74</v>
      </c>
      <c r="AA405" t="s">
        <v>6059</v>
      </c>
      <c r="AB405" t="s">
        <v>6060</v>
      </c>
      <c r="AC405" t="s">
        <v>74</v>
      </c>
      <c r="AD405" t="s">
        <v>74</v>
      </c>
      <c r="AE405" t="s">
        <v>74</v>
      </c>
      <c r="AF405" t="s">
        <v>74</v>
      </c>
      <c r="AG405">
        <v>4</v>
      </c>
      <c r="AH405">
        <v>0</v>
      </c>
      <c r="AI405">
        <v>1</v>
      </c>
      <c r="AJ405">
        <v>0</v>
      </c>
      <c r="AK405">
        <v>2</v>
      </c>
      <c r="AL405" t="s">
        <v>649</v>
      </c>
      <c r="AM405" t="s">
        <v>486</v>
      </c>
      <c r="AN405" t="s">
        <v>650</v>
      </c>
      <c r="AO405" t="s">
        <v>651</v>
      </c>
      <c r="AP405" t="s">
        <v>652</v>
      </c>
      <c r="AQ405" t="s">
        <v>74</v>
      </c>
      <c r="AR405" t="s">
        <v>653</v>
      </c>
      <c r="AS405" t="s">
        <v>654</v>
      </c>
      <c r="AT405" t="s">
        <v>529</v>
      </c>
      <c r="AU405">
        <v>2020</v>
      </c>
      <c r="AV405">
        <v>202</v>
      </c>
      <c r="AW405">
        <v>5</v>
      </c>
      <c r="AX405" t="s">
        <v>74</v>
      </c>
      <c r="AY405" t="s">
        <v>74</v>
      </c>
      <c r="AZ405" t="s">
        <v>74</v>
      </c>
      <c r="BA405" t="s">
        <v>74</v>
      </c>
      <c r="BB405" t="s">
        <v>6061</v>
      </c>
      <c r="BC405" t="s">
        <v>6062</v>
      </c>
      <c r="BD405" t="s">
        <v>74</v>
      </c>
      <c r="BE405" t="s">
        <v>6063</v>
      </c>
      <c r="BF405" t="str">
        <f>HYPERLINK("http://dx.doi.org/10.1164/rccm.202002-0248IM","http://dx.doi.org/10.1164/rccm.202002-0248IM")</f>
        <v>http://dx.doi.org/10.1164/rccm.202002-0248IM</v>
      </c>
      <c r="BG405" t="s">
        <v>74</v>
      </c>
      <c r="BH405" t="s">
        <v>74</v>
      </c>
      <c r="BI405">
        <v>2</v>
      </c>
      <c r="BJ405" t="s">
        <v>341</v>
      </c>
      <c r="BK405" t="s">
        <v>101</v>
      </c>
      <c r="BL405" t="s">
        <v>342</v>
      </c>
      <c r="BM405" t="s">
        <v>6064</v>
      </c>
      <c r="BN405">
        <v>32413269</v>
      </c>
      <c r="BO405" t="s">
        <v>74</v>
      </c>
      <c r="BP405" t="s">
        <v>74</v>
      </c>
      <c r="BQ405" t="s">
        <v>74</v>
      </c>
      <c r="BR405" t="s">
        <v>104</v>
      </c>
      <c r="BS405" t="s">
        <v>6065</v>
      </c>
      <c r="BT405" t="str">
        <f>HYPERLINK("https%3A%2F%2Fwww.webofscience.com%2Fwos%2Fwoscc%2Ffull-record%2FWOS:000567771000001","View Full Record in Web of Science")</f>
        <v>View Full Record in Web of Science</v>
      </c>
    </row>
    <row r="406" spans="1:72" x14ac:dyDescent="0.25">
      <c r="A406" t="s">
        <v>72</v>
      </c>
      <c r="B406" t="s">
        <v>6066</v>
      </c>
      <c r="C406" t="s">
        <v>74</v>
      </c>
      <c r="D406" t="s">
        <v>74</v>
      </c>
      <c r="E406" t="s">
        <v>74</v>
      </c>
      <c r="F406" t="s">
        <v>6067</v>
      </c>
      <c r="G406" t="s">
        <v>74</v>
      </c>
      <c r="H406" t="s">
        <v>74</v>
      </c>
      <c r="I406" t="s">
        <v>6068</v>
      </c>
      <c r="J406" t="s">
        <v>6069</v>
      </c>
      <c r="K406" t="s">
        <v>74</v>
      </c>
      <c r="L406" t="s">
        <v>74</v>
      </c>
      <c r="M406" t="s">
        <v>78</v>
      </c>
      <c r="N406" t="s">
        <v>79</v>
      </c>
      <c r="O406" t="s">
        <v>74</v>
      </c>
      <c r="P406" t="s">
        <v>74</v>
      </c>
      <c r="Q406" t="s">
        <v>74</v>
      </c>
      <c r="R406" t="s">
        <v>74</v>
      </c>
      <c r="S406" t="s">
        <v>74</v>
      </c>
      <c r="T406" t="s">
        <v>74</v>
      </c>
      <c r="U406" t="s">
        <v>6070</v>
      </c>
      <c r="V406" t="s">
        <v>6071</v>
      </c>
      <c r="W406" t="s">
        <v>6072</v>
      </c>
      <c r="X406" t="s">
        <v>6073</v>
      </c>
      <c r="Y406" t="s">
        <v>6074</v>
      </c>
      <c r="Z406" t="s">
        <v>6075</v>
      </c>
      <c r="AA406" t="s">
        <v>6076</v>
      </c>
      <c r="AB406" t="s">
        <v>6077</v>
      </c>
      <c r="AC406" t="s">
        <v>6078</v>
      </c>
      <c r="AD406" t="s">
        <v>6079</v>
      </c>
      <c r="AE406" t="s">
        <v>6080</v>
      </c>
      <c r="AF406" t="s">
        <v>74</v>
      </c>
      <c r="AG406">
        <v>40</v>
      </c>
      <c r="AH406">
        <v>40</v>
      </c>
      <c r="AI406">
        <v>42</v>
      </c>
      <c r="AJ406">
        <v>3</v>
      </c>
      <c r="AK406">
        <v>40</v>
      </c>
      <c r="AL406" t="s">
        <v>6081</v>
      </c>
      <c r="AM406" t="s">
        <v>1212</v>
      </c>
      <c r="AN406" t="s">
        <v>6082</v>
      </c>
      <c r="AO406" t="s">
        <v>6083</v>
      </c>
      <c r="AP406" t="s">
        <v>6084</v>
      </c>
      <c r="AQ406" t="s">
        <v>74</v>
      </c>
      <c r="AR406" t="s">
        <v>6085</v>
      </c>
      <c r="AS406" t="s">
        <v>6086</v>
      </c>
      <c r="AT406" t="s">
        <v>529</v>
      </c>
      <c r="AU406">
        <v>2020</v>
      </c>
      <c r="AV406">
        <v>92</v>
      </c>
      <c r="AW406">
        <v>17</v>
      </c>
      <c r="AX406" t="s">
        <v>74</v>
      </c>
      <c r="AY406" t="s">
        <v>74</v>
      </c>
      <c r="AZ406" t="s">
        <v>74</v>
      </c>
      <c r="BA406" t="s">
        <v>74</v>
      </c>
      <c r="BB406">
        <v>12079</v>
      </c>
      <c r="BC406">
        <v>12087</v>
      </c>
      <c r="BD406" t="s">
        <v>74</v>
      </c>
      <c r="BE406" t="s">
        <v>6087</v>
      </c>
      <c r="BF406" t="str">
        <f>HYPERLINK("http://dx.doi.org/10.1021/acs.analchem.0c02815","http://dx.doi.org/10.1021/acs.analchem.0c02815")</f>
        <v>http://dx.doi.org/10.1021/acs.analchem.0c02815</v>
      </c>
      <c r="BG406" t="s">
        <v>74</v>
      </c>
      <c r="BH406" t="s">
        <v>74</v>
      </c>
      <c r="BI406">
        <v>9</v>
      </c>
      <c r="BJ406" t="s">
        <v>6088</v>
      </c>
      <c r="BK406" t="s">
        <v>101</v>
      </c>
      <c r="BL406" t="s">
        <v>6089</v>
      </c>
      <c r="BM406" t="s">
        <v>6090</v>
      </c>
      <c r="BN406">
        <v>32786503</v>
      </c>
      <c r="BO406" t="s">
        <v>2854</v>
      </c>
      <c r="BP406" t="s">
        <v>74</v>
      </c>
      <c r="BQ406" t="s">
        <v>74</v>
      </c>
      <c r="BR406" t="s">
        <v>104</v>
      </c>
      <c r="BS406" t="s">
        <v>6091</v>
      </c>
      <c r="BT406" t="str">
        <f>HYPERLINK("https%3A%2F%2Fwww.webofscience.com%2Fwos%2Fwoscc%2Ffull-record%2FWOS:000568657600077","View Full Record in Web of Science")</f>
        <v>View Full Record in Web of Science</v>
      </c>
    </row>
    <row r="407" spans="1:72" x14ac:dyDescent="0.25">
      <c r="A407" t="s">
        <v>72</v>
      </c>
      <c r="B407" t="s">
        <v>6092</v>
      </c>
      <c r="C407" t="s">
        <v>74</v>
      </c>
      <c r="D407" t="s">
        <v>74</v>
      </c>
      <c r="E407" t="s">
        <v>74</v>
      </c>
      <c r="F407" t="s">
        <v>6093</v>
      </c>
      <c r="G407" t="s">
        <v>74</v>
      </c>
      <c r="H407" t="s">
        <v>74</v>
      </c>
      <c r="I407" t="s">
        <v>6094</v>
      </c>
      <c r="J407" t="s">
        <v>564</v>
      </c>
      <c r="K407" t="s">
        <v>74</v>
      </c>
      <c r="L407" t="s">
        <v>74</v>
      </c>
      <c r="M407" t="s">
        <v>78</v>
      </c>
      <c r="N407" t="s">
        <v>79</v>
      </c>
      <c r="O407" t="s">
        <v>74</v>
      </c>
      <c r="P407" t="s">
        <v>74</v>
      </c>
      <c r="Q407" t="s">
        <v>74</v>
      </c>
      <c r="R407" t="s">
        <v>74</v>
      </c>
      <c r="S407" t="s">
        <v>74</v>
      </c>
      <c r="T407" t="s">
        <v>6095</v>
      </c>
      <c r="U407" t="s">
        <v>6096</v>
      </c>
      <c r="V407" t="s">
        <v>6097</v>
      </c>
      <c r="W407" t="s">
        <v>6098</v>
      </c>
      <c r="X407" t="s">
        <v>6099</v>
      </c>
      <c r="Y407" t="s">
        <v>6100</v>
      </c>
      <c r="Z407" t="s">
        <v>6101</v>
      </c>
      <c r="AA407" t="s">
        <v>6102</v>
      </c>
      <c r="AB407" t="s">
        <v>6103</v>
      </c>
      <c r="AC407" t="s">
        <v>6104</v>
      </c>
      <c r="AD407" t="s">
        <v>6105</v>
      </c>
      <c r="AE407" t="s">
        <v>6106</v>
      </c>
      <c r="AF407" t="s">
        <v>74</v>
      </c>
      <c r="AG407">
        <v>33</v>
      </c>
      <c r="AH407">
        <v>20</v>
      </c>
      <c r="AI407">
        <v>20</v>
      </c>
      <c r="AJ407">
        <v>0</v>
      </c>
      <c r="AK407">
        <v>3</v>
      </c>
      <c r="AL407" t="s">
        <v>570</v>
      </c>
      <c r="AM407" t="s">
        <v>571</v>
      </c>
      <c r="AN407" t="s">
        <v>572</v>
      </c>
      <c r="AO407" t="s">
        <v>573</v>
      </c>
      <c r="AP407" t="s">
        <v>574</v>
      </c>
      <c r="AQ407" t="s">
        <v>74</v>
      </c>
      <c r="AR407" t="s">
        <v>575</v>
      </c>
      <c r="AS407" t="s">
        <v>576</v>
      </c>
      <c r="AT407" t="s">
        <v>492</v>
      </c>
      <c r="AU407">
        <v>2020</v>
      </c>
      <c r="AV407">
        <v>56</v>
      </c>
      <c r="AW407">
        <v>9</v>
      </c>
      <c r="AX407" t="s">
        <v>74</v>
      </c>
      <c r="AY407" t="s">
        <v>74</v>
      </c>
      <c r="AZ407" t="s">
        <v>74</v>
      </c>
      <c r="BA407" t="s">
        <v>74</v>
      </c>
      <c r="BB407">
        <v>578</v>
      </c>
      <c r="BC407">
        <v>585</v>
      </c>
      <c r="BD407" t="s">
        <v>74</v>
      </c>
      <c r="BE407" t="s">
        <v>6107</v>
      </c>
      <c r="BF407" t="str">
        <f>HYPERLINK("http://dx.doi.org/10.1016/j.arbres.2019.12.030","http://dx.doi.org/10.1016/j.arbres.2019.12.030")</f>
        <v>http://dx.doi.org/10.1016/j.arbres.2019.12.030</v>
      </c>
      <c r="BG407" t="s">
        <v>74</v>
      </c>
      <c r="BH407" t="s">
        <v>74</v>
      </c>
      <c r="BI407">
        <v>8</v>
      </c>
      <c r="BJ407" t="s">
        <v>228</v>
      </c>
      <c r="BK407" t="s">
        <v>101</v>
      </c>
      <c r="BL407" t="s">
        <v>228</v>
      </c>
      <c r="BM407" t="s">
        <v>6108</v>
      </c>
      <c r="BN407">
        <v>32111418</v>
      </c>
      <c r="BO407" t="s">
        <v>103</v>
      </c>
      <c r="BP407" t="s">
        <v>74</v>
      </c>
      <c r="BQ407" t="s">
        <v>74</v>
      </c>
      <c r="BR407" t="s">
        <v>104</v>
      </c>
      <c r="BS407" t="s">
        <v>6109</v>
      </c>
      <c r="BT407" t="str">
        <f>HYPERLINK("https%3A%2F%2Fwww.webofscience.com%2Fwos%2Fwoscc%2Ffull-record%2FWOS:000567894400009","View Full Record in Web of Science")</f>
        <v>View Full Record in Web of Science</v>
      </c>
    </row>
    <row r="408" spans="1:72" x14ac:dyDescent="0.25">
      <c r="A408" t="s">
        <v>72</v>
      </c>
      <c r="B408" t="s">
        <v>6110</v>
      </c>
      <c r="C408" t="s">
        <v>74</v>
      </c>
      <c r="D408" t="s">
        <v>74</v>
      </c>
      <c r="E408" t="s">
        <v>74</v>
      </c>
      <c r="F408" t="s">
        <v>6111</v>
      </c>
      <c r="G408" t="s">
        <v>74</v>
      </c>
      <c r="H408" t="s">
        <v>6112</v>
      </c>
      <c r="I408" t="s">
        <v>6113</v>
      </c>
      <c r="J408" t="s">
        <v>637</v>
      </c>
      <c r="K408" t="s">
        <v>74</v>
      </c>
      <c r="L408" t="s">
        <v>74</v>
      </c>
      <c r="M408" t="s">
        <v>78</v>
      </c>
      <c r="N408" t="s">
        <v>79</v>
      </c>
      <c r="O408" t="s">
        <v>74</v>
      </c>
      <c r="P408" t="s">
        <v>74</v>
      </c>
      <c r="Q408" t="s">
        <v>74</v>
      </c>
      <c r="R408" t="s">
        <v>74</v>
      </c>
      <c r="S408" t="s">
        <v>74</v>
      </c>
      <c r="T408" t="s">
        <v>6114</v>
      </c>
      <c r="U408" t="s">
        <v>6115</v>
      </c>
      <c r="V408" t="s">
        <v>6116</v>
      </c>
      <c r="W408" t="s">
        <v>6117</v>
      </c>
      <c r="X408" t="s">
        <v>6118</v>
      </c>
      <c r="Y408" t="s">
        <v>3281</v>
      </c>
      <c r="Z408" t="s">
        <v>3282</v>
      </c>
      <c r="AA408" t="s">
        <v>6119</v>
      </c>
      <c r="AB408" t="s">
        <v>6120</v>
      </c>
      <c r="AC408" t="s">
        <v>6121</v>
      </c>
      <c r="AD408" t="s">
        <v>6122</v>
      </c>
      <c r="AE408" t="s">
        <v>6123</v>
      </c>
      <c r="AF408" t="s">
        <v>74</v>
      </c>
      <c r="AG408">
        <v>32</v>
      </c>
      <c r="AH408">
        <v>50</v>
      </c>
      <c r="AI408">
        <v>55</v>
      </c>
      <c r="AJ408">
        <v>0</v>
      </c>
      <c r="AK408">
        <v>7</v>
      </c>
      <c r="AL408" t="s">
        <v>649</v>
      </c>
      <c r="AM408" t="s">
        <v>486</v>
      </c>
      <c r="AN408" t="s">
        <v>650</v>
      </c>
      <c r="AO408" t="s">
        <v>651</v>
      </c>
      <c r="AP408" t="s">
        <v>652</v>
      </c>
      <c r="AQ408" t="s">
        <v>74</v>
      </c>
      <c r="AR408" t="s">
        <v>653</v>
      </c>
      <c r="AS408" t="s">
        <v>654</v>
      </c>
      <c r="AT408" t="s">
        <v>6124</v>
      </c>
      <c r="AU408">
        <v>2020</v>
      </c>
      <c r="AV408">
        <v>202</v>
      </c>
      <c r="AW408">
        <v>4</v>
      </c>
      <c r="AX408" t="s">
        <v>74</v>
      </c>
      <c r="AY408" t="s">
        <v>74</v>
      </c>
      <c r="AZ408" t="s">
        <v>74</v>
      </c>
      <c r="BA408" t="s">
        <v>74</v>
      </c>
      <c r="BB408">
        <v>586</v>
      </c>
      <c r="BC408">
        <v>594</v>
      </c>
      <c r="BD408" t="s">
        <v>74</v>
      </c>
      <c r="BE408" t="s">
        <v>6125</v>
      </c>
      <c r="BF408" t="str">
        <f>HYPERLINK("http://dx.doi.org/10.1164/rccm.202003-0510OC","http://dx.doi.org/10.1164/rccm.202003-0510OC")</f>
        <v>http://dx.doi.org/10.1164/rccm.202003-0510OC</v>
      </c>
      <c r="BG408" t="s">
        <v>74</v>
      </c>
      <c r="BH408" t="s">
        <v>74</v>
      </c>
      <c r="BI408">
        <v>9</v>
      </c>
      <c r="BJ408" t="s">
        <v>341</v>
      </c>
      <c r="BK408" t="s">
        <v>101</v>
      </c>
      <c r="BL408" t="s">
        <v>342</v>
      </c>
      <c r="BM408" t="s">
        <v>6126</v>
      </c>
      <c r="BN408">
        <v>32352834</v>
      </c>
      <c r="BO408" t="s">
        <v>6127</v>
      </c>
      <c r="BP408" t="s">
        <v>74</v>
      </c>
      <c r="BQ408" t="s">
        <v>74</v>
      </c>
      <c r="BR408" t="s">
        <v>104</v>
      </c>
      <c r="BS408" t="s">
        <v>6128</v>
      </c>
      <c r="BT408" t="str">
        <f>HYPERLINK("https%3A%2F%2Fwww.webofscience.com%2Fwos%2Fwoscc%2Ffull-record%2FWOS:000562950200021","View Full Record in Web of Science")</f>
        <v>View Full Record in Web of Science</v>
      </c>
    </row>
    <row r="409" spans="1:72" x14ac:dyDescent="0.25">
      <c r="A409" t="s">
        <v>72</v>
      </c>
      <c r="B409" t="s">
        <v>6129</v>
      </c>
      <c r="C409" t="s">
        <v>74</v>
      </c>
      <c r="D409" t="s">
        <v>74</v>
      </c>
      <c r="E409" t="s">
        <v>74</v>
      </c>
      <c r="F409" t="s">
        <v>6130</v>
      </c>
      <c r="G409" t="s">
        <v>74</v>
      </c>
      <c r="H409" t="s">
        <v>74</v>
      </c>
      <c r="I409" t="s">
        <v>6131</v>
      </c>
      <c r="J409" t="s">
        <v>216</v>
      </c>
      <c r="K409" t="s">
        <v>74</v>
      </c>
      <c r="L409" t="s">
        <v>74</v>
      </c>
      <c r="M409" t="s">
        <v>78</v>
      </c>
      <c r="N409" t="s">
        <v>460</v>
      </c>
      <c r="O409" t="s">
        <v>74</v>
      </c>
      <c r="P409" t="s">
        <v>74</v>
      </c>
      <c r="Q409" t="s">
        <v>74</v>
      </c>
      <c r="R409" t="s">
        <v>74</v>
      </c>
      <c r="S409" t="s">
        <v>74</v>
      </c>
      <c r="T409" t="s">
        <v>74</v>
      </c>
      <c r="U409" t="s">
        <v>74</v>
      </c>
      <c r="V409" t="s">
        <v>74</v>
      </c>
      <c r="W409" t="s">
        <v>6132</v>
      </c>
      <c r="X409" t="s">
        <v>6133</v>
      </c>
      <c r="Y409" t="s">
        <v>6134</v>
      </c>
      <c r="Z409" t="s">
        <v>6135</v>
      </c>
      <c r="AA409" t="s">
        <v>6136</v>
      </c>
      <c r="AB409" t="s">
        <v>6137</v>
      </c>
      <c r="AC409" t="s">
        <v>74</v>
      </c>
      <c r="AD409" t="s">
        <v>74</v>
      </c>
      <c r="AE409" t="s">
        <v>74</v>
      </c>
      <c r="AF409" t="s">
        <v>74</v>
      </c>
      <c r="AG409">
        <v>3</v>
      </c>
      <c r="AH409">
        <v>36</v>
      </c>
      <c r="AI409">
        <v>39</v>
      </c>
      <c r="AJ409">
        <v>0</v>
      </c>
      <c r="AK409">
        <v>2</v>
      </c>
      <c r="AL409" t="s">
        <v>219</v>
      </c>
      <c r="AM409" t="s">
        <v>220</v>
      </c>
      <c r="AN409" t="s">
        <v>221</v>
      </c>
      <c r="AO409" t="s">
        <v>222</v>
      </c>
      <c r="AP409" t="s">
        <v>223</v>
      </c>
      <c r="AQ409" t="s">
        <v>74</v>
      </c>
      <c r="AR409" t="s">
        <v>224</v>
      </c>
      <c r="AS409" t="s">
        <v>225</v>
      </c>
      <c r="AT409" t="s">
        <v>742</v>
      </c>
      <c r="AU409">
        <v>2020</v>
      </c>
      <c r="AV409">
        <v>56</v>
      </c>
      <c r="AW409">
        <v>2</v>
      </c>
      <c r="AX409" t="s">
        <v>74</v>
      </c>
      <c r="AY409" t="s">
        <v>74</v>
      </c>
      <c r="AZ409" t="s">
        <v>74</v>
      </c>
      <c r="BA409" t="s">
        <v>74</v>
      </c>
      <c r="BB409" t="s">
        <v>74</v>
      </c>
      <c r="BC409" t="s">
        <v>74</v>
      </c>
      <c r="BD409">
        <v>2001808</v>
      </c>
      <c r="BE409" t="s">
        <v>6138</v>
      </c>
      <c r="BF409" t="str">
        <f>HYPERLINK("http://dx.doi.org/10.1183/13993003.01808-2020","http://dx.doi.org/10.1183/13993003.01808-2020")</f>
        <v>http://dx.doi.org/10.1183/13993003.01808-2020</v>
      </c>
      <c r="BG409" t="s">
        <v>74</v>
      </c>
      <c r="BH409" t="s">
        <v>74</v>
      </c>
      <c r="BI409">
        <v>3</v>
      </c>
      <c r="BJ409" t="s">
        <v>228</v>
      </c>
      <c r="BK409" t="s">
        <v>101</v>
      </c>
      <c r="BL409" t="s">
        <v>228</v>
      </c>
      <c r="BM409" t="s">
        <v>6139</v>
      </c>
      <c r="BN409">
        <v>32631838</v>
      </c>
      <c r="BO409" t="s">
        <v>246</v>
      </c>
      <c r="BP409" t="s">
        <v>74</v>
      </c>
      <c r="BQ409" t="s">
        <v>74</v>
      </c>
      <c r="BR409" t="s">
        <v>104</v>
      </c>
      <c r="BS409" t="s">
        <v>6140</v>
      </c>
      <c r="BT409" t="str">
        <f>HYPERLINK("https%3A%2F%2Fwww.webofscience.com%2Fwos%2Fwoscc%2Ffull-record%2FWOS:000574951300026","View Full Record in Web of Science")</f>
        <v>View Full Record in Web of Science</v>
      </c>
    </row>
    <row r="410" spans="1:72" x14ac:dyDescent="0.25">
      <c r="A410" t="s">
        <v>72</v>
      </c>
      <c r="B410" t="s">
        <v>6141</v>
      </c>
      <c r="C410" t="s">
        <v>74</v>
      </c>
      <c r="D410" t="s">
        <v>74</v>
      </c>
      <c r="E410" t="s">
        <v>74</v>
      </c>
      <c r="F410" t="s">
        <v>6142</v>
      </c>
      <c r="G410" t="s">
        <v>74</v>
      </c>
      <c r="H410" t="s">
        <v>74</v>
      </c>
      <c r="I410" t="s">
        <v>6143</v>
      </c>
      <c r="J410" t="s">
        <v>4350</v>
      </c>
      <c r="K410" t="s">
        <v>74</v>
      </c>
      <c r="L410" t="s">
        <v>74</v>
      </c>
      <c r="M410" t="s">
        <v>78</v>
      </c>
      <c r="N410" t="s">
        <v>79</v>
      </c>
      <c r="O410" t="s">
        <v>74</v>
      </c>
      <c r="P410" t="s">
        <v>74</v>
      </c>
      <c r="Q410" t="s">
        <v>74</v>
      </c>
      <c r="R410" t="s">
        <v>74</v>
      </c>
      <c r="S410" t="s">
        <v>74</v>
      </c>
      <c r="T410" t="s">
        <v>6144</v>
      </c>
      <c r="U410" t="s">
        <v>74</v>
      </c>
      <c r="V410" t="s">
        <v>6145</v>
      </c>
      <c r="W410" t="s">
        <v>6146</v>
      </c>
      <c r="X410" t="s">
        <v>6147</v>
      </c>
      <c r="Y410" t="s">
        <v>6148</v>
      </c>
      <c r="Z410" t="s">
        <v>6149</v>
      </c>
      <c r="AA410" t="s">
        <v>6150</v>
      </c>
      <c r="AB410" t="s">
        <v>6151</v>
      </c>
      <c r="AC410" t="s">
        <v>74</v>
      </c>
      <c r="AD410" t="s">
        <v>74</v>
      </c>
      <c r="AE410" t="s">
        <v>74</v>
      </c>
      <c r="AF410" t="s">
        <v>74</v>
      </c>
      <c r="AG410">
        <v>6</v>
      </c>
      <c r="AH410">
        <v>5</v>
      </c>
      <c r="AI410">
        <v>5</v>
      </c>
      <c r="AJ410">
        <v>0</v>
      </c>
      <c r="AK410">
        <v>3</v>
      </c>
      <c r="AL410" t="s">
        <v>1781</v>
      </c>
      <c r="AM410" t="s">
        <v>486</v>
      </c>
      <c r="AN410" t="s">
        <v>4357</v>
      </c>
      <c r="AO410" t="s">
        <v>4358</v>
      </c>
      <c r="AP410" t="s">
        <v>4359</v>
      </c>
      <c r="AQ410" t="s">
        <v>74</v>
      </c>
      <c r="AR410" t="s">
        <v>4360</v>
      </c>
      <c r="AS410" t="s">
        <v>4361</v>
      </c>
      <c r="AT410" t="s">
        <v>176</v>
      </c>
      <c r="AU410">
        <v>2021</v>
      </c>
      <c r="AV410">
        <v>180</v>
      </c>
      <c r="AW410">
        <v>1</v>
      </c>
      <c r="AX410" t="s">
        <v>74</v>
      </c>
      <c r="AY410" t="s">
        <v>74</v>
      </c>
      <c r="AZ410" t="s">
        <v>74</v>
      </c>
      <c r="BA410" t="s">
        <v>74</v>
      </c>
      <c r="BB410">
        <v>295</v>
      </c>
      <c r="BC410">
        <v>298</v>
      </c>
      <c r="BD410" t="s">
        <v>74</v>
      </c>
      <c r="BE410" t="s">
        <v>6152</v>
      </c>
      <c r="BF410" t="str">
        <f>HYPERLINK("http://dx.doi.org/10.1007/s00431-020-03742-0","http://dx.doi.org/10.1007/s00431-020-03742-0")</f>
        <v>http://dx.doi.org/10.1007/s00431-020-03742-0</v>
      </c>
      <c r="BG410" t="s">
        <v>74</v>
      </c>
      <c r="BH410" t="s">
        <v>6153</v>
      </c>
      <c r="BI410">
        <v>4</v>
      </c>
      <c r="BJ410" t="s">
        <v>4364</v>
      </c>
      <c r="BK410" t="s">
        <v>101</v>
      </c>
      <c r="BL410" t="s">
        <v>4364</v>
      </c>
      <c r="BM410" t="s">
        <v>6154</v>
      </c>
      <c r="BN410">
        <v>32691132</v>
      </c>
      <c r="BO410" t="s">
        <v>74</v>
      </c>
      <c r="BP410" t="s">
        <v>74</v>
      </c>
      <c r="BQ410" t="s">
        <v>74</v>
      </c>
      <c r="BR410" t="s">
        <v>104</v>
      </c>
      <c r="BS410" t="s">
        <v>6155</v>
      </c>
      <c r="BT410" t="str">
        <f>HYPERLINK("https%3A%2F%2Fwww.webofscience.com%2Fwos%2Fwoscc%2Ffull-record%2FWOS:000550607400001","View Full Record in Web of Science")</f>
        <v>View Full Record in Web of Science</v>
      </c>
    </row>
    <row r="411" spans="1:72" x14ac:dyDescent="0.25">
      <c r="A411" t="s">
        <v>72</v>
      </c>
      <c r="B411" t="s">
        <v>6156</v>
      </c>
      <c r="C411" t="s">
        <v>74</v>
      </c>
      <c r="D411" t="s">
        <v>74</v>
      </c>
      <c r="E411" t="s">
        <v>74</v>
      </c>
      <c r="F411" t="s">
        <v>6157</v>
      </c>
      <c r="G411" t="s">
        <v>74</v>
      </c>
      <c r="H411" t="s">
        <v>74</v>
      </c>
      <c r="I411" t="s">
        <v>6158</v>
      </c>
      <c r="J411" t="s">
        <v>1843</v>
      </c>
      <c r="K411" t="s">
        <v>74</v>
      </c>
      <c r="L411" t="s">
        <v>74</v>
      </c>
      <c r="M411" t="s">
        <v>78</v>
      </c>
      <c r="N411" t="s">
        <v>79</v>
      </c>
      <c r="O411" t="s">
        <v>74</v>
      </c>
      <c r="P411" t="s">
        <v>74</v>
      </c>
      <c r="Q411" t="s">
        <v>74</v>
      </c>
      <c r="R411" t="s">
        <v>74</v>
      </c>
      <c r="S411" t="s">
        <v>74</v>
      </c>
      <c r="T411" t="s">
        <v>6159</v>
      </c>
      <c r="U411" t="s">
        <v>6160</v>
      </c>
      <c r="V411" t="s">
        <v>6161</v>
      </c>
      <c r="W411" t="s">
        <v>6162</v>
      </c>
      <c r="X411" t="s">
        <v>6163</v>
      </c>
      <c r="Y411" t="s">
        <v>6164</v>
      </c>
      <c r="Z411" t="s">
        <v>6165</v>
      </c>
      <c r="AA411" t="s">
        <v>6166</v>
      </c>
      <c r="AB411" t="s">
        <v>6167</v>
      </c>
      <c r="AC411" t="s">
        <v>6168</v>
      </c>
      <c r="AD411" t="s">
        <v>6169</v>
      </c>
      <c r="AE411" t="s">
        <v>6170</v>
      </c>
      <c r="AF411" t="s">
        <v>74</v>
      </c>
      <c r="AG411">
        <v>37</v>
      </c>
      <c r="AH411">
        <v>23</v>
      </c>
      <c r="AI411">
        <v>23</v>
      </c>
      <c r="AJ411">
        <v>0</v>
      </c>
      <c r="AK411">
        <v>4</v>
      </c>
      <c r="AL411" t="s">
        <v>1854</v>
      </c>
      <c r="AM411" t="s">
        <v>201</v>
      </c>
      <c r="AN411" t="s">
        <v>1855</v>
      </c>
      <c r="AO411" t="s">
        <v>74</v>
      </c>
      <c r="AP411" t="s">
        <v>1856</v>
      </c>
      <c r="AQ411" t="s">
        <v>74</v>
      </c>
      <c r="AR411" t="s">
        <v>1857</v>
      </c>
      <c r="AS411" t="s">
        <v>1858</v>
      </c>
      <c r="AT411" t="s">
        <v>765</v>
      </c>
      <c r="AU411">
        <v>2020</v>
      </c>
      <c r="AV411">
        <v>21</v>
      </c>
      <c r="AW411">
        <v>1</v>
      </c>
      <c r="AX411" t="s">
        <v>74</v>
      </c>
      <c r="AY411" t="s">
        <v>74</v>
      </c>
      <c r="AZ411" t="s">
        <v>74</v>
      </c>
      <c r="BA411" t="s">
        <v>74</v>
      </c>
      <c r="BB411" t="s">
        <v>74</v>
      </c>
      <c r="BC411" t="s">
        <v>74</v>
      </c>
      <c r="BD411">
        <v>186</v>
      </c>
      <c r="BE411" t="s">
        <v>6171</v>
      </c>
      <c r="BF411" t="str">
        <f>HYPERLINK("http://dx.doi.org/10.1186/s12931-020-01444-7","http://dx.doi.org/10.1186/s12931-020-01444-7")</f>
        <v>http://dx.doi.org/10.1186/s12931-020-01444-7</v>
      </c>
      <c r="BG411" t="s">
        <v>74</v>
      </c>
      <c r="BH411" t="s">
        <v>74</v>
      </c>
      <c r="BI411">
        <v>14</v>
      </c>
      <c r="BJ411" t="s">
        <v>228</v>
      </c>
      <c r="BK411" t="s">
        <v>101</v>
      </c>
      <c r="BL411" t="s">
        <v>228</v>
      </c>
      <c r="BM411" t="s">
        <v>6172</v>
      </c>
      <c r="BN411">
        <v>32678044</v>
      </c>
      <c r="BO411" t="s">
        <v>1665</v>
      </c>
      <c r="BP411" t="s">
        <v>74</v>
      </c>
      <c r="BQ411" t="s">
        <v>74</v>
      </c>
      <c r="BR411" t="s">
        <v>104</v>
      </c>
      <c r="BS411" t="s">
        <v>6173</v>
      </c>
      <c r="BT411" t="str">
        <f>HYPERLINK("https%3A%2F%2Fwww.webofscience.com%2Fwos%2Fwoscc%2Ffull-record%2FWOS:000552379000002","View Full Record in Web of Science")</f>
        <v>View Full Record in Web of Science</v>
      </c>
    </row>
    <row r="412" spans="1:72" x14ac:dyDescent="0.25">
      <c r="A412" t="s">
        <v>72</v>
      </c>
      <c r="B412" t="s">
        <v>2166</v>
      </c>
      <c r="C412" t="s">
        <v>74</v>
      </c>
      <c r="D412" t="s">
        <v>74</v>
      </c>
      <c r="E412" t="s">
        <v>74</v>
      </c>
      <c r="F412" t="s">
        <v>6174</v>
      </c>
      <c r="G412" t="s">
        <v>74</v>
      </c>
      <c r="H412" t="s">
        <v>74</v>
      </c>
      <c r="I412" t="s">
        <v>6175</v>
      </c>
      <c r="J412" t="s">
        <v>435</v>
      </c>
      <c r="K412" t="s">
        <v>74</v>
      </c>
      <c r="L412" t="s">
        <v>74</v>
      </c>
      <c r="M412" t="s">
        <v>78</v>
      </c>
      <c r="N412" t="s">
        <v>79</v>
      </c>
      <c r="O412" t="s">
        <v>74</v>
      </c>
      <c r="P412" t="s">
        <v>74</v>
      </c>
      <c r="Q412" t="s">
        <v>74</v>
      </c>
      <c r="R412" t="s">
        <v>74</v>
      </c>
      <c r="S412" t="s">
        <v>74</v>
      </c>
      <c r="T412" t="s">
        <v>6176</v>
      </c>
      <c r="U412" t="s">
        <v>6177</v>
      </c>
      <c r="V412" t="s">
        <v>6178</v>
      </c>
      <c r="W412" t="s">
        <v>6179</v>
      </c>
      <c r="X412" t="s">
        <v>6180</v>
      </c>
      <c r="Y412" t="s">
        <v>6181</v>
      </c>
      <c r="Z412" t="s">
        <v>6182</v>
      </c>
      <c r="AA412" t="s">
        <v>6183</v>
      </c>
      <c r="AB412" t="s">
        <v>6184</v>
      </c>
      <c r="AC412" t="s">
        <v>74</v>
      </c>
      <c r="AD412" t="s">
        <v>74</v>
      </c>
      <c r="AE412" t="s">
        <v>74</v>
      </c>
      <c r="AF412" t="s">
        <v>74</v>
      </c>
      <c r="AG412">
        <v>18</v>
      </c>
      <c r="AH412">
        <v>6</v>
      </c>
      <c r="AI412">
        <v>6</v>
      </c>
      <c r="AJ412">
        <v>1</v>
      </c>
      <c r="AK412">
        <v>7</v>
      </c>
      <c r="AL412" t="s">
        <v>1330</v>
      </c>
      <c r="AM412" t="s">
        <v>1331</v>
      </c>
      <c r="AN412" t="s">
        <v>1332</v>
      </c>
      <c r="AO412" t="s">
        <v>448</v>
      </c>
      <c r="AP412" t="s">
        <v>449</v>
      </c>
      <c r="AQ412" t="s">
        <v>74</v>
      </c>
      <c r="AR412" t="s">
        <v>450</v>
      </c>
      <c r="AS412" t="s">
        <v>451</v>
      </c>
      <c r="AT412" t="s">
        <v>785</v>
      </c>
      <c r="AU412">
        <v>2020</v>
      </c>
      <c r="AV412">
        <v>10</v>
      </c>
      <c r="AW412">
        <v>3</v>
      </c>
      <c r="AX412" t="s">
        <v>74</v>
      </c>
      <c r="AY412" t="s">
        <v>74</v>
      </c>
      <c r="AZ412" t="s">
        <v>74</v>
      </c>
      <c r="BA412" t="s">
        <v>74</v>
      </c>
      <c r="BB412" t="s">
        <v>74</v>
      </c>
      <c r="BC412" t="s">
        <v>74</v>
      </c>
      <c r="BD412">
        <v>2045894020942121</v>
      </c>
      <c r="BE412" t="s">
        <v>6185</v>
      </c>
      <c r="BF412" t="str">
        <f>HYPERLINK("http://dx.doi.org/10.1177/2045894020942121","http://dx.doi.org/10.1177/2045894020942121")</f>
        <v>http://dx.doi.org/10.1177/2045894020942121</v>
      </c>
      <c r="BG412" t="s">
        <v>74</v>
      </c>
      <c r="BH412" t="s">
        <v>74</v>
      </c>
      <c r="BI412">
        <v>10</v>
      </c>
      <c r="BJ412" t="s">
        <v>209</v>
      </c>
      <c r="BK412" t="s">
        <v>101</v>
      </c>
      <c r="BL412" t="s">
        <v>210</v>
      </c>
      <c r="BM412" t="s">
        <v>6186</v>
      </c>
      <c r="BN412">
        <v>32728421</v>
      </c>
      <c r="BO412" t="s">
        <v>809</v>
      </c>
      <c r="BP412" t="s">
        <v>74</v>
      </c>
      <c r="BQ412" t="s">
        <v>74</v>
      </c>
      <c r="BR412" t="s">
        <v>104</v>
      </c>
      <c r="BS412" t="s">
        <v>6187</v>
      </c>
      <c r="BT412" t="str">
        <f>HYPERLINK("https%3A%2F%2Fwww.webofscience.com%2Fwos%2Fwoscc%2Ffull-record%2FWOS:000553820800001","View Full Record in Web of Science")</f>
        <v>View Full Record in Web of Science</v>
      </c>
    </row>
    <row r="413" spans="1:72" x14ac:dyDescent="0.25">
      <c r="A413" t="s">
        <v>72</v>
      </c>
      <c r="B413" t="s">
        <v>6188</v>
      </c>
      <c r="C413" t="s">
        <v>74</v>
      </c>
      <c r="D413" t="s">
        <v>74</v>
      </c>
      <c r="E413" t="s">
        <v>74</v>
      </c>
      <c r="F413" t="s">
        <v>6189</v>
      </c>
      <c r="G413" t="s">
        <v>74</v>
      </c>
      <c r="H413" t="s">
        <v>74</v>
      </c>
      <c r="I413" t="s">
        <v>6190</v>
      </c>
      <c r="J413" t="s">
        <v>216</v>
      </c>
      <c r="K413" t="s">
        <v>74</v>
      </c>
      <c r="L413" t="s">
        <v>74</v>
      </c>
      <c r="M413" t="s">
        <v>78</v>
      </c>
      <c r="N413" t="s">
        <v>140</v>
      </c>
      <c r="O413" t="s">
        <v>74</v>
      </c>
      <c r="P413" t="s">
        <v>74</v>
      </c>
      <c r="Q413" t="s">
        <v>74</v>
      </c>
      <c r="R413" t="s">
        <v>74</v>
      </c>
      <c r="S413" t="s">
        <v>74</v>
      </c>
      <c r="T413" t="s">
        <v>74</v>
      </c>
      <c r="U413" t="s">
        <v>6191</v>
      </c>
      <c r="V413" t="s">
        <v>74</v>
      </c>
      <c r="W413" t="s">
        <v>6192</v>
      </c>
      <c r="X413" t="s">
        <v>6193</v>
      </c>
      <c r="Y413" t="s">
        <v>6194</v>
      </c>
      <c r="Z413" t="s">
        <v>1296</v>
      </c>
      <c r="AA413" t="s">
        <v>6195</v>
      </c>
      <c r="AB413" t="s">
        <v>6196</v>
      </c>
      <c r="AC413" t="s">
        <v>74</v>
      </c>
      <c r="AD413" t="s">
        <v>74</v>
      </c>
      <c r="AE413" t="s">
        <v>74</v>
      </c>
      <c r="AF413" t="s">
        <v>74</v>
      </c>
      <c r="AG413">
        <v>49</v>
      </c>
      <c r="AH413">
        <v>233</v>
      </c>
      <c r="AI413">
        <v>249</v>
      </c>
      <c r="AJ413">
        <v>0</v>
      </c>
      <c r="AK413">
        <v>4</v>
      </c>
      <c r="AL413" t="s">
        <v>219</v>
      </c>
      <c r="AM413" t="s">
        <v>220</v>
      </c>
      <c r="AN413" t="s">
        <v>221</v>
      </c>
      <c r="AO413" t="s">
        <v>222</v>
      </c>
      <c r="AP413" t="s">
        <v>223</v>
      </c>
      <c r="AQ413" t="s">
        <v>74</v>
      </c>
      <c r="AR413" t="s">
        <v>224</v>
      </c>
      <c r="AS413" t="s">
        <v>225</v>
      </c>
      <c r="AT413" t="s">
        <v>806</v>
      </c>
      <c r="AU413">
        <v>2020</v>
      </c>
      <c r="AV413">
        <v>56</v>
      </c>
      <c r="AW413">
        <v>1</v>
      </c>
      <c r="AX413" t="s">
        <v>74</v>
      </c>
      <c r="AY413" t="s">
        <v>74</v>
      </c>
      <c r="AZ413" t="s">
        <v>74</v>
      </c>
      <c r="BA413" t="s">
        <v>74</v>
      </c>
      <c r="BB413" t="s">
        <v>74</v>
      </c>
      <c r="BC413" t="s">
        <v>74</v>
      </c>
      <c r="BD413">
        <v>2001634</v>
      </c>
      <c r="BE413" t="s">
        <v>6197</v>
      </c>
      <c r="BF413" t="str">
        <f>HYPERLINK("http://dx.doi.org/10.1183/13993003.01634-2020","http://dx.doi.org/10.1183/13993003.01634-2020")</f>
        <v>http://dx.doi.org/10.1183/13993003.01634-2020</v>
      </c>
      <c r="BG413" t="s">
        <v>74</v>
      </c>
      <c r="BH413" t="s">
        <v>74</v>
      </c>
      <c r="BI413">
        <v>5</v>
      </c>
      <c r="BJ413" t="s">
        <v>228</v>
      </c>
      <c r="BK413" t="s">
        <v>101</v>
      </c>
      <c r="BL413" t="s">
        <v>228</v>
      </c>
      <c r="BM413" t="s">
        <v>6198</v>
      </c>
      <c r="BN413">
        <v>32554538</v>
      </c>
      <c r="BO413" t="s">
        <v>470</v>
      </c>
      <c r="BP413" t="s">
        <v>74</v>
      </c>
      <c r="BQ413" t="s">
        <v>74</v>
      </c>
      <c r="BR413" t="s">
        <v>104</v>
      </c>
      <c r="BS413" t="s">
        <v>6199</v>
      </c>
      <c r="BT413" t="str">
        <f>HYPERLINK("https%3A%2F%2Fwww.webofscience.com%2Fwos%2Fwoscc%2Ffull-record%2FWOS:000574944800048","View Full Record in Web of Science")</f>
        <v>View Full Record in Web of Science</v>
      </c>
    </row>
    <row r="414" spans="1:72" x14ac:dyDescent="0.25">
      <c r="A414" t="s">
        <v>72</v>
      </c>
      <c r="B414" t="s">
        <v>6200</v>
      </c>
      <c r="C414" t="s">
        <v>74</v>
      </c>
      <c r="D414" t="s">
        <v>74</v>
      </c>
      <c r="E414" t="s">
        <v>74</v>
      </c>
      <c r="F414" t="s">
        <v>6201</v>
      </c>
      <c r="G414" t="s">
        <v>74</v>
      </c>
      <c r="H414" t="s">
        <v>74</v>
      </c>
      <c r="I414" t="s">
        <v>6202</v>
      </c>
      <c r="J414" t="s">
        <v>4594</v>
      </c>
      <c r="K414" t="s">
        <v>74</v>
      </c>
      <c r="L414" t="s">
        <v>74</v>
      </c>
      <c r="M414" t="s">
        <v>78</v>
      </c>
      <c r="N414" t="s">
        <v>79</v>
      </c>
      <c r="O414" t="s">
        <v>74</v>
      </c>
      <c r="P414" t="s">
        <v>74</v>
      </c>
      <c r="Q414" t="s">
        <v>74</v>
      </c>
      <c r="R414" t="s">
        <v>74</v>
      </c>
      <c r="S414" t="s">
        <v>74</v>
      </c>
      <c r="T414" t="s">
        <v>6203</v>
      </c>
      <c r="U414" t="s">
        <v>6204</v>
      </c>
      <c r="V414" t="s">
        <v>6205</v>
      </c>
      <c r="W414" t="s">
        <v>6206</v>
      </c>
      <c r="X414" t="s">
        <v>6207</v>
      </c>
      <c r="Y414" t="s">
        <v>6208</v>
      </c>
      <c r="Z414" t="s">
        <v>6209</v>
      </c>
      <c r="AA414" t="s">
        <v>6210</v>
      </c>
      <c r="AB414" t="s">
        <v>6211</v>
      </c>
      <c r="AC414" t="s">
        <v>6212</v>
      </c>
      <c r="AD414" t="s">
        <v>6213</v>
      </c>
      <c r="AE414" t="s">
        <v>6214</v>
      </c>
      <c r="AF414" t="s">
        <v>74</v>
      </c>
      <c r="AG414">
        <v>46</v>
      </c>
      <c r="AH414">
        <v>17</v>
      </c>
      <c r="AI414">
        <v>18</v>
      </c>
      <c r="AJ414">
        <v>0</v>
      </c>
      <c r="AK414">
        <v>2</v>
      </c>
      <c r="AL414" t="s">
        <v>1073</v>
      </c>
      <c r="AM414" t="s">
        <v>1074</v>
      </c>
      <c r="AN414" t="s">
        <v>1075</v>
      </c>
      <c r="AO414" t="s">
        <v>4607</v>
      </c>
      <c r="AP414" t="s">
        <v>4608</v>
      </c>
      <c r="AQ414" t="s">
        <v>74</v>
      </c>
      <c r="AR414" t="s">
        <v>4609</v>
      </c>
      <c r="AS414" t="s">
        <v>4610</v>
      </c>
      <c r="AT414" t="s">
        <v>806</v>
      </c>
      <c r="AU414">
        <v>2020</v>
      </c>
      <c r="AV414">
        <v>116</v>
      </c>
      <c r="AW414">
        <v>8</v>
      </c>
      <c r="AX414" t="s">
        <v>74</v>
      </c>
      <c r="AY414" t="s">
        <v>74</v>
      </c>
      <c r="AZ414" t="s">
        <v>74</v>
      </c>
      <c r="BA414" t="s">
        <v>74</v>
      </c>
      <c r="BB414">
        <v>1500</v>
      </c>
      <c r="BC414">
        <v>1513</v>
      </c>
      <c r="BD414" t="s">
        <v>74</v>
      </c>
      <c r="BE414" t="s">
        <v>6215</v>
      </c>
      <c r="BF414" t="str">
        <f>HYPERLINK("http://dx.doi.org/10.1093/cvr/cvz244","http://dx.doi.org/10.1093/cvr/cvz244")</f>
        <v>http://dx.doi.org/10.1093/cvr/cvz244</v>
      </c>
      <c r="BG414" t="s">
        <v>74</v>
      </c>
      <c r="BH414" t="s">
        <v>74</v>
      </c>
      <c r="BI414">
        <v>14</v>
      </c>
      <c r="BJ414" t="s">
        <v>132</v>
      </c>
      <c r="BK414" t="s">
        <v>101</v>
      </c>
      <c r="BL414" t="s">
        <v>133</v>
      </c>
      <c r="BM414" t="s">
        <v>6216</v>
      </c>
      <c r="BN414">
        <v>31529026</v>
      </c>
      <c r="BO414" t="s">
        <v>6217</v>
      </c>
      <c r="BP414" t="s">
        <v>74</v>
      </c>
      <c r="BQ414" t="s">
        <v>74</v>
      </c>
      <c r="BR414" t="s">
        <v>104</v>
      </c>
      <c r="BS414" t="s">
        <v>6218</v>
      </c>
      <c r="BT414" t="str">
        <f>HYPERLINK("https%3A%2F%2Fwww.webofscience.com%2Fwos%2Fwoscc%2Ffull-record%2FWOS:000551078800019","View Full Record in Web of Science")</f>
        <v>View Full Record in Web of Science</v>
      </c>
    </row>
    <row r="415" spans="1:72" x14ac:dyDescent="0.25">
      <c r="A415" t="s">
        <v>72</v>
      </c>
      <c r="B415" t="s">
        <v>6219</v>
      </c>
      <c r="C415" t="s">
        <v>74</v>
      </c>
      <c r="D415" t="s">
        <v>74</v>
      </c>
      <c r="E415" t="s">
        <v>74</v>
      </c>
      <c r="F415" t="s">
        <v>6220</v>
      </c>
      <c r="G415" t="s">
        <v>74</v>
      </c>
      <c r="H415" t="s">
        <v>74</v>
      </c>
      <c r="I415" t="s">
        <v>6221</v>
      </c>
      <c r="J415" t="s">
        <v>833</v>
      </c>
      <c r="K415" t="s">
        <v>74</v>
      </c>
      <c r="L415" t="s">
        <v>74</v>
      </c>
      <c r="M415" t="s">
        <v>78</v>
      </c>
      <c r="N415" t="s">
        <v>79</v>
      </c>
      <c r="O415" t="s">
        <v>74</v>
      </c>
      <c r="P415" t="s">
        <v>74</v>
      </c>
      <c r="Q415" t="s">
        <v>74</v>
      </c>
      <c r="R415" t="s">
        <v>74</v>
      </c>
      <c r="S415" t="s">
        <v>74</v>
      </c>
      <c r="T415" t="s">
        <v>6222</v>
      </c>
      <c r="U415" t="s">
        <v>6223</v>
      </c>
      <c r="V415" t="s">
        <v>6224</v>
      </c>
      <c r="W415" t="s">
        <v>6225</v>
      </c>
      <c r="X415" t="s">
        <v>6226</v>
      </c>
      <c r="Y415" t="s">
        <v>6227</v>
      </c>
      <c r="Z415" t="s">
        <v>756</v>
      </c>
      <c r="AA415" t="s">
        <v>6228</v>
      </c>
      <c r="AB415" t="s">
        <v>6229</v>
      </c>
      <c r="AC415" t="s">
        <v>6230</v>
      </c>
      <c r="AD415" t="s">
        <v>6231</v>
      </c>
      <c r="AE415" t="s">
        <v>6232</v>
      </c>
      <c r="AF415" t="s">
        <v>74</v>
      </c>
      <c r="AG415">
        <v>55</v>
      </c>
      <c r="AH415">
        <v>28</v>
      </c>
      <c r="AI415">
        <v>29</v>
      </c>
      <c r="AJ415">
        <v>0</v>
      </c>
      <c r="AK415">
        <v>11</v>
      </c>
      <c r="AL415" t="s">
        <v>649</v>
      </c>
      <c r="AM415" t="s">
        <v>486</v>
      </c>
      <c r="AN415" t="s">
        <v>650</v>
      </c>
      <c r="AO415" t="s">
        <v>844</v>
      </c>
      <c r="AP415" t="s">
        <v>845</v>
      </c>
      <c r="AQ415" t="s">
        <v>74</v>
      </c>
      <c r="AR415" t="s">
        <v>846</v>
      </c>
      <c r="AS415" t="s">
        <v>847</v>
      </c>
      <c r="AT415" t="s">
        <v>785</v>
      </c>
      <c r="AU415">
        <v>2020</v>
      </c>
      <c r="AV415">
        <v>63</v>
      </c>
      <c r="AW415">
        <v>1</v>
      </c>
      <c r="AX415" t="s">
        <v>74</v>
      </c>
      <c r="AY415" t="s">
        <v>74</v>
      </c>
      <c r="AZ415" t="s">
        <v>74</v>
      </c>
      <c r="BA415" t="s">
        <v>74</v>
      </c>
      <c r="BB415">
        <v>118</v>
      </c>
      <c r="BC415">
        <v>131</v>
      </c>
      <c r="BD415" t="s">
        <v>74</v>
      </c>
      <c r="BE415" t="s">
        <v>6233</v>
      </c>
      <c r="BF415" t="str">
        <f>HYPERLINK("http://dx.doi.org/10.1165/rcmb.2019-0015OC","http://dx.doi.org/10.1165/rcmb.2019-0015OC")</f>
        <v>http://dx.doi.org/10.1165/rcmb.2019-0015OC</v>
      </c>
      <c r="BG415" t="s">
        <v>74</v>
      </c>
      <c r="BH415" t="s">
        <v>74</v>
      </c>
      <c r="BI415">
        <v>14</v>
      </c>
      <c r="BJ415" t="s">
        <v>849</v>
      </c>
      <c r="BK415" t="s">
        <v>101</v>
      </c>
      <c r="BL415" t="s">
        <v>849</v>
      </c>
      <c r="BM415" t="s">
        <v>6234</v>
      </c>
      <c r="BN415">
        <v>32209028</v>
      </c>
      <c r="BO415" t="s">
        <v>4779</v>
      </c>
      <c r="BP415" t="s">
        <v>74</v>
      </c>
      <c r="BQ415" t="s">
        <v>74</v>
      </c>
      <c r="BR415" t="s">
        <v>104</v>
      </c>
      <c r="BS415" t="s">
        <v>6235</v>
      </c>
      <c r="BT415" t="str">
        <f>HYPERLINK("https%3A%2F%2Fwww.webofscience.com%2Fwos%2Fwoscc%2Ffull-record%2FWOS:000546618300016","View Full Record in Web of Science")</f>
        <v>View Full Record in Web of Science</v>
      </c>
    </row>
    <row r="416" spans="1:72" x14ac:dyDescent="0.25">
      <c r="A416" t="s">
        <v>72</v>
      </c>
      <c r="B416" t="s">
        <v>3451</v>
      </c>
      <c r="C416" t="s">
        <v>74</v>
      </c>
      <c r="D416" t="s">
        <v>74</v>
      </c>
      <c r="E416" t="s">
        <v>74</v>
      </c>
      <c r="F416" t="s">
        <v>3452</v>
      </c>
      <c r="G416" t="s">
        <v>74</v>
      </c>
      <c r="H416" t="s">
        <v>74</v>
      </c>
      <c r="I416" t="s">
        <v>6236</v>
      </c>
      <c r="J416" t="s">
        <v>216</v>
      </c>
      <c r="K416" t="s">
        <v>74</v>
      </c>
      <c r="L416" t="s">
        <v>74</v>
      </c>
      <c r="M416" t="s">
        <v>78</v>
      </c>
      <c r="N416" t="s">
        <v>140</v>
      </c>
      <c r="O416" t="s">
        <v>74</v>
      </c>
      <c r="P416" t="s">
        <v>74</v>
      </c>
      <c r="Q416" t="s">
        <v>74</v>
      </c>
      <c r="R416" t="s">
        <v>74</v>
      </c>
      <c r="S416" t="s">
        <v>74</v>
      </c>
      <c r="T416" t="s">
        <v>74</v>
      </c>
      <c r="U416" t="s">
        <v>74</v>
      </c>
      <c r="V416" t="s">
        <v>74</v>
      </c>
      <c r="W416" t="s">
        <v>6237</v>
      </c>
      <c r="X416" t="s">
        <v>6238</v>
      </c>
      <c r="Y416" t="s">
        <v>6239</v>
      </c>
      <c r="Z416" t="s">
        <v>3648</v>
      </c>
      <c r="AA416" t="s">
        <v>144</v>
      </c>
      <c r="AB416" t="s">
        <v>257</v>
      </c>
      <c r="AC416" t="s">
        <v>6240</v>
      </c>
      <c r="AD416" t="s">
        <v>6241</v>
      </c>
      <c r="AE416" t="s">
        <v>6242</v>
      </c>
      <c r="AF416" t="s">
        <v>74</v>
      </c>
      <c r="AG416">
        <v>13</v>
      </c>
      <c r="AH416">
        <v>1</v>
      </c>
      <c r="AI416">
        <v>1</v>
      </c>
      <c r="AJ416">
        <v>0</v>
      </c>
      <c r="AK416">
        <v>1</v>
      </c>
      <c r="AL416" t="s">
        <v>219</v>
      </c>
      <c r="AM416" t="s">
        <v>220</v>
      </c>
      <c r="AN416" t="s">
        <v>221</v>
      </c>
      <c r="AO416" t="s">
        <v>222</v>
      </c>
      <c r="AP416" t="s">
        <v>223</v>
      </c>
      <c r="AQ416" t="s">
        <v>74</v>
      </c>
      <c r="AR416" t="s">
        <v>224</v>
      </c>
      <c r="AS416" t="s">
        <v>225</v>
      </c>
      <c r="AT416" t="s">
        <v>806</v>
      </c>
      <c r="AU416">
        <v>2020</v>
      </c>
      <c r="AV416">
        <v>56</v>
      </c>
      <c r="AW416">
        <v>1</v>
      </c>
      <c r="AX416" t="s">
        <v>74</v>
      </c>
      <c r="AY416" t="s">
        <v>74</v>
      </c>
      <c r="AZ416" t="s">
        <v>74</v>
      </c>
      <c r="BA416" t="s">
        <v>74</v>
      </c>
      <c r="BB416" t="s">
        <v>74</v>
      </c>
      <c r="BC416" t="s">
        <v>74</v>
      </c>
      <c r="BD416">
        <v>2000962</v>
      </c>
      <c r="BE416" t="s">
        <v>6243</v>
      </c>
      <c r="BF416" t="str">
        <f>HYPERLINK("http://dx.doi.org/10.1183/13993003.00962-2020","http://dx.doi.org/10.1183/13993003.00962-2020")</f>
        <v>http://dx.doi.org/10.1183/13993003.00962-2020</v>
      </c>
      <c r="BG416" t="s">
        <v>74</v>
      </c>
      <c r="BH416" t="s">
        <v>74</v>
      </c>
      <c r="BI416">
        <v>3</v>
      </c>
      <c r="BJ416" t="s">
        <v>228</v>
      </c>
      <c r="BK416" t="s">
        <v>101</v>
      </c>
      <c r="BL416" t="s">
        <v>228</v>
      </c>
      <c r="BM416" t="s">
        <v>6198</v>
      </c>
      <c r="BN416">
        <v>32646896</v>
      </c>
      <c r="BO416" t="s">
        <v>4500</v>
      </c>
      <c r="BP416" t="s">
        <v>74</v>
      </c>
      <c r="BQ416" t="s">
        <v>74</v>
      </c>
      <c r="BR416" t="s">
        <v>104</v>
      </c>
      <c r="BS416" t="s">
        <v>6244</v>
      </c>
      <c r="BT416" t="str">
        <f>HYPERLINK("https%3A%2F%2Fwww.webofscience.com%2Fwos%2Fwoscc%2Ffull-record%2FWOS:000574944800024","View Full Record in Web of Science")</f>
        <v>View Full Record in Web of Science</v>
      </c>
    </row>
    <row r="417" spans="1:72" x14ac:dyDescent="0.25">
      <c r="A417" t="s">
        <v>72</v>
      </c>
      <c r="B417" t="s">
        <v>6245</v>
      </c>
      <c r="C417" t="s">
        <v>74</v>
      </c>
      <c r="D417" t="s">
        <v>74</v>
      </c>
      <c r="E417" t="s">
        <v>74</v>
      </c>
      <c r="F417" t="s">
        <v>6246</v>
      </c>
      <c r="G417" t="s">
        <v>74</v>
      </c>
      <c r="H417" t="s">
        <v>74</v>
      </c>
      <c r="I417" t="s">
        <v>6247</v>
      </c>
      <c r="J417" t="s">
        <v>324</v>
      </c>
      <c r="K417" t="s">
        <v>74</v>
      </c>
      <c r="L417" t="s">
        <v>74</v>
      </c>
      <c r="M417" t="s">
        <v>78</v>
      </c>
      <c r="N417" t="s">
        <v>79</v>
      </c>
      <c r="O417" t="s">
        <v>74</v>
      </c>
      <c r="P417" t="s">
        <v>74</v>
      </c>
      <c r="Q417" t="s">
        <v>74</v>
      </c>
      <c r="R417" t="s">
        <v>74</v>
      </c>
      <c r="S417" t="s">
        <v>74</v>
      </c>
      <c r="T417" t="s">
        <v>74</v>
      </c>
      <c r="U417" t="s">
        <v>6248</v>
      </c>
      <c r="V417" t="s">
        <v>6249</v>
      </c>
      <c r="W417" t="s">
        <v>6250</v>
      </c>
      <c r="X417" t="s">
        <v>6251</v>
      </c>
      <c r="Y417" t="s">
        <v>6252</v>
      </c>
      <c r="Z417" t="s">
        <v>6253</v>
      </c>
      <c r="AA417" t="s">
        <v>6254</v>
      </c>
      <c r="AB417" t="s">
        <v>6255</v>
      </c>
      <c r="AC417" t="s">
        <v>74</v>
      </c>
      <c r="AD417" t="s">
        <v>74</v>
      </c>
      <c r="AE417" t="s">
        <v>74</v>
      </c>
      <c r="AF417" t="s">
        <v>74</v>
      </c>
      <c r="AG417">
        <v>35</v>
      </c>
      <c r="AH417">
        <v>230</v>
      </c>
      <c r="AI417">
        <v>233</v>
      </c>
      <c r="AJ417">
        <v>1</v>
      </c>
      <c r="AK417">
        <v>18</v>
      </c>
      <c r="AL417" t="s">
        <v>92</v>
      </c>
      <c r="AM417" t="s">
        <v>93</v>
      </c>
      <c r="AN417" t="s">
        <v>94</v>
      </c>
      <c r="AO417" t="s">
        <v>337</v>
      </c>
      <c r="AP417" t="s">
        <v>338</v>
      </c>
      <c r="AQ417" t="s">
        <v>74</v>
      </c>
      <c r="AR417" t="s">
        <v>324</v>
      </c>
      <c r="AS417" t="s">
        <v>339</v>
      </c>
      <c r="AT417" t="s">
        <v>785</v>
      </c>
      <c r="AU417">
        <v>2020</v>
      </c>
      <c r="AV417">
        <v>158</v>
      </c>
      <c r="AW417">
        <v>1</v>
      </c>
      <c r="AX417" t="s">
        <v>74</v>
      </c>
      <c r="AY417" t="s">
        <v>74</v>
      </c>
      <c r="AZ417" t="s">
        <v>74</v>
      </c>
      <c r="BA417" t="s">
        <v>74</v>
      </c>
      <c r="BB417">
        <v>106</v>
      </c>
      <c r="BC417">
        <v>116</v>
      </c>
      <c r="BD417" t="s">
        <v>74</v>
      </c>
      <c r="BE417" t="s">
        <v>6256</v>
      </c>
      <c r="BF417" t="str">
        <f>HYPERLINK("http://dx.doi.org/10.1016/j.chest.2020.04.003","http://dx.doi.org/10.1016/j.chest.2020.04.003")</f>
        <v>http://dx.doi.org/10.1016/j.chest.2020.04.003</v>
      </c>
      <c r="BG417" t="s">
        <v>74</v>
      </c>
      <c r="BH417" t="s">
        <v>74</v>
      </c>
      <c r="BI417">
        <v>11</v>
      </c>
      <c r="BJ417" t="s">
        <v>341</v>
      </c>
      <c r="BK417" t="s">
        <v>101</v>
      </c>
      <c r="BL417" t="s">
        <v>342</v>
      </c>
      <c r="BM417" t="s">
        <v>6257</v>
      </c>
      <c r="BN417" t="s">
        <v>74</v>
      </c>
      <c r="BO417" t="s">
        <v>103</v>
      </c>
      <c r="BP417" t="s">
        <v>1155</v>
      </c>
      <c r="BQ417" t="s">
        <v>1156</v>
      </c>
      <c r="BR417" t="s">
        <v>104</v>
      </c>
      <c r="BS417" t="s">
        <v>6258</v>
      </c>
      <c r="BT417" t="str">
        <f>HYPERLINK("https%3A%2F%2Fwww.webofscience.com%2Fwos%2Fwoscc%2Ffull-record%2FWOS:000545659700038","View Full Record in Web of Science")</f>
        <v>View Full Record in Web of Science</v>
      </c>
    </row>
    <row r="418" spans="1:72" x14ac:dyDescent="0.25">
      <c r="A418" t="s">
        <v>72</v>
      </c>
      <c r="B418" t="s">
        <v>6259</v>
      </c>
      <c r="C418" t="s">
        <v>74</v>
      </c>
      <c r="D418" t="s">
        <v>74</v>
      </c>
      <c r="E418" t="s">
        <v>74</v>
      </c>
      <c r="F418" t="s">
        <v>6260</v>
      </c>
      <c r="G418" t="s">
        <v>74</v>
      </c>
      <c r="H418" t="s">
        <v>74</v>
      </c>
      <c r="I418" t="s">
        <v>6261</v>
      </c>
      <c r="J418" t="s">
        <v>5175</v>
      </c>
      <c r="K418" t="s">
        <v>74</v>
      </c>
      <c r="L418" t="s">
        <v>74</v>
      </c>
      <c r="M418" t="s">
        <v>78</v>
      </c>
      <c r="N418" t="s">
        <v>79</v>
      </c>
      <c r="O418" t="s">
        <v>74</v>
      </c>
      <c r="P418" t="s">
        <v>74</v>
      </c>
      <c r="Q418" t="s">
        <v>74</v>
      </c>
      <c r="R418" t="s">
        <v>74</v>
      </c>
      <c r="S418" t="s">
        <v>74</v>
      </c>
      <c r="T418" t="s">
        <v>74</v>
      </c>
      <c r="U418" t="s">
        <v>74</v>
      </c>
      <c r="V418" t="s">
        <v>6262</v>
      </c>
      <c r="W418" t="s">
        <v>6263</v>
      </c>
      <c r="X418" t="s">
        <v>6264</v>
      </c>
      <c r="Y418" t="s">
        <v>6265</v>
      </c>
      <c r="Z418" t="s">
        <v>6253</v>
      </c>
      <c r="AA418" t="s">
        <v>6266</v>
      </c>
      <c r="AB418" t="s">
        <v>6267</v>
      </c>
      <c r="AC418" t="s">
        <v>74</v>
      </c>
      <c r="AD418" t="s">
        <v>74</v>
      </c>
      <c r="AE418" t="s">
        <v>74</v>
      </c>
      <c r="AF418" t="s">
        <v>74</v>
      </c>
      <c r="AG418">
        <v>36</v>
      </c>
      <c r="AH418">
        <v>853</v>
      </c>
      <c r="AI418">
        <v>892</v>
      </c>
      <c r="AJ418">
        <v>1</v>
      </c>
      <c r="AK418">
        <v>38</v>
      </c>
      <c r="AL418" t="s">
        <v>5187</v>
      </c>
      <c r="AM418" t="s">
        <v>5188</v>
      </c>
      <c r="AN418" t="s">
        <v>5189</v>
      </c>
      <c r="AO418" t="s">
        <v>5190</v>
      </c>
      <c r="AP418" t="s">
        <v>74</v>
      </c>
      <c r="AQ418" t="s">
        <v>74</v>
      </c>
      <c r="AR418" t="s">
        <v>5175</v>
      </c>
      <c r="AS418" t="s">
        <v>5191</v>
      </c>
      <c r="AT418" t="s">
        <v>785</v>
      </c>
      <c r="AU418">
        <v>2020</v>
      </c>
      <c r="AV418">
        <v>296</v>
      </c>
      <c r="AW418">
        <v>1</v>
      </c>
      <c r="AX418" t="s">
        <v>74</v>
      </c>
      <c r="AY418" t="s">
        <v>74</v>
      </c>
      <c r="AZ418" t="s">
        <v>74</v>
      </c>
      <c r="BA418" t="s">
        <v>74</v>
      </c>
      <c r="BB418">
        <v>172</v>
      </c>
      <c r="BC418">
        <v>180</v>
      </c>
      <c r="BD418" t="s">
        <v>74</v>
      </c>
      <c r="BE418" t="s">
        <v>6268</v>
      </c>
      <c r="BF418" t="str">
        <f>HYPERLINK("http://dx.doi.org/10.1148/radiol.2020201365","http://dx.doi.org/10.1148/radiol.2020201365")</f>
        <v>http://dx.doi.org/10.1148/radiol.2020201365</v>
      </c>
      <c r="BG418" t="s">
        <v>74</v>
      </c>
      <c r="BH418" t="s">
        <v>74</v>
      </c>
      <c r="BI418">
        <v>9</v>
      </c>
      <c r="BJ418" t="s">
        <v>892</v>
      </c>
      <c r="BK418" t="s">
        <v>101</v>
      </c>
      <c r="BL418" t="s">
        <v>892</v>
      </c>
      <c r="BM418" t="s">
        <v>6269</v>
      </c>
      <c r="BN418">
        <v>32275978</v>
      </c>
      <c r="BO418" t="s">
        <v>3117</v>
      </c>
      <c r="BP418" t="s">
        <v>1155</v>
      </c>
      <c r="BQ418" t="s">
        <v>1156</v>
      </c>
      <c r="BR418" t="s">
        <v>104</v>
      </c>
      <c r="BS418" t="s">
        <v>6270</v>
      </c>
      <c r="BT418" t="str">
        <f>HYPERLINK("https%3A%2F%2Fwww.webofscience.com%2Fwos%2Fwoscc%2Ffull-record%2FWOS:000541776100030","View Full Record in Web of Science")</f>
        <v>View Full Record in Web of Science</v>
      </c>
    </row>
    <row r="419" spans="1:72" x14ac:dyDescent="0.25">
      <c r="A419" t="s">
        <v>72</v>
      </c>
      <c r="B419" t="s">
        <v>6271</v>
      </c>
      <c r="C419" t="s">
        <v>74</v>
      </c>
      <c r="D419" t="s">
        <v>74</v>
      </c>
      <c r="E419" t="s">
        <v>74</v>
      </c>
      <c r="F419" t="s">
        <v>5606</v>
      </c>
      <c r="G419" t="s">
        <v>74</v>
      </c>
      <c r="H419" t="s">
        <v>74</v>
      </c>
      <c r="I419" t="s">
        <v>6272</v>
      </c>
      <c r="J419" t="s">
        <v>5608</v>
      </c>
      <c r="K419" t="s">
        <v>74</v>
      </c>
      <c r="L419" t="s">
        <v>74</v>
      </c>
      <c r="M419" t="s">
        <v>78</v>
      </c>
      <c r="N419" t="s">
        <v>79</v>
      </c>
      <c r="O419" t="s">
        <v>74</v>
      </c>
      <c r="P419" t="s">
        <v>74</v>
      </c>
      <c r="Q419" t="s">
        <v>74</v>
      </c>
      <c r="R419" t="s">
        <v>74</v>
      </c>
      <c r="S419" t="s">
        <v>74</v>
      </c>
      <c r="T419" t="s">
        <v>6273</v>
      </c>
      <c r="U419" t="s">
        <v>6274</v>
      </c>
      <c r="V419" t="s">
        <v>6275</v>
      </c>
      <c r="W419" t="s">
        <v>6276</v>
      </c>
      <c r="X419" t="s">
        <v>6277</v>
      </c>
      <c r="Y419" t="s">
        <v>5611</v>
      </c>
      <c r="Z419" t="s">
        <v>86</v>
      </c>
      <c r="AA419" t="s">
        <v>6278</v>
      </c>
      <c r="AB419" t="s">
        <v>6279</v>
      </c>
      <c r="AC419" t="s">
        <v>74</v>
      </c>
      <c r="AD419" t="s">
        <v>74</v>
      </c>
      <c r="AE419" t="s">
        <v>74</v>
      </c>
      <c r="AF419" t="s">
        <v>74</v>
      </c>
      <c r="AG419">
        <v>27</v>
      </c>
      <c r="AH419">
        <v>94</v>
      </c>
      <c r="AI419">
        <v>99</v>
      </c>
      <c r="AJ419">
        <v>1</v>
      </c>
      <c r="AK419">
        <v>8</v>
      </c>
      <c r="AL419" t="s">
        <v>92</v>
      </c>
      <c r="AM419" t="s">
        <v>93</v>
      </c>
      <c r="AN419" t="s">
        <v>6280</v>
      </c>
      <c r="AO419" t="s">
        <v>5614</v>
      </c>
      <c r="AP419" t="s">
        <v>5615</v>
      </c>
      <c r="AQ419" t="s">
        <v>74</v>
      </c>
      <c r="AR419" t="s">
        <v>5616</v>
      </c>
      <c r="AS419" t="s">
        <v>5617</v>
      </c>
      <c r="AT419" t="s">
        <v>785</v>
      </c>
      <c r="AU419">
        <v>2020</v>
      </c>
      <c r="AV419">
        <v>73</v>
      </c>
      <c r="AW419">
        <v>1</v>
      </c>
      <c r="AX419" t="s">
        <v>74</v>
      </c>
      <c r="AY419" t="s">
        <v>74</v>
      </c>
      <c r="AZ419" t="s">
        <v>74</v>
      </c>
      <c r="BA419" t="s">
        <v>74</v>
      </c>
      <c r="BB419">
        <v>130</v>
      </c>
      <c r="BC419">
        <v>139</v>
      </c>
      <c r="BD419" t="s">
        <v>74</v>
      </c>
      <c r="BE419" t="s">
        <v>6281</v>
      </c>
      <c r="BF419" t="str">
        <f>HYPERLINK("http://dx.doi.org/10.1016/j.jhep.2020.02.021","http://dx.doi.org/10.1016/j.jhep.2020.02.021")</f>
        <v>http://dx.doi.org/10.1016/j.jhep.2020.02.021</v>
      </c>
      <c r="BG419" t="s">
        <v>74</v>
      </c>
      <c r="BH419" t="s">
        <v>74</v>
      </c>
      <c r="BI419">
        <v>10</v>
      </c>
      <c r="BJ419" t="s">
        <v>100</v>
      </c>
      <c r="BK419" t="s">
        <v>101</v>
      </c>
      <c r="BL419" t="s">
        <v>100</v>
      </c>
      <c r="BM419" t="s">
        <v>6282</v>
      </c>
      <c r="BN419">
        <v>32145258</v>
      </c>
      <c r="BO419" t="s">
        <v>1194</v>
      </c>
      <c r="BP419" t="s">
        <v>74</v>
      </c>
      <c r="BQ419" t="s">
        <v>74</v>
      </c>
      <c r="BR419" t="s">
        <v>104</v>
      </c>
      <c r="BS419" t="s">
        <v>6283</v>
      </c>
      <c r="BT419" t="str">
        <f>HYPERLINK("https%3A%2F%2Fwww.webofscience.com%2Fwos%2Fwoscc%2Ffull-record%2FWOS:000563494500017","View Full Record in Web of Science")</f>
        <v>View Full Record in Web of Science</v>
      </c>
    </row>
    <row r="420" spans="1:72" x14ac:dyDescent="0.25">
      <c r="A420" t="s">
        <v>72</v>
      </c>
      <c r="B420" t="s">
        <v>6284</v>
      </c>
      <c r="C420" t="s">
        <v>74</v>
      </c>
      <c r="D420" t="s">
        <v>74</v>
      </c>
      <c r="E420" t="s">
        <v>74</v>
      </c>
      <c r="F420" t="s">
        <v>6285</v>
      </c>
      <c r="G420" t="s">
        <v>74</v>
      </c>
      <c r="H420" t="s">
        <v>74</v>
      </c>
      <c r="I420" t="s">
        <v>6286</v>
      </c>
      <c r="J420" t="s">
        <v>814</v>
      </c>
      <c r="K420" t="s">
        <v>74</v>
      </c>
      <c r="L420" t="s">
        <v>74</v>
      </c>
      <c r="M420" t="s">
        <v>78</v>
      </c>
      <c r="N420" t="s">
        <v>140</v>
      </c>
      <c r="O420" t="s">
        <v>74</v>
      </c>
      <c r="P420" t="s">
        <v>74</v>
      </c>
      <c r="Q420" t="s">
        <v>74</v>
      </c>
      <c r="R420" t="s">
        <v>74</v>
      </c>
      <c r="S420" t="s">
        <v>74</v>
      </c>
      <c r="T420" t="s">
        <v>74</v>
      </c>
      <c r="U420" t="s">
        <v>6287</v>
      </c>
      <c r="V420" t="s">
        <v>74</v>
      </c>
      <c r="W420" t="s">
        <v>6288</v>
      </c>
      <c r="X420" t="s">
        <v>6289</v>
      </c>
      <c r="Y420" t="s">
        <v>6290</v>
      </c>
      <c r="Z420" t="s">
        <v>3899</v>
      </c>
      <c r="AA420" t="s">
        <v>144</v>
      </c>
      <c r="AB420" t="s">
        <v>257</v>
      </c>
      <c r="AC420" t="s">
        <v>74</v>
      </c>
      <c r="AD420" t="s">
        <v>74</v>
      </c>
      <c r="AE420" t="s">
        <v>74</v>
      </c>
      <c r="AF420" t="s">
        <v>74</v>
      </c>
      <c r="AG420">
        <v>7</v>
      </c>
      <c r="AH420">
        <v>13</v>
      </c>
      <c r="AI420">
        <v>13</v>
      </c>
      <c r="AJ420">
        <v>0</v>
      </c>
      <c r="AK420">
        <v>2</v>
      </c>
      <c r="AL420" t="s">
        <v>219</v>
      </c>
      <c r="AM420" t="s">
        <v>220</v>
      </c>
      <c r="AN420" t="s">
        <v>221</v>
      </c>
      <c r="AO420" t="s">
        <v>823</v>
      </c>
      <c r="AP420" t="s">
        <v>824</v>
      </c>
      <c r="AQ420" t="s">
        <v>74</v>
      </c>
      <c r="AR420" t="s">
        <v>825</v>
      </c>
      <c r="AS420" t="s">
        <v>826</v>
      </c>
      <c r="AT420" t="s">
        <v>6291</v>
      </c>
      <c r="AU420">
        <v>2020</v>
      </c>
      <c r="AV420">
        <v>29</v>
      </c>
      <c r="AW420">
        <v>156</v>
      </c>
      <c r="AX420" t="s">
        <v>74</v>
      </c>
      <c r="AY420" t="s">
        <v>74</v>
      </c>
      <c r="AZ420" t="s">
        <v>74</v>
      </c>
      <c r="BA420" t="s">
        <v>74</v>
      </c>
      <c r="BB420" t="s">
        <v>74</v>
      </c>
      <c r="BC420" t="s">
        <v>74</v>
      </c>
      <c r="BD420">
        <v>200195</v>
      </c>
      <c r="BE420" t="s">
        <v>6292</v>
      </c>
      <c r="BF420" t="str">
        <f>HYPERLINK("http://dx.doi.org/10.1183/16000617.0195-2020","http://dx.doi.org/10.1183/16000617.0195-2020")</f>
        <v>http://dx.doi.org/10.1183/16000617.0195-2020</v>
      </c>
      <c r="BG420" t="s">
        <v>74</v>
      </c>
      <c r="BH420" t="s">
        <v>74</v>
      </c>
      <c r="BI420">
        <v>2</v>
      </c>
      <c r="BJ420" t="s">
        <v>228</v>
      </c>
      <c r="BK420" t="s">
        <v>101</v>
      </c>
      <c r="BL420" t="s">
        <v>228</v>
      </c>
      <c r="BM420" t="s">
        <v>6293</v>
      </c>
      <c r="BN420">
        <v>32620589</v>
      </c>
      <c r="BO420" t="s">
        <v>809</v>
      </c>
      <c r="BP420" t="s">
        <v>74</v>
      </c>
      <c r="BQ420" t="s">
        <v>74</v>
      </c>
      <c r="BR420" t="s">
        <v>104</v>
      </c>
      <c r="BS420" t="s">
        <v>6294</v>
      </c>
      <c r="BT420" t="str">
        <f>HYPERLINK("https%3A%2F%2Fwww.webofscience.com%2Fwos%2Fwoscc%2Ffull-record%2FWOS:000552492900027","View Full Record in Web of Science")</f>
        <v>View Full Record in Web of Science</v>
      </c>
    </row>
    <row r="421" spans="1:72" x14ac:dyDescent="0.25">
      <c r="A421" t="s">
        <v>72</v>
      </c>
      <c r="B421" t="s">
        <v>6295</v>
      </c>
      <c r="C421" t="s">
        <v>74</v>
      </c>
      <c r="D421" t="s">
        <v>74</v>
      </c>
      <c r="E421" t="s">
        <v>74</v>
      </c>
      <c r="F421" t="s">
        <v>6296</v>
      </c>
      <c r="G421" t="s">
        <v>74</v>
      </c>
      <c r="H421" t="s">
        <v>74</v>
      </c>
      <c r="I421" t="s">
        <v>6297</v>
      </c>
      <c r="J421" t="s">
        <v>814</v>
      </c>
      <c r="K421" t="s">
        <v>74</v>
      </c>
      <c r="L421" t="s">
        <v>74</v>
      </c>
      <c r="M421" t="s">
        <v>78</v>
      </c>
      <c r="N421" t="s">
        <v>79</v>
      </c>
      <c r="O421" t="s">
        <v>74</v>
      </c>
      <c r="P421" t="s">
        <v>74</v>
      </c>
      <c r="Q421" t="s">
        <v>74</v>
      </c>
      <c r="R421" t="s">
        <v>74</v>
      </c>
      <c r="S421" t="s">
        <v>74</v>
      </c>
      <c r="T421" t="s">
        <v>74</v>
      </c>
      <c r="U421" t="s">
        <v>6298</v>
      </c>
      <c r="V421" t="s">
        <v>6299</v>
      </c>
      <c r="W421" t="s">
        <v>6300</v>
      </c>
      <c r="X421" t="s">
        <v>6301</v>
      </c>
      <c r="Y421" t="s">
        <v>1754</v>
      </c>
      <c r="Z421" t="s">
        <v>331</v>
      </c>
      <c r="AA421" t="s">
        <v>6302</v>
      </c>
      <c r="AB421" t="s">
        <v>6303</v>
      </c>
      <c r="AC421" t="s">
        <v>74</v>
      </c>
      <c r="AD421" t="s">
        <v>74</v>
      </c>
      <c r="AE421" t="s">
        <v>74</v>
      </c>
      <c r="AF421" t="s">
        <v>74</v>
      </c>
      <c r="AG421">
        <v>96</v>
      </c>
      <c r="AH421">
        <v>24</v>
      </c>
      <c r="AI421">
        <v>26</v>
      </c>
      <c r="AJ421">
        <v>0</v>
      </c>
      <c r="AK421">
        <v>0</v>
      </c>
      <c r="AL421" t="s">
        <v>219</v>
      </c>
      <c r="AM421" t="s">
        <v>220</v>
      </c>
      <c r="AN421" t="s">
        <v>221</v>
      </c>
      <c r="AO421" t="s">
        <v>823</v>
      </c>
      <c r="AP421" t="s">
        <v>824</v>
      </c>
      <c r="AQ421" t="s">
        <v>74</v>
      </c>
      <c r="AR421" t="s">
        <v>825</v>
      </c>
      <c r="AS421" t="s">
        <v>826</v>
      </c>
      <c r="AT421" t="s">
        <v>6291</v>
      </c>
      <c r="AU421">
        <v>2020</v>
      </c>
      <c r="AV421">
        <v>29</v>
      </c>
      <c r="AW421">
        <v>156</v>
      </c>
      <c r="AX421" t="s">
        <v>74</v>
      </c>
      <c r="AY421" t="s">
        <v>74</v>
      </c>
      <c r="AZ421" t="s">
        <v>74</v>
      </c>
      <c r="BA421" t="s">
        <v>74</v>
      </c>
      <c r="BB421" t="s">
        <v>74</v>
      </c>
      <c r="BC421" t="s">
        <v>74</v>
      </c>
      <c r="BD421">
        <v>190168</v>
      </c>
      <c r="BE421" t="s">
        <v>6304</v>
      </c>
      <c r="BF421" t="str">
        <f>HYPERLINK("http://dx.doi.org/10.1183/16000617.0168-2019","http://dx.doi.org/10.1183/16000617.0168-2019")</f>
        <v>http://dx.doi.org/10.1183/16000617.0168-2019</v>
      </c>
      <c r="BG421" t="s">
        <v>74</v>
      </c>
      <c r="BH421" t="s">
        <v>74</v>
      </c>
      <c r="BI421">
        <v>13</v>
      </c>
      <c r="BJ421" t="s">
        <v>228</v>
      </c>
      <c r="BK421" t="s">
        <v>101</v>
      </c>
      <c r="BL421" t="s">
        <v>228</v>
      </c>
      <c r="BM421" t="s">
        <v>6293</v>
      </c>
      <c r="BN421">
        <v>32461209</v>
      </c>
      <c r="BO421" t="s">
        <v>1665</v>
      </c>
      <c r="BP421" t="s">
        <v>74</v>
      </c>
      <c r="BQ421" t="s">
        <v>74</v>
      </c>
      <c r="BR421" t="s">
        <v>104</v>
      </c>
      <c r="BS421" t="s">
        <v>6305</v>
      </c>
      <c r="BT421" t="str">
        <f>HYPERLINK("https%3A%2F%2Fwww.webofscience.com%2Fwos%2Fwoscc%2Ffull-record%2FWOS:000552492900014","View Full Record in Web of Science")</f>
        <v>View Full Record in Web of Science</v>
      </c>
    </row>
    <row r="422" spans="1:72" x14ac:dyDescent="0.25">
      <c r="A422" t="s">
        <v>72</v>
      </c>
      <c r="B422" t="s">
        <v>6306</v>
      </c>
      <c r="C422" t="s">
        <v>74</v>
      </c>
      <c r="D422" t="s">
        <v>74</v>
      </c>
      <c r="E422" t="s">
        <v>74</v>
      </c>
      <c r="F422" t="s">
        <v>6307</v>
      </c>
      <c r="G422" t="s">
        <v>74</v>
      </c>
      <c r="H422" t="s">
        <v>74</v>
      </c>
      <c r="I422" t="s">
        <v>6308</v>
      </c>
      <c r="J422" t="s">
        <v>216</v>
      </c>
      <c r="K422" t="s">
        <v>74</v>
      </c>
      <c r="L422" t="s">
        <v>74</v>
      </c>
      <c r="M422" t="s">
        <v>78</v>
      </c>
      <c r="N422" t="s">
        <v>299</v>
      </c>
      <c r="O422" t="s">
        <v>74</v>
      </c>
      <c r="P422" t="s">
        <v>74</v>
      </c>
      <c r="Q422" t="s">
        <v>74</v>
      </c>
      <c r="R422" t="s">
        <v>74</v>
      </c>
      <c r="S422" t="s">
        <v>74</v>
      </c>
      <c r="T422" t="s">
        <v>74</v>
      </c>
      <c r="U422" t="s">
        <v>6309</v>
      </c>
      <c r="V422" t="s">
        <v>6310</v>
      </c>
      <c r="W422" t="s">
        <v>6311</v>
      </c>
      <c r="X422" t="s">
        <v>6312</v>
      </c>
      <c r="Y422" t="s">
        <v>6313</v>
      </c>
      <c r="Z422" t="s">
        <v>6314</v>
      </c>
      <c r="AA422" t="s">
        <v>6315</v>
      </c>
      <c r="AB422" t="s">
        <v>6316</v>
      </c>
      <c r="AC422" t="s">
        <v>6317</v>
      </c>
      <c r="AD422" t="s">
        <v>6317</v>
      </c>
      <c r="AE422" t="s">
        <v>6318</v>
      </c>
      <c r="AF422" t="s">
        <v>74</v>
      </c>
      <c r="AG422">
        <v>65</v>
      </c>
      <c r="AH422">
        <v>63</v>
      </c>
      <c r="AI422">
        <v>67</v>
      </c>
      <c r="AJ422">
        <v>0</v>
      </c>
      <c r="AK422">
        <v>3</v>
      </c>
      <c r="AL422" t="s">
        <v>219</v>
      </c>
      <c r="AM422" t="s">
        <v>220</v>
      </c>
      <c r="AN422" t="s">
        <v>221</v>
      </c>
      <c r="AO422" t="s">
        <v>222</v>
      </c>
      <c r="AP422" t="s">
        <v>223</v>
      </c>
      <c r="AQ422" t="s">
        <v>74</v>
      </c>
      <c r="AR422" t="s">
        <v>224</v>
      </c>
      <c r="AS422" t="s">
        <v>225</v>
      </c>
      <c r="AT422" t="s">
        <v>933</v>
      </c>
      <c r="AU422">
        <v>2020</v>
      </c>
      <c r="AV422">
        <v>55</v>
      </c>
      <c r="AW422">
        <v>6</v>
      </c>
      <c r="AX422" t="s">
        <v>74</v>
      </c>
      <c r="AY422" t="s">
        <v>74</v>
      </c>
      <c r="AZ422" t="s">
        <v>74</v>
      </c>
      <c r="BA422" t="s">
        <v>74</v>
      </c>
      <c r="BB422" t="s">
        <v>74</v>
      </c>
      <c r="BC422" t="s">
        <v>74</v>
      </c>
      <c r="BD422">
        <v>2000189</v>
      </c>
      <c r="BE422" t="s">
        <v>6319</v>
      </c>
      <c r="BF422" t="str">
        <f>HYPERLINK("http://dx.doi.org/10.1183/13993003.00189-2020","http://dx.doi.org/10.1183/13993003.00189-2020")</f>
        <v>http://dx.doi.org/10.1183/13993003.00189-2020</v>
      </c>
      <c r="BG422" t="s">
        <v>74</v>
      </c>
      <c r="BH422" t="s">
        <v>74</v>
      </c>
      <c r="BI422">
        <v>12</v>
      </c>
      <c r="BJ422" t="s">
        <v>228</v>
      </c>
      <c r="BK422" t="s">
        <v>101</v>
      </c>
      <c r="BL422" t="s">
        <v>228</v>
      </c>
      <c r="BM422" t="s">
        <v>6320</v>
      </c>
      <c r="BN422">
        <v>32184319</v>
      </c>
      <c r="BO422" t="s">
        <v>6321</v>
      </c>
      <c r="BP422" t="s">
        <v>74</v>
      </c>
      <c r="BQ422" t="s">
        <v>74</v>
      </c>
      <c r="BR422" t="s">
        <v>104</v>
      </c>
      <c r="BS422" t="s">
        <v>6322</v>
      </c>
      <c r="BT422" t="str">
        <f>HYPERLINK("https%3A%2F%2Fwww.webofscience.com%2Fwos%2Fwoscc%2Ffull-record%2FWOS:000548160000011","View Full Record in Web of Science")</f>
        <v>View Full Record in Web of Science</v>
      </c>
    </row>
    <row r="423" spans="1:72" x14ac:dyDescent="0.25">
      <c r="A423" t="s">
        <v>72</v>
      </c>
      <c r="B423" t="s">
        <v>6323</v>
      </c>
      <c r="C423" t="s">
        <v>74</v>
      </c>
      <c r="D423" t="s">
        <v>74</v>
      </c>
      <c r="E423" t="s">
        <v>74</v>
      </c>
      <c r="F423" t="s">
        <v>6324</v>
      </c>
      <c r="G423" t="s">
        <v>74</v>
      </c>
      <c r="H423" t="s">
        <v>6325</v>
      </c>
      <c r="I423" t="s">
        <v>6326</v>
      </c>
      <c r="J423" t="s">
        <v>2084</v>
      </c>
      <c r="K423" t="s">
        <v>74</v>
      </c>
      <c r="L423" t="s">
        <v>74</v>
      </c>
      <c r="M423" t="s">
        <v>6327</v>
      </c>
      <c r="N423" t="s">
        <v>79</v>
      </c>
      <c r="O423" t="s">
        <v>74</v>
      </c>
      <c r="P423" t="s">
        <v>74</v>
      </c>
      <c r="Q423" t="s">
        <v>74</v>
      </c>
      <c r="R423" t="s">
        <v>74</v>
      </c>
      <c r="S423" t="s">
        <v>74</v>
      </c>
      <c r="T423" t="s">
        <v>74</v>
      </c>
      <c r="U423" t="s">
        <v>6328</v>
      </c>
      <c r="V423" t="s">
        <v>74</v>
      </c>
      <c r="W423" t="s">
        <v>6329</v>
      </c>
      <c r="X423" t="s">
        <v>6330</v>
      </c>
      <c r="Y423" t="s">
        <v>6331</v>
      </c>
      <c r="Z423" t="s">
        <v>6332</v>
      </c>
      <c r="AA423" t="s">
        <v>6333</v>
      </c>
      <c r="AB423" t="s">
        <v>6334</v>
      </c>
      <c r="AC423" t="s">
        <v>74</v>
      </c>
      <c r="AD423" t="s">
        <v>74</v>
      </c>
      <c r="AE423" t="s">
        <v>74</v>
      </c>
      <c r="AF423" t="s">
        <v>74</v>
      </c>
      <c r="AG423">
        <v>480</v>
      </c>
      <c r="AH423">
        <v>0</v>
      </c>
      <c r="AI423">
        <v>0</v>
      </c>
      <c r="AJ423">
        <v>0</v>
      </c>
      <c r="AK423">
        <v>10</v>
      </c>
      <c r="AL423" t="s">
        <v>2092</v>
      </c>
      <c r="AM423" t="s">
        <v>571</v>
      </c>
      <c r="AN423" t="s">
        <v>2093</v>
      </c>
      <c r="AO423" t="s">
        <v>2094</v>
      </c>
      <c r="AP423" t="s">
        <v>6335</v>
      </c>
      <c r="AQ423" t="s">
        <v>74</v>
      </c>
      <c r="AR423" t="s">
        <v>2095</v>
      </c>
      <c r="AS423" t="s">
        <v>2096</v>
      </c>
      <c r="AT423" t="s">
        <v>1060</v>
      </c>
      <c r="AU423">
        <v>2020</v>
      </c>
      <c r="AV423">
        <v>73</v>
      </c>
      <c r="AW423">
        <v>6</v>
      </c>
      <c r="AX423" t="s">
        <v>74</v>
      </c>
      <c r="AY423" t="s">
        <v>74</v>
      </c>
      <c r="AZ423" t="s">
        <v>74</v>
      </c>
      <c r="BA423" t="s">
        <v>74</v>
      </c>
      <c r="BB423" t="s">
        <v>74</v>
      </c>
      <c r="BC423" t="s">
        <v>74</v>
      </c>
      <c r="BD423" t="s">
        <v>74</v>
      </c>
      <c r="BE423" t="s">
        <v>6336</v>
      </c>
      <c r="BF423" t="str">
        <f>HYPERLINK("http://dx.doi.org/10.1016/j.recesp.2019.12.030","http://dx.doi.org/10.1016/j.recesp.2019.12.030")</f>
        <v>http://dx.doi.org/10.1016/j.recesp.2019.12.030</v>
      </c>
      <c r="BG423" t="s">
        <v>74</v>
      </c>
      <c r="BH423" t="s">
        <v>74</v>
      </c>
      <c r="BI423">
        <v>58</v>
      </c>
      <c r="BJ423" t="s">
        <v>132</v>
      </c>
      <c r="BK423" t="s">
        <v>101</v>
      </c>
      <c r="BL423" t="s">
        <v>133</v>
      </c>
      <c r="BM423" t="s">
        <v>6337</v>
      </c>
      <c r="BN423" t="s">
        <v>74</v>
      </c>
      <c r="BO423" t="s">
        <v>74</v>
      </c>
      <c r="BP423" t="s">
        <v>74</v>
      </c>
      <c r="BQ423" t="s">
        <v>74</v>
      </c>
      <c r="BR423" t="s">
        <v>104</v>
      </c>
      <c r="BS423" t="s">
        <v>6338</v>
      </c>
      <c r="BT423" t="str">
        <f>HYPERLINK("https%3A%2F%2Fwww.webofscience.com%2Fwos%2Fwoscc%2Ffull-record%2FWOS:000585307400012","View Full Record in Web of Science")</f>
        <v>View Full Record in Web of Science</v>
      </c>
    </row>
    <row r="424" spans="1:72" x14ac:dyDescent="0.25">
      <c r="A424" t="s">
        <v>72</v>
      </c>
      <c r="B424" t="s">
        <v>6339</v>
      </c>
      <c r="C424" t="s">
        <v>74</v>
      </c>
      <c r="D424" t="s">
        <v>74</v>
      </c>
      <c r="E424" t="s">
        <v>74</v>
      </c>
      <c r="F424" t="s">
        <v>6340</v>
      </c>
      <c r="G424" t="s">
        <v>74</v>
      </c>
      <c r="H424" t="s">
        <v>74</v>
      </c>
      <c r="I424" t="s">
        <v>6341</v>
      </c>
      <c r="J424" t="s">
        <v>2580</v>
      </c>
      <c r="K424" t="s">
        <v>74</v>
      </c>
      <c r="L424" t="s">
        <v>74</v>
      </c>
      <c r="M424" t="s">
        <v>78</v>
      </c>
      <c r="N424" t="s">
        <v>52</v>
      </c>
      <c r="O424" t="s">
        <v>4801</v>
      </c>
      <c r="P424" t="s">
        <v>6342</v>
      </c>
      <c r="Q424" t="s">
        <v>4325</v>
      </c>
      <c r="R424" t="s">
        <v>74</v>
      </c>
      <c r="S424" t="s">
        <v>74</v>
      </c>
      <c r="T424" t="s">
        <v>74</v>
      </c>
      <c r="U424" t="s">
        <v>74</v>
      </c>
      <c r="V424" t="s">
        <v>74</v>
      </c>
      <c r="W424" t="s">
        <v>6343</v>
      </c>
      <c r="X424" t="s">
        <v>6344</v>
      </c>
      <c r="Y424" t="s">
        <v>74</v>
      </c>
      <c r="Z424" t="s">
        <v>74</v>
      </c>
      <c r="AA424" t="s">
        <v>6345</v>
      </c>
      <c r="AB424" t="s">
        <v>6346</v>
      </c>
      <c r="AC424" t="s">
        <v>74</v>
      </c>
      <c r="AD424" t="s">
        <v>74</v>
      </c>
      <c r="AE424" t="s">
        <v>74</v>
      </c>
      <c r="AF424" t="s">
        <v>74</v>
      </c>
      <c r="AG424">
        <v>0</v>
      </c>
      <c r="AH424">
        <v>0</v>
      </c>
      <c r="AI424">
        <v>0</v>
      </c>
      <c r="AJ424">
        <v>0</v>
      </c>
      <c r="AK424">
        <v>0</v>
      </c>
      <c r="AL424" t="s">
        <v>2590</v>
      </c>
      <c r="AM424" t="s">
        <v>201</v>
      </c>
      <c r="AN424" t="s">
        <v>2591</v>
      </c>
      <c r="AO424" t="s">
        <v>2592</v>
      </c>
      <c r="AP424" t="s">
        <v>2593</v>
      </c>
      <c r="AQ424" t="s">
        <v>74</v>
      </c>
      <c r="AR424" t="s">
        <v>2594</v>
      </c>
      <c r="AS424" t="s">
        <v>2595</v>
      </c>
      <c r="AT424" t="s">
        <v>1060</v>
      </c>
      <c r="AU424">
        <v>2020</v>
      </c>
      <c r="AV424">
        <v>79</v>
      </c>
      <c r="AW424" t="s">
        <v>74</v>
      </c>
      <c r="AX424" t="s">
        <v>74</v>
      </c>
      <c r="AY424">
        <v>1</v>
      </c>
      <c r="AZ424" t="s">
        <v>74</v>
      </c>
      <c r="BA424" t="s">
        <v>6347</v>
      </c>
      <c r="BB424">
        <v>896</v>
      </c>
      <c r="BC424">
        <v>896</v>
      </c>
      <c r="BD424" t="s">
        <v>74</v>
      </c>
      <c r="BE424" t="s">
        <v>6348</v>
      </c>
      <c r="BF424" t="str">
        <f>HYPERLINK("http://dx.doi.org/10.1136/annrheumdis-2020-eular.3367","http://dx.doi.org/10.1136/annrheumdis-2020-eular.3367")</f>
        <v>http://dx.doi.org/10.1136/annrheumdis-2020-eular.3367</v>
      </c>
      <c r="BG424" t="s">
        <v>74</v>
      </c>
      <c r="BH424" t="s">
        <v>74</v>
      </c>
      <c r="BI424">
        <v>1</v>
      </c>
      <c r="BJ424" t="s">
        <v>2369</v>
      </c>
      <c r="BK424" t="s">
        <v>512</v>
      </c>
      <c r="BL424" t="s">
        <v>2369</v>
      </c>
      <c r="BM424" t="s">
        <v>6349</v>
      </c>
      <c r="BN424" t="s">
        <v>74</v>
      </c>
      <c r="BO424" t="s">
        <v>74</v>
      </c>
      <c r="BP424" t="s">
        <v>74</v>
      </c>
      <c r="BQ424" t="s">
        <v>74</v>
      </c>
      <c r="BR424" t="s">
        <v>104</v>
      </c>
      <c r="BS424" t="s">
        <v>6350</v>
      </c>
      <c r="BT424" t="str">
        <f>HYPERLINK("https%3A%2F%2Fwww.webofscience.com%2Fwos%2Fwoscc%2Ffull-record%2FWOS:000555905003011","View Full Record in Web of Science")</f>
        <v>View Full Record in Web of Science</v>
      </c>
    </row>
    <row r="425" spans="1:72" x14ac:dyDescent="0.25">
      <c r="A425" t="s">
        <v>72</v>
      </c>
      <c r="B425" t="s">
        <v>6351</v>
      </c>
      <c r="C425" t="s">
        <v>74</v>
      </c>
      <c r="D425" t="s">
        <v>74</v>
      </c>
      <c r="E425" t="s">
        <v>74</v>
      </c>
      <c r="F425" t="s">
        <v>6352</v>
      </c>
      <c r="G425" t="s">
        <v>74</v>
      </c>
      <c r="H425" t="s">
        <v>74</v>
      </c>
      <c r="I425" t="s">
        <v>6353</v>
      </c>
      <c r="J425" t="s">
        <v>216</v>
      </c>
      <c r="K425" t="s">
        <v>74</v>
      </c>
      <c r="L425" t="s">
        <v>74</v>
      </c>
      <c r="M425" t="s">
        <v>78</v>
      </c>
      <c r="N425" t="s">
        <v>79</v>
      </c>
      <c r="O425" t="s">
        <v>74</v>
      </c>
      <c r="P425" t="s">
        <v>74</v>
      </c>
      <c r="Q425" t="s">
        <v>74</v>
      </c>
      <c r="R425" t="s">
        <v>74</v>
      </c>
      <c r="S425" t="s">
        <v>74</v>
      </c>
      <c r="T425" t="s">
        <v>74</v>
      </c>
      <c r="U425" t="s">
        <v>6354</v>
      </c>
      <c r="V425" t="s">
        <v>6355</v>
      </c>
      <c r="W425" t="s">
        <v>6356</v>
      </c>
      <c r="X425" t="s">
        <v>6357</v>
      </c>
      <c r="Y425" t="s">
        <v>6358</v>
      </c>
      <c r="Z425" t="s">
        <v>377</v>
      </c>
      <c r="AA425" t="s">
        <v>6359</v>
      </c>
      <c r="AB425" t="s">
        <v>6360</v>
      </c>
      <c r="AC425" t="s">
        <v>6361</v>
      </c>
      <c r="AD425" t="s">
        <v>4875</v>
      </c>
      <c r="AE425" t="s">
        <v>6362</v>
      </c>
      <c r="AF425" t="s">
        <v>74</v>
      </c>
      <c r="AG425">
        <v>27</v>
      </c>
      <c r="AH425">
        <v>56</v>
      </c>
      <c r="AI425">
        <v>57</v>
      </c>
      <c r="AJ425">
        <v>0</v>
      </c>
      <c r="AK425">
        <v>2</v>
      </c>
      <c r="AL425" t="s">
        <v>219</v>
      </c>
      <c r="AM425" t="s">
        <v>220</v>
      </c>
      <c r="AN425" t="s">
        <v>221</v>
      </c>
      <c r="AO425" t="s">
        <v>222</v>
      </c>
      <c r="AP425" t="s">
        <v>223</v>
      </c>
      <c r="AQ425" t="s">
        <v>74</v>
      </c>
      <c r="AR425" t="s">
        <v>224</v>
      </c>
      <c r="AS425" t="s">
        <v>225</v>
      </c>
      <c r="AT425" t="s">
        <v>933</v>
      </c>
      <c r="AU425">
        <v>2020</v>
      </c>
      <c r="AV425">
        <v>55</v>
      </c>
      <c r="AW425">
        <v>6</v>
      </c>
      <c r="AX425" t="s">
        <v>74</v>
      </c>
      <c r="AY425" t="s">
        <v>74</v>
      </c>
      <c r="AZ425" t="s">
        <v>74</v>
      </c>
      <c r="BA425" t="s">
        <v>74</v>
      </c>
      <c r="BB425" t="s">
        <v>74</v>
      </c>
      <c r="BC425" t="s">
        <v>74</v>
      </c>
      <c r="BD425">
        <v>1902345</v>
      </c>
      <c r="BE425" t="s">
        <v>6363</v>
      </c>
      <c r="BF425" t="str">
        <f>HYPERLINK("http://dx.doi.org/10.1183/13993003.02345-2019","http://dx.doi.org/10.1183/13993003.02345-2019")</f>
        <v>http://dx.doi.org/10.1183/13993003.02345-2019</v>
      </c>
      <c r="BG425" t="s">
        <v>74</v>
      </c>
      <c r="BH425" t="s">
        <v>74</v>
      </c>
      <c r="BI425">
        <v>11</v>
      </c>
      <c r="BJ425" t="s">
        <v>228</v>
      </c>
      <c r="BK425" t="s">
        <v>101</v>
      </c>
      <c r="BL425" t="s">
        <v>228</v>
      </c>
      <c r="BM425" t="s">
        <v>6320</v>
      </c>
      <c r="BN425">
        <v>32241829</v>
      </c>
      <c r="BO425" t="s">
        <v>6364</v>
      </c>
      <c r="BP425" t="s">
        <v>74</v>
      </c>
      <c r="BQ425" t="s">
        <v>74</v>
      </c>
      <c r="BR425" t="s">
        <v>104</v>
      </c>
      <c r="BS425" t="s">
        <v>6365</v>
      </c>
      <c r="BT425" t="str">
        <f>HYPERLINK("https%3A%2F%2Fwww.webofscience.com%2Fwos%2Fwoscc%2Ffull-record%2FWOS:000548160000004","View Full Record in Web of Science")</f>
        <v>View Full Record in Web of Science</v>
      </c>
    </row>
    <row r="426" spans="1:72" x14ac:dyDescent="0.25">
      <c r="A426" t="s">
        <v>72</v>
      </c>
      <c r="B426" t="s">
        <v>6366</v>
      </c>
      <c r="C426" t="s">
        <v>74</v>
      </c>
      <c r="D426" t="s">
        <v>74</v>
      </c>
      <c r="E426" t="s">
        <v>74</v>
      </c>
      <c r="F426" t="s">
        <v>6367</v>
      </c>
      <c r="G426" t="s">
        <v>74</v>
      </c>
      <c r="H426" t="s">
        <v>74</v>
      </c>
      <c r="I426" t="s">
        <v>6368</v>
      </c>
      <c r="J426" t="s">
        <v>1529</v>
      </c>
      <c r="K426" t="s">
        <v>74</v>
      </c>
      <c r="L426" t="s">
        <v>74</v>
      </c>
      <c r="M426" t="s">
        <v>78</v>
      </c>
      <c r="N426" t="s">
        <v>140</v>
      </c>
      <c r="O426" t="s">
        <v>74</v>
      </c>
      <c r="P426" t="s">
        <v>74</v>
      </c>
      <c r="Q426" t="s">
        <v>74</v>
      </c>
      <c r="R426" t="s">
        <v>74</v>
      </c>
      <c r="S426" t="s">
        <v>74</v>
      </c>
      <c r="T426" t="s">
        <v>74</v>
      </c>
      <c r="U426" t="s">
        <v>74</v>
      </c>
      <c r="V426" t="s">
        <v>74</v>
      </c>
      <c r="W426" t="s">
        <v>6369</v>
      </c>
      <c r="X426" t="s">
        <v>6370</v>
      </c>
      <c r="Y426" t="s">
        <v>6371</v>
      </c>
      <c r="Z426" t="s">
        <v>74</v>
      </c>
      <c r="AA426" t="s">
        <v>144</v>
      </c>
      <c r="AB426" t="s">
        <v>6372</v>
      </c>
      <c r="AC426" t="s">
        <v>74</v>
      </c>
      <c r="AD426" t="s">
        <v>74</v>
      </c>
      <c r="AE426" t="s">
        <v>74</v>
      </c>
      <c r="AF426" t="s">
        <v>74</v>
      </c>
      <c r="AG426">
        <v>8</v>
      </c>
      <c r="AH426">
        <v>0</v>
      </c>
      <c r="AI426">
        <v>0</v>
      </c>
      <c r="AJ426">
        <v>0</v>
      </c>
      <c r="AK426">
        <v>1</v>
      </c>
      <c r="AL426" t="s">
        <v>1358</v>
      </c>
      <c r="AM426" t="s">
        <v>1359</v>
      </c>
      <c r="AN426" t="s">
        <v>1360</v>
      </c>
      <c r="AO426" t="s">
        <v>1533</v>
      </c>
      <c r="AP426" t="s">
        <v>1534</v>
      </c>
      <c r="AQ426" t="s">
        <v>74</v>
      </c>
      <c r="AR426" t="s">
        <v>1535</v>
      </c>
      <c r="AS426" t="s">
        <v>1536</v>
      </c>
      <c r="AT426" t="s">
        <v>1060</v>
      </c>
      <c r="AU426">
        <v>2020</v>
      </c>
      <c r="AV426">
        <v>49</v>
      </c>
      <c r="AW426">
        <v>2</v>
      </c>
      <c r="AX426" t="s">
        <v>74</v>
      </c>
      <c r="AY426" t="s">
        <v>74</v>
      </c>
      <c r="AZ426" t="s">
        <v>74</v>
      </c>
      <c r="BA426" t="s">
        <v>74</v>
      </c>
      <c r="BB426" t="s">
        <v>74</v>
      </c>
      <c r="BC426" t="s">
        <v>74</v>
      </c>
      <c r="BD426">
        <v>104022</v>
      </c>
      <c r="BE426" t="s">
        <v>6373</v>
      </c>
      <c r="BF426" t="str">
        <f>HYPERLINK("http://dx.doi.org/10.1016/j.lpm.2020.104022","http://dx.doi.org/10.1016/j.lpm.2020.104022")</f>
        <v>http://dx.doi.org/10.1016/j.lpm.2020.104022</v>
      </c>
      <c r="BG426" t="s">
        <v>74</v>
      </c>
      <c r="BH426" t="s">
        <v>74</v>
      </c>
      <c r="BI426">
        <v>2</v>
      </c>
      <c r="BJ426" t="s">
        <v>1152</v>
      </c>
      <c r="BK426" t="s">
        <v>101</v>
      </c>
      <c r="BL426" t="s">
        <v>1153</v>
      </c>
      <c r="BM426" t="s">
        <v>6374</v>
      </c>
      <c r="BN426">
        <v>32387530</v>
      </c>
      <c r="BO426" t="s">
        <v>1194</v>
      </c>
      <c r="BP426" t="s">
        <v>74</v>
      </c>
      <c r="BQ426" t="s">
        <v>74</v>
      </c>
      <c r="BR426" t="s">
        <v>104</v>
      </c>
      <c r="BS426" t="s">
        <v>6375</v>
      </c>
      <c r="BT426" t="str">
        <f>HYPERLINK("https%3A%2F%2Fwww.webofscience.com%2Fwos%2Fwoscc%2Ffull-record%2FWOS:000556387800003","View Full Record in Web of Science")</f>
        <v>View Full Record in Web of Science</v>
      </c>
    </row>
    <row r="427" spans="1:72" x14ac:dyDescent="0.25">
      <c r="A427" t="s">
        <v>72</v>
      </c>
      <c r="B427" t="s">
        <v>6376</v>
      </c>
      <c r="C427" t="s">
        <v>74</v>
      </c>
      <c r="D427" t="s">
        <v>74</v>
      </c>
      <c r="E427" t="s">
        <v>74</v>
      </c>
      <c r="F427" t="s">
        <v>6377</v>
      </c>
      <c r="G427" t="s">
        <v>74</v>
      </c>
      <c r="H427" t="s">
        <v>74</v>
      </c>
      <c r="I427" t="s">
        <v>6378</v>
      </c>
      <c r="J427" t="s">
        <v>6379</v>
      </c>
      <c r="K427" t="s">
        <v>74</v>
      </c>
      <c r="L427" t="s">
        <v>74</v>
      </c>
      <c r="M427" t="s">
        <v>78</v>
      </c>
      <c r="N427" t="s">
        <v>79</v>
      </c>
      <c r="O427" t="s">
        <v>74</v>
      </c>
      <c r="P427" t="s">
        <v>74</v>
      </c>
      <c r="Q427" t="s">
        <v>74</v>
      </c>
      <c r="R427" t="s">
        <v>74</v>
      </c>
      <c r="S427" t="s">
        <v>74</v>
      </c>
      <c r="T427" t="s">
        <v>6380</v>
      </c>
      <c r="U427" t="s">
        <v>6381</v>
      </c>
      <c r="V427" t="s">
        <v>6382</v>
      </c>
      <c r="W427" t="s">
        <v>6383</v>
      </c>
      <c r="X427" t="s">
        <v>6384</v>
      </c>
      <c r="Y427" t="s">
        <v>6385</v>
      </c>
      <c r="Z427" t="s">
        <v>377</v>
      </c>
      <c r="AA427" t="s">
        <v>6386</v>
      </c>
      <c r="AB427" t="s">
        <v>6387</v>
      </c>
      <c r="AC427" t="s">
        <v>6388</v>
      </c>
      <c r="AD427" t="s">
        <v>6389</v>
      </c>
      <c r="AE427" t="s">
        <v>6390</v>
      </c>
      <c r="AF427" t="s">
        <v>74</v>
      </c>
      <c r="AG427">
        <v>35</v>
      </c>
      <c r="AH427">
        <v>12</v>
      </c>
      <c r="AI427">
        <v>12</v>
      </c>
      <c r="AJ427">
        <v>0</v>
      </c>
      <c r="AK427">
        <v>3</v>
      </c>
      <c r="AL427" t="s">
        <v>148</v>
      </c>
      <c r="AM427" t="s">
        <v>149</v>
      </c>
      <c r="AN427" t="s">
        <v>150</v>
      </c>
      <c r="AO427" t="s">
        <v>6391</v>
      </c>
      <c r="AP427" t="s">
        <v>6392</v>
      </c>
      <c r="AQ427" t="s">
        <v>74</v>
      </c>
      <c r="AR427" t="s">
        <v>6393</v>
      </c>
      <c r="AS427" t="s">
        <v>6394</v>
      </c>
      <c r="AT427" t="s">
        <v>6395</v>
      </c>
      <c r="AU427">
        <v>2021</v>
      </c>
      <c r="AV427">
        <v>58</v>
      </c>
      <c r="AW427">
        <v>7</v>
      </c>
      <c r="AX427" t="s">
        <v>74</v>
      </c>
      <c r="AY427" t="s">
        <v>74</v>
      </c>
      <c r="AZ427" t="s">
        <v>74</v>
      </c>
      <c r="BA427" t="s">
        <v>74</v>
      </c>
      <c r="BB427">
        <v>849</v>
      </c>
      <c r="BC427">
        <v>854</v>
      </c>
      <c r="BD427" t="s">
        <v>74</v>
      </c>
      <c r="BE427" t="s">
        <v>6396</v>
      </c>
      <c r="BF427" t="str">
        <f>HYPERLINK("http://dx.doi.org/10.1080/02770903.2020.1759084","http://dx.doi.org/10.1080/02770903.2020.1759084")</f>
        <v>http://dx.doi.org/10.1080/02770903.2020.1759084</v>
      </c>
      <c r="BG427" t="s">
        <v>74</v>
      </c>
      <c r="BH427" t="s">
        <v>6397</v>
      </c>
      <c r="BI427">
        <v>6</v>
      </c>
      <c r="BJ427" t="s">
        <v>6398</v>
      </c>
      <c r="BK427" t="s">
        <v>101</v>
      </c>
      <c r="BL427" t="s">
        <v>6398</v>
      </c>
      <c r="BM427" t="s">
        <v>6399</v>
      </c>
      <c r="BN427">
        <v>32347748</v>
      </c>
      <c r="BO427" t="s">
        <v>612</v>
      </c>
      <c r="BP427" t="s">
        <v>74</v>
      </c>
      <c r="BQ427" t="s">
        <v>74</v>
      </c>
      <c r="BR427" t="s">
        <v>104</v>
      </c>
      <c r="BS427" t="s">
        <v>6400</v>
      </c>
      <c r="BT427" t="str">
        <f>HYPERLINK("https%3A%2F%2Fwww.webofscience.com%2Fwos%2Fwoscc%2Ffull-record%2FWOS:000533753100001","View Full Record in Web of Science")</f>
        <v>View Full Record in Web of Science</v>
      </c>
    </row>
    <row r="428" spans="1:72" x14ac:dyDescent="0.25">
      <c r="A428" t="s">
        <v>72</v>
      </c>
      <c r="B428" t="s">
        <v>6401</v>
      </c>
      <c r="C428" t="s">
        <v>74</v>
      </c>
      <c r="D428" t="s">
        <v>74</v>
      </c>
      <c r="E428" t="s">
        <v>74</v>
      </c>
      <c r="F428" t="s">
        <v>6402</v>
      </c>
      <c r="G428" t="s">
        <v>74</v>
      </c>
      <c r="H428" t="s">
        <v>74</v>
      </c>
      <c r="I428" t="s">
        <v>6403</v>
      </c>
      <c r="J428" t="s">
        <v>388</v>
      </c>
      <c r="K428" t="s">
        <v>74</v>
      </c>
      <c r="L428" t="s">
        <v>74</v>
      </c>
      <c r="M428" t="s">
        <v>78</v>
      </c>
      <c r="N428" t="s">
        <v>79</v>
      </c>
      <c r="O428" t="s">
        <v>74</v>
      </c>
      <c r="P428" t="s">
        <v>74</v>
      </c>
      <c r="Q428" t="s">
        <v>74</v>
      </c>
      <c r="R428" t="s">
        <v>74</v>
      </c>
      <c r="S428" t="s">
        <v>74</v>
      </c>
      <c r="T428" t="s">
        <v>74</v>
      </c>
      <c r="U428" t="s">
        <v>6404</v>
      </c>
      <c r="V428" t="s">
        <v>6405</v>
      </c>
      <c r="W428" t="s">
        <v>6406</v>
      </c>
      <c r="X428" t="s">
        <v>6407</v>
      </c>
      <c r="Y428" t="s">
        <v>6408</v>
      </c>
      <c r="Z428" t="s">
        <v>6409</v>
      </c>
      <c r="AA428" t="s">
        <v>6410</v>
      </c>
      <c r="AB428" t="s">
        <v>6411</v>
      </c>
      <c r="AC428" t="s">
        <v>6412</v>
      </c>
      <c r="AD428" t="s">
        <v>6413</v>
      </c>
      <c r="AE428" t="s">
        <v>6414</v>
      </c>
      <c r="AF428" t="s">
        <v>74</v>
      </c>
      <c r="AG428">
        <v>23</v>
      </c>
      <c r="AH428">
        <v>56</v>
      </c>
      <c r="AI428">
        <v>61</v>
      </c>
      <c r="AJ428">
        <v>1</v>
      </c>
      <c r="AK428">
        <v>3</v>
      </c>
      <c r="AL428" t="s">
        <v>397</v>
      </c>
      <c r="AM428" t="s">
        <v>1074</v>
      </c>
      <c r="AN428" t="s">
        <v>4444</v>
      </c>
      <c r="AO428" t="s">
        <v>400</v>
      </c>
      <c r="AP428" t="s">
        <v>74</v>
      </c>
      <c r="AQ428" t="s">
        <v>74</v>
      </c>
      <c r="AR428" t="s">
        <v>401</v>
      </c>
      <c r="AS428" t="s">
        <v>402</v>
      </c>
      <c r="AT428" t="s">
        <v>2097</v>
      </c>
      <c r="AU428">
        <v>2020</v>
      </c>
      <c r="AV428">
        <v>8</v>
      </c>
      <c r="AW428">
        <v>5</v>
      </c>
      <c r="AX428" t="s">
        <v>74</v>
      </c>
      <c r="AY428" t="s">
        <v>74</v>
      </c>
      <c r="AZ428" t="s">
        <v>74</v>
      </c>
      <c r="BA428" t="s">
        <v>74</v>
      </c>
      <c r="BB428">
        <v>461</v>
      </c>
      <c r="BC428">
        <v>474</v>
      </c>
      <c r="BD428" t="s">
        <v>74</v>
      </c>
      <c r="BE428" t="s">
        <v>6415</v>
      </c>
      <c r="BF428" t="str">
        <f>HYPERLINK("http://dx.doi.org/10.1016/S2213-2600(19)30372-8","http://dx.doi.org/10.1016/S2213-2600(19)30372-8")</f>
        <v>http://dx.doi.org/10.1016/S2213-2600(19)30372-8</v>
      </c>
      <c r="BG428" t="s">
        <v>74</v>
      </c>
      <c r="BH428" t="s">
        <v>74</v>
      </c>
      <c r="BI428">
        <v>14</v>
      </c>
      <c r="BJ428" t="s">
        <v>341</v>
      </c>
      <c r="BK428" t="s">
        <v>101</v>
      </c>
      <c r="BL428" t="s">
        <v>342</v>
      </c>
      <c r="BM428" t="s">
        <v>6416</v>
      </c>
      <c r="BN428">
        <v>32066536</v>
      </c>
      <c r="BO428" t="s">
        <v>74</v>
      </c>
      <c r="BP428" t="s">
        <v>74</v>
      </c>
      <c r="BQ428" t="s">
        <v>74</v>
      </c>
      <c r="BR428" t="s">
        <v>104</v>
      </c>
      <c r="BS428" t="s">
        <v>6417</v>
      </c>
      <c r="BT428" t="str">
        <f>HYPERLINK("https%3A%2F%2Fwww.webofscience.com%2Fwos%2Fwoscc%2Ffull-record%2FWOS:000531069600034","View Full Record in Web of Science")</f>
        <v>View Full Record in Web of Science</v>
      </c>
    </row>
    <row r="429" spans="1:72" x14ac:dyDescent="0.25">
      <c r="A429" t="s">
        <v>72</v>
      </c>
      <c r="B429" t="s">
        <v>6418</v>
      </c>
      <c r="C429" t="s">
        <v>74</v>
      </c>
      <c r="D429" t="s">
        <v>74</v>
      </c>
      <c r="E429" t="s">
        <v>74</v>
      </c>
      <c r="F429" t="s">
        <v>6419</v>
      </c>
      <c r="G429" t="s">
        <v>74</v>
      </c>
      <c r="H429" t="s">
        <v>6420</v>
      </c>
      <c r="I429" t="s">
        <v>6421</v>
      </c>
      <c r="J429" t="s">
        <v>216</v>
      </c>
      <c r="K429" t="s">
        <v>74</v>
      </c>
      <c r="L429" t="s">
        <v>74</v>
      </c>
      <c r="M429" t="s">
        <v>78</v>
      </c>
      <c r="N429" t="s">
        <v>140</v>
      </c>
      <c r="O429" t="s">
        <v>74</v>
      </c>
      <c r="P429" t="s">
        <v>74</v>
      </c>
      <c r="Q429" t="s">
        <v>74</v>
      </c>
      <c r="R429" t="s">
        <v>74</v>
      </c>
      <c r="S429" t="s">
        <v>74</v>
      </c>
      <c r="T429" t="s">
        <v>74</v>
      </c>
      <c r="U429" t="s">
        <v>6422</v>
      </c>
      <c r="V429" t="s">
        <v>74</v>
      </c>
      <c r="W429" t="s">
        <v>6423</v>
      </c>
      <c r="X429" t="s">
        <v>6424</v>
      </c>
      <c r="Y429" t="s">
        <v>6425</v>
      </c>
      <c r="Z429" t="s">
        <v>524</v>
      </c>
      <c r="AA429" t="s">
        <v>6426</v>
      </c>
      <c r="AB429" t="s">
        <v>6427</v>
      </c>
      <c r="AC429" t="s">
        <v>74</v>
      </c>
      <c r="AD429" t="s">
        <v>74</v>
      </c>
      <c r="AE429" t="s">
        <v>74</v>
      </c>
      <c r="AF429" t="s">
        <v>74</v>
      </c>
      <c r="AG429">
        <v>19</v>
      </c>
      <c r="AH429">
        <v>2</v>
      </c>
      <c r="AI429">
        <v>2</v>
      </c>
      <c r="AJ429">
        <v>0</v>
      </c>
      <c r="AK429">
        <v>1</v>
      </c>
      <c r="AL429" t="s">
        <v>219</v>
      </c>
      <c r="AM429" t="s">
        <v>220</v>
      </c>
      <c r="AN429" t="s">
        <v>221</v>
      </c>
      <c r="AO429" t="s">
        <v>222</v>
      </c>
      <c r="AP429" t="s">
        <v>223</v>
      </c>
      <c r="AQ429" t="s">
        <v>74</v>
      </c>
      <c r="AR429" t="s">
        <v>224</v>
      </c>
      <c r="AS429" t="s">
        <v>225</v>
      </c>
      <c r="AT429" t="s">
        <v>960</v>
      </c>
      <c r="AU429">
        <v>2020</v>
      </c>
      <c r="AV429">
        <v>55</v>
      </c>
      <c r="AW429">
        <v>5</v>
      </c>
      <c r="AX429" t="s">
        <v>74</v>
      </c>
      <c r="AY429" t="s">
        <v>74</v>
      </c>
      <c r="AZ429" t="s">
        <v>74</v>
      </c>
      <c r="BA429" t="s">
        <v>74</v>
      </c>
      <c r="BB429" t="s">
        <v>74</v>
      </c>
      <c r="BC429" t="s">
        <v>74</v>
      </c>
      <c r="BD429">
        <v>2001047</v>
      </c>
      <c r="BE429" t="s">
        <v>6428</v>
      </c>
      <c r="BF429" t="str">
        <f>HYPERLINK("http://dx.doi.org/10.1183/13993003.01047-2020","http://dx.doi.org/10.1183/13993003.01047-2020")</f>
        <v>http://dx.doi.org/10.1183/13993003.01047-2020</v>
      </c>
      <c r="BG429" t="s">
        <v>74</v>
      </c>
      <c r="BH429" t="s">
        <v>74</v>
      </c>
      <c r="BI429">
        <v>6</v>
      </c>
      <c r="BJ429" t="s">
        <v>228</v>
      </c>
      <c r="BK429" t="s">
        <v>101</v>
      </c>
      <c r="BL429" t="s">
        <v>228</v>
      </c>
      <c r="BM429" t="s">
        <v>6429</v>
      </c>
      <c r="BN429">
        <v>32381636</v>
      </c>
      <c r="BO429" t="s">
        <v>6217</v>
      </c>
      <c r="BP429" t="s">
        <v>74</v>
      </c>
      <c r="BQ429" t="s">
        <v>74</v>
      </c>
      <c r="BR429" t="s">
        <v>104</v>
      </c>
      <c r="BS429" t="s">
        <v>6430</v>
      </c>
      <c r="BT429" t="str">
        <f>HYPERLINK("https%3A%2F%2Fwww.webofscience.com%2Fwos%2Fwoscc%2Ffull-record%2FWOS:000531100800026","View Full Record in Web of Science")</f>
        <v>View Full Record in Web of Science</v>
      </c>
    </row>
    <row r="430" spans="1:72" x14ac:dyDescent="0.25">
      <c r="A430" t="s">
        <v>72</v>
      </c>
      <c r="B430" t="s">
        <v>6431</v>
      </c>
      <c r="C430" t="s">
        <v>74</v>
      </c>
      <c r="D430" t="s">
        <v>74</v>
      </c>
      <c r="E430" t="s">
        <v>74</v>
      </c>
      <c r="F430" t="s">
        <v>6432</v>
      </c>
      <c r="G430" t="s">
        <v>74</v>
      </c>
      <c r="H430" t="s">
        <v>74</v>
      </c>
      <c r="I430" t="s">
        <v>6433</v>
      </c>
      <c r="J430" t="s">
        <v>216</v>
      </c>
      <c r="K430" t="s">
        <v>74</v>
      </c>
      <c r="L430" t="s">
        <v>74</v>
      </c>
      <c r="M430" t="s">
        <v>78</v>
      </c>
      <c r="N430" t="s">
        <v>79</v>
      </c>
      <c r="O430" t="s">
        <v>74</v>
      </c>
      <c r="P430" t="s">
        <v>74</v>
      </c>
      <c r="Q430" t="s">
        <v>74</v>
      </c>
      <c r="R430" t="s">
        <v>74</v>
      </c>
      <c r="S430" t="s">
        <v>74</v>
      </c>
      <c r="T430" t="s">
        <v>74</v>
      </c>
      <c r="U430" t="s">
        <v>6434</v>
      </c>
      <c r="V430" t="s">
        <v>6435</v>
      </c>
      <c r="W430" t="s">
        <v>6436</v>
      </c>
      <c r="X430" t="s">
        <v>6437</v>
      </c>
      <c r="Y430" t="s">
        <v>1754</v>
      </c>
      <c r="Z430" t="s">
        <v>331</v>
      </c>
      <c r="AA430" t="s">
        <v>6438</v>
      </c>
      <c r="AB430" t="s">
        <v>6439</v>
      </c>
      <c r="AC430" t="s">
        <v>74</v>
      </c>
      <c r="AD430" t="s">
        <v>74</v>
      </c>
      <c r="AE430" t="s">
        <v>74</v>
      </c>
      <c r="AF430" t="s">
        <v>74</v>
      </c>
      <c r="AG430">
        <v>38</v>
      </c>
      <c r="AH430">
        <v>40</v>
      </c>
      <c r="AI430">
        <v>40</v>
      </c>
      <c r="AJ430">
        <v>1</v>
      </c>
      <c r="AK430">
        <v>3</v>
      </c>
      <c r="AL430" t="s">
        <v>219</v>
      </c>
      <c r="AM430" t="s">
        <v>220</v>
      </c>
      <c r="AN430" t="s">
        <v>221</v>
      </c>
      <c r="AO430" t="s">
        <v>222</v>
      </c>
      <c r="AP430" t="s">
        <v>223</v>
      </c>
      <c r="AQ430" t="s">
        <v>74</v>
      </c>
      <c r="AR430" t="s">
        <v>224</v>
      </c>
      <c r="AS430" t="s">
        <v>225</v>
      </c>
      <c r="AT430" t="s">
        <v>960</v>
      </c>
      <c r="AU430">
        <v>2020</v>
      </c>
      <c r="AV430">
        <v>55</v>
      </c>
      <c r="AW430">
        <v>5</v>
      </c>
      <c r="AX430" t="s">
        <v>74</v>
      </c>
      <c r="AY430" t="s">
        <v>74</v>
      </c>
      <c r="AZ430" t="s">
        <v>74</v>
      </c>
      <c r="BA430" t="s">
        <v>74</v>
      </c>
      <c r="BB430" t="s">
        <v>74</v>
      </c>
      <c r="BC430" t="s">
        <v>74</v>
      </c>
      <c r="BD430">
        <v>1902340</v>
      </c>
      <c r="BE430" t="s">
        <v>6440</v>
      </c>
      <c r="BF430" t="str">
        <f>HYPERLINK("http://dx.doi.org/10.1183/13993003.02340-2019","http://dx.doi.org/10.1183/13993003.02340-2019")</f>
        <v>http://dx.doi.org/10.1183/13993003.02340-2019</v>
      </c>
      <c r="BG430" t="s">
        <v>74</v>
      </c>
      <c r="BH430" t="s">
        <v>74</v>
      </c>
      <c r="BI430">
        <v>13</v>
      </c>
      <c r="BJ430" t="s">
        <v>228</v>
      </c>
      <c r="BK430" t="s">
        <v>101</v>
      </c>
      <c r="BL430" t="s">
        <v>228</v>
      </c>
      <c r="BM430" t="s">
        <v>6441</v>
      </c>
      <c r="BN430">
        <v>32079640</v>
      </c>
      <c r="BO430" t="s">
        <v>1194</v>
      </c>
      <c r="BP430" t="s">
        <v>74</v>
      </c>
      <c r="BQ430" t="s">
        <v>74</v>
      </c>
      <c r="BR430" t="s">
        <v>104</v>
      </c>
      <c r="BS430" t="s">
        <v>6442</v>
      </c>
      <c r="BT430" t="str">
        <f>HYPERLINK("https%3A%2F%2Fwww.webofscience.com%2Fwos%2Fwoscc%2Ffull-record%2FWOS:000548158300029","View Full Record in Web of Science")</f>
        <v>View Full Record in Web of Science</v>
      </c>
    </row>
    <row r="431" spans="1:72" x14ac:dyDescent="0.25">
      <c r="A431" t="s">
        <v>72</v>
      </c>
      <c r="B431" t="s">
        <v>6443</v>
      </c>
      <c r="C431" t="s">
        <v>74</v>
      </c>
      <c r="D431" t="s">
        <v>74</v>
      </c>
      <c r="E431" t="s">
        <v>74</v>
      </c>
      <c r="F431" t="s">
        <v>6444</v>
      </c>
      <c r="G431" t="s">
        <v>74</v>
      </c>
      <c r="H431" t="s">
        <v>74</v>
      </c>
      <c r="I431" t="s">
        <v>6445</v>
      </c>
      <c r="J431" t="s">
        <v>216</v>
      </c>
      <c r="K431" t="s">
        <v>74</v>
      </c>
      <c r="L431" t="s">
        <v>74</v>
      </c>
      <c r="M431" t="s">
        <v>78</v>
      </c>
      <c r="N431" t="s">
        <v>140</v>
      </c>
      <c r="O431" t="s">
        <v>74</v>
      </c>
      <c r="P431" t="s">
        <v>74</v>
      </c>
      <c r="Q431" t="s">
        <v>74</v>
      </c>
      <c r="R431" t="s">
        <v>74</v>
      </c>
      <c r="S431" t="s">
        <v>74</v>
      </c>
      <c r="T431" t="s">
        <v>74</v>
      </c>
      <c r="U431" t="s">
        <v>74</v>
      </c>
      <c r="V431" t="s">
        <v>74</v>
      </c>
      <c r="W431" t="s">
        <v>6446</v>
      </c>
      <c r="X431" t="s">
        <v>6447</v>
      </c>
      <c r="Y431" t="s">
        <v>6448</v>
      </c>
      <c r="Z431" t="s">
        <v>5201</v>
      </c>
      <c r="AA431" t="s">
        <v>780</v>
      </c>
      <c r="AB431" t="s">
        <v>6449</v>
      </c>
      <c r="AC431" t="s">
        <v>74</v>
      </c>
      <c r="AD431" t="s">
        <v>74</v>
      </c>
      <c r="AE431" t="s">
        <v>74</v>
      </c>
      <c r="AF431" t="s">
        <v>74</v>
      </c>
      <c r="AG431">
        <v>16</v>
      </c>
      <c r="AH431">
        <v>0</v>
      </c>
      <c r="AI431">
        <v>0</v>
      </c>
      <c r="AJ431">
        <v>0</v>
      </c>
      <c r="AK431">
        <v>1</v>
      </c>
      <c r="AL431" t="s">
        <v>219</v>
      </c>
      <c r="AM431" t="s">
        <v>220</v>
      </c>
      <c r="AN431" t="s">
        <v>221</v>
      </c>
      <c r="AO431" t="s">
        <v>222</v>
      </c>
      <c r="AP431" t="s">
        <v>223</v>
      </c>
      <c r="AQ431" t="s">
        <v>74</v>
      </c>
      <c r="AR431" t="s">
        <v>224</v>
      </c>
      <c r="AS431" t="s">
        <v>225</v>
      </c>
      <c r="AT431" t="s">
        <v>960</v>
      </c>
      <c r="AU431">
        <v>2020</v>
      </c>
      <c r="AV431">
        <v>55</v>
      </c>
      <c r="AW431">
        <v>5</v>
      </c>
      <c r="AX431" t="s">
        <v>74</v>
      </c>
      <c r="AY431" t="s">
        <v>74</v>
      </c>
      <c r="AZ431" t="s">
        <v>74</v>
      </c>
      <c r="BA431" t="s">
        <v>74</v>
      </c>
      <c r="BB431" t="s">
        <v>74</v>
      </c>
      <c r="BC431" t="s">
        <v>74</v>
      </c>
      <c r="BD431">
        <v>2000700</v>
      </c>
      <c r="BE431" t="s">
        <v>6450</v>
      </c>
      <c r="BF431" t="str">
        <f>HYPERLINK("http://dx.doi.org/10.1183/13993003.00700-2020","http://dx.doi.org/10.1183/13993003.00700-2020")</f>
        <v>http://dx.doi.org/10.1183/13993003.00700-2020</v>
      </c>
      <c r="BG431" t="s">
        <v>74</v>
      </c>
      <c r="BH431" t="s">
        <v>74</v>
      </c>
      <c r="BI431">
        <v>4</v>
      </c>
      <c r="BJ431" t="s">
        <v>228</v>
      </c>
      <c r="BK431" t="s">
        <v>101</v>
      </c>
      <c r="BL431" t="s">
        <v>228</v>
      </c>
      <c r="BM431" t="s">
        <v>6441</v>
      </c>
      <c r="BN431">
        <v>32409427</v>
      </c>
      <c r="BO431" t="s">
        <v>1194</v>
      </c>
      <c r="BP431" t="s">
        <v>74</v>
      </c>
      <c r="BQ431" t="s">
        <v>74</v>
      </c>
      <c r="BR431" t="s">
        <v>104</v>
      </c>
      <c r="BS431" t="s">
        <v>6451</v>
      </c>
      <c r="BT431" t="str">
        <f>HYPERLINK("https%3A%2F%2Fwww.webofscience.com%2Fwos%2Fwoscc%2Ffull-record%2FWOS:000548158300009","View Full Record in Web of Science")</f>
        <v>View Full Record in Web of Science</v>
      </c>
    </row>
    <row r="432" spans="1:72" x14ac:dyDescent="0.25">
      <c r="A432" t="s">
        <v>72</v>
      </c>
      <c r="B432" t="s">
        <v>6452</v>
      </c>
      <c r="C432" t="s">
        <v>74</v>
      </c>
      <c r="D432" t="s">
        <v>74</v>
      </c>
      <c r="E432" t="s">
        <v>74</v>
      </c>
      <c r="F432" t="s">
        <v>6453</v>
      </c>
      <c r="G432" t="s">
        <v>74</v>
      </c>
      <c r="H432" t="s">
        <v>74</v>
      </c>
      <c r="I432" t="s">
        <v>6454</v>
      </c>
      <c r="J432" t="s">
        <v>5624</v>
      </c>
      <c r="K432" t="s">
        <v>74</v>
      </c>
      <c r="L432" t="s">
        <v>74</v>
      </c>
      <c r="M432" t="s">
        <v>78</v>
      </c>
      <c r="N432" t="s">
        <v>460</v>
      </c>
      <c r="O432" t="s">
        <v>74</v>
      </c>
      <c r="P432" t="s">
        <v>74</v>
      </c>
      <c r="Q432" t="s">
        <v>74</v>
      </c>
      <c r="R432" t="s">
        <v>74</v>
      </c>
      <c r="S432" t="s">
        <v>74</v>
      </c>
      <c r="T432" t="s">
        <v>6455</v>
      </c>
      <c r="U432" t="s">
        <v>6456</v>
      </c>
      <c r="V432" t="s">
        <v>74</v>
      </c>
      <c r="W432" t="s">
        <v>6457</v>
      </c>
      <c r="X432" t="s">
        <v>6458</v>
      </c>
      <c r="Y432" t="s">
        <v>6459</v>
      </c>
      <c r="Z432" t="s">
        <v>6460</v>
      </c>
      <c r="AA432" t="s">
        <v>780</v>
      </c>
      <c r="AB432" t="s">
        <v>6461</v>
      </c>
      <c r="AC432" t="s">
        <v>74</v>
      </c>
      <c r="AD432" t="s">
        <v>74</v>
      </c>
      <c r="AE432" t="s">
        <v>74</v>
      </c>
      <c r="AF432" t="s">
        <v>74</v>
      </c>
      <c r="AG432">
        <v>9</v>
      </c>
      <c r="AH432">
        <v>12</v>
      </c>
      <c r="AI432">
        <v>12</v>
      </c>
      <c r="AJ432">
        <v>1</v>
      </c>
      <c r="AK432">
        <v>1</v>
      </c>
      <c r="AL432" t="s">
        <v>169</v>
      </c>
      <c r="AM432" t="s">
        <v>170</v>
      </c>
      <c r="AN432" t="s">
        <v>171</v>
      </c>
      <c r="AO432" t="s">
        <v>5636</v>
      </c>
      <c r="AP432" t="s">
        <v>5637</v>
      </c>
      <c r="AQ432" t="s">
        <v>74</v>
      </c>
      <c r="AR432" t="s">
        <v>5624</v>
      </c>
      <c r="AS432" t="s">
        <v>601</v>
      </c>
      <c r="AT432" t="s">
        <v>997</v>
      </c>
      <c r="AU432">
        <v>2020</v>
      </c>
      <c r="AV432">
        <v>75</v>
      </c>
      <c r="AW432">
        <v>4</v>
      </c>
      <c r="AX432" t="s">
        <v>74</v>
      </c>
      <c r="AY432" t="s">
        <v>74</v>
      </c>
      <c r="AZ432" t="s">
        <v>74</v>
      </c>
      <c r="BA432" t="s">
        <v>74</v>
      </c>
      <c r="BB432">
        <v>942</v>
      </c>
      <c r="BC432">
        <v>946</v>
      </c>
      <c r="BD432" t="s">
        <v>74</v>
      </c>
      <c r="BE432" t="s">
        <v>6462</v>
      </c>
      <c r="BF432" t="str">
        <f>HYPERLINK("http://dx.doi.org/10.1111/all.14048","http://dx.doi.org/10.1111/all.14048")</f>
        <v>http://dx.doi.org/10.1111/all.14048</v>
      </c>
      <c r="BG432" t="s">
        <v>74</v>
      </c>
      <c r="BH432" t="s">
        <v>74</v>
      </c>
      <c r="BI432">
        <v>5</v>
      </c>
      <c r="BJ432" t="s">
        <v>3085</v>
      </c>
      <c r="BK432" t="s">
        <v>101</v>
      </c>
      <c r="BL432" t="s">
        <v>3085</v>
      </c>
      <c r="BM432" t="s">
        <v>6463</v>
      </c>
      <c r="BN432">
        <v>31520471</v>
      </c>
      <c r="BO432" t="s">
        <v>246</v>
      </c>
      <c r="BP432" t="s">
        <v>74</v>
      </c>
      <c r="BQ432" t="s">
        <v>74</v>
      </c>
      <c r="BR432" t="s">
        <v>104</v>
      </c>
      <c r="BS432" t="s">
        <v>6464</v>
      </c>
      <c r="BT432" t="str">
        <f>HYPERLINK("https%3A%2F%2Fwww.webofscience.com%2Fwos%2Fwoscc%2Ffull-record%2FWOS:000529134100021","View Full Record in Web of Science")</f>
        <v>View Full Record in Web of Science</v>
      </c>
    </row>
    <row r="433" spans="1:72" x14ac:dyDescent="0.25">
      <c r="A433" t="s">
        <v>72</v>
      </c>
      <c r="B433" t="s">
        <v>6465</v>
      </c>
      <c r="C433" t="s">
        <v>74</v>
      </c>
      <c r="D433" t="s">
        <v>74</v>
      </c>
      <c r="E433" t="s">
        <v>74</v>
      </c>
      <c r="F433" t="s">
        <v>6466</v>
      </c>
      <c r="G433" t="s">
        <v>74</v>
      </c>
      <c r="H433" t="s">
        <v>6467</v>
      </c>
      <c r="I433" t="s">
        <v>6468</v>
      </c>
      <c r="J433" t="s">
        <v>6469</v>
      </c>
      <c r="K433" t="s">
        <v>74</v>
      </c>
      <c r="L433" t="s">
        <v>74</v>
      </c>
      <c r="M433" t="s">
        <v>78</v>
      </c>
      <c r="N433" t="s">
        <v>79</v>
      </c>
      <c r="O433" t="s">
        <v>74</v>
      </c>
      <c r="P433" t="s">
        <v>74</v>
      </c>
      <c r="Q433" t="s">
        <v>74</v>
      </c>
      <c r="R433" t="s">
        <v>74</v>
      </c>
      <c r="S433" t="s">
        <v>74</v>
      </c>
      <c r="T433" t="s">
        <v>6470</v>
      </c>
      <c r="U433" t="s">
        <v>6471</v>
      </c>
      <c r="V433" t="s">
        <v>6472</v>
      </c>
      <c r="W433" t="s">
        <v>6473</v>
      </c>
      <c r="X433" t="s">
        <v>6474</v>
      </c>
      <c r="Y433" t="s">
        <v>6475</v>
      </c>
      <c r="Z433" t="s">
        <v>6476</v>
      </c>
      <c r="AA433" t="s">
        <v>6477</v>
      </c>
      <c r="AB433" t="s">
        <v>6478</v>
      </c>
      <c r="AC433" t="s">
        <v>6479</v>
      </c>
      <c r="AD433" t="s">
        <v>6480</v>
      </c>
      <c r="AE433" t="s">
        <v>6481</v>
      </c>
      <c r="AF433" t="s">
        <v>74</v>
      </c>
      <c r="AG433">
        <v>30</v>
      </c>
      <c r="AH433">
        <v>10</v>
      </c>
      <c r="AI433">
        <v>10</v>
      </c>
      <c r="AJ433">
        <v>0</v>
      </c>
      <c r="AK433">
        <v>1</v>
      </c>
      <c r="AL433" t="s">
        <v>6482</v>
      </c>
      <c r="AM433" t="s">
        <v>5466</v>
      </c>
      <c r="AN433" t="s">
        <v>6483</v>
      </c>
      <c r="AO433" t="s">
        <v>6484</v>
      </c>
      <c r="AP433" t="s">
        <v>74</v>
      </c>
      <c r="AQ433" t="s">
        <v>74</v>
      </c>
      <c r="AR433" t="s">
        <v>6485</v>
      </c>
      <c r="AS433" t="s">
        <v>6486</v>
      </c>
      <c r="AT433" t="s">
        <v>997</v>
      </c>
      <c r="AU433">
        <v>2020</v>
      </c>
      <c r="AV433">
        <v>7</v>
      </c>
      <c r="AW433">
        <v>2</v>
      </c>
      <c r="AX433" t="s">
        <v>74</v>
      </c>
      <c r="AY433" t="s">
        <v>74</v>
      </c>
      <c r="AZ433" t="s">
        <v>74</v>
      </c>
      <c r="BA433" t="s">
        <v>74</v>
      </c>
      <c r="BB433">
        <v>747</v>
      </c>
      <c r="BC433">
        <v>756</v>
      </c>
      <c r="BD433" t="s">
        <v>74</v>
      </c>
      <c r="BE433" t="s">
        <v>6487</v>
      </c>
      <c r="BF433" t="str">
        <f>HYPERLINK("http://dx.doi.org/10.1002/ehf2.12630","http://dx.doi.org/10.1002/ehf2.12630")</f>
        <v>http://dx.doi.org/10.1002/ehf2.12630</v>
      </c>
      <c r="BG433" t="s">
        <v>74</v>
      </c>
      <c r="BH433" t="s">
        <v>74</v>
      </c>
      <c r="BI433">
        <v>10</v>
      </c>
      <c r="BJ433" t="s">
        <v>132</v>
      </c>
      <c r="BK433" t="s">
        <v>101</v>
      </c>
      <c r="BL433" t="s">
        <v>133</v>
      </c>
      <c r="BM433" t="s">
        <v>6488</v>
      </c>
      <c r="BN433">
        <v>32147955</v>
      </c>
      <c r="BO433" t="s">
        <v>5014</v>
      </c>
      <c r="BP433" t="s">
        <v>74</v>
      </c>
      <c r="BQ433" t="s">
        <v>74</v>
      </c>
      <c r="BR433" t="s">
        <v>104</v>
      </c>
      <c r="BS433" t="s">
        <v>6489</v>
      </c>
      <c r="BT433" t="str">
        <f>HYPERLINK("https%3A%2F%2Fwww.webofscience.com%2Fwos%2Fwoscc%2Ffull-record%2FWOS:000527015000041","View Full Record in Web of Science")</f>
        <v>View Full Record in Web of Science</v>
      </c>
    </row>
    <row r="434" spans="1:72" x14ac:dyDescent="0.25">
      <c r="A434" t="s">
        <v>72</v>
      </c>
      <c r="B434" t="s">
        <v>6490</v>
      </c>
      <c r="C434" t="s">
        <v>74</v>
      </c>
      <c r="D434" t="s">
        <v>74</v>
      </c>
      <c r="E434" t="s">
        <v>74</v>
      </c>
      <c r="F434" t="s">
        <v>6491</v>
      </c>
      <c r="G434" t="s">
        <v>74</v>
      </c>
      <c r="H434" t="s">
        <v>74</v>
      </c>
      <c r="I434" t="s">
        <v>6492</v>
      </c>
      <c r="J434" t="s">
        <v>216</v>
      </c>
      <c r="K434" t="s">
        <v>74</v>
      </c>
      <c r="L434" t="s">
        <v>74</v>
      </c>
      <c r="M434" t="s">
        <v>78</v>
      </c>
      <c r="N434" t="s">
        <v>79</v>
      </c>
      <c r="O434" t="s">
        <v>74</v>
      </c>
      <c r="P434" t="s">
        <v>74</v>
      </c>
      <c r="Q434" t="s">
        <v>74</v>
      </c>
      <c r="R434" t="s">
        <v>74</v>
      </c>
      <c r="S434" t="s">
        <v>74</v>
      </c>
      <c r="T434" t="s">
        <v>74</v>
      </c>
      <c r="U434" t="s">
        <v>6493</v>
      </c>
      <c r="V434" t="s">
        <v>6494</v>
      </c>
      <c r="W434" t="s">
        <v>6495</v>
      </c>
      <c r="X434" t="s">
        <v>6496</v>
      </c>
      <c r="Y434" t="s">
        <v>6497</v>
      </c>
      <c r="Z434" t="s">
        <v>6498</v>
      </c>
      <c r="AA434" t="s">
        <v>6499</v>
      </c>
      <c r="AB434" t="s">
        <v>6500</v>
      </c>
      <c r="AC434" t="s">
        <v>6501</v>
      </c>
      <c r="AD434" t="s">
        <v>6502</v>
      </c>
      <c r="AE434" t="s">
        <v>6503</v>
      </c>
      <c r="AF434" t="s">
        <v>74</v>
      </c>
      <c r="AG434">
        <v>103</v>
      </c>
      <c r="AH434">
        <v>73</v>
      </c>
      <c r="AI434">
        <v>75</v>
      </c>
      <c r="AJ434">
        <v>2</v>
      </c>
      <c r="AK434">
        <v>21</v>
      </c>
      <c r="AL434" t="s">
        <v>219</v>
      </c>
      <c r="AM434" t="s">
        <v>220</v>
      </c>
      <c r="AN434" t="s">
        <v>221</v>
      </c>
      <c r="AO434" t="s">
        <v>222</v>
      </c>
      <c r="AP434" t="s">
        <v>223</v>
      </c>
      <c r="AQ434" t="s">
        <v>74</v>
      </c>
      <c r="AR434" t="s">
        <v>224</v>
      </c>
      <c r="AS434" t="s">
        <v>225</v>
      </c>
      <c r="AT434" t="s">
        <v>1017</v>
      </c>
      <c r="AU434">
        <v>2020</v>
      </c>
      <c r="AV434">
        <v>55</v>
      </c>
      <c r="AW434">
        <v>4</v>
      </c>
      <c r="AX434" t="s">
        <v>74</v>
      </c>
      <c r="AY434" t="s">
        <v>74</v>
      </c>
      <c r="AZ434" t="s">
        <v>74</v>
      </c>
      <c r="BA434" t="s">
        <v>74</v>
      </c>
      <c r="BB434" t="s">
        <v>74</v>
      </c>
      <c r="BC434" t="s">
        <v>74</v>
      </c>
      <c r="BD434">
        <v>1901592</v>
      </c>
      <c r="BE434" t="s">
        <v>6504</v>
      </c>
      <c r="BF434" t="str">
        <f>HYPERLINK("http://dx.doi.org/10.1183/13993003.01592-2019","http://dx.doi.org/10.1183/13993003.01592-2019")</f>
        <v>http://dx.doi.org/10.1183/13993003.01592-2019</v>
      </c>
      <c r="BG434" t="s">
        <v>74</v>
      </c>
      <c r="BH434" t="s">
        <v>74</v>
      </c>
      <c r="BI434">
        <v>12</v>
      </c>
      <c r="BJ434" t="s">
        <v>228</v>
      </c>
      <c r="BK434" t="s">
        <v>101</v>
      </c>
      <c r="BL434" t="s">
        <v>228</v>
      </c>
      <c r="BM434" t="s">
        <v>6505</v>
      </c>
      <c r="BN434">
        <v>31980492</v>
      </c>
      <c r="BO434" t="s">
        <v>1194</v>
      </c>
      <c r="BP434" t="s">
        <v>74</v>
      </c>
      <c r="BQ434" t="s">
        <v>74</v>
      </c>
      <c r="BR434" t="s">
        <v>104</v>
      </c>
      <c r="BS434" t="s">
        <v>6506</v>
      </c>
      <c r="BT434" t="str">
        <f>HYPERLINK("https%3A%2F%2Fwww.webofscience.com%2Fwos%2Fwoscc%2Ffull-record%2FWOS:000531099900010","View Full Record in Web of Science")</f>
        <v>View Full Record in Web of Science</v>
      </c>
    </row>
    <row r="435" spans="1:72" x14ac:dyDescent="0.25">
      <c r="A435" t="s">
        <v>72</v>
      </c>
      <c r="B435" t="s">
        <v>6507</v>
      </c>
      <c r="C435" t="s">
        <v>74</v>
      </c>
      <c r="D435" t="s">
        <v>74</v>
      </c>
      <c r="E435" t="s">
        <v>74</v>
      </c>
      <c r="F435" t="s">
        <v>6508</v>
      </c>
      <c r="G435" t="s">
        <v>74</v>
      </c>
      <c r="H435" t="s">
        <v>74</v>
      </c>
      <c r="I435" t="s">
        <v>5512</v>
      </c>
      <c r="J435" t="s">
        <v>216</v>
      </c>
      <c r="K435" t="s">
        <v>74</v>
      </c>
      <c r="L435" t="s">
        <v>74</v>
      </c>
      <c r="M435" t="s">
        <v>78</v>
      </c>
      <c r="N435" t="s">
        <v>79</v>
      </c>
      <c r="O435" t="s">
        <v>74</v>
      </c>
      <c r="P435" t="s">
        <v>74</v>
      </c>
      <c r="Q435" t="s">
        <v>74</v>
      </c>
      <c r="R435" t="s">
        <v>74</v>
      </c>
      <c r="S435" t="s">
        <v>74</v>
      </c>
      <c r="T435" t="s">
        <v>74</v>
      </c>
      <c r="U435" t="s">
        <v>6509</v>
      </c>
      <c r="V435" t="s">
        <v>6510</v>
      </c>
      <c r="W435" t="s">
        <v>6511</v>
      </c>
      <c r="X435" t="s">
        <v>6512</v>
      </c>
      <c r="Y435" t="s">
        <v>6513</v>
      </c>
      <c r="Z435" t="s">
        <v>6514</v>
      </c>
      <c r="AA435" t="s">
        <v>6515</v>
      </c>
      <c r="AB435" t="s">
        <v>6516</v>
      </c>
      <c r="AC435" t="s">
        <v>6517</v>
      </c>
      <c r="AD435" t="s">
        <v>6518</v>
      </c>
      <c r="AE435" t="s">
        <v>6519</v>
      </c>
      <c r="AF435" t="s">
        <v>74</v>
      </c>
      <c r="AG435">
        <v>39</v>
      </c>
      <c r="AH435">
        <v>52</v>
      </c>
      <c r="AI435">
        <v>51</v>
      </c>
      <c r="AJ435">
        <v>0</v>
      </c>
      <c r="AK435">
        <v>5</v>
      </c>
      <c r="AL435" t="s">
        <v>219</v>
      </c>
      <c r="AM435" t="s">
        <v>220</v>
      </c>
      <c r="AN435" t="s">
        <v>221</v>
      </c>
      <c r="AO435" t="s">
        <v>222</v>
      </c>
      <c r="AP435" t="s">
        <v>223</v>
      </c>
      <c r="AQ435" t="s">
        <v>74</v>
      </c>
      <c r="AR435" t="s">
        <v>224</v>
      </c>
      <c r="AS435" t="s">
        <v>225</v>
      </c>
      <c r="AT435" t="s">
        <v>1017</v>
      </c>
      <c r="AU435">
        <v>2020</v>
      </c>
      <c r="AV435">
        <v>55</v>
      </c>
      <c r="AW435">
        <v>4</v>
      </c>
      <c r="AX435" t="s">
        <v>74</v>
      </c>
      <c r="AY435" t="s">
        <v>74</v>
      </c>
      <c r="AZ435" t="s">
        <v>74</v>
      </c>
      <c r="BA435" t="s">
        <v>74</v>
      </c>
      <c r="BB435" t="s">
        <v>74</v>
      </c>
      <c r="BC435" t="s">
        <v>74</v>
      </c>
      <c r="BD435">
        <v>1902165</v>
      </c>
      <c r="BE435" t="s">
        <v>6520</v>
      </c>
      <c r="BF435" t="str">
        <f>HYPERLINK("http://dx.doi.org/10.1183/13993003.02165-2019","http://dx.doi.org/10.1183/13993003.02165-2019")</f>
        <v>http://dx.doi.org/10.1183/13993003.02165-2019</v>
      </c>
      <c r="BG435" t="s">
        <v>74</v>
      </c>
      <c r="BH435" t="s">
        <v>74</v>
      </c>
      <c r="BI435">
        <v>9</v>
      </c>
      <c r="BJ435" t="s">
        <v>228</v>
      </c>
      <c r="BK435" t="s">
        <v>101</v>
      </c>
      <c r="BL435" t="s">
        <v>228</v>
      </c>
      <c r="BM435" t="s">
        <v>6505</v>
      </c>
      <c r="BN435">
        <v>31980491</v>
      </c>
      <c r="BO435" t="s">
        <v>1194</v>
      </c>
      <c r="BP435" t="s">
        <v>74</v>
      </c>
      <c r="BQ435" t="s">
        <v>74</v>
      </c>
      <c r="BR435" t="s">
        <v>104</v>
      </c>
      <c r="BS435" t="s">
        <v>6521</v>
      </c>
      <c r="BT435" t="str">
        <f>HYPERLINK("https%3A%2F%2Fwww.webofscience.com%2Fwos%2Fwoscc%2Ffull-record%2FWOS:000531099900029","View Full Record in Web of Science")</f>
        <v>View Full Record in Web of Science</v>
      </c>
    </row>
    <row r="436" spans="1:72" x14ac:dyDescent="0.25">
      <c r="A436" t="s">
        <v>72</v>
      </c>
      <c r="B436" t="s">
        <v>6522</v>
      </c>
      <c r="C436" t="s">
        <v>74</v>
      </c>
      <c r="D436" t="s">
        <v>74</v>
      </c>
      <c r="E436" t="s">
        <v>74</v>
      </c>
      <c r="F436" t="s">
        <v>6523</v>
      </c>
      <c r="G436" t="s">
        <v>74</v>
      </c>
      <c r="H436" t="s">
        <v>74</v>
      </c>
      <c r="I436" t="s">
        <v>6524</v>
      </c>
      <c r="J436" t="s">
        <v>983</v>
      </c>
      <c r="K436" t="s">
        <v>74</v>
      </c>
      <c r="L436" t="s">
        <v>74</v>
      </c>
      <c r="M436" t="s">
        <v>78</v>
      </c>
      <c r="N436" t="s">
        <v>52</v>
      </c>
      <c r="O436" t="s">
        <v>6525</v>
      </c>
      <c r="P436" t="s">
        <v>6526</v>
      </c>
      <c r="Q436" t="s">
        <v>6527</v>
      </c>
      <c r="R436" t="s">
        <v>987</v>
      </c>
      <c r="S436" t="s">
        <v>74</v>
      </c>
      <c r="T436" t="s">
        <v>74</v>
      </c>
      <c r="U436" t="s">
        <v>74</v>
      </c>
      <c r="V436" t="s">
        <v>74</v>
      </c>
      <c r="W436" t="s">
        <v>6528</v>
      </c>
      <c r="X436" t="s">
        <v>6529</v>
      </c>
      <c r="Y436" t="s">
        <v>74</v>
      </c>
      <c r="Z436" t="s">
        <v>74</v>
      </c>
      <c r="AA436" t="s">
        <v>2203</v>
      </c>
      <c r="AB436" t="s">
        <v>74</v>
      </c>
      <c r="AC436" t="s">
        <v>74</v>
      </c>
      <c r="AD436" t="s">
        <v>74</v>
      </c>
      <c r="AE436" t="s">
        <v>74</v>
      </c>
      <c r="AF436" t="s">
        <v>74</v>
      </c>
      <c r="AG436">
        <v>0</v>
      </c>
      <c r="AH436">
        <v>0</v>
      </c>
      <c r="AI436">
        <v>0</v>
      </c>
      <c r="AJ436">
        <v>0</v>
      </c>
      <c r="AK436">
        <v>0</v>
      </c>
      <c r="AL436" t="s">
        <v>991</v>
      </c>
      <c r="AM436" t="s">
        <v>486</v>
      </c>
      <c r="AN436" t="s">
        <v>992</v>
      </c>
      <c r="AO436" t="s">
        <v>993</v>
      </c>
      <c r="AP436" t="s">
        <v>994</v>
      </c>
      <c r="AQ436" t="s">
        <v>74</v>
      </c>
      <c r="AR436" t="s">
        <v>995</v>
      </c>
      <c r="AS436" t="s">
        <v>996</v>
      </c>
      <c r="AT436" t="s">
        <v>997</v>
      </c>
      <c r="AU436">
        <v>2020</v>
      </c>
      <c r="AV436">
        <v>39</v>
      </c>
      <c r="AW436">
        <v>4</v>
      </c>
      <c r="AX436" t="s">
        <v>74</v>
      </c>
      <c r="AY436" t="s">
        <v>998</v>
      </c>
      <c r="AZ436" t="s">
        <v>74</v>
      </c>
      <c r="BA436">
        <v>399</v>
      </c>
      <c r="BB436" t="s">
        <v>6530</v>
      </c>
      <c r="BC436" t="s">
        <v>6530</v>
      </c>
      <c r="BD436" t="s">
        <v>74</v>
      </c>
      <c r="BE436" t="s">
        <v>74</v>
      </c>
      <c r="BF436" t="s">
        <v>74</v>
      </c>
      <c r="BG436" t="s">
        <v>74</v>
      </c>
      <c r="BH436" t="s">
        <v>74</v>
      </c>
      <c r="BI436">
        <v>1</v>
      </c>
      <c r="BJ436" t="s">
        <v>1000</v>
      </c>
      <c r="BK436" t="s">
        <v>512</v>
      </c>
      <c r="BL436" t="s">
        <v>1001</v>
      </c>
      <c r="BM436" t="s">
        <v>6531</v>
      </c>
      <c r="BN436" t="s">
        <v>74</v>
      </c>
      <c r="BO436" t="s">
        <v>74</v>
      </c>
      <c r="BP436" t="s">
        <v>74</v>
      </c>
      <c r="BQ436" t="s">
        <v>74</v>
      </c>
      <c r="BR436" t="s">
        <v>104</v>
      </c>
      <c r="BS436" t="s">
        <v>6532</v>
      </c>
      <c r="BT436" t="str">
        <f>HYPERLINK("https%3A%2F%2Fwww.webofscience.com%2Fwos%2Fwoscc%2Ffull-record%2FWOS:000522637201089","View Full Record in Web of Science")</f>
        <v>View Full Record in Web of Science</v>
      </c>
    </row>
    <row r="437" spans="1:72" x14ac:dyDescent="0.25">
      <c r="A437" t="s">
        <v>72</v>
      </c>
      <c r="B437" t="s">
        <v>6533</v>
      </c>
      <c r="C437" t="s">
        <v>74</v>
      </c>
      <c r="D437" t="s">
        <v>74</v>
      </c>
      <c r="E437" t="s">
        <v>74</v>
      </c>
      <c r="F437" t="s">
        <v>6534</v>
      </c>
      <c r="G437" t="s">
        <v>74</v>
      </c>
      <c r="H437" t="s">
        <v>74</v>
      </c>
      <c r="I437" t="s">
        <v>6535</v>
      </c>
      <c r="J437" t="s">
        <v>324</v>
      </c>
      <c r="K437" t="s">
        <v>74</v>
      </c>
      <c r="L437" t="s">
        <v>74</v>
      </c>
      <c r="M437" t="s">
        <v>78</v>
      </c>
      <c r="N437" t="s">
        <v>79</v>
      </c>
      <c r="O437" t="s">
        <v>74</v>
      </c>
      <c r="P437" t="s">
        <v>74</v>
      </c>
      <c r="Q437" t="s">
        <v>74</v>
      </c>
      <c r="R437" t="s">
        <v>74</v>
      </c>
      <c r="S437" t="s">
        <v>74</v>
      </c>
      <c r="T437" t="s">
        <v>6536</v>
      </c>
      <c r="U437" t="s">
        <v>6537</v>
      </c>
      <c r="V437" t="s">
        <v>6538</v>
      </c>
      <c r="W437" t="s">
        <v>6539</v>
      </c>
      <c r="X437" t="s">
        <v>6540</v>
      </c>
      <c r="Y437" t="s">
        <v>6541</v>
      </c>
      <c r="Z437" t="s">
        <v>6542</v>
      </c>
      <c r="AA437" t="s">
        <v>6543</v>
      </c>
      <c r="AB437" t="s">
        <v>6544</v>
      </c>
      <c r="AC437" t="s">
        <v>6545</v>
      </c>
      <c r="AD437" t="s">
        <v>6546</v>
      </c>
      <c r="AE437" t="s">
        <v>6547</v>
      </c>
      <c r="AF437" t="s">
        <v>74</v>
      </c>
      <c r="AG437">
        <v>18</v>
      </c>
      <c r="AH437">
        <v>16</v>
      </c>
      <c r="AI437">
        <v>17</v>
      </c>
      <c r="AJ437">
        <v>0</v>
      </c>
      <c r="AK437">
        <v>2</v>
      </c>
      <c r="AL437" t="s">
        <v>92</v>
      </c>
      <c r="AM437" t="s">
        <v>93</v>
      </c>
      <c r="AN437" t="s">
        <v>94</v>
      </c>
      <c r="AO437" t="s">
        <v>337</v>
      </c>
      <c r="AP437" t="s">
        <v>338</v>
      </c>
      <c r="AQ437" t="s">
        <v>74</v>
      </c>
      <c r="AR437" t="s">
        <v>324</v>
      </c>
      <c r="AS437" t="s">
        <v>339</v>
      </c>
      <c r="AT437" t="s">
        <v>997</v>
      </c>
      <c r="AU437">
        <v>2020</v>
      </c>
      <c r="AV437">
        <v>157</v>
      </c>
      <c r="AW437">
        <v>4</v>
      </c>
      <c r="AX437" t="s">
        <v>74</v>
      </c>
      <c r="AY437" t="s">
        <v>74</v>
      </c>
      <c r="AZ437" t="s">
        <v>74</v>
      </c>
      <c r="BA437" t="s">
        <v>74</v>
      </c>
      <c r="BB437">
        <v>945</v>
      </c>
      <c r="BC437">
        <v>954</v>
      </c>
      <c r="BD437" t="s">
        <v>74</v>
      </c>
      <c r="BE437" t="s">
        <v>6548</v>
      </c>
      <c r="BF437" t="str">
        <f>HYPERLINK("http://dx.doi.org/10.1016/j.chest.2019.10.045","http://dx.doi.org/10.1016/j.chest.2019.10.045")</f>
        <v>http://dx.doi.org/10.1016/j.chest.2019.10.045</v>
      </c>
      <c r="BG437" t="s">
        <v>74</v>
      </c>
      <c r="BH437" t="s">
        <v>74</v>
      </c>
      <c r="BI437">
        <v>10</v>
      </c>
      <c r="BJ437" t="s">
        <v>341</v>
      </c>
      <c r="BK437" t="s">
        <v>101</v>
      </c>
      <c r="BL437" t="s">
        <v>342</v>
      </c>
      <c r="BM437" t="s">
        <v>6549</v>
      </c>
      <c r="BN437">
        <v>31756332</v>
      </c>
      <c r="BO437" t="s">
        <v>161</v>
      </c>
      <c r="BP437" t="s">
        <v>74</v>
      </c>
      <c r="BQ437" t="s">
        <v>74</v>
      </c>
      <c r="BR437" t="s">
        <v>104</v>
      </c>
      <c r="BS437" t="s">
        <v>6550</v>
      </c>
      <c r="BT437" t="str">
        <f>HYPERLINK("https%3A%2F%2Fwww.webofscience.com%2Fwos%2Fwoscc%2Ffull-record%2FWOS:000523616200042","View Full Record in Web of Science")</f>
        <v>View Full Record in Web of Science</v>
      </c>
    </row>
    <row r="438" spans="1:72" x14ac:dyDescent="0.25">
      <c r="A438" t="s">
        <v>72</v>
      </c>
      <c r="B438" t="s">
        <v>6551</v>
      </c>
      <c r="C438" t="s">
        <v>74</v>
      </c>
      <c r="D438" t="s">
        <v>74</v>
      </c>
      <c r="E438" t="s">
        <v>74</v>
      </c>
      <c r="F438" t="s">
        <v>6552</v>
      </c>
      <c r="G438" t="s">
        <v>74</v>
      </c>
      <c r="H438" t="s">
        <v>74</v>
      </c>
      <c r="I438" t="s">
        <v>6553</v>
      </c>
      <c r="J438" t="s">
        <v>983</v>
      </c>
      <c r="K438" t="s">
        <v>74</v>
      </c>
      <c r="L438" t="s">
        <v>74</v>
      </c>
      <c r="M438" t="s">
        <v>78</v>
      </c>
      <c r="N438" t="s">
        <v>52</v>
      </c>
      <c r="O438" t="s">
        <v>6525</v>
      </c>
      <c r="P438" t="s">
        <v>6526</v>
      </c>
      <c r="Q438" t="s">
        <v>6527</v>
      </c>
      <c r="R438" t="s">
        <v>987</v>
      </c>
      <c r="S438" t="s">
        <v>74</v>
      </c>
      <c r="T438" t="s">
        <v>74</v>
      </c>
      <c r="U438" t="s">
        <v>74</v>
      </c>
      <c r="V438" t="s">
        <v>74</v>
      </c>
      <c r="W438" t="s">
        <v>6554</v>
      </c>
      <c r="X438" t="s">
        <v>6555</v>
      </c>
      <c r="Y438" t="s">
        <v>74</v>
      </c>
      <c r="Z438" t="s">
        <v>74</v>
      </c>
      <c r="AA438" t="s">
        <v>2203</v>
      </c>
      <c r="AB438" t="s">
        <v>74</v>
      </c>
      <c r="AC438" t="s">
        <v>74</v>
      </c>
      <c r="AD438" t="s">
        <v>74</v>
      </c>
      <c r="AE438" t="s">
        <v>74</v>
      </c>
      <c r="AF438" t="s">
        <v>74</v>
      </c>
      <c r="AG438">
        <v>0</v>
      </c>
      <c r="AH438">
        <v>1</v>
      </c>
      <c r="AI438">
        <v>1</v>
      </c>
      <c r="AJ438">
        <v>0</v>
      </c>
      <c r="AK438">
        <v>1</v>
      </c>
      <c r="AL438" t="s">
        <v>991</v>
      </c>
      <c r="AM438" t="s">
        <v>486</v>
      </c>
      <c r="AN438" t="s">
        <v>992</v>
      </c>
      <c r="AO438" t="s">
        <v>993</v>
      </c>
      <c r="AP438" t="s">
        <v>994</v>
      </c>
      <c r="AQ438" t="s">
        <v>74</v>
      </c>
      <c r="AR438" t="s">
        <v>995</v>
      </c>
      <c r="AS438" t="s">
        <v>996</v>
      </c>
      <c r="AT438" t="s">
        <v>997</v>
      </c>
      <c r="AU438">
        <v>2020</v>
      </c>
      <c r="AV438">
        <v>39</v>
      </c>
      <c r="AW438">
        <v>4</v>
      </c>
      <c r="AX438" t="s">
        <v>74</v>
      </c>
      <c r="AY438" t="s">
        <v>998</v>
      </c>
      <c r="AZ438" t="s">
        <v>74</v>
      </c>
      <c r="BA438">
        <v>1316</v>
      </c>
      <c r="BB438" t="s">
        <v>6556</v>
      </c>
      <c r="BC438" t="s">
        <v>6556</v>
      </c>
      <c r="BD438" t="s">
        <v>74</v>
      </c>
      <c r="BE438" t="s">
        <v>74</v>
      </c>
      <c r="BF438" t="s">
        <v>74</v>
      </c>
      <c r="BG438" t="s">
        <v>74</v>
      </c>
      <c r="BH438" t="s">
        <v>74</v>
      </c>
      <c r="BI438">
        <v>1</v>
      </c>
      <c r="BJ438" t="s">
        <v>1000</v>
      </c>
      <c r="BK438" t="s">
        <v>512</v>
      </c>
      <c r="BL438" t="s">
        <v>1001</v>
      </c>
      <c r="BM438" t="s">
        <v>6531</v>
      </c>
      <c r="BN438" t="s">
        <v>74</v>
      </c>
      <c r="BO438" t="s">
        <v>74</v>
      </c>
      <c r="BP438" t="s">
        <v>74</v>
      </c>
      <c r="BQ438" t="s">
        <v>74</v>
      </c>
      <c r="BR438" t="s">
        <v>104</v>
      </c>
      <c r="BS438" t="s">
        <v>6557</v>
      </c>
      <c r="BT438" t="str">
        <f>HYPERLINK("https%3A%2F%2Fwww.webofscience.com%2Fwos%2Fwoscc%2Ffull-record%2FWOS:000522637203298","View Full Record in Web of Science")</f>
        <v>View Full Record in Web of Science</v>
      </c>
    </row>
    <row r="439" spans="1:72" x14ac:dyDescent="0.25">
      <c r="A439" t="s">
        <v>72</v>
      </c>
      <c r="B439" t="s">
        <v>6558</v>
      </c>
      <c r="C439" t="s">
        <v>74</v>
      </c>
      <c r="D439" t="s">
        <v>74</v>
      </c>
      <c r="E439" t="s">
        <v>74</v>
      </c>
      <c r="F439" t="s">
        <v>6559</v>
      </c>
      <c r="G439" t="s">
        <v>74</v>
      </c>
      <c r="H439" t="s">
        <v>74</v>
      </c>
      <c r="I439" t="s">
        <v>6560</v>
      </c>
      <c r="J439" t="s">
        <v>4594</v>
      </c>
      <c r="K439" t="s">
        <v>74</v>
      </c>
      <c r="L439" t="s">
        <v>74</v>
      </c>
      <c r="M439" t="s">
        <v>78</v>
      </c>
      <c r="N439" t="s">
        <v>299</v>
      </c>
      <c r="O439" t="s">
        <v>74</v>
      </c>
      <c r="P439" t="s">
        <v>74</v>
      </c>
      <c r="Q439" t="s">
        <v>74</v>
      </c>
      <c r="R439" t="s">
        <v>74</v>
      </c>
      <c r="S439" t="s">
        <v>74</v>
      </c>
      <c r="T439" t="s">
        <v>6561</v>
      </c>
      <c r="U439" t="s">
        <v>6562</v>
      </c>
      <c r="V439" t="s">
        <v>6563</v>
      </c>
      <c r="W439" t="s">
        <v>6564</v>
      </c>
      <c r="X439" t="s">
        <v>6565</v>
      </c>
      <c r="Y439" t="s">
        <v>6566</v>
      </c>
      <c r="Z439" t="s">
        <v>1296</v>
      </c>
      <c r="AA439" t="s">
        <v>6567</v>
      </c>
      <c r="AB439" t="s">
        <v>6568</v>
      </c>
      <c r="AC439" t="s">
        <v>74</v>
      </c>
      <c r="AD439" t="s">
        <v>74</v>
      </c>
      <c r="AE439" t="s">
        <v>74</v>
      </c>
      <c r="AF439" t="s">
        <v>74</v>
      </c>
      <c r="AG439">
        <v>121</v>
      </c>
      <c r="AH439">
        <v>26</v>
      </c>
      <c r="AI439">
        <v>31</v>
      </c>
      <c r="AJ439">
        <v>0</v>
      </c>
      <c r="AK439">
        <v>0</v>
      </c>
      <c r="AL439" t="s">
        <v>1073</v>
      </c>
      <c r="AM439" t="s">
        <v>1074</v>
      </c>
      <c r="AN439" t="s">
        <v>1075</v>
      </c>
      <c r="AO439" t="s">
        <v>4607</v>
      </c>
      <c r="AP439" t="s">
        <v>4608</v>
      </c>
      <c r="AQ439" t="s">
        <v>74</v>
      </c>
      <c r="AR439" t="s">
        <v>4609</v>
      </c>
      <c r="AS439" t="s">
        <v>4610</v>
      </c>
      <c r="AT439" t="s">
        <v>1017</v>
      </c>
      <c r="AU439">
        <v>2020</v>
      </c>
      <c r="AV439">
        <v>116</v>
      </c>
      <c r="AW439">
        <v>5</v>
      </c>
      <c r="AX439" t="s">
        <v>74</v>
      </c>
      <c r="AY439" t="s">
        <v>74</v>
      </c>
      <c r="AZ439" t="s">
        <v>74</v>
      </c>
      <c r="BA439" t="s">
        <v>74</v>
      </c>
      <c r="BB439">
        <v>885</v>
      </c>
      <c r="BC439">
        <v>893</v>
      </c>
      <c r="BD439" t="s">
        <v>74</v>
      </c>
      <c r="BE439" t="s">
        <v>6569</v>
      </c>
      <c r="BF439" t="str">
        <f>HYPERLINK("http://dx.doi.org/10.1093/cvr/cvz308","http://dx.doi.org/10.1093/cvr/cvz308")</f>
        <v>http://dx.doi.org/10.1093/cvr/cvz308</v>
      </c>
      <c r="BG439" t="s">
        <v>74</v>
      </c>
      <c r="BH439" t="s">
        <v>74</v>
      </c>
      <c r="BI439">
        <v>9</v>
      </c>
      <c r="BJ439" t="s">
        <v>132</v>
      </c>
      <c r="BK439" t="s">
        <v>101</v>
      </c>
      <c r="BL439" t="s">
        <v>133</v>
      </c>
      <c r="BM439" t="s">
        <v>6570</v>
      </c>
      <c r="BN439">
        <v>31813986</v>
      </c>
      <c r="BO439" t="s">
        <v>1194</v>
      </c>
      <c r="BP439" t="s">
        <v>74</v>
      </c>
      <c r="BQ439" t="s">
        <v>74</v>
      </c>
      <c r="BR439" t="s">
        <v>104</v>
      </c>
      <c r="BS439" t="s">
        <v>6571</v>
      </c>
      <c r="BT439" t="str">
        <f>HYPERLINK("https%3A%2F%2Fwww.webofscience.com%2Fwos%2Fwoscc%2Ffull-record%2FWOS:000536493000010","View Full Record in Web of Science")</f>
        <v>View Full Record in Web of Science</v>
      </c>
    </row>
    <row r="440" spans="1:72" x14ac:dyDescent="0.25">
      <c r="A440" t="s">
        <v>72</v>
      </c>
      <c r="B440" t="s">
        <v>6572</v>
      </c>
      <c r="C440" t="s">
        <v>74</v>
      </c>
      <c r="D440" t="s">
        <v>74</v>
      </c>
      <c r="E440" t="s">
        <v>74</v>
      </c>
      <c r="F440" t="s">
        <v>6573</v>
      </c>
      <c r="G440" t="s">
        <v>74</v>
      </c>
      <c r="H440" t="s">
        <v>74</v>
      </c>
      <c r="I440" t="s">
        <v>6574</v>
      </c>
      <c r="J440" t="s">
        <v>983</v>
      </c>
      <c r="K440" t="s">
        <v>74</v>
      </c>
      <c r="L440" t="s">
        <v>74</v>
      </c>
      <c r="M440" t="s">
        <v>78</v>
      </c>
      <c r="N440" t="s">
        <v>52</v>
      </c>
      <c r="O440" t="s">
        <v>6525</v>
      </c>
      <c r="P440" t="s">
        <v>6526</v>
      </c>
      <c r="Q440" t="s">
        <v>6527</v>
      </c>
      <c r="R440" t="s">
        <v>987</v>
      </c>
      <c r="S440" t="s">
        <v>74</v>
      </c>
      <c r="T440" t="s">
        <v>74</v>
      </c>
      <c r="U440" t="s">
        <v>74</v>
      </c>
      <c r="V440" t="s">
        <v>74</v>
      </c>
      <c r="W440" t="s">
        <v>6575</v>
      </c>
      <c r="X440" t="s">
        <v>6576</v>
      </c>
      <c r="Y440" t="s">
        <v>74</v>
      </c>
      <c r="Z440" t="s">
        <v>74</v>
      </c>
      <c r="AA440" t="s">
        <v>6577</v>
      </c>
      <c r="AB440" t="s">
        <v>74</v>
      </c>
      <c r="AC440" t="s">
        <v>74</v>
      </c>
      <c r="AD440" t="s">
        <v>74</v>
      </c>
      <c r="AE440" t="s">
        <v>74</v>
      </c>
      <c r="AF440" t="s">
        <v>74</v>
      </c>
      <c r="AG440">
        <v>0</v>
      </c>
      <c r="AH440">
        <v>0</v>
      </c>
      <c r="AI440">
        <v>0</v>
      </c>
      <c r="AJ440">
        <v>0</v>
      </c>
      <c r="AK440">
        <v>0</v>
      </c>
      <c r="AL440" t="s">
        <v>991</v>
      </c>
      <c r="AM440" t="s">
        <v>486</v>
      </c>
      <c r="AN440" t="s">
        <v>992</v>
      </c>
      <c r="AO440" t="s">
        <v>993</v>
      </c>
      <c r="AP440" t="s">
        <v>994</v>
      </c>
      <c r="AQ440" t="s">
        <v>74</v>
      </c>
      <c r="AR440" t="s">
        <v>995</v>
      </c>
      <c r="AS440" t="s">
        <v>996</v>
      </c>
      <c r="AT440" t="s">
        <v>997</v>
      </c>
      <c r="AU440">
        <v>2020</v>
      </c>
      <c r="AV440">
        <v>39</v>
      </c>
      <c r="AW440">
        <v>4</v>
      </c>
      <c r="AX440" t="s">
        <v>74</v>
      </c>
      <c r="AY440" t="s">
        <v>998</v>
      </c>
      <c r="AZ440" t="s">
        <v>74</v>
      </c>
      <c r="BA440">
        <v>145</v>
      </c>
      <c r="BB440" t="s">
        <v>6578</v>
      </c>
      <c r="BC440" t="s">
        <v>6578</v>
      </c>
      <c r="BD440" t="s">
        <v>74</v>
      </c>
      <c r="BE440" t="s">
        <v>74</v>
      </c>
      <c r="BF440" t="s">
        <v>74</v>
      </c>
      <c r="BG440" t="s">
        <v>74</v>
      </c>
      <c r="BH440" t="s">
        <v>74</v>
      </c>
      <c r="BI440">
        <v>1</v>
      </c>
      <c r="BJ440" t="s">
        <v>1000</v>
      </c>
      <c r="BK440" t="s">
        <v>512</v>
      </c>
      <c r="BL440" t="s">
        <v>1001</v>
      </c>
      <c r="BM440" t="s">
        <v>6531</v>
      </c>
      <c r="BN440" t="s">
        <v>74</v>
      </c>
      <c r="BO440" t="s">
        <v>74</v>
      </c>
      <c r="BP440" t="s">
        <v>74</v>
      </c>
      <c r="BQ440" t="s">
        <v>74</v>
      </c>
      <c r="BR440" t="s">
        <v>104</v>
      </c>
      <c r="BS440" t="s">
        <v>6579</v>
      </c>
      <c r="BT440" t="str">
        <f>HYPERLINK("https%3A%2F%2Fwww.webofscience.com%2Fwos%2Fwoscc%2Ffull-record%2FWOS:000522637200144","View Full Record in Web of Science")</f>
        <v>View Full Record in Web of Science</v>
      </c>
    </row>
    <row r="441" spans="1:72" x14ac:dyDescent="0.25">
      <c r="A441" t="s">
        <v>72</v>
      </c>
      <c r="B441" t="s">
        <v>2218</v>
      </c>
      <c r="C441" t="s">
        <v>74</v>
      </c>
      <c r="D441" t="s">
        <v>74</v>
      </c>
      <c r="E441" t="s">
        <v>74</v>
      </c>
      <c r="F441" t="s">
        <v>2219</v>
      </c>
      <c r="G441" t="s">
        <v>74</v>
      </c>
      <c r="H441" t="s">
        <v>74</v>
      </c>
      <c r="I441" t="s">
        <v>6580</v>
      </c>
      <c r="J441" t="s">
        <v>2398</v>
      </c>
      <c r="K441" t="s">
        <v>74</v>
      </c>
      <c r="L441" t="s">
        <v>74</v>
      </c>
      <c r="M441" t="s">
        <v>78</v>
      </c>
      <c r="N441" t="s">
        <v>140</v>
      </c>
      <c r="O441" t="s">
        <v>74</v>
      </c>
      <c r="P441" t="s">
        <v>74</v>
      </c>
      <c r="Q441" t="s">
        <v>74</v>
      </c>
      <c r="R441" t="s">
        <v>74</v>
      </c>
      <c r="S441" t="s">
        <v>74</v>
      </c>
      <c r="T441" t="s">
        <v>6581</v>
      </c>
      <c r="U441" t="s">
        <v>74</v>
      </c>
      <c r="V441" t="s">
        <v>74</v>
      </c>
      <c r="W441" t="s">
        <v>6582</v>
      </c>
      <c r="X441" t="s">
        <v>6583</v>
      </c>
      <c r="Y441" t="s">
        <v>6584</v>
      </c>
      <c r="Z441" t="s">
        <v>74</v>
      </c>
      <c r="AA441" t="s">
        <v>144</v>
      </c>
      <c r="AB441" t="s">
        <v>6585</v>
      </c>
      <c r="AC441" t="s">
        <v>74</v>
      </c>
      <c r="AD441" t="s">
        <v>74</v>
      </c>
      <c r="AE441" t="s">
        <v>74</v>
      </c>
      <c r="AF441" t="s">
        <v>74</v>
      </c>
      <c r="AG441">
        <v>14</v>
      </c>
      <c r="AH441">
        <v>8</v>
      </c>
      <c r="AI441">
        <v>8</v>
      </c>
      <c r="AJ441">
        <v>2</v>
      </c>
      <c r="AK441">
        <v>8</v>
      </c>
      <c r="AL441" t="s">
        <v>169</v>
      </c>
      <c r="AM441" t="s">
        <v>170</v>
      </c>
      <c r="AN441" t="s">
        <v>171</v>
      </c>
      <c r="AO441" t="s">
        <v>2403</v>
      </c>
      <c r="AP441" t="s">
        <v>2404</v>
      </c>
      <c r="AQ441" t="s">
        <v>74</v>
      </c>
      <c r="AR441" t="s">
        <v>2398</v>
      </c>
      <c r="AS441" t="s">
        <v>2405</v>
      </c>
      <c r="AT441" t="s">
        <v>725</v>
      </c>
      <c r="AU441">
        <v>2020</v>
      </c>
      <c r="AV441">
        <v>25</v>
      </c>
      <c r="AW441">
        <v>8</v>
      </c>
      <c r="AX441" t="s">
        <v>74</v>
      </c>
      <c r="AY441" t="s">
        <v>74</v>
      </c>
      <c r="AZ441" t="s">
        <v>74</v>
      </c>
      <c r="BA441" t="s">
        <v>74</v>
      </c>
      <c r="BB441">
        <v>790</v>
      </c>
      <c r="BC441">
        <v>792</v>
      </c>
      <c r="BD441" t="s">
        <v>74</v>
      </c>
      <c r="BE441" t="s">
        <v>6586</v>
      </c>
      <c r="BF441" t="str">
        <f>HYPERLINK("http://dx.doi.org/10.1111/resp.13814","http://dx.doi.org/10.1111/resp.13814")</f>
        <v>http://dx.doi.org/10.1111/resp.13814</v>
      </c>
      <c r="BG441" t="s">
        <v>74</v>
      </c>
      <c r="BH441" t="s">
        <v>6587</v>
      </c>
      <c r="BI441">
        <v>3</v>
      </c>
      <c r="BJ441" t="s">
        <v>228</v>
      </c>
      <c r="BK441" t="s">
        <v>101</v>
      </c>
      <c r="BL441" t="s">
        <v>228</v>
      </c>
      <c r="BM441" t="s">
        <v>6588</v>
      </c>
      <c r="BN441">
        <v>32239600</v>
      </c>
      <c r="BO441" t="s">
        <v>1194</v>
      </c>
      <c r="BP441" t="s">
        <v>74</v>
      </c>
      <c r="BQ441" t="s">
        <v>74</v>
      </c>
      <c r="BR441" t="s">
        <v>104</v>
      </c>
      <c r="BS441" t="s">
        <v>6589</v>
      </c>
      <c r="BT441" t="str">
        <f>HYPERLINK("https%3A%2F%2Fwww.webofscience.com%2Fwos%2Fwoscc%2Ffull-record%2FWOS:000522748900001","View Full Record in Web of Science")</f>
        <v>View Full Record in Web of Science</v>
      </c>
    </row>
    <row r="442" spans="1:72" x14ac:dyDescent="0.25">
      <c r="A442" t="s">
        <v>72</v>
      </c>
      <c r="B442" t="s">
        <v>6590</v>
      </c>
      <c r="C442" t="s">
        <v>74</v>
      </c>
      <c r="D442" t="s">
        <v>74</v>
      </c>
      <c r="E442" t="s">
        <v>74</v>
      </c>
      <c r="F442" t="s">
        <v>6591</v>
      </c>
      <c r="G442" t="s">
        <v>74</v>
      </c>
      <c r="H442" t="s">
        <v>74</v>
      </c>
      <c r="I442" t="s">
        <v>6592</v>
      </c>
      <c r="J442" t="s">
        <v>814</v>
      </c>
      <c r="K442" t="s">
        <v>74</v>
      </c>
      <c r="L442" t="s">
        <v>74</v>
      </c>
      <c r="M442" t="s">
        <v>78</v>
      </c>
      <c r="N442" t="s">
        <v>299</v>
      </c>
      <c r="O442" t="s">
        <v>74</v>
      </c>
      <c r="P442" t="s">
        <v>74</v>
      </c>
      <c r="Q442" t="s">
        <v>74</v>
      </c>
      <c r="R442" t="s">
        <v>74</v>
      </c>
      <c r="S442" t="s">
        <v>74</v>
      </c>
      <c r="T442" t="s">
        <v>74</v>
      </c>
      <c r="U442" t="s">
        <v>6593</v>
      </c>
      <c r="V442" t="s">
        <v>6594</v>
      </c>
      <c r="W442" t="s">
        <v>6595</v>
      </c>
      <c r="X442" t="s">
        <v>6596</v>
      </c>
      <c r="Y442" t="s">
        <v>6597</v>
      </c>
      <c r="Z442" t="s">
        <v>1091</v>
      </c>
      <c r="AA442" t="s">
        <v>6598</v>
      </c>
      <c r="AB442" t="s">
        <v>6599</v>
      </c>
      <c r="AC442" t="s">
        <v>74</v>
      </c>
      <c r="AD442" t="s">
        <v>74</v>
      </c>
      <c r="AE442" t="s">
        <v>74</v>
      </c>
      <c r="AF442" t="s">
        <v>74</v>
      </c>
      <c r="AG442">
        <v>105</v>
      </c>
      <c r="AH442">
        <v>29</v>
      </c>
      <c r="AI442">
        <v>32</v>
      </c>
      <c r="AJ442">
        <v>1</v>
      </c>
      <c r="AK442">
        <v>4</v>
      </c>
      <c r="AL442" t="s">
        <v>219</v>
      </c>
      <c r="AM442" t="s">
        <v>220</v>
      </c>
      <c r="AN442" t="s">
        <v>221</v>
      </c>
      <c r="AO442" t="s">
        <v>823</v>
      </c>
      <c r="AP442" t="s">
        <v>824</v>
      </c>
      <c r="AQ442" t="s">
        <v>74</v>
      </c>
      <c r="AR442" t="s">
        <v>825</v>
      </c>
      <c r="AS442" t="s">
        <v>826</v>
      </c>
      <c r="AT442" t="s">
        <v>2214</v>
      </c>
      <c r="AU442">
        <v>2020</v>
      </c>
      <c r="AV442">
        <v>29</v>
      </c>
      <c r="AW442">
        <v>155</v>
      </c>
      <c r="AX442" t="s">
        <v>74</v>
      </c>
      <c r="AY442" t="s">
        <v>74</v>
      </c>
      <c r="AZ442" t="s">
        <v>74</v>
      </c>
      <c r="BA442" t="s">
        <v>74</v>
      </c>
      <c r="BB442" t="s">
        <v>74</v>
      </c>
      <c r="BC442" t="s">
        <v>74</v>
      </c>
      <c r="BD442">
        <v>190089</v>
      </c>
      <c r="BE442" t="s">
        <v>6600</v>
      </c>
      <c r="BF442" t="str">
        <f>HYPERLINK("http://dx.doi.org/10.1183/16000617.0089-2019","http://dx.doi.org/10.1183/16000617.0089-2019")</f>
        <v>http://dx.doi.org/10.1183/16000617.0089-2019</v>
      </c>
      <c r="BG442" t="s">
        <v>74</v>
      </c>
      <c r="BH442" t="s">
        <v>74</v>
      </c>
      <c r="BI442">
        <v>12</v>
      </c>
      <c r="BJ442" t="s">
        <v>228</v>
      </c>
      <c r="BK442" t="s">
        <v>101</v>
      </c>
      <c r="BL442" t="s">
        <v>228</v>
      </c>
      <c r="BM442" t="s">
        <v>6601</v>
      </c>
      <c r="BN442">
        <v>32024722</v>
      </c>
      <c r="BO442" t="s">
        <v>6602</v>
      </c>
      <c r="BP442" t="s">
        <v>74</v>
      </c>
      <c r="BQ442" t="s">
        <v>74</v>
      </c>
      <c r="BR442" t="s">
        <v>104</v>
      </c>
      <c r="BS442" t="s">
        <v>6603</v>
      </c>
      <c r="BT442" t="str">
        <f>HYPERLINK("https%3A%2F%2Fwww.webofscience.com%2Fwos%2Fwoscc%2Ffull-record%2FWOS:000528238600006","View Full Record in Web of Science")</f>
        <v>View Full Record in Web of Science</v>
      </c>
    </row>
    <row r="443" spans="1:72" x14ac:dyDescent="0.25">
      <c r="A443" t="s">
        <v>72</v>
      </c>
      <c r="B443" t="s">
        <v>6604</v>
      </c>
      <c r="C443" t="s">
        <v>74</v>
      </c>
      <c r="D443" t="s">
        <v>74</v>
      </c>
      <c r="E443" t="s">
        <v>74</v>
      </c>
      <c r="F443" t="s">
        <v>6605</v>
      </c>
      <c r="G443" t="s">
        <v>74</v>
      </c>
      <c r="H443" t="s">
        <v>74</v>
      </c>
      <c r="I443" t="s">
        <v>6606</v>
      </c>
      <c r="J443" t="s">
        <v>4987</v>
      </c>
      <c r="K443" t="s">
        <v>74</v>
      </c>
      <c r="L443" t="s">
        <v>74</v>
      </c>
      <c r="M443" t="s">
        <v>78</v>
      </c>
      <c r="N443" t="s">
        <v>52</v>
      </c>
      <c r="O443" t="s">
        <v>74</v>
      </c>
      <c r="P443" t="s">
        <v>74</v>
      </c>
      <c r="Q443" t="s">
        <v>74</v>
      </c>
      <c r="R443" t="s">
        <v>74</v>
      </c>
      <c r="S443" t="s">
        <v>74</v>
      </c>
      <c r="T443" t="s">
        <v>74</v>
      </c>
      <c r="U443" t="s">
        <v>74</v>
      </c>
      <c r="V443" t="s">
        <v>74</v>
      </c>
      <c r="W443" t="s">
        <v>6607</v>
      </c>
      <c r="X443" t="s">
        <v>6608</v>
      </c>
      <c r="Y443" t="s">
        <v>74</v>
      </c>
      <c r="Z443" t="s">
        <v>74</v>
      </c>
      <c r="AA443" t="s">
        <v>6609</v>
      </c>
      <c r="AB443" t="s">
        <v>74</v>
      </c>
      <c r="AC443" t="s">
        <v>74</v>
      </c>
      <c r="AD443" t="s">
        <v>74</v>
      </c>
      <c r="AE443" t="s">
        <v>74</v>
      </c>
      <c r="AF443" t="s">
        <v>74</v>
      </c>
      <c r="AG443">
        <v>0</v>
      </c>
      <c r="AH443">
        <v>0</v>
      </c>
      <c r="AI443">
        <v>0</v>
      </c>
      <c r="AJ443">
        <v>0</v>
      </c>
      <c r="AK443">
        <v>0</v>
      </c>
      <c r="AL443" t="s">
        <v>4990</v>
      </c>
      <c r="AM443" t="s">
        <v>4991</v>
      </c>
      <c r="AN443" t="s">
        <v>4992</v>
      </c>
      <c r="AO443" t="s">
        <v>4993</v>
      </c>
      <c r="AP443" t="s">
        <v>4994</v>
      </c>
      <c r="AQ443" t="s">
        <v>74</v>
      </c>
      <c r="AR443" t="s">
        <v>4987</v>
      </c>
      <c r="AS443" t="s">
        <v>4995</v>
      </c>
      <c r="AT443" t="s">
        <v>98</v>
      </c>
      <c r="AU443">
        <v>2020</v>
      </c>
      <c r="AV443">
        <v>74</v>
      </c>
      <c r="AW443" t="s">
        <v>74</v>
      </c>
      <c r="AX443" t="s">
        <v>74</v>
      </c>
      <c r="AY443">
        <v>1</v>
      </c>
      <c r="AZ443" t="s">
        <v>74</v>
      </c>
      <c r="BA443" t="s">
        <v>6610</v>
      </c>
      <c r="BB443" t="s">
        <v>6611</v>
      </c>
      <c r="BC443" t="s">
        <v>6611</v>
      </c>
      <c r="BD443" t="s">
        <v>74</v>
      </c>
      <c r="BE443" t="s">
        <v>6612</v>
      </c>
      <c r="BF443" t="str">
        <f>HYPERLINK("http://dx.doi.org/10.1055/s-0039-3403113","http://dx.doi.org/10.1055/s-0039-3403113")</f>
        <v>http://dx.doi.org/10.1055/s-0039-3403113</v>
      </c>
      <c r="BG443" t="s">
        <v>74</v>
      </c>
      <c r="BH443" t="s">
        <v>74</v>
      </c>
      <c r="BI443">
        <v>1</v>
      </c>
      <c r="BJ443" t="s">
        <v>228</v>
      </c>
      <c r="BK443" t="s">
        <v>2192</v>
      </c>
      <c r="BL443" t="s">
        <v>228</v>
      </c>
      <c r="BM443" t="s">
        <v>6613</v>
      </c>
      <c r="BN443" t="s">
        <v>74</v>
      </c>
      <c r="BO443" t="s">
        <v>74</v>
      </c>
      <c r="BP443" t="s">
        <v>74</v>
      </c>
      <c r="BQ443" t="s">
        <v>74</v>
      </c>
      <c r="BR443" t="s">
        <v>104</v>
      </c>
      <c r="BS443" t="s">
        <v>6614</v>
      </c>
      <c r="BT443" t="str">
        <f>HYPERLINK("https%3A%2F%2Fwww.webofscience.com%2Fwos%2Fwoscc%2Ffull-record%2FWOS:000588631500056","View Full Record in Web of Science")</f>
        <v>View Full Record in Web of Science</v>
      </c>
    </row>
    <row r="444" spans="1:72" x14ac:dyDescent="0.25">
      <c r="A444" t="s">
        <v>72</v>
      </c>
      <c r="B444" t="s">
        <v>6615</v>
      </c>
      <c r="C444" t="s">
        <v>74</v>
      </c>
      <c r="D444" t="s">
        <v>74</v>
      </c>
      <c r="E444" t="s">
        <v>74</v>
      </c>
      <c r="F444" t="s">
        <v>6616</v>
      </c>
      <c r="G444" t="s">
        <v>74</v>
      </c>
      <c r="H444" t="s">
        <v>74</v>
      </c>
      <c r="I444" t="s">
        <v>6617</v>
      </c>
      <c r="J444" t="s">
        <v>6618</v>
      </c>
      <c r="K444" t="s">
        <v>74</v>
      </c>
      <c r="L444" t="s">
        <v>74</v>
      </c>
      <c r="M444" t="s">
        <v>78</v>
      </c>
      <c r="N444" t="s">
        <v>79</v>
      </c>
      <c r="O444" t="s">
        <v>74</v>
      </c>
      <c r="P444" t="s">
        <v>74</v>
      </c>
      <c r="Q444" t="s">
        <v>74</v>
      </c>
      <c r="R444" t="s">
        <v>74</v>
      </c>
      <c r="S444" t="s">
        <v>74</v>
      </c>
      <c r="T444" t="s">
        <v>6619</v>
      </c>
      <c r="U444" t="s">
        <v>6620</v>
      </c>
      <c r="V444" t="s">
        <v>6621</v>
      </c>
      <c r="W444" t="s">
        <v>6622</v>
      </c>
      <c r="X444" t="s">
        <v>6623</v>
      </c>
      <c r="Y444" t="s">
        <v>6624</v>
      </c>
      <c r="Z444" t="s">
        <v>276</v>
      </c>
      <c r="AA444" t="s">
        <v>6625</v>
      </c>
      <c r="AB444" t="s">
        <v>6626</v>
      </c>
      <c r="AC444" t="s">
        <v>6627</v>
      </c>
      <c r="AD444" t="s">
        <v>6628</v>
      </c>
      <c r="AE444" t="s">
        <v>6629</v>
      </c>
      <c r="AF444" t="s">
        <v>74</v>
      </c>
      <c r="AG444">
        <v>48</v>
      </c>
      <c r="AH444">
        <v>56</v>
      </c>
      <c r="AI444">
        <v>57</v>
      </c>
      <c r="AJ444">
        <v>0</v>
      </c>
      <c r="AK444">
        <v>9</v>
      </c>
      <c r="AL444" t="s">
        <v>122</v>
      </c>
      <c r="AM444" t="s">
        <v>123</v>
      </c>
      <c r="AN444" t="s">
        <v>124</v>
      </c>
      <c r="AO444" t="s">
        <v>6630</v>
      </c>
      <c r="AP444" t="s">
        <v>6631</v>
      </c>
      <c r="AQ444" t="s">
        <v>74</v>
      </c>
      <c r="AR444" t="s">
        <v>6632</v>
      </c>
      <c r="AS444" t="s">
        <v>6633</v>
      </c>
      <c r="AT444" t="s">
        <v>98</v>
      </c>
      <c r="AU444">
        <v>2020</v>
      </c>
      <c r="AV444">
        <v>40</v>
      </c>
      <c r="AW444">
        <v>3</v>
      </c>
      <c r="AX444" t="s">
        <v>74</v>
      </c>
      <c r="AY444" t="s">
        <v>74</v>
      </c>
      <c r="AZ444" t="s">
        <v>74</v>
      </c>
      <c r="BA444" t="s">
        <v>74</v>
      </c>
      <c r="BB444">
        <v>766</v>
      </c>
      <c r="BC444">
        <v>782</v>
      </c>
      <c r="BD444" t="s">
        <v>74</v>
      </c>
      <c r="BE444" t="s">
        <v>6634</v>
      </c>
      <c r="BF444" t="str">
        <f>HYPERLINK("http://dx.doi.org/10.1161/ATVBAHA.119.313715","http://dx.doi.org/10.1161/ATVBAHA.119.313715")</f>
        <v>http://dx.doi.org/10.1161/ATVBAHA.119.313715</v>
      </c>
      <c r="BG444" t="s">
        <v>74</v>
      </c>
      <c r="BH444" t="s">
        <v>74</v>
      </c>
      <c r="BI444">
        <v>17</v>
      </c>
      <c r="BJ444" t="s">
        <v>6635</v>
      </c>
      <c r="BK444" t="s">
        <v>101</v>
      </c>
      <c r="BL444" t="s">
        <v>6636</v>
      </c>
      <c r="BM444" t="s">
        <v>6637</v>
      </c>
      <c r="BN444">
        <v>31969018</v>
      </c>
      <c r="BO444" t="s">
        <v>2854</v>
      </c>
      <c r="BP444" t="s">
        <v>74</v>
      </c>
      <c r="BQ444" t="s">
        <v>74</v>
      </c>
      <c r="BR444" t="s">
        <v>104</v>
      </c>
      <c r="BS444" t="s">
        <v>6638</v>
      </c>
      <c r="BT444" t="str">
        <f>HYPERLINK("https%3A%2F%2Fwww.webofscience.com%2Fwos%2Fwoscc%2Ffull-record%2FWOS:000528018700027","View Full Record in Web of Science")</f>
        <v>View Full Record in Web of Science</v>
      </c>
    </row>
    <row r="445" spans="1:72" x14ac:dyDescent="0.25">
      <c r="A445" t="s">
        <v>72</v>
      </c>
      <c r="B445" t="s">
        <v>6639</v>
      </c>
      <c r="C445" t="s">
        <v>74</v>
      </c>
      <c r="D445" t="s">
        <v>74</v>
      </c>
      <c r="E445" t="s">
        <v>74</v>
      </c>
      <c r="F445" t="s">
        <v>6640</v>
      </c>
      <c r="G445" t="s">
        <v>74</v>
      </c>
      <c r="H445" t="s">
        <v>74</v>
      </c>
      <c r="I445" t="s">
        <v>6641</v>
      </c>
      <c r="J445" t="s">
        <v>4594</v>
      </c>
      <c r="K445" t="s">
        <v>74</v>
      </c>
      <c r="L445" t="s">
        <v>74</v>
      </c>
      <c r="M445" t="s">
        <v>78</v>
      </c>
      <c r="N445" t="s">
        <v>79</v>
      </c>
      <c r="O445" t="s">
        <v>74</v>
      </c>
      <c r="P445" t="s">
        <v>74</v>
      </c>
      <c r="Q445" t="s">
        <v>74</v>
      </c>
      <c r="R445" t="s">
        <v>74</v>
      </c>
      <c r="S445" t="s">
        <v>74</v>
      </c>
      <c r="T445" t="s">
        <v>6642</v>
      </c>
      <c r="U445" t="s">
        <v>6643</v>
      </c>
      <c r="V445" t="s">
        <v>6644</v>
      </c>
      <c r="W445" t="s">
        <v>6645</v>
      </c>
      <c r="X445" t="s">
        <v>6646</v>
      </c>
      <c r="Y445" t="s">
        <v>6624</v>
      </c>
      <c r="Z445" t="s">
        <v>276</v>
      </c>
      <c r="AA445" t="s">
        <v>6647</v>
      </c>
      <c r="AB445" t="s">
        <v>6648</v>
      </c>
      <c r="AC445" t="s">
        <v>6649</v>
      </c>
      <c r="AD445" t="s">
        <v>6650</v>
      </c>
      <c r="AE445" t="s">
        <v>6651</v>
      </c>
      <c r="AF445" t="s">
        <v>74</v>
      </c>
      <c r="AG445">
        <v>50</v>
      </c>
      <c r="AH445">
        <v>59</v>
      </c>
      <c r="AI445">
        <v>60</v>
      </c>
      <c r="AJ445">
        <v>1</v>
      </c>
      <c r="AK445">
        <v>27</v>
      </c>
      <c r="AL445" t="s">
        <v>1073</v>
      </c>
      <c r="AM445" t="s">
        <v>1074</v>
      </c>
      <c r="AN445" t="s">
        <v>1075</v>
      </c>
      <c r="AO445" t="s">
        <v>4607</v>
      </c>
      <c r="AP445" t="s">
        <v>4608</v>
      </c>
      <c r="AQ445" t="s">
        <v>74</v>
      </c>
      <c r="AR445" t="s">
        <v>4609</v>
      </c>
      <c r="AS445" t="s">
        <v>4610</v>
      </c>
      <c r="AT445" t="s">
        <v>1097</v>
      </c>
      <c r="AU445">
        <v>2020</v>
      </c>
      <c r="AV445">
        <v>116</v>
      </c>
      <c r="AW445">
        <v>3</v>
      </c>
      <c r="AX445" t="s">
        <v>74</v>
      </c>
      <c r="AY445" t="s">
        <v>74</v>
      </c>
      <c r="AZ445" t="s">
        <v>74</v>
      </c>
      <c r="BA445" t="s">
        <v>74</v>
      </c>
      <c r="BB445">
        <v>686</v>
      </c>
      <c r="BC445">
        <v>697</v>
      </c>
      <c r="BD445" t="s">
        <v>74</v>
      </c>
      <c r="BE445" t="s">
        <v>6652</v>
      </c>
      <c r="BF445" t="str">
        <f>HYPERLINK("http://dx.doi.org/10.1093/cvr/cvz153","http://dx.doi.org/10.1093/cvr/cvz153")</f>
        <v>http://dx.doi.org/10.1093/cvr/cvz153</v>
      </c>
      <c r="BG445" t="s">
        <v>74</v>
      </c>
      <c r="BH445" t="s">
        <v>74</v>
      </c>
      <c r="BI445">
        <v>12</v>
      </c>
      <c r="BJ445" t="s">
        <v>132</v>
      </c>
      <c r="BK445" t="s">
        <v>101</v>
      </c>
      <c r="BL445" t="s">
        <v>133</v>
      </c>
      <c r="BM445" t="s">
        <v>6653</v>
      </c>
      <c r="BN445">
        <v>31173066</v>
      </c>
      <c r="BO445" t="s">
        <v>612</v>
      </c>
      <c r="BP445" t="s">
        <v>74</v>
      </c>
      <c r="BQ445" t="s">
        <v>74</v>
      </c>
      <c r="BR445" t="s">
        <v>104</v>
      </c>
      <c r="BS445" t="s">
        <v>6654</v>
      </c>
      <c r="BT445" t="str">
        <f>HYPERLINK("https%3A%2F%2Fwww.webofscience.com%2Fwos%2Fwoscc%2Ffull-record%2FWOS:000518548100025","View Full Record in Web of Science")</f>
        <v>View Full Record in Web of Science</v>
      </c>
    </row>
    <row r="446" spans="1:72" x14ac:dyDescent="0.25">
      <c r="A446" t="s">
        <v>72</v>
      </c>
      <c r="B446" t="s">
        <v>6655</v>
      </c>
      <c r="C446" t="s">
        <v>74</v>
      </c>
      <c r="D446" t="s">
        <v>74</v>
      </c>
      <c r="E446" t="s">
        <v>74</v>
      </c>
      <c r="F446" t="s">
        <v>6656</v>
      </c>
      <c r="G446" t="s">
        <v>74</v>
      </c>
      <c r="H446" t="s">
        <v>74</v>
      </c>
      <c r="I446" t="s">
        <v>6657</v>
      </c>
      <c r="J446" t="s">
        <v>4987</v>
      </c>
      <c r="K446" t="s">
        <v>74</v>
      </c>
      <c r="L446" t="s">
        <v>74</v>
      </c>
      <c r="M446" t="s">
        <v>78</v>
      </c>
      <c r="N446" t="s">
        <v>52</v>
      </c>
      <c r="O446" t="s">
        <v>74</v>
      </c>
      <c r="P446" t="s">
        <v>74</v>
      </c>
      <c r="Q446" t="s">
        <v>74</v>
      </c>
      <c r="R446" t="s">
        <v>74</v>
      </c>
      <c r="S446" t="s">
        <v>74</v>
      </c>
      <c r="T446" t="s">
        <v>74</v>
      </c>
      <c r="U446" t="s">
        <v>74</v>
      </c>
      <c r="V446" t="s">
        <v>74</v>
      </c>
      <c r="W446" t="s">
        <v>6658</v>
      </c>
      <c r="X446" t="s">
        <v>6659</v>
      </c>
      <c r="Y446" t="s">
        <v>74</v>
      </c>
      <c r="Z446" t="s">
        <v>74</v>
      </c>
      <c r="AA446" t="s">
        <v>144</v>
      </c>
      <c r="AB446" t="s">
        <v>74</v>
      </c>
      <c r="AC446" t="s">
        <v>74</v>
      </c>
      <c r="AD446" t="s">
        <v>74</v>
      </c>
      <c r="AE446" t="s">
        <v>74</v>
      </c>
      <c r="AF446" t="s">
        <v>74</v>
      </c>
      <c r="AG446">
        <v>0</v>
      </c>
      <c r="AH446">
        <v>0</v>
      </c>
      <c r="AI446">
        <v>0</v>
      </c>
      <c r="AJ446">
        <v>0</v>
      </c>
      <c r="AK446">
        <v>0</v>
      </c>
      <c r="AL446" t="s">
        <v>4990</v>
      </c>
      <c r="AM446" t="s">
        <v>4991</v>
      </c>
      <c r="AN446" t="s">
        <v>4992</v>
      </c>
      <c r="AO446" t="s">
        <v>4993</v>
      </c>
      <c r="AP446" t="s">
        <v>4994</v>
      </c>
      <c r="AQ446" t="s">
        <v>74</v>
      </c>
      <c r="AR446" t="s">
        <v>4987</v>
      </c>
      <c r="AS446" t="s">
        <v>4995</v>
      </c>
      <c r="AT446" t="s">
        <v>98</v>
      </c>
      <c r="AU446">
        <v>2020</v>
      </c>
      <c r="AV446">
        <v>74</v>
      </c>
      <c r="AW446" t="s">
        <v>74</v>
      </c>
      <c r="AX446" t="s">
        <v>74</v>
      </c>
      <c r="AY446">
        <v>1</v>
      </c>
      <c r="AZ446" t="s">
        <v>74</v>
      </c>
      <c r="BA446" t="s">
        <v>6660</v>
      </c>
      <c r="BB446" t="s">
        <v>6661</v>
      </c>
      <c r="BC446" t="s">
        <v>6661</v>
      </c>
      <c r="BD446" t="s">
        <v>74</v>
      </c>
      <c r="BE446" t="s">
        <v>6662</v>
      </c>
      <c r="BF446" t="str">
        <f>HYPERLINK("http://dx.doi.org/10.1055/s-0039-3403117","http://dx.doi.org/10.1055/s-0039-3403117")</f>
        <v>http://dx.doi.org/10.1055/s-0039-3403117</v>
      </c>
      <c r="BG446" t="s">
        <v>74</v>
      </c>
      <c r="BH446" t="s">
        <v>74</v>
      </c>
      <c r="BI446">
        <v>1</v>
      </c>
      <c r="BJ446" t="s">
        <v>228</v>
      </c>
      <c r="BK446" t="s">
        <v>2192</v>
      </c>
      <c r="BL446" t="s">
        <v>228</v>
      </c>
      <c r="BM446" t="s">
        <v>6613</v>
      </c>
      <c r="BN446" t="s">
        <v>74</v>
      </c>
      <c r="BO446" t="s">
        <v>74</v>
      </c>
      <c r="BP446" t="s">
        <v>74</v>
      </c>
      <c r="BQ446" t="s">
        <v>74</v>
      </c>
      <c r="BR446" t="s">
        <v>104</v>
      </c>
      <c r="BS446" t="s">
        <v>6663</v>
      </c>
      <c r="BT446" t="str">
        <f>HYPERLINK("https%3A%2F%2Fwww.webofscience.com%2Fwos%2Fwoscc%2Ffull-record%2FWOS:000588631500060","View Full Record in Web of Science")</f>
        <v>View Full Record in Web of Science</v>
      </c>
    </row>
    <row r="447" spans="1:72" x14ac:dyDescent="0.25">
      <c r="A447" t="s">
        <v>72</v>
      </c>
      <c r="B447" t="s">
        <v>6664</v>
      </c>
      <c r="C447" t="s">
        <v>74</v>
      </c>
      <c r="D447" t="s">
        <v>74</v>
      </c>
      <c r="E447" t="s">
        <v>74</v>
      </c>
      <c r="F447" t="s">
        <v>6665</v>
      </c>
      <c r="G447" t="s">
        <v>74</v>
      </c>
      <c r="H447" t="s">
        <v>74</v>
      </c>
      <c r="I447" t="s">
        <v>6666</v>
      </c>
      <c r="J447" t="s">
        <v>637</v>
      </c>
      <c r="K447" t="s">
        <v>74</v>
      </c>
      <c r="L447" t="s">
        <v>74</v>
      </c>
      <c r="M447" t="s">
        <v>78</v>
      </c>
      <c r="N447" t="s">
        <v>79</v>
      </c>
      <c r="O447" t="s">
        <v>74</v>
      </c>
      <c r="P447" t="s">
        <v>74</v>
      </c>
      <c r="Q447" t="s">
        <v>74</v>
      </c>
      <c r="R447" t="s">
        <v>74</v>
      </c>
      <c r="S447" t="s">
        <v>74</v>
      </c>
      <c r="T447" t="s">
        <v>6667</v>
      </c>
      <c r="U447" t="s">
        <v>74</v>
      </c>
      <c r="V447" t="s">
        <v>6668</v>
      </c>
      <c r="W447" t="s">
        <v>6669</v>
      </c>
      <c r="X447" t="s">
        <v>6670</v>
      </c>
      <c r="Y447" t="s">
        <v>6671</v>
      </c>
      <c r="Z447" t="s">
        <v>6672</v>
      </c>
      <c r="AA447" t="s">
        <v>6673</v>
      </c>
      <c r="AB447" t="s">
        <v>6674</v>
      </c>
      <c r="AC447" t="s">
        <v>5906</v>
      </c>
      <c r="AD447" t="s">
        <v>5907</v>
      </c>
      <c r="AE447" t="s">
        <v>74</v>
      </c>
      <c r="AF447" t="s">
        <v>74</v>
      </c>
      <c r="AG447">
        <v>28</v>
      </c>
      <c r="AH447">
        <v>87</v>
      </c>
      <c r="AI447">
        <v>91</v>
      </c>
      <c r="AJ447">
        <v>0</v>
      </c>
      <c r="AK447">
        <v>16</v>
      </c>
      <c r="AL447" t="s">
        <v>649</v>
      </c>
      <c r="AM447" t="s">
        <v>486</v>
      </c>
      <c r="AN447" t="s">
        <v>650</v>
      </c>
      <c r="AO447" t="s">
        <v>651</v>
      </c>
      <c r="AP447" t="s">
        <v>652</v>
      </c>
      <c r="AQ447" t="s">
        <v>74</v>
      </c>
      <c r="AR447" t="s">
        <v>653</v>
      </c>
      <c r="AS447" t="s">
        <v>654</v>
      </c>
      <c r="AT447" t="s">
        <v>1097</v>
      </c>
      <c r="AU447">
        <v>2020</v>
      </c>
      <c r="AV447">
        <v>201</v>
      </c>
      <c r="AW447">
        <v>5</v>
      </c>
      <c r="AX447" t="s">
        <v>74</v>
      </c>
      <c r="AY447" t="s">
        <v>74</v>
      </c>
      <c r="AZ447" t="s">
        <v>74</v>
      </c>
      <c r="BA447" t="s">
        <v>74</v>
      </c>
      <c r="BB447">
        <v>575</v>
      </c>
      <c r="BC447">
        <v>585</v>
      </c>
      <c r="BD447" t="s">
        <v>74</v>
      </c>
      <c r="BE447" t="s">
        <v>6675</v>
      </c>
      <c r="BF447" t="str">
        <f>HYPERLINK("http://dx.doi.org/10.1164/rccm.201906-1141OC","http://dx.doi.org/10.1164/rccm.201906-1141OC")</f>
        <v>http://dx.doi.org/10.1164/rccm.201906-1141OC</v>
      </c>
      <c r="BG447" t="s">
        <v>74</v>
      </c>
      <c r="BH447" t="s">
        <v>74</v>
      </c>
      <c r="BI447">
        <v>11</v>
      </c>
      <c r="BJ447" t="s">
        <v>341</v>
      </c>
      <c r="BK447" t="s">
        <v>101</v>
      </c>
      <c r="BL447" t="s">
        <v>342</v>
      </c>
      <c r="BM447" t="s">
        <v>6676</v>
      </c>
      <c r="BN447">
        <v>31661308</v>
      </c>
      <c r="BO447" t="s">
        <v>6677</v>
      </c>
      <c r="BP447" t="s">
        <v>74</v>
      </c>
      <c r="BQ447" t="s">
        <v>74</v>
      </c>
      <c r="BR447" t="s">
        <v>104</v>
      </c>
      <c r="BS447" t="s">
        <v>6678</v>
      </c>
      <c r="BT447" t="str">
        <f>HYPERLINK("https%3A%2F%2Fwww.webofscience.com%2Fwos%2Fwoscc%2Ffull-record%2FWOS:000518194000015","View Full Record in Web of Science")</f>
        <v>View Full Record in Web of Science</v>
      </c>
    </row>
    <row r="448" spans="1:72" x14ac:dyDescent="0.25">
      <c r="A448" t="s">
        <v>72</v>
      </c>
      <c r="B448" t="s">
        <v>6679</v>
      </c>
      <c r="C448" t="s">
        <v>74</v>
      </c>
      <c r="D448" t="s">
        <v>74</v>
      </c>
      <c r="E448" t="s">
        <v>74</v>
      </c>
      <c r="F448" t="s">
        <v>6680</v>
      </c>
      <c r="G448" t="s">
        <v>74</v>
      </c>
      <c r="H448" t="s">
        <v>74</v>
      </c>
      <c r="I448" t="s">
        <v>6681</v>
      </c>
      <c r="J448" t="s">
        <v>1348</v>
      </c>
      <c r="K448" t="s">
        <v>74</v>
      </c>
      <c r="L448" t="s">
        <v>74</v>
      </c>
      <c r="M448" t="s">
        <v>1349</v>
      </c>
      <c r="N448" t="s">
        <v>299</v>
      </c>
      <c r="O448" t="s">
        <v>74</v>
      </c>
      <c r="P448" t="s">
        <v>74</v>
      </c>
      <c r="Q448" t="s">
        <v>74</v>
      </c>
      <c r="R448" t="s">
        <v>74</v>
      </c>
      <c r="S448" t="s">
        <v>74</v>
      </c>
      <c r="T448" t="s">
        <v>6682</v>
      </c>
      <c r="U448" t="s">
        <v>6683</v>
      </c>
      <c r="V448" t="s">
        <v>6684</v>
      </c>
      <c r="W448" t="s">
        <v>6685</v>
      </c>
      <c r="X448" t="s">
        <v>6686</v>
      </c>
      <c r="Y448" t="s">
        <v>6687</v>
      </c>
      <c r="Z448" t="s">
        <v>6688</v>
      </c>
      <c r="AA448" t="s">
        <v>1635</v>
      </c>
      <c r="AB448" t="s">
        <v>6689</v>
      </c>
      <c r="AC448" t="s">
        <v>74</v>
      </c>
      <c r="AD448" t="s">
        <v>74</v>
      </c>
      <c r="AE448" t="s">
        <v>74</v>
      </c>
      <c r="AF448" t="s">
        <v>74</v>
      </c>
      <c r="AG448">
        <v>38</v>
      </c>
      <c r="AH448">
        <v>2</v>
      </c>
      <c r="AI448">
        <v>5</v>
      </c>
      <c r="AJ448">
        <v>0</v>
      </c>
      <c r="AK448">
        <v>1</v>
      </c>
      <c r="AL448" t="s">
        <v>1358</v>
      </c>
      <c r="AM448" t="s">
        <v>1359</v>
      </c>
      <c r="AN448" t="s">
        <v>1360</v>
      </c>
      <c r="AO448" t="s">
        <v>1361</v>
      </c>
      <c r="AP448" t="s">
        <v>1362</v>
      </c>
      <c r="AQ448" t="s">
        <v>74</v>
      </c>
      <c r="AR448" t="s">
        <v>1363</v>
      </c>
      <c r="AS448" t="s">
        <v>1364</v>
      </c>
      <c r="AT448" t="s">
        <v>129</v>
      </c>
      <c r="AU448">
        <v>2020</v>
      </c>
      <c r="AV448">
        <v>37</v>
      </c>
      <c r="AW448">
        <v>2</v>
      </c>
      <c r="AX448" t="s">
        <v>74</v>
      </c>
      <c r="AY448" t="s">
        <v>74</v>
      </c>
      <c r="AZ448" t="s">
        <v>74</v>
      </c>
      <c r="BA448" t="s">
        <v>74</v>
      </c>
      <c r="BB448">
        <v>171</v>
      </c>
      <c r="BC448">
        <v>179</v>
      </c>
      <c r="BD448" t="s">
        <v>74</v>
      </c>
      <c r="BE448" t="s">
        <v>6690</v>
      </c>
      <c r="BF448" t="str">
        <f>HYPERLINK("http://dx.doi.org/10.1016/j.rmr.2019.07.012","http://dx.doi.org/10.1016/j.rmr.2019.07.012")</f>
        <v>http://dx.doi.org/10.1016/j.rmr.2019.07.012</v>
      </c>
      <c r="BG448" t="s">
        <v>74</v>
      </c>
      <c r="BH448" t="s">
        <v>74</v>
      </c>
      <c r="BI448">
        <v>9</v>
      </c>
      <c r="BJ448" t="s">
        <v>228</v>
      </c>
      <c r="BK448" t="s">
        <v>101</v>
      </c>
      <c r="BL448" t="s">
        <v>228</v>
      </c>
      <c r="BM448" t="s">
        <v>6691</v>
      </c>
      <c r="BN448">
        <v>32061440</v>
      </c>
      <c r="BO448" t="s">
        <v>74</v>
      </c>
      <c r="BP448" t="s">
        <v>74</v>
      </c>
      <c r="BQ448" t="s">
        <v>74</v>
      </c>
      <c r="BR448" t="s">
        <v>104</v>
      </c>
      <c r="BS448" t="s">
        <v>6692</v>
      </c>
      <c r="BT448" t="str">
        <f>HYPERLINK("https%3A%2F%2Fwww.webofscience.com%2Fwos%2Fwoscc%2Ffull-record%2FWOS:000517841900009","View Full Record in Web of Science")</f>
        <v>View Full Record in Web of Science</v>
      </c>
    </row>
    <row r="449" spans="1:72" x14ac:dyDescent="0.25">
      <c r="A449" t="s">
        <v>72</v>
      </c>
      <c r="B449" t="s">
        <v>6693</v>
      </c>
      <c r="C449" t="s">
        <v>74</v>
      </c>
      <c r="D449" t="s">
        <v>74</v>
      </c>
      <c r="E449" t="s">
        <v>74</v>
      </c>
      <c r="F449" t="s">
        <v>6694</v>
      </c>
      <c r="G449" t="s">
        <v>74</v>
      </c>
      <c r="H449" t="s">
        <v>74</v>
      </c>
      <c r="I449" t="s">
        <v>6695</v>
      </c>
      <c r="J449" t="s">
        <v>216</v>
      </c>
      <c r="K449" t="s">
        <v>74</v>
      </c>
      <c r="L449" t="s">
        <v>74</v>
      </c>
      <c r="M449" t="s">
        <v>78</v>
      </c>
      <c r="N449" t="s">
        <v>79</v>
      </c>
      <c r="O449" t="s">
        <v>74</v>
      </c>
      <c r="P449" t="s">
        <v>74</v>
      </c>
      <c r="Q449" t="s">
        <v>74</v>
      </c>
      <c r="R449" t="s">
        <v>74</v>
      </c>
      <c r="S449" t="s">
        <v>74</v>
      </c>
      <c r="T449" t="s">
        <v>74</v>
      </c>
      <c r="U449" t="s">
        <v>6696</v>
      </c>
      <c r="V449" t="s">
        <v>6697</v>
      </c>
      <c r="W449" t="s">
        <v>6698</v>
      </c>
      <c r="X449" t="s">
        <v>6699</v>
      </c>
      <c r="Y449" t="s">
        <v>6700</v>
      </c>
      <c r="Z449" t="s">
        <v>6101</v>
      </c>
      <c r="AA449" t="s">
        <v>6701</v>
      </c>
      <c r="AB449" t="s">
        <v>6702</v>
      </c>
      <c r="AC449" t="s">
        <v>6703</v>
      </c>
      <c r="AD449" t="s">
        <v>6704</v>
      </c>
      <c r="AE449" t="s">
        <v>6705</v>
      </c>
      <c r="AF449" t="s">
        <v>74</v>
      </c>
      <c r="AG449">
        <v>50</v>
      </c>
      <c r="AH449">
        <v>25</v>
      </c>
      <c r="AI449">
        <v>25</v>
      </c>
      <c r="AJ449">
        <v>0</v>
      </c>
      <c r="AK449">
        <v>4</v>
      </c>
      <c r="AL449" t="s">
        <v>219</v>
      </c>
      <c r="AM449" t="s">
        <v>220</v>
      </c>
      <c r="AN449" t="s">
        <v>221</v>
      </c>
      <c r="AO449" t="s">
        <v>222</v>
      </c>
      <c r="AP449" t="s">
        <v>223</v>
      </c>
      <c r="AQ449" t="s">
        <v>74</v>
      </c>
      <c r="AR449" t="s">
        <v>224</v>
      </c>
      <c r="AS449" t="s">
        <v>225</v>
      </c>
      <c r="AT449" t="s">
        <v>2573</v>
      </c>
      <c r="AU449">
        <v>2020</v>
      </c>
      <c r="AV449">
        <v>55</v>
      </c>
      <c r="AW449">
        <v>2</v>
      </c>
      <c r="AX449" t="s">
        <v>74</v>
      </c>
      <c r="AY449" t="s">
        <v>74</v>
      </c>
      <c r="AZ449" t="s">
        <v>74</v>
      </c>
      <c r="BA449" t="s">
        <v>74</v>
      </c>
      <c r="BB449" t="s">
        <v>74</v>
      </c>
      <c r="BC449" t="s">
        <v>74</v>
      </c>
      <c r="BD449">
        <v>1802108</v>
      </c>
      <c r="BE449" t="s">
        <v>6706</v>
      </c>
      <c r="BF449" t="str">
        <f>HYPERLINK("http://dx.doi.org/10.1183/13993003.02108-2018","http://dx.doi.org/10.1183/13993003.02108-2018")</f>
        <v>http://dx.doi.org/10.1183/13993003.02108-2018</v>
      </c>
      <c r="BG449" t="s">
        <v>74</v>
      </c>
      <c r="BH449" t="s">
        <v>74</v>
      </c>
      <c r="BI449">
        <v>15</v>
      </c>
      <c r="BJ449" t="s">
        <v>228</v>
      </c>
      <c r="BK449" t="s">
        <v>101</v>
      </c>
      <c r="BL449" t="s">
        <v>228</v>
      </c>
      <c r="BM449" t="s">
        <v>6707</v>
      </c>
      <c r="BN449">
        <v>31771998</v>
      </c>
      <c r="BO449" t="s">
        <v>103</v>
      </c>
      <c r="BP449" t="s">
        <v>74</v>
      </c>
      <c r="BQ449" t="s">
        <v>74</v>
      </c>
      <c r="BR449" t="s">
        <v>104</v>
      </c>
      <c r="BS449" t="s">
        <v>6708</v>
      </c>
      <c r="BT449" t="str">
        <f>HYPERLINK("https%3A%2F%2Fwww.webofscience.com%2Fwos%2Fwoscc%2Ffull-record%2FWOS:000518635000001","View Full Record in Web of Science")</f>
        <v>View Full Record in Web of Science</v>
      </c>
    </row>
    <row r="450" spans="1:72" x14ac:dyDescent="0.25">
      <c r="A450" t="s">
        <v>72</v>
      </c>
      <c r="B450" t="s">
        <v>6709</v>
      </c>
      <c r="C450" t="s">
        <v>74</v>
      </c>
      <c r="D450" t="s">
        <v>74</v>
      </c>
      <c r="E450" t="s">
        <v>74</v>
      </c>
      <c r="F450" t="s">
        <v>6710</v>
      </c>
      <c r="G450" t="s">
        <v>74</v>
      </c>
      <c r="H450" t="s">
        <v>74</v>
      </c>
      <c r="I450" t="s">
        <v>6711</v>
      </c>
      <c r="J450" t="s">
        <v>4135</v>
      </c>
      <c r="K450" t="s">
        <v>74</v>
      </c>
      <c r="L450" t="s">
        <v>74</v>
      </c>
      <c r="M450" t="s">
        <v>78</v>
      </c>
      <c r="N450" t="s">
        <v>79</v>
      </c>
      <c r="O450" t="s">
        <v>74</v>
      </c>
      <c r="P450" t="s">
        <v>74</v>
      </c>
      <c r="Q450" t="s">
        <v>74</v>
      </c>
      <c r="R450" t="s">
        <v>74</v>
      </c>
      <c r="S450" t="s">
        <v>74</v>
      </c>
      <c r="T450" t="s">
        <v>74</v>
      </c>
      <c r="U450" t="s">
        <v>6712</v>
      </c>
      <c r="V450" t="s">
        <v>6713</v>
      </c>
      <c r="W450" t="s">
        <v>6714</v>
      </c>
      <c r="X450" t="s">
        <v>6715</v>
      </c>
      <c r="Y450" t="s">
        <v>6716</v>
      </c>
      <c r="Z450" t="s">
        <v>6717</v>
      </c>
      <c r="AA450" t="s">
        <v>6718</v>
      </c>
      <c r="AB450" t="s">
        <v>74</v>
      </c>
      <c r="AC450" t="s">
        <v>6719</v>
      </c>
      <c r="AD450" t="s">
        <v>6720</v>
      </c>
      <c r="AE450" t="s">
        <v>6721</v>
      </c>
      <c r="AF450" t="s">
        <v>74</v>
      </c>
      <c r="AG450">
        <v>42</v>
      </c>
      <c r="AH450">
        <v>33</v>
      </c>
      <c r="AI450">
        <v>35</v>
      </c>
      <c r="AJ450">
        <v>0</v>
      </c>
      <c r="AK450">
        <v>7</v>
      </c>
      <c r="AL450" t="s">
        <v>991</v>
      </c>
      <c r="AM450" t="s">
        <v>486</v>
      </c>
      <c r="AN450" t="s">
        <v>992</v>
      </c>
      <c r="AO450" t="s">
        <v>4141</v>
      </c>
      <c r="AP450" t="s">
        <v>4142</v>
      </c>
      <c r="AQ450" t="s">
        <v>74</v>
      </c>
      <c r="AR450" t="s">
        <v>4143</v>
      </c>
      <c r="AS450" t="s">
        <v>4144</v>
      </c>
      <c r="AT450" t="s">
        <v>129</v>
      </c>
      <c r="AU450">
        <v>2020</v>
      </c>
      <c r="AV450">
        <v>124</v>
      </c>
      <c r="AW450">
        <v>2</v>
      </c>
      <c r="AX450" t="s">
        <v>74</v>
      </c>
      <c r="AY450" t="s">
        <v>74</v>
      </c>
      <c r="AZ450" t="s">
        <v>74</v>
      </c>
      <c r="BA450" t="s">
        <v>74</v>
      </c>
      <c r="BB450">
        <v>190</v>
      </c>
      <c r="BC450">
        <v>196</v>
      </c>
      <c r="BD450" t="s">
        <v>74</v>
      </c>
      <c r="BE450" t="s">
        <v>6722</v>
      </c>
      <c r="BF450" t="str">
        <f>HYPERLINK("http://dx.doi.org/10.1016/j.anai.2019.11.016","http://dx.doi.org/10.1016/j.anai.2019.11.016")</f>
        <v>http://dx.doi.org/10.1016/j.anai.2019.11.016</v>
      </c>
      <c r="BG450" t="s">
        <v>74</v>
      </c>
      <c r="BH450" t="s">
        <v>74</v>
      </c>
      <c r="BI450">
        <v>7</v>
      </c>
      <c r="BJ450" t="s">
        <v>3085</v>
      </c>
      <c r="BK450" t="s">
        <v>101</v>
      </c>
      <c r="BL450" t="s">
        <v>3085</v>
      </c>
      <c r="BM450" t="s">
        <v>6723</v>
      </c>
      <c r="BN450">
        <v>31760132</v>
      </c>
      <c r="BO450" t="s">
        <v>161</v>
      </c>
      <c r="BP450" t="s">
        <v>74</v>
      </c>
      <c r="BQ450" t="s">
        <v>74</v>
      </c>
      <c r="BR450" t="s">
        <v>104</v>
      </c>
      <c r="BS450" t="s">
        <v>6724</v>
      </c>
      <c r="BT450" t="str">
        <f>HYPERLINK("https%3A%2F%2Fwww.webofscience.com%2Fwos%2Fwoscc%2Ffull-record%2FWOS:000511835700014","View Full Record in Web of Science")</f>
        <v>View Full Record in Web of Science</v>
      </c>
    </row>
    <row r="451" spans="1:72" x14ac:dyDescent="0.25">
      <c r="A451" t="s">
        <v>72</v>
      </c>
      <c r="B451" t="s">
        <v>6725</v>
      </c>
      <c r="C451" t="s">
        <v>74</v>
      </c>
      <c r="D451" t="s">
        <v>74</v>
      </c>
      <c r="E451" t="s">
        <v>74</v>
      </c>
      <c r="F451" t="s">
        <v>6726</v>
      </c>
      <c r="G451" t="s">
        <v>74</v>
      </c>
      <c r="H451" t="s">
        <v>74</v>
      </c>
      <c r="I451" t="s">
        <v>6727</v>
      </c>
      <c r="J451" t="s">
        <v>6728</v>
      </c>
      <c r="K451" t="s">
        <v>74</v>
      </c>
      <c r="L451" t="s">
        <v>74</v>
      </c>
      <c r="M451" t="s">
        <v>78</v>
      </c>
      <c r="N451" t="s">
        <v>79</v>
      </c>
      <c r="O451" t="s">
        <v>74</v>
      </c>
      <c r="P451" t="s">
        <v>74</v>
      </c>
      <c r="Q451" t="s">
        <v>74</v>
      </c>
      <c r="R451" t="s">
        <v>74</v>
      </c>
      <c r="S451" t="s">
        <v>74</v>
      </c>
      <c r="T451" t="s">
        <v>6729</v>
      </c>
      <c r="U451" t="s">
        <v>6730</v>
      </c>
      <c r="V451" t="s">
        <v>6731</v>
      </c>
      <c r="W451" t="s">
        <v>6732</v>
      </c>
      <c r="X451" t="s">
        <v>6733</v>
      </c>
      <c r="Y451" t="s">
        <v>6734</v>
      </c>
      <c r="Z451" t="s">
        <v>6735</v>
      </c>
      <c r="AA451" t="s">
        <v>6736</v>
      </c>
      <c r="AB451" t="s">
        <v>74</v>
      </c>
      <c r="AC451" t="s">
        <v>74</v>
      </c>
      <c r="AD451" t="s">
        <v>74</v>
      </c>
      <c r="AE451" t="s">
        <v>74</v>
      </c>
      <c r="AF451" t="s">
        <v>74</v>
      </c>
      <c r="AG451">
        <v>23</v>
      </c>
      <c r="AH451">
        <v>55</v>
      </c>
      <c r="AI451">
        <v>56</v>
      </c>
      <c r="AJ451">
        <v>0</v>
      </c>
      <c r="AK451">
        <v>0</v>
      </c>
      <c r="AL451" t="s">
        <v>1781</v>
      </c>
      <c r="AM451" t="s">
        <v>486</v>
      </c>
      <c r="AN451" t="s">
        <v>4357</v>
      </c>
      <c r="AO451" t="s">
        <v>6737</v>
      </c>
      <c r="AP451" t="s">
        <v>6738</v>
      </c>
      <c r="AQ451" t="s">
        <v>74</v>
      </c>
      <c r="AR451" t="s">
        <v>6739</v>
      </c>
      <c r="AS451" t="s">
        <v>6740</v>
      </c>
      <c r="AT451" t="s">
        <v>129</v>
      </c>
      <c r="AU451">
        <v>2020</v>
      </c>
      <c r="AV451">
        <v>37</v>
      </c>
      <c r="AW451">
        <v>2</v>
      </c>
      <c r="AX451" t="s">
        <v>74</v>
      </c>
      <c r="AY451" t="s">
        <v>74</v>
      </c>
      <c r="AZ451" t="s">
        <v>74</v>
      </c>
      <c r="BA451" t="s">
        <v>74</v>
      </c>
      <c r="BB451">
        <v>718</v>
      </c>
      <c r="BC451">
        <v>729</v>
      </c>
      <c r="BD451" t="s">
        <v>74</v>
      </c>
      <c r="BE451" t="s">
        <v>6741</v>
      </c>
      <c r="BF451" t="str">
        <f>HYPERLINK("http://dx.doi.org/10.1007/s12325-019-01191-2","http://dx.doi.org/10.1007/s12325-019-01191-2")</f>
        <v>http://dx.doi.org/10.1007/s12325-019-01191-2</v>
      </c>
      <c r="BG451" t="s">
        <v>74</v>
      </c>
      <c r="BH451" t="s">
        <v>74</v>
      </c>
      <c r="BI451">
        <v>12</v>
      </c>
      <c r="BJ451" t="s">
        <v>6742</v>
      </c>
      <c r="BK451" t="s">
        <v>101</v>
      </c>
      <c r="BL451" t="s">
        <v>6743</v>
      </c>
      <c r="BM451" t="s">
        <v>6744</v>
      </c>
      <c r="BN451">
        <v>31836949</v>
      </c>
      <c r="BO451" t="s">
        <v>246</v>
      </c>
      <c r="BP451" t="s">
        <v>74</v>
      </c>
      <c r="BQ451" t="s">
        <v>74</v>
      </c>
      <c r="BR451" t="s">
        <v>104</v>
      </c>
      <c r="BS451" t="s">
        <v>6745</v>
      </c>
      <c r="BT451" t="str">
        <f>HYPERLINK("https%3A%2F%2Fwww.webofscience.com%2Fwos%2Fwoscc%2Ffull-record%2FWOS:000511593200008","View Full Record in Web of Science")</f>
        <v>View Full Record in Web of Science</v>
      </c>
    </row>
    <row r="452" spans="1:72" x14ac:dyDescent="0.25">
      <c r="A452" t="s">
        <v>72</v>
      </c>
      <c r="B452" t="s">
        <v>6746</v>
      </c>
      <c r="C452" t="s">
        <v>74</v>
      </c>
      <c r="D452" t="s">
        <v>74</v>
      </c>
      <c r="E452" t="s">
        <v>74</v>
      </c>
      <c r="F452" t="s">
        <v>6747</v>
      </c>
      <c r="G452" t="s">
        <v>74</v>
      </c>
      <c r="H452" t="s">
        <v>74</v>
      </c>
      <c r="I452" t="s">
        <v>6748</v>
      </c>
      <c r="J452" t="s">
        <v>3068</v>
      </c>
      <c r="K452" t="s">
        <v>74</v>
      </c>
      <c r="L452" t="s">
        <v>74</v>
      </c>
      <c r="M452" t="s">
        <v>78</v>
      </c>
      <c r="N452" t="s">
        <v>79</v>
      </c>
      <c r="O452" t="s">
        <v>74</v>
      </c>
      <c r="P452" t="s">
        <v>74</v>
      </c>
      <c r="Q452" t="s">
        <v>74</v>
      </c>
      <c r="R452" t="s">
        <v>74</v>
      </c>
      <c r="S452" t="s">
        <v>74</v>
      </c>
      <c r="T452" t="s">
        <v>6749</v>
      </c>
      <c r="U452" t="s">
        <v>6750</v>
      </c>
      <c r="V452" t="s">
        <v>6751</v>
      </c>
      <c r="W452" t="s">
        <v>6752</v>
      </c>
      <c r="X452" t="s">
        <v>6753</v>
      </c>
      <c r="Y452" t="s">
        <v>6754</v>
      </c>
      <c r="Z452" t="s">
        <v>6755</v>
      </c>
      <c r="AA452" t="s">
        <v>6756</v>
      </c>
      <c r="AB452" t="s">
        <v>6757</v>
      </c>
      <c r="AC452" t="s">
        <v>6758</v>
      </c>
      <c r="AD452" t="s">
        <v>6759</v>
      </c>
      <c r="AE452" t="s">
        <v>6760</v>
      </c>
      <c r="AF452" t="s">
        <v>74</v>
      </c>
      <c r="AG452">
        <v>19</v>
      </c>
      <c r="AH452">
        <v>33</v>
      </c>
      <c r="AI452">
        <v>35</v>
      </c>
      <c r="AJ452">
        <v>0</v>
      </c>
      <c r="AK452">
        <v>3</v>
      </c>
      <c r="AL452" t="s">
        <v>92</v>
      </c>
      <c r="AM452" t="s">
        <v>93</v>
      </c>
      <c r="AN452" t="s">
        <v>94</v>
      </c>
      <c r="AO452" t="s">
        <v>3079</v>
      </c>
      <c r="AP452" t="s">
        <v>3080</v>
      </c>
      <c r="AQ452" t="s">
        <v>74</v>
      </c>
      <c r="AR452" t="s">
        <v>3081</v>
      </c>
      <c r="AS452" t="s">
        <v>3082</v>
      </c>
      <c r="AT452" t="s">
        <v>129</v>
      </c>
      <c r="AU452">
        <v>2020</v>
      </c>
      <c r="AV452">
        <v>8</v>
      </c>
      <c r="AW452">
        <v>2</v>
      </c>
      <c r="AX452" t="s">
        <v>74</v>
      </c>
      <c r="AY452" t="s">
        <v>74</v>
      </c>
      <c r="AZ452" t="s">
        <v>74</v>
      </c>
      <c r="BA452" t="s">
        <v>74</v>
      </c>
      <c r="BB452">
        <v>555</v>
      </c>
      <c r="BC452">
        <v>564</v>
      </c>
      <c r="BD452" t="s">
        <v>74</v>
      </c>
      <c r="BE452" t="s">
        <v>6761</v>
      </c>
      <c r="BF452" t="str">
        <f>HYPERLINK("http://dx.doi.org/10.1016/j.jaip.2019.09.036","http://dx.doi.org/10.1016/j.jaip.2019.09.036")</f>
        <v>http://dx.doi.org/10.1016/j.jaip.2019.09.036</v>
      </c>
      <c r="BG452" t="s">
        <v>74</v>
      </c>
      <c r="BH452" t="s">
        <v>74</v>
      </c>
      <c r="BI452">
        <v>10</v>
      </c>
      <c r="BJ452" t="s">
        <v>3085</v>
      </c>
      <c r="BK452" t="s">
        <v>101</v>
      </c>
      <c r="BL452" t="s">
        <v>3085</v>
      </c>
      <c r="BM452" t="s">
        <v>6762</v>
      </c>
      <c r="BN452">
        <v>31626990</v>
      </c>
      <c r="BO452" t="s">
        <v>246</v>
      </c>
      <c r="BP452" t="s">
        <v>74</v>
      </c>
      <c r="BQ452" t="s">
        <v>74</v>
      </c>
      <c r="BR452" t="s">
        <v>104</v>
      </c>
      <c r="BS452" t="s">
        <v>6763</v>
      </c>
      <c r="BT452" t="str">
        <f>HYPERLINK("https%3A%2F%2Fwww.webofscience.com%2Fwos%2Fwoscc%2Ffull-record%2FWOS:000512964500014","View Full Record in Web of Science")</f>
        <v>View Full Record in Web of Science</v>
      </c>
    </row>
    <row r="453" spans="1:72" x14ac:dyDescent="0.25">
      <c r="A453" t="s">
        <v>72</v>
      </c>
      <c r="B453" t="s">
        <v>6764</v>
      </c>
      <c r="C453" t="s">
        <v>74</v>
      </c>
      <c r="D453" t="s">
        <v>74</v>
      </c>
      <c r="E453" t="s">
        <v>74</v>
      </c>
      <c r="F453" t="s">
        <v>6765</v>
      </c>
      <c r="G453" t="s">
        <v>74</v>
      </c>
      <c r="H453" t="s">
        <v>6766</v>
      </c>
      <c r="I453" t="s">
        <v>6767</v>
      </c>
      <c r="J453" t="s">
        <v>216</v>
      </c>
      <c r="K453" t="s">
        <v>74</v>
      </c>
      <c r="L453" t="s">
        <v>74</v>
      </c>
      <c r="M453" t="s">
        <v>78</v>
      </c>
      <c r="N453" t="s">
        <v>79</v>
      </c>
      <c r="O453" t="s">
        <v>74</v>
      </c>
      <c r="P453" t="s">
        <v>74</v>
      </c>
      <c r="Q453" t="s">
        <v>74</v>
      </c>
      <c r="R453" t="s">
        <v>74</v>
      </c>
      <c r="S453" t="s">
        <v>74</v>
      </c>
      <c r="T453" t="s">
        <v>74</v>
      </c>
      <c r="U453" t="s">
        <v>6768</v>
      </c>
      <c r="V453" t="s">
        <v>6769</v>
      </c>
      <c r="W453" t="s">
        <v>6770</v>
      </c>
      <c r="X453" t="s">
        <v>6771</v>
      </c>
      <c r="Y453" t="s">
        <v>6772</v>
      </c>
      <c r="Z453" t="s">
        <v>6773</v>
      </c>
      <c r="AA453" t="s">
        <v>6774</v>
      </c>
      <c r="AB453" t="s">
        <v>6775</v>
      </c>
      <c r="AC453" t="s">
        <v>6776</v>
      </c>
      <c r="AD453" t="s">
        <v>6777</v>
      </c>
      <c r="AE453" t="s">
        <v>6778</v>
      </c>
      <c r="AF453" t="s">
        <v>74</v>
      </c>
      <c r="AG453">
        <v>41</v>
      </c>
      <c r="AH453">
        <v>30</v>
      </c>
      <c r="AI453">
        <v>30</v>
      </c>
      <c r="AJ453">
        <v>2</v>
      </c>
      <c r="AK453">
        <v>8</v>
      </c>
      <c r="AL453" t="s">
        <v>219</v>
      </c>
      <c r="AM453" t="s">
        <v>220</v>
      </c>
      <c r="AN453" t="s">
        <v>221</v>
      </c>
      <c r="AO453" t="s">
        <v>222</v>
      </c>
      <c r="AP453" t="s">
        <v>223</v>
      </c>
      <c r="AQ453" t="s">
        <v>74</v>
      </c>
      <c r="AR453" t="s">
        <v>224</v>
      </c>
      <c r="AS453" t="s">
        <v>225</v>
      </c>
      <c r="AT453" t="s">
        <v>2573</v>
      </c>
      <c r="AU453">
        <v>2020</v>
      </c>
      <c r="AV453">
        <v>55</v>
      </c>
      <c r="AW453">
        <v>2</v>
      </c>
      <c r="AX453" t="s">
        <v>74</v>
      </c>
      <c r="AY453" t="s">
        <v>74</v>
      </c>
      <c r="AZ453" t="s">
        <v>74</v>
      </c>
      <c r="BA453" t="s">
        <v>74</v>
      </c>
      <c r="BB453" t="s">
        <v>74</v>
      </c>
      <c r="BC453" t="s">
        <v>74</v>
      </c>
      <c r="BD453">
        <v>1901486</v>
      </c>
      <c r="BE453" t="s">
        <v>6779</v>
      </c>
      <c r="BF453" t="str">
        <f>HYPERLINK("http://dx.doi.org/10.1183/13993003.01486-2019","http://dx.doi.org/10.1183/13993003.01486-2019")</f>
        <v>http://dx.doi.org/10.1183/13993003.01486-2019</v>
      </c>
      <c r="BG453" t="s">
        <v>74</v>
      </c>
      <c r="BH453" t="s">
        <v>74</v>
      </c>
      <c r="BI453">
        <v>9</v>
      </c>
      <c r="BJ453" t="s">
        <v>228</v>
      </c>
      <c r="BK453" t="s">
        <v>101</v>
      </c>
      <c r="BL453" t="s">
        <v>228</v>
      </c>
      <c r="BM453" t="s">
        <v>6707</v>
      </c>
      <c r="BN453">
        <v>31744833</v>
      </c>
      <c r="BO453" t="s">
        <v>6780</v>
      </c>
      <c r="BP453" t="s">
        <v>74</v>
      </c>
      <c r="BQ453" t="s">
        <v>74</v>
      </c>
      <c r="BR453" t="s">
        <v>104</v>
      </c>
      <c r="BS453" t="s">
        <v>6781</v>
      </c>
      <c r="BT453" t="str">
        <f>HYPERLINK("https%3A%2F%2Fwww.webofscience.com%2Fwos%2Fwoscc%2Ffull-record%2FWOS:000518635000023","View Full Record in Web of Science")</f>
        <v>View Full Record in Web of Science</v>
      </c>
    </row>
    <row r="454" spans="1:72" x14ac:dyDescent="0.25">
      <c r="A454" t="s">
        <v>72</v>
      </c>
      <c r="B454" t="s">
        <v>6782</v>
      </c>
      <c r="C454" t="s">
        <v>74</v>
      </c>
      <c r="D454" t="s">
        <v>74</v>
      </c>
      <c r="E454" t="s">
        <v>74</v>
      </c>
      <c r="F454" t="s">
        <v>6324</v>
      </c>
      <c r="G454" t="s">
        <v>74</v>
      </c>
      <c r="H454" t="s">
        <v>74</v>
      </c>
      <c r="I454" t="s">
        <v>6783</v>
      </c>
      <c r="J454" t="s">
        <v>1068</v>
      </c>
      <c r="K454" t="s">
        <v>74</v>
      </c>
      <c r="L454" t="s">
        <v>74</v>
      </c>
      <c r="M454" t="s">
        <v>78</v>
      </c>
      <c r="N454" t="s">
        <v>79</v>
      </c>
      <c r="O454" t="s">
        <v>74</v>
      </c>
      <c r="P454" t="s">
        <v>74</v>
      </c>
      <c r="Q454" t="s">
        <v>74</v>
      </c>
      <c r="R454" t="s">
        <v>74</v>
      </c>
      <c r="S454" t="s">
        <v>74</v>
      </c>
      <c r="T454" t="s">
        <v>6784</v>
      </c>
      <c r="U454" t="s">
        <v>6785</v>
      </c>
      <c r="V454" t="s">
        <v>74</v>
      </c>
      <c r="W454" t="s">
        <v>6786</v>
      </c>
      <c r="X454" t="s">
        <v>6787</v>
      </c>
      <c r="Y454" t="s">
        <v>6331</v>
      </c>
      <c r="Z454" t="s">
        <v>6332</v>
      </c>
      <c r="AA454" t="s">
        <v>6788</v>
      </c>
      <c r="AB454" t="s">
        <v>6789</v>
      </c>
      <c r="AC454" t="s">
        <v>74</v>
      </c>
      <c r="AD454" t="s">
        <v>74</v>
      </c>
      <c r="AE454" t="s">
        <v>74</v>
      </c>
      <c r="AF454" t="s">
        <v>74</v>
      </c>
      <c r="AG454">
        <v>478</v>
      </c>
      <c r="AH454">
        <v>1299</v>
      </c>
      <c r="AI454">
        <v>1312</v>
      </c>
      <c r="AJ454">
        <v>7</v>
      </c>
      <c r="AK454">
        <v>29</v>
      </c>
      <c r="AL454" t="s">
        <v>1073</v>
      </c>
      <c r="AM454" t="s">
        <v>1074</v>
      </c>
      <c r="AN454" t="s">
        <v>1075</v>
      </c>
      <c r="AO454" t="s">
        <v>1076</v>
      </c>
      <c r="AP454" t="s">
        <v>1077</v>
      </c>
      <c r="AQ454" t="s">
        <v>74</v>
      </c>
      <c r="AR454" t="s">
        <v>1078</v>
      </c>
      <c r="AS454" t="s">
        <v>1079</v>
      </c>
      <c r="AT454" t="s">
        <v>6790</v>
      </c>
      <c r="AU454">
        <v>2020</v>
      </c>
      <c r="AV454">
        <v>41</v>
      </c>
      <c r="AW454">
        <v>4</v>
      </c>
      <c r="AX454" t="s">
        <v>74</v>
      </c>
      <c r="AY454" t="s">
        <v>74</v>
      </c>
      <c r="AZ454" t="s">
        <v>74</v>
      </c>
      <c r="BA454" t="s">
        <v>74</v>
      </c>
      <c r="BB454">
        <v>543</v>
      </c>
      <c r="BC454">
        <v>603</v>
      </c>
      <c r="BD454" t="s">
        <v>74</v>
      </c>
      <c r="BE454" t="s">
        <v>6791</v>
      </c>
      <c r="BF454" t="str">
        <f>HYPERLINK("http://dx.doi.org/10.1093/eurheartj/ehz405","http://dx.doi.org/10.1093/eurheartj/ehz405")</f>
        <v>http://dx.doi.org/10.1093/eurheartj/ehz405</v>
      </c>
      <c r="BG454" t="s">
        <v>74</v>
      </c>
      <c r="BH454" t="s">
        <v>74</v>
      </c>
      <c r="BI454">
        <v>61</v>
      </c>
      <c r="BJ454" t="s">
        <v>132</v>
      </c>
      <c r="BK454" t="s">
        <v>101</v>
      </c>
      <c r="BL454" t="s">
        <v>133</v>
      </c>
      <c r="BM454" t="s">
        <v>6792</v>
      </c>
      <c r="BN454" t="s">
        <v>74</v>
      </c>
      <c r="BO454" t="s">
        <v>6793</v>
      </c>
      <c r="BP454" t="s">
        <v>1155</v>
      </c>
      <c r="BQ454" t="s">
        <v>1156</v>
      </c>
      <c r="BR454" t="s">
        <v>104</v>
      </c>
      <c r="BS454" t="s">
        <v>6794</v>
      </c>
      <c r="BT454" t="str">
        <f>HYPERLINK("https%3A%2F%2Fwww.webofscience.com%2Fwos%2Fwoscc%2Ffull-record%2FWOS:000521323000014","View Full Record in Web of Science")</f>
        <v>View Full Record in Web of Science</v>
      </c>
    </row>
    <row r="455" spans="1:72" x14ac:dyDescent="0.25">
      <c r="A455" t="s">
        <v>72</v>
      </c>
      <c r="B455" t="s">
        <v>6795</v>
      </c>
      <c r="C455" t="s">
        <v>74</v>
      </c>
      <c r="D455" t="s">
        <v>74</v>
      </c>
      <c r="E455" t="s">
        <v>74</v>
      </c>
      <c r="F455" t="s">
        <v>6796</v>
      </c>
      <c r="G455" t="s">
        <v>74</v>
      </c>
      <c r="H455" t="s">
        <v>74</v>
      </c>
      <c r="I455" t="s">
        <v>6797</v>
      </c>
      <c r="J455" t="s">
        <v>1068</v>
      </c>
      <c r="K455" t="s">
        <v>74</v>
      </c>
      <c r="L455" t="s">
        <v>74</v>
      </c>
      <c r="M455" t="s">
        <v>78</v>
      </c>
      <c r="N455" t="s">
        <v>140</v>
      </c>
      <c r="O455" t="s">
        <v>74</v>
      </c>
      <c r="P455" t="s">
        <v>74</v>
      </c>
      <c r="Q455" t="s">
        <v>74</v>
      </c>
      <c r="R455" t="s">
        <v>74</v>
      </c>
      <c r="S455" t="s">
        <v>74</v>
      </c>
      <c r="T455" t="s">
        <v>74</v>
      </c>
      <c r="U455" t="s">
        <v>74</v>
      </c>
      <c r="V455" t="s">
        <v>74</v>
      </c>
      <c r="W455" t="s">
        <v>6798</v>
      </c>
      <c r="X455" t="s">
        <v>6799</v>
      </c>
      <c r="Y455" t="s">
        <v>6800</v>
      </c>
      <c r="Z455" t="s">
        <v>6801</v>
      </c>
      <c r="AA455" t="s">
        <v>144</v>
      </c>
      <c r="AB455" t="s">
        <v>6802</v>
      </c>
      <c r="AC455" t="s">
        <v>74</v>
      </c>
      <c r="AD455" t="s">
        <v>74</v>
      </c>
      <c r="AE455" t="s">
        <v>74</v>
      </c>
      <c r="AF455" t="s">
        <v>74</v>
      </c>
      <c r="AG455">
        <v>8</v>
      </c>
      <c r="AH455">
        <v>2</v>
      </c>
      <c r="AI455">
        <v>2</v>
      </c>
      <c r="AJ455">
        <v>0</v>
      </c>
      <c r="AK455">
        <v>1</v>
      </c>
      <c r="AL455" t="s">
        <v>1073</v>
      </c>
      <c r="AM455" t="s">
        <v>1074</v>
      </c>
      <c r="AN455" t="s">
        <v>1075</v>
      </c>
      <c r="AO455" t="s">
        <v>1076</v>
      </c>
      <c r="AP455" t="s">
        <v>1077</v>
      </c>
      <c r="AQ455" t="s">
        <v>74</v>
      </c>
      <c r="AR455" t="s">
        <v>1078</v>
      </c>
      <c r="AS455" t="s">
        <v>1079</v>
      </c>
      <c r="AT455" t="s">
        <v>6790</v>
      </c>
      <c r="AU455">
        <v>2020</v>
      </c>
      <c r="AV455">
        <v>41</v>
      </c>
      <c r="AW455">
        <v>4</v>
      </c>
      <c r="AX455" t="s">
        <v>74</v>
      </c>
      <c r="AY455" t="s">
        <v>74</v>
      </c>
      <c r="AZ455" t="s">
        <v>74</v>
      </c>
      <c r="BA455" t="s">
        <v>74</v>
      </c>
      <c r="BB455">
        <v>519</v>
      </c>
      <c r="BC455">
        <v>521</v>
      </c>
      <c r="BD455" t="s">
        <v>74</v>
      </c>
      <c r="BE455" t="s">
        <v>6803</v>
      </c>
      <c r="BF455" t="str">
        <f>HYPERLINK("http://dx.doi.org/10.1093/eurheartj/ehz484","http://dx.doi.org/10.1093/eurheartj/ehz484")</f>
        <v>http://dx.doi.org/10.1093/eurheartj/ehz484</v>
      </c>
      <c r="BG455" t="s">
        <v>74</v>
      </c>
      <c r="BH455" t="s">
        <v>74</v>
      </c>
      <c r="BI455">
        <v>3</v>
      </c>
      <c r="BJ455" t="s">
        <v>132</v>
      </c>
      <c r="BK455" t="s">
        <v>101</v>
      </c>
      <c r="BL455" t="s">
        <v>133</v>
      </c>
      <c r="BM455" t="s">
        <v>6792</v>
      </c>
      <c r="BN455">
        <v>31302693</v>
      </c>
      <c r="BO455" t="s">
        <v>74</v>
      </c>
      <c r="BP455" t="s">
        <v>74</v>
      </c>
      <c r="BQ455" t="s">
        <v>74</v>
      </c>
      <c r="BR455" t="s">
        <v>104</v>
      </c>
      <c r="BS455" t="s">
        <v>6804</v>
      </c>
      <c r="BT455" t="str">
        <f>HYPERLINK("https%3A%2F%2Fwww.webofscience.com%2Fwos%2Fwoscc%2Ffull-record%2FWOS:000521323000010","View Full Record in Web of Science")</f>
        <v>View Full Record in Web of Science</v>
      </c>
    </row>
    <row r="456" spans="1:72" x14ac:dyDescent="0.25">
      <c r="A456" t="s">
        <v>72</v>
      </c>
      <c r="B456" t="s">
        <v>6805</v>
      </c>
      <c r="C456" t="s">
        <v>74</v>
      </c>
      <c r="D456" t="s">
        <v>74</v>
      </c>
      <c r="E456" t="s">
        <v>74</v>
      </c>
      <c r="F456" t="s">
        <v>6806</v>
      </c>
      <c r="G456" t="s">
        <v>74</v>
      </c>
      <c r="H456" t="s">
        <v>74</v>
      </c>
      <c r="I456" t="s">
        <v>6807</v>
      </c>
      <c r="J456" t="s">
        <v>637</v>
      </c>
      <c r="K456" t="s">
        <v>74</v>
      </c>
      <c r="L456" t="s">
        <v>74</v>
      </c>
      <c r="M456" t="s">
        <v>78</v>
      </c>
      <c r="N456" t="s">
        <v>52</v>
      </c>
      <c r="O456" t="s">
        <v>6808</v>
      </c>
      <c r="P456" t="s">
        <v>6809</v>
      </c>
      <c r="Q456" t="s">
        <v>4325</v>
      </c>
      <c r="R456" t="s">
        <v>2006</v>
      </c>
      <c r="S456" t="s">
        <v>74</v>
      </c>
      <c r="T456" t="s">
        <v>74</v>
      </c>
      <c r="U456" t="s">
        <v>74</v>
      </c>
      <c r="V456" t="s">
        <v>74</v>
      </c>
      <c r="W456" t="s">
        <v>6810</v>
      </c>
      <c r="X456" t="s">
        <v>6811</v>
      </c>
      <c r="Y456" t="s">
        <v>74</v>
      </c>
      <c r="Z456" t="s">
        <v>6812</v>
      </c>
      <c r="AA456" t="s">
        <v>6813</v>
      </c>
      <c r="AB456" t="s">
        <v>2958</v>
      </c>
      <c r="AC456" t="s">
        <v>6814</v>
      </c>
      <c r="AD456" t="s">
        <v>6815</v>
      </c>
      <c r="AE456" t="s">
        <v>6814</v>
      </c>
      <c r="AF456" t="s">
        <v>74</v>
      </c>
      <c r="AG456">
        <v>0</v>
      </c>
      <c r="AH456">
        <v>0</v>
      </c>
      <c r="AI456">
        <v>0</v>
      </c>
      <c r="AJ456">
        <v>0</v>
      </c>
      <c r="AK456">
        <v>4</v>
      </c>
      <c r="AL456" t="s">
        <v>649</v>
      </c>
      <c r="AM456" t="s">
        <v>486</v>
      </c>
      <c r="AN456" t="s">
        <v>650</v>
      </c>
      <c r="AO456" t="s">
        <v>651</v>
      </c>
      <c r="AP456" t="s">
        <v>652</v>
      </c>
      <c r="AQ456" t="s">
        <v>74</v>
      </c>
      <c r="AR456" t="s">
        <v>653</v>
      </c>
      <c r="AS456" t="s">
        <v>654</v>
      </c>
      <c r="AT456" t="s">
        <v>74</v>
      </c>
      <c r="AU456">
        <v>2020</v>
      </c>
      <c r="AV456">
        <v>201</v>
      </c>
      <c r="AW456" t="s">
        <v>74</v>
      </c>
      <c r="AX456" t="s">
        <v>74</v>
      </c>
      <c r="AY456" t="s">
        <v>74</v>
      </c>
      <c r="AZ456" t="s">
        <v>74</v>
      </c>
      <c r="BA456" t="s">
        <v>6816</v>
      </c>
      <c r="BB456" t="s">
        <v>74</v>
      </c>
      <c r="BC456" t="s">
        <v>74</v>
      </c>
      <c r="BD456" t="s">
        <v>74</v>
      </c>
      <c r="BE456" t="s">
        <v>74</v>
      </c>
      <c r="BF456" t="s">
        <v>74</v>
      </c>
      <c r="BG456" t="s">
        <v>74</v>
      </c>
      <c r="BH456" t="s">
        <v>74</v>
      </c>
      <c r="BI456">
        <v>2</v>
      </c>
      <c r="BJ456" t="s">
        <v>341</v>
      </c>
      <c r="BK456" t="s">
        <v>512</v>
      </c>
      <c r="BL456" t="s">
        <v>342</v>
      </c>
      <c r="BM456" t="s">
        <v>6817</v>
      </c>
      <c r="BN456" t="s">
        <v>74</v>
      </c>
      <c r="BO456" t="s">
        <v>74</v>
      </c>
      <c r="BP456" t="s">
        <v>74</v>
      </c>
      <c r="BQ456" t="s">
        <v>74</v>
      </c>
      <c r="BR456" t="s">
        <v>104</v>
      </c>
      <c r="BS456" t="s">
        <v>6818</v>
      </c>
      <c r="BT456" t="str">
        <f>HYPERLINK("https%3A%2F%2Fwww.webofscience.com%2Fwos%2Fwoscc%2Ffull-record%2FWOS:000556393504476","View Full Record in Web of Science")</f>
        <v>View Full Record in Web of Science</v>
      </c>
    </row>
    <row r="457" spans="1:72" x14ac:dyDescent="0.25">
      <c r="A457" t="s">
        <v>72</v>
      </c>
      <c r="B457" t="s">
        <v>6819</v>
      </c>
      <c r="C457" t="s">
        <v>74</v>
      </c>
      <c r="D457" t="s">
        <v>74</v>
      </c>
      <c r="E457" t="s">
        <v>74</v>
      </c>
      <c r="F457" t="s">
        <v>6820</v>
      </c>
      <c r="G457" t="s">
        <v>74</v>
      </c>
      <c r="H457" t="s">
        <v>74</v>
      </c>
      <c r="I457" t="s">
        <v>6821</v>
      </c>
      <c r="J457" t="s">
        <v>6822</v>
      </c>
      <c r="K457" t="s">
        <v>74</v>
      </c>
      <c r="L457" t="s">
        <v>74</v>
      </c>
      <c r="M457" t="s">
        <v>78</v>
      </c>
      <c r="N457" t="s">
        <v>299</v>
      </c>
      <c r="O457" t="s">
        <v>74</v>
      </c>
      <c r="P457" t="s">
        <v>74</v>
      </c>
      <c r="Q457" t="s">
        <v>74</v>
      </c>
      <c r="R457" t="s">
        <v>74</v>
      </c>
      <c r="S457" t="s">
        <v>74</v>
      </c>
      <c r="T457" t="s">
        <v>6823</v>
      </c>
      <c r="U457" t="s">
        <v>6824</v>
      </c>
      <c r="V457" t="s">
        <v>6825</v>
      </c>
      <c r="W457" t="s">
        <v>6826</v>
      </c>
      <c r="X457" t="s">
        <v>6827</v>
      </c>
      <c r="Y457" t="s">
        <v>6828</v>
      </c>
      <c r="Z457" t="s">
        <v>6829</v>
      </c>
      <c r="AA457" t="s">
        <v>2713</v>
      </c>
      <c r="AB457" t="s">
        <v>6830</v>
      </c>
      <c r="AC457" t="s">
        <v>6831</v>
      </c>
      <c r="AD457" t="s">
        <v>6832</v>
      </c>
      <c r="AE457" t="s">
        <v>6833</v>
      </c>
      <c r="AF457" t="s">
        <v>74</v>
      </c>
      <c r="AG457">
        <v>114</v>
      </c>
      <c r="AH457">
        <v>20</v>
      </c>
      <c r="AI457">
        <v>20</v>
      </c>
      <c r="AJ457">
        <v>0</v>
      </c>
      <c r="AK457">
        <v>8</v>
      </c>
      <c r="AL457" t="s">
        <v>882</v>
      </c>
      <c r="AM457" t="s">
        <v>883</v>
      </c>
      <c r="AN457" t="s">
        <v>884</v>
      </c>
      <c r="AO457" t="s">
        <v>6834</v>
      </c>
      <c r="AP457" t="s">
        <v>6835</v>
      </c>
      <c r="AQ457" t="s">
        <v>74</v>
      </c>
      <c r="AR457" t="s">
        <v>6836</v>
      </c>
      <c r="AS457" t="s">
        <v>6837</v>
      </c>
      <c r="AT457" t="s">
        <v>176</v>
      </c>
      <c r="AU457">
        <v>2020</v>
      </c>
      <c r="AV457">
        <v>113</v>
      </c>
      <c r="AW457">
        <v>1</v>
      </c>
      <c r="AX457" t="s">
        <v>74</v>
      </c>
      <c r="AY457" t="s">
        <v>74</v>
      </c>
      <c r="AZ457" t="s">
        <v>74</v>
      </c>
      <c r="BA457" t="s">
        <v>74</v>
      </c>
      <c r="BB457">
        <v>70</v>
      </c>
      <c r="BC457">
        <v>84</v>
      </c>
      <c r="BD457" t="s">
        <v>74</v>
      </c>
      <c r="BE457" t="s">
        <v>6838</v>
      </c>
      <c r="BF457" t="str">
        <f>HYPERLINK("http://dx.doi.org/10.1016/j.acvd.2019.10.009","http://dx.doi.org/10.1016/j.acvd.2019.10.009")</f>
        <v>http://dx.doi.org/10.1016/j.acvd.2019.10.009</v>
      </c>
      <c r="BG457" t="s">
        <v>74</v>
      </c>
      <c r="BH457" t="s">
        <v>74</v>
      </c>
      <c r="BI457">
        <v>15</v>
      </c>
      <c r="BJ457" t="s">
        <v>132</v>
      </c>
      <c r="BK457" t="s">
        <v>101</v>
      </c>
      <c r="BL457" t="s">
        <v>133</v>
      </c>
      <c r="BM457" t="s">
        <v>6839</v>
      </c>
      <c r="BN457">
        <v>31924541</v>
      </c>
      <c r="BO457" t="s">
        <v>2517</v>
      </c>
      <c r="BP457" t="s">
        <v>74</v>
      </c>
      <c r="BQ457" t="s">
        <v>74</v>
      </c>
      <c r="BR457" t="s">
        <v>104</v>
      </c>
      <c r="BS457" t="s">
        <v>6840</v>
      </c>
      <c r="BT457" t="str">
        <f>HYPERLINK("https%3A%2F%2Fwww.webofscience.com%2Fwos%2Fwoscc%2Ffull-record%2FWOS:000528213100009","View Full Record in Web of Science")</f>
        <v>View Full Record in Web of Science</v>
      </c>
    </row>
    <row r="458" spans="1:72" x14ac:dyDescent="0.25">
      <c r="A458" t="s">
        <v>72</v>
      </c>
      <c r="B458" t="s">
        <v>6841</v>
      </c>
      <c r="C458" t="s">
        <v>74</v>
      </c>
      <c r="D458" t="s">
        <v>74</v>
      </c>
      <c r="E458" t="s">
        <v>74</v>
      </c>
      <c r="F458" t="s">
        <v>6842</v>
      </c>
      <c r="G458" t="s">
        <v>74</v>
      </c>
      <c r="H458" t="s">
        <v>74</v>
      </c>
      <c r="I458" t="s">
        <v>6843</v>
      </c>
      <c r="J458" t="s">
        <v>637</v>
      </c>
      <c r="K458" t="s">
        <v>74</v>
      </c>
      <c r="L458" t="s">
        <v>74</v>
      </c>
      <c r="M458" t="s">
        <v>78</v>
      </c>
      <c r="N458" t="s">
        <v>52</v>
      </c>
      <c r="O458" t="s">
        <v>2003</v>
      </c>
      <c r="P458" t="s">
        <v>6844</v>
      </c>
      <c r="Q458" t="s">
        <v>4325</v>
      </c>
      <c r="R458" t="s">
        <v>2006</v>
      </c>
      <c r="S458" t="s">
        <v>74</v>
      </c>
      <c r="T458" t="s">
        <v>74</v>
      </c>
      <c r="U458" t="s">
        <v>74</v>
      </c>
      <c r="V458" t="s">
        <v>74</v>
      </c>
      <c r="W458" t="s">
        <v>6845</v>
      </c>
      <c r="X458" t="s">
        <v>6846</v>
      </c>
      <c r="Y458" t="s">
        <v>74</v>
      </c>
      <c r="Z458" t="s">
        <v>74</v>
      </c>
      <c r="AA458" t="s">
        <v>378</v>
      </c>
      <c r="AB458" t="s">
        <v>1489</v>
      </c>
      <c r="AC458" t="s">
        <v>6847</v>
      </c>
      <c r="AD458" t="s">
        <v>6848</v>
      </c>
      <c r="AE458" t="s">
        <v>6849</v>
      </c>
      <c r="AF458" t="s">
        <v>74</v>
      </c>
      <c r="AG458">
        <v>0</v>
      </c>
      <c r="AH458">
        <v>0</v>
      </c>
      <c r="AI458">
        <v>0</v>
      </c>
      <c r="AJ458">
        <v>0</v>
      </c>
      <c r="AK458">
        <v>0</v>
      </c>
      <c r="AL458" t="s">
        <v>649</v>
      </c>
      <c r="AM458" t="s">
        <v>486</v>
      </c>
      <c r="AN458" t="s">
        <v>650</v>
      </c>
      <c r="AO458" t="s">
        <v>651</v>
      </c>
      <c r="AP458" t="s">
        <v>652</v>
      </c>
      <c r="AQ458" t="s">
        <v>74</v>
      </c>
      <c r="AR458" t="s">
        <v>653</v>
      </c>
      <c r="AS458" t="s">
        <v>654</v>
      </c>
      <c r="AT458" t="s">
        <v>74</v>
      </c>
      <c r="AU458">
        <v>2020</v>
      </c>
      <c r="AV458">
        <v>201</v>
      </c>
      <c r="AW458" t="s">
        <v>74</v>
      </c>
      <c r="AX458" t="s">
        <v>74</v>
      </c>
      <c r="AY458" t="s">
        <v>74</v>
      </c>
      <c r="AZ458" t="s">
        <v>74</v>
      </c>
      <c r="BA458" t="s">
        <v>6850</v>
      </c>
      <c r="BB458" t="s">
        <v>74</v>
      </c>
      <c r="BC458" t="s">
        <v>74</v>
      </c>
      <c r="BD458" t="s">
        <v>74</v>
      </c>
      <c r="BE458" t="s">
        <v>74</v>
      </c>
      <c r="BF458" t="s">
        <v>74</v>
      </c>
      <c r="BG458" t="s">
        <v>74</v>
      </c>
      <c r="BH458" t="s">
        <v>74</v>
      </c>
      <c r="BI458">
        <v>2</v>
      </c>
      <c r="BJ458" t="s">
        <v>341</v>
      </c>
      <c r="BK458" t="s">
        <v>512</v>
      </c>
      <c r="BL458" t="s">
        <v>342</v>
      </c>
      <c r="BM458" t="s">
        <v>6851</v>
      </c>
      <c r="BN458" t="s">
        <v>74</v>
      </c>
      <c r="BO458" t="s">
        <v>74</v>
      </c>
      <c r="BP458" t="s">
        <v>74</v>
      </c>
      <c r="BQ458" t="s">
        <v>74</v>
      </c>
      <c r="BR458" t="s">
        <v>104</v>
      </c>
      <c r="BS458" t="s">
        <v>6852</v>
      </c>
      <c r="BT458" t="str">
        <f>HYPERLINK("https%3A%2F%2Fwww.webofscience.com%2Fwos%2Fwoscc%2Ffull-record%2FWOS:000556622802381","View Full Record in Web of Science")</f>
        <v>View Full Record in Web of Science</v>
      </c>
    </row>
    <row r="459" spans="1:72" x14ac:dyDescent="0.25">
      <c r="A459" t="s">
        <v>72</v>
      </c>
      <c r="B459" t="s">
        <v>6853</v>
      </c>
      <c r="C459" t="s">
        <v>74</v>
      </c>
      <c r="D459" t="s">
        <v>74</v>
      </c>
      <c r="E459" t="s">
        <v>74</v>
      </c>
      <c r="F459" t="s">
        <v>6854</v>
      </c>
      <c r="G459" t="s">
        <v>74</v>
      </c>
      <c r="H459" t="s">
        <v>74</v>
      </c>
      <c r="I459" t="s">
        <v>6855</v>
      </c>
      <c r="J459" t="s">
        <v>637</v>
      </c>
      <c r="K459" t="s">
        <v>74</v>
      </c>
      <c r="L459" t="s">
        <v>74</v>
      </c>
      <c r="M459" t="s">
        <v>78</v>
      </c>
      <c r="N459" t="s">
        <v>52</v>
      </c>
      <c r="O459" t="s">
        <v>6808</v>
      </c>
      <c r="P459" t="s">
        <v>6809</v>
      </c>
      <c r="Q459" t="s">
        <v>4325</v>
      </c>
      <c r="R459" t="s">
        <v>2006</v>
      </c>
      <c r="S459" t="s">
        <v>74</v>
      </c>
      <c r="T459" t="s">
        <v>74</v>
      </c>
      <c r="U459" t="s">
        <v>74</v>
      </c>
      <c r="V459" t="s">
        <v>74</v>
      </c>
      <c r="W459" t="s">
        <v>6856</v>
      </c>
      <c r="X459" t="s">
        <v>6857</v>
      </c>
      <c r="Y459" t="s">
        <v>74</v>
      </c>
      <c r="Z459" t="s">
        <v>74</v>
      </c>
      <c r="AA459" t="s">
        <v>6858</v>
      </c>
      <c r="AB459" t="s">
        <v>74</v>
      </c>
      <c r="AC459" t="s">
        <v>6859</v>
      </c>
      <c r="AD459" t="s">
        <v>6860</v>
      </c>
      <c r="AE459" t="s">
        <v>6861</v>
      </c>
      <c r="AF459" t="s">
        <v>74</v>
      </c>
      <c r="AG459">
        <v>0</v>
      </c>
      <c r="AH459">
        <v>0</v>
      </c>
      <c r="AI459">
        <v>0</v>
      </c>
      <c r="AJ459">
        <v>0</v>
      </c>
      <c r="AK459">
        <v>1</v>
      </c>
      <c r="AL459" t="s">
        <v>649</v>
      </c>
      <c r="AM459" t="s">
        <v>486</v>
      </c>
      <c r="AN459" t="s">
        <v>650</v>
      </c>
      <c r="AO459" t="s">
        <v>651</v>
      </c>
      <c r="AP459" t="s">
        <v>652</v>
      </c>
      <c r="AQ459" t="s">
        <v>74</v>
      </c>
      <c r="AR459" t="s">
        <v>653</v>
      </c>
      <c r="AS459" t="s">
        <v>654</v>
      </c>
      <c r="AT459" t="s">
        <v>74</v>
      </c>
      <c r="AU459">
        <v>2020</v>
      </c>
      <c r="AV459">
        <v>201</v>
      </c>
      <c r="AW459" t="s">
        <v>74</v>
      </c>
      <c r="AX459" t="s">
        <v>74</v>
      </c>
      <c r="AY459" t="s">
        <v>74</v>
      </c>
      <c r="AZ459" t="s">
        <v>74</v>
      </c>
      <c r="BA459" t="s">
        <v>6862</v>
      </c>
      <c r="BB459" t="s">
        <v>74</v>
      </c>
      <c r="BC459" t="s">
        <v>74</v>
      </c>
      <c r="BD459" t="s">
        <v>74</v>
      </c>
      <c r="BE459" t="s">
        <v>74</v>
      </c>
      <c r="BF459" t="s">
        <v>74</v>
      </c>
      <c r="BG459" t="s">
        <v>74</v>
      </c>
      <c r="BH459" t="s">
        <v>74</v>
      </c>
      <c r="BI459">
        <v>2</v>
      </c>
      <c r="BJ459" t="s">
        <v>341</v>
      </c>
      <c r="BK459" t="s">
        <v>512</v>
      </c>
      <c r="BL459" t="s">
        <v>342</v>
      </c>
      <c r="BM459" t="s">
        <v>6817</v>
      </c>
      <c r="BN459" t="s">
        <v>74</v>
      </c>
      <c r="BO459" t="s">
        <v>74</v>
      </c>
      <c r="BP459" t="s">
        <v>74</v>
      </c>
      <c r="BQ459" t="s">
        <v>74</v>
      </c>
      <c r="BR459" t="s">
        <v>104</v>
      </c>
      <c r="BS459" t="s">
        <v>6863</v>
      </c>
      <c r="BT459" t="str">
        <f>HYPERLINK("https%3A%2F%2Fwww.webofscience.com%2Fwos%2Fwoscc%2Ffull-record%2FWOS:000556393502286","View Full Record in Web of Science")</f>
        <v>View Full Record in Web of Science</v>
      </c>
    </row>
    <row r="460" spans="1:72" x14ac:dyDescent="0.25">
      <c r="A460" t="s">
        <v>72</v>
      </c>
      <c r="B460" t="s">
        <v>6864</v>
      </c>
      <c r="C460" t="s">
        <v>74</v>
      </c>
      <c r="D460" t="s">
        <v>74</v>
      </c>
      <c r="E460" t="s">
        <v>74</v>
      </c>
      <c r="F460" t="s">
        <v>6865</v>
      </c>
      <c r="G460" t="s">
        <v>74</v>
      </c>
      <c r="H460" t="s">
        <v>74</v>
      </c>
      <c r="I460" t="s">
        <v>6866</v>
      </c>
      <c r="J460" t="s">
        <v>637</v>
      </c>
      <c r="K460" t="s">
        <v>74</v>
      </c>
      <c r="L460" t="s">
        <v>74</v>
      </c>
      <c r="M460" t="s">
        <v>78</v>
      </c>
      <c r="N460" t="s">
        <v>52</v>
      </c>
      <c r="O460" t="s">
        <v>6808</v>
      </c>
      <c r="P460" t="s">
        <v>6809</v>
      </c>
      <c r="Q460" t="s">
        <v>4325</v>
      </c>
      <c r="R460" t="s">
        <v>2006</v>
      </c>
      <c r="S460" t="s">
        <v>74</v>
      </c>
      <c r="T460" t="s">
        <v>74</v>
      </c>
      <c r="U460" t="s">
        <v>74</v>
      </c>
      <c r="V460" t="s">
        <v>74</v>
      </c>
      <c r="W460" t="s">
        <v>6867</v>
      </c>
      <c r="X460" t="s">
        <v>5833</v>
      </c>
      <c r="Y460" t="s">
        <v>74</v>
      </c>
      <c r="Z460" t="s">
        <v>74</v>
      </c>
      <c r="AA460" t="s">
        <v>1549</v>
      </c>
      <c r="AB460" t="s">
        <v>5709</v>
      </c>
      <c r="AC460" t="s">
        <v>74</v>
      </c>
      <c r="AD460" t="s">
        <v>74</v>
      </c>
      <c r="AE460" t="s">
        <v>74</v>
      </c>
      <c r="AF460" t="s">
        <v>74</v>
      </c>
      <c r="AG460">
        <v>0</v>
      </c>
      <c r="AH460">
        <v>1</v>
      </c>
      <c r="AI460">
        <v>1</v>
      </c>
      <c r="AJ460">
        <v>0</v>
      </c>
      <c r="AK460">
        <v>1</v>
      </c>
      <c r="AL460" t="s">
        <v>649</v>
      </c>
      <c r="AM460" t="s">
        <v>486</v>
      </c>
      <c r="AN460" t="s">
        <v>650</v>
      </c>
      <c r="AO460" t="s">
        <v>651</v>
      </c>
      <c r="AP460" t="s">
        <v>652</v>
      </c>
      <c r="AQ460" t="s">
        <v>74</v>
      </c>
      <c r="AR460" t="s">
        <v>653</v>
      </c>
      <c r="AS460" t="s">
        <v>654</v>
      </c>
      <c r="AT460" t="s">
        <v>74</v>
      </c>
      <c r="AU460">
        <v>2020</v>
      </c>
      <c r="AV460">
        <v>201</v>
      </c>
      <c r="AW460" t="s">
        <v>74</v>
      </c>
      <c r="AX460" t="s">
        <v>74</v>
      </c>
      <c r="AY460" t="s">
        <v>74</v>
      </c>
      <c r="AZ460" t="s">
        <v>74</v>
      </c>
      <c r="BA460" t="s">
        <v>6868</v>
      </c>
      <c r="BB460" t="s">
        <v>74</v>
      </c>
      <c r="BC460" t="s">
        <v>74</v>
      </c>
      <c r="BD460" t="s">
        <v>74</v>
      </c>
      <c r="BE460" t="s">
        <v>74</v>
      </c>
      <c r="BF460" t="s">
        <v>74</v>
      </c>
      <c r="BG460" t="s">
        <v>74</v>
      </c>
      <c r="BH460" t="s">
        <v>74</v>
      </c>
      <c r="BI460">
        <v>1</v>
      </c>
      <c r="BJ460" t="s">
        <v>341</v>
      </c>
      <c r="BK460" t="s">
        <v>512</v>
      </c>
      <c r="BL460" t="s">
        <v>342</v>
      </c>
      <c r="BM460" t="s">
        <v>6817</v>
      </c>
      <c r="BN460" t="s">
        <v>74</v>
      </c>
      <c r="BO460" t="s">
        <v>74</v>
      </c>
      <c r="BP460" t="s">
        <v>74</v>
      </c>
      <c r="BQ460" t="s">
        <v>74</v>
      </c>
      <c r="BR460" t="s">
        <v>104</v>
      </c>
      <c r="BS460" t="s">
        <v>6869</v>
      </c>
      <c r="BT460" t="str">
        <f>HYPERLINK("https%3A%2F%2Fwww.webofscience.com%2Fwos%2Fwoscc%2Ffull-record%2FWOS:000556393503127","View Full Record in Web of Science")</f>
        <v>View Full Record in Web of Science</v>
      </c>
    </row>
    <row r="461" spans="1:72" x14ac:dyDescent="0.25">
      <c r="A461" t="s">
        <v>72</v>
      </c>
      <c r="B461" t="s">
        <v>6870</v>
      </c>
      <c r="C461" t="s">
        <v>74</v>
      </c>
      <c r="D461" t="s">
        <v>74</v>
      </c>
      <c r="E461" t="s">
        <v>74</v>
      </c>
      <c r="F461" t="s">
        <v>6871</v>
      </c>
      <c r="G461" t="s">
        <v>74</v>
      </c>
      <c r="H461" t="s">
        <v>74</v>
      </c>
      <c r="I461" t="s">
        <v>6872</v>
      </c>
      <c r="J461" t="s">
        <v>637</v>
      </c>
      <c r="K461" t="s">
        <v>74</v>
      </c>
      <c r="L461" t="s">
        <v>74</v>
      </c>
      <c r="M461" t="s">
        <v>78</v>
      </c>
      <c r="N461" t="s">
        <v>52</v>
      </c>
      <c r="O461" t="s">
        <v>6808</v>
      </c>
      <c r="P461" t="s">
        <v>6809</v>
      </c>
      <c r="Q461" t="s">
        <v>4325</v>
      </c>
      <c r="R461" t="s">
        <v>2006</v>
      </c>
      <c r="S461" t="s">
        <v>74</v>
      </c>
      <c r="T461" t="s">
        <v>74</v>
      </c>
      <c r="U461" t="s">
        <v>74</v>
      </c>
      <c r="V461" t="s">
        <v>74</v>
      </c>
      <c r="W461" t="s">
        <v>6873</v>
      </c>
      <c r="X461" t="s">
        <v>6874</v>
      </c>
      <c r="Y461" t="s">
        <v>74</v>
      </c>
      <c r="Z461" t="s">
        <v>6875</v>
      </c>
      <c r="AA461" t="s">
        <v>6876</v>
      </c>
      <c r="AB461" t="s">
        <v>74</v>
      </c>
      <c r="AC461" t="s">
        <v>6877</v>
      </c>
      <c r="AD461" t="s">
        <v>6877</v>
      </c>
      <c r="AE461" t="s">
        <v>6878</v>
      </c>
      <c r="AF461" t="s">
        <v>74</v>
      </c>
      <c r="AG461">
        <v>0</v>
      </c>
      <c r="AH461">
        <v>1</v>
      </c>
      <c r="AI461">
        <v>1</v>
      </c>
      <c r="AJ461">
        <v>0</v>
      </c>
      <c r="AK461">
        <v>2</v>
      </c>
      <c r="AL461" t="s">
        <v>649</v>
      </c>
      <c r="AM461" t="s">
        <v>486</v>
      </c>
      <c r="AN461" t="s">
        <v>650</v>
      </c>
      <c r="AO461" t="s">
        <v>651</v>
      </c>
      <c r="AP461" t="s">
        <v>652</v>
      </c>
      <c r="AQ461" t="s">
        <v>74</v>
      </c>
      <c r="AR461" t="s">
        <v>653</v>
      </c>
      <c r="AS461" t="s">
        <v>654</v>
      </c>
      <c r="AT461" t="s">
        <v>74</v>
      </c>
      <c r="AU461">
        <v>2020</v>
      </c>
      <c r="AV461">
        <v>201</v>
      </c>
      <c r="AW461" t="s">
        <v>74</v>
      </c>
      <c r="AX461" t="s">
        <v>74</v>
      </c>
      <c r="AY461" t="s">
        <v>74</v>
      </c>
      <c r="AZ461" t="s">
        <v>74</v>
      </c>
      <c r="BA461" t="s">
        <v>6879</v>
      </c>
      <c r="BB461" t="s">
        <v>74</v>
      </c>
      <c r="BC461" t="s">
        <v>74</v>
      </c>
      <c r="BD461" t="s">
        <v>74</v>
      </c>
      <c r="BE461" t="s">
        <v>74</v>
      </c>
      <c r="BF461" t="s">
        <v>74</v>
      </c>
      <c r="BG461" t="s">
        <v>74</v>
      </c>
      <c r="BH461" t="s">
        <v>74</v>
      </c>
      <c r="BI461">
        <v>2</v>
      </c>
      <c r="BJ461" t="s">
        <v>341</v>
      </c>
      <c r="BK461" t="s">
        <v>512</v>
      </c>
      <c r="BL461" t="s">
        <v>342</v>
      </c>
      <c r="BM461" t="s">
        <v>6817</v>
      </c>
      <c r="BN461" t="s">
        <v>74</v>
      </c>
      <c r="BO461" t="s">
        <v>74</v>
      </c>
      <c r="BP461" t="s">
        <v>74</v>
      </c>
      <c r="BQ461" t="s">
        <v>74</v>
      </c>
      <c r="BR461" t="s">
        <v>104</v>
      </c>
      <c r="BS461" t="s">
        <v>6880</v>
      </c>
      <c r="BT461" t="str">
        <f>HYPERLINK("https%3A%2F%2Fwww.webofscience.com%2Fwos%2Fwoscc%2Ffull-record%2FWOS:000556393504423","View Full Record in Web of Science")</f>
        <v>View Full Record in Web of Science</v>
      </c>
    </row>
    <row r="462" spans="1:72" x14ac:dyDescent="0.25">
      <c r="A462" t="s">
        <v>72</v>
      </c>
      <c r="B462" t="s">
        <v>6881</v>
      </c>
      <c r="C462" t="s">
        <v>74</v>
      </c>
      <c r="D462" t="s">
        <v>74</v>
      </c>
      <c r="E462" t="s">
        <v>74</v>
      </c>
      <c r="F462" t="s">
        <v>6882</v>
      </c>
      <c r="G462" t="s">
        <v>74</v>
      </c>
      <c r="H462" t="s">
        <v>74</v>
      </c>
      <c r="I462" t="s">
        <v>6883</v>
      </c>
      <c r="J462" t="s">
        <v>637</v>
      </c>
      <c r="K462" t="s">
        <v>74</v>
      </c>
      <c r="L462" t="s">
        <v>74</v>
      </c>
      <c r="M462" t="s">
        <v>78</v>
      </c>
      <c r="N462" t="s">
        <v>52</v>
      </c>
      <c r="O462" t="s">
        <v>6808</v>
      </c>
      <c r="P462" t="s">
        <v>6809</v>
      </c>
      <c r="Q462" t="s">
        <v>4325</v>
      </c>
      <c r="R462" t="s">
        <v>2006</v>
      </c>
      <c r="S462" t="s">
        <v>74</v>
      </c>
      <c r="T462" t="s">
        <v>74</v>
      </c>
      <c r="U462" t="s">
        <v>74</v>
      </c>
      <c r="V462" t="s">
        <v>74</v>
      </c>
      <c r="W462" t="s">
        <v>6884</v>
      </c>
      <c r="X462" t="s">
        <v>6885</v>
      </c>
      <c r="Y462" t="s">
        <v>74</v>
      </c>
      <c r="Z462" t="s">
        <v>74</v>
      </c>
      <c r="AA462" t="s">
        <v>6886</v>
      </c>
      <c r="AB462" t="s">
        <v>1489</v>
      </c>
      <c r="AC462" t="s">
        <v>6847</v>
      </c>
      <c r="AD462" t="s">
        <v>6848</v>
      </c>
      <c r="AE462" t="s">
        <v>6849</v>
      </c>
      <c r="AF462" t="s">
        <v>74</v>
      </c>
      <c r="AG462">
        <v>0</v>
      </c>
      <c r="AH462">
        <v>0</v>
      </c>
      <c r="AI462">
        <v>0</v>
      </c>
      <c r="AJ462">
        <v>0</v>
      </c>
      <c r="AK462">
        <v>1</v>
      </c>
      <c r="AL462" t="s">
        <v>649</v>
      </c>
      <c r="AM462" t="s">
        <v>486</v>
      </c>
      <c r="AN462" t="s">
        <v>650</v>
      </c>
      <c r="AO462" t="s">
        <v>651</v>
      </c>
      <c r="AP462" t="s">
        <v>652</v>
      </c>
      <c r="AQ462" t="s">
        <v>74</v>
      </c>
      <c r="AR462" t="s">
        <v>653</v>
      </c>
      <c r="AS462" t="s">
        <v>654</v>
      </c>
      <c r="AT462" t="s">
        <v>74</v>
      </c>
      <c r="AU462">
        <v>2020</v>
      </c>
      <c r="AV462">
        <v>201</v>
      </c>
      <c r="AW462" t="s">
        <v>74</v>
      </c>
      <c r="AX462" t="s">
        <v>74</v>
      </c>
      <c r="AY462" t="s">
        <v>74</v>
      </c>
      <c r="AZ462" t="s">
        <v>74</v>
      </c>
      <c r="BA462" t="s">
        <v>6887</v>
      </c>
      <c r="BB462" t="s">
        <v>74</v>
      </c>
      <c r="BC462" t="s">
        <v>74</v>
      </c>
      <c r="BD462" t="s">
        <v>74</v>
      </c>
      <c r="BE462" t="s">
        <v>74</v>
      </c>
      <c r="BF462" t="s">
        <v>74</v>
      </c>
      <c r="BG462" t="s">
        <v>74</v>
      </c>
      <c r="BH462" t="s">
        <v>74</v>
      </c>
      <c r="BI462">
        <v>2</v>
      </c>
      <c r="BJ462" t="s">
        <v>341</v>
      </c>
      <c r="BK462" t="s">
        <v>512</v>
      </c>
      <c r="BL462" t="s">
        <v>342</v>
      </c>
      <c r="BM462" t="s">
        <v>6817</v>
      </c>
      <c r="BN462" t="s">
        <v>74</v>
      </c>
      <c r="BO462" t="s">
        <v>74</v>
      </c>
      <c r="BP462" t="s">
        <v>74</v>
      </c>
      <c r="BQ462" t="s">
        <v>74</v>
      </c>
      <c r="BR462" t="s">
        <v>104</v>
      </c>
      <c r="BS462" t="s">
        <v>6888</v>
      </c>
      <c r="BT462" t="str">
        <f>HYPERLINK("https%3A%2F%2Fwww.webofscience.com%2Fwos%2Fwoscc%2Ffull-record%2FWOS:000556393501437","View Full Record in Web of Science")</f>
        <v>View Full Record in Web of Science</v>
      </c>
    </row>
    <row r="463" spans="1:72" x14ac:dyDescent="0.25">
      <c r="A463" t="s">
        <v>72</v>
      </c>
      <c r="B463" t="s">
        <v>6889</v>
      </c>
      <c r="C463" t="s">
        <v>74</v>
      </c>
      <c r="D463" t="s">
        <v>74</v>
      </c>
      <c r="E463" t="s">
        <v>74</v>
      </c>
      <c r="F463" t="s">
        <v>6890</v>
      </c>
      <c r="G463" t="s">
        <v>74</v>
      </c>
      <c r="H463" t="s">
        <v>74</v>
      </c>
      <c r="I463" t="s">
        <v>6891</v>
      </c>
      <c r="J463" t="s">
        <v>637</v>
      </c>
      <c r="K463" t="s">
        <v>74</v>
      </c>
      <c r="L463" t="s">
        <v>74</v>
      </c>
      <c r="M463" t="s">
        <v>78</v>
      </c>
      <c r="N463" t="s">
        <v>52</v>
      </c>
      <c r="O463" t="s">
        <v>2003</v>
      </c>
      <c r="P463" t="s">
        <v>6844</v>
      </c>
      <c r="Q463" t="s">
        <v>4325</v>
      </c>
      <c r="R463" t="s">
        <v>2006</v>
      </c>
      <c r="S463" t="s">
        <v>74</v>
      </c>
      <c r="T463" t="s">
        <v>74</v>
      </c>
      <c r="U463" t="s">
        <v>74</v>
      </c>
      <c r="V463" t="s">
        <v>74</v>
      </c>
      <c r="W463" t="s">
        <v>6892</v>
      </c>
      <c r="X463" t="s">
        <v>6893</v>
      </c>
      <c r="Y463" t="s">
        <v>74</v>
      </c>
      <c r="Z463" t="s">
        <v>74</v>
      </c>
      <c r="AA463" t="s">
        <v>6894</v>
      </c>
      <c r="AB463" t="s">
        <v>6895</v>
      </c>
      <c r="AC463" t="s">
        <v>6847</v>
      </c>
      <c r="AD463" t="s">
        <v>6848</v>
      </c>
      <c r="AE463" t="s">
        <v>6849</v>
      </c>
      <c r="AF463" t="s">
        <v>74</v>
      </c>
      <c r="AG463">
        <v>0</v>
      </c>
      <c r="AH463">
        <v>7</v>
      </c>
      <c r="AI463">
        <v>8</v>
      </c>
      <c r="AJ463">
        <v>0</v>
      </c>
      <c r="AK463">
        <v>2</v>
      </c>
      <c r="AL463" t="s">
        <v>649</v>
      </c>
      <c r="AM463" t="s">
        <v>486</v>
      </c>
      <c r="AN463" t="s">
        <v>650</v>
      </c>
      <c r="AO463" t="s">
        <v>651</v>
      </c>
      <c r="AP463" t="s">
        <v>652</v>
      </c>
      <c r="AQ463" t="s">
        <v>74</v>
      </c>
      <c r="AR463" t="s">
        <v>653</v>
      </c>
      <c r="AS463" t="s">
        <v>654</v>
      </c>
      <c r="AT463" t="s">
        <v>74</v>
      </c>
      <c r="AU463">
        <v>2020</v>
      </c>
      <c r="AV463">
        <v>201</v>
      </c>
      <c r="AW463" t="s">
        <v>74</v>
      </c>
      <c r="AX463" t="s">
        <v>74</v>
      </c>
      <c r="AY463" t="s">
        <v>74</v>
      </c>
      <c r="AZ463" t="s">
        <v>74</v>
      </c>
      <c r="BA463" t="s">
        <v>6896</v>
      </c>
      <c r="BB463" t="s">
        <v>74</v>
      </c>
      <c r="BC463" t="s">
        <v>74</v>
      </c>
      <c r="BD463" t="s">
        <v>74</v>
      </c>
      <c r="BE463" t="s">
        <v>74</v>
      </c>
      <c r="BF463" t="s">
        <v>74</v>
      </c>
      <c r="BG463" t="s">
        <v>74</v>
      </c>
      <c r="BH463" t="s">
        <v>74</v>
      </c>
      <c r="BI463">
        <v>2</v>
      </c>
      <c r="BJ463" t="s">
        <v>341</v>
      </c>
      <c r="BK463" t="s">
        <v>512</v>
      </c>
      <c r="BL463" t="s">
        <v>342</v>
      </c>
      <c r="BM463" t="s">
        <v>6851</v>
      </c>
      <c r="BN463" t="s">
        <v>74</v>
      </c>
      <c r="BO463" t="s">
        <v>74</v>
      </c>
      <c r="BP463" t="s">
        <v>74</v>
      </c>
      <c r="BQ463" t="s">
        <v>74</v>
      </c>
      <c r="BR463" t="s">
        <v>104</v>
      </c>
      <c r="BS463" t="s">
        <v>6897</v>
      </c>
      <c r="BT463" t="str">
        <f>HYPERLINK("https%3A%2F%2Fwww.webofscience.com%2Fwos%2Fwoscc%2Ffull-record%2FWOS:000556622802374","View Full Record in Web of Science")</f>
        <v>View Full Record in Web of Science</v>
      </c>
    </row>
    <row r="464" spans="1:72" x14ac:dyDescent="0.25">
      <c r="A464" t="s">
        <v>72</v>
      </c>
      <c r="B464" t="s">
        <v>6898</v>
      </c>
      <c r="C464" t="s">
        <v>74</v>
      </c>
      <c r="D464" t="s">
        <v>74</v>
      </c>
      <c r="E464" t="s">
        <v>74</v>
      </c>
      <c r="F464" t="s">
        <v>6899</v>
      </c>
      <c r="G464" t="s">
        <v>74</v>
      </c>
      <c r="H464" t="s">
        <v>74</v>
      </c>
      <c r="I464" t="s">
        <v>6900</v>
      </c>
      <c r="J464" t="s">
        <v>637</v>
      </c>
      <c r="K464" t="s">
        <v>74</v>
      </c>
      <c r="L464" t="s">
        <v>74</v>
      </c>
      <c r="M464" t="s">
        <v>78</v>
      </c>
      <c r="N464" t="s">
        <v>52</v>
      </c>
      <c r="O464" t="s">
        <v>6808</v>
      </c>
      <c r="P464" t="s">
        <v>6809</v>
      </c>
      <c r="Q464" t="s">
        <v>4325</v>
      </c>
      <c r="R464" t="s">
        <v>2006</v>
      </c>
      <c r="S464" t="s">
        <v>74</v>
      </c>
      <c r="T464" t="s">
        <v>74</v>
      </c>
      <c r="U464" t="s">
        <v>74</v>
      </c>
      <c r="V464" t="s">
        <v>74</v>
      </c>
      <c r="W464" t="s">
        <v>6901</v>
      </c>
      <c r="X464" t="s">
        <v>6902</v>
      </c>
      <c r="Y464" t="s">
        <v>74</v>
      </c>
      <c r="Z464" t="s">
        <v>74</v>
      </c>
      <c r="AA464" t="s">
        <v>6903</v>
      </c>
      <c r="AB464" t="s">
        <v>74</v>
      </c>
      <c r="AC464" t="s">
        <v>145</v>
      </c>
      <c r="AD464" t="s">
        <v>146</v>
      </c>
      <c r="AE464" t="s">
        <v>6904</v>
      </c>
      <c r="AF464" t="s">
        <v>74</v>
      </c>
      <c r="AG464">
        <v>0</v>
      </c>
      <c r="AH464">
        <v>2</v>
      </c>
      <c r="AI464">
        <v>2</v>
      </c>
      <c r="AJ464">
        <v>0</v>
      </c>
      <c r="AK464">
        <v>1</v>
      </c>
      <c r="AL464" t="s">
        <v>649</v>
      </c>
      <c r="AM464" t="s">
        <v>486</v>
      </c>
      <c r="AN464" t="s">
        <v>650</v>
      </c>
      <c r="AO464" t="s">
        <v>651</v>
      </c>
      <c r="AP464" t="s">
        <v>652</v>
      </c>
      <c r="AQ464" t="s">
        <v>74</v>
      </c>
      <c r="AR464" t="s">
        <v>653</v>
      </c>
      <c r="AS464" t="s">
        <v>654</v>
      </c>
      <c r="AT464" t="s">
        <v>74</v>
      </c>
      <c r="AU464">
        <v>2020</v>
      </c>
      <c r="AV464">
        <v>201</v>
      </c>
      <c r="AW464" t="s">
        <v>74</v>
      </c>
      <c r="AX464" t="s">
        <v>74</v>
      </c>
      <c r="AY464" t="s">
        <v>74</v>
      </c>
      <c r="AZ464" t="s">
        <v>74</v>
      </c>
      <c r="BA464" t="s">
        <v>6905</v>
      </c>
      <c r="BB464" t="s">
        <v>74</v>
      </c>
      <c r="BC464" t="s">
        <v>74</v>
      </c>
      <c r="BD464" t="s">
        <v>74</v>
      </c>
      <c r="BE464" t="s">
        <v>74</v>
      </c>
      <c r="BF464" t="s">
        <v>74</v>
      </c>
      <c r="BG464" t="s">
        <v>74</v>
      </c>
      <c r="BH464" t="s">
        <v>74</v>
      </c>
      <c r="BI464">
        <v>2</v>
      </c>
      <c r="BJ464" t="s">
        <v>341</v>
      </c>
      <c r="BK464" t="s">
        <v>512</v>
      </c>
      <c r="BL464" t="s">
        <v>342</v>
      </c>
      <c r="BM464" t="s">
        <v>6817</v>
      </c>
      <c r="BN464" t="s">
        <v>74</v>
      </c>
      <c r="BO464" t="s">
        <v>74</v>
      </c>
      <c r="BP464" t="s">
        <v>74</v>
      </c>
      <c r="BQ464" t="s">
        <v>74</v>
      </c>
      <c r="BR464" t="s">
        <v>104</v>
      </c>
      <c r="BS464" t="s">
        <v>6906</v>
      </c>
      <c r="BT464" t="str">
        <f>HYPERLINK("https%3A%2F%2Fwww.webofscience.com%2Fwos%2Fwoscc%2Ffull-record%2FWOS:000556393503226","View Full Record in Web of Science")</f>
        <v>View Full Record in Web of Science</v>
      </c>
    </row>
    <row r="465" spans="1:72" x14ac:dyDescent="0.25">
      <c r="A465" t="s">
        <v>72</v>
      </c>
      <c r="B465" t="s">
        <v>3829</v>
      </c>
      <c r="C465" t="s">
        <v>74</v>
      </c>
      <c r="D465" t="s">
        <v>74</v>
      </c>
      <c r="E465" t="s">
        <v>74</v>
      </c>
      <c r="F465" t="s">
        <v>6907</v>
      </c>
      <c r="G465" t="s">
        <v>74</v>
      </c>
      <c r="H465" t="s">
        <v>74</v>
      </c>
      <c r="I465" t="s">
        <v>6908</v>
      </c>
      <c r="J465" t="s">
        <v>637</v>
      </c>
      <c r="K465" t="s">
        <v>74</v>
      </c>
      <c r="L465" t="s">
        <v>74</v>
      </c>
      <c r="M465" t="s">
        <v>78</v>
      </c>
      <c r="N465" t="s">
        <v>52</v>
      </c>
      <c r="O465" t="s">
        <v>6808</v>
      </c>
      <c r="P465" t="s">
        <v>6809</v>
      </c>
      <c r="Q465" t="s">
        <v>4325</v>
      </c>
      <c r="R465" t="s">
        <v>2006</v>
      </c>
      <c r="S465" t="s">
        <v>74</v>
      </c>
      <c r="T465" t="s">
        <v>74</v>
      </c>
      <c r="U465" t="s">
        <v>74</v>
      </c>
      <c r="V465" t="s">
        <v>74</v>
      </c>
      <c r="W465" t="s">
        <v>6909</v>
      </c>
      <c r="X465" t="s">
        <v>6910</v>
      </c>
      <c r="Y465" t="s">
        <v>74</v>
      </c>
      <c r="Z465" t="s">
        <v>74</v>
      </c>
      <c r="AA465" t="s">
        <v>144</v>
      </c>
      <c r="AB465" t="s">
        <v>74</v>
      </c>
      <c r="AC465" t="s">
        <v>3822</v>
      </c>
      <c r="AD465" t="s">
        <v>3823</v>
      </c>
      <c r="AE465" t="s">
        <v>3822</v>
      </c>
      <c r="AF465" t="s">
        <v>74</v>
      </c>
      <c r="AG465">
        <v>0</v>
      </c>
      <c r="AH465">
        <v>2</v>
      </c>
      <c r="AI465">
        <v>2</v>
      </c>
      <c r="AJ465">
        <v>0</v>
      </c>
      <c r="AK465">
        <v>1</v>
      </c>
      <c r="AL465" t="s">
        <v>649</v>
      </c>
      <c r="AM465" t="s">
        <v>486</v>
      </c>
      <c r="AN465" t="s">
        <v>650</v>
      </c>
      <c r="AO465" t="s">
        <v>651</v>
      </c>
      <c r="AP465" t="s">
        <v>652</v>
      </c>
      <c r="AQ465" t="s">
        <v>74</v>
      </c>
      <c r="AR465" t="s">
        <v>653</v>
      </c>
      <c r="AS465" t="s">
        <v>654</v>
      </c>
      <c r="AT465" t="s">
        <v>74</v>
      </c>
      <c r="AU465">
        <v>2020</v>
      </c>
      <c r="AV465">
        <v>201</v>
      </c>
      <c r="AW465" t="s">
        <v>74</v>
      </c>
      <c r="AX465" t="s">
        <v>74</v>
      </c>
      <c r="AY465" t="s">
        <v>74</v>
      </c>
      <c r="AZ465" t="s">
        <v>74</v>
      </c>
      <c r="BA465" t="s">
        <v>6911</v>
      </c>
      <c r="BB465" t="s">
        <v>74</v>
      </c>
      <c r="BC465" t="s">
        <v>74</v>
      </c>
      <c r="BD465" t="s">
        <v>74</v>
      </c>
      <c r="BE465" t="s">
        <v>74</v>
      </c>
      <c r="BF465" t="s">
        <v>74</v>
      </c>
      <c r="BG465" t="s">
        <v>74</v>
      </c>
      <c r="BH465" t="s">
        <v>74</v>
      </c>
      <c r="BI465">
        <v>2</v>
      </c>
      <c r="BJ465" t="s">
        <v>341</v>
      </c>
      <c r="BK465" t="s">
        <v>512</v>
      </c>
      <c r="BL465" t="s">
        <v>342</v>
      </c>
      <c r="BM465" t="s">
        <v>6817</v>
      </c>
      <c r="BN465" t="s">
        <v>74</v>
      </c>
      <c r="BO465" t="s">
        <v>74</v>
      </c>
      <c r="BP465" t="s">
        <v>74</v>
      </c>
      <c r="BQ465" t="s">
        <v>74</v>
      </c>
      <c r="BR465" t="s">
        <v>104</v>
      </c>
      <c r="BS465" t="s">
        <v>6912</v>
      </c>
      <c r="BT465" t="str">
        <f>HYPERLINK("https%3A%2F%2Fwww.webofscience.com%2Fwos%2Fwoscc%2Ffull-record%2FWOS:000556393505195","View Full Record in Web of Science")</f>
        <v>View Full Record in Web of Science</v>
      </c>
    </row>
    <row r="466" spans="1:72" x14ac:dyDescent="0.25">
      <c r="A466" t="s">
        <v>72</v>
      </c>
      <c r="B466" t="s">
        <v>6913</v>
      </c>
      <c r="C466" t="s">
        <v>74</v>
      </c>
      <c r="D466" t="s">
        <v>74</v>
      </c>
      <c r="E466" t="s">
        <v>74</v>
      </c>
      <c r="F466" t="s">
        <v>6914</v>
      </c>
      <c r="G466" t="s">
        <v>74</v>
      </c>
      <c r="H466" t="s">
        <v>74</v>
      </c>
      <c r="I466" t="s">
        <v>6915</v>
      </c>
      <c r="J466" t="s">
        <v>637</v>
      </c>
      <c r="K466" t="s">
        <v>74</v>
      </c>
      <c r="L466" t="s">
        <v>74</v>
      </c>
      <c r="M466" t="s">
        <v>78</v>
      </c>
      <c r="N466" t="s">
        <v>52</v>
      </c>
      <c r="O466" t="s">
        <v>6808</v>
      </c>
      <c r="P466" t="s">
        <v>6809</v>
      </c>
      <c r="Q466" t="s">
        <v>4325</v>
      </c>
      <c r="R466" t="s">
        <v>2006</v>
      </c>
      <c r="S466" t="s">
        <v>74</v>
      </c>
      <c r="T466" t="s">
        <v>74</v>
      </c>
      <c r="U466" t="s">
        <v>74</v>
      </c>
      <c r="V466" t="s">
        <v>74</v>
      </c>
      <c r="W466" t="s">
        <v>6916</v>
      </c>
      <c r="X466" t="s">
        <v>6917</v>
      </c>
      <c r="Y466" t="s">
        <v>74</v>
      </c>
      <c r="Z466" t="s">
        <v>74</v>
      </c>
      <c r="AA466" t="s">
        <v>6918</v>
      </c>
      <c r="AB466" t="s">
        <v>74</v>
      </c>
      <c r="AC466" t="s">
        <v>4566</v>
      </c>
      <c r="AD466" t="s">
        <v>4566</v>
      </c>
      <c r="AE466" t="s">
        <v>4566</v>
      </c>
      <c r="AF466" t="s">
        <v>74</v>
      </c>
      <c r="AG466">
        <v>0</v>
      </c>
      <c r="AH466">
        <v>0</v>
      </c>
      <c r="AI466">
        <v>2</v>
      </c>
      <c r="AJ466">
        <v>1</v>
      </c>
      <c r="AK466">
        <v>2</v>
      </c>
      <c r="AL466" t="s">
        <v>649</v>
      </c>
      <c r="AM466" t="s">
        <v>486</v>
      </c>
      <c r="AN466" t="s">
        <v>650</v>
      </c>
      <c r="AO466" t="s">
        <v>651</v>
      </c>
      <c r="AP466" t="s">
        <v>652</v>
      </c>
      <c r="AQ466" t="s">
        <v>74</v>
      </c>
      <c r="AR466" t="s">
        <v>653</v>
      </c>
      <c r="AS466" t="s">
        <v>654</v>
      </c>
      <c r="AT466" t="s">
        <v>74</v>
      </c>
      <c r="AU466">
        <v>2020</v>
      </c>
      <c r="AV466">
        <v>201</v>
      </c>
      <c r="AW466" t="s">
        <v>74</v>
      </c>
      <c r="AX466" t="s">
        <v>74</v>
      </c>
      <c r="AY466" t="s">
        <v>74</v>
      </c>
      <c r="AZ466" t="s">
        <v>74</v>
      </c>
      <c r="BA466" t="s">
        <v>6919</v>
      </c>
      <c r="BB466" t="s">
        <v>74</v>
      </c>
      <c r="BC466" t="s">
        <v>74</v>
      </c>
      <c r="BD466" t="s">
        <v>74</v>
      </c>
      <c r="BE466" t="s">
        <v>74</v>
      </c>
      <c r="BF466" t="s">
        <v>74</v>
      </c>
      <c r="BG466" t="s">
        <v>74</v>
      </c>
      <c r="BH466" t="s">
        <v>74</v>
      </c>
      <c r="BI466">
        <v>2</v>
      </c>
      <c r="BJ466" t="s">
        <v>341</v>
      </c>
      <c r="BK466" t="s">
        <v>512</v>
      </c>
      <c r="BL466" t="s">
        <v>342</v>
      </c>
      <c r="BM466" t="s">
        <v>6817</v>
      </c>
      <c r="BN466" t="s">
        <v>74</v>
      </c>
      <c r="BO466" t="s">
        <v>74</v>
      </c>
      <c r="BP466" t="s">
        <v>74</v>
      </c>
      <c r="BQ466" t="s">
        <v>74</v>
      </c>
      <c r="BR466" t="s">
        <v>104</v>
      </c>
      <c r="BS466" t="s">
        <v>6920</v>
      </c>
      <c r="BT466" t="str">
        <f>HYPERLINK("https%3A%2F%2Fwww.webofscience.com%2Fwos%2Fwoscc%2Ffull-record%2FWOS:000556393503214","View Full Record in Web of Science")</f>
        <v>View Full Record in Web of Science</v>
      </c>
    </row>
    <row r="467" spans="1:72" x14ac:dyDescent="0.25">
      <c r="A467" t="s">
        <v>72</v>
      </c>
      <c r="B467" t="s">
        <v>6921</v>
      </c>
      <c r="C467" t="s">
        <v>74</v>
      </c>
      <c r="D467" t="s">
        <v>74</v>
      </c>
      <c r="E467" t="s">
        <v>74</v>
      </c>
      <c r="F467" t="s">
        <v>6922</v>
      </c>
      <c r="G467" t="s">
        <v>74</v>
      </c>
      <c r="H467" t="s">
        <v>74</v>
      </c>
      <c r="I467" t="s">
        <v>6923</v>
      </c>
      <c r="J467" t="s">
        <v>216</v>
      </c>
      <c r="K467" t="s">
        <v>74</v>
      </c>
      <c r="L467" t="s">
        <v>74</v>
      </c>
      <c r="M467" t="s">
        <v>78</v>
      </c>
      <c r="N467" t="s">
        <v>217</v>
      </c>
      <c r="O467" t="s">
        <v>74</v>
      </c>
      <c r="P467" t="s">
        <v>74</v>
      </c>
      <c r="Q467" t="s">
        <v>74</v>
      </c>
      <c r="R467" t="s">
        <v>74</v>
      </c>
      <c r="S467" t="s">
        <v>74</v>
      </c>
      <c r="T467" t="s">
        <v>74</v>
      </c>
      <c r="U467" t="s">
        <v>74</v>
      </c>
      <c r="V467" t="s">
        <v>74</v>
      </c>
      <c r="W467" t="s">
        <v>74</v>
      </c>
      <c r="X467" t="s">
        <v>74</v>
      </c>
      <c r="Y467" t="s">
        <v>74</v>
      </c>
      <c r="Z467" t="s">
        <v>74</v>
      </c>
      <c r="AA467" t="s">
        <v>6924</v>
      </c>
      <c r="AB467" t="s">
        <v>5709</v>
      </c>
      <c r="AC467" t="s">
        <v>74</v>
      </c>
      <c r="AD467" t="s">
        <v>74</v>
      </c>
      <c r="AE467" t="s">
        <v>74</v>
      </c>
      <c r="AF467" t="s">
        <v>74</v>
      </c>
      <c r="AG467">
        <v>1</v>
      </c>
      <c r="AH467">
        <v>0</v>
      </c>
      <c r="AI467">
        <v>0</v>
      </c>
      <c r="AJ467">
        <v>0</v>
      </c>
      <c r="AK467">
        <v>0</v>
      </c>
      <c r="AL467" t="s">
        <v>219</v>
      </c>
      <c r="AM467" t="s">
        <v>220</v>
      </c>
      <c r="AN467" t="s">
        <v>221</v>
      </c>
      <c r="AO467" t="s">
        <v>222</v>
      </c>
      <c r="AP467" t="s">
        <v>223</v>
      </c>
      <c r="AQ467" t="s">
        <v>74</v>
      </c>
      <c r="AR467" t="s">
        <v>224</v>
      </c>
      <c r="AS467" t="s">
        <v>225</v>
      </c>
      <c r="AT467" t="s">
        <v>1247</v>
      </c>
      <c r="AU467">
        <v>2020</v>
      </c>
      <c r="AV467">
        <v>55</v>
      </c>
      <c r="AW467">
        <v>1</v>
      </c>
      <c r="AX467" t="s">
        <v>74</v>
      </c>
      <c r="AY467" t="s">
        <v>74</v>
      </c>
      <c r="AZ467" t="s">
        <v>74</v>
      </c>
      <c r="BA467" t="s">
        <v>74</v>
      </c>
      <c r="BB467" t="s">
        <v>74</v>
      </c>
      <c r="BC467" t="s">
        <v>74</v>
      </c>
      <c r="BD467">
        <v>1950843</v>
      </c>
      <c r="BE467" t="s">
        <v>6925</v>
      </c>
      <c r="BF467" t="str">
        <f>HYPERLINK("http://dx.doi.org/10.1183/13993003.50585-2019","http://dx.doi.org/10.1183/13993003.50585-2019")</f>
        <v>http://dx.doi.org/10.1183/13993003.50585-2019</v>
      </c>
      <c r="BG467" t="s">
        <v>74</v>
      </c>
      <c r="BH467" t="s">
        <v>74</v>
      </c>
      <c r="BI467">
        <v>1</v>
      </c>
      <c r="BJ467" t="s">
        <v>228</v>
      </c>
      <c r="BK467" t="s">
        <v>101</v>
      </c>
      <c r="BL467" t="s">
        <v>228</v>
      </c>
      <c r="BM467" t="s">
        <v>6926</v>
      </c>
      <c r="BN467" t="s">
        <v>74</v>
      </c>
      <c r="BO467" t="s">
        <v>1194</v>
      </c>
      <c r="BP467" t="s">
        <v>74</v>
      </c>
      <c r="BQ467" t="s">
        <v>74</v>
      </c>
      <c r="BR467" t="s">
        <v>104</v>
      </c>
      <c r="BS467" t="s">
        <v>6927</v>
      </c>
      <c r="BT467" t="str">
        <f>HYPERLINK("https%3A%2F%2Fwww.webofscience.com%2Fwos%2Fwoscc%2Ffull-record%2FWOS:000512947900039","View Full Record in Web of Science")</f>
        <v>View Full Record in Web of Science</v>
      </c>
    </row>
    <row r="468" spans="1:72" x14ac:dyDescent="0.25">
      <c r="A468" t="s">
        <v>72</v>
      </c>
      <c r="B468" t="s">
        <v>6928</v>
      </c>
      <c r="C468" t="s">
        <v>74</v>
      </c>
      <c r="D468" t="s">
        <v>74</v>
      </c>
      <c r="E468" t="s">
        <v>74</v>
      </c>
      <c r="F468" t="s">
        <v>6929</v>
      </c>
      <c r="G468" t="s">
        <v>74</v>
      </c>
      <c r="H468" t="s">
        <v>74</v>
      </c>
      <c r="I468" t="s">
        <v>6930</v>
      </c>
      <c r="J468" t="s">
        <v>637</v>
      </c>
      <c r="K468" t="s">
        <v>74</v>
      </c>
      <c r="L468" t="s">
        <v>74</v>
      </c>
      <c r="M468" t="s">
        <v>78</v>
      </c>
      <c r="N468" t="s">
        <v>52</v>
      </c>
      <c r="O468" t="s">
        <v>2003</v>
      </c>
      <c r="P468" t="s">
        <v>6844</v>
      </c>
      <c r="Q468" t="s">
        <v>4325</v>
      </c>
      <c r="R468" t="s">
        <v>2006</v>
      </c>
      <c r="S468" t="s">
        <v>74</v>
      </c>
      <c r="T468" t="s">
        <v>74</v>
      </c>
      <c r="U468" t="s">
        <v>74</v>
      </c>
      <c r="V468" t="s">
        <v>74</v>
      </c>
      <c r="W468" t="s">
        <v>6931</v>
      </c>
      <c r="X468" t="s">
        <v>6932</v>
      </c>
      <c r="Y468" t="s">
        <v>74</v>
      </c>
      <c r="Z468" t="s">
        <v>74</v>
      </c>
      <c r="AA468" t="s">
        <v>6933</v>
      </c>
      <c r="AB468" t="s">
        <v>6934</v>
      </c>
      <c r="AC468" t="s">
        <v>6847</v>
      </c>
      <c r="AD468" t="s">
        <v>6848</v>
      </c>
      <c r="AE468" t="s">
        <v>6849</v>
      </c>
      <c r="AF468" t="s">
        <v>74</v>
      </c>
      <c r="AG468">
        <v>0</v>
      </c>
      <c r="AH468">
        <v>0</v>
      </c>
      <c r="AI468">
        <v>0</v>
      </c>
      <c r="AJ468">
        <v>0</v>
      </c>
      <c r="AK468">
        <v>1</v>
      </c>
      <c r="AL468" t="s">
        <v>649</v>
      </c>
      <c r="AM468" t="s">
        <v>486</v>
      </c>
      <c r="AN468" t="s">
        <v>650</v>
      </c>
      <c r="AO468" t="s">
        <v>651</v>
      </c>
      <c r="AP468" t="s">
        <v>652</v>
      </c>
      <c r="AQ468" t="s">
        <v>74</v>
      </c>
      <c r="AR468" t="s">
        <v>653</v>
      </c>
      <c r="AS468" t="s">
        <v>654</v>
      </c>
      <c r="AT468" t="s">
        <v>74</v>
      </c>
      <c r="AU468">
        <v>2020</v>
      </c>
      <c r="AV468">
        <v>201</v>
      </c>
      <c r="AW468" t="s">
        <v>74</v>
      </c>
      <c r="AX468" t="s">
        <v>74</v>
      </c>
      <c r="AY468" t="s">
        <v>74</v>
      </c>
      <c r="AZ468" t="s">
        <v>74</v>
      </c>
      <c r="BA468" t="s">
        <v>6935</v>
      </c>
      <c r="BB468" t="s">
        <v>74</v>
      </c>
      <c r="BC468" t="s">
        <v>74</v>
      </c>
      <c r="BD468" t="s">
        <v>74</v>
      </c>
      <c r="BE468" t="s">
        <v>74</v>
      </c>
      <c r="BF468" t="s">
        <v>74</v>
      </c>
      <c r="BG468" t="s">
        <v>74</v>
      </c>
      <c r="BH468" t="s">
        <v>74</v>
      </c>
      <c r="BI468">
        <v>2</v>
      </c>
      <c r="BJ468" t="s">
        <v>341</v>
      </c>
      <c r="BK468" t="s">
        <v>512</v>
      </c>
      <c r="BL468" t="s">
        <v>342</v>
      </c>
      <c r="BM468" t="s">
        <v>6851</v>
      </c>
      <c r="BN468" t="s">
        <v>74</v>
      </c>
      <c r="BO468" t="s">
        <v>74</v>
      </c>
      <c r="BP468" t="s">
        <v>74</v>
      </c>
      <c r="BQ468" t="s">
        <v>74</v>
      </c>
      <c r="BR468" t="s">
        <v>104</v>
      </c>
      <c r="BS468" t="s">
        <v>6936</v>
      </c>
      <c r="BT468" t="str">
        <f>HYPERLINK("https%3A%2F%2Fwww.webofscience.com%2Fwos%2Fwoscc%2Ffull-record%2FWOS:000556622802380","View Full Record in Web of Science")</f>
        <v>View Full Record in Web of Science</v>
      </c>
    </row>
    <row r="469" spans="1:72" x14ac:dyDescent="0.25">
      <c r="A469" t="s">
        <v>72</v>
      </c>
      <c r="B469" t="s">
        <v>6937</v>
      </c>
      <c r="C469" t="s">
        <v>74</v>
      </c>
      <c r="D469" t="s">
        <v>74</v>
      </c>
      <c r="E469" t="s">
        <v>74</v>
      </c>
      <c r="F469" t="s">
        <v>6938</v>
      </c>
      <c r="G469" t="s">
        <v>74</v>
      </c>
      <c r="H469" t="s">
        <v>6939</v>
      </c>
      <c r="I469" t="s">
        <v>6940</v>
      </c>
      <c r="J469" t="s">
        <v>216</v>
      </c>
      <c r="K469" t="s">
        <v>74</v>
      </c>
      <c r="L469" t="s">
        <v>74</v>
      </c>
      <c r="M469" t="s">
        <v>78</v>
      </c>
      <c r="N469" t="s">
        <v>79</v>
      </c>
      <c r="O469" t="s">
        <v>74</v>
      </c>
      <c r="P469" t="s">
        <v>74</v>
      </c>
      <c r="Q469" t="s">
        <v>74</v>
      </c>
      <c r="R469" t="s">
        <v>74</v>
      </c>
      <c r="S469" t="s">
        <v>74</v>
      </c>
      <c r="T469" t="s">
        <v>74</v>
      </c>
      <c r="U469" t="s">
        <v>6941</v>
      </c>
      <c r="V469" t="s">
        <v>6942</v>
      </c>
      <c r="W469" t="s">
        <v>6943</v>
      </c>
      <c r="X469" t="s">
        <v>6944</v>
      </c>
      <c r="Y469" t="s">
        <v>6945</v>
      </c>
      <c r="Z469" t="s">
        <v>6946</v>
      </c>
      <c r="AA469" t="s">
        <v>6947</v>
      </c>
      <c r="AB469" t="s">
        <v>6948</v>
      </c>
      <c r="AC469" t="s">
        <v>74</v>
      </c>
      <c r="AD469" t="s">
        <v>74</v>
      </c>
      <c r="AE469" t="s">
        <v>74</v>
      </c>
      <c r="AF469" t="s">
        <v>74</v>
      </c>
      <c r="AG469">
        <v>20</v>
      </c>
      <c r="AH469">
        <v>51</v>
      </c>
      <c r="AI469">
        <v>53</v>
      </c>
      <c r="AJ469">
        <v>0</v>
      </c>
      <c r="AK469">
        <v>25</v>
      </c>
      <c r="AL469" t="s">
        <v>219</v>
      </c>
      <c r="AM469" t="s">
        <v>220</v>
      </c>
      <c r="AN469" t="s">
        <v>221</v>
      </c>
      <c r="AO469" t="s">
        <v>222</v>
      </c>
      <c r="AP469" t="s">
        <v>223</v>
      </c>
      <c r="AQ469" t="s">
        <v>74</v>
      </c>
      <c r="AR469" t="s">
        <v>224</v>
      </c>
      <c r="AS469" t="s">
        <v>225</v>
      </c>
      <c r="AT469" t="s">
        <v>1247</v>
      </c>
      <c r="AU469">
        <v>2020</v>
      </c>
      <c r="AV469">
        <v>55</v>
      </c>
      <c r="AW469">
        <v>1</v>
      </c>
      <c r="AX469" t="s">
        <v>74</v>
      </c>
      <c r="AY469" t="s">
        <v>74</v>
      </c>
      <c r="AZ469" t="s">
        <v>74</v>
      </c>
      <c r="BA469" t="s">
        <v>74</v>
      </c>
      <c r="BB469" t="s">
        <v>74</v>
      </c>
      <c r="BC469" t="s">
        <v>74</v>
      </c>
      <c r="BD469">
        <v>1901163</v>
      </c>
      <c r="BE469" t="s">
        <v>6949</v>
      </c>
      <c r="BF469" t="str">
        <f>HYPERLINK("http://dx.doi.org/10.1183/13993003.01163-2019","http://dx.doi.org/10.1183/13993003.01163-2019")</f>
        <v>http://dx.doi.org/10.1183/13993003.01163-2019</v>
      </c>
      <c r="BG469" t="s">
        <v>74</v>
      </c>
      <c r="BH469" t="s">
        <v>74</v>
      </c>
      <c r="BI469">
        <v>14</v>
      </c>
      <c r="BJ469" t="s">
        <v>228</v>
      </c>
      <c r="BK469" t="s">
        <v>101</v>
      </c>
      <c r="BL469" t="s">
        <v>228</v>
      </c>
      <c r="BM469" t="s">
        <v>6926</v>
      </c>
      <c r="BN469">
        <v>31601713</v>
      </c>
      <c r="BO469" t="s">
        <v>6950</v>
      </c>
      <c r="BP469" t="s">
        <v>74</v>
      </c>
      <c r="BQ469" t="s">
        <v>74</v>
      </c>
      <c r="BR469" t="s">
        <v>104</v>
      </c>
      <c r="BS469" t="s">
        <v>6951</v>
      </c>
      <c r="BT469" t="str">
        <f>HYPERLINK("https%3A%2F%2Fwww.webofscience.com%2Fwos%2Fwoscc%2Ffull-record%2FWOS:000512947900012","View Full Record in Web of Science")</f>
        <v>View Full Record in Web of Science</v>
      </c>
    </row>
    <row r="470" spans="1:72" x14ac:dyDescent="0.25">
      <c r="A470" t="s">
        <v>72</v>
      </c>
      <c r="B470" t="s">
        <v>6952</v>
      </c>
      <c r="C470" t="s">
        <v>74</v>
      </c>
      <c r="D470" t="s">
        <v>74</v>
      </c>
      <c r="E470" t="s">
        <v>74</v>
      </c>
      <c r="F470" t="s">
        <v>6953</v>
      </c>
      <c r="G470" t="s">
        <v>74</v>
      </c>
      <c r="H470" t="s">
        <v>74</v>
      </c>
      <c r="I470" t="s">
        <v>6954</v>
      </c>
      <c r="J470" t="s">
        <v>814</v>
      </c>
      <c r="K470" t="s">
        <v>74</v>
      </c>
      <c r="L470" t="s">
        <v>74</v>
      </c>
      <c r="M470" t="s">
        <v>78</v>
      </c>
      <c r="N470" t="s">
        <v>140</v>
      </c>
      <c r="O470" t="s">
        <v>74</v>
      </c>
      <c r="P470" t="s">
        <v>74</v>
      </c>
      <c r="Q470" t="s">
        <v>74</v>
      </c>
      <c r="R470" t="s">
        <v>74</v>
      </c>
      <c r="S470" t="s">
        <v>74</v>
      </c>
      <c r="T470" t="s">
        <v>74</v>
      </c>
      <c r="U470" t="s">
        <v>74</v>
      </c>
      <c r="V470" t="s">
        <v>74</v>
      </c>
      <c r="W470" t="s">
        <v>6955</v>
      </c>
      <c r="X470" t="s">
        <v>6956</v>
      </c>
      <c r="Y470" t="s">
        <v>6957</v>
      </c>
      <c r="Z470" t="s">
        <v>5201</v>
      </c>
      <c r="AA470" t="s">
        <v>6958</v>
      </c>
      <c r="AB470" t="s">
        <v>6959</v>
      </c>
      <c r="AC470" t="s">
        <v>74</v>
      </c>
      <c r="AD470" t="s">
        <v>74</v>
      </c>
      <c r="AE470" t="s">
        <v>74</v>
      </c>
      <c r="AF470" t="s">
        <v>74</v>
      </c>
      <c r="AG470">
        <v>10</v>
      </c>
      <c r="AH470">
        <v>9</v>
      </c>
      <c r="AI470">
        <v>9</v>
      </c>
      <c r="AJ470">
        <v>0</v>
      </c>
      <c r="AK470">
        <v>6</v>
      </c>
      <c r="AL470" t="s">
        <v>219</v>
      </c>
      <c r="AM470" t="s">
        <v>220</v>
      </c>
      <c r="AN470" t="s">
        <v>221</v>
      </c>
      <c r="AO470" t="s">
        <v>823</v>
      </c>
      <c r="AP470" t="s">
        <v>824</v>
      </c>
      <c r="AQ470" t="s">
        <v>74</v>
      </c>
      <c r="AR470" t="s">
        <v>825</v>
      </c>
      <c r="AS470" t="s">
        <v>826</v>
      </c>
      <c r="AT470" t="s">
        <v>3865</v>
      </c>
      <c r="AU470">
        <v>2019</v>
      </c>
      <c r="AV470">
        <v>28</v>
      </c>
      <c r="AW470">
        <v>154</v>
      </c>
      <c r="AX470" t="s">
        <v>74</v>
      </c>
      <c r="AY470" t="s">
        <v>74</v>
      </c>
      <c r="AZ470" t="s">
        <v>74</v>
      </c>
      <c r="BA470" t="s">
        <v>74</v>
      </c>
      <c r="BB470" t="s">
        <v>74</v>
      </c>
      <c r="BC470" t="s">
        <v>74</v>
      </c>
      <c r="BD470">
        <v>190128</v>
      </c>
      <c r="BE470" t="s">
        <v>6960</v>
      </c>
      <c r="BF470" t="str">
        <f>HYPERLINK("http://dx.doi.org/10.1183/16000617.0128-2019","http://dx.doi.org/10.1183/16000617.0128-2019")</f>
        <v>http://dx.doi.org/10.1183/16000617.0128-2019</v>
      </c>
      <c r="BG470" t="s">
        <v>74</v>
      </c>
      <c r="BH470" t="s">
        <v>74</v>
      </c>
      <c r="BI470">
        <v>2</v>
      </c>
      <c r="BJ470" t="s">
        <v>228</v>
      </c>
      <c r="BK470" t="s">
        <v>101</v>
      </c>
      <c r="BL470" t="s">
        <v>228</v>
      </c>
      <c r="BM470" t="s">
        <v>6961</v>
      </c>
      <c r="BN470">
        <v>31852747</v>
      </c>
      <c r="BO470" t="s">
        <v>809</v>
      </c>
      <c r="BP470" t="s">
        <v>74</v>
      </c>
      <c r="BQ470" t="s">
        <v>74</v>
      </c>
      <c r="BR470" t="s">
        <v>104</v>
      </c>
      <c r="BS470" t="s">
        <v>6962</v>
      </c>
      <c r="BT470" t="str">
        <f>HYPERLINK("https%3A%2F%2Fwww.webofscience.com%2Fwos%2Fwoscc%2Ffull-record%2FWOS:000510163500014","View Full Record in Web of Science")</f>
        <v>View Full Record in Web of Science</v>
      </c>
    </row>
    <row r="471" spans="1:72" x14ac:dyDescent="0.25">
      <c r="A471" t="s">
        <v>72</v>
      </c>
      <c r="B471" t="s">
        <v>5041</v>
      </c>
      <c r="C471" t="s">
        <v>74</v>
      </c>
      <c r="D471" t="s">
        <v>74</v>
      </c>
      <c r="E471" t="s">
        <v>74</v>
      </c>
      <c r="F471" t="s">
        <v>5042</v>
      </c>
      <c r="G471" t="s">
        <v>74</v>
      </c>
      <c r="H471" t="s">
        <v>74</v>
      </c>
      <c r="I471" t="s">
        <v>6963</v>
      </c>
      <c r="J471" t="s">
        <v>324</v>
      </c>
      <c r="K471" t="s">
        <v>74</v>
      </c>
      <c r="L471" t="s">
        <v>74</v>
      </c>
      <c r="M471" t="s">
        <v>78</v>
      </c>
      <c r="N471" t="s">
        <v>140</v>
      </c>
      <c r="O471" t="s">
        <v>74</v>
      </c>
      <c r="P471" t="s">
        <v>74</v>
      </c>
      <c r="Q471" t="s">
        <v>74</v>
      </c>
      <c r="R471" t="s">
        <v>74</v>
      </c>
      <c r="S471" t="s">
        <v>74</v>
      </c>
      <c r="T471" t="s">
        <v>74</v>
      </c>
      <c r="U471" t="s">
        <v>6964</v>
      </c>
      <c r="V471" t="s">
        <v>74</v>
      </c>
      <c r="W471" t="s">
        <v>6965</v>
      </c>
      <c r="X471" t="s">
        <v>6966</v>
      </c>
      <c r="Y471" t="s">
        <v>6967</v>
      </c>
      <c r="Z471" t="s">
        <v>377</v>
      </c>
      <c r="AA471" t="s">
        <v>144</v>
      </c>
      <c r="AB471" t="s">
        <v>74</v>
      </c>
      <c r="AC471" t="s">
        <v>74</v>
      </c>
      <c r="AD471" t="s">
        <v>74</v>
      </c>
      <c r="AE471" t="s">
        <v>74</v>
      </c>
      <c r="AF471" t="s">
        <v>74</v>
      </c>
      <c r="AG471">
        <v>25</v>
      </c>
      <c r="AH471">
        <v>7</v>
      </c>
      <c r="AI471">
        <v>8</v>
      </c>
      <c r="AJ471">
        <v>0</v>
      </c>
      <c r="AK471">
        <v>2</v>
      </c>
      <c r="AL471" t="s">
        <v>92</v>
      </c>
      <c r="AM471" t="s">
        <v>93</v>
      </c>
      <c r="AN471" t="s">
        <v>94</v>
      </c>
      <c r="AO471" t="s">
        <v>337</v>
      </c>
      <c r="AP471" t="s">
        <v>338</v>
      </c>
      <c r="AQ471" t="s">
        <v>74</v>
      </c>
      <c r="AR471" t="s">
        <v>324</v>
      </c>
      <c r="AS471" t="s">
        <v>339</v>
      </c>
      <c r="AT471" t="s">
        <v>226</v>
      </c>
      <c r="AU471">
        <v>2019</v>
      </c>
      <c r="AV471">
        <v>156</v>
      </c>
      <c r="AW471">
        <v>6</v>
      </c>
      <c r="AX471" t="s">
        <v>74</v>
      </c>
      <c r="AY471" t="s">
        <v>74</v>
      </c>
      <c r="AZ471" t="s">
        <v>74</v>
      </c>
      <c r="BA471" t="s">
        <v>74</v>
      </c>
      <c r="BB471">
        <v>1039</v>
      </c>
      <c r="BC471">
        <v>1042</v>
      </c>
      <c r="BD471" t="s">
        <v>74</v>
      </c>
      <c r="BE471" t="s">
        <v>6968</v>
      </c>
      <c r="BF471" t="str">
        <f>HYPERLINK("http://dx.doi.org/10.1016/j.chest.2019.07.005","http://dx.doi.org/10.1016/j.chest.2019.07.005")</f>
        <v>http://dx.doi.org/10.1016/j.chest.2019.07.005</v>
      </c>
      <c r="BG471" t="s">
        <v>74</v>
      </c>
      <c r="BH471" t="s">
        <v>74</v>
      </c>
      <c r="BI471">
        <v>4</v>
      </c>
      <c r="BJ471" t="s">
        <v>341</v>
      </c>
      <c r="BK471" t="s">
        <v>101</v>
      </c>
      <c r="BL471" t="s">
        <v>342</v>
      </c>
      <c r="BM471" t="s">
        <v>6969</v>
      </c>
      <c r="BN471">
        <v>31812188</v>
      </c>
      <c r="BO471" t="s">
        <v>1194</v>
      </c>
      <c r="BP471" t="s">
        <v>74</v>
      </c>
      <c r="BQ471" t="s">
        <v>74</v>
      </c>
      <c r="BR471" t="s">
        <v>104</v>
      </c>
      <c r="BS471" t="s">
        <v>6970</v>
      </c>
      <c r="BT471" t="str">
        <f>HYPERLINK("https%3A%2F%2Fwww.webofscience.com%2Fwos%2Fwoscc%2Ffull-record%2FWOS:000500923700009","View Full Record in Web of Science")</f>
        <v>View Full Record in Web of Science</v>
      </c>
    </row>
    <row r="472" spans="1:72" x14ac:dyDescent="0.25">
      <c r="A472" t="s">
        <v>72</v>
      </c>
      <c r="B472" t="s">
        <v>5041</v>
      </c>
      <c r="C472" t="s">
        <v>74</v>
      </c>
      <c r="D472" t="s">
        <v>74</v>
      </c>
      <c r="E472" t="s">
        <v>74</v>
      </c>
      <c r="F472" t="s">
        <v>5042</v>
      </c>
      <c r="G472" t="s">
        <v>74</v>
      </c>
      <c r="H472" t="s">
        <v>74</v>
      </c>
      <c r="I472" t="s">
        <v>6971</v>
      </c>
      <c r="J472" t="s">
        <v>324</v>
      </c>
      <c r="K472" t="s">
        <v>74</v>
      </c>
      <c r="L472" t="s">
        <v>74</v>
      </c>
      <c r="M472" t="s">
        <v>78</v>
      </c>
      <c r="N472" t="s">
        <v>140</v>
      </c>
      <c r="O472" t="s">
        <v>74</v>
      </c>
      <c r="P472" t="s">
        <v>74</v>
      </c>
      <c r="Q472" t="s">
        <v>74</v>
      </c>
      <c r="R472" t="s">
        <v>74</v>
      </c>
      <c r="S472" t="s">
        <v>74</v>
      </c>
      <c r="T472" t="s">
        <v>74</v>
      </c>
      <c r="U472" t="s">
        <v>74</v>
      </c>
      <c r="V472" t="s">
        <v>74</v>
      </c>
      <c r="W472" t="s">
        <v>6972</v>
      </c>
      <c r="X472" t="s">
        <v>6973</v>
      </c>
      <c r="Y472" t="s">
        <v>6967</v>
      </c>
      <c r="Z472" t="s">
        <v>377</v>
      </c>
      <c r="AA472" t="s">
        <v>144</v>
      </c>
      <c r="AB472" t="s">
        <v>74</v>
      </c>
      <c r="AC472" t="s">
        <v>74</v>
      </c>
      <c r="AD472" t="s">
        <v>74</v>
      </c>
      <c r="AE472" t="s">
        <v>74</v>
      </c>
      <c r="AF472" t="s">
        <v>74</v>
      </c>
      <c r="AG472">
        <v>7</v>
      </c>
      <c r="AH472">
        <v>0</v>
      </c>
      <c r="AI472">
        <v>0</v>
      </c>
      <c r="AJ472">
        <v>0</v>
      </c>
      <c r="AK472">
        <v>0</v>
      </c>
      <c r="AL472" t="s">
        <v>92</v>
      </c>
      <c r="AM472" t="s">
        <v>93</v>
      </c>
      <c r="AN472" t="s">
        <v>94</v>
      </c>
      <c r="AO472" t="s">
        <v>337</v>
      </c>
      <c r="AP472" t="s">
        <v>338</v>
      </c>
      <c r="AQ472" t="s">
        <v>74</v>
      </c>
      <c r="AR472" t="s">
        <v>324</v>
      </c>
      <c r="AS472" t="s">
        <v>339</v>
      </c>
      <c r="AT472" t="s">
        <v>226</v>
      </c>
      <c r="AU472">
        <v>2019</v>
      </c>
      <c r="AV472">
        <v>156</v>
      </c>
      <c r="AW472">
        <v>6</v>
      </c>
      <c r="AX472" t="s">
        <v>74</v>
      </c>
      <c r="AY472" t="s">
        <v>74</v>
      </c>
      <c r="AZ472" t="s">
        <v>74</v>
      </c>
      <c r="BA472" t="s">
        <v>74</v>
      </c>
      <c r="BB472">
        <v>1045</v>
      </c>
      <c r="BC472">
        <v>1046</v>
      </c>
      <c r="BD472" t="s">
        <v>74</v>
      </c>
      <c r="BE472" t="s">
        <v>6974</v>
      </c>
      <c r="BF472" t="str">
        <f>HYPERLINK("http://dx.doi.org/10.1016/j.chest.2019.07.003","http://dx.doi.org/10.1016/j.chest.2019.07.003")</f>
        <v>http://dx.doi.org/10.1016/j.chest.2019.07.003</v>
      </c>
      <c r="BG472" t="s">
        <v>74</v>
      </c>
      <c r="BH472" t="s">
        <v>74</v>
      </c>
      <c r="BI472">
        <v>3</v>
      </c>
      <c r="BJ472" t="s">
        <v>341</v>
      </c>
      <c r="BK472" t="s">
        <v>101</v>
      </c>
      <c r="BL472" t="s">
        <v>342</v>
      </c>
      <c r="BM472" t="s">
        <v>6969</v>
      </c>
      <c r="BN472">
        <v>31812190</v>
      </c>
      <c r="BO472" t="s">
        <v>1194</v>
      </c>
      <c r="BP472" t="s">
        <v>74</v>
      </c>
      <c r="BQ472" t="s">
        <v>74</v>
      </c>
      <c r="BR472" t="s">
        <v>104</v>
      </c>
      <c r="BS472" t="s">
        <v>6975</v>
      </c>
      <c r="BT472" t="str">
        <f>HYPERLINK("https%3A%2F%2Fwww.webofscience.com%2Fwos%2Fwoscc%2Ffull-record%2FWOS:000500923700011","View Full Record in Web of Science")</f>
        <v>View Full Record in Web of Science</v>
      </c>
    </row>
    <row r="473" spans="1:72" x14ac:dyDescent="0.25">
      <c r="A473" t="s">
        <v>72</v>
      </c>
      <c r="B473" t="s">
        <v>6725</v>
      </c>
      <c r="C473" t="s">
        <v>74</v>
      </c>
      <c r="D473" t="s">
        <v>74</v>
      </c>
      <c r="E473" t="s">
        <v>74</v>
      </c>
      <c r="F473" t="s">
        <v>6976</v>
      </c>
      <c r="G473" t="s">
        <v>74</v>
      </c>
      <c r="H473" t="s">
        <v>74</v>
      </c>
      <c r="I473" t="s">
        <v>6977</v>
      </c>
      <c r="J473" t="s">
        <v>6978</v>
      </c>
      <c r="K473" t="s">
        <v>74</v>
      </c>
      <c r="L473" t="s">
        <v>74</v>
      </c>
      <c r="M473" t="s">
        <v>78</v>
      </c>
      <c r="N473" t="s">
        <v>52</v>
      </c>
      <c r="O473" t="s">
        <v>6979</v>
      </c>
      <c r="P473" t="s">
        <v>6980</v>
      </c>
      <c r="Q473" t="s">
        <v>6981</v>
      </c>
      <c r="R473" t="s">
        <v>6982</v>
      </c>
      <c r="S473" t="s">
        <v>74</v>
      </c>
      <c r="T473" t="s">
        <v>74</v>
      </c>
      <c r="U473" t="s">
        <v>74</v>
      </c>
      <c r="V473" t="s">
        <v>74</v>
      </c>
      <c r="W473" t="s">
        <v>6983</v>
      </c>
      <c r="X473" t="s">
        <v>6984</v>
      </c>
      <c r="Y473" t="s">
        <v>74</v>
      </c>
      <c r="Z473" t="s">
        <v>74</v>
      </c>
      <c r="AA473" t="s">
        <v>144</v>
      </c>
      <c r="AB473" t="s">
        <v>74</v>
      </c>
      <c r="AC473" t="s">
        <v>74</v>
      </c>
      <c r="AD473" t="s">
        <v>74</v>
      </c>
      <c r="AE473" t="s">
        <v>74</v>
      </c>
      <c r="AF473" t="s">
        <v>74</v>
      </c>
      <c r="AG473">
        <v>0</v>
      </c>
      <c r="AH473">
        <v>1</v>
      </c>
      <c r="AI473">
        <v>1</v>
      </c>
      <c r="AJ473">
        <v>0</v>
      </c>
      <c r="AK473">
        <v>0</v>
      </c>
      <c r="AL473" t="s">
        <v>2590</v>
      </c>
      <c r="AM473" t="s">
        <v>201</v>
      </c>
      <c r="AN473" t="s">
        <v>2591</v>
      </c>
      <c r="AO473" t="s">
        <v>6985</v>
      </c>
      <c r="AP473" t="s">
        <v>6986</v>
      </c>
      <c r="AQ473" t="s">
        <v>74</v>
      </c>
      <c r="AR473" t="s">
        <v>6978</v>
      </c>
      <c r="AS473" t="s">
        <v>6987</v>
      </c>
      <c r="AT473" t="s">
        <v>226</v>
      </c>
      <c r="AU473">
        <v>2019</v>
      </c>
      <c r="AV473">
        <v>74</v>
      </c>
      <c r="AW473" t="s">
        <v>74</v>
      </c>
      <c r="AX473" t="s">
        <v>74</v>
      </c>
      <c r="AY473">
        <v>2</v>
      </c>
      <c r="AZ473" t="s">
        <v>74</v>
      </c>
      <c r="BA473" t="s">
        <v>6988</v>
      </c>
      <c r="BB473" t="s">
        <v>6989</v>
      </c>
      <c r="BC473" t="s">
        <v>6990</v>
      </c>
      <c r="BD473" t="s">
        <v>74</v>
      </c>
      <c r="BE473" t="s">
        <v>6991</v>
      </c>
      <c r="BF473" t="str">
        <f>HYPERLINK("http://dx.doi.org/10.1136/thorax-2019-BTSabstracts2019.56","http://dx.doi.org/10.1136/thorax-2019-BTSabstracts2019.56")</f>
        <v>http://dx.doi.org/10.1136/thorax-2019-BTSabstracts2019.56</v>
      </c>
      <c r="BG473" t="s">
        <v>74</v>
      </c>
      <c r="BH473" t="s">
        <v>74</v>
      </c>
      <c r="BI473">
        <v>2</v>
      </c>
      <c r="BJ473" t="s">
        <v>228</v>
      </c>
      <c r="BK473" t="s">
        <v>512</v>
      </c>
      <c r="BL473" t="s">
        <v>228</v>
      </c>
      <c r="BM473" t="s">
        <v>6992</v>
      </c>
      <c r="BN473" t="s">
        <v>74</v>
      </c>
      <c r="BO473" t="s">
        <v>74</v>
      </c>
      <c r="BP473" t="s">
        <v>74</v>
      </c>
      <c r="BQ473" t="s">
        <v>74</v>
      </c>
      <c r="BR473" t="s">
        <v>104</v>
      </c>
      <c r="BS473" t="s">
        <v>6993</v>
      </c>
      <c r="BT473" t="str">
        <f>HYPERLINK("https%3A%2F%2Fwww.webofscience.com%2Fwos%2Fwoscc%2Ffull-record%2FWOS:000572473500056","View Full Record in Web of Science")</f>
        <v>View Full Record in Web of Science</v>
      </c>
    </row>
    <row r="474" spans="1:72" x14ac:dyDescent="0.25">
      <c r="A474" t="s">
        <v>72</v>
      </c>
      <c r="B474" t="s">
        <v>6994</v>
      </c>
      <c r="C474" t="s">
        <v>74</v>
      </c>
      <c r="D474" t="s">
        <v>74</v>
      </c>
      <c r="E474" t="s">
        <v>74</v>
      </c>
      <c r="F474" t="s">
        <v>6995</v>
      </c>
      <c r="G474" t="s">
        <v>74</v>
      </c>
      <c r="H474" t="s">
        <v>74</v>
      </c>
      <c r="I474" t="s">
        <v>6996</v>
      </c>
      <c r="J474" t="s">
        <v>6997</v>
      </c>
      <c r="K474" t="s">
        <v>74</v>
      </c>
      <c r="L474" t="s">
        <v>74</v>
      </c>
      <c r="M474" t="s">
        <v>78</v>
      </c>
      <c r="N474" t="s">
        <v>79</v>
      </c>
      <c r="O474" t="s">
        <v>74</v>
      </c>
      <c r="P474" t="s">
        <v>74</v>
      </c>
      <c r="Q474" t="s">
        <v>74</v>
      </c>
      <c r="R474" t="s">
        <v>74</v>
      </c>
      <c r="S474" t="s">
        <v>74</v>
      </c>
      <c r="T474" t="s">
        <v>6998</v>
      </c>
      <c r="U474" t="s">
        <v>6999</v>
      </c>
      <c r="V474" t="s">
        <v>7000</v>
      </c>
      <c r="W474" t="s">
        <v>7001</v>
      </c>
      <c r="X474" t="s">
        <v>7002</v>
      </c>
      <c r="Y474" t="s">
        <v>7003</v>
      </c>
      <c r="Z474" t="s">
        <v>7004</v>
      </c>
      <c r="AA474" t="s">
        <v>7005</v>
      </c>
      <c r="AB474" t="s">
        <v>74</v>
      </c>
      <c r="AC474" t="s">
        <v>7006</v>
      </c>
      <c r="AD474" t="s">
        <v>7006</v>
      </c>
      <c r="AE474" t="s">
        <v>7007</v>
      </c>
      <c r="AF474" t="s">
        <v>74</v>
      </c>
      <c r="AG474">
        <v>87</v>
      </c>
      <c r="AH474">
        <v>48</v>
      </c>
      <c r="AI474">
        <v>48</v>
      </c>
      <c r="AJ474">
        <v>1</v>
      </c>
      <c r="AK474">
        <v>7</v>
      </c>
      <c r="AL474" t="s">
        <v>1073</v>
      </c>
      <c r="AM474" t="s">
        <v>1074</v>
      </c>
      <c r="AN474" t="s">
        <v>1075</v>
      </c>
      <c r="AO474" t="s">
        <v>7008</v>
      </c>
      <c r="AP474" t="s">
        <v>7009</v>
      </c>
      <c r="AQ474" t="s">
        <v>74</v>
      </c>
      <c r="AR474" t="s">
        <v>7010</v>
      </c>
      <c r="AS474" t="s">
        <v>7011</v>
      </c>
      <c r="AT474" t="s">
        <v>226</v>
      </c>
      <c r="AU474">
        <v>2019</v>
      </c>
      <c r="AV474">
        <v>21</v>
      </c>
      <c r="AW474" t="s">
        <v>7012</v>
      </c>
      <c r="AX474" t="s">
        <v>74</v>
      </c>
      <c r="AY474" t="s">
        <v>74</v>
      </c>
      <c r="AZ474" t="s">
        <v>74</v>
      </c>
      <c r="BA474" t="s">
        <v>74</v>
      </c>
      <c r="BB474">
        <v>9</v>
      </c>
      <c r="BC474">
        <v>20</v>
      </c>
      <c r="BD474" t="s">
        <v>74</v>
      </c>
      <c r="BE474" t="s">
        <v>7013</v>
      </c>
      <c r="BF474" t="str">
        <f>HYPERLINK("http://dx.doi.org/10.1093/eurheartj/suz204","http://dx.doi.org/10.1093/eurheartj/suz204")</f>
        <v>http://dx.doi.org/10.1093/eurheartj/suz204</v>
      </c>
      <c r="BG474" t="s">
        <v>74</v>
      </c>
      <c r="BH474" t="s">
        <v>74</v>
      </c>
      <c r="BI474">
        <v>12</v>
      </c>
      <c r="BJ474" t="s">
        <v>132</v>
      </c>
      <c r="BK474" t="s">
        <v>101</v>
      </c>
      <c r="BL474" t="s">
        <v>133</v>
      </c>
      <c r="BM474" t="s">
        <v>7014</v>
      </c>
      <c r="BN474">
        <v>31857796</v>
      </c>
      <c r="BO474" t="s">
        <v>7015</v>
      </c>
      <c r="BP474" t="s">
        <v>74</v>
      </c>
      <c r="BQ474" t="s">
        <v>74</v>
      </c>
      <c r="BR474" t="s">
        <v>104</v>
      </c>
      <c r="BS474" t="s">
        <v>7016</v>
      </c>
      <c r="BT474" t="str">
        <f>HYPERLINK("https%3A%2F%2Fwww.webofscience.com%2Fwos%2Fwoscc%2Ffull-record%2FWOS:000514867100003","View Full Record in Web of Science")</f>
        <v>View Full Record in Web of Science</v>
      </c>
    </row>
    <row r="475" spans="1:72" x14ac:dyDescent="0.25">
      <c r="A475" t="s">
        <v>72</v>
      </c>
      <c r="B475" t="s">
        <v>6921</v>
      </c>
      <c r="C475" t="s">
        <v>74</v>
      </c>
      <c r="D475" t="s">
        <v>74</v>
      </c>
      <c r="E475" t="s">
        <v>74</v>
      </c>
      <c r="F475" t="s">
        <v>6922</v>
      </c>
      <c r="G475" t="s">
        <v>74</v>
      </c>
      <c r="H475" t="s">
        <v>74</v>
      </c>
      <c r="I475" t="s">
        <v>7017</v>
      </c>
      <c r="J475" t="s">
        <v>216</v>
      </c>
      <c r="K475" t="s">
        <v>74</v>
      </c>
      <c r="L475" t="s">
        <v>74</v>
      </c>
      <c r="M475" t="s">
        <v>78</v>
      </c>
      <c r="N475" t="s">
        <v>79</v>
      </c>
      <c r="O475" t="s">
        <v>74</v>
      </c>
      <c r="P475" t="s">
        <v>74</v>
      </c>
      <c r="Q475" t="s">
        <v>74</v>
      </c>
      <c r="R475" t="s">
        <v>74</v>
      </c>
      <c r="S475" t="s">
        <v>74</v>
      </c>
      <c r="T475" t="s">
        <v>74</v>
      </c>
      <c r="U475" t="s">
        <v>7018</v>
      </c>
      <c r="V475" t="s">
        <v>7019</v>
      </c>
      <c r="W475" t="s">
        <v>7020</v>
      </c>
      <c r="X475" t="s">
        <v>7021</v>
      </c>
      <c r="Y475" t="s">
        <v>7022</v>
      </c>
      <c r="Z475" t="s">
        <v>86</v>
      </c>
      <c r="AA475" t="s">
        <v>7023</v>
      </c>
      <c r="AB475" t="s">
        <v>7024</v>
      </c>
      <c r="AC475" t="s">
        <v>74</v>
      </c>
      <c r="AD475" t="s">
        <v>74</v>
      </c>
      <c r="AE475" t="s">
        <v>74</v>
      </c>
      <c r="AF475" t="s">
        <v>74</v>
      </c>
      <c r="AG475">
        <v>28</v>
      </c>
      <c r="AH475">
        <v>22</v>
      </c>
      <c r="AI475">
        <v>22</v>
      </c>
      <c r="AJ475">
        <v>0</v>
      </c>
      <c r="AK475">
        <v>0</v>
      </c>
      <c r="AL475" t="s">
        <v>219</v>
      </c>
      <c r="AM475" t="s">
        <v>220</v>
      </c>
      <c r="AN475" t="s">
        <v>221</v>
      </c>
      <c r="AO475" t="s">
        <v>222</v>
      </c>
      <c r="AP475" t="s">
        <v>223</v>
      </c>
      <c r="AQ475" t="s">
        <v>74</v>
      </c>
      <c r="AR475" t="s">
        <v>224</v>
      </c>
      <c r="AS475" t="s">
        <v>225</v>
      </c>
      <c r="AT475" t="s">
        <v>2689</v>
      </c>
      <c r="AU475">
        <v>2019</v>
      </c>
      <c r="AV475">
        <v>54</v>
      </c>
      <c r="AW475">
        <v>6</v>
      </c>
      <c r="AX475" t="s">
        <v>74</v>
      </c>
      <c r="AY475" t="s">
        <v>74</v>
      </c>
      <c r="AZ475" t="s">
        <v>74</v>
      </c>
      <c r="BA475" t="s">
        <v>74</v>
      </c>
      <c r="BB475" t="s">
        <v>74</v>
      </c>
      <c r="BC475" t="s">
        <v>74</v>
      </c>
      <c r="BD475">
        <v>1900585</v>
      </c>
      <c r="BE475" t="s">
        <v>7025</v>
      </c>
      <c r="BF475" t="str">
        <f>HYPERLINK("http://dx.doi.org/10.1183/13993003.00585-2019","http://dx.doi.org/10.1183/13993003.00585-2019")</f>
        <v>http://dx.doi.org/10.1183/13993003.00585-2019</v>
      </c>
      <c r="BG475" t="s">
        <v>74</v>
      </c>
      <c r="BH475" t="s">
        <v>74</v>
      </c>
      <c r="BI475">
        <v>11</v>
      </c>
      <c r="BJ475" t="s">
        <v>228</v>
      </c>
      <c r="BK475" t="s">
        <v>101</v>
      </c>
      <c r="BL475" t="s">
        <v>228</v>
      </c>
      <c r="BM475" t="s">
        <v>7026</v>
      </c>
      <c r="BN475">
        <v>31537700</v>
      </c>
      <c r="BO475" t="s">
        <v>1194</v>
      </c>
      <c r="BP475" t="s">
        <v>74</v>
      </c>
      <c r="BQ475" t="s">
        <v>74</v>
      </c>
      <c r="BR475" t="s">
        <v>104</v>
      </c>
      <c r="BS475" t="s">
        <v>7027</v>
      </c>
      <c r="BT475" t="str">
        <f>HYPERLINK("https%3A%2F%2Fwww.webofscience.com%2Fwos%2Fwoscc%2Ffull-record%2FWOS:000505226200008","View Full Record in Web of Science")</f>
        <v>View Full Record in Web of Science</v>
      </c>
    </row>
    <row r="476" spans="1:72" x14ac:dyDescent="0.25">
      <c r="A476" t="s">
        <v>72</v>
      </c>
      <c r="B476" t="s">
        <v>7028</v>
      </c>
      <c r="C476" t="s">
        <v>74</v>
      </c>
      <c r="D476" t="s">
        <v>74</v>
      </c>
      <c r="E476" t="s">
        <v>74</v>
      </c>
      <c r="F476" t="s">
        <v>7029</v>
      </c>
      <c r="G476" t="s">
        <v>74</v>
      </c>
      <c r="H476" t="s">
        <v>74</v>
      </c>
      <c r="I476" t="s">
        <v>7030</v>
      </c>
      <c r="J476" t="s">
        <v>251</v>
      </c>
      <c r="K476" t="s">
        <v>74</v>
      </c>
      <c r="L476" t="s">
        <v>74</v>
      </c>
      <c r="M476" t="s">
        <v>78</v>
      </c>
      <c r="N476" t="s">
        <v>52</v>
      </c>
      <c r="O476" t="s">
        <v>7031</v>
      </c>
      <c r="P476" t="s">
        <v>7032</v>
      </c>
      <c r="Q476" t="s">
        <v>1375</v>
      </c>
      <c r="R476" t="s">
        <v>1376</v>
      </c>
      <c r="S476" t="s">
        <v>74</v>
      </c>
      <c r="T476" t="s">
        <v>74</v>
      </c>
      <c r="U476" t="s">
        <v>74</v>
      </c>
      <c r="V476" t="s">
        <v>74</v>
      </c>
      <c r="W476" t="s">
        <v>74</v>
      </c>
      <c r="X476" t="s">
        <v>74</v>
      </c>
      <c r="Y476" t="s">
        <v>74</v>
      </c>
      <c r="Z476" t="s">
        <v>74</v>
      </c>
      <c r="AA476" t="s">
        <v>3417</v>
      </c>
      <c r="AB476" t="s">
        <v>5709</v>
      </c>
      <c r="AC476" t="s">
        <v>74</v>
      </c>
      <c r="AD476" t="s">
        <v>74</v>
      </c>
      <c r="AE476" t="s">
        <v>74</v>
      </c>
      <c r="AF476" t="s">
        <v>74</v>
      </c>
      <c r="AG476">
        <v>0</v>
      </c>
      <c r="AH476">
        <v>2</v>
      </c>
      <c r="AI476">
        <v>2</v>
      </c>
      <c r="AJ476">
        <v>0</v>
      </c>
      <c r="AK476">
        <v>0</v>
      </c>
      <c r="AL476" t="s">
        <v>122</v>
      </c>
      <c r="AM476" t="s">
        <v>123</v>
      </c>
      <c r="AN476" t="s">
        <v>124</v>
      </c>
      <c r="AO476" t="s">
        <v>258</v>
      </c>
      <c r="AP476" t="s">
        <v>259</v>
      </c>
      <c r="AQ476" t="s">
        <v>74</v>
      </c>
      <c r="AR476" t="s">
        <v>251</v>
      </c>
      <c r="AS476" t="s">
        <v>260</v>
      </c>
      <c r="AT476" t="s">
        <v>261</v>
      </c>
      <c r="AU476">
        <v>2019</v>
      </c>
      <c r="AV476">
        <v>140</v>
      </c>
      <c r="AW476" t="s">
        <v>74</v>
      </c>
      <c r="AX476" t="s">
        <v>74</v>
      </c>
      <c r="AY476">
        <v>1</v>
      </c>
      <c r="AZ476" t="s">
        <v>74</v>
      </c>
      <c r="BA476" t="s">
        <v>7033</v>
      </c>
      <c r="BB476" t="s">
        <v>74</v>
      </c>
      <c r="BC476" t="s">
        <v>74</v>
      </c>
      <c r="BD476" t="s">
        <v>74</v>
      </c>
      <c r="BE476" t="s">
        <v>74</v>
      </c>
      <c r="BF476" t="s">
        <v>74</v>
      </c>
      <c r="BG476" t="s">
        <v>74</v>
      </c>
      <c r="BH476" t="s">
        <v>74</v>
      </c>
      <c r="BI476">
        <v>2</v>
      </c>
      <c r="BJ476" t="s">
        <v>263</v>
      </c>
      <c r="BK476" t="s">
        <v>512</v>
      </c>
      <c r="BL476" t="s">
        <v>133</v>
      </c>
      <c r="BM476" t="s">
        <v>7034</v>
      </c>
      <c r="BN476" t="s">
        <v>74</v>
      </c>
      <c r="BO476" t="s">
        <v>74</v>
      </c>
      <c r="BP476" t="s">
        <v>74</v>
      </c>
      <c r="BQ476" t="s">
        <v>74</v>
      </c>
      <c r="BR476" t="s">
        <v>104</v>
      </c>
      <c r="BS476" t="s">
        <v>7035</v>
      </c>
      <c r="BT476" t="str">
        <f>HYPERLINK("https%3A%2F%2Fwww.webofscience.com%2Fwos%2Fwoscc%2Ffull-record%2FWOS:000529998000363","View Full Record in Web of Science")</f>
        <v>View Full Record in Web of Science</v>
      </c>
    </row>
    <row r="477" spans="1:72" x14ac:dyDescent="0.25">
      <c r="A477" t="s">
        <v>72</v>
      </c>
      <c r="B477" t="s">
        <v>7036</v>
      </c>
      <c r="C477" t="s">
        <v>74</v>
      </c>
      <c r="D477" t="s">
        <v>74</v>
      </c>
      <c r="E477" t="s">
        <v>74</v>
      </c>
      <c r="F477" t="s">
        <v>7037</v>
      </c>
      <c r="G477" t="s">
        <v>74</v>
      </c>
      <c r="H477" t="s">
        <v>74</v>
      </c>
      <c r="I477" t="s">
        <v>7038</v>
      </c>
      <c r="J477" t="s">
        <v>251</v>
      </c>
      <c r="K477" t="s">
        <v>74</v>
      </c>
      <c r="L477" t="s">
        <v>74</v>
      </c>
      <c r="M477" t="s">
        <v>78</v>
      </c>
      <c r="N477" t="s">
        <v>52</v>
      </c>
      <c r="O477" t="s">
        <v>7031</v>
      </c>
      <c r="P477" t="s">
        <v>7032</v>
      </c>
      <c r="Q477" t="s">
        <v>1375</v>
      </c>
      <c r="R477" t="s">
        <v>1376</v>
      </c>
      <c r="S477" t="s">
        <v>74</v>
      </c>
      <c r="T477" t="s">
        <v>74</v>
      </c>
      <c r="U477" t="s">
        <v>74</v>
      </c>
      <c r="V477" t="s">
        <v>74</v>
      </c>
      <c r="W477" t="s">
        <v>74</v>
      </c>
      <c r="X477" t="s">
        <v>74</v>
      </c>
      <c r="Y477" t="s">
        <v>74</v>
      </c>
      <c r="Z477" t="s">
        <v>74</v>
      </c>
      <c r="AA477" t="s">
        <v>7039</v>
      </c>
      <c r="AB477" t="s">
        <v>74</v>
      </c>
      <c r="AC477" t="s">
        <v>74</v>
      </c>
      <c r="AD477" t="s">
        <v>74</v>
      </c>
      <c r="AE477" t="s">
        <v>74</v>
      </c>
      <c r="AF477" t="s">
        <v>74</v>
      </c>
      <c r="AG477">
        <v>0</v>
      </c>
      <c r="AH477">
        <v>0</v>
      </c>
      <c r="AI477">
        <v>0</v>
      </c>
      <c r="AJ477">
        <v>0</v>
      </c>
      <c r="AK477">
        <v>0</v>
      </c>
      <c r="AL477" t="s">
        <v>122</v>
      </c>
      <c r="AM477" t="s">
        <v>123</v>
      </c>
      <c r="AN477" t="s">
        <v>124</v>
      </c>
      <c r="AO477" t="s">
        <v>258</v>
      </c>
      <c r="AP477" t="s">
        <v>259</v>
      </c>
      <c r="AQ477" t="s">
        <v>74</v>
      </c>
      <c r="AR477" t="s">
        <v>251</v>
      </c>
      <c r="AS477" t="s">
        <v>260</v>
      </c>
      <c r="AT477" t="s">
        <v>261</v>
      </c>
      <c r="AU477">
        <v>2019</v>
      </c>
      <c r="AV477">
        <v>140</v>
      </c>
      <c r="AW477" t="s">
        <v>74</v>
      </c>
      <c r="AX477" t="s">
        <v>74</v>
      </c>
      <c r="AY477">
        <v>1</v>
      </c>
      <c r="AZ477" t="s">
        <v>74</v>
      </c>
      <c r="BA477" t="s">
        <v>7040</v>
      </c>
      <c r="BB477" t="s">
        <v>74</v>
      </c>
      <c r="BC477" t="s">
        <v>74</v>
      </c>
      <c r="BD477" t="s">
        <v>74</v>
      </c>
      <c r="BE477" t="s">
        <v>74</v>
      </c>
      <c r="BF477" t="s">
        <v>74</v>
      </c>
      <c r="BG477" t="s">
        <v>74</v>
      </c>
      <c r="BH477" t="s">
        <v>74</v>
      </c>
      <c r="BI477">
        <v>3</v>
      </c>
      <c r="BJ477" t="s">
        <v>263</v>
      </c>
      <c r="BK477" t="s">
        <v>512</v>
      </c>
      <c r="BL477" t="s">
        <v>133</v>
      </c>
      <c r="BM477" t="s">
        <v>7034</v>
      </c>
      <c r="BN477" t="s">
        <v>74</v>
      </c>
      <c r="BO477" t="s">
        <v>74</v>
      </c>
      <c r="BP477" t="s">
        <v>74</v>
      </c>
      <c r="BQ477" t="s">
        <v>74</v>
      </c>
      <c r="BR477" t="s">
        <v>104</v>
      </c>
      <c r="BS477" t="s">
        <v>7041</v>
      </c>
      <c r="BT477" t="str">
        <f>HYPERLINK("https%3A%2F%2Fwww.webofscience.com%2Fwos%2Fwoscc%2Ffull-record%2FWOS:000529998002079","View Full Record in Web of Science")</f>
        <v>View Full Record in Web of Science</v>
      </c>
    </row>
    <row r="478" spans="1:72" x14ac:dyDescent="0.25">
      <c r="A478" t="s">
        <v>72</v>
      </c>
      <c r="B478" t="s">
        <v>7042</v>
      </c>
      <c r="C478" t="s">
        <v>74</v>
      </c>
      <c r="D478" t="s">
        <v>74</v>
      </c>
      <c r="E478" t="s">
        <v>74</v>
      </c>
      <c r="F478" t="s">
        <v>7043</v>
      </c>
      <c r="G478" t="s">
        <v>74</v>
      </c>
      <c r="H478" t="s">
        <v>7044</v>
      </c>
      <c r="I478" t="s">
        <v>7045</v>
      </c>
      <c r="J478" t="s">
        <v>216</v>
      </c>
      <c r="K478" t="s">
        <v>74</v>
      </c>
      <c r="L478" t="s">
        <v>74</v>
      </c>
      <c r="M478" t="s">
        <v>78</v>
      </c>
      <c r="N478" t="s">
        <v>460</v>
      </c>
      <c r="O478" t="s">
        <v>74</v>
      </c>
      <c r="P478" t="s">
        <v>74</v>
      </c>
      <c r="Q478" t="s">
        <v>74</v>
      </c>
      <c r="R478" t="s">
        <v>74</v>
      </c>
      <c r="S478" t="s">
        <v>74</v>
      </c>
      <c r="T478" t="s">
        <v>74</v>
      </c>
      <c r="U478" t="s">
        <v>235</v>
      </c>
      <c r="V478" t="s">
        <v>74</v>
      </c>
      <c r="W478" t="s">
        <v>7046</v>
      </c>
      <c r="X478" t="s">
        <v>7047</v>
      </c>
      <c r="Y478" t="s">
        <v>7048</v>
      </c>
      <c r="Z478" t="s">
        <v>7049</v>
      </c>
      <c r="AA478" t="s">
        <v>7050</v>
      </c>
      <c r="AB478" t="s">
        <v>7051</v>
      </c>
      <c r="AC478" t="s">
        <v>7052</v>
      </c>
      <c r="AD478" t="s">
        <v>7052</v>
      </c>
      <c r="AE478" t="s">
        <v>7053</v>
      </c>
      <c r="AF478" t="s">
        <v>74</v>
      </c>
      <c r="AG478">
        <v>7</v>
      </c>
      <c r="AH478">
        <v>1</v>
      </c>
      <c r="AI478">
        <v>1</v>
      </c>
      <c r="AJ478">
        <v>0</v>
      </c>
      <c r="AK478">
        <v>2</v>
      </c>
      <c r="AL478" t="s">
        <v>219</v>
      </c>
      <c r="AM478" t="s">
        <v>220</v>
      </c>
      <c r="AN478" t="s">
        <v>221</v>
      </c>
      <c r="AO478" t="s">
        <v>222</v>
      </c>
      <c r="AP478" t="s">
        <v>223</v>
      </c>
      <c r="AQ478" t="s">
        <v>74</v>
      </c>
      <c r="AR478" t="s">
        <v>224</v>
      </c>
      <c r="AS478" t="s">
        <v>225</v>
      </c>
      <c r="AT478" t="s">
        <v>1414</v>
      </c>
      <c r="AU478">
        <v>2019</v>
      </c>
      <c r="AV478">
        <v>54</v>
      </c>
      <c r="AW478">
        <v>5</v>
      </c>
      <c r="AX478" t="s">
        <v>74</v>
      </c>
      <c r="AY478" t="s">
        <v>74</v>
      </c>
      <c r="AZ478" t="s">
        <v>74</v>
      </c>
      <c r="BA478" t="s">
        <v>74</v>
      </c>
      <c r="BB478" t="s">
        <v>74</v>
      </c>
      <c r="BC478" t="s">
        <v>74</v>
      </c>
      <c r="BD478">
        <v>1901558</v>
      </c>
      <c r="BE478" t="s">
        <v>7054</v>
      </c>
      <c r="BF478" t="str">
        <f>HYPERLINK("http://dx.doi.org/10.1183/13993003.01558-2019","http://dx.doi.org/10.1183/13993003.01558-2019")</f>
        <v>http://dx.doi.org/10.1183/13993003.01558-2019</v>
      </c>
      <c r="BG478" t="s">
        <v>74</v>
      </c>
      <c r="BH478" t="s">
        <v>74</v>
      </c>
      <c r="BI478">
        <v>2</v>
      </c>
      <c r="BJ478" t="s">
        <v>228</v>
      </c>
      <c r="BK478" t="s">
        <v>101</v>
      </c>
      <c r="BL478" t="s">
        <v>228</v>
      </c>
      <c r="BM478" t="s">
        <v>7055</v>
      </c>
      <c r="BN478">
        <v>31699779</v>
      </c>
      <c r="BO478" t="s">
        <v>1194</v>
      </c>
      <c r="BP478" t="s">
        <v>74</v>
      </c>
      <c r="BQ478" t="s">
        <v>74</v>
      </c>
      <c r="BR478" t="s">
        <v>104</v>
      </c>
      <c r="BS478" t="s">
        <v>7056</v>
      </c>
      <c r="BT478" t="str">
        <f>HYPERLINK("https%3A%2F%2Fwww.webofscience.com%2Fwos%2Fwoscc%2Ffull-record%2FWOS:000496132300010","View Full Record in Web of Science")</f>
        <v>View Full Record in Web of Science</v>
      </c>
    </row>
    <row r="479" spans="1:72" x14ac:dyDescent="0.25">
      <c r="A479" t="s">
        <v>72</v>
      </c>
      <c r="B479" t="s">
        <v>7057</v>
      </c>
      <c r="C479" t="s">
        <v>74</v>
      </c>
      <c r="D479" t="s">
        <v>74</v>
      </c>
      <c r="E479" t="s">
        <v>74</v>
      </c>
      <c r="F479" t="s">
        <v>7058</v>
      </c>
      <c r="G479" t="s">
        <v>74</v>
      </c>
      <c r="H479" t="s">
        <v>74</v>
      </c>
      <c r="I479" t="s">
        <v>7059</v>
      </c>
      <c r="J479" t="s">
        <v>349</v>
      </c>
      <c r="K479" t="s">
        <v>74</v>
      </c>
      <c r="L479" t="s">
        <v>74</v>
      </c>
      <c r="M479" t="s">
        <v>78</v>
      </c>
      <c r="N479" t="s">
        <v>79</v>
      </c>
      <c r="O479" t="s">
        <v>74</v>
      </c>
      <c r="P479" t="s">
        <v>74</v>
      </c>
      <c r="Q479" t="s">
        <v>74</v>
      </c>
      <c r="R479" t="s">
        <v>74</v>
      </c>
      <c r="S479" t="s">
        <v>74</v>
      </c>
      <c r="T479" t="s">
        <v>74</v>
      </c>
      <c r="U479" t="s">
        <v>7060</v>
      </c>
      <c r="V479" t="s">
        <v>7061</v>
      </c>
      <c r="W479" t="s">
        <v>7062</v>
      </c>
      <c r="X479" t="s">
        <v>7063</v>
      </c>
      <c r="Y479" t="s">
        <v>7064</v>
      </c>
      <c r="Z479" t="s">
        <v>331</v>
      </c>
      <c r="AA479" t="s">
        <v>7065</v>
      </c>
      <c r="AB479" t="s">
        <v>7066</v>
      </c>
      <c r="AC479" t="s">
        <v>74</v>
      </c>
      <c r="AD479" t="s">
        <v>74</v>
      </c>
      <c r="AE479" t="s">
        <v>74</v>
      </c>
      <c r="AF479" t="s">
        <v>74</v>
      </c>
      <c r="AG479">
        <v>25</v>
      </c>
      <c r="AH479">
        <v>8</v>
      </c>
      <c r="AI479">
        <v>8</v>
      </c>
      <c r="AJ479">
        <v>0</v>
      </c>
      <c r="AK479">
        <v>1</v>
      </c>
      <c r="AL479" t="s">
        <v>92</v>
      </c>
      <c r="AM479" t="s">
        <v>361</v>
      </c>
      <c r="AN479" t="s">
        <v>362</v>
      </c>
      <c r="AO479" t="s">
        <v>74</v>
      </c>
      <c r="AP479" t="s">
        <v>363</v>
      </c>
      <c r="AQ479" t="s">
        <v>74</v>
      </c>
      <c r="AR479" t="s">
        <v>364</v>
      </c>
      <c r="AS479" t="s">
        <v>365</v>
      </c>
      <c r="AT479" t="s">
        <v>315</v>
      </c>
      <c r="AU479">
        <v>2019</v>
      </c>
      <c r="AV479">
        <v>76</v>
      </c>
      <c r="AW479" t="s">
        <v>74</v>
      </c>
      <c r="AX479" t="s">
        <v>74</v>
      </c>
      <c r="AY479" t="s">
        <v>74</v>
      </c>
      <c r="AZ479" t="s">
        <v>74</v>
      </c>
      <c r="BA479" t="s">
        <v>74</v>
      </c>
      <c r="BB479">
        <v>48</v>
      </c>
      <c r="BC479">
        <v>53</v>
      </c>
      <c r="BD479" t="s">
        <v>74</v>
      </c>
      <c r="BE479" t="s">
        <v>7067</v>
      </c>
      <c r="BF479" t="str">
        <f>HYPERLINK("http://dx.doi.org/10.1016/j.resmer.2019.06.002","http://dx.doi.org/10.1016/j.resmer.2019.06.002")</f>
        <v>http://dx.doi.org/10.1016/j.resmer.2019.06.002</v>
      </c>
      <c r="BG479" t="s">
        <v>74</v>
      </c>
      <c r="BH479" t="s">
        <v>74</v>
      </c>
      <c r="BI479">
        <v>6</v>
      </c>
      <c r="BJ479" t="s">
        <v>228</v>
      </c>
      <c r="BK479" t="s">
        <v>101</v>
      </c>
      <c r="BL479" t="s">
        <v>228</v>
      </c>
      <c r="BM479" t="s">
        <v>7068</v>
      </c>
      <c r="BN479">
        <v>31557688</v>
      </c>
      <c r="BO479" t="s">
        <v>2517</v>
      </c>
      <c r="BP479" t="s">
        <v>74</v>
      </c>
      <c r="BQ479" t="s">
        <v>74</v>
      </c>
      <c r="BR479" t="s">
        <v>104</v>
      </c>
      <c r="BS479" t="s">
        <v>7069</v>
      </c>
      <c r="BT479" t="str">
        <f>HYPERLINK("https%3A%2F%2Fwww.webofscience.com%2Fwos%2Fwoscc%2Ffull-record%2FWOS:000576652500011","View Full Record in Web of Science")</f>
        <v>View Full Record in Web of Science</v>
      </c>
    </row>
    <row r="480" spans="1:72" x14ac:dyDescent="0.25">
      <c r="A480" t="s">
        <v>72</v>
      </c>
      <c r="B480" t="s">
        <v>7070</v>
      </c>
      <c r="C480" t="s">
        <v>74</v>
      </c>
      <c r="D480" t="s">
        <v>74</v>
      </c>
      <c r="E480" t="s">
        <v>74</v>
      </c>
      <c r="F480" t="s">
        <v>7071</v>
      </c>
      <c r="G480" t="s">
        <v>74</v>
      </c>
      <c r="H480" t="s">
        <v>74</v>
      </c>
      <c r="I480" t="s">
        <v>7072</v>
      </c>
      <c r="J480" t="s">
        <v>251</v>
      </c>
      <c r="K480" t="s">
        <v>74</v>
      </c>
      <c r="L480" t="s">
        <v>74</v>
      </c>
      <c r="M480" t="s">
        <v>78</v>
      </c>
      <c r="N480" t="s">
        <v>79</v>
      </c>
      <c r="O480" t="s">
        <v>74</v>
      </c>
      <c r="P480" t="s">
        <v>74</v>
      </c>
      <c r="Q480" t="s">
        <v>74</v>
      </c>
      <c r="R480" t="s">
        <v>74</v>
      </c>
      <c r="S480" t="s">
        <v>74</v>
      </c>
      <c r="T480" t="s">
        <v>7073</v>
      </c>
      <c r="U480" t="s">
        <v>7074</v>
      </c>
      <c r="V480" t="s">
        <v>7075</v>
      </c>
      <c r="W480" t="s">
        <v>7076</v>
      </c>
      <c r="X480" t="s">
        <v>7077</v>
      </c>
      <c r="Y480" t="s">
        <v>7078</v>
      </c>
      <c r="Z480" t="s">
        <v>7079</v>
      </c>
      <c r="AA480" t="s">
        <v>7080</v>
      </c>
      <c r="AB480" t="s">
        <v>7081</v>
      </c>
      <c r="AC480" t="s">
        <v>7082</v>
      </c>
      <c r="AD480" t="s">
        <v>7083</v>
      </c>
      <c r="AE480" t="s">
        <v>7084</v>
      </c>
      <c r="AF480" t="s">
        <v>74</v>
      </c>
      <c r="AG480">
        <v>49</v>
      </c>
      <c r="AH480">
        <v>61</v>
      </c>
      <c r="AI480">
        <v>63</v>
      </c>
      <c r="AJ480">
        <v>1</v>
      </c>
      <c r="AK480">
        <v>31</v>
      </c>
      <c r="AL480" t="s">
        <v>122</v>
      </c>
      <c r="AM480" t="s">
        <v>123</v>
      </c>
      <c r="AN480" t="s">
        <v>124</v>
      </c>
      <c r="AO480" t="s">
        <v>258</v>
      </c>
      <c r="AP480" t="s">
        <v>259</v>
      </c>
      <c r="AQ480" t="s">
        <v>74</v>
      </c>
      <c r="AR480" t="s">
        <v>251</v>
      </c>
      <c r="AS480" t="s">
        <v>260</v>
      </c>
      <c r="AT480" t="s">
        <v>7085</v>
      </c>
      <c r="AU480">
        <v>2019</v>
      </c>
      <c r="AV480">
        <v>140</v>
      </c>
      <c r="AW480">
        <v>17</v>
      </c>
      <c r="AX480" t="s">
        <v>74</v>
      </c>
      <c r="AY480" t="s">
        <v>74</v>
      </c>
      <c r="AZ480" t="s">
        <v>74</v>
      </c>
      <c r="BA480" t="s">
        <v>74</v>
      </c>
      <c r="BB480">
        <v>1409</v>
      </c>
      <c r="BC480">
        <v>1425</v>
      </c>
      <c r="BD480" t="s">
        <v>74</v>
      </c>
      <c r="BE480" t="s">
        <v>7086</v>
      </c>
      <c r="BF480" t="str">
        <f>HYPERLINK("http://dx.doi.org/10.1161/CIRCULATIONAHA.119.040629","http://dx.doi.org/10.1161/CIRCULATIONAHA.119.040629")</f>
        <v>http://dx.doi.org/10.1161/CIRCULATIONAHA.119.040629</v>
      </c>
      <c r="BG480" t="s">
        <v>74</v>
      </c>
      <c r="BH480" t="s">
        <v>74</v>
      </c>
      <c r="BI480">
        <v>17</v>
      </c>
      <c r="BJ480" t="s">
        <v>263</v>
      </c>
      <c r="BK480" t="s">
        <v>101</v>
      </c>
      <c r="BL480" t="s">
        <v>133</v>
      </c>
      <c r="BM480" t="s">
        <v>7087</v>
      </c>
      <c r="BN480">
        <v>31462075</v>
      </c>
      <c r="BO480" t="s">
        <v>4500</v>
      </c>
      <c r="BP480" t="s">
        <v>74</v>
      </c>
      <c r="BQ480" t="s">
        <v>74</v>
      </c>
      <c r="BR480" t="s">
        <v>104</v>
      </c>
      <c r="BS480" t="s">
        <v>7088</v>
      </c>
      <c r="BT480" t="str">
        <f>HYPERLINK("https%3A%2F%2Fwww.webofscience.com%2Fwos%2Fwoscc%2Ffull-record%2FWOS:000491345700012","View Full Record in Web of Science")</f>
        <v>View Full Record in Web of Science</v>
      </c>
    </row>
    <row r="481" spans="1:72" x14ac:dyDescent="0.25">
      <c r="A481" t="s">
        <v>72</v>
      </c>
      <c r="B481" t="s">
        <v>7089</v>
      </c>
      <c r="C481" t="s">
        <v>74</v>
      </c>
      <c r="D481" t="s">
        <v>74</v>
      </c>
      <c r="E481" t="s">
        <v>74</v>
      </c>
      <c r="F481" t="s">
        <v>7090</v>
      </c>
      <c r="G481" t="s">
        <v>74</v>
      </c>
      <c r="H481" t="s">
        <v>74</v>
      </c>
      <c r="I481" t="s">
        <v>7091</v>
      </c>
      <c r="J481" t="s">
        <v>1068</v>
      </c>
      <c r="K481" t="s">
        <v>74</v>
      </c>
      <c r="L481" t="s">
        <v>74</v>
      </c>
      <c r="M481" t="s">
        <v>78</v>
      </c>
      <c r="N481" t="s">
        <v>52</v>
      </c>
      <c r="O481" t="s">
        <v>7092</v>
      </c>
      <c r="P481" t="s">
        <v>7093</v>
      </c>
      <c r="Q481" t="s">
        <v>7094</v>
      </c>
      <c r="R481" t="s">
        <v>5566</v>
      </c>
      <c r="S481" t="s">
        <v>74</v>
      </c>
      <c r="T481" t="s">
        <v>74</v>
      </c>
      <c r="U481" t="s">
        <v>74</v>
      </c>
      <c r="V481" t="s">
        <v>74</v>
      </c>
      <c r="W481" t="s">
        <v>7095</v>
      </c>
      <c r="X481" t="s">
        <v>7096</v>
      </c>
      <c r="Y481" t="s">
        <v>74</v>
      </c>
      <c r="Z481" t="s">
        <v>74</v>
      </c>
      <c r="AA481" t="s">
        <v>7097</v>
      </c>
      <c r="AB481" t="s">
        <v>7098</v>
      </c>
      <c r="AC481" t="s">
        <v>74</v>
      </c>
      <c r="AD481" t="s">
        <v>74</v>
      </c>
      <c r="AE481" t="s">
        <v>74</v>
      </c>
      <c r="AF481" t="s">
        <v>74</v>
      </c>
      <c r="AG481">
        <v>0</v>
      </c>
      <c r="AH481">
        <v>0</v>
      </c>
      <c r="AI481">
        <v>0</v>
      </c>
      <c r="AJ481">
        <v>0</v>
      </c>
      <c r="AK481">
        <v>0</v>
      </c>
      <c r="AL481" t="s">
        <v>1073</v>
      </c>
      <c r="AM481" t="s">
        <v>1074</v>
      </c>
      <c r="AN481" t="s">
        <v>1075</v>
      </c>
      <c r="AO481" t="s">
        <v>1076</v>
      </c>
      <c r="AP481" t="s">
        <v>1077</v>
      </c>
      <c r="AQ481" t="s">
        <v>74</v>
      </c>
      <c r="AR481" t="s">
        <v>1078</v>
      </c>
      <c r="AS481" t="s">
        <v>1079</v>
      </c>
      <c r="AT481" t="s">
        <v>420</v>
      </c>
      <c r="AU481">
        <v>2019</v>
      </c>
      <c r="AV481">
        <v>40</v>
      </c>
      <c r="AW481" t="s">
        <v>74</v>
      </c>
      <c r="AX481" t="s">
        <v>74</v>
      </c>
      <c r="AY481">
        <v>1</v>
      </c>
      <c r="AZ481" t="s">
        <v>74</v>
      </c>
      <c r="BA481" t="s">
        <v>7099</v>
      </c>
      <c r="BB481">
        <v>2899</v>
      </c>
      <c r="BC481">
        <v>2899</v>
      </c>
      <c r="BD481" t="s">
        <v>74</v>
      </c>
      <c r="BE481" t="s">
        <v>74</v>
      </c>
      <c r="BF481" t="s">
        <v>74</v>
      </c>
      <c r="BG481" t="s">
        <v>74</v>
      </c>
      <c r="BH481" t="s">
        <v>74</v>
      </c>
      <c r="BI481">
        <v>1</v>
      </c>
      <c r="BJ481" t="s">
        <v>132</v>
      </c>
      <c r="BK481" t="s">
        <v>512</v>
      </c>
      <c r="BL481" t="s">
        <v>133</v>
      </c>
      <c r="BM481" t="s">
        <v>7100</v>
      </c>
      <c r="BN481" t="s">
        <v>74</v>
      </c>
      <c r="BO481" t="s">
        <v>74</v>
      </c>
      <c r="BP481" t="s">
        <v>74</v>
      </c>
      <c r="BQ481" t="s">
        <v>74</v>
      </c>
      <c r="BR481" t="s">
        <v>104</v>
      </c>
      <c r="BS481" t="s">
        <v>7101</v>
      </c>
      <c r="BT481" t="str">
        <f>HYPERLINK("https%3A%2F%2Fwww.webofscience.com%2Fwos%2Fwoscc%2Ffull-record%2FWOS:000507313002648","View Full Record in Web of Science")</f>
        <v>View Full Record in Web of Science</v>
      </c>
    </row>
    <row r="482" spans="1:72" x14ac:dyDescent="0.25">
      <c r="A482" t="s">
        <v>72</v>
      </c>
      <c r="B482" t="s">
        <v>7102</v>
      </c>
      <c r="C482" t="s">
        <v>74</v>
      </c>
      <c r="D482" t="s">
        <v>74</v>
      </c>
      <c r="E482" t="s">
        <v>74</v>
      </c>
      <c r="F482" t="s">
        <v>7103</v>
      </c>
      <c r="G482" t="s">
        <v>74</v>
      </c>
      <c r="H482" t="s">
        <v>74</v>
      </c>
      <c r="I482" t="s">
        <v>7104</v>
      </c>
      <c r="J482" t="s">
        <v>216</v>
      </c>
      <c r="K482" t="s">
        <v>74</v>
      </c>
      <c r="L482" t="s">
        <v>74</v>
      </c>
      <c r="M482" t="s">
        <v>78</v>
      </c>
      <c r="N482" t="s">
        <v>460</v>
      </c>
      <c r="O482" t="s">
        <v>74</v>
      </c>
      <c r="P482" t="s">
        <v>74</v>
      </c>
      <c r="Q482" t="s">
        <v>74</v>
      </c>
      <c r="R482" t="s">
        <v>74</v>
      </c>
      <c r="S482" t="s">
        <v>74</v>
      </c>
      <c r="T482" t="s">
        <v>74</v>
      </c>
      <c r="U482" t="s">
        <v>74</v>
      </c>
      <c r="V482" t="s">
        <v>74</v>
      </c>
      <c r="W482" t="s">
        <v>7105</v>
      </c>
      <c r="X482" t="s">
        <v>7106</v>
      </c>
      <c r="Y482" t="s">
        <v>7107</v>
      </c>
      <c r="Z482" t="s">
        <v>5363</v>
      </c>
      <c r="AA482" t="s">
        <v>7108</v>
      </c>
      <c r="AB482" t="s">
        <v>5709</v>
      </c>
      <c r="AC482" t="s">
        <v>74</v>
      </c>
      <c r="AD482" t="s">
        <v>74</v>
      </c>
      <c r="AE482" t="s">
        <v>74</v>
      </c>
      <c r="AF482" t="s">
        <v>74</v>
      </c>
      <c r="AG482">
        <v>9</v>
      </c>
      <c r="AH482">
        <v>0</v>
      </c>
      <c r="AI482">
        <v>0</v>
      </c>
      <c r="AJ482">
        <v>0</v>
      </c>
      <c r="AK482">
        <v>0</v>
      </c>
      <c r="AL482" t="s">
        <v>219</v>
      </c>
      <c r="AM482" t="s">
        <v>220</v>
      </c>
      <c r="AN482" t="s">
        <v>221</v>
      </c>
      <c r="AO482" t="s">
        <v>222</v>
      </c>
      <c r="AP482" t="s">
        <v>223</v>
      </c>
      <c r="AQ482" t="s">
        <v>74</v>
      </c>
      <c r="AR482" t="s">
        <v>224</v>
      </c>
      <c r="AS482" t="s">
        <v>225</v>
      </c>
      <c r="AT482" t="s">
        <v>2820</v>
      </c>
      <c r="AU482">
        <v>2019</v>
      </c>
      <c r="AV482">
        <v>54</v>
      </c>
      <c r="AW482">
        <v>4</v>
      </c>
      <c r="AX482" t="s">
        <v>74</v>
      </c>
      <c r="AY482" t="s">
        <v>74</v>
      </c>
      <c r="AZ482" t="s">
        <v>74</v>
      </c>
      <c r="BA482" t="s">
        <v>74</v>
      </c>
      <c r="BB482" t="s">
        <v>74</v>
      </c>
      <c r="BC482" t="s">
        <v>74</v>
      </c>
      <c r="BD482" t="s">
        <v>74</v>
      </c>
      <c r="BE482" t="s">
        <v>74</v>
      </c>
      <c r="BF482" t="s">
        <v>74</v>
      </c>
      <c r="BG482" t="s">
        <v>74</v>
      </c>
      <c r="BH482" t="s">
        <v>74</v>
      </c>
      <c r="BI482">
        <v>3</v>
      </c>
      <c r="BJ482" t="s">
        <v>228</v>
      </c>
      <c r="BK482" t="s">
        <v>101</v>
      </c>
      <c r="BL482" t="s">
        <v>228</v>
      </c>
      <c r="BM482" t="s">
        <v>7109</v>
      </c>
      <c r="BN482" t="s">
        <v>74</v>
      </c>
      <c r="BO482" t="s">
        <v>74</v>
      </c>
      <c r="BP482" t="s">
        <v>74</v>
      </c>
      <c r="BQ482" t="s">
        <v>74</v>
      </c>
      <c r="BR482" t="s">
        <v>104</v>
      </c>
      <c r="BS482" t="s">
        <v>7110</v>
      </c>
      <c r="BT482" t="str">
        <f>HYPERLINK("https%3A%2F%2Fwww.webofscience.com%2Fwos%2Fwoscc%2Ffull-record%2FWOS:000577289300031","View Full Record in Web of Science")</f>
        <v>View Full Record in Web of Science</v>
      </c>
    </row>
    <row r="483" spans="1:72" x14ac:dyDescent="0.25">
      <c r="A483" t="s">
        <v>72</v>
      </c>
      <c r="B483" t="s">
        <v>7102</v>
      </c>
      <c r="C483" t="s">
        <v>74</v>
      </c>
      <c r="D483" t="s">
        <v>74</v>
      </c>
      <c r="E483" t="s">
        <v>74</v>
      </c>
      <c r="F483" t="s">
        <v>7103</v>
      </c>
      <c r="G483" t="s">
        <v>74</v>
      </c>
      <c r="H483" t="s">
        <v>74</v>
      </c>
      <c r="I483" t="s">
        <v>7111</v>
      </c>
      <c r="J483" t="s">
        <v>216</v>
      </c>
      <c r="K483" t="s">
        <v>74</v>
      </c>
      <c r="L483" t="s">
        <v>74</v>
      </c>
      <c r="M483" t="s">
        <v>78</v>
      </c>
      <c r="N483" t="s">
        <v>460</v>
      </c>
      <c r="O483" t="s">
        <v>74</v>
      </c>
      <c r="P483" t="s">
        <v>74</v>
      </c>
      <c r="Q483" t="s">
        <v>74</v>
      </c>
      <c r="R483" t="s">
        <v>74</v>
      </c>
      <c r="S483" t="s">
        <v>74</v>
      </c>
      <c r="T483" t="s">
        <v>74</v>
      </c>
      <c r="U483" t="s">
        <v>74</v>
      </c>
      <c r="V483" t="s">
        <v>74</v>
      </c>
      <c r="W483" t="s">
        <v>7112</v>
      </c>
      <c r="X483" t="s">
        <v>7113</v>
      </c>
      <c r="Y483" t="s">
        <v>7107</v>
      </c>
      <c r="Z483" t="s">
        <v>5363</v>
      </c>
      <c r="AA483" t="s">
        <v>7114</v>
      </c>
      <c r="AB483" t="s">
        <v>7115</v>
      </c>
      <c r="AC483" t="s">
        <v>7116</v>
      </c>
      <c r="AD483" t="s">
        <v>7117</v>
      </c>
      <c r="AE483" t="s">
        <v>7118</v>
      </c>
      <c r="AF483" t="s">
        <v>74</v>
      </c>
      <c r="AG483">
        <v>4</v>
      </c>
      <c r="AH483">
        <v>1</v>
      </c>
      <c r="AI483">
        <v>1</v>
      </c>
      <c r="AJ483">
        <v>0</v>
      </c>
      <c r="AK483">
        <v>1</v>
      </c>
      <c r="AL483" t="s">
        <v>219</v>
      </c>
      <c r="AM483" t="s">
        <v>220</v>
      </c>
      <c r="AN483" t="s">
        <v>221</v>
      </c>
      <c r="AO483" t="s">
        <v>222</v>
      </c>
      <c r="AP483" t="s">
        <v>223</v>
      </c>
      <c r="AQ483" t="s">
        <v>74</v>
      </c>
      <c r="AR483" t="s">
        <v>224</v>
      </c>
      <c r="AS483" t="s">
        <v>225</v>
      </c>
      <c r="AT483" t="s">
        <v>2820</v>
      </c>
      <c r="AU483">
        <v>2019</v>
      </c>
      <c r="AV483">
        <v>54</v>
      </c>
      <c r="AW483">
        <v>4</v>
      </c>
      <c r="AX483" t="s">
        <v>74</v>
      </c>
      <c r="AY483" t="s">
        <v>74</v>
      </c>
      <c r="AZ483" t="s">
        <v>74</v>
      </c>
      <c r="BA483" t="s">
        <v>74</v>
      </c>
      <c r="BB483" t="s">
        <v>74</v>
      </c>
      <c r="BC483" t="s">
        <v>74</v>
      </c>
      <c r="BD483">
        <v>1901295</v>
      </c>
      <c r="BE483" t="s">
        <v>7119</v>
      </c>
      <c r="BF483" t="str">
        <f>HYPERLINK("http://dx.doi.org/10.1183/13993003.01295-2019","http://dx.doi.org/10.1183/13993003.01295-2019")</f>
        <v>http://dx.doi.org/10.1183/13993003.01295-2019</v>
      </c>
      <c r="BG483" t="s">
        <v>74</v>
      </c>
      <c r="BH483" t="s">
        <v>74</v>
      </c>
      <c r="BI483">
        <v>4</v>
      </c>
      <c r="BJ483" t="s">
        <v>228</v>
      </c>
      <c r="BK483" t="s">
        <v>101</v>
      </c>
      <c r="BL483" t="s">
        <v>228</v>
      </c>
      <c r="BM483" t="s">
        <v>7109</v>
      </c>
      <c r="BN483">
        <v>31649145</v>
      </c>
      <c r="BO483" t="s">
        <v>1194</v>
      </c>
      <c r="BP483" t="s">
        <v>74</v>
      </c>
      <c r="BQ483" t="s">
        <v>74</v>
      </c>
      <c r="BR483" t="s">
        <v>104</v>
      </c>
      <c r="BS483" t="s">
        <v>7120</v>
      </c>
      <c r="BT483" t="str">
        <f>HYPERLINK("https%3A%2F%2Fwww.webofscience.com%2Fwos%2Fwoscc%2Ffull-record%2FWOS:000577289300024","View Full Record in Web of Science")</f>
        <v>View Full Record in Web of Science</v>
      </c>
    </row>
    <row r="484" spans="1:72" x14ac:dyDescent="0.25">
      <c r="A484" t="s">
        <v>72</v>
      </c>
      <c r="B484" t="s">
        <v>7121</v>
      </c>
      <c r="C484" t="s">
        <v>74</v>
      </c>
      <c r="D484" t="s">
        <v>74</v>
      </c>
      <c r="E484" t="s">
        <v>74</v>
      </c>
      <c r="F484" t="s">
        <v>7122</v>
      </c>
      <c r="G484" t="s">
        <v>74</v>
      </c>
      <c r="H484" t="s">
        <v>74</v>
      </c>
      <c r="I484" t="s">
        <v>7123</v>
      </c>
      <c r="J484" t="s">
        <v>7124</v>
      </c>
      <c r="K484" t="s">
        <v>74</v>
      </c>
      <c r="L484" t="s">
        <v>74</v>
      </c>
      <c r="M484" t="s">
        <v>78</v>
      </c>
      <c r="N484" t="s">
        <v>79</v>
      </c>
      <c r="O484" t="s">
        <v>74</v>
      </c>
      <c r="P484" t="s">
        <v>74</v>
      </c>
      <c r="Q484" t="s">
        <v>74</v>
      </c>
      <c r="R484" t="s">
        <v>74</v>
      </c>
      <c r="S484" t="s">
        <v>74</v>
      </c>
      <c r="T484" t="s">
        <v>7125</v>
      </c>
      <c r="U484" t="s">
        <v>7126</v>
      </c>
      <c r="V484" t="s">
        <v>7127</v>
      </c>
      <c r="W484" t="s">
        <v>7128</v>
      </c>
      <c r="X484" t="s">
        <v>7129</v>
      </c>
      <c r="Y484" t="s">
        <v>7130</v>
      </c>
      <c r="Z484" t="s">
        <v>6460</v>
      </c>
      <c r="AA484" t="s">
        <v>7131</v>
      </c>
      <c r="AB484" t="s">
        <v>7132</v>
      </c>
      <c r="AC484" t="s">
        <v>7133</v>
      </c>
      <c r="AD484" t="s">
        <v>3823</v>
      </c>
      <c r="AE484" t="s">
        <v>7134</v>
      </c>
      <c r="AF484" t="s">
        <v>74</v>
      </c>
      <c r="AG484">
        <v>20</v>
      </c>
      <c r="AH484">
        <v>112</v>
      </c>
      <c r="AI484">
        <v>116</v>
      </c>
      <c r="AJ484">
        <v>0</v>
      </c>
      <c r="AK484">
        <v>6</v>
      </c>
      <c r="AL484" t="s">
        <v>92</v>
      </c>
      <c r="AM484" t="s">
        <v>361</v>
      </c>
      <c r="AN484" t="s">
        <v>362</v>
      </c>
      <c r="AO484" t="s">
        <v>7135</v>
      </c>
      <c r="AP484" t="s">
        <v>7136</v>
      </c>
      <c r="AQ484" t="s">
        <v>74</v>
      </c>
      <c r="AR484" t="s">
        <v>7137</v>
      </c>
      <c r="AS484" t="s">
        <v>7138</v>
      </c>
      <c r="AT484" t="s">
        <v>420</v>
      </c>
      <c r="AU484">
        <v>2019</v>
      </c>
      <c r="AV484">
        <v>41</v>
      </c>
      <c r="AW484">
        <v>10</v>
      </c>
      <c r="AX484" t="s">
        <v>74</v>
      </c>
      <c r="AY484" t="s">
        <v>74</v>
      </c>
      <c r="AZ484" t="s">
        <v>74</v>
      </c>
      <c r="BA484" t="s">
        <v>74</v>
      </c>
      <c r="BB484">
        <v>2041</v>
      </c>
      <c r="BC484">
        <v>2056</v>
      </c>
      <c r="BD484" t="s">
        <v>74</v>
      </c>
      <c r="BE484" t="s">
        <v>7139</v>
      </c>
      <c r="BF484" t="str">
        <f>HYPERLINK("http://dx.doi.org/10.1016/j.clinthera.2019.07.007","http://dx.doi.org/10.1016/j.clinthera.2019.07.007")</f>
        <v>http://dx.doi.org/10.1016/j.clinthera.2019.07.007</v>
      </c>
      <c r="BG484" t="s">
        <v>74</v>
      </c>
      <c r="BH484" t="s">
        <v>74</v>
      </c>
      <c r="BI484">
        <v>16</v>
      </c>
      <c r="BJ484" t="s">
        <v>1477</v>
      </c>
      <c r="BK484" t="s">
        <v>101</v>
      </c>
      <c r="BL484" t="s">
        <v>1477</v>
      </c>
      <c r="BM484" t="s">
        <v>7140</v>
      </c>
      <c r="BN484">
        <v>31447130</v>
      </c>
      <c r="BO484" t="s">
        <v>246</v>
      </c>
      <c r="BP484" t="s">
        <v>74</v>
      </c>
      <c r="BQ484" t="s">
        <v>74</v>
      </c>
      <c r="BR484" t="s">
        <v>104</v>
      </c>
      <c r="BS484" t="s">
        <v>7141</v>
      </c>
      <c r="BT484" t="str">
        <f>HYPERLINK("https%3A%2F%2Fwww.webofscience.com%2Fwos%2Fwoscc%2Ffull-record%2FWOS:000498474000013","View Full Record in Web of Science")</f>
        <v>View Full Record in Web of Science</v>
      </c>
    </row>
    <row r="485" spans="1:72" x14ac:dyDescent="0.25">
      <c r="A485" t="s">
        <v>72</v>
      </c>
      <c r="B485" t="s">
        <v>3893</v>
      </c>
      <c r="C485" t="s">
        <v>74</v>
      </c>
      <c r="D485" t="s">
        <v>74</v>
      </c>
      <c r="E485" t="s">
        <v>74</v>
      </c>
      <c r="F485" t="s">
        <v>3894</v>
      </c>
      <c r="G485" t="s">
        <v>74</v>
      </c>
      <c r="H485" t="s">
        <v>74</v>
      </c>
      <c r="I485" t="s">
        <v>7142</v>
      </c>
      <c r="J485" t="s">
        <v>814</v>
      </c>
      <c r="K485" t="s">
        <v>74</v>
      </c>
      <c r="L485" t="s">
        <v>74</v>
      </c>
      <c r="M485" t="s">
        <v>78</v>
      </c>
      <c r="N485" t="s">
        <v>140</v>
      </c>
      <c r="O485" t="s">
        <v>74</v>
      </c>
      <c r="P485" t="s">
        <v>74</v>
      </c>
      <c r="Q485" t="s">
        <v>74</v>
      </c>
      <c r="R485" t="s">
        <v>74</v>
      </c>
      <c r="S485" t="s">
        <v>74</v>
      </c>
      <c r="T485" t="s">
        <v>74</v>
      </c>
      <c r="U485" t="s">
        <v>74</v>
      </c>
      <c r="V485" t="s">
        <v>74</v>
      </c>
      <c r="W485" t="s">
        <v>7143</v>
      </c>
      <c r="X485" t="s">
        <v>7144</v>
      </c>
      <c r="Y485" t="s">
        <v>7145</v>
      </c>
      <c r="Z485" t="s">
        <v>3899</v>
      </c>
      <c r="AA485" t="s">
        <v>144</v>
      </c>
      <c r="AB485" t="s">
        <v>257</v>
      </c>
      <c r="AC485" t="s">
        <v>74</v>
      </c>
      <c r="AD485" t="s">
        <v>74</v>
      </c>
      <c r="AE485" t="s">
        <v>74</v>
      </c>
      <c r="AF485" t="s">
        <v>74</v>
      </c>
      <c r="AG485">
        <v>12</v>
      </c>
      <c r="AH485">
        <v>1</v>
      </c>
      <c r="AI485">
        <v>1</v>
      </c>
      <c r="AJ485">
        <v>0</v>
      </c>
      <c r="AK485">
        <v>1</v>
      </c>
      <c r="AL485" t="s">
        <v>219</v>
      </c>
      <c r="AM485" t="s">
        <v>220</v>
      </c>
      <c r="AN485" t="s">
        <v>221</v>
      </c>
      <c r="AO485" t="s">
        <v>823</v>
      </c>
      <c r="AP485" t="s">
        <v>824</v>
      </c>
      <c r="AQ485" t="s">
        <v>74</v>
      </c>
      <c r="AR485" t="s">
        <v>825</v>
      </c>
      <c r="AS485" t="s">
        <v>826</v>
      </c>
      <c r="AT485" t="s">
        <v>2883</v>
      </c>
      <c r="AU485">
        <v>2019</v>
      </c>
      <c r="AV485">
        <v>28</v>
      </c>
      <c r="AW485">
        <v>153</v>
      </c>
      <c r="AX485" t="s">
        <v>74</v>
      </c>
      <c r="AY485" t="s">
        <v>74</v>
      </c>
      <c r="AZ485" t="s">
        <v>74</v>
      </c>
      <c r="BA485" t="s">
        <v>74</v>
      </c>
      <c r="BB485" t="s">
        <v>74</v>
      </c>
      <c r="BC485" t="s">
        <v>74</v>
      </c>
      <c r="BD485">
        <v>190115</v>
      </c>
      <c r="BE485" t="s">
        <v>7146</v>
      </c>
      <c r="BF485" t="str">
        <f>HYPERLINK("http://dx.doi.org/10.1183/16000617.0115-2019","http://dx.doi.org/10.1183/16000617.0115-2019")</f>
        <v>http://dx.doi.org/10.1183/16000617.0115-2019</v>
      </c>
      <c r="BG485" t="s">
        <v>74</v>
      </c>
      <c r="BH485" t="s">
        <v>74</v>
      </c>
      <c r="BI485">
        <v>2</v>
      </c>
      <c r="BJ485" t="s">
        <v>228</v>
      </c>
      <c r="BK485" t="s">
        <v>101</v>
      </c>
      <c r="BL485" t="s">
        <v>228</v>
      </c>
      <c r="BM485" t="s">
        <v>7147</v>
      </c>
      <c r="BN485">
        <v>31578214</v>
      </c>
      <c r="BO485" t="s">
        <v>809</v>
      </c>
      <c r="BP485" t="s">
        <v>74</v>
      </c>
      <c r="BQ485" t="s">
        <v>74</v>
      </c>
      <c r="BR485" t="s">
        <v>104</v>
      </c>
      <c r="BS485" t="s">
        <v>7148</v>
      </c>
      <c r="BT485" t="str">
        <f>HYPERLINK("https%3A%2F%2Fwww.webofscience.com%2Fwos%2Fwoscc%2Ffull-record%2FWOS:000489235300018","View Full Record in Web of Science")</f>
        <v>View Full Record in Web of Science</v>
      </c>
    </row>
    <row r="486" spans="1:72" x14ac:dyDescent="0.25">
      <c r="A486" t="s">
        <v>72</v>
      </c>
      <c r="B486" t="s">
        <v>7149</v>
      </c>
      <c r="C486" t="s">
        <v>74</v>
      </c>
      <c r="D486" t="s">
        <v>74</v>
      </c>
      <c r="E486" t="s">
        <v>74</v>
      </c>
      <c r="F486" t="s">
        <v>7150</v>
      </c>
      <c r="G486" t="s">
        <v>74</v>
      </c>
      <c r="H486" t="s">
        <v>74</v>
      </c>
      <c r="I486" t="s">
        <v>7151</v>
      </c>
      <c r="J486" t="s">
        <v>814</v>
      </c>
      <c r="K486" t="s">
        <v>74</v>
      </c>
      <c r="L486" t="s">
        <v>74</v>
      </c>
      <c r="M486" t="s">
        <v>78</v>
      </c>
      <c r="N486" t="s">
        <v>299</v>
      </c>
      <c r="O486" t="s">
        <v>74</v>
      </c>
      <c r="P486" t="s">
        <v>74</v>
      </c>
      <c r="Q486" t="s">
        <v>74</v>
      </c>
      <c r="R486" t="s">
        <v>74</v>
      </c>
      <c r="S486" t="s">
        <v>74</v>
      </c>
      <c r="T486" t="s">
        <v>74</v>
      </c>
      <c r="U486" t="s">
        <v>7152</v>
      </c>
      <c r="V486" t="s">
        <v>7153</v>
      </c>
      <c r="W486" t="s">
        <v>7154</v>
      </c>
      <c r="X486" t="s">
        <v>7155</v>
      </c>
      <c r="Y486" t="s">
        <v>7156</v>
      </c>
      <c r="Z486" t="s">
        <v>377</v>
      </c>
      <c r="AA486" t="s">
        <v>1468</v>
      </c>
      <c r="AB486" t="s">
        <v>7157</v>
      </c>
      <c r="AC486" t="s">
        <v>7158</v>
      </c>
      <c r="AD486" t="s">
        <v>7159</v>
      </c>
      <c r="AE486" t="s">
        <v>7160</v>
      </c>
      <c r="AF486" t="s">
        <v>74</v>
      </c>
      <c r="AG486">
        <v>102</v>
      </c>
      <c r="AH486">
        <v>69</v>
      </c>
      <c r="AI486">
        <v>70</v>
      </c>
      <c r="AJ486">
        <v>0</v>
      </c>
      <c r="AK486">
        <v>7</v>
      </c>
      <c r="AL486" t="s">
        <v>219</v>
      </c>
      <c r="AM486" t="s">
        <v>220</v>
      </c>
      <c r="AN486" t="s">
        <v>221</v>
      </c>
      <c r="AO486" t="s">
        <v>823</v>
      </c>
      <c r="AP486" t="s">
        <v>824</v>
      </c>
      <c r="AQ486" t="s">
        <v>74</v>
      </c>
      <c r="AR486" t="s">
        <v>825</v>
      </c>
      <c r="AS486" t="s">
        <v>826</v>
      </c>
      <c r="AT486" t="s">
        <v>2883</v>
      </c>
      <c r="AU486">
        <v>2019</v>
      </c>
      <c r="AV486">
        <v>28</v>
      </c>
      <c r="AW486">
        <v>153</v>
      </c>
      <c r="AX486" t="s">
        <v>74</v>
      </c>
      <c r="AY486" t="s">
        <v>74</v>
      </c>
      <c r="AZ486" t="s">
        <v>74</v>
      </c>
      <c r="BA486" t="s">
        <v>74</v>
      </c>
      <c r="BB486" t="s">
        <v>74</v>
      </c>
      <c r="BC486" t="s">
        <v>74</v>
      </c>
      <c r="BD486">
        <v>190023</v>
      </c>
      <c r="BE486" t="s">
        <v>7161</v>
      </c>
      <c r="BF486" t="str">
        <f>HYPERLINK("http://dx.doi.org/10.1183/16000617.0023-2019","http://dx.doi.org/10.1183/16000617.0023-2019")</f>
        <v>http://dx.doi.org/10.1183/16000617.0023-2019</v>
      </c>
      <c r="BG486" t="s">
        <v>74</v>
      </c>
      <c r="BH486" t="s">
        <v>74</v>
      </c>
      <c r="BI486">
        <v>12</v>
      </c>
      <c r="BJ486" t="s">
        <v>228</v>
      </c>
      <c r="BK486" t="s">
        <v>101</v>
      </c>
      <c r="BL486" t="s">
        <v>228</v>
      </c>
      <c r="BM486" t="s">
        <v>7147</v>
      </c>
      <c r="BN486">
        <v>31366460</v>
      </c>
      <c r="BO486" t="s">
        <v>1665</v>
      </c>
      <c r="BP486" t="s">
        <v>74</v>
      </c>
      <c r="BQ486" t="s">
        <v>74</v>
      </c>
      <c r="BR486" t="s">
        <v>104</v>
      </c>
      <c r="BS486" t="s">
        <v>7162</v>
      </c>
      <c r="BT486" t="str">
        <f>HYPERLINK("https%3A%2F%2Fwww.webofscience.com%2Fwos%2Fwoscc%2Ffull-record%2FWOS:000489235300005","View Full Record in Web of Science")</f>
        <v>View Full Record in Web of Science</v>
      </c>
    </row>
    <row r="487" spans="1:72" x14ac:dyDescent="0.25">
      <c r="A487" t="s">
        <v>72</v>
      </c>
      <c r="B487" t="s">
        <v>7163</v>
      </c>
      <c r="C487" t="s">
        <v>74</v>
      </c>
      <c r="D487" t="s">
        <v>74</v>
      </c>
      <c r="E487" t="s">
        <v>74</v>
      </c>
      <c r="F487" t="s">
        <v>7164</v>
      </c>
      <c r="G487" t="s">
        <v>74</v>
      </c>
      <c r="H487" t="s">
        <v>74</v>
      </c>
      <c r="I487" t="s">
        <v>7165</v>
      </c>
      <c r="J487" t="s">
        <v>216</v>
      </c>
      <c r="K487" t="s">
        <v>74</v>
      </c>
      <c r="L487" t="s">
        <v>74</v>
      </c>
      <c r="M487" t="s">
        <v>78</v>
      </c>
      <c r="N487" t="s">
        <v>52</v>
      </c>
      <c r="O487" t="s">
        <v>2951</v>
      </c>
      <c r="P487" t="s">
        <v>7166</v>
      </c>
      <c r="Q487" t="s">
        <v>7167</v>
      </c>
      <c r="R487" t="s">
        <v>2954</v>
      </c>
      <c r="S487" t="s">
        <v>74</v>
      </c>
      <c r="T487" t="s">
        <v>74</v>
      </c>
      <c r="U487" t="s">
        <v>74</v>
      </c>
      <c r="V487" t="s">
        <v>74</v>
      </c>
      <c r="W487" t="s">
        <v>7168</v>
      </c>
      <c r="X487" t="s">
        <v>7169</v>
      </c>
      <c r="Y487" t="s">
        <v>74</v>
      </c>
      <c r="Z487" t="s">
        <v>7170</v>
      </c>
      <c r="AA487" t="s">
        <v>7171</v>
      </c>
      <c r="AB487" t="s">
        <v>74</v>
      </c>
      <c r="AC487" t="s">
        <v>74</v>
      </c>
      <c r="AD487" t="s">
        <v>74</v>
      </c>
      <c r="AE487" t="s">
        <v>74</v>
      </c>
      <c r="AF487" t="s">
        <v>74</v>
      </c>
      <c r="AG487">
        <v>0</v>
      </c>
      <c r="AH487">
        <v>5</v>
      </c>
      <c r="AI487">
        <v>5</v>
      </c>
      <c r="AJ487">
        <v>0</v>
      </c>
      <c r="AK487">
        <v>2</v>
      </c>
      <c r="AL487" t="s">
        <v>219</v>
      </c>
      <c r="AM487" t="s">
        <v>220</v>
      </c>
      <c r="AN487" t="s">
        <v>221</v>
      </c>
      <c r="AO487" t="s">
        <v>222</v>
      </c>
      <c r="AP487" t="s">
        <v>223</v>
      </c>
      <c r="AQ487" t="s">
        <v>74</v>
      </c>
      <c r="AR487" t="s">
        <v>224</v>
      </c>
      <c r="AS487" t="s">
        <v>225</v>
      </c>
      <c r="AT487" t="s">
        <v>7172</v>
      </c>
      <c r="AU487">
        <v>2019</v>
      </c>
      <c r="AV487">
        <v>54</v>
      </c>
      <c r="AW487" t="s">
        <v>74</v>
      </c>
      <c r="AX487" t="s">
        <v>74</v>
      </c>
      <c r="AY487">
        <v>63</v>
      </c>
      <c r="AZ487" t="s">
        <v>74</v>
      </c>
      <c r="BA487" t="s">
        <v>7173</v>
      </c>
      <c r="BB487" t="s">
        <v>74</v>
      </c>
      <c r="BC487" t="s">
        <v>74</v>
      </c>
      <c r="BD487" t="s">
        <v>74</v>
      </c>
      <c r="BE487" t="s">
        <v>7174</v>
      </c>
      <c r="BF487" t="str">
        <f>HYPERLINK("http://dx.doi.org/10.1183/13993003.congress-2019.PA4750","http://dx.doi.org/10.1183/13993003.congress-2019.PA4750")</f>
        <v>http://dx.doi.org/10.1183/13993003.congress-2019.PA4750</v>
      </c>
      <c r="BG487" t="s">
        <v>74</v>
      </c>
      <c r="BH487" t="s">
        <v>74</v>
      </c>
      <c r="BI487">
        <v>2</v>
      </c>
      <c r="BJ487" t="s">
        <v>228</v>
      </c>
      <c r="BK487" t="s">
        <v>512</v>
      </c>
      <c r="BL487" t="s">
        <v>228</v>
      </c>
      <c r="BM487" t="s">
        <v>7175</v>
      </c>
      <c r="BN487" t="s">
        <v>74</v>
      </c>
      <c r="BO487" t="s">
        <v>74</v>
      </c>
      <c r="BP487" t="s">
        <v>74</v>
      </c>
      <c r="BQ487" t="s">
        <v>74</v>
      </c>
      <c r="BR487" t="s">
        <v>104</v>
      </c>
      <c r="BS487" t="s">
        <v>7176</v>
      </c>
      <c r="BT487" t="str">
        <f>HYPERLINK("https%3A%2F%2Fwww.webofscience.com%2Fwos%2Fwoscc%2Ffull-record%2FWOS:000507372406243","View Full Record in Web of Science")</f>
        <v>View Full Record in Web of Science</v>
      </c>
    </row>
    <row r="488" spans="1:72" x14ac:dyDescent="0.25">
      <c r="A488" t="s">
        <v>72</v>
      </c>
      <c r="B488" t="s">
        <v>7177</v>
      </c>
      <c r="C488" t="s">
        <v>74</v>
      </c>
      <c r="D488" t="s">
        <v>74</v>
      </c>
      <c r="E488" t="s">
        <v>74</v>
      </c>
      <c r="F488" t="s">
        <v>7178</v>
      </c>
      <c r="G488" t="s">
        <v>74</v>
      </c>
      <c r="H488" t="s">
        <v>74</v>
      </c>
      <c r="I488" t="s">
        <v>7179</v>
      </c>
      <c r="J488" t="s">
        <v>216</v>
      </c>
      <c r="K488" t="s">
        <v>74</v>
      </c>
      <c r="L488" t="s">
        <v>74</v>
      </c>
      <c r="M488" t="s">
        <v>78</v>
      </c>
      <c r="N488" t="s">
        <v>52</v>
      </c>
      <c r="O488" t="s">
        <v>2951</v>
      </c>
      <c r="P488" t="s">
        <v>7166</v>
      </c>
      <c r="Q488" t="s">
        <v>7167</v>
      </c>
      <c r="R488" t="s">
        <v>2954</v>
      </c>
      <c r="S488" t="s">
        <v>74</v>
      </c>
      <c r="T488" t="s">
        <v>7180</v>
      </c>
      <c r="U488" t="s">
        <v>74</v>
      </c>
      <c r="V488" t="s">
        <v>74</v>
      </c>
      <c r="W488" t="s">
        <v>7181</v>
      </c>
      <c r="X488" t="s">
        <v>7182</v>
      </c>
      <c r="Y488" t="s">
        <v>74</v>
      </c>
      <c r="Z488" t="s">
        <v>7183</v>
      </c>
      <c r="AA488" t="s">
        <v>2606</v>
      </c>
      <c r="AB488" t="s">
        <v>74</v>
      </c>
      <c r="AC488" t="s">
        <v>7184</v>
      </c>
      <c r="AD488" t="s">
        <v>4875</v>
      </c>
      <c r="AE488" t="s">
        <v>7184</v>
      </c>
      <c r="AF488" t="s">
        <v>74</v>
      </c>
      <c r="AG488">
        <v>0</v>
      </c>
      <c r="AH488">
        <v>2</v>
      </c>
      <c r="AI488">
        <v>2</v>
      </c>
      <c r="AJ488">
        <v>0</v>
      </c>
      <c r="AK488">
        <v>1</v>
      </c>
      <c r="AL488" t="s">
        <v>219</v>
      </c>
      <c r="AM488" t="s">
        <v>220</v>
      </c>
      <c r="AN488" t="s">
        <v>221</v>
      </c>
      <c r="AO488" t="s">
        <v>222</v>
      </c>
      <c r="AP488" t="s">
        <v>223</v>
      </c>
      <c r="AQ488" t="s">
        <v>74</v>
      </c>
      <c r="AR488" t="s">
        <v>224</v>
      </c>
      <c r="AS488" t="s">
        <v>225</v>
      </c>
      <c r="AT488" t="s">
        <v>7172</v>
      </c>
      <c r="AU488">
        <v>2019</v>
      </c>
      <c r="AV488">
        <v>54</v>
      </c>
      <c r="AW488" t="s">
        <v>74</v>
      </c>
      <c r="AX488" t="s">
        <v>74</v>
      </c>
      <c r="AY488">
        <v>63</v>
      </c>
      <c r="AZ488" t="s">
        <v>74</v>
      </c>
      <c r="BA488" t="s">
        <v>7185</v>
      </c>
      <c r="BB488" t="s">
        <v>74</v>
      </c>
      <c r="BC488" t="s">
        <v>74</v>
      </c>
      <c r="BD488" t="s">
        <v>74</v>
      </c>
      <c r="BE488" t="s">
        <v>7186</v>
      </c>
      <c r="BF488" t="str">
        <f>HYPERLINK("http://dx.doi.org/10.1183/13993003.congress-2019.PA1654","http://dx.doi.org/10.1183/13993003.congress-2019.PA1654")</f>
        <v>http://dx.doi.org/10.1183/13993003.congress-2019.PA1654</v>
      </c>
      <c r="BG488" t="s">
        <v>74</v>
      </c>
      <c r="BH488" t="s">
        <v>74</v>
      </c>
      <c r="BI488">
        <v>2</v>
      </c>
      <c r="BJ488" t="s">
        <v>228</v>
      </c>
      <c r="BK488" t="s">
        <v>512</v>
      </c>
      <c r="BL488" t="s">
        <v>228</v>
      </c>
      <c r="BM488" t="s">
        <v>7175</v>
      </c>
      <c r="BN488" t="s">
        <v>74</v>
      </c>
      <c r="BO488" t="s">
        <v>74</v>
      </c>
      <c r="BP488" t="s">
        <v>74</v>
      </c>
      <c r="BQ488" t="s">
        <v>74</v>
      </c>
      <c r="BR488" t="s">
        <v>104</v>
      </c>
      <c r="BS488" t="s">
        <v>7187</v>
      </c>
      <c r="BT488" t="str">
        <f>HYPERLINK("https%3A%2F%2Fwww.webofscience.com%2Fwos%2Fwoscc%2Ffull-record%2FWOS:000507372402029","View Full Record in Web of Science")</f>
        <v>View Full Record in Web of Science</v>
      </c>
    </row>
    <row r="489" spans="1:72" x14ac:dyDescent="0.25">
      <c r="A489" t="s">
        <v>72</v>
      </c>
      <c r="B489" t="s">
        <v>7188</v>
      </c>
      <c r="C489" t="s">
        <v>74</v>
      </c>
      <c r="D489" t="s">
        <v>74</v>
      </c>
      <c r="E489" t="s">
        <v>74</v>
      </c>
      <c r="F489" t="s">
        <v>7189</v>
      </c>
      <c r="G489" t="s">
        <v>74</v>
      </c>
      <c r="H489" t="s">
        <v>74</v>
      </c>
      <c r="I489" t="s">
        <v>7190</v>
      </c>
      <c r="J489" t="s">
        <v>216</v>
      </c>
      <c r="K489" t="s">
        <v>74</v>
      </c>
      <c r="L489" t="s">
        <v>74</v>
      </c>
      <c r="M489" t="s">
        <v>78</v>
      </c>
      <c r="N489" t="s">
        <v>52</v>
      </c>
      <c r="O489" t="s">
        <v>2951</v>
      </c>
      <c r="P489" t="s">
        <v>7166</v>
      </c>
      <c r="Q489" t="s">
        <v>7167</v>
      </c>
      <c r="R489" t="s">
        <v>2954</v>
      </c>
      <c r="S489" t="s">
        <v>74</v>
      </c>
      <c r="T489" t="s">
        <v>7191</v>
      </c>
      <c r="U489" t="s">
        <v>74</v>
      </c>
      <c r="V489" t="s">
        <v>74</v>
      </c>
      <c r="W489" t="s">
        <v>7192</v>
      </c>
      <c r="X489" t="s">
        <v>7193</v>
      </c>
      <c r="Y489" t="s">
        <v>74</v>
      </c>
      <c r="Z489" t="s">
        <v>2894</v>
      </c>
      <c r="AA489" t="s">
        <v>7194</v>
      </c>
      <c r="AB489" t="s">
        <v>4885</v>
      </c>
      <c r="AC489" t="s">
        <v>74</v>
      </c>
      <c r="AD489" t="s">
        <v>74</v>
      </c>
      <c r="AE489" t="s">
        <v>74</v>
      </c>
      <c r="AF489" t="s">
        <v>74</v>
      </c>
      <c r="AG489">
        <v>0</v>
      </c>
      <c r="AH489">
        <v>16</v>
      </c>
      <c r="AI489">
        <v>18</v>
      </c>
      <c r="AJ489">
        <v>0</v>
      </c>
      <c r="AK489">
        <v>1</v>
      </c>
      <c r="AL489" t="s">
        <v>219</v>
      </c>
      <c r="AM489" t="s">
        <v>220</v>
      </c>
      <c r="AN489" t="s">
        <v>221</v>
      </c>
      <c r="AO489" t="s">
        <v>222</v>
      </c>
      <c r="AP489" t="s">
        <v>223</v>
      </c>
      <c r="AQ489" t="s">
        <v>74</v>
      </c>
      <c r="AR489" t="s">
        <v>224</v>
      </c>
      <c r="AS489" t="s">
        <v>225</v>
      </c>
      <c r="AT489" t="s">
        <v>7172</v>
      </c>
      <c r="AU489">
        <v>2019</v>
      </c>
      <c r="AV489">
        <v>54</v>
      </c>
      <c r="AW489" t="s">
        <v>74</v>
      </c>
      <c r="AX489" t="s">
        <v>74</v>
      </c>
      <c r="AY489">
        <v>63</v>
      </c>
      <c r="AZ489" t="s">
        <v>74</v>
      </c>
      <c r="BA489" t="s">
        <v>7195</v>
      </c>
      <c r="BB489" t="s">
        <v>74</v>
      </c>
      <c r="BC489" t="s">
        <v>74</v>
      </c>
      <c r="BD489" t="s">
        <v>74</v>
      </c>
      <c r="BE489" t="s">
        <v>7196</v>
      </c>
      <c r="BF489" t="str">
        <f>HYPERLINK("http://dx.doi.org/10.1183/13993003.congress-2019.RCT1885","http://dx.doi.org/10.1183/13993003.congress-2019.RCT1885")</f>
        <v>http://dx.doi.org/10.1183/13993003.congress-2019.RCT1885</v>
      </c>
      <c r="BG489" t="s">
        <v>74</v>
      </c>
      <c r="BH489" t="s">
        <v>74</v>
      </c>
      <c r="BI489">
        <v>3</v>
      </c>
      <c r="BJ489" t="s">
        <v>228</v>
      </c>
      <c r="BK489" t="s">
        <v>512</v>
      </c>
      <c r="BL489" t="s">
        <v>228</v>
      </c>
      <c r="BM489" t="s">
        <v>7175</v>
      </c>
      <c r="BN489" t="s">
        <v>74</v>
      </c>
      <c r="BO489" t="s">
        <v>74</v>
      </c>
      <c r="BP489" t="s">
        <v>74</v>
      </c>
      <c r="BQ489" t="s">
        <v>74</v>
      </c>
      <c r="BR489" t="s">
        <v>104</v>
      </c>
      <c r="BS489" t="s">
        <v>7197</v>
      </c>
      <c r="BT489" t="str">
        <f>HYPERLINK("https%3A%2F%2Fwww.webofscience.com%2Fwos%2Fwoscc%2Ffull-record%2FWOS:000507372408096","View Full Record in Web of Science")</f>
        <v>View Full Record in Web of Science</v>
      </c>
    </row>
    <row r="490" spans="1:72" x14ac:dyDescent="0.25">
      <c r="A490" t="s">
        <v>72</v>
      </c>
      <c r="B490" t="s">
        <v>7198</v>
      </c>
      <c r="C490" t="s">
        <v>74</v>
      </c>
      <c r="D490" t="s">
        <v>74</v>
      </c>
      <c r="E490" t="s">
        <v>74</v>
      </c>
      <c r="F490" t="s">
        <v>7199</v>
      </c>
      <c r="G490" t="s">
        <v>74</v>
      </c>
      <c r="H490" t="s">
        <v>74</v>
      </c>
      <c r="I490" t="s">
        <v>7200</v>
      </c>
      <c r="J490" t="s">
        <v>216</v>
      </c>
      <c r="K490" t="s">
        <v>74</v>
      </c>
      <c r="L490" t="s">
        <v>74</v>
      </c>
      <c r="M490" t="s">
        <v>78</v>
      </c>
      <c r="N490" t="s">
        <v>52</v>
      </c>
      <c r="O490" t="s">
        <v>2951</v>
      </c>
      <c r="P490" t="s">
        <v>7166</v>
      </c>
      <c r="Q490" t="s">
        <v>7167</v>
      </c>
      <c r="R490" t="s">
        <v>2954</v>
      </c>
      <c r="S490" t="s">
        <v>74</v>
      </c>
      <c r="T490" t="s">
        <v>7201</v>
      </c>
      <c r="U490" t="s">
        <v>74</v>
      </c>
      <c r="V490" t="s">
        <v>74</v>
      </c>
      <c r="W490" t="s">
        <v>7202</v>
      </c>
      <c r="X490" t="s">
        <v>7203</v>
      </c>
      <c r="Y490" t="s">
        <v>74</v>
      </c>
      <c r="Z490" t="s">
        <v>5380</v>
      </c>
      <c r="AA490" t="s">
        <v>144</v>
      </c>
      <c r="AB490" t="s">
        <v>74</v>
      </c>
      <c r="AC490" t="s">
        <v>74</v>
      </c>
      <c r="AD490" t="s">
        <v>74</v>
      </c>
      <c r="AE490" t="s">
        <v>74</v>
      </c>
      <c r="AF490" t="s">
        <v>74</v>
      </c>
      <c r="AG490">
        <v>0</v>
      </c>
      <c r="AH490">
        <v>0</v>
      </c>
      <c r="AI490">
        <v>0</v>
      </c>
      <c r="AJ490">
        <v>1</v>
      </c>
      <c r="AK490">
        <v>3</v>
      </c>
      <c r="AL490" t="s">
        <v>219</v>
      </c>
      <c r="AM490" t="s">
        <v>220</v>
      </c>
      <c r="AN490" t="s">
        <v>221</v>
      </c>
      <c r="AO490" t="s">
        <v>222</v>
      </c>
      <c r="AP490" t="s">
        <v>223</v>
      </c>
      <c r="AQ490" t="s">
        <v>74</v>
      </c>
      <c r="AR490" t="s">
        <v>224</v>
      </c>
      <c r="AS490" t="s">
        <v>225</v>
      </c>
      <c r="AT490" t="s">
        <v>7172</v>
      </c>
      <c r="AU490">
        <v>2019</v>
      </c>
      <c r="AV490">
        <v>54</v>
      </c>
      <c r="AW490" t="s">
        <v>74</v>
      </c>
      <c r="AX490" t="s">
        <v>74</v>
      </c>
      <c r="AY490">
        <v>63</v>
      </c>
      <c r="AZ490" t="s">
        <v>74</v>
      </c>
      <c r="BA490" t="s">
        <v>7204</v>
      </c>
      <c r="BB490" t="s">
        <v>74</v>
      </c>
      <c r="BC490" t="s">
        <v>74</v>
      </c>
      <c r="BD490" t="s">
        <v>74</v>
      </c>
      <c r="BE490" t="s">
        <v>7205</v>
      </c>
      <c r="BF490" t="str">
        <f>HYPERLINK("http://dx.doi.org/10.1183/13993003.congress-2019.PA543","http://dx.doi.org/10.1183/13993003.congress-2019.PA543")</f>
        <v>http://dx.doi.org/10.1183/13993003.congress-2019.PA543</v>
      </c>
      <c r="BG490" t="s">
        <v>74</v>
      </c>
      <c r="BH490" t="s">
        <v>74</v>
      </c>
      <c r="BI490">
        <v>2</v>
      </c>
      <c r="BJ490" t="s">
        <v>228</v>
      </c>
      <c r="BK490" t="s">
        <v>512</v>
      </c>
      <c r="BL490" t="s">
        <v>228</v>
      </c>
      <c r="BM490" t="s">
        <v>7175</v>
      </c>
      <c r="BN490" t="s">
        <v>74</v>
      </c>
      <c r="BO490" t="s">
        <v>74</v>
      </c>
      <c r="BP490" t="s">
        <v>74</v>
      </c>
      <c r="BQ490" t="s">
        <v>74</v>
      </c>
      <c r="BR490" t="s">
        <v>104</v>
      </c>
      <c r="BS490" t="s">
        <v>7206</v>
      </c>
      <c r="BT490" t="str">
        <f>HYPERLINK("https%3A%2F%2Fwww.webofscience.com%2Fwos%2Fwoscc%2Ffull-record%2FWOS:000507372407140","View Full Record in Web of Science")</f>
        <v>View Full Record in Web of Science</v>
      </c>
    </row>
    <row r="491" spans="1:72" x14ac:dyDescent="0.25">
      <c r="A491" t="s">
        <v>72</v>
      </c>
      <c r="B491" t="s">
        <v>7207</v>
      </c>
      <c r="C491" t="s">
        <v>74</v>
      </c>
      <c r="D491" t="s">
        <v>74</v>
      </c>
      <c r="E491" t="s">
        <v>74</v>
      </c>
      <c r="F491" t="s">
        <v>7208</v>
      </c>
      <c r="G491" t="s">
        <v>74</v>
      </c>
      <c r="H491" t="s">
        <v>74</v>
      </c>
      <c r="I491" t="s">
        <v>7209</v>
      </c>
      <c r="J491" t="s">
        <v>216</v>
      </c>
      <c r="K491" t="s">
        <v>74</v>
      </c>
      <c r="L491" t="s">
        <v>74</v>
      </c>
      <c r="M491" t="s">
        <v>78</v>
      </c>
      <c r="N491" t="s">
        <v>52</v>
      </c>
      <c r="O491" t="s">
        <v>2951</v>
      </c>
      <c r="P491" t="s">
        <v>7166</v>
      </c>
      <c r="Q491" t="s">
        <v>7167</v>
      </c>
      <c r="R491" t="s">
        <v>2954</v>
      </c>
      <c r="S491" t="s">
        <v>74</v>
      </c>
      <c r="T491" t="s">
        <v>74</v>
      </c>
      <c r="U491" t="s">
        <v>74</v>
      </c>
      <c r="V491" t="s">
        <v>74</v>
      </c>
      <c r="W491" t="s">
        <v>7210</v>
      </c>
      <c r="X491" t="s">
        <v>7211</v>
      </c>
      <c r="Y491" t="s">
        <v>74</v>
      </c>
      <c r="Z491" t="s">
        <v>4675</v>
      </c>
      <c r="AA491" t="s">
        <v>7212</v>
      </c>
      <c r="AB491" t="s">
        <v>7213</v>
      </c>
      <c r="AC491" t="s">
        <v>74</v>
      </c>
      <c r="AD491" t="s">
        <v>74</v>
      </c>
      <c r="AE491" t="s">
        <v>74</v>
      </c>
      <c r="AF491" t="s">
        <v>74</v>
      </c>
      <c r="AG491">
        <v>0</v>
      </c>
      <c r="AH491">
        <v>1</v>
      </c>
      <c r="AI491">
        <v>1</v>
      </c>
      <c r="AJ491">
        <v>0</v>
      </c>
      <c r="AK491">
        <v>0</v>
      </c>
      <c r="AL491" t="s">
        <v>219</v>
      </c>
      <c r="AM491" t="s">
        <v>220</v>
      </c>
      <c r="AN491" t="s">
        <v>221</v>
      </c>
      <c r="AO491" t="s">
        <v>222</v>
      </c>
      <c r="AP491" t="s">
        <v>223</v>
      </c>
      <c r="AQ491" t="s">
        <v>74</v>
      </c>
      <c r="AR491" t="s">
        <v>224</v>
      </c>
      <c r="AS491" t="s">
        <v>225</v>
      </c>
      <c r="AT491" t="s">
        <v>7172</v>
      </c>
      <c r="AU491">
        <v>2019</v>
      </c>
      <c r="AV491">
        <v>54</v>
      </c>
      <c r="AW491" t="s">
        <v>74</v>
      </c>
      <c r="AX491" t="s">
        <v>74</v>
      </c>
      <c r="AY491">
        <v>63</v>
      </c>
      <c r="AZ491" t="s">
        <v>74</v>
      </c>
      <c r="BA491" t="s">
        <v>7214</v>
      </c>
      <c r="BB491" t="s">
        <v>74</v>
      </c>
      <c r="BC491" t="s">
        <v>74</v>
      </c>
      <c r="BD491" t="s">
        <v>74</v>
      </c>
      <c r="BE491" t="s">
        <v>7215</v>
      </c>
      <c r="BF491" t="str">
        <f>HYPERLINK("http://dx.doi.org/10.1183/13993003.congress-2019.PA5456","http://dx.doi.org/10.1183/13993003.congress-2019.PA5456")</f>
        <v>http://dx.doi.org/10.1183/13993003.congress-2019.PA5456</v>
      </c>
      <c r="BG491" t="s">
        <v>74</v>
      </c>
      <c r="BH491" t="s">
        <v>74</v>
      </c>
      <c r="BI491">
        <v>3</v>
      </c>
      <c r="BJ491" t="s">
        <v>228</v>
      </c>
      <c r="BK491" t="s">
        <v>512</v>
      </c>
      <c r="BL491" t="s">
        <v>228</v>
      </c>
      <c r="BM491" t="s">
        <v>7175</v>
      </c>
      <c r="BN491" t="s">
        <v>74</v>
      </c>
      <c r="BO491" t="s">
        <v>74</v>
      </c>
      <c r="BP491" t="s">
        <v>74</v>
      </c>
      <c r="BQ491" t="s">
        <v>74</v>
      </c>
      <c r="BR491" t="s">
        <v>104</v>
      </c>
      <c r="BS491" t="s">
        <v>7216</v>
      </c>
      <c r="BT491" t="str">
        <f>HYPERLINK("https%3A%2F%2Fwww.webofscience.com%2Fwos%2Fwoscc%2Ffull-record%2FWOS:000507372407166","View Full Record in Web of Science")</f>
        <v>View Full Record in Web of Science</v>
      </c>
    </row>
    <row r="492" spans="1:72" x14ac:dyDescent="0.25">
      <c r="A492" t="s">
        <v>72</v>
      </c>
      <c r="B492" t="s">
        <v>7217</v>
      </c>
      <c r="C492" t="s">
        <v>74</v>
      </c>
      <c r="D492" t="s">
        <v>74</v>
      </c>
      <c r="E492" t="s">
        <v>74</v>
      </c>
      <c r="F492" t="s">
        <v>7218</v>
      </c>
      <c r="G492" t="s">
        <v>74</v>
      </c>
      <c r="H492" t="s">
        <v>74</v>
      </c>
      <c r="I492" t="s">
        <v>7219</v>
      </c>
      <c r="J492" t="s">
        <v>216</v>
      </c>
      <c r="K492" t="s">
        <v>74</v>
      </c>
      <c r="L492" t="s">
        <v>74</v>
      </c>
      <c r="M492" t="s">
        <v>78</v>
      </c>
      <c r="N492" t="s">
        <v>52</v>
      </c>
      <c r="O492" t="s">
        <v>2951</v>
      </c>
      <c r="P492" t="s">
        <v>7166</v>
      </c>
      <c r="Q492" t="s">
        <v>7167</v>
      </c>
      <c r="R492" t="s">
        <v>2954</v>
      </c>
      <c r="S492" t="s">
        <v>74</v>
      </c>
      <c r="T492" t="s">
        <v>7220</v>
      </c>
      <c r="U492" t="s">
        <v>74</v>
      </c>
      <c r="V492" t="s">
        <v>74</v>
      </c>
      <c r="W492" t="s">
        <v>7221</v>
      </c>
      <c r="X492" t="s">
        <v>7222</v>
      </c>
      <c r="Y492" t="s">
        <v>74</v>
      </c>
      <c r="Z492" t="s">
        <v>1448</v>
      </c>
      <c r="AA492" t="s">
        <v>7223</v>
      </c>
      <c r="AB492" t="s">
        <v>7224</v>
      </c>
      <c r="AC492" t="s">
        <v>74</v>
      </c>
      <c r="AD492" t="s">
        <v>74</v>
      </c>
      <c r="AE492" t="s">
        <v>74</v>
      </c>
      <c r="AF492" t="s">
        <v>74</v>
      </c>
      <c r="AG492">
        <v>0</v>
      </c>
      <c r="AH492">
        <v>2</v>
      </c>
      <c r="AI492">
        <v>2</v>
      </c>
      <c r="AJ492">
        <v>0</v>
      </c>
      <c r="AK492">
        <v>0</v>
      </c>
      <c r="AL492" t="s">
        <v>219</v>
      </c>
      <c r="AM492" t="s">
        <v>220</v>
      </c>
      <c r="AN492" t="s">
        <v>221</v>
      </c>
      <c r="AO492" t="s">
        <v>222</v>
      </c>
      <c r="AP492" t="s">
        <v>223</v>
      </c>
      <c r="AQ492" t="s">
        <v>74</v>
      </c>
      <c r="AR492" t="s">
        <v>224</v>
      </c>
      <c r="AS492" t="s">
        <v>225</v>
      </c>
      <c r="AT492" t="s">
        <v>7172</v>
      </c>
      <c r="AU492">
        <v>2019</v>
      </c>
      <c r="AV492">
        <v>54</v>
      </c>
      <c r="AW492" t="s">
        <v>74</v>
      </c>
      <c r="AX492" t="s">
        <v>74</v>
      </c>
      <c r="AY492">
        <v>63</v>
      </c>
      <c r="AZ492" t="s">
        <v>74</v>
      </c>
      <c r="BA492" t="s">
        <v>7225</v>
      </c>
      <c r="BB492" t="s">
        <v>74</v>
      </c>
      <c r="BC492" t="s">
        <v>74</v>
      </c>
      <c r="BD492" t="s">
        <v>74</v>
      </c>
      <c r="BE492" t="s">
        <v>7226</v>
      </c>
      <c r="BF492" t="str">
        <f>HYPERLINK("http://dx.doi.org/10.1183/13993003.congress-2019.PA3951","http://dx.doi.org/10.1183/13993003.congress-2019.PA3951")</f>
        <v>http://dx.doi.org/10.1183/13993003.congress-2019.PA3951</v>
      </c>
      <c r="BG492" t="s">
        <v>74</v>
      </c>
      <c r="BH492" t="s">
        <v>74</v>
      </c>
      <c r="BI492">
        <v>2</v>
      </c>
      <c r="BJ492" t="s">
        <v>228</v>
      </c>
      <c r="BK492" t="s">
        <v>512</v>
      </c>
      <c r="BL492" t="s">
        <v>228</v>
      </c>
      <c r="BM492" t="s">
        <v>7175</v>
      </c>
      <c r="BN492" t="s">
        <v>74</v>
      </c>
      <c r="BO492" t="s">
        <v>74</v>
      </c>
      <c r="BP492" t="s">
        <v>74</v>
      </c>
      <c r="BQ492" t="s">
        <v>74</v>
      </c>
      <c r="BR492" t="s">
        <v>104</v>
      </c>
      <c r="BS492" t="s">
        <v>7227</v>
      </c>
      <c r="BT492" t="str">
        <f>HYPERLINK("https%3A%2F%2Fwww.webofscience.com%2Fwos%2Fwoscc%2Ffull-record%2FWOS:000507372405005","View Full Record in Web of Science")</f>
        <v>View Full Record in Web of Science</v>
      </c>
    </row>
    <row r="493" spans="1:72" x14ac:dyDescent="0.25">
      <c r="A493" t="s">
        <v>72</v>
      </c>
      <c r="B493" t="s">
        <v>7228</v>
      </c>
      <c r="C493" t="s">
        <v>74</v>
      </c>
      <c r="D493" t="s">
        <v>74</v>
      </c>
      <c r="E493" t="s">
        <v>74</v>
      </c>
      <c r="F493" t="s">
        <v>7229</v>
      </c>
      <c r="G493" t="s">
        <v>74</v>
      </c>
      <c r="H493" t="s">
        <v>74</v>
      </c>
      <c r="I493" t="s">
        <v>7230</v>
      </c>
      <c r="J493" t="s">
        <v>216</v>
      </c>
      <c r="K493" t="s">
        <v>74</v>
      </c>
      <c r="L493" t="s">
        <v>74</v>
      </c>
      <c r="M493" t="s">
        <v>78</v>
      </c>
      <c r="N493" t="s">
        <v>52</v>
      </c>
      <c r="O493" t="s">
        <v>2951</v>
      </c>
      <c r="P493" t="s">
        <v>7166</v>
      </c>
      <c r="Q493" t="s">
        <v>7167</v>
      </c>
      <c r="R493" t="s">
        <v>2954</v>
      </c>
      <c r="S493" t="s">
        <v>74</v>
      </c>
      <c r="T493" t="s">
        <v>7231</v>
      </c>
      <c r="U493" t="s">
        <v>74</v>
      </c>
      <c r="V493" t="s">
        <v>74</v>
      </c>
      <c r="W493" t="s">
        <v>7232</v>
      </c>
      <c r="X493" t="s">
        <v>7233</v>
      </c>
      <c r="Y493" t="s">
        <v>74</v>
      </c>
      <c r="Z493" t="s">
        <v>7234</v>
      </c>
      <c r="AA493" t="s">
        <v>7235</v>
      </c>
      <c r="AB493" t="s">
        <v>7236</v>
      </c>
      <c r="AC493" t="s">
        <v>74</v>
      </c>
      <c r="AD493" t="s">
        <v>74</v>
      </c>
      <c r="AE493" t="s">
        <v>74</v>
      </c>
      <c r="AF493" t="s">
        <v>74</v>
      </c>
      <c r="AG493">
        <v>0</v>
      </c>
      <c r="AH493">
        <v>0</v>
      </c>
      <c r="AI493">
        <v>0</v>
      </c>
      <c r="AJ493">
        <v>0</v>
      </c>
      <c r="AK493">
        <v>0</v>
      </c>
      <c r="AL493" t="s">
        <v>219</v>
      </c>
      <c r="AM493" t="s">
        <v>220</v>
      </c>
      <c r="AN493" t="s">
        <v>221</v>
      </c>
      <c r="AO493" t="s">
        <v>222</v>
      </c>
      <c r="AP493" t="s">
        <v>223</v>
      </c>
      <c r="AQ493" t="s">
        <v>74</v>
      </c>
      <c r="AR493" t="s">
        <v>224</v>
      </c>
      <c r="AS493" t="s">
        <v>225</v>
      </c>
      <c r="AT493" t="s">
        <v>7172</v>
      </c>
      <c r="AU493">
        <v>2019</v>
      </c>
      <c r="AV493">
        <v>54</v>
      </c>
      <c r="AW493" t="s">
        <v>74</v>
      </c>
      <c r="AX493" t="s">
        <v>74</v>
      </c>
      <c r="AY493">
        <v>63</v>
      </c>
      <c r="AZ493" t="s">
        <v>74</v>
      </c>
      <c r="BA493" t="s">
        <v>7237</v>
      </c>
      <c r="BB493" t="s">
        <v>74</v>
      </c>
      <c r="BC493" t="s">
        <v>74</v>
      </c>
      <c r="BD493" t="s">
        <v>74</v>
      </c>
      <c r="BE493" t="s">
        <v>7238</v>
      </c>
      <c r="BF493" t="str">
        <f>HYPERLINK("http://dx.doi.org/10.1183/13993003.congress-2019.PA2546","http://dx.doi.org/10.1183/13993003.congress-2019.PA2546")</f>
        <v>http://dx.doi.org/10.1183/13993003.congress-2019.PA2546</v>
      </c>
      <c r="BG493" t="s">
        <v>74</v>
      </c>
      <c r="BH493" t="s">
        <v>74</v>
      </c>
      <c r="BI493">
        <v>3</v>
      </c>
      <c r="BJ493" t="s">
        <v>228</v>
      </c>
      <c r="BK493" t="s">
        <v>512</v>
      </c>
      <c r="BL493" t="s">
        <v>228</v>
      </c>
      <c r="BM493" t="s">
        <v>7175</v>
      </c>
      <c r="BN493" t="s">
        <v>74</v>
      </c>
      <c r="BO493" t="s">
        <v>74</v>
      </c>
      <c r="BP493" t="s">
        <v>74</v>
      </c>
      <c r="BQ493" t="s">
        <v>74</v>
      </c>
      <c r="BR493" t="s">
        <v>104</v>
      </c>
      <c r="BS493" t="s">
        <v>7239</v>
      </c>
      <c r="BT493" t="str">
        <f>HYPERLINK("https%3A%2F%2Fwww.webofscience.com%2Fwos%2Fwoscc%2Ffull-record%2FWOS:000507372403073","View Full Record in Web of Science")</f>
        <v>View Full Record in Web of Science</v>
      </c>
    </row>
    <row r="494" spans="1:72" x14ac:dyDescent="0.25">
      <c r="A494" t="s">
        <v>72</v>
      </c>
      <c r="B494" t="s">
        <v>7240</v>
      </c>
      <c r="C494" t="s">
        <v>74</v>
      </c>
      <c r="D494" t="s">
        <v>74</v>
      </c>
      <c r="E494" t="s">
        <v>74</v>
      </c>
      <c r="F494" t="s">
        <v>7241</v>
      </c>
      <c r="G494" t="s">
        <v>74</v>
      </c>
      <c r="H494" t="s">
        <v>74</v>
      </c>
      <c r="I494" t="s">
        <v>7242</v>
      </c>
      <c r="J494" t="s">
        <v>216</v>
      </c>
      <c r="K494" t="s">
        <v>74</v>
      </c>
      <c r="L494" t="s">
        <v>74</v>
      </c>
      <c r="M494" t="s">
        <v>78</v>
      </c>
      <c r="N494" t="s">
        <v>52</v>
      </c>
      <c r="O494" t="s">
        <v>2951</v>
      </c>
      <c r="P494" t="s">
        <v>7166</v>
      </c>
      <c r="Q494" t="s">
        <v>7167</v>
      </c>
      <c r="R494" t="s">
        <v>2954</v>
      </c>
      <c r="S494" t="s">
        <v>74</v>
      </c>
      <c r="T494" t="s">
        <v>7243</v>
      </c>
      <c r="U494" t="s">
        <v>74</v>
      </c>
      <c r="V494" t="s">
        <v>74</v>
      </c>
      <c r="W494" t="s">
        <v>7244</v>
      </c>
      <c r="X494" t="s">
        <v>7245</v>
      </c>
      <c r="Y494" t="s">
        <v>74</v>
      </c>
      <c r="Z494" t="s">
        <v>7234</v>
      </c>
      <c r="AA494" t="s">
        <v>7246</v>
      </c>
      <c r="AB494" t="s">
        <v>74</v>
      </c>
      <c r="AC494" t="s">
        <v>74</v>
      </c>
      <c r="AD494" t="s">
        <v>74</v>
      </c>
      <c r="AE494" t="s">
        <v>74</v>
      </c>
      <c r="AF494" t="s">
        <v>74</v>
      </c>
      <c r="AG494">
        <v>0</v>
      </c>
      <c r="AH494">
        <v>0</v>
      </c>
      <c r="AI494">
        <v>0</v>
      </c>
      <c r="AJ494">
        <v>0</v>
      </c>
      <c r="AK494">
        <v>0</v>
      </c>
      <c r="AL494" t="s">
        <v>219</v>
      </c>
      <c r="AM494" t="s">
        <v>220</v>
      </c>
      <c r="AN494" t="s">
        <v>221</v>
      </c>
      <c r="AO494" t="s">
        <v>222</v>
      </c>
      <c r="AP494" t="s">
        <v>223</v>
      </c>
      <c r="AQ494" t="s">
        <v>74</v>
      </c>
      <c r="AR494" t="s">
        <v>224</v>
      </c>
      <c r="AS494" t="s">
        <v>225</v>
      </c>
      <c r="AT494" t="s">
        <v>7172</v>
      </c>
      <c r="AU494">
        <v>2019</v>
      </c>
      <c r="AV494">
        <v>54</v>
      </c>
      <c r="AW494" t="s">
        <v>74</v>
      </c>
      <c r="AX494" t="s">
        <v>74</v>
      </c>
      <c r="AY494">
        <v>63</v>
      </c>
      <c r="AZ494" t="s">
        <v>74</v>
      </c>
      <c r="BA494" t="s">
        <v>7247</v>
      </c>
      <c r="BB494" t="s">
        <v>74</v>
      </c>
      <c r="BC494" t="s">
        <v>74</v>
      </c>
      <c r="BD494" t="s">
        <v>74</v>
      </c>
      <c r="BE494" t="s">
        <v>7248</v>
      </c>
      <c r="BF494" t="str">
        <f>HYPERLINK("http://dx.doi.org/10.1183/13993003.congress-2019.PA2549","http://dx.doi.org/10.1183/13993003.congress-2019.PA2549")</f>
        <v>http://dx.doi.org/10.1183/13993003.congress-2019.PA2549</v>
      </c>
      <c r="BG494" t="s">
        <v>74</v>
      </c>
      <c r="BH494" t="s">
        <v>74</v>
      </c>
      <c r="BI494">
        <v>3</v>
      </c>
      <c r="BJ494" t="s">
        <v>228</v>
      </c>
      <c r="BK494" t="s">
        <v>512</v>
      </c>
      <c r="BL494" t="s">
        <v>228</v>
      </c>
      <c r="BM494" t="s">
        <v>7175</v>
      </c>
      <c r="BN494" t="s">
        <v>74</v>
      </c>
      <c r="BO494" t="s">
        <v>74</v>
      </c>
      <c r="BP494" t="s">
        <v>74</v>
      </c>
      <c r="BQ494" t="s">
        <v>74</v>
      </c>
      <c r="BR494" t="s">
        <v>104</v>
      </c>
      <c r="BS494" t="s">
        <v>7249</v>
      </c>
      <c r="BT494" t="str">
        <f>HYPERLINK("https%3A%2F%2Fwww.webofscience.com%2Fwos%2Fwoscc%2Ffull-record%2FWOS:000507372403076","View Full Record in Web of Science")</f>
        <v>View Full Record in Web of Science</v>
      </c>
    </row>
    <row r="495" spans="1:72" x14ac:dyDescent="0.25">
      <c r="A495" t="s">
        <v>72</v>
      </c>
      <c r="B495" t="s">
        <v>7250</v>
      </c>
      <c r="C495" t="s">
        <v>74</v>
      </c>
      <c r="D495" t="s">
        <v>74</v>
      </c>
      <c r="E495" t="s">
        <v>74</v>
      </c>
      <c r="F495" t="s">
        <v>7251</v>
      </c>
      <c r="G495" t="s">
        <v>74</v>
      </c>
      <c r="H495" t="s">
        <v>74</v>
      </c>
      <c r="I495" t="s">
        <v>7252</v>
      </c>
      <c r="J495" t="s">
        <v>216</v>
      </c>
      <c r="K495" t="s">
        <v>74</v>
      </c>
      <c r="L495" t="s">
        <v>74</v>
      </c>
      <c r="M495" t="s">
        <v>78</v>
      </c>
      <c r="N495" t="s">
        <v>52</v>
      </c>
      <c r="O495" t="s">
        <v>2951</v>
      </c>
      <c r="P495" t="s">
        <v>7166</v>
      </c>
      <c r="Q495" t="s">
        <v>7167</v>
      </c>
      <c r="R495" t="s">
        <v>2954</v>
      </c>
      <c r="S495" t="s">
        <v>74</v>
      </c>
      <c r="T495" t="s">
        <v>7253</v>
      </c>
      <c r="U495" t="s">
        <v>74</v>
      </c>
      <c r="V495" t="s">
        <v>74</v>
      </c>
      <c r="W495" t="s">
        <v>7254</v>
      </c>
      <c r="X495" t="s">
        <v>7255</v>
      </c>
      <c r="Y495" t="s">
        <v>74</v>
      </c>
      <c r="Z495" t="s">
        <v>4342</v>
      </c>
      <c r="AA495" t="s">
        <v>7256</v>
      </c>
      <c r="AB495" t="s">
        <v>5709</v>
      </c>
      <c r="AC495" t="s">
        <v>74</v>
      </c>
      <c r="AD495" t="s">
        <v>74</v>
      </c>
      <c r="AE495" t="s">
        <v>74</v>
      </c>
      <c r="AF495" t="s">
        <v>74</v>
      </c>
      <c r="AG495">
        <v>0</v>
      </c>
      <c r="AH495">
        <v>1</v>
      </c>
      <c r="AI495">
        <v>1</v>
      </c>
      <c r="AJ495">
        <v>0</v>
      </c>
      <c r="AK495">
        <v>0</v>
      </c>
      <c r="AL495" t="s">
        <v>219</v>
      </c>
      <c r="AM495" t="s">
        <v>220</v>
      </c>
      <c r="AN495" t="s">
        <v>221</v>
      </c>
      <c r="AO495" t="s">
        <v>222</v>
      </c>
      <c r="AP495" t="s">
        <v>223</v>
      </c>
      <c r="AQ495" t="s">
        <v>74</v>
      </c>
      <c r="AR495" t="s">
        <v>224</v>
      </c>
      <c r="AS495" t="s">
        <v>225</v>
      </c>
      <c r="AT495" t="s">
        <v>7172</v>
      </c>
      <c r="AU495">
        <v>2019</v>
      </c>
      <c r="AV495">
        <v>54</v>
      </c>
      <c r="AW495" t="s">
        <v>74</v>
      </c>
      <c r="AX495" t="s">
        <v>74</v>
      </c>
      <c r="AY495">
        <v>63</v>
      </c>
      <c r="AZ495" t="s">
        <v>74</v>
      </c>
      <c r="BA495" t="s">
        <v>7257</v>
      </c>
      <c r="BB495" t="s">
        <v>74</v>
      </c>
      <c r="BC495" t="s">
        <v>74</v>
      </c>
      <c r="BD495" t="s">
        <v>74</v>
      </c>
      <c r="BE495" t="s">
        <v>7258</v>
      </c>
      <c r="BF495" t="str">
        <f>HYPERLINK("http://dx.doi.org/10.1183/13993003.congress-2019.PA1954","http://dx.doi.org/10.1183/13993003.congress-2019.PA1954")</f>
        <v>http://dx.doi.org/10.1183/13993003.congress-2019.PA1954</v>
      </c>
      <c r="BG495" t="s">
        <v>74</v>
      </c>
      <c r="BH495" t="s">
        <v>74</v>
      </c>
      <c r="BI495">
        <v>2</v>
      </c>
      <c r="BJ495" t="s">
        <v>228</v>
      </c>
      <c r="BK495" t="s">
        <v>512</v>
      </c>
      <c r="BL495" t="s">
        <v>228</v>
      </c>
      <c r="BM495" t="s">
        <v>7175</v>
      </c>
      <c r="BN495" t="s">
        <v>74</v>
      </c>
      <c r="BO495" t="s">
        <v>74</v>
      </c>
      <c r="BP495" t="s">
        <v>74</v>
      </c>
      <c r="BQ495" t="s">
        <v>74</v>
      </c>
      <c r="BR495" t="s">
        <v>104</v>
      </c>
      <c r="BS495" t="s">
        <v>7259</v>
      </c>
      <c r="BT495" t="str">
        <f>HYPERLINK("https%3A%2F%2Fwww.webofscience.com%2Fwos%2Fwoscc%2Ffull-record%2FWOS:000507372402114","View Full Record in Web of Science")</f>
        <v>View Full Record in Web of Science</v>
      </c>
    </row>
    <row r="496" spans="1:72" x14ac:dyDescent="0.25">
      <c r="A496" t="s">
        <v>72</v>
      </c>
      <c r="B496" t="s">
        <v>7260</v>
      </c>
      <c r="C496" t="s">
        <v>74</v>
      </c>
      <c r="D496" t="s">
        <v>74</v>
      </c>
      <c r="E496" t="s">
        <v>74</v>
      </c>
      <c r="F496" t="s">
        <v>7261</v>
      </c>
      <c r="G496" t="s">
        <v>74</v>
      </c>
      <c r="H496" t="s">
        <v>74</v>
      </c>
      <c r="I496" t="s">
        <v>7262</v>
      </c>
      <c r="J496" t="s">
        <v>216</v>
      </c>
      <c r="K496" t="s">
        <v>74</v>
      </c>
      <c r="L496" t="s">
        <v>74</v>
      </c>
      <c r="M496" t="s">
        <v>78</v>
      </c>
      <c r="N496" t="s">
        <v>52</v>
      </c>
      <c r="O496" t="s">
        <v>2951</v>
      </c>
      <c r="P496" t="s">
        <v>7166</v>
      </c>
      <c r="Q496" t="s">
        <v>7167</v>
      </c>
      <c r="R496" t="s">
        <v>2954</v>
      </c>
      <c r="S496" t="s">
        <v>74</v>
      </c>
      <c r="T496" t="s">
        <v>3018</v>
      </c>
      <c r="U496" t="s">
        <v>74</v>
      </c>
      <c r="V496" t="s">
        <v>74</v>
      </c>
      <c r="W496" t="s">
        <v>7263</v>
      </c>
      <c r="X496" t="s">
        <v>7264</v>
      </c>
      <c r="Y496" t="s">
        <v>74</v>
      </c>
      <c r="Z496" t="s">
        <v>7265</v>
      </c>
      <c r="AA496" t="s">
        <v>7266</v>
      </c>
      <c r="AB496" t="s">
        <v>5709</v>
      </c>
      <c r="AC496" t="s">
        <v>74</v>
      </c>
      <c r="AD496" t="s">
        <v>74</v>
      </c>
      <c r="AE496" t="s">
        <v>74</v>
      </c>
      <c r="AF496" t="s">
        <v>74</v>
      </c>
      <c r="AG496">
        <v>0</v>
      </c>
      <c r="AH496">
        <v>0</v>
      </c>
      <c r="AI496">
        <v>0</v>
      </c>
      <c r="AJ496">
        <v>0</v>
      </c>
      <c r="AK496">
        <v>0</v>
      </c>
      <c r="AL496" t="s">
        <v>219</v>
      </c>
      <c r="AM496" t="s">
        <v>220</v>
      </c>
      <c r="AN496" t="s">
        <v>221</v>
      </c>
      <c r="AO496" t="s">
        <v>222</v>
      </c>
      <c r="AP496" t="s">
        <v>223</v>
      </c>
      <c r="AQ496" t="s">
        <v>74</v>
      </c>
      <c r="AR496" t="s">
        <v>224</v>
      </c>
      <c r="AS496" t="s">
        <v>225</v>
      </c>
      <c r="AT496" t="s">
        <v>7172</v>
      </c>
      <c r="AU496">
        <v>2019</v>
      </c>
      <c r="AV496">
        <v>54</v>
      </c>
      <c r="AW496" t="s">
        <v>74</v>
      </c>
      <c r="AX496" t="s">
        <v>74</v>
      </c>
      <c r="AY496">
        <v>63</v>
      </c>
      <c r="AZ496" t="s">
        <v>74</v>
      </c>
      <c r="BA496" t="s">
        <v>7267</v>
      </c>
      <c r="BB496" t="s">
        <v>74</v>
      </c>
      <c r="BC496" t="s">
        <v>74</v>
      </c>
      <c r="BD496" t="s">
        <v>74</v>
      </c>
      <c r="BE496" t="s">
        <v>7268</v>
      </c>
      <c r="BF496" t="str">
        <f>HYPERLINK("http://dx.doi.org/10.1183/13993003.congress-2019.OA5162","http://dx.doi.org/10.1183/13993003.congress-2019.OA5162")</f>
        <v>http://dx.doi.org/10.1183/13993003.congress-2019.OA5162</v>
      </c>
      <c r="BG496" t="s">
        <v>74</v>
      </c>
      <c r="BH496" t="s">
        <v>74</v>
      </c>
      <c r="BI496">
        <v>2</v>
      </c>
      <c r="BJ496" t="s">
        <v>228</v>
      </c>
      <c r="BK496" t="s">
        <v>512</v>
      </c>
      <c r="BL496" t="s">
        <v>228</v>
      </c>
      <c r="BM496" t="s">
        <v>7175</v>
      </c>
      <c r="BN496" t="s">
        <v>74</v>
      </c>
      <c r="BO496" t="s">
        <v>74</v>
      </c>
      <c r="BP496" t="s">
        <v>74</v>
      </c>
      <c r="BQ496" t="s">
        <v>74</v>
      </c>
      <c r="BR496" t="s">
        <v>104</v>
      </c>
      <c r="BS496" t="s">
        <v>7269</v>
      </c>
      <c r="BT496" t="str">
        <f>HYPERLINK("https%3A%2F%2Fwww.webofscience.com%2Fwos%2Fwoscc%2Ffull-record%2FWOS:000507372400446","View Full Record in Web of Science")</f>
        <v>View Full Record in Web of Science</v>
      </c>
    </row>
    <row r="497" spans="1:72" x14ac:dyDescent="0.25">
      <c r="A497" t="s">
        <v>72</v>
      </c>
      <c r="B497" t="s">
        <v>7270</v>
      </c>
      <c r="C497" t="s">
        <v>74</v>
      </c>
      <c r="D497" t="s">
        <v>74</v>
      </c>
      <c r="E497" t="s">
        <v>74</v>
      </c>
      <c r="F497" t="s">
        <v>7271</v>
      </c>
      <c r="G497" t="s">
        <v>74</v>
      </c>
      <c r="H497" t="s">
        <v>74</v>
      </c>
      <c r="I497" t="s">
        <v>7272</v>
      </c>
      <c r="J497" t="s">
        <v>216</v>
      </c>
      <c r="K497" t="s">
        <v>74</v>
      </c>
      <c r="L497" t="s">
        <v>74</v>
      </c>
      <c r="M497" t="s">
        <v>78</v>
      </c>
      <c r="N497" t="s">
        <v>52</v>
      </c>
      <c r="O497" t="s">
        <v>2951</v>
      </c>
      <c r="P497" t="s">
        <v>7166</v>
      </c>
      <c r="Q497" t="s">
        <v>7167</v>
      </c>
      <c r="R497" t="s">
        <v>2954</v>
      </c>
      <c r="S497" t="s">
        <v>74</v>
      </c>
      <c r="T497" t="s">
        <v>7273</v>
      </c>
      <c r="U497" t="s">
        <v>74</v>
      </c>
      <c r="V497" t="s">
        <v>74</v>
      </c>
      <c r="W497" t="s">
        <v>7274</v>
      </c>
      <c r="X497" t="s">
        <v>7275</v>
      </c>
      <c r="Y497" t="s">
        <v>74</v>
      </c>
      <c r="Z497" t="s">
        <v>524</v>
      </c>
      <c r="AA497" t="s">
        <v>7276</v>
      </c>
      <c r="AB497" t="s">
        <v>7213</v>
      </c>
      <c r="AC497" t="s">
        <v>74</v>
      </c>
      <c r="AD497" t="s">
        <v>74</v>
      </c>
      <c r="AE497" t="s">
        <v>74</v>
      </c>
      <c r="AF497" t="s">
        <v>74</v>
      </c>
      <c r="AG497">
        <v>0</v>
      </c>
      <c r="AH497">
        <v>2</v>
      </c>
      <c r="AI497">
        <v>2</v>
      </c>
      <c r="AJ497">
        <v>0</v>
      </c>
      <c r="AK497">
        <v>2</v>
      </c>
      <c r="AL497" t="s">
        <v>219</v>
      </c>
      <c r="AM497" t="s">
        <v>220</v>
      </c>
      <c r="AN497" t="s">
        <v>221</v>
      </c>
      <c r="AO497" t="s">
        <v>222</v>
      </c>
      <c r="AP497" t="s">
        <v>223</v>
      </c>
      <c r="AQ497" t="s">
        <v>74</v>
      </c>
      <c r="AR497" t="s">
        <v>224</v>
      </c>
      <c r="AS497" t="s">
        <v>225</v>
      </c>
      <c r="AT497" t="s">
        <v>7172</v>
      </c>
      <c r="AU497">
        <v>2019</v>
      </c>
      <c r="AV497">
        <v>54</v>
      </c>
      <c r="AW497" t="s">
        <v>74</v>
      </c>
      <c r="AX497" t="s">
        <v>74</v>
      </c>
      <c r="AY497">
        <v>63</v>
      </c>
      <c r="AZ497" t="s">
        <v>74</v>
      </c>
      <c r="BA497" t="s">
        <v>7277</v>
      </c>
      <c r="BB497" t="s">
        <v>74</v>
      </c>
      <c r="BC497" t="s">
        <v>74</v>
      </c>
      <c r="BD497" t="s">
        <v>74</v>
      </c>
      <c r="BE497" t="s">
        <v>7278</v>
      </c>
      <c r="BF497" t="str">
        <f>HYPERLINK("http://dx.doi.org/10.1183/13993003.congress-2019.OA497","http://dx.doi.org/10.1183/13993003.congress-2019.OA497")</f>
        <v>http://dx.doi.org/10.1183/13993003.congress-2019.OA497</v>
      </c>
      <c r="BG497" t="s">
        <v>74</v>
      </c>
      <c r="BH497" t="s">
        <v>74</v>
      </c>
      <c r="BI497">
        <v>2</v>
      </c>
      <c r="BJ497" t="s">
        <v>228</v>
      </c>
      <c r="BK497" t="s">
        <v>512</v>
      </c>
      <c r="BL497" t="s">
        <v>228</v>
      </c>
      <c r="BM497" t="s">
        <v>7175</v>
      </c>
      <c r="BN497" t="s">
        <v>74</v>
      </c>
      <c r="BO497" t="s">
        <v>74</v>
      </c>
      <c r="BP497" t="s">
        <v>74</v>
      </c>
      <c r="BQ497" t="s">
        <v>74</v>
      </c>
      <c r="BR497" t="s">
        <v>104</v>
      </c>
      <c r="BS497" t="s">
        <v>7279</v>
      </c>
      <c r="BT497" t="str">
        <f>HYPERLINK("https%3A%2F%2Fwww.webofscience.com%2Fwos%2Fwoscc%2Ffull-record%2FWOS:000507372400401","View Full Record in Web of Science")</f>
        <v>View Full Record in Web of Science</v>
      </c>
    </row>
    <row r="498" spans="1:72" x14ac:dyDescent="0.25">
      <c r="A498" t="s">
        <v>72</v>
      </c>
      <c r="B498" t="s">
        <v>7280</v>
      </c>
      <c r="C498" t="s">
        <v>74</v>
      </c>
      <c r="D498" t="s">
        <v>74</v>
      </c>
      <c r="E498" t="s">
        <v>74</v>
      </c>
      <c r="F498" t="s">
        <v>7281</v>
      </c>
      <c r="G498" t="s">
        <v>74</v>
      </c>
      <c r="H498" t="s">
        <v>74</v>
      </c>
      <c r="I498" t="s">
        <v>7282</v>
      </c>
      <c r="J498" t="s">
        <v>5456</v>
      </c>
      <c r="K498" t="s">
        <v>74</v>
      </c>
      <c r="L498" t="s">
        <v>74</v>
      </c>
      <c r="M498" t="s">
        <v>78</v>
      </c>
      <c r="N498" t="s">
        <v>79</v>
      </c>
      <c r="O498" t="s">
        <v>74</v>
      </c>
      <c r="P498" t="s">
        <v>74</v>
      </c>
      <c r="Q498" t="s">
        <v>74</v>
      </c>
      <c r="R498" t="s">
        <v>74</v>
      </c>
      <c r="S498" t="s">
        <v>74</v>
      </c>
      <c r="T498" t="s">
        <v>74</v>
      </c>
      <c r="U498" t="s">
        <v>7283</v>
      </c>
      <c r="V498" t="s">
        <v>7284</v>
      </c>
      <c r="W498" t="s">
        <v>7285</v>
      </c>
      <c r="X498" t="s">
        <v>7286</v>
      </c>
      <c r="Y498" t="s">
        <v>7287</v>
      </c>
      <c r="Z498" t="s">
        <v>7288</v>
      </c>
      <c r="AA498" t="s">
        <v>7289</v>
      </c>
      <c r="AB498" t="s">
        <v>257</v>
      </c>
      <c r="AC498" t="s">
        <v>7133</v>
      </c>
      <c r="AD498" t="s">
        <v>3823</v>
      </c>
      <c r="AE498" t="s">
        <v>7290</v>
      </c>
      <c r="AF498" t="s">
        <v>74</v>
      </c>
      <c r="AG498">
        <v>31</v>
      </c>
      <c r="AH498">
        <v>11</v>
      </c>
      <c r="AI498">
        <v>11</v>
      </c>
      <c r="AJ498">
        <v>0</v>
      </c>
      <c r="AK498">
        <v>0</v>
      </c>
      <c r="AL498" t="s">
        <v>5465</v>
      </c>
      <c r="AM498" t="s">
        <v>5466</v>
      </c>
      <c r="AN498" t="s">
        <v>5467</v>
      </c>
      <c r="AO498" t="s">
        <v>5468</v>
      </c>
      <c r="AP498" t="s">
        <v>74</v>
      </c>
      <c r="AQ498" t="s">
        <v>74</v>
      </c>
      <c r="AR498" t="s">
        <v>5456</v>
      </c>
      <c r="AS498" t="s">
        <v>5469</v>
      </c>
      <c r="AT498" t="s">
        <v>7291</v>
      </c>
      <c r="AU498">
        <v>2019</v>
      </c>
      <c r="AV498">
        <v>14</v>
      </c>
      <c r="AW498">
        <v>9</v>
      </c>
      <c r="AX498" t="s">
        <v>74</v>
      </c>
      <c r="AY498" t="s">
        <v>74</v>
      </c>
      <c r="AZ498" t="s">
        <v>74</v>
      </c>
      <c r="BA498" t="s">
        <v>74</v>
      </c>
      <c r="BB498" t="s">
        <v>74</v>
      </c>
      <c r="BC498" t="s">
        <v>74</v>
      </c>
      <c r="BD498" t="s">
        <v>7292</v>
      </c>
      <c r="BE498" t="s">
        <v>7293</v>
      </c>
      <c r="BF498" t="str">
        <f>HYPERLINK("http://dx.doi.org/10.1371/journal.pone.0221211","http://dx.doi.org/10.1371/journal.pone.0221211")</f>
        <v>http://dx.doi.org/10.1371/journal.pone.0221211</v>
      </c>
      <c r="BG498" t="s">
        <v>74</v>
      </c>
      <c r="BH498" t="s">
        <v>74</v>
      </c>
      <c r="BI498">
        <v>14</v>
      </c>
      <c r="BJ498" t="s">
        <v>290</v>
      </c>
      <c r="BK498" t="s">
        <v>101</v>
      </c>
      <c r="BL498" t="s">
        <v>291</v>
      </c>
      <c r="BM498" t="s">
        <v>7294</v>
      </c>
      <c r="BN498">
        <v>31536491</v>
      </c>
      <c r="BO498" t="s">
        <v>1862</v>
      </c>
      <c r="BP498" t="s">
        <v>74</v>
      </c>
      <c r="BQ498" t="s">
        <v>74</v>
      </c>
      <c r="BR498" t="s">
        <v>104</v>
      </c>
      <c r="BS498" t="s">
        <v>7295</v>
      </c>
      <c r="BT498" t="str">
        <f>HYPERLINK("https%3A%2F%2Fwww.webofscience.com%2Fwos%2Fwoscc%2Ffull-record%2FWOS:000532262800015","View Full Record in Web of Science")</f>
        <v>View Full Record in Web of Science</v>
      </c>
    </row>
    <row r="499" spans="1:72" x14ac:dyDescent="0.25">
      <c r="A499" t="s">
        <v>72</v>
      </c>
      <c r="B499" t="s">
        <v>7296</v>
      </c>
      <c r="C499" t="s">
        <v>74</v>
      </c>
      <c r="D499" t="s">
        <v>74</v>
      </c>
      <c r="E499" t="s">
        <v>74</v>
      </c>
      <c r="F499" t="s">
        <v>7297</v>
      </c>
      <c r="G499" t="s">
        <v>74</v>
      </c>
      <c r="H499" t="s">
        <v>74</v>
      </c>
      <c r="I499" t="s">
        <v>7298</v>
      </c>
      <c r="J499" t="s">
        <v>6469</v>
      </c>
      <c r="K499" t="s">
        <v>74</v>
      </c>
      <c r="L499" t="s">
        <v>74</v>
      </c>
      <c r="M499" t="s">
        <v>78</v>
      </c>
      <c r="N499" t="s">
        <v>79</v>
      </c>
      <c r="O499" t="s">
        <v>74</v>
      </c>
      <c r="P499" t="s">
        <v>74</v>
      </c>
      <c r="Q499" t="s">
        <v>74</v>
      </c>
      <c r="R499" t="s">
        <v>74</v>
      </c>
      <c r="S499" t="s">
        <v>74</v>
      </c>
      <c r="T499" t="s">
        <v>7299</v>
      </c>
      <c r="U499" t="s">
        <v>74</v>
      </c>
      <c r="V499" t="s">
        <v>7300</v>
      </c>
      <c r="W499" t="s">
        <v>7301</v>
      </c>
      <c r="X499" t="s">
        <v>7302</v>
      </c>
      <c r="Y499" t="s">
        <v>7303</v>
      </c>
      <c r="Z499" t="s">
        <v>7304</v>
      </c>
      <c r="AA499" t="s">
        <v>7305</v>
      </c>
      <c r="AB499" t="s">
        <v>7306</v>
      </c>
      <c r="AC499" t="s">
        <v>74</v>
      </c>
      <c r="AD499" t="s">
        <v>74</v>
      </c>
      <c r="AE499" t="s">
        <v>74</v>
      </c>
      <c r="AF499" t="s">
        <v>74</v>
      </c>
      <c r="AG499">
        <v>7</v>
      </c>
      <c r="AH499">
        <v>9</v>
      </c>
      <c r="AI499">
        <v>9</v>
      </c>
      <c r="AJ499">
        <v>0</v>
      </c>
      <c r="AK499">
        <v>7</v>
      </c>
      <c r="AL499" t="s">
        <v>6482</v>
      </c>
      <c r="AM499" t="s">
        <v>5466</v>
      </c>
      <c r="AN499" t="s">
        <v>6483</v>
      </c>
      <c r="AO499" t="s">
        <v>6484</v>
      </c>
      <c r="AP499" t="s">
        <v>74</v>
      </c>
      <c r="AQ499" t="s">
        <v>74</v>
      </c>
      <c r="AR499" t="s">
        <v>6485</v>
      </c>
      <c r="AS499" t="s">
        <v>6486</v>
      </c>
      <c r="AT499" t="s">
        <v>226</v>
      </c>
      <c r="AU499">
        <v>2019</v>
      </c>
      <c r="AV499">
        <v>6</v>
      </c>
      <c r="AW499">
        <v>6</v>
      </c>
      <c r="AX499" t="s">
        <v>74</v>
      </c>
      <c r="AY499" t="s">
        <v>74</v>
      </c>
      <c r="AZ499" t="s">
        <v>74</v>
      </c>
      <c r="BA499" t="s">
        <v>74</v>
      </c>
      <c r="BB499">
        <v>1322</v>
      </c>
      <c r="BC499">
        <v>1325</v>
      </c>
      <c r="BD499" t="s">
        <v>74</v>
      </c>
      <c r="BE499" t="s">
        <v>7307</v>
      </c>
      <c r="BF499" t="str">
        <f>HYPERLINK("http://dx.doi.org/10.1002/ehf2.12507","http://dx.doi.org/10.1002/ehf2.12507")</f>
        <v>http://dx.doi.org/10.1002/ehf2.12507</v>
      </c>
      <c r="BG499" t="s">
        <v>74</v>
      </c>
      <c r="BH499" t="s">
        <v>7308</v>
      </c>
      <c r="BI499">
        <v>4</v>
      </c>
      <c r="BJ499" t="s">
        <v>132</v>
      </c>
      <c r="BK499" t="s">
        <v>101</v>
      </c>
      <c r="BL499" t="s">
        <v>133</v>
      </c>
      <c r="BM499" t="s">
        <v>7309</v>
      </c>
      <c r="BN499">
        <v>31536678</v>
      </c>
      <c r="BO499" t="s">
        <v>809</v>
      </c>
      <c r="BP499" t="s">
        <v>74</v>
      </c>
      <c r="BQ499" t="s">
        <v>74</v>
      </c>
      <c r="BR499" t="s">
        <v>104</v>
      </c>
      <c r="BS499" t="s">
        <v>7310</v>
      </c>
      <c r="BT499" t="str">
        <f>HYPERLINK("https%3A%2F%2Fwww.webofscience.com%2Fwos%2Fwoscc%2Ffull-record%2FWOS:000487460700001","View Full Record in Web of Science")</f>
        <v>View Full Record in Web of Science</v>
      </c>
    </row>
    <row r="500" spans="1:72" x14ac:dyDescent="0.25">
      <c r="A500" t="s">
        <v>72</v>
      </c>
      <c r="B500" t="s">
        <v>7311</v>
      </c>
      <c r="C500" t="s">
        <v>74</v>
      </c>
      <c r="D500" t="s">
        <v>74</v>
      </c>
      <c r="E500" t="s">
        <v>74</v>
      </c>
      <c r="F500" t="s">
        <v>7312</v>
      </c>
      <c r="G500" t="s">
        <v>74</v>
      </c>
      <c r="H500" t="s">
        <v>74</v>
      </c>
      <c r="I500" t="s">
        <v>7313</v>
      </c>
      <c r="J500" t="s">
        <v>2761</v>
      </c>
      <c r="K500" t="s">
        <v>74</v>
      </c>
      <c r="L500" t="s">
        <v>74</v>
      </c>
      <c r="M500" t="s">
        <v>78</v>
      </c>
      <c r="N500" t="s">
        <v>79</v>
      </c>
      <c r="O500" t="s">
        <v>74</v>
      </c>
      <c r="P500" t="s">
        <v>74</v>
      </c>
      <c r="Q500" t="s">
        <v>74</v>
      </c>
      <c r="R500" t="s">
        <v>74</v>
      </c>
      <c r="S500" t="s">
        <v>74</v>
      </c>
      <c r="T500" t="s">
        <v>7314</v>
      </c>
      <c r="U500" t="s">
        <v>7315</v>
      </c>
      <c r="V500" t="s">
        <v>7316</v>
      </c>
      <c r="W500" t="s">
        <v>7317</v>
      </c>
      <c r="X500" t="s">
        <v>7318</v>
      </c>
      <c r="Y500" t="s">
        <v>2767</v>
      </c>
      <c r="Z500" t="s">
        <v>7319</v>
      </c>
      <c r="AA500" t="s">
        <v>7320</v>
      </c>
      <c r="AB500" t="s">
        <v>7321</v>
      </c>
      <c r="AC500" t="s">
        <v>7322</v>
      </c>
      <c r="AD500" t="s">
        <v>7323</v>
      </c>
      <c r="AE500" t="s">
        <v>7324</v>
      </c>
      <c r="AF500" t="s">
        <v>74</v>
      </c>
      <c r="AG500">
        <v>47</v>
      </c>
      <c r="AH500">
        <v>74</v>
      </c>
      <c r="AI500">
        <v>81</v>
      </c>
      <c r="AJ500">
        <v>0</v>
      </c>
      <c r="AK500">
        <v>18</v>
      </c>
      <c r="AL500" t="s">
        <v>122</v>
      </c>
      <c r="AM500" t="s">
        <v>123</v>
      </c>
      <c r="AN500" t="s">
        <v>124</v>
      </c>
      <c r="AO500" t="s">
        <v>2773</v>
      </c>
      <c r="AP500" t="s">
        <v>2774</v>
      </c>
      <c r="AQ500" t="s">
        <v>74</v>
      </c>
      <c r="AR500" t="s">
        <v>2775</v>
      </c>
      <c r="AS500" t="s">
        <v>2776</v>
      </c>
      <c r="AT500" t="s">
        <v>7325</v>
      </c>
      <c r="AU500">
        <v>2019</v>
      </c>
      <c r="AV500">
        <v>125</v>
      </c>
      <c r="AW500">
        <v>7</v>
      </c>
      <c r="AX500" t="s">
        <v>74</v>
      </c>
      <c r="AY500" t="s">
        <v>74</v>
      </c>
      <c r="AZ500" t="s">
        <v>74</v>
      </c>
      <c r="BA500" t="s">
        <v>74</v>
      </c>
      <c r="BB500">
        <v>678</v>
      </c>
      <c r="BC500">
        <v>695</v>
      </c>
      <c r="BD500" t="s">
        <v>74</v>
      </c>
      <c r="BE500" t="s">
        <v>7326</v>
      </c>
      <c r="BF500" t="str">
        <f>HYPERLINK("http://dx.doi.org/10.1161/CIRCRESAHA.119.314793","http://dx.doi.org/10.1161/CIRCRESAHA.119.314793")</f>
        <v>http://dx.doi.org/10.1161/CIRCRESAHA.119.314793</v>
      </c>
      <c r="BG500" t="s">
        <v>74</v>
      </c>
      <c r="BH500" t="s">
        <v>74</v>
      </c>
      <c r="BI500">
        <v>18</v>
      </c>
      <c r="BJ500" t="s">
        <v>2781</v>
      </c>
      <c r="BK500" t="s">
        <v>101</v>
      </c>
      <c r="BL500" t="s">
        <v>2782</v>
      </c>
      <c r="BM500" t="s">
        <v>7327</v>
      </c>
      <c r="BN500">
        <v>31347976</v>
      </c>
      <c r="BO500" t="s">
        <v>103</v>
      </c>
      <c r="BP500" t="s">
        <v>74</v>
      </c>
      <c r="BQ500" t="s">
        <v>74</v>
      </c>
      <c r="BR500" t="s">
        <v>104</v>
      </c>
      <c r="BS500" t="s">
        <v>7328</v>
      </c>
      <c r="BT500" t="str">
        <f>HYPERLINK("https%3A%2F%2Fwww.webofscience.com%2Fwos%2Fwoscc%2Ffull-record%2FWOS:000486168000003","View Full Record in Web of Science")</f>
        <v>View Full Record in Web of Science</v>
      </c>
    </row>
    <row r="501" spans="1:72" x14ac:dyDescent="0.25">
      <c r="A501" t="s">
        <v>72</v>
      </c>
      <c r="B501" t="s">
        <v>7329</v>
      </c>
      <c r="C501" t="s">
        <v>74</v>
      </c>
      <c r="D501" t="s">
        <v>74</v>
      </c>
      <c r="E501" t="s">
        <v>74</v>
      </c>
      <c r="F501" t="s">
        <v>7330</v>
      </c>
      <c r="G501" t="s">
        <v>74</v>
      </c>
      <c r="H501" t="s">
        <v>7331</v>
      </c>
      <c r="I501" t="s">
        <v>7332</v>
      </c>
      <c r="J501" t="s">
        <v>5479</v>
      </c>
      <c r="K501" t="s">
        <v>74</v>
      </c>
      <c r="L501" t="s">
        <v>74</v>
      </c>
      <c r="M501" t="s">
        <v>78</v>
      </c>
      <c r="N501" t="s">
        <v>299</v>
      </c>
      <c r="O501" t="s">
        <v>74</v>
      </c>
      <c r="P501" t="s">
        <v>74</v>
      </c>
      <c r="Q501" t="s">
        <v>74</v>
      </c>
      <c r="R501" t="s">
        <v>74</v>
      </c>
      <c r="S501" t="s">
        <v>74</v>
      </c>
      <c r="T501" t="s">
        <v>7333</v>
      </c>
      <c r="U501" t="s">
        <v>7334</v>
      </c>
      <c r="V501" t="s">
        <v>7335</v>
      </c>
      <c r="W501" t="s">
        <v>7336</v>
      </c>
      <c r="X501" t="s">
        <v>7337</v>
      </c>
      <c r="Y501" t="s">
        <v>7338</v>
      </c>
      <c r="Z501" t="s">
        <v>4563</v>
      </c>
      <c r="AA501" t="s">
        <v>7339</v>
      </c>
      <c r="AB501" t="s">
        <v>7340</v>
      </c>
      <c r="AC501" t="s">
        <v>7341</v>
      </c>
      <c r="AD501" t="s">
        <v>7341</v>
      </c>
      <c r="AE501" t="s">
        <v>7342</v>
      </c>
      <c r="AF501" t="s">
        <v>74</v>
      </c>
      <c r="AG501">
        <v>104</v>
      </c>
      <c r="AH501">
        <v>87</v>
      </c>
      <c r="AI501">
        <v>89</v>
      </c>
      <c r="AJ501">
        <v>1</v>
      </c>
      <c r="AK501">
        <v>80</v>
      </c>
      <c r="AL501" t="s">
        <v>169</v>
      </c>
      <c r="AM501" t="s">
        <v>170</v>
      </c>
      <c r="AN501" t="s">
        <v>171</v>
      </c>
      <c r="AO501" t="s">
        <v>74</v>
      </c>
      <c r="AP501" t="s">
        <v>5490</v>
      </c>
      <c r="AQ501" t="s">
        <v>74</v>
      </c>
      <c r="AR501" t="s">
        <v>5491</v>
      </c>
      <c r="AS501" t="s">
        <v>5492</v>
      </c>
      <c r="AT501" t="s">
        <v>1550</v>
      </c>
      <c r="AU501">
        <v>2019</v>
      </c>
      <c r="AV501">
        <v>9</v>
      </c>
      <c r="AW501">
        <v>1</v>
      </c>
      <c r="AX501" t="s">
        <v>74</v>
      </c>
      <c r="AY501" t="s">
        <v>74</v>
      </c>
      <c r="AZ501" t="s">
        <v>74</v>
      </c>
      <c r="BA501" t="s">
        <v>74</v>
      </c>
      <c r="BB501" t="s">
        <v>74</v>
      </c>
      <c r="BC501" t="s">
        <v>74</v>
      </c>
      <c r="BD501">
        <v>44</v>
      </c>
      <c r="BE501" t="s">
        <v>7343</v>
      </c>
      <c r="BF501" t="str">
        <f>HYPERLINK("http://dx.doi.org/10.1186/s13601-019-0279-2","http://dx.doi.org/10.1186/s13601-019-0279-2")</f>
        <v>http://dx.doi.org/10.1186/s13601-019-0279-2</v>
      </c>
      <c r="BG501" t="s">
        <v>74</v>
      </c>
      <c r="BH501" t="s">
        <v>74</v>
      </c>
      <c r="BI501">
        <v>15</v>
      </c>
      <c r="BJ501" t="s">
        <v>601</v>
      </c>
      <c r="BK501" t="s">
        <v>101</v>
      </c>
      <c r="BL501" t="s">
        <v>601</v>
      </c>
      <c r="BM501" t="s">
        <v>7344</v>
      </c>
      <c r="BN501">
        <v>31516692</v>
      </c>
      <c r="BO501" t="s">
        <v>809</v>
      </c>
      <c r="BP501" t="s">
        <v>74</v>
      </c>
      <c r="BQ501" t="s">
        <v>74</v>
      </c>
      <c r="BR501" t="s">
        <v>104</v>
      </c>
      <c r="BS501" t="s">
        <v>7345</v>
      </c>
      <c r="BT501" t="str">
        <f>HYPERLINK("https%3A%2F%2Fwww.webofscience.com%2Fwos%2Fwoscc%2Ffull-record%2FWOS:000485072700001","View Full Record in Web of Science")</f>
        <v>View Full Record in Web of Science</v>
      </c>
    </row>
    <row r="502" spans="1:72" x14ac:dyDescent="0.25">
      <c r="A502" t="s">
        <v>72</v>
      </c>
      <c r="B502" t="s">
        <v>7346</v>
      </c>
      <c r="C502" t="s">
        <v>74</v>
      </c>
      <c r="D502" t="s">
        <v>74</v>
      </c>
      <c r="E502" t="s">
        <v>74</v>
      </c>
      <c r="F502" t="s">
        <v>7347</v>
      </c>
      <c r="G502" t="s">
        <v>74</v>
      </c>
      <c r="H502" t="s">
        <v>7348</v>
      </c>
      <c r="I502" t="s">
        <v>7349</v>
      </c>
      <c r="J502" t="s">
        <v>216</v>
      </c>
      <c r="K502" t="s">
        <v>74</v>
      </c>
      <c r="L502" t="s">
        <v>74</v>
      </c>
      <c r="M502" t="s">
        <v>78</v>
      </c>
      <c r="N502" t="s">
        <v>79</v>
      </c>
      <c r="O502" t="s">
        <v>74</v>
      </c>
      <c r="P502" t="s">
        <v>74</v>
      </c>
      <c r="Q502" t="s">
        <v>74</v>
      </c>
      <c r="R502" t="s">
        <v>74</v>
      </c>
      <c r="S502" t="s">
        <v>74</v>
      </c>
      <c r="T502" t="s">
        <v>74</v>
      </c>
      <c r="U502" t="s">
        <v>6785</v>
      </c>
      <c r="V502" t="s">
        <v>74</v>
      </c>
      <c r="W502" t="s">
        <v>7350</v>
      </c>
      <c r="X502" t="s">
        <v>7351</v>
      </c>
      <c r="Y502" t="s">
        <v>7352</v>
      </c>
      <c r="Z502" t="s">
        <v>6332</v>
      </c>
      <c r="AA502" t="s">
        <v>7353</v>
      </c>
      <c r="AB502" t="s">
        <v>7354</v>
      </c>
      <c r="AC502" t="s">
        <v>74</v>
      </c>
      <c r="AD502" t="s">
        <v>74</v>
      </c>
      <c r="AE502" t="s">
        <v>74</v>
      </c>
      <c r="AF502" t="s">
        <v>74</v>
      </c>
      <c r="AG502">
        <v>478</v>
      </c>
      <c r="AH502">
        <v>2139</v>
      </c>
      <c r="AI502">
        <v>2380</v>
      </c>
      <c r="AJ502">
        <v>19</v>
      </c>
      <c r="AK502">
        <v>113</v>
      </c>
      <c r="AL502" t="s">
        <v>219</v>
      </c>
      <c r="AM502" t="s">
        <v>220</v>
      </c>
      <c r="AN502" t="s">
        <v>221</v>
      </c>
      <c r="AO502" t="s">
        <v>222</v>
      </c>
      <c r="AP502" t="s">
        <v>223</v>
      </c>
      <c r="AQ502" t="s">
        <v>74</v>
      </c>
      <c r="AR502" t="s">
        <v>224</v>
      </c>
      <c r="AS502" t="s">
        <v>225</v>
      </c>
      <c r="AT502" t="s">
        <v>529</v>
      </c>
      <c r="AU502">
        <v>2019</v>
      </c>
      <c r="AV502">
        <v>54</v>
      </c>
      <c r="AW502">
        <v>3</v>
      </c>
      <c r="AX502" t="s">
        <v>74</v>
      </c>
      <c r="AY502" t="s">
        <v>74</v>
      </c>
      <c r="AZ502" t="s">
        <v>74</v>
      </c>
      <c r="BA502" t="s">
        <v>74</v>
      </c>
      <c r="BB502" t="s">
        <v>74</v>
      </c>
      <c r="BC502" t="s">
        <v>74</v>
      </c>
      <c r="BD502" t="s">
        <v>74</v>
      </c>
      <c r="BE502" t="s">
        <v>7355</v>
      </c>
      <c r="BF502" t="str">
        <f>HYPERLINK("http://dx.doi.org/10.1183/13993003.01647-2019","http://dx.doi.org/10.1183/13993003.01647-2019")</f>
        <v>http://dx.doi.org/10.1183/13993003.01647-2019</v>
      </c>
      <c r="BG502" t="s">
        <v>74</v>
      </c>
      <c r="BH502" t="s">
        <v>74</v>
      </c>
      <c r="BI502">
        <v>68</v>
      </c>
      <c r="BJ502" t="s">
        <v>228</v>
      </c>
      <c r="BK502" t="s">
        <v>101</v>
      </c>
      <c r="BL502" t="s">
        <v>228</v>
      </c>
      <c r="BM502" t="s">
        <v>7356</v>
      </c>
      <c r="BN502">
        <v>31473594</v>
      </c>
      <c r="BO502" t="s">
        <v>7357</v>
      </c>
      <c r="BP502" t="s">
        <v>1155</v>
      </c>
      <c r="BQ502" t="s">
        <v>1156</v>
      </c>
      <c r="BR502" t="s">
        <v>104</v>
      </c>
      <c r="BS502" t="s">
        <v>7358</v>
      </c>
      <c r="BT502" t="str">
        <f>HYPERLINK("https%3A%2F%2Fwww.webofscience.com%2Fwos%2Fwoscc%2Ffull-record%2FWOS:000526753300001","View Full Record in Web of Science")</f>
        <v>View Full Record in Web of Science</v>
      </c>
    </row>
    <row r="503" spans="1:72" x14ac:dyDescent="0.25">
      <c r="A503" t="s">
        <v>72</v>
      </c>
      <c r="B503" t="s">
        <v>7359</v>
      </c>
      <c r="C503" t="s">
        <v>74</v>
      </c>
      <c r="D503" t="s">
        <v>74</v>
      </c>
      <c r="E503" t="s">
        <v>74</v>
      </c>
      <c r="F503" t="s">
        <v>7360</v>
      </c>
      <c r="G503" t="s">
        <v>74</v>
      </c>
      <c r="H503" t="s">
        <v>74</v>
      </c>
      <c r="I503" t="s">
        <v>7361</v>
      </c>
      <c r="J503" t="s">
        <v>298</v>
      </c>
      <c r="K503" t="s">
        <v>74</v>
      </c>
      <c r="L503" t="s">
        <v>74</v>
      </c>
      <c r="M503" t="s">
        <v>78</v>
      </c>
      <c r="N503" t="s">
        <v>299</v>
      </c>
      <c r="O503" t="s">
        <v>74</v>
      </c>
      <c r="P503" t="s">
        <v>74</v>
      </c>
      <c r="Q503" t="s">
        <v>74</v>
      </c>
      <c r="R503" t="s">
        <v>74</v>
      </c>
      <c r="S503" t="s">
        <v>74</v>
      </c>
      <c r="T503" t="s">
        <v>7362</v>
      </c>
      <c r="U503" t="s">
        <v>7363</v>
      </c>
      <c r="V503" t="s">
        <v>7364</v>
      </c>
      <c r="W503" t="s">
        <v>7365</v>
      </c>
      <c r="X503" t="s">
        <v>7366</v>
      </c>
      <c r="Y503" t="s">
        <v>7367</v>
      </c>
      <c r="Z503" t="s">
        <v>7049</v>
      </c>
      <c r="AA503" t="s">
        <v>7368</v>
      </c>
      <c r="AB503" t="s">
        <v>7369</v>
      </c>
      <c r="AC503" t="s">
        <v>7370</v>
      </c>
      <c r="AD503" t="s">
        <v>7370</v>
      </c>
      <c r="AE503" t="s">
        <v>7371</v>
      </c>
      <c r="AF503" t="s">
        <v>74</v>
      </c>
      <c r="AG503">
        <v>70</v>
      </c>
      <c r="AH503">
        <v>16</v>
      </c>
      <c r="AI503">
        <v>17</v>
      </c>
      <c r="AJ503">
        <v>0</v>
      </c>
      <c r="AK503">
        <v>0</v>
      </c>
      <c r="AL503" t="s">
        <v>308</v>
      </c>
      <c r="AM503" t="s">
        <v>309</v>
      </c>
      <c r="AN503" t="s">
        <v>310</v>
      </c>
      <c r="AO503" t="s">
        <v>311</v>
      </c>
      <c r="AP503" t="s">
        <v>312</v>
      </c>
      <c r="AQ503" t="s">
        <v>74</v>
      </c>
      <c r="AR503" t="s">
        <v>313</v>
      </c>
      <c r="AS503" t="s">
        <v>314</v>
      </c>
      <c r="AT503" t="s">
        <v>492</v>
      </c>
      <c r="AU503">
        <v>2019</v>
      </c>
      <c r="AV503">
        <v>37</v>
      </c>
      <c r="AW503" t="s">
        <v>74</v>
      </c>
      <c r="AX503" t="s">
        <v>74</v>
      </c>
      <c r="AY503" t="s">
        <v>74</v>
      </c>
      <c r="AZ503" t="s">
        <v>74</v>
      </c>
      <c r="BA503" t="s">
        <v>74</v>
      </c>
      <c r="BB503" t="s">
        <v>74</v>
      </c>
      <c r="BC503" t="s">
        <v>74</v>
      </c>
      <c r="BD503">
        <v>100579</v>
      </c>
      <c r="BE503" t="s">
        <v>7372</v>
      </c>
      <c r="BF503" t="str">
        <f>HYPERLINK("http://dx.doi.org/10.1016/j.blre.2019.05.003","http://dx.doi.org/10.1016/j.blre.2019.05.003")</f>
        <v>http://dx.doi.org/10.1016/j.blre.2019.05.003</v>
      </c>
      <c r="BG503" t="s">
        <v>74</v>
      </c>
      <c r="BH503" t="s">
        <v>74</v>
      </c>
      <c r="BI503">
        <v>7</v>
      </c>
      <c r="BJ503" t="s">
        <v>318</v>
      </c>
      <c r="BK503" t="s">
        <v>101</v>
      </c>
      <c r="BL503" t="s">
        <v>318</v>
      </c>
      <c r="BM503" t="s">
        <v>7373</v>
      </c>
      <c r="BN503">
        <v>31113643</v>
      </c>
      <c r="BO503" t="s">
        <v>2517</v>
      </c>
      <c r="BP503" t="s">
        <v>74</v>
      </c>
      <c r="BQ503" t="s">
        <v>74</v>
      </c>
      <c r="BR503" t="s">
        <v>104</v>
      </c>
      <c r="BS503" t="s">
        <v>7374</v>
      </c>
      <c r="BT503" t="str">
        <f>HYPERLINK("https%3A%2F%2Fwww.webofscience.com%2Fwos%2Fwoscc%2Ffull-record%2FWOS:000483909200002","View Full Record in Web of Science")</f>
        <v>View Full Record in Web of Science</v>
      </c>
    </row>
    <row r="504" spans="1:72" x14ac:dyDescent="0.25">
      <c r="A504" t="s">
        <v>72</v>
      </c>
      <c r="B504" t="s">
        <v>7375</v>
      </c>
      <c r="C504" t="s">
        <v>74</v>
      </c>
      <c r="D504" t="s">
        <v>74</v>
      </c>
      <c r="E504" t="s">
        <v>74</v>
      </c>
      <c r="F504" t="s">
        <v>7376</v>
      </c>
      <c r="G504" t="s">
        <v>74</v>
      </c>
      <c r="H504" t="s">
        <v>74</v>
      </c>
      <c r="I504" t="s">
        <v>7377</v>
      </c>
      <c r="J504" t="s">
        <v>2355</v>
      </c>
      <c r="K504" t="s">
        <v>74</v>
      </c>
      <c r="L504" t="s">
        <v>74</v>
      </c>
      <c r="M504" t="s">
        <v>78</v>
      </c>
      <c r="N504" t="s">
        <v>79</v>
      </c>
      <c r="O504" t="s">
        <v>74</v>
      </c>
      <c r="P504" t="s">
        <v>74</v>
      </c>
      <c r="Q504" t="s">
        <v>74</v>
      </c>
      <c r="R504" t="s">
        <v>74</v>
      </c>
      <c r="S504" t="s">
        <v>74</v>
      </c>
      <c r="T504" t="s">
        <v>7378</v>
      </c>
      <c r="U504" t="s">
        <v>7379</v>
      </c>
      <c r="V504" t="s">
        <v>7380</v>
      </c>
      <c r="W504" t="s">
        <v>7381</v>
      </c>
      <c r="X504" t="s">
        <v>7382</v>
      </c>
      <c r="Y504" t="s">
        <v>7383</v>
      </c>
      <c r="Z504" t="s">
        <v>7384</v>
      </c>
      <c r="AA504" t="s">
        <v>7385</v>
      </c>
      <c r="AB504" t="s">
        <v>7386</v>
      </c>
      <c r="AC504" t="s">
        <v>74</v>
      </c>
      <c r="AD504" t="s">
        <v>74</v>
      </c>
      <c r="AE504" t="s">
        <v>74</v>
      </c>
      <c r="AF504" t="s">
        <v>74</v>
      </c>
      <c r="AG504">
        <v>24</v>
      </c>
      <c r="AH504">
        <v>17</v>
      </c>
      <c r="AI504">
        <v>17</v>
      </c>
      <c r="AJ504">
        <v>2</v>
      </c>
      <c r="AK504">
        <v>4</v>
      </c>
      <c r="AL504" t="s">
        <v>1073</v>
      </c>
      <c r="AM504" t="s">
        <v>1074</v>
      </c>
      <c r="AN504" t="s">
        <v>1075</v>
      </c>
      <c r="AO504" t="s">
        <v>2365</v>
      </c>
      <c r="AP504" t="s">
        <v>2366</v>
      </c>
      <c r="AQ504" t="s">
        <v>74</v>
      </c>
      <c r="AR504" t="s">
        <v>2355</v>
      </c>
      <c r="AS504" t="s">
        <v>2355</v>
      </c>
      <c r="AT504" t="s">
        <v>492</v>
      </c>
      <c r="AU504">
        <v>2019</v>
      </c>
      <c r="AV504">
        <v>58</v>
      </c>
      <c r="AW504">
        <v>9</v>
      </c>
      <c r="AX504" t="s">
        <v>74</v>
      </c>
      <c r="AY504" t="s">
        <v>74</v>
      </c>
      <c r="AZ504" t="s">
        <v>74</v>
      </c>
      <c r="BA504" t="s">
        <v>74</v>
      </c>
      <c r="BB504">
        <v>1547</v>
      </c>
      <c r="BC504">
        <v>1555</v>
      </c>
      <c r="BD504" t="s">
        <v>74</v>
      </c>
      <c r="BE504" t="s">
        <v>7387</v>
      </c>
      <c r="BF504" t="str">
        <f>HYPERLINK("http://dx.doi.org/10.1093/rheumatology/kez035","http://dx.doi.org/10.1093/rheumatology/kez035")</f>
        <v>http://dx.doi.org/10.1093/rheumatology/kez035</v>
      </c>
      <c r="BG504" t="s">
        <v>74</v>
      </c>
      <c r="BH504" t="s">
        <v>74</v>
      </c>
      <c r="BI504">
        <v>9</v>
      </c>
      <c r="BJ504" t="s">
        <v>2369</v>
      </c>
      <c r="BK504" t="s">
        <v>101</v>
      </c>
      <c r="BL504" t="s">
        <v>2369</v>
      </c>
      <c r="BM504" t="s">
        <v>7388</v>
      </c>
      <c r="BN504">
        <v>30770717</v>
      </c>
      <c r="BO504" t="s">
        <v>74</v>
      </c>
      <c r="BP504" t="s">
        <v>74</v>
      </c>
      <c r="BQ504" t="s">
        <v>74</v>
      </c>
      <c r="BR504" t="s">
        <v>104</v>
      </c>
      <c r="BS504" t="s">
        <v>7389</v>
      </c>
      <c r="BT504" t="str">
        <f>HYPERLINK("https%3A%2F%2Fwww.webofscience.com%2Fwos%2Fwoscc%2Ffull-record%2FWOS:000493383000007","View Full Record in Web of Science")</f>
        <v>View Full Record in Web of Science</v>
      </c>
    </row>
    <row r="505" spans="1:72" x14ac:dyDescent="0.25">
      <c r="A505" t="s">
        <v>72</v>
      </c>
      <c r="B505" t="s">
        <v>7390</v>
      </c>
      <c r="C505" t="s">
        <v>74</v>
      </c>
      <c r="D505" t="s">
        <v>74</v>
      </c>
      <c r="E505" t="s">
        <v>74</v>
      </c>
      <c r="F505" t="s">
        <v>7391</v>
      </c>
      <c r="G505" t="s">
        <v>74</v>
      </c>
      <c r="H505" t="s">
        <v>74</v>
      </c>
      <c r="I505" t="s">
        <v>7392</v>
      </c>
      <c r="J505" t="s">
        <v>637</v>
      </c>
      <c r="K505" t="s">
        <v>74</v>
      </c>
      <c r="L505" t="s">
        <v>74</v>
      </c>
      <c r="M505" t="s">
        <v>78</v>
      </c>
      <c r="N505" t="s">
        <v>140</v>
      </c>
      <c r="O505" t="s">
        <v>74</v>
      </c>
      <c r="P505" t="s">
        <v>74</v>
      </c>
      <c r="Q505" t="s">
        <v>74</v>
      </c>
      <c r="R505" t="s">
        <v>74</v>
      </c>
      <c r="S505" t="s">
        <v>74</v>
      </c>
      <c r="T505" t="s">
        <v>74</v>
      </c>
      <c r="U505" t="s">
        <v>2837</v>
      </c>
      <c r="V505" t="s">
        <v>74</v>
      </c>
      <c r="W505" t="s">
        <v>7393</v>
      </c>
      <c r="X505" t="s">
        <v>7394</v>
      </c>
      <c r="Y505" t="s">
        <v>7395</v>
      </c>
      <c r="Z505" t="s">
        <v>74</v>
      </c>
      <c r="AA505" t="s">
        <v>1549</v>
      </c>
      <c r="AB505" t="s">
        <v>7396</v>
      </c>
      <c r="AC505" t="s">
        <v>74</v>
      </c>
      <c r="AD505" t="s">
        <v>74</v>
      </c>
      <c r="AE505" t="s">
        <v>74</v>
      </c>
      <c r="AF505" t="s">
        <v>74</v>
      </c>
      <c r="AG505">
        <v>12</v>
      </c>
      <c r="AH505">
        <v>10</v>
      </c>
      <c r="AI505">
        <v>10</v>
      </c>
      <c r="AJ505">
        <v>0</v>
      </c>
      <c r="AK505">
        <v>3</v>
      </c>
      <c r="AL505" t="s">
        <v>649</v>
      </c>
      <c r="AM505" t="s">
        <v>486</v>
      </c>
      <c r="AN505" t="s">
        <v>650</v>
      </c>
      <c r="AO505" t="s">
        <v>651</v>
      </c>
      <c r="AP505" t="s">
        <v>652</v>
      </c>
      <c r="AQ505" t="s">
        <v>74</v>
      </c>
      <c r="AR505" t="s">
        <v>653</v>
      </c>
      <c r="AS505" t="s">
        <v>654</v>
      </c>
      <c r="AT505" t="s">
        <v>6124</v>
      </c>
      <c r="AU505">
        <v>2019</v>
      </c>
      <c r="AV505">
        <v>200</v>
      </c>
      <c r="AW505">
        <v>4</v>
      </c>
      <c r="AX505" t="s">
        <v>74</v>
      </c>
      <c r="AY505" t="s">
        <v>74</v>
      </c>
      <c r="AZ505" t="s">
        <v>74</v>
      </c>
      <c r="BA505" t="s">
        <v>74</v>
      </c>
      <c r="BB505">
        <v>406</v>
      </c>
      <c r="BC505">
        <v>408</v>
      </c>
      <c r="BD505" t="s">
        <v>74</v>
      </c>
      <c r="BE505" t="s">
        <v>7397</v>
      </c>
      <c r="BF505" t="str">
        <f>HYPERLINK("http://dx.doi.org/10.1164/rccm.201901-0248ED","http://dx.doi.org/10.1164/rccm.201901-0248ED")</f>
        <v>http://dx.doi.org/10.1164/rccm.201901-0248ED</v>
      </c>
      <c r="BG505" t="s">
        <v>74</v>
      </c>
      <c r="BH505" t="s">
        <v>74</v>
      </c>
      <c r="BI505">
        <v>4</v>
      </c>
      <c r="BJ505" t="s">
        <v>341</v>
      </c>
      <c r="BK505" t="s">
        <v>101</v>
      </c>
      <c r="BL505" t="s">
        <v>342</v>
      </c>
      <c r="BM505" t="s">
        <v>7398</v>
      </c>
      <c r="BN505">
        <v>30908925</v>
      </c>
      <c r="BO505" t="s">
        <v>3318</v>
      </c>
      <c r="BP505" t="s">
        <v>74</v>
      </c>
      <c r="BQ505" t="s">
        <v>74</v>
      </c>
      <c r="BR505" t="s">
        <v>104</v>
      </c>
      <c r="BS505" t="s">
        <v>7399</v>
      </c>
      <c r="BT505" t="str">
        <f>HYPERLINK("https%3A%2F%2Fwww.webofscience.com%2Fwos%2Fwoscc%2Ffull-record%2FWOS:000481722900004","View Full Record in Web of Science")</f>
        <v>View Full Record in Web of Science</v>
      </c>
    </row>
    <row r="506" spans="1:72" x14ac:dyDescent="0.25">
      <c r="A506" t="s">
        <v>72</v>
      </c>
      <c r="B506" t="s">
        <v>7400</v>
      </c>
      <c r="C506" t="s">
        <v>74</v>
      </c>
      <c r="D506" t="s">
        <v>74</v>
      </c>
      <c r="E506" t="s">
        <v>74</v>
      </c>
      <c r="F506" t="s">
        <v>7401</v>
      </c>
      <c r="G506" t="s">
        <v>74</v>
      </c>
      <c r="H506" t="s">
        <v>74</v>
      </c>
      <c r="I506" t="s">
        <v>7402</v>
      </c>
      <c r="J506" t="s">
        <v>1924</v>
      </c>
      <c r="K506" t="s">
        <v>74</v>
      </c>
      <c r="L506" t="s">
        <v>74</v>
      </c>
      <c r="M506" t="s">
        <v>78</v>
      </c>
      <c r="N506" t="s">
        <v>460</v>
      </c>
      <c r="O506" t="s">
        <v>74</v>
      </c>
      <c r="P506" t="s">
        <v>74</v>
      </c>
      <c r="Q506" t="s">
        <v>74</v>
      </c>
      <c r="R506" t="s">
        <v>74</v>
      </c>
      <c r="S506" t="s">
        <v>74</v>
      </c>
      <c r="T506" t="s">
        <v>74</v>
      </c>
      <c r="U506" t="s">
        <v>74</v>
      </c>
      <c r="V506" t="s">
        <v>74</v>
      </c>
      <c r="W506" t="s">
        <v>7403</v>
      </c>
      <c r="X506" t="s">
        <v>7404</v>
      </c>
      <c r="Y506" t="s">
        <v>7405</v>
      </c>
      <c r="Z506" t="s">
        <v>74</v>
      </c>
      <c r="AA506" t="s">
        <v>2432</v>
      </c>
      <c r="AB506" t="s">
        <v>4458</v>
      </c>
      <c r="AC506" t="s">
        <v>74</v>
      </c>
      <c r="AD506" t="s">
        <v>74</v>
      </c>
      <c r="AE506" t="s">
        <v>74</v>
      </c>
      <c r="AF506" t="s">
        <v>74</v>
      </c>
      <c r="AG506">
        <v>9</v>
      </c>
      <c r="AH506">
        <v>2</v>
      </c>
      <c r="AI506">
        <v>2</v>
      </c>
      <c r="AJ506">
        <v>0</v>
      </c>
      <c r="AK506">
        <v>0</v>
      </c>
      <c r="AL506" t="s">
        <v>169</v>
      </c>
      <c r="AM506" t="s">
        <v>170</v>
      </c>
      <c r="AN506" t="s">
        <v>171</v>
      </c>
      <c r="AO506" t="s">
        <v>1929</v>
      </c>
      <c r="AP506" t="s">
        <v>1930</v>
      </c>
      <c r="AQ506" t="s">
        <v>74</v>
      </c>
      <c r="AR506" t="s">
        <v>1931</v>
      </c>
      <c r="AS506" t="s">
        <v>1932</v>
      </c>
      <c r="AT506" t="s">
        <v>725</v>
      </c>
      <c r="AU506">
        <v>2019</v>
      </c>
      <c r="AV506">
        <v>33</v>
      </c>
      <c r="AW506">
        <v>4</v>
      </c>
      <c r="AX506" t="s">
        <v>74</v>
      </c>
      <c r="AY506" t="s">
        <v>74</v>
      </c>
      <c r="AZ506" t="s">
        <v>74</v>
      </c>
      <c r="BA506" t="s">
        <v>74</v>
      </c>
      <c r="BB506">
        <v>426</v>
      </c>
      <c r="BC506">
        <v>427</v>
      </c>
      <c r="BD506" t="s">
        <v>74</v>
      </c>
      <c r="BE506" t="s">
        <v>7406</v>
      </c>
      <c r="BF506" t="str">
        <f>HYPERLINK("http://dx.doi.org/10.1111/fcp.12489","http://dx.doi.org/10.1111/fcp.12489")</f>
        <v>http://dx.doi.org/10.1111/fcp.12489</v>
      </c>
      <c r="BG506" t="s">
        <v>74</v>
      </c>
      <c r="BH506" t="s">
        <v>74</v>
      </c>
      <c r="BI506">
        <v>2</v>
      </c>
      <c r="BJ506" t="s">
        <v>1477</v>
      </c>
      <c r="BK506" t="s">
        <v>101</v>
      </c>
      <c r="BL506" t="s">
        <v>1477</v>
      </c>
      <c r="BM506" t="s">
        <v>7407</v>
      </c>
      <c r="BN506">
        <v>31148228</v>
      </c>
      <c r="BO506" t="s">
        <v>612</v>
      </c>
      <c r="BP506" t="s">
        <v>74</v>
      </c>
      <c r="BQ506" t="s">
        <v>74</v>
      </c>
      <c r="BR506" t="s">
        <v>104</v>
      </c>
      <c r="BS506" t="s">
        <v>7408</v>
      </c>
      <c r="BT506" t="str">
        <f>HYPERLINK("https%3A%2F%2Fwww.webofscience.com%2Fwos%2Fwoscc%2Ffull-record%2FWOS:000503382300006","View Full Record in Web of Science")</f>
        <v>View Full Record in Web of Science</v>
      </c>
    </row>
    <row r="507" spans="1:72" x14ac:dyDescent="0.25">
      <c r="A507" t="s">
        <v>72</v>
      </c>
      <c r="B507" t="s">
        <v>7409</v>
      </c>
      <c r="C507" t="s">
        <v>74</v>
      </c>
      <c r="D507" t="s">
        <v>74</v>
      </c>
      <c r="E507" t="s">
        <v>74</v>
      </c>
      <c r="F507" t="s">
        <v>7410</v>
      </c>
      <c r="G507" t="s">
        <v>74</v>
      </c>
      <c r="H507" t="s">
        <v>74</v>
      </c>
      <c r="I507" t="s">
        <v>7411</v>
      </c>
      <c r="J507" t="s">
        <v>983</v>
      </c>
      <c r="K507" t="s">
        <v>74</v>
      </c>
      <c r="L507" t="s">
        <v>74</v>
      </c>
      <c r="M507" t="s">
        <v>78</v>
      </c>
      <c r="N507" t="s">
        <v>79</v>
      </c>
      <c r="O507" t="s">
        <v>74</v>
      </c>
      <c r="P507" t="s">
        <v>74</v>
      </c>
      <c r="Q507" t="s">
        <v>74</v>
      </c>
      <c r="R507" t="s">
        <v>74</v>
      </c>
      <c r="S507" t="s">
        <v>74</v>
      </c>
      <c r="T507" t="s">
        <v>7412</v>
      </c>
      <c r="U507" t="s">
        <v>7413</v>
      </c>
      <c r="V507" t="s">
        <v>7414</v>
      </c>
      <c r="W507" t="s">
        <v>7415</v>
      </c>
      <c r="X507" t="s">
        <v>7416</v>
      </c>
      <c r="Y507" t="s">
        <v>7107</v>
      </c>
      <c r="Z507" t="s">
        <v>2894</v>
      </c>
      <c r="AA507" t="s">
        <v>7417</v>
      </c>
      <c r="AB507" t="s">
        <v>7418</v>
      </c>
      <c r="AC507" t="s">
        <v>74</v>
      </c>
      <c r="AD507" t="s">
        <v>74</v>
      </c>
      <c r="AE507" t="s">
        <v>74</v>
      </c>
      <c r="AF507" t="s">
        <v>74</v>
      </c>
      <c r="AG507">
        <v>21</v>
      </c>
      <c r="AH507">
        <v>53</v>
      </c>
      <c r="AI507">
        <v>57</v>
      </c>
      <c r="AJ507">
        <v>1</v>
      </c>
      <c r="AK507">
        <v>4</v>
      </c>
      <c r="AL507" t="s">
        <v>991</v>
      </c>
      <c r="AM507" t="s">
        <v>486</v>
      </c>
      <c r="AN507" t="s">
        <v>992</v>
      </c>
      <c r="AO507" t="s">
        <v>993</v>
      </c>
      <c r="AP507" t="s">
        <v>994</v>
      </c>
      <c r="AQ507" t="s">
        <v>74</v>
      </c>
      <c r="AR507" t="s">
        <v>995</v>
      </c>
      <c r="AS507" t="s">
        <v>996</v>
      </c>
      <c r="AT507" t="s">
        <v>725</v>
      </c>
      <c r="AU507">
        <v>2019</v>
      </c>
      <c r="AV507">
        <v>38</v>
      </c>
      <c r="AW507">
        <v>8</v>
      </c>
      <c r="AX507" t="s">
        <v>74</v>
      </c>
      <c r="AY507" t="s">
        <v>74</v>
      </c>
      <c r="AZ507" t="s">
        <v>74</v>
      </c>
      <c r="BA507" t="s">
        <v>74</v>
      </c>
      <c r="BB507">
        <v>833</v>
      </c>
      <c r="BC507">
        <v>842</v>
      </c>
      <c r="BD507" t="s">
        <v>74</v>
      </c>
      <c r="BE507" t="s">
        <v>7419</v>
      </c>
      <c r="BF507" t="str">
        <f>HYPERLINK("http://dx.doi.org/10.1016/j.healun.2019.04.006","http://dx.doi.org/10.1016/j.healun.2019.04.006")</f>
        <v>http://dx.doi.org/10.1016/j.healun.2019.04.006</v>
      </c>
      <c r="BG507" t="s">
        <v>74</v>
      </c>
      <c r="BH507" t="s">
        <v>74</v>
      </c>
      <c r="BI507">
        <v>10</v>
      </c>
      <c r="BJ507" t="s">
        <v>1000</v>
      </c>
      <c r="BK507" t="s">
        <v>101</v>
      </c>
      <c r="BL507" t="s">
        <v>1001</v>
      </c>
      <c r="BM507" t="s">
        <v>7420</v>
      </c>
      <c r="BN507">
        <v>31103383</v>
      </c>
      <c r="BO507" t="s">
        <v>103</v>
      </c>
      <c r="BP507" t="s">
        <v>74</v>
      </c>
      <c r="BQ507" t="s">
        <v>74</v>
      </c>
      <c r="BR507" t="s">
        <v>104</v>
      </c>
      <c r="BS507" t="s">
        <v>7421</v>
      </c>
      <c r="BT507" t="str">
        <f>HYPERLINK("https%3A%2F%2Fwww.webofscience.com%2Fwos%2Fwoscc%2Ffull-record%2FWOS:000477699000006","View Full Record in Web of Science")</f>
        <v>View Full Record in Web of Science</v>
      </c>
    </row>
    <row r="508" spans="1:72" x14ac:dyDescent="0.25">
      <c r="A508" t="s">
        <v>72</v>
      </c>
      <c r="B508" t="s">
        <v>7422</v>
      </c>
      <c r="C508" t="s">
        <v>74</v>
      </c>
      <c r="D508" t="s">
        <v>74</v>
      </c>
      <c r="E508" t="s">
        <v>74</v>
      </c>
      <c r="F508" t="s">
        <v>7423</v>
      </c>
      <c r="G508" t="s">
        <v>74</v>
      </c>
      <c r="H508" t="s">
        <v>74</v>
      </c>
      <c r="I508" t="s">
        <v>7424</v>
      </c>
      <c r="J508" t="s">
        <v>4285</v>
      </c>
      <c r="K508" t="s">
        <v>74</v>
      </c>
      <c r="L508" t="s">
        <v>74</v>
      </c>
      <c r="M508" t="s">
        <v>78</v>
      </c>
      <c r="N508" t="s">
        <v>79</v>
      </c>
      <c r="O508" t="s">
        <v>74</v>
      </c>
      <c r="P508" t="s">
        <v>74</v>
      </c>
      <c r="Q508" t="s">
        <v>74</v>
      </c>
      <c r="R508" t="s">
        <v>74</v>
      </c>
      <c r="S508" t="s">
        <v>74</v>
      </c>
      <c r="T508" t="s">
        <v>7425</v>
      </c>
      <c r="U508" t="s">
        <v>7426</v>
      </c>
      <c r="V508" t="s">
        <v>7427</v>
      </c>
      <c r="W508" t="s">
        <v>7428</v>
      </c>
      <c r="X508" t="s">
        <v>7429</v>
      </c>
      <c r="Y508" t="s">
        <v>7430</v>
      </c>
      <c r="Z508" t="s">
        <v>7431</v>
      </c>
      <c r="AA508" t="s">
        <v>7432</v>
      </c>
      <c r="AB508" t="s">
        <v>7433</v>
      </c>
      <c r="AC508" t="s">
        <v>7434</v>
      </c>
      <c r="AD508" t="s">
        <v>7435</v>
      </c>
      <c r="AE508" t="s">
        <v>7436</v>
      </c>
      <c r="AF508" t="s">
        <v>74</v>
      </c>
      <c r="AG508">
        <v>44</v>
      </c>
      <c r="AH508">
        <v>17</v>
      </c>
      <c r="AI508">
        <v>19</v>
      </c>
      <c r="AJ508">
        <v>1</v>
      </c>
      <c r="AK508">
        <v>5</v>
      </c>
      <c r="AL508" t="s">
        <v>1113</v>
      </c>
      <c r="AM508" t="s">
        <v>1114</v>
      </c>
      <c r="AN508" t="s">
        <v>1115</v>
      </c>
      <c r="AO508" t="s">
        <v>74</v>
      </c>
      <c r="AP508" t="s">
        <v>4299</v>
      </c>
      <c r="AQ508" t="s">
        <v>74</v>
      </c>
      <c r="AR508" t="s">
        <v>4300</v>
      </c>
      <c r="AS508" t="s">
        <v>4301</v>
      </c>
      <c r="AT508" t="s">
        <v>7437</v>
      </c>
      <c r="AU508">
        <v>2019</v>
      </c>
      <c r="AV508">
        <v>20</v>
      </c>
      <c r="AW508">
        <v>14</v>
      </c>
      <c r="AX508" t="s">
        <v>74</v>
      </c>
      <c r="AY508" t="s">
        <v>74</v>
      </c>
      <c r="AZ508" t="s">
        <v>74</v>
      </c>
      <c r="BA508" t="s">
        <v>74</v>
      </c>
      <c r="BB508" t="s">
        <v>74</v>
      </c>
      <c r="BC508" t="s">
        <v>74</v>
      </c>
      <c r="BD508">
        <v>3575</v>
      </c>
      <c r="BE508" t="s">
        <v>7438</v>
      </c>
      <c r="BF508" t="str">
        <f>HYPERLINK("http://dx.doi.org/10.3390/ijms20143575","http://dx.doi.org/10.3390/ijms20143575")</f>
        <v>http://dx.doi.org/10.3390/ijms20143575</v>
      </c>
      <c r="BG508" t="s">
        <v>74</v>
      </c>
      <c r="BH508" t="s">
        <v>74</v>
      </c>
      <c r="BI508">
        <v>17</v>
      </c>
      <c r="BJ508" t="s">
        <v>4303</v>
      </c>
      <c r="BK508" t="s">
        <v>101</v>
      </c>
      <c r="BL508" t="s">
        <v>4304</v>
      </c>
      <c r="BM508" t="s">
        <v>7439</v>
      </c>
      <c r="BN508">
        <v>31336611</v>
      </c>
      <c r="BO508" t="s">
        <v>1862</v>
      </c>
      <c r="BP508" t="s">
        <v>74</v>
      </c>
      <c r="BQ508" t="s">
        <v>74</v>
      </c>
      <c r="BR508" t="s">
        <v>104</v>
      </c>
      <c r="BS508" t="s">
        <v>7440</v>
      </c>
      <c r="BT508" t="str">
        <f>HYPERLINK("https%3A%2F%2Fwww.webofscience.com%2Fwos%2Fwoscc%2Ffull-record%2FWOS:000480449300199","View Full Record in Web of Science")</f>
        <v>View Full Record in Web of Science</v>
      </c>
    </row>
    <row r="509" spans="1:72" x14ac:dyDescent="0.25">
      <c r="A509" t="s">
        <v>72</v>
      </c>
      <c r="B509" t="s">
        <v>7441</v>
      </c>
      <c r="C509" t="s">
        <v>74</v>
      </c>
      <c r="D509" t="s">
        <v>74</v>
      </c>
      <c r="E509" t="s">
        <v>74</v>
      </c>
      <c r="F509" t="s">
        <v>7442</v>
      </c>
      <c r="G509" t="s">
        <v>74</v>
      </c>
      <c r="H509" t="s">
        <v>74</v>
      </c>
      <c r="I509" t="s">
        <v>7443</v>
      </c>
      <c r="J509" t="s">
        <v>324</v>
      </c>
      <c r="K509" t="s">
        <v>74</v>
      </c>
      <c r="L509" t="s">
        <v>74</v>
      </c>
      <c r="M509" t="s">
        <v>78</v>
      </c>
      <c r="N509" t="s">
        <v>79</v>
      </c>
      <c r="O509" t="s">
        <v>74</v>
      </c>
      <c r="P509" t="s">
        <v>74</v>
      </c>
      <c r="Q509" t="s">
        <v>74</v>
      </c>
      <c r="R509" t="s">
        <v>74</v>
      </c>
      <c r="S509" t="s">
        <v>74</v>
      </c>
      <c r="T509" t="s">
        <v>7444</v>
      </c>
      <c r="U509" t="s">
        <v>7445</v>
      </c>
      <c r="V509" t="s">
        <v>7446</v>
      </c>
      <c r="W509" t="s">
        <v>7447</v>
      </c>
      <c r="X509" t="s">
        <v>7448</v>
      </c>
      <c r="Y509" t="s">
        <v>7449</v>
      </c>
      <c r="Z509" t="s">
        <v>3244</v>
      </c>
      <c r="AA509" t="s">
        <v>7450</v>
      </c>
      <c r="AB509" t="s">
        <v>7451</v>
      </c>
      <c r="AC509" t="s">
        <v>74</v>
      </c>
      <c r="AD509" t="s">
        <v>74</v>
      </c>
      <c r="AE509" t="s">
        <v>74</v>
      </c>
      <c r="AF509" t="s">
        <v>74</v>
      </c>
      <c r="AG509">
        <v>28</v>
      </c>
      <c r="AH509">
        <v>47</v>
      </c>
      <c r="AI509">
        <v>47</v>
      </c>
      <c r="AJ509">
        <v>1</v>
      </c>
      <c r="AK509">
        <v>3</v>
      </c>
      <c r="AL509" t="s">
        <v>92</v>
      </c>
      <c r="AM509" t="s">
        <v>93</v>
      </c>
      <c r="AN509" t="s">
        <v>94</v>
      </c>
      <c r="AO509" t="s">
        <v>337</v>
      </c>
      <c r="AP509" t="s">
        <v>338</v>
      </c>
      <c r="AQ509" t="s">
        <v>74</v>
      </c>
      <c r="AR509" t="s">
        <v>324</v>
      </c>
      <c r="AS509" t="s">
        <v>339</v>
      </c>
      <c r="AT509" t="s">
        <v>785</v>
      </c>
      <c r="AU509">
        <v>2019</v>
      </c>
      <c r="AV509">
        <v>156</v>
      </c>
      <c r="AW509">
        <v>1</v>
      </c>
      <c r="AX509" t="s">
        <v>74</v>
      </c>
      <c r="AY509" t="s">
        <v>74</v>
      </c>
      <c r="AZ509" t="s">
        <v>74</v>
      </c>
      <c r="BA509" t="s">
        <v>74</v>
      </c>
      <c r="BB509">
        <v>33</v>
      </c>
      <c r="BC509">
        <v>44</v>
      </c>
      <c r="BD509" t="s">
        <v>74</v>
      </c>
      <c r="BE509" t="s">
        <v>7452</v>
      </c>
      <c r="BF509" t="str">
        <f>HYPERLINK("http://dx.doi.org/10.1016/j.chest.2019.02.333","http://dx.doi.org/10.1016/j.chest.2019.02.333")</f>
        <v>http://dx.doi.org/10.1016/j.chest.2019.02.333</v>
      </c>
      <c r="BG509" t="s">
        <v>74</v>
      </c>
      <c r="BH509" t="s">
        <v>74</v>
      </c>
      <c r="BI509">
        <v>12</v>
      </c>
      <c r="BJ509" t="s">
        <v>341</v>
      </c>
      <c r="BK509" t="s">
        <v>101</v>
      </c>
      <c r="BL509" t="s">
        <v>342</v>
      </c>
      <c r="BM509" t="s">
        <v>7453</v>
      </c>
      <c r="BN509">
        <v>30872017</v>
      </c>
      <c r="BO509" t="s">
        <v>2517</v>
      </c>
      <c r="BP509" t="s">
        <v>74</v>
      </c>
      <c r="BQ509" t="s">
        <v>74</v>
      </c>
      <c r="BR509" t="s">
        <v>104</v>
      </c>
      <c r="BS509" t="s">
        <v>7454</v>
      </c>
      <c r="BT509" t="str">
        <f>HYPERLINK("https%3A%2F%2Fwww.webofscience.com%2Fwos%2Fwoscc%2Ffull-record%2FWOS:000473736500017","View Full Record in Web of Science")</f>
        <v>View Full Record in Web of Science</v>
      </c>
    </row>
    <row r="510" spans="1:72" x14ac:dyDescent="0.25">
      <c r="A510" t="s">
        <v>72</v>
      </c>
      <c r="B510" t="s">
        <v>7455</v>
      </c>
      <c r="C510" t="s">
        <v>74</v>
      </c>
      <c r="D510" t="s">
        <v>74</v>
      </c>
      <c r="E510" t="s">
        <v>74</v>
      </c>
      <c r="F510" t="s">
        <v>7456</v>
      </c>
      <c r="G510" t="s">
        <v>74</v>
      </c>
      <c r="H510" t="s">
        <v>74</v>
      </c>
      <c r="I510" t="s">
        <v>7457</v>
      </c>
      <c r="J510" t="s">
        <v>7458</v>
      </c>
      <c r="K510" t="s">
        <v>74</v>
      </c>
      <c r="L510" t="s">
        <v>74</v>
      </c>
      <c r="M510" t="s">
        <v>78</v>
      </c>
      <c r="N510" t="s">
        <v>79</v>
      </c>
      <c r="O510" t="s">
        <v>74</v>
      </c>
      <c r="P510" t="s">
        <v>74</v>
      </c>
      <c r="Q510" t="s">
        <v>74</v>
      </c>
      <c r="R510" t="s">
        <v>74</v>
      </c>
      <c r="S510" t="s">
        <v>74</v>
      </c>
      <c r="T510" t="s">
        <v>7459</v>
      </c>
      <c r="U510" t="s">
        <v>74</v>
      </c>
      <c r="V510" t="s">
        <v>7460</v>
      </c>
      <c r="W510" t="s">
        <v>7461</v>
      </c>
      <c r="X510" t="s">
        <v>7462</v>
      </c>
      <c r="Y510" t="s">
        <v>7463</v>
      </c>
      <c r="Z510" t="s">
        <v>7464</v>
      </c>
      <c r="AA510" t="s">
        <v>7465</v>
      </c>
      <c r="AB510" t="s">
        <v>7466</v>
      </c>
      <c r="AC510" t="s">
        <v>74</v>
      </c>
      <c r="AD510" t="s">
        <v>74</v>
      </c>
      <c r="AE510" t="s">
        <v>74</v>
      </c>
      <c r="AF510" t="s">
        <v>74</v>
      </c>
      <c r="AG510">
        <v>10</v>
      </c>
      <c r="AH510">
        <v>0</v>
      </c>
      <c r="AI510">
        <v>0</v>
      </c>
      <c r="AJ510">
        <v>0</v>
      </c>
      <c r="AK510">
        <v>1</v>
      </c>
      <c r="AL510" t="s">
        <v>7467</v>
      </c>
      <c r="AM510" t="s">
        <v>93</v>
      </c>
      <c r="AN510" t="s">
        <v>7468</v>
      </c>
      <c r="AO510" t="s">
        <v>7469</v>
      </c>
      <c r="AP510" t="s">
        <v>74</v>
      </c>
      <c r="AQ510" t="s">
        <v>74</v>
      </c>
      <c r="AR510" t="s">
        <v>7458</v>
      </c>
      <c r="AS510" t="s">
        <v>7470</v>
      </c>
      <c r="AT510" t="s">
        <v>888</v>
      </c>
      <c r="AU510">
        <v>2019</v>
      </c>
      <c r="AV510">
        <v>25</v>
      </c>
      <c r="AW510">
        <v>4</v>
      </c>
      <c r="AX510" t="s">
        <v>74</v>
      </c>
      <c r="AY510" t="s">
        <v>74</v>
      </c>
      <c r="AZ510" t="s">
        <v>74</v>
      </c>
      <c r="BA510" t="s">
        <v>74</v>
      </c>
      <c r="BB510">
        <v>248</v>
      </c>
      <c r="BC510">
        <v>251</v>
      </c>
      <c r="BD510" t="s">
        <v>74</v>
      </c>
      <c r="BE510" t="s">
        <v>7471</v>
      </c>
      <c r="BF510" t="str">
        <f>HYPERLINK("http://dx.doi.org/10.1016/j.pulmoe.2019.03.002","http://dx.doi.org/10.1016/j.pulmoe.2019.03.002")</f>
        <v>http://dx.doi.org/10.1016/j.pulmoe.2019.03.002</v>
      </c>
      <c r="BG510" t="s">
        <v>74</v>
      </c>
      <c r="BH510" t="s">
        <v>74</v>
      </c>
      <c r="BI510">
        <v>4</v>
      </c>
      <c r="BJ510" t="s">
        <v>228</v>
      </c>
      <c r="BK510" t="s">
        <v>101</v>
      </c>
      <c r="BL510" t="s">
        <v>228</v>
      </c>
      <c r="BM510" t="s">
        <v>7472</v>
      </c>
      <c r="BN510">
        <v>31080042</v>
      </c>
      <c r="BO510" t="s">
        <v>1665</v>
      </c>
      <c r="BP510" t="s">
        <v>74</v>
      </c>
      <c r="BQ510" t="s">
        <v>74</v>
      </c>
      <c r="BR510" t="s">
        <v>104</v>
      </c>
      <c r="BS510" t="s">
        <v>7473</v>
      </c>
      <c r="BT510" t="str">
        <f>HYPERLINK("https%3A%2F%2Fwww.webofscience.com%2Fwos%2Fwoscc%2Ffull-record%2FWOS:000473221100007","View Full Record in Web of Science")</f>
        <v>View Full Record in Web of Science</v>
      </c>
    </row>
    <row r="511" spans="1:72" x14ac:dyDescent="0.25">
      <c r="A511" t="s">
        <v>72</v>
      </c>
      <c r="B511" t="s">
        <v>7474</v>
      </c>
      <c r="C511" t="s">
        <v>74</v>
      </c>
      <c r="D511" t="s">
        <v>74</v>
      </c>
      <c r="E511" t="s">
        <v>74</v>
      </c>
      <c r="F511" t="s">
        <v>7475</v>
      </c>
      <c r="G511" t="s">
        <v>74</v>
      </c>
      <c r="H511" t="s">
        <v>74</v>
      </c>
      <c r="I511" t="s">
        <v>7476</v>
      </c>
      <c r="J511" t="s">
        <v>189</v>
      </c>
      <c r="K511" t="s">
        <v>74</v>
      </c>
      <c r="L511" t="s">
        <v>74</v>
      </c>
      <c r="M511" t="s">
        <v>78</v>
      </c>
      <c r="N511" t="s">
        <v>79</v>
      </c>
      <c r="O511" t="s">
        <v>74</v>
      </c>
      <c r="P511" t="s">
        <v>74</v>
      </c>
      <c r="Q511" t="s">
        <v>74</v>
      </c>
      <c r="R511" t="s">
        <v>74</v>
      </c>
      <c r="S511" t="s">
        <v>74</v>
      </c>
      <c r="T511" t="s">
        <v>7477</v>
      </c>
      <c r="U511" t="s">
        <v>7478</v>
      </c>
      <c r="V511" t="s">
        <v>7479</v>
      </c>
      <c r="W511" t="s">
        <v>7480</v>
      </c>
      <c r="X511" t="s">
        <v>7481</v>
      </c>
      <c r="Y511" t="s">
        <v>7482</v>
      </c>
      <c r="Z511" t="s">
        <v>7483</v>
      </c>
      <c r="AA511" t="s">
        <v>144</v>
      </c>
      <c r="AB511" t="s">
        <v>7484</v>
      </c>
      <c r="AC511" t="s">
        <v>7485</v>
      </c>
      <c r="AD511" t="s">
        <v>7486</v>
      </c>
      <c r="AE511" t="s">
        <v>7487</v>
      </c>
      <c r="AF511" t="s">
        <v>74</v>
      </c>
      <c r="AG511">
        <v>37</v>
      </c>
      <c r="AH511">
        <v>29</v>
      </c>
      <c r="AI511">
        <v>32</v>
      </c>
      <c r="AJ511">
        <v>0</v>
      </c>
      <c r="AK511">
        <v>3</v>
      </c>
      <c r="AL511" t="s">
        <v>200</v>
      </c>
      <c r="AM511" t="s">
        <v>201</v>
      </c>
      <c r="AN511" t="s">
        <v>202</v>
      </c>
      <c r="AO511" t="s">
        <v>203</v>
      </c>
      <c r="AP511" t="s">
        <v>204</v>
      </c>
      <c r="AQ511" t="s">
        <v>74</v>
      </c>
      <c r="AR511" t="s">
        <v>205</v>
      </c>
      <c r="AS511" t="s">
        <v>206</v>
      </c>
      <c r="AT511" t="s">
        <v>888</v>
      </c>
      <c r="AU511">
        <v>2019</v>
      </c>
      <c r="AV511">
        <v>154</v>
      </c>
      <c r="AW511" t="s">
        <v>74</v>
      </c>
      <c r="AX511" t="s">
        <v>74</v>
      </c>
      <c r="AY511" t="s">
        <v>74</v>
      </c>
      <c r="AZ511" t="s">
        <v>74</v>
      </c>
      <c r="BA511" t="s">
        <v>74</v>
      </c>
      <c r="BB511">
        <v>69</v>
      </c>
      <c r="BC511">
        <v>75</v>
      </c>
      <c r="BD511" t="s">
        <v>74</v>
      </c>
      <c r="BE511" t="s">
        <v>7488</v>
      </c>
      <c r="BF511" t="str">
        <f>HYPERLINK("http://dx.doi.org/10.1016/j.rmed.2019.06.004","http://dx.doi.org/10.1016/j.rmed.2019.06.004")</f>
        <v>http://dx.doi.org/10.1016/j.rmed.2019.06.004</v>
      </c>
      <c r="BG511" t="s">
        <v>74</v>
      </c>
      <c r="BH511" t="s">
        <v>74</v>
      </c>
      <c r="BI511">
        <v>7</v>
      </c>
      <c r="BJ511" t="s">
        <v>209</v>
      </c>
      <c r="BK511" t="s">
        <v>101</v>
      </c>
      <c r="BL511" t="s">
        <v>210</v>
      </c>
      <c r="BM511" t="s">
        <v>7489</v>
      </c>
      <c r="BN511">
        <v>31220806</v>
      </c>
      <c r="BO511" t="s">
        <v>1194</v>
      </c>
      <c r="BP511" t="s">
        <v>74</v>
      </c>
      <c r="BQ511" t="s">
        <v>74</v>
      </c>
      <c r="BR511" t="s">
        <v>104</v>
      </c>
      <c r="BS511" t="s">
        <v>7490</v>
      </c>
      <c r="BT511" t="str">
        <f>HYPERLINK("https%3A%2F%2Fwww.webofscience.com%2Fwos%2Fwoscc%2Ffull-record%2FWOS:000474821800011","View Full Record in Web of Science")</f>
        <v>View Full Record in Web of Science</v>
      </c>
    </row>
    <row r="512" spans="1:72" x14ac:dyDescent="0.25">
      <c r="A512" t="s">
        <v>72</v>
      </c>
      <c r="B512" t="s">
        <v>7491</v>
      </c>
      <c r="C512" t="s">
        <v>74</v>
      </c>
      <c r="D512" t="s">
        <v>74</v>
      </c>
      <c r="E512" t="s">
        <v>74</v>
      </c>
      <c r="F512" t="s">
        <v>7492</v>
      </c>
      <c r="G512" t="s">
        <v>74</v>
      </c>
      <c r="H512" t="s">
        <v>7493</v>
      </c>
      <c r="I512" t="s">
        <v>7494</v>
      </c>
      <c r="J512" t="s">
        <v>1962</v>
      </c>
      <c r="K512" t="s">
        <v>74</v>
      </c>
      <c r="L512" t="s">
        <v>74</v>
      </c>
      <c r="M512" t="s">
        <v>78</v>
      </c>
      <c r="N512" t="s">
        <v>52</v>
      </c>
      <c r="O512" t="s">
        <v>7495</v>
      </c>
      <c r="P512" t="s">
        <v>7496</v>
      </c>
      <c r="Q512" t="s">
        <v>7497</v>
      </c>
      <c r="R512" t="s">
        <v>1965</v>
      </c>
      <c r="S512" t="s">
        <v>74</v>
      </c>
      <c r="T512" t="s">
        <v>74</v>
      </c>
      <c r="U512" t="s">
        <v>74</v>
      </c>
      <c r="V512" t="s">
        <v>74</v>
      </c>
      <c r="W512" t="s">
        <v>7498</v>
      </c>
      <c r="X512" t="s">
        <v>7499</v>
      </c>
      <c r="Y512" t="s">
        <v>74</v>
      </c>
      <c r="Z512" t="s">
        <v>74</v>
      </c>
      <c r="AA512" t="s">
        <v>7500</v>
      </c>
      <c r="AB512" t="s">
        <v>509</v>
      </c>
      <c r="AC512" t="s">
        <v>74</v>
      </c>
      <c r="AD512" t="s">
        <v>74</v>
      </c>
      <c r="AE512" t="s">
        <v>74</v>
      </c>
      <c r="AF512" t="s">
        <v>74</v>
      </c>
      <c r="AG512">
        <v>0</v>
      </c>
      <c r="AH512">
        <v>0</v>
      </c>
      <c r="AI512">
        <v>0</v>
      </c>
      <c r="AJ512">
        <v>0</v>
      </c>
      <c r="AK512">
        <v>0</v>
      </c>
      <c r="AL512" t="s">
        <v>7501</v>
      </c>
      <c r="AM512" t="s">
        <v>201</v>
      </c>
      <c r="AN512" t="s">
        <v>7502</v>
      </c>
      <c r="AO512" t="s">
        <v>1973</v>
      </c>
      <c r="AP512" t="s">
        <v>1974</v>
      </c>
      <c r="AQ512" t="s">
        <v>74</v>
      </c>
      <c r="AR512" t="s">
        <v>1975</v>
      </c>
      <c r="AS512" t="s">
        <v>1976</v>
      </c>
      <c r="AT512" t="s">
        <v>785</v>
      </c>
      <c r="AU512">
        <v>2019</v>
      </c>
      <c r="AV512">
        <v>27</v>
      </c>
      <c r="AW512" t="s">
        <v>74</v>
      </c>
      <c r="AX512" t="s">
        <v>74</v>
      </c>
      <c r="AY512">
        <v>1</v>
      </c>
      <c r="AZ512" t="s">
        <v>74</v>
      </c>
      <c r="BA512" t="s">
        <v>7503</v>
      </c>
      <c r="BB512">
        <v>590</v>
      </c>
      <c r="BC512">
        <v>590</v>
      </c>
      <c r="BD512" t="s">
        <v>74</v>
      </c>
      <c r="BE512" t="s">
        <v>74</v>
      </c>
      <c r="BF512" t="s">
        <v>74</v>
      </c>
      <c r="BG512" t="s">
        <v>74</v>
      </c>
      <c r="BH512" t="s">
        <v>74</v>
      </c>
      <c r="BI512">
        <v>1</v>
      </c>
      <c r="BJ512" t="s">
        <v>1979</v>
      </c>
      <c r="BK512" t="s">
        <v>512</v>
      </c>
      <c r="BL512" t="s">
        <v>1979</v>
      </c>
      <c r="BM512" t="s">
        <v>7504</v>
      </c>
      <c r="BN512" t="s">
        <v>74</v>
      </c>
      <c r="BO512" t="s">
        <v>74</v>
      </c>
      <c r="BP512" t="s">
        <v>74</v>
      </c>
      <c r="BQ512" t="s">
        <v>74</v>
      </c>
      <c r="BR512" t="s">
        <v>104</v>
      </c>
      <c r="BS512" t="s">
        <v>7505</v>
      </c>
      <c r="BT512" t="str">
        <f>HYPERLINK("https%3A%2F%2Fwww.webofscience.com%2Fwos%2Fwoscc%2Ffull-record%2FWOS:000489313104324","View Full Record in Web of Science")</f>
        <v>View Full Record in Web of Science</v>
      </c>
    </row>
    <row r="513" spans="1:72" x14ac:dyDescent="0.25">
      <c r="A513" t="s">
        <v>72</v>
      </c>
      <c r="B513" t="s">
        <v>7506</v>
      </c>
      <c r="C513" t="s">
        <v>74</v>
      </c>
      <c r="D513" t="s">
        <v>74</v>
      </c>
      <c r="E513" t="s">
        <v>74</v>
      </c>
      <c r="F513" t="s">
        <v>7507</v>
      </c>
      <c r="G513" t="s">
        <v>74</v>
      </c>
      <c r="H513" t="s">
        <v>74</v>
      </c>
      <c r="I513" t="s">
        <v>7508</v>
      </c>
      <c r="J513" t="s">
        <v>1962</v>
      </c>
      <c r="K513" t="s">
        <v>74</v>
      </c>
      <c r="L513" t="s">
        <v>74</v>
      </c>
      <c r="M513" t="s">
        <v>78</v>
      </c>
      <c r="N513" t="s">
        <v>52</v>
      </c>
      <c r="O513" t="s">
        <v>7495</v>
      </c>
      <c r="P513" t="s">
        <v>7496</v>
      </c>
      <c r="Q513" t="s">
        <v>7497</v>
      </c>
      <c r="R513" t="s">
        <v>1965</v>
      </c>
      <c r="S513" t="s">
        <v>74</v>
      </c>
      <c r="T513" t="s">
        <v>74</v>
      </c>
      <c r="U513" t="s">
        <v>74</v>
      </c>
      <c r="V513" t="s">
        <v>74</v>
      </c>
      <c r="W513" t="s">
        <v>7509</v>
      </c>
      <c r="X513" t="s">
        <v>7510</v>
      </c>
      <c r="Y513" t="s">
        <v>74</v>
      </c>
      <c r="Z513" t="s">
        <v>74</v>
      </c>
      <c r="AA513" t="s">
        <v>7511</v>
      </c>
      <c r="AB513" t="s">
        <v>5709</v>
      </c>
      <c r="AC513" t="s">
        <v>74</v>
      </c>
      <c r="AD513" t="s">
        <v>74</v>
      </c>
      <c r="AE513" t="s">
        <v>74</v>
      </c>
      <c r="AF513" t="s">
        <v>74</v>
      </c>
      <c r="AG513">
        <v>0</v>
      </c>
      <c r="AH513">
        <v>0</v>
      </c>
      <c r="AI513">
        <v>0</v>
      </c>
      <c r="AJ513">
        <v>0</v>
      </c>
      <c r="AK513">
        <v>0</v>
      </c>
      <c r="AL513" t="s">
        <v>7501</v>
      </c>
      <c r="AM513" t="s">
        <v>201</v>
      </c>
      <c r="AN513" t="s">
        <v>7502</v>
      </c>
      <c r="AO513" t="s">
        <v>1973</v>
      </c>
      <c r="AP513" t="s">
        <v>1974</v>
      </c>
      <c r="AQ513" t="s">
        <v>74</v>
      </c>
      <c r="AR513" t="s">
        <v>1975</v>
      </c>
      <c r="AS513" t="s">
        <v>1976</v>
      </c>
      <c r="AT513" t="s">
        <v>785</v>
      </c>
      <c r="AU513">
        <v>2019</v>
      </c>
      <c r="AV513">
        <v>27</v>
      </c>
      <c r="AW513" t="s">
        <v>74</v>
      </c>
      <c r="AX513" t="s">
        <v>74</v>
      </c>
      <c r="AY513">
        <v>1</v>
      </c>
      <c r="AZ513" t="s">
        <v>74</v>
      </c>
      <c r="BA513" t="s">
        <v>7512</v>
      </c>
      <c r="BB513">
        <v>157</v>
      </c>
      <c r="BC513">
        <v>158</v>
      </c>
      <c r="BD513" t="s">
        <v>74</v>
      </c>
      <c r="BE513" t="s">
        <v>74</v>
      </c>
      <c r="BF513" t="s">
        <v>74</v>
      </c>
      <c r="BG513" t="s">
        <v>74</v>
      </c>
      <c r="BH513" t="s">
        <v>74</v>
      </c>
      <c r="BI513">
        <v>2</v>
      </c>
      <c r="BJ513" t="s">
        <v>1979</v>
      </c>
      <c r="BK513" t="s">
        <v>512</v>
      </c>
      <c r="BL513" t="s">
        <v>1979</v>
      </c>
      <c r="BM513" t="s">
        <v>7504</v>
      </c>
      <c r="BN513" t="s">
        <v>74</v>
      </c>
      <c r="BO513" t="s">
        <v>74</v>
      </c>
      <c r="BP513" t="s">
        <v>74</v>
      </c>
      <c r="BQ513" t="s">
        <v>74</v>
      </c>
      <c r="BR513" t="s">
        <v>104</v>
      </c>
      <c r="BS513" t="s">
        <v>7513</v>
      </c>
      <c r="BT513" t="str">
        <f>HYPERLINK("https%3A%2F%2Fwww.webofscience.com%2Fwos%2Fwoscc%2Ffull-record%2FWOS:000489313101108","View Full Record in Web of Science")</f>
        <v>View Full Record in Web of Science</v>
      </c>
    </row>
    <row r="514" spans="1:72" x14ac:dyDescent="0.25">
      <c r="A514" t="s">
        <v>72</v>
      </c>
      <c r="B514" t="s">
        <v>7514</v>
      </c>
      <c r="C514" t="s">
        <v>74</v>
      </c>
      <c r="D514" t="s">
        <v>74</v>
      </c>
      <c r="E514" t="s">
        <v>74</v>
      </c>
      <c r="F514" t="s">
        <v>7515</v>
      </c>
      <c r="G514" t="s">
        <v>74</v>
      </c>
      <c r="H514" t="s">
        <v>74</v>
      </c>
      <c r="I514" t="s">
        <v>7516</v>
      </c>
      <c r="J514" t="s">
        <v>814</v>
      </c>
      <c r="K514" t="s">
        <v>74</v>
      </c>
      <c r="L514" t="s">
        <v>74</v>
      </c>
      <c r="M514" t="s">
        <v>78</v>
      </c>
      <c r="N514" t="s">
        <v>299</v>
      </c>
      <c r="O514" t="s">
        <v>74</v>
      </c>
      <c r="P514" t="s">
        <v>74</v>
      </c>
      <c r="Q514" t="s">
        <v>74</v>
      </c>
      <c r="R514" t="s">
        <v>74</v>
      </c>
      <c r="S514" t="s">
        <v>74</v>
      </c>
      <c r="T514" t="s">
        <v>74</v>
      </c>
      <c r="U514" t="s">
        <v>7517</v>
      </c>
      <c r="V514" t="s">
        <v>7518</v>
      </c>
      <c r="W514" t="s">
        <v>7519</v>
      </c>
      <c r="X514" t="s">
        <v>7520</v>
      </c>
      <c r="Y514" t="s">
        <v>7521</v>
      </c>
      <c r="Z514" t="s">
        <v>7522</v>
      </c>
      <c r="AA514" t="s">
        <v>7523</v>
      </c>
      <c r="AB514" t="s">
        <v>7524</v>
      </c>
      <c r="AC514" t="s">
        <v>145</v>
      </c>
      <c r="AD514" t="s">
        <v>146</v>
      </c>
      <c r="AE514" t="s">
        <v>7525</v>
      </c>
      <c r="AF514" t="s">
        <v>74</v>
      </c>
      <c r="AG514">
        <v>73</v>
      </c>
      <c r="AH514">
        <v>35</v>
      </c>
      <c r="AI514">
        <v>35</v>
      </c>
      <c r="AJ514">
        <v>0</v>
      </c>
      <c r="AK514">
        <v>1</v>
      </c>
      <c r="AL514" t="s">
        <v>219</v>
      </c>
      <c r="AM514" t="s">
        <v>220</v>
      </c>
      <c r="AN514" t="s">
        <v>221</v>
      </c>
      <c r="AO514" t="s">
        <v>823</v>
      </c>
      <c r="AP514" t="s">
        <v>824</v>
      </c>
      <c r="AQ514" t="s">
        <v>74</v>
      </c>
      <c r="AR514" t="s">
        <v>825</v>
      </c>
      <c r="AS514" t="s">
        <v>826</v>
      </c>
      <c r="AT514" t="s">
        <v>6291</v>
      </c>
      <c r="AU514">
        <v>2019</v>
      </c>
      <c r="AV514">
        <v>28</v>
      </c>
      <c r="AW514">
        <v>152</v>
      </c>
      <c r="AX514" t="s">
        <v>74</v>
      </c>
      <c r="AY514" t="s">
        <v>74</v>
      </c>
      <c r="AZ514" t="s">
        <v>74</v>
      </c>
      <c r="BA514" t="s">
        <v>74</v>
      </c>
      <c r="BB514" t="s">
        <v>74</v>
      </c>
      <c r="BC514" t="s">
        <v>74</v>
      </c>
      <c r="BD514">
        <v>190054</v>
      </c>
      <c r="BE514" t="s">
        <v>7526</v>
      </c>
      <c r="BF514" t="str">
        <f>HYPERLINK("http://dx.doi.org/10.1183/16000617.0054-2019","http://dx.doi.org/10.1183/16000617.0054-2019")</f>
        <v>http://dx.doi.org/10.1183/16000617.0054-2019</v>
      </c>
      <c r="BG514" t="s">
        <v>74</v>
      </c>
      <c r="BH514" t="s">
        <v>74</v>
      </c>
      <c r="BI514">
        <v>11</v>
      </c>
      <c r="BJ514" t="s">
        <v>228</v>
      </c>
      <c r="BK514" t="s">
        <v>101</v>
      </c>
      <c r="BL514" t="s">
        <v>228</v>
      </c>
      <c r="BM514" t="s">
        <v>7527</v>
      </c>
      <c r="BN514">
        <v>31285291</v>
      </c>
      <c r="BO514" t="s">
        <v>1665</v>
      </c>
      <c r="BP514" t="s">
        <v>74</v>
      </c>
      <c r="BQ514" t="s">
        <v>74</v>
      </c>
      <c r="BR514" t="s">
        <v>104</v>
      </c>
      <c r="BS514" t="s">
        <v>7528</v>
      </c>
      <c r="BT514" t="str">
        <f>HYPERLINK("https%3A%2F%2Fwww.webofscience.com%2Fwos%2Fwoscc%2Ffull-record%2FWOS:000477993000004","View Full Record in Web of Science")</f>
        <v>View Full Record in Web of Science</v>
      </c>
    </row>
    <row r="515" spans="1:72" x14ac:dyDescent="0.25">
      <c r="A515" t="s">
        <v>72</v>
      </c>
      <c r="B515" t="s">
        <v>7529</v>
      </c>
      <c r="C515" t="s">
        <v>74</v>
      </c>
      <c r="D515" t="s">
        <v>74</v>
      </c>
      <c r="E515" t="s">
        <v>74</v>
      </c>
      <c r="F515" t="s">
        <v>7530</v>
      </c>
      <c r="G515" t="s">
        <v>74</v>
      </c>
      <c r="H515" t="s">
        <v>74</v>
      </c>
      <c r="I515" t="s">
        <v>7531</v>
      </c>
      <c r="J515" t="s">
        <v>7532</v>
      </c>
      <c r="K515" t="s">
        <v>74</v>
      </c>
      <c r="L515" t="s">
        <v>74</v>
      </c>
      <c r="M515" t="s">
        <v>78</v>
      </c>
      <c r="N515" t="s">
        <v>299</v>
      </c>
      <c r="O515" t="s">
        <v>74</v>
      </c>
      <c r="P515" t="s">
        <v>74</v>
      </c>
      <c r="Q515" t="s">
        <v>74</v>
      </c>
      <c r="R515" t="s">
        <v>74</v>
      </c>
      <c r="S515" t="s">
        <v>74</v>
      </c>
      <c r="T515" t="s">
        <v>74</v>
      </c>
      <c r="U515" t="s">
        <v>7533</v>
      </c>
      <c r="V515" t="s">
        <v>7534</v>
      </c>
      <c r="W515" t="s">
        <v>7535</v>
      </c>
      <c r="X515" t="s">
        <v>7536</v>
      </c>
      <c r="Y515" t="s">
        <v>7537</v>
      </c>
      <c r="Z515" t="s">
        <v>331</v>
      </c>
      <c r="AA515" t="s">
        <v>7538</v>
      </c>
      <c r="AB515" t="s">
        <v>7539</v>
      </c>
      <c r="AC515" t="s">
        <v>7540</v>
      </c>
      <c r="AD515" t="s">
        <v>7540</v>
      </c>
      <c r="AE515" t="s">
        <v>7541</v>
      </c>
      <c r="AF515" t="s">
        <v>74</v>
      </c>
      <c r="AG515">
        <v>96</v>
      </c>
      <c r="AH515">
        <v>17</v>
      </c>
      <c r="AI515">
        <v>22</v>
      </c>
      <c r="AJ515">
        <v>0</v>
      </c>
      <c r="AK515">
        <v>6</v>
      </c>
      <c r="AL515" t="s">
        <v>991</v>
      </c>
      <c r="AM515" t="s">
        <v>486</v>
      </c>
      <c r="AN515" t="s">
        <v>992</v>
      </c>
      <c r="AO515" t="s">
        <v>7542</v>
      </c>
      <c r="AP515" t="s">
        <v>7543</v>
      </c>
      <c r="AQ515" t="s">
        <v>74</v>
      </c>
      <c r="AR515" t="s">
        <v>7544</v>
      </c>
      <c r="AS515" t="s">
        <v>7545</v>
      </c>
      <c r="AT515" t="s">
        <v>1060</v>
      </c>
      <c r="AU515">
        <v>2019</v>
      </c>
      <c r="AV515">
        <v>189</v>
      </c>
      <c r="AW515">
        <v>6</v>
      </c>
      <c r="AX515" t="s">
        <v>74</v>
      </c>
      <c r="AY515" t="s">
        <v>74</v>
      </c>
      <c r="AZ515" t="s">
        <v>74</v>
      </c>
      <c r="BA515" t="s">
        <v>74</v>
      </c>
      <c r="BB515">
        <v>1159</v>
      </c>
      <c r="BC515">
        <v>1175</v>
      </c>
      <c r="BD515" t="s">
        <v>74</v>
      </c>
      <c r="BE515" t="s">
        <v>7546</v>
      </c>
      <c r="BF515" t="str">
        <f>HYPERLINK("http://dx.doi.org/10.1016/j.ajpath.2019.02.007","http://dx.doi.org/10.1016/j.ajpath.2019.02.007")</f>
        <v>http://dx.doi.org/10.1016/j.ajpath.2019.02.007</v>
      </c>
      <c r="BG515" t="s">
        <v>74</v>
      </c>
      <c r="BH515" t="s">
        <v>74</v>
      </c>
      <c r="BI515">
        <v>17</v>
      </c>
      <c r="BJ515" t="s">
        <v>7547</v>
      </c>
      <c r="BK515" t="s">
        <v>101</v>
      </c>
      <c r="BL515" t="s">
        <v>7547</v>
      </c>
      <c r="BM515" t="s">
        <v>7548</v>
      </c>
      <c r="BN515">
        <v>30926335</v>
      </c>
      <c r="BO515" t="s">
        <v>161</v>
      </c>
      <c r="BP515" t="s">
        <v>74</v>
      </c>
      <c r="BQ515" t="s">
        <v>74</v>
      </c>
      <c r="BR515" t="s">
        <v>104</v>
      </c>
      <c r="BS515" t="s">
        <v>7549</v>
      </c>
      <c r="BT515" t="str">
        <f>HYPERLINK("https%3A%2F%2Fwww.webofscience.com%2Fwos%2Fwoscc%2Ffull-record%2FWOS:000469894200004","View Full Record in Web of Science")</f>
        <v>View Full Record in Web of Science</v>
      </c>
    </row>
    <row r="516" spans="1:72" x14ac:dyDescent="0.25">
      <c r="A516" t="s">
        <v>72</v>
      </c>
      <c r="B516" t="s">
        <v>7550</v>
      </c>
      <c r="C516" t="s">
        <v>74</v>
      </c>
      <c r="D516" t="s">
        <v>74</v>
      </c>
      <c r="E516" t="s">
        <v>74</v>
      </c>
      <c r="F516" t="s">
        <v>7551</v>
      </c>
      <c r="G516" t="s">
        <v>74</v>
      </c>
      <c r="H516" t="s">
        <v>74</v>
      </c>
      <c r="I516" t="s">
        <v>7552</v>
      </c>
      <c r="J516" t="s">
        <v>216</v>
      </c>
      <c r="K516" t="s">
        <v>74</v>
      </c>
      <c r="L516" t="s">
        <v>74</v>
      </c>
      <c r="M516" t="s">
        <v>78</v>
      </c>
      <c r="N516" t="s">
        <v>79</v>
      </c>
      <c r="O516" t="s">
        <v>74</v>
      </c>
      <c r="P516" t="s">
        <v>74</v>
      </c>
      <c r="Q516" t="s">
        <v>74</v>
      </c>
      <c r="R516" t="s">
        <v>74</v>
      </c>
      <c r="S516" t="s">
        <v>74</v>
      </c>
      <c r="T516" t="s">
        <v>74</v>
      </c>
      <c r="U516" t="s">
        <v>7553</v>
      </c>
      <c r="V516" t="s">
        <v>7554</v>
      </c>
      <c r="W516" t="s">
        <v>7555</v>
      </c>
      <c r="X516" t="s">
        <v>7556</v>
      </c>
      <c r="Y516" t="s">
        <v>7557</v>
      </c>
      <c r="Z516" t="s">
        <v>377</v>
      </c>
      <c r="AA516" t="s">
        <v>7558</v>
      </c>
      <c r="AB516" t="s">
        <v>7559</v>
      </c>
      <c r="AC516" t="s">
        <v>6847</v>
      </c>
      <c r="AD516" t="s">
        <v>6848</v>
      </c>
      <c r="AE516" t="s">
        <v>7560</v>
      </c>
      <c r="AF516" t="s">
        <v>74</v>
      </c>
      <c r="AG516">
        <v>38</v>
      </c>
      <c r="AH516">
        <v>66</v>
      </c>
      <c r="AI516">
        <v>70</v>
      </c>
      <c r="AJ516">
        <v>0</v>
      </c>
      <c r="AK516">
        <v>2</v>
      </c>
      <c r="AL516" t="s">
        <v>219</v>
      </c>
      <c r="AM516" t="s">
        <v>220</v>
      </c>
      <c r="AN516" t="s">
        <v>221</v>
      </c>
      <c r="AO516" t="s">
        <v>222</v>
      </c>
      <c r="AP516" t="s">
        <v>223</v>
      </c>
      <c r="AQ516" t="s">
        <v>74</v>
      </c>
      <c r="AR516" t="s">
        <v>224</v>
      </c>
      <c r="AS516" t="s">
        <v>225</v>
      </c>
      <c r="AT516" t="s">
        <v>933</v>
      </c>
      <c r="AU516">
        <v>2019</v>
      </c>
      <c r="AV516">
        <v>53</v>
      </c>
      <c r="AW516">
        <v>6</v>
      </c>
      <c r="AX516" t="s">
        <v>74</v>
      </c>
      <c r="AY516" t="s">
        <v>74</v>
      </c>
      <c r="AZ516" t="s">
        <v>74</v>
      </c>
      <c r="BA516" t="s">
        <v>74</v>
      </c>
      <c r="BB516" t="s">
        <v>74</v>
      </c>
      <c r="BC516" t="s">
        <v>74</v>
      </c>
      <c r="BD516">
        <v>1802004</v>
      </c>
      <c r="BE516" t="s">
        <v>7561</v>
      </c>
      <c r="BF516" t="str">
        <f>HYPERLINK("http://dx.doi.org/10.1183/13993003.02004-2018","http://dx.doi.org/10.1183/13993003.02004-2018")</f>
        <v>http://dx.doi.org/10.1183/13993003.02004-2018</v>
      </c>
      <c r="BG516" t="s">
        <v>74</v>
      </c>
      <c r="BH516" t="s">
        <v>74</v>
      </c>
      <c r="BI516">
        <v>16</v>
      </c>
      <c r="BJ516" t="s">
        <v>228</v>
      </c>
      <c r="BK516" t="s">
        <v>101</v>
      </c>
      <c r="BL516" t="s">
        <v>228</v>
      </c>
      <c r="BM516" t="s">
        <v>7562</v>
      </c>
      <c r="BN516">
        <v>30923187</v>
      </c>
      <c r="BO516" t="s">
        <v>470</v>
      </c>
      <c r="BP516" t="s">
        <v>74</v>
      </c>
      <c r="BQ516" t="s">
        <v>74</v>
      </c>
      <c r="BR516" t="s">
        <v>104</v>
      </c>
      <c r="BS516" t="s">
        <v>7563</v>
      </c>
      <c r="BT516" t="str">
        <f>HYPERLINK("https%3A%2F%2Fwww.webofscience.com%2Fwos%2Fwoscc%2Ffull-record%2FWOS:000474194800010","View Full Record in Web of Science")</f>
        <v>View Full Record in Web of Science</v>
      </c>
    </row>
    <row r="517" spans="1:72" x14ac:dyDescent="0.25">
      <c r="A517" t="s">
        <v>72</v>
      </c>
      <c r="B517" t="s">
        <v>7564</v>
      </c>
      <c r="C517" t="s">
        <v>74</v>
      </c>
      <c r="D517" t="s">
        <v>74</v>
      </c>
      <c r="E517" t="s">
        <v>74</v>
      </c>
      <c r="F517" t="s">
        <v>7565</v>
      </c>
      <c r="G517" t="s">
        <v>74</v>
      </c>
      <c r="H517" t="s">
        <v>74</v>
      </c>
      <c r="I517" t="s">
        <v>7566</v>
      </c>
      <c r="J517" t="s">
        <v>388</v>
      </c>
      <c r="K517" t="s">
        <v>74</v>
      </c>
      <c r="L517" t="s">
        <v>74</v>
      </c>
      <c r="M517" t="s">
        <v>78</v>
      </c>
      <c r="N517" t="s">
        <v>140</v>
      </c>
      <c r="O517" t="s">
        <v>74</v>
      </c>
      <c r="P517" t="s">
        <v>74</v>
      </c>
      <c r="Q517" t="s">
        <v>74</v>
      </c>
      <c r="R517" t="s">
        <v>74</v>
      </c>
      <c r="S517" t="s">
        <v>74</v>
      </c>
      <c r="T517" t="s">
        <v>74</v>
      </c>
      <c r="U517" t="s">
        <v>74</v>
      </c>
      <c r="V517" t="s">
        <v>74</v>
      </c>
      <c r="W517" t="s">
        <v>7567</v>
      </c>
      <c r="X517" t="s">
        <v>1633</v>
      </c>
      <c r="Y517" t="s">
        <v>7568</v>
      </c>
      <c r="Z517" t="s">
        <v>377</v>
      </c>
      <c r="AA517" t="s">
        <v>7569</v>
      </c>
      <c r="AB517" t="s">
        <v>257</v>
      </c>
      <c r="AC517" t="s">
        <v>74</v>
      </c>
      <c r="AD517" t="s">
        <v>74</v>
      </c>
      <c r="AE517" t="s">
        <v>74</v>
      </c>
      <c r="AF517" t="s">
        <v>74</v>
      </c>
      <c r="AG517">
        <v>0</v>
      </c>
      <c r="AH517">
        <v>10</v>
      </c>
      <c r="AI517">
        <v>12</v>
      </c>
      <c r="AJ517">
        <v>0</v>
      </c>
      <c r="AK517">
        <v>0</v>
      </c>
      <c r="AL517" t="s">
        <v>397</v>
      </c>
      <c r="AM517" t="s">
        <v>1074</v>
      </c>
      <c r="AN517" t="s">
        <v>4444</v>
      </c>
      <c r="AO517" t="s">
        <v>400</v>
      </c>
      <c r="AP517" t="s">
        <v>74</v>
      </c>
      <c r="AQ517" t="s">
        <v>74</v>
      </c>
      <c r="AR517" t="s">
        <v>401</v>
      </c>
      <c r="AS517" t="s">
        <v>402</v>
      </c>
      <c r="AT517" t="s">
        <v>1060</v>
      </c>
      <c r="AU517">
        <v>2019</v>
      </c>
      <c r="AV517">
        <v>7</v>
      </c>
      <c r="AW517">
        <v>6</v>
      </c>
      <c r="AX517" t="s">
        <v>74</v>
      </c>
      <c r="AY517" t="s">
        <v>74</v>
      </c>
      <c r="AZ517" t="s">
        <v>74</v>
      </c>
      <c r="BA517" t="s">
        <v>74</v>
      </c>
      <c r="BB517">
        <v>484</v>
      </c>
      <c r="BC517">
        <v>485</v>
      </c>
      <c r="BD517" t="s">
        <v>74</v>
      </c>
      <c r="BE517" t="s">
        <v>7570</v>
      </c>
      <c r="BF517" t="str">
        <f>HYPERLINK("http://dx.doi.org/10.1016/S2213-2600(19)30111-0","http://dx.doi.org/10.1016/S2213-2600(19)30111-0")</f>
        <v>http://dx.doi.org/10.1016/S2213-2600(19)30111-0</v>
      </c>
      <c r="BG517" t="s">
        <v>74</v>
      </c>
      <c r="BH517" t="s">
        <v>74</v>
      </c>
      <c r="BI517">
        <v>2</v>
      </c>
      <c r="BJ517" t="s">
        <v>341</v>
      </c>
      <c r="BK517" t="s">
        <v>101</v>
      </c>
      <c r="BL517" t="s">
        <v>342</v>
      </c>
      <c r="BM517" t="s">
        <v>7571</v>
      </c>
      <c r="BN517">
        <v>30956061</v>
      </c>
      <c r="BO517" t="s">
        <v>1194</v>
      </c>
      <c r="BP517" t="s">
        <v>74</v>
      </c>
      <c r="BQ517" t="s">
        <v>74</v>
      </c>
      <c r="BR517" t="s">
        <v>104</v>
      </c>
      <c r="BS517" t="s">
        <v>7572</v>
      </c>
      <c r="BT517" t="str">
        <f>HYPERLINK("https%3A%2F%2Fwww.webofscience.com%2Fwos%2Fwoscc%2Ffull-record%2FWOS:000468488400015","View Full Record in Web of Science")</f>
        <v>View Full Record in Web of Science</v>
      </c>
    </row>
    <row r="518" spans="1:72" x14ac:dyDescent="0.25">
      <c r="A518" t="s">
        <v>72</v>
      </c>
      <c r="B518" t="s">
        <v>7573</v>
      </c>
      <c r="C518" t="s">
        <v>74</v>
      </c>
      <c r="D518" t="s">
        <v>74</v>
      </c>
      <c r="E518" t="s">
        <v>74</v>
      </c>
      <c r="F518" t="s">
        <v>7574</v>
      </c>
      <c r="G518" t="s">
        <v>74</v>
      </c>
      <c r="H518" t="s">
        <v>74</v>
      </c>
      <c r="I518" t="s">
        <v>7575</v>
      </c>
      <c r="J518" t="s">
        <v>7576</v>
      </c>
      <c r="K518" t="s">
        <v>74</v>
      </c>
      <c r="L518" t="s">
        <v>74</v>
      </c>
      <c r="M518" t="s">
        <v>78</v>
      </c>
      <c r="N518" t="s">
        <v>52</v>
      </c>
      <c r="O518" t="s">
        <v>7577</v>
      </c>
      <c r="P518" t="s">
        <v>7578</v>
      </c>
      <c r="Q518" t="s">
        <v>7579</v>
      </c>
      <c r="R518" t="s">
        <v>7580</v>
      </c>
      <c r="S518" t="s">
        <v>74</v>
      </c>
      <c r="T518" t="s">
        <v>74</v>
      </c>
      <c r="U518" t="s">
        <v>74</v>
      </c>
      <c r="V518" t="s">
        <v>74</v>
      </c>
      <c r="W518" t="s">
        <v>7581</v>
      </c>
      <c r="X518" t="s">
        <v>7582</v>
      </c>
      <c r="Y518" t="s">
        <v>74</v>
      </c>
      <c r="Z518" t="s">
        <v>74</v>
      </c>
      <c r="AA518" t="s">
        <v>7583</v>
      </c>
      <c r="AB518" t="s">
        <v>5709</v>
      </c>
      <c r="AC518" t="s">
        <v>74</v>
      </c>
      <c r="AD518" t="s">
        <v>74</v>
      </c>
      <c r="AE518" t="s">
        <v>74</v>
      </c>
      <c r="AF518" t="s">
        <v>74</v>
      </c>
      <c r="AG518">
        <v>0</v>
      </c>
      <c r="AH518">
        <v>0</v>
      </c>
      <c r="AI518">
        <v>0</v>
      </c>
      <c r="AJ518">
        <v>0</v>
      </c>
      <c r="AK518">
        <v>1</v>
      </c>
      <c r="AL518" t="s">
        <v>7584</v>
      </c>
      <c r="AM518" t="s">
        <v>7585</v>
      </c>
      <c r="AN518" t="s">
        <v>7586</v>
      </c>
      <c r="AO518" t="s">
        <v>7587</v>
      </c>
      <c r="AP518" t="s">
        <v>7588</v>
      </c>
      <c r="AQ518" t="s">
        <v>74</v>
      </c>
      <c r="AR518" t="s">
        <v>7589</v>
      </c>
      <c r="AS518" t="s">
        <v>7590</v>
      </c>
      <c r="AT518" t="s">
        <v>1060</v>
      </c>
      <c r="AU518">
        <v>2019</v>
      </c>
      <c r="AV518">
        <v>75</v>
      </c>
      <c r="AW518" t="s">
        <v>74</v>
      </c>
      <c r="AX518" t="s">
        <v>74</v>
      </c>
      <c r="AY518">
        <v>1</v>
      </c>
      <c r="AZ518" t="s">
        <v>74</v>
      </c>
      <c r="BA518" t="s">
        <v>7591</v>
      </c>
      <c r="BB518" t="s">
        <v>7592</v>
      </c>
      <c r="BC518" t="s">
        <v>7593</v>
      </c>
      <c r="BD518" t="s">
        <v>74</v>
      </c>
      <c r="BE518" t="s">
        <v>74</v>
      </c>
      <c r="BF518" t="s">
        <v>74</v>
      </c>
      <c r="BG518" t="s">
        <v>74</v>
      </c>
      <c r="BH518" t="s">
        <v>74</v>
      </c>
      <c r="BI518">
        <v>2</v>
      </c>
      <c r="BJ518" t="s">
        <v>1477</v>
      </c>
      <c r="BK518" t="s">
        <v>512</v>
      </c>
      <c r="BL518" t="s">
        <v>1477</v>
      </c>
      <c r="BM518" t="s">
        <v>7594</v>
      </c>
      <c r="BN518" t="s">
        <v>74</v>
      </c>
      <c r="BO518" t="s">
        <v>74</v>
      </c>
      <c r="BP518" t="s">
        <v>74</v>
      </c>
      <c r="BQ518" t="s">
        <v>74</v>
      </c>
      <c r="BR518" t="s">
        <v>104</v>
      </c>
      <c r="BS518" t="s">
        <v>7595</v>
      </c>
      <c r="BT518" t="str">
        <f>HYPERLINK("https%3A%2F%2Fwww.webofscience.com%2Fwos%2Fwoscc%2Ffull-record%2FWOS:000473043400252","View Full Record in Web of Science")</f>
        <v>View Full Record in Web of Science</v>
      </c>
    </row>
    <row r="519" spans="1:72" x14ac:dyDescent="0.25">
      <c r="A519" t="s">
        <v>72</v>
      </c>
      <c r="B519" t="s">
        <v>7573</v>
      </c>
      <c r="C519" t="s">
        <v>74</v>
      </c>
      <c r="D519" t="s">
        <v>74</v>
      </c>
      <c r="E519" t="s">
        <v>74</v>
      </c>
      <c r="F519" t="s">
        <v>7596</v>
      </c>
      <c r="G519" t="s">
        <v>74</v>
      </c>
      <c r="H519" t="s">
        <v>74</v>
      </c>
      <c r="I519" t="s">
        <v>7597</v>
      </c>
      <c r="J519" t="s">
        <v>1924</v>
      </c>
      <c r="K519" t="s">
        <v>74</v>
      </c>
      <c r="L519" t="s">
        <v>74</v>
      </c>
      <c r="M519" t="s">
        <v>78</v>
      </c>
      <c r="N519" t="s">
        <v>52</v>
      </c>
      <c r="O519" t="s">
        <v>74</v>
      </c>
      <c r="P519" t="s">
        <v>74</v>
      </c>
      <c r="Q519" t="s">
        <v>74</v>
      </c>
      <c r="R519" t="s">
        <v>74</v>
      </c>
      <c r="S519" t="s">
        <v>74</v>
      </c>
      <c r="T519" t="s">
        <v>74</v>
      </c>
      <c r="U519" t="s">
        <v>74</v>
      </c>
      <c r="V519" t="s">
        <v>74</v>
      </c>
      <c r="W519" t="s">
        <v>7598</v>
      </c>
      <c r="X519" t="s">
        <v>7599</v>
      </c>
      <c r="Y519" t="s">
        <v>74</v>
      </c>
      <c r="Z519" t="s">
        <v>74</v>
      </c>
      <c r="AA519" t="s">
        <v>7600</v>
      </c>
      <c r="AB519" t="s">
        <v>5709</v>
      </c>
      <c r="AC519" t="s">
        <v>74</v>
      </c>
      <c r="AD519" t="s">
        <v>74</v>
      </c>
      <c r="AE519" t="s">
        <v>74</v>
      </c>
      <c r="AF519" t="s">
        <v>74</v>
      </c>
      <c r="AG519">
        <v>0</v>
      </c>
      <c r="AH519">
        <v>0</v>
      </c>
      <c r="AI519">
        <v>0</v>
      </c>
      <c r="AJ519">
        <v>0</v>
      </c>
      <c r="AK519">
        <v>0</v>
      </c>
      <c r="AL519" t="s">
        <v>169</v>
      </c>
      <c r="AM519" t="s">
        <v>170</v>
      </c>
      <c r="AN519" t="s">
        <v>171</v>
      </c>
      <c r="AO519" t="s">
        <v>1929</v>
      </c>
      <c r="AP519" t="s">
        <v>1930</v>
      </c>
      <c r="AQ519" t="s">
        <v>74</v>
      </c>
      <c r="AR519" t="s">
        <v>1931</v>
      </c>
      <c r="AS519" t="s">
        <v>1932</v>
      </c>
      <c r="AT519" t="s">
        <v>1060</v>
      </c>
      <c r="AU519">
        <v>2019</v>
      </c>
      <c r="AV519">
        <v>33</v>
      </c>
      <c r="AW519" t="s">
        <v>74</v>
      </c>
      <c r="AX519" t="s">
        <v>74</v>
      </c>
      <c r="AY519">
        <v>1</v>
      </c>
      <c r="AZ519" t="s">
        <v>1080</v>
      </c>
      <c r="BA519" t="s">
        <v>7601</v>
      </c>
      <c r="BB519">
        <v>16</v>
      </c>
      <c r="BC519">
        <v>16</v>
      </c>
      <c r="BD519" t="s">
        <v>74</v>
      </c>
      <c r="BE519" t="s">
        <v>74</v>
      </c>
      <c r="BF519" t="s">
        <v>74</v>
      </c>
      <c r="BG519" t="s">
        <v>74</v>
      </c>
      <c r="BH519" t="s">
        <v>74</v>
      </c>
      <c r="BI519">
        <v>1</v>
      </c>
      <c r="BJ519" t="s">
        <v>1477</v>
      </c>
      <c r="BK519" t="s">
        <v>101</v>
      </c>
      <c r="BL519" t="s">
        <v>1477</v>
      </c>
      <c r="BM519" t="s">
        <v>7602</v>
      </c>
      <c r="BN519" t="s">
        <v>74</v>
      </c>
      <c r="BO519" t="s">
        <v>74</v>
      </c>
      <c r="BP519" t="s">
        <v>74</v>
      </c>
      <c r="BQ519" t="s">
        <v>74</v>
      </c>
      <c r="BR519" t="s">
        <v>104</v>
      </c>
      <c r="BS519" t="s">
        <v>7603</v>
      </c>
      <c r="BT519" t="str">
        <f>HYPERLINK("https%3A%2F%2Fwww.webofscience.com%2Fwos%2Fwoscc%2Ffull-record%2FWOS:000472935400045","View Full Record in Web of Science")</f>
        <v>View Full Record in Web of Science</v>
      </c>
    </row>
    <row r="520" spans="1:72" x14ac:dyDescent="0.25">
      <c r="A520" t="s">
        <v>72</v>
      </c>
      <c r="B520" t="s">
        <v>7604</v>
      </c>
      <c r="C520" t="s">
        <v>74</v>
      </c>
      <c r="D520" t="s">
        <v>74</v>
      </c>
      <c r="E520" t="s">
        <v>74</v>
      </c>
      <c r="F520" t="s">
        <v>7605</v>
      </c>
      <c r="G520" t="s">
        <v>74</v>
      </c>
      <c r="H520" t="s">
        <v>7606</v>
      </c>
      <c r="I520" t="s">
        <v>7607</v>
      </c>
      <c r="J520" t="s">
        <v>7608</v>
      </c>
      <c r="K520" t="s">
        <v>74</v>
      </c>
      <c r="L520" t="s">
        <v>74</v>
      </c>
      <c r="M520" t="s">
        <v>78</v>
      </c>
      <c r="N520" t="s">
        <v>79</v>
      </c>
      <c r="O520" t="s">
        <v>74</v>
      </c>
      <c r="P520" t="s">
        <v>74</v>
      </c>
      <c r="Q520" t="s">
        <v>74</v>
      </c>
      <c r="R520" t="s">
        <v>74</v>
      </c>
      <c r="S520" t="s">
        <v>74</v>
      </c>
      <c r="T520" t="s">
        <v>74</v>
      </c>
      <c r="U520" t="s">
        <v>7609</v>
      </c>
      <c r="V520" t="s">
        <v>7610</v>
      </c>
      <c r="W520" t="s">
        <v>7611</v>
      </c>
      <c r="X520" t="s">
        <v>7612</v>
      </c>
      <c r="Y520" t="s">
        <v>7613</v>
      </c>
      <c r="Z520" t="s">
        <v>7614</v>
      </c>
      <c r="AA520" t="s">
        <v>7615</v>
      </c>
      <c r="AB520" t="s">
        <v>7616</v>
      </c>
      <c r="AC520" t="s">
        <v>7617</v>
      </c>
      <c r="AD520" t="s">
        <v>7618</v>
      </c>
      <c r="AE520" t="s">
        <v>7619</v>
      </c>
      <c r="AF520" t="s">
        <v>74</v>
      </c>
      <c r="AG520">
        <v>57</v>
      </c>
      <c r="AH520">
        <v>139</v>
      </c>
      <c r="AI520">
        <v>147</v>
      </c>
      <c r="AJ520">
        <v>4</v>
      </c>
      <c r="AK520">
        <v>66</v>
      </c>
      <c r="AL520" t="s">
        <v>1211</v>
      </c>
      <c r="AM520" t="s">
        <v>1212</v>
      </c>
      <c r="AN520" t="s">
        <v>1213</v>
      </c>
      <c r="AO520" t="s">
        <v>7620</v>
      </c>
      <c r="AP520" t="s">
        <v>7621</v>
      </c>
      <c r="AQ520" t="s">
        <v>74</v>
      </c>
      <c r="AR520" t="s">
        <v>7608</v>
      </c>
      <c r="AS520" t="s">
        <v>7622</v>
      </c>
      <c r="AT520" t="s">
        <v>7623</v>
      </c>
      <c r="AU520">
        <v>2019</v>
      </c>
      <c r="AV520">
        <v>364</v>
      </c>
      <c r="AW520">
        <v>6442</v>
      </c>
      <c r="AX520" t="s">
        <v>74</v>
      </c>
      <c r="AY520" t="s">
        <v>74</v>
      </c>
      <c r="AZ520" t="s">
        <v>74</v>
      </c>
      <c r="BA520" t="s">
        <v>74</v>
      </c>
      <c r="BB520">
        <v>749</v>
      </c>
      <c r="BC520" t="s">
        <v>3083</v>
      </c>
      <c r="BD520" t="s">
        <v>74</v>
      </c>
      <c r="BE520" t="s">
        <v>7624</v>
      </c>
      <c r="BF520" t="str">
        <f>HYPERLINK("http://dx.doi.org/10.1126/science.aau6520","http://dx.doi.org/10.1126/science.aau6520")</f>
        <v>http://dx.doi.org/10.1126/science.aau6520</v>
      </c>
      <c r="BG520" t="s">
        <v>74</v>
      </c>
      <c r="BH520" t="s">
        <v>74</v>
      </c>
      <c r="BI520">
        <v>59</v>
      </c>
      <c r="BJ520" t="s">
        <v>290</v>
      </c>
      <c r="BK520" t="s">
        <v>101</v>
      </c>
      <c r="BL520" t="s">
        <v>291</v>
      </c>
      <c r="BM520" t="s">
        <v>7625</v>
      </c>
      <c r="BN520">
        <v>31123110</v>
      </c>
      <c r="BO520" t="s">
        <v>1224</v>
      </c>
      <c r="BP520" t="s">
        <v>74</v>
      </c>
      <c r="BQ520" t="s">
        <v>74</v>
      </c>
      <c r="BR520" t="s">
        <v>104</v>
      </c>
      <c r="BS520" t="s">
        <v>7626</v>
      </c>
      <c r="BT520" t="str">
        <f>HYPERLINK("https%3A%2F%2Fwww.webofscience.com%2Fwos%2Fwoscc%2Ffull-record%2FWOS:000469296000033","View Full Record in Web of Science")</f>
        <v>View Full Record in Web of Science</v>
      </c>
    </row>
    <row r="521" spans="1:72" x14ac:dyDescent="0.25">
      <c r="A521" t="s">
        <v>72</v>
      </c>
      <c r="B521" t="s">
        <v>7627</v>
      </c>
      <c r="C521" t="s">
        <v>74</v>
      </c>
      <c r="D521" t="s">
        <v>74</v>
      </c>
      <c r="E521" t="s">
        <v>74</v>
      </c>
      <c r="F521" t="s">
        <v>7628</v>
      </c>
      <c r="G521" t="s">
        <v>74</v>
      </c>
      <c r="H521" t="s">
        <v>74</v>
      </c>
      <c r="I521" t="s">
        <v>7629</v>
      </c>
      <c r="J521" t="s">
        <v>216</v>
      </c>
      <c r="K521" t="s">
        <v>74</v>
      </c>
      <c r="L521" t="s">
        <v>74</v>
      </c>
      <c r="M521" t="s">
        <v>78</v>
      </c>
      <c r="N521" t="s">
        <v>79</v>
      </c>
      <c r="O521" t="s">
        <v>74</v>
      </c>
      <c r="P521" t="s">
        <v>74</v>
      </c>
      <c r="Q521" t="s">
        <v>74</v>
      </c>
      <c r="R521" t="s">
        <v>74</v>
      </c>
      <c r="S521" t="s">
        <v>74</v>
      </c>
      <c r="T521" t="s">
        <v>74</v>
      </c>
      <c r="U521" t="s">
        <v>7630</v>
      </c>
      <c r="V521" t="s">
        <v>7631</v>
      </c>
      <c r="W521" t="s">
        <v>7632</v>
      </c>
      <c r="X521" t="s">
        <v>7633</v>
      </c>
      <c r="Y521" t="s">
        <v>7107</v>
      </c>
      <c r="Z521" t="s">
        <v>5363</v>
      </c>
      <c r="AA521" t="s">
        <v>7634</v>
      </c>
      <c r="AB521" t="s">
        <v>7635</v>
      </c>
      <c r="AC521" t="s">
        <v>74</v>
      </c>
      <c r="AD521" t="s">
        <v>74</v>
      </c>
      <c r="AE521" t="s">
        <v>74</v>
      </c>
      <c r="AF521" t="s">
        <v>74</v>
      </c>
      <c r="AG521">
        <v>32</v>
      </c>
      <c r="AH521">
        <v>173</v>
      </c>
      <c r="AI521">
        <v>183</v>
      </c>
      <c r="AJ521">
        <v>0</v>
      </c>
      <c r="AK521">
        <v>7</v>
      </c>
      <c r="AL521" t="s">
        <v>219</v>
      </c>
      <c r="AM521" t="s">
        <v>220</v>
      </c>
      <c r="AN521" t="s">
        <v>221</v>
      </c>
      <c r="AO521" t="s">
        <v>222</v>
      </c>
      <c r="AP521" t="s">
        <v>223</v>
      </c>
      <c r="AQ521" t="s">
        <v>74</v>
      </c>
      <c r="AR521" t="s">
        <v>224</v>
      </c>
      <c r="AS521" t="s">
        <v>225</v>
      </c>
      <c r="AT521" t="s">
        <v>960</v>
      </c>
      <c r="AU521">
        <v>2019</v>
      </c>
      <c r="AV521">
        <v>53</v>
      </c>
      <c r="AW521">
        <v>5</v>
      </c>
      <c r="AX521" t="s">
        <v>74</v>
      </c>
      <c r="AY521" t="s">
        <v>74</v>
      </c>
      <c r="AZ521" t="s">
        <v>74</v>
      </c>
      <c r="BA521" t="s">
        <v>74</v>
      </c>
      <c r="BB521" t="s">
        <v>74</v>
      </c>
      <c r="BC521" t="s">
        <v>74</v>
      </c>
      <c r="BD521">
        <v>1802095</v>
      </c>
      <c r="BE521" t="s">
        <v>7636</v>
      </c>
      <c r="BF521" t="str">
        <f>HYPERLINK("http://dx.doi.org/10.1183/13993003.02095-2018","http://dx.doi.org/10.1183/13993003.02095-2018")</f>
        <v>http://dx.doi.org/10.1183/13993003.02095-2018</v>
      </c>
      <c r="BG521" t="s">
        <v>74</v>
      </c>
      <c r="BH521" t="s">
        <v>74</v>
      </c>
      <c r="BI521">
        <v>10</v>
      </c>
      <c r="BJ521" t="s">
        <v>228</v>
      </c>
      <c r="BK521" t="s">
        <v>101</v>
      </c>
      <c r="BL521" t="s">
        <v>228</v>
      </c>
      <c r="BM521" t="s">
        <v>7637</v>
      </c>
      <c r="BN521">
        <v>31023842</v>
      </c>
      <c r="BO521" t="s">
        <v>470</v>
      </c>
      <c r="BP521" t="s">
        <v>74</v>
      </c>
      <c r="BQ521" t="s">
        <v>74</v>
      </c>
      <c r="BR521" t="s">
        <v>104</v>
      </c>
      <c r="BS521" t="s">
        <v>7638</v>
      </c>
      <c r="BT521" t="str">
        <f>HYPERLINK("https%3A%2F%2Fwww.webofscience.com%2Fwos%2Fwoscc%2Ffull-record%2FWOS:000470244000015","View Full Record in Web of Science")</f>
        <v>View Full Record in Web of Science</v>
      </c>
    </row>
    <row r="522" spans="1:72" x14ac:dyDescent="0.25">
      <c r="A522" t="s">
        <v>72</v>
      </c>
      <c r="B522" t="s">
        <v>7639</v>
      </c>
      <c r="C522" t="s">
        <v>74</v>
      </c>
      <c r="D522" t="s">
        <v>74</v>
      </c>
      <c r="E522" t="s">
        <v>74</v>
      </c>
      <c r="F522" t="s">
        <v>7640</v>
      </c>
      <c r="G522" t="s">
        <v>74</v>
      </c>
      <c r="H522" t="s">
        <v>74</v>
      </c>
      <c r="I522" t="s">
        <v>7641</v>
      </c>
      <c r="J522" t="s">
        <v>324</v>
      </c>
      <c r="K522" t="s">
        <v>74</v>
      </c>
      <c r="L522" t="s">
        <v>74</v>
      </c>
      <c r="M522" t="s">
        <v>78</v>
      </c>
      <c r="N522" t="s">
        <v>79</v>
      </c>
      <c r="O522" t="s">
        <v>74</v>
      </c>
      <c r="P522" t="s">
        <v>74</v>
      </c>
      <c r="Q522" t="s">
        <v>74</v>
      </c>
      <c r="R522" t="s">
        <v>74</v>
      </c>
      <c r="S522" t="s">
        <v>74</v>
      </c>
      <c r="T522" t="s">
        <v>7642</v>
      </c>
      <c r="U522" t="s">
        <v>74</v>
      </c>
      <c r="V522" t="s">
        <v>7643</v>
      </c>
      <c r="W522" t="s">
        <v>7644</v>
      </c>
      <c r="X522" t="s">
        <v>7645</v>
      </c>
      <c r="Y522" t="s">
        <v>7646</v>
      </c>
      <c r="Z522" t="s">
        <v>4962</v>
      </c>
      <c r="AA522" t="s">
        <v>7647</v>
      </c>
      <c r="AB522" t="s">
        <v>7648</v>
      </c>
      <c r="AC522" t="s">
        <v>7649</v>
      </c>
      <c r="AD522" t="s">
        <v>7649</v>
      </c>
      <c r="AE522" t="s">
        <v>7650</v>
      </c>
      <c r="AF522" t="s">
        <v>74</v>
      </c>
      <c r="AG522">
        <v>36</v>
      </c>
      <c r="AH522">
        <v>13</v>
      </c>
      <c r="AI522">
        <v>14</v>
      </c>
      <c r="AJ522">
        <v>0</v>
      </c>
      <c r="AK522">
        <v>1</v>
      </c>
      <c r="AL522" t="s">
        <v>7467</v>
      </c>
      <c r="AM522" t="s">
        <v>93</v>
      </c>
      <c r="AN522" t="s">
        <v>7468</v>
      </c>
      <c r="AO522" t="s">
        <v>337</v>
      </c>
      <c r="AP522" t="s">
        <v>74</v>
      </c>
      <c r="AQ522" t="s">
        <v>74</v>
      </c>
      <c r="AR522" t="s">
        <v>324</v>
      </c>
      <c r="AS522" t="s">
        <v>339</v>
      </c>
      <c r="AT522" t="s">
        <v>2097</v>
      </c>
      <c r="AU522">
        <v>2019</v>
      </c>
      <c r="AV522">
        <v>155</v>
      </c>
      <c r="AW522">
        <v>5</v>
      </c>
      <c r="AX522" t="s">
        <v>74</v>
      </c>
      <c r="AY522" t="s">
        <v>74</v>
      </c>
      <c r="AZ522" t="s">
        <v>74</v>
      </c>
      <c r="BA522" t="s">
        <v>74</v>
      </c>
      <c r="BB522">
        <v>991</v>
      </c>
      <c r="BC522">
        <v>998</v>
      </c>
      <c r="BD522" t="s">
        <v>74</v>
      </c>
      <c r="BE522" t="s">
        <v>7651</v>
      </c>
      <c r="BF522" t="str">
        <f>HYPERLINK("http://dx.doi.org/10.1016/j.chest.2018.12.006","http://dx.doi.org/10.1016/j.chest.2018.12.006")</f>
        <v>http://dx.doi.org/10.1016/j.chest.2018.12.006</v>
      </c>
      <c r="BG522" t="s">
        <v>74</v>
      </c>
      <c r="BH522" t="s">
        <v>74</v>
      </c>
      <c r="BI522">
        <v>8</v>
      </c>
      <c r="BJ522" t="s">
        <v>341</v>
      </c>
      <c r="BK522" t="s">
        <v>101</v>
      </c>
      <c r="BL522" t="s">
        <v>342</v>
      </c>
      <c r="BM522" t="s">
        <v>7652</v>
      </c>
      <c r="BN522">
        <v>30594558</v>
      </c>
      <c r="BO522" t="s">
        <v>103</v>
      </c>
      <c r="BP522" t="s">
        <v>74</v>
      </c>
      <c r="BQ522" t="s">
        <v>74</v>
      </c>
      <c r="BR522" t="s">
        <v>104</v>
      </c>
      <c r="BS522" t="s">
        <v>7653</v>
      </c>
      <c r="BT522" t="str">
        <f>HYPERLINK("https%3A%2F%2Fwww.webofscience.com%2Fwos%2Fwoscc%2Ffull-record%2FWOS:000466855300026","View Full Record in Web of Science")</f>
        <v>View Full Record in Web of Science</v>
      </c>
    </row>
    <row r="523" spans="1:72" x14ac:dyDescent="0.25">
      <c r="A523" t="s">
        <v>72</v>
      </c>
      <c r="B523" t="s">
        <v>7654</v>
      </c>
      <c r="C523" t="s">
        <v>74</v>
      </c>
      <c r="D523" t="s">
        <v>74</v>
      </c>
      <c r="E523" t="s">
        <v>74</v>
      </c>
      <c r="F523" t="s">
        <v>7655</v>
      </c>
      <c r="G523" t="s">
        <v>74</v>
      </c>
      <c r="H523" t="s">
        <v>74</v>
      </c>
      <c r="I523" t="s">
        <v>7575</v>
      </c>
      <c r="J523" t="s">
        <v>216</v>
      </c>
      <c r="K523" t="s">
        <v>74</v>
      </c>
      <c r="L523" t="s">
        <v>74</v>
      </c>
      <c r="M523" t="s">
        <v>78</v>
      </c>
      <c r="N523" t="s">
        <v>79</v>
      </c>
      <c r="O523" t="s">
        <v>74</v>
      </c>
      <c r="P523" t="s">
        <v>74</v>
      </c>
      <c r="Q523" t="s">
        <v>74</v>
      </c>
      <c r="R523" t="s">
        <v>74</v>
      </c>
      <c r="S523" t="s">
        <v>74</v>
      </c>
      <c r="T523" t="s">
        <v>74</v>
      </c>
      <c r="U523" t="s">
        <v>7656</v>
      </c>
      <c r="V523" t="s">
        <v>7657</v>
      </c>
      <c r="W523" t="s">
        <v>7658</v>
      </c>
      <c r="X523" t="s">
        <v>7659</v>
      </c>
      <c r="Y523" t="s">
        <v>7660</v>
      </c>
      <c r="Z523" t="s">
        <v>799</v>
      </c>
      <c r="AA523" t="s">
        <v>7661</v>
      </c>
      <c r="AB523" t="s">
        <v>7662</v>
      </c>
      <c r="AC523" t="s">
        <v>74</v>
      </c>
      <c r="AD523" t="s">
        <v>74</v>
      </c>
      <c r="AE523" t="s">
        <v>74</v>
      </c>
      <c r="AF523" t="s">
        <v>74</v>
      </c>
      <c r="AG523">
        <v>42</v>
      </c>
      <c r="AH523">
        <v>44</v>
      </c>
      <c r="AI523">
        <v>44</v>
      </c>
      <c r="AJ523">
        <v>2</v>
      </c>
      <c r="AK523">
        <v>4</v>
      </c>
      <c r="AL523" t="s">
        <v>219</v>
      </c>
      <c r="AM523" t="s">
        <v>220</v>
      </c>
      <c r="AN523" t="s">
        <v>221</v>
      </c>
      <c r="AO523" t="s">
        <v>222</v>
      </c>
      <c r="AP523" t="s">
        <v>223</v>
      </c>
      <c r="AQ523" t="s">
        <v>74</v>
      </c>
      <c r="AR523" t="s">
        <v>224</v>
      </c>
      <c r="AS523" t="s">
        <v>225</v>
      </c>
      <c r="AT523" t="s">
        <v>960</v>
      </c>
      <c r="AU523">
        <v>2019</v>
      </c>
      <c r="AV523">
        <v>53</v>
      </c>
      <c r="AW523">
        <v>5</v>
      </c>
      <c r="AX523" t="s">
        <v>74</v>
      </c>
      <c r="AY523" t="s">
        <v>74</v>
      </c>
      <c r="AZ523" t="s">
        <v>74</v>
      </c>
      <c r="BA523" t="s">
        <v>74</v>
      </c>
      <c r="BB523" t="s">
        <v>74</v>
      </c>
      <c r="BC523" t="s">
        <v>74</v>
      </c>
      <c r="BD523">
        <v>1802472</v>
      </c>
      <c r="BE523" t="s">
        <v>7663</v>
      </c>
      <c r="BF523" t="str">
        <f>HYPERLINK("http://dx.doi.org/10.1183/13993003.02472-2018","http://dx.doi.org/10.1183/13993003.02472-2018")</f>
        <v>http://dx.doi.org/10.1183/13993003.02472-2018</v>
      </c>
      <c r="BG523" t="s">
        <v>74</v>
      </c>
      <c r="BH523" t="s">
        <v>74</v>
      </c>
      <c r="BI523">
        <v>9</v>
      </c>
      <c r="BJ523" t="s">
        <v>228</v>
      </c>
      <c r="BK523" t="s">
        <v>101</v>
      </c>
      <c r="BL523" t="s">
        <v>228</v>
      </c>
      <c r="BM523" t="s">
        <v>7637</v>
      </c>
      <c r="BN523">
        <v>30846469</v>
      </c>
      <c r="BO523" t="s">
        <v>1194</v>
      </c>
      <c r="BP523" t="s">
        <v>74</v>
      </c>
      <c r="BQ523" t="s">
        <v>74</v>
      </c>
      <c r="BR523" t="s">
        <v>104</v>
      </c>
      <c r="BS523" t="s">
        <v>7664</v>
      </c>
      <c r="BT523" t="str">
        <f>HYPERLINK("https%3A%2F%2Fwww.webofscience.com%2Fwos%2Fwoscc%2Ffull-record%2FWOS:000470244000029","View Full Record in Web of Science")</f>
        <v>View Full Record in Web of Science</v>
      </c>
    </row>
    <row r="524" spans="1:72" x14ac:dyDescent="0.25">
      <c r="A524" t="s">
        <v>72</v>
      </c>
      <c r="B524" t="s">
        <v>7665</v>
      </c>
      <c r="C524" t="s">
        <v>74</v>
      </c>
      <c r="D524" t="s">
        <v>74</v>
      </c>
      <c r="E524" t="s">
        <v>74</v>
      </c>
      <c r="F524" t="s">
        <v>7666</v>
      </c>
      <c r="G524" t="s">
        <v>74</v>
      </c>
      <c r="H524" t="s">
        <v>74</v>
      </c>
      <c r="I524" t="s">
        <v>7667</v>
      </c>
      <c r="J524" t="s">
        <v>3068</v>
      </c>
      <c r="K524" t="s">
        <v>74</v>
      </c>
      <c r="L524" t="s">
        <v>74</v>
      </c>
      <c r="M524" t="s">
        <v>78</v>
      </c>
      <c r="N524" t="s">
        <v>299</v>
      </c>
      <c r="O524" t="s">
        <v>74</v>
      </c>
      <c r="P524" t="s">
        <v>74</v>
      </c>
      <c r="Q524" t="s">
        <v>74</v>
      </c>
      <c r="R524" t="s">
        <v>74</v>
      </c>
      <c r="S524" t="s">
        <v>74</v>
      </c>
      <c r="T524" t="s">
        <v>7668</v>
      </c>
      <c r="U524" t="s">
        <v>7669</v>
      </c>
      <c r="V524" t="s">
        <v>7670</v>
      </c>
      <c r="W524" t="s">
        <v>7671</v>
      </c>
      <c r="X524" t="s">
        <v>7672</v>
      </c>
      <c r="Y524" t="s">
        <v>7557</v>
      </c>
      <c r="Z524" t="s">
        <v>377</v>
      </c>
      <c r="AA524" t="s">
        <v>7673</v>
      </c>
      <c r="AB524" t="s">
        <v>7674</v>
      </c>
      <c r="AC524" t="s">
        <v>7675</v>
      </c>
      <c r="AD524" t="s">
        <v>7675</v>
      </c>
      <c r="AE524" t="s">
        <v>7676</v>
      </c>
      <c r="AF524" t="s">
        <v>74</v>
      </c>
      <c r="AG524">
        <v>116</v>
      </c>
      <c r="AH524">
        <v>74</v>
      </c>
      <c r="AI524">
        <v>83</v>
      </c>
      <c r="AJ524">
        <v>2</v>
      </c>
      <c r="AK524">
        <v>38</v>
      </c>
      <c r="AL524" t="s">
        <v>92</v>
      </c>
      <c r="AM524" t="s">
        <v>93</v>
      </c>
      <c r="AN524" t="s">
        <v>94</v>
      </c>
      <c r="AO524" t="s">
        <v>3079</v>
      </c>
      <c r="AP524" t="s">
        <v>3080</v>
      </c>
      <c r="AQ524" t="s">
        <v>74</v>
      </c>
      <c r="AR524" t="s">
        <v>3081</v>
      </c>
      <c r="AS524" t="s">
        <v>3082</v>
      </c>
      <c r="AT524" t="s">
        <v>7677</v>
      </c>
      <c r="AU524">
        <v>2019</v>
      </c>
      <c r="AV524">
        <v>7</v>
      </c>
      <c r="AW524">
        <v>5</v>
      </c>
      <c r="AX524" t="s">
        <v>74</v>
      </c>
      <c r="AY524" t="s">
        <v>74</v>
      </c>
      <c r="AZ524" t="s">
        <v>74</v>
      </c>
      <c r="BA524" t="s">
        <v>74</v>
      </c>
      <c r="BB524">
        <v>1418</v>
      </c>
      <c r="BC524">
        <v>1429</v>
      </c>
      <c r="BD524" t="s">
        <v>74</v>
      </c>
      <c r="BE524" t="s">
        <v>7678</v>
      </c>
      <c r="BF524" t="str">
        <f>HYPERLINK("http://dx.doi.org/10.1016/j.jaip.2019.02.030","http://dx.doi.org/10.1016/j.jaip.2019.02.030")</f>
        <v>http://dx.doi.org/10.1016/j.jaip.2019.02.030</v>
      </c>
      <c r="BG524" t="s">
        <v>74</v>
      </c>
      <c r="BH524" t="s">
        <v>74</v>
      </c>
      <c r="BI524">
        <v>12</v>
      </c>
      <c r="BJ524" t="s">
        <v>3085</v>
      </c>
      <c r="BK524" t="s">
        <v>101</v>
      </c>
      <c r="BL524" t="s">
        <v>3085</v>
      </c>
      <c r="BM524" t="s">
        <v>7679</v>
      </c>
      <c r="BN524">
        <v>30928481</v>
      </c>
      <c r="BO524" t="s">
        <v>470</v>
      </c>
      <c r="BP524" t="s">
        <v>74</v>
      </c>
      <c r="BQ524" t="s">
        <v>74</v>
      </c>
      <c r="BR524" t="s">
        <v>104</v>
      </c>
      <c r="BS524" t="s">
        <v>7680</v>
      </c>
      <c r="BT524" t="str">
        <f>HYPERLINK("https%3A%2F%2Fwww.webofscience.com%2Fwos%2Fwoscc%2Ffull-record%2FWOS:000467072700004","View Full Record in Web of Science")</f>
        <v>View Full Record in Web of Science</v>
      </c>
    </row>
    <row r="525" spans="1:72" x14ac:dyDescent="0.25">
      <c r="A525" t="s">
        <v>72</v>
      </c>
      <c r="B525" t="s">
        <v>7681</v>
      </c>
      <c r="C525" t="s">
        <v>74</v>
      </c>
      <c r="D525" t="s">
        <v>74</v>
      </c>
      <c r="E525" t="s">
        <v>74</v>
      </c>
      <c r="F525" t="s">
        <v>7682</v>
      </c>
      <c r="G525" t="s">
        <v>74</v>
      </c>
      <c r="H525" t="s">
        <v>74</v>
      </c>
      <c r="I525" t="s">
        <v>7683</v>
      </c>
      <c r="J525" t="s">
        <v>2761</v>
      </c>
      <c r="K525" t="s">
        <v>74</v>
      </c>
      <c r="L525" t="s">
        <v>74</v>
      </c>
      <c r="M525" t="s">
        <v>78</v>
      </c>
      <c r="N525" t="s">
        <v>460</v>
      </c>
      <c r="O525" t="s">
        <v>74</v>
      </c>
      <c r="P525" t="s">
        <v>74</v>
      </c>
      <c r="Q525" t="s">
        <v>74</v>
      </c>
      <c r="R525" t="s">
        <v>74</v>
      </c>
      <c r="S525" t="s">
        <v>74</v>
      </c>
      <c r="T525" t="s">
        <v>74</v>
      </c>
      <c r="U525" t="s">
        <v>74</v>
      </c>
      <c r="V525" t="s">
        <v>74</v>
      </c>
      <c r="W525" t="s">
        <v>7684</v>
      </c>
      <c r="X525" t="s">
        <v>7685</v>
      </c>
      <c r="Y525" t="s">
        <v>7686</v>
      </c>
      <c r="Z525" t="s">
        <v>74</v>
      </c>
      <c r="AA525" t="s">
        <v>7687</v>
      </c>
      <c r="AB525" t="s">
        <v>7688</v>
      </c>
      <c r="AC525" t="s">
        <v>7689</v>
      </c>
      <c r="AD525" t="s">
        <v>7690</v>
      </c>
      <c r="AE525" t="s">
        <v>7691</v>
      </c>
      <c r="AF525" t="s">
        <v>74</v>
      </c>
      <c r="AG525">
        <v>7</v>
      </c>
      <c r="AH525">
        <v>3</v>
      </c>
      <c r="AI525">
        <v>3</v>
      </c>
      <c r="AJ525">
        <v>0</v>
      </c>
      <c r="AK525">
        <v>2</v>
      </c>
      <c r="AL525" t="s">
        <v>122</v>
      </c>
      <c r="AM525" t="s">
        <v>123</v>
      </c>
      <c r="AN525" t="s">
        <v>124</v>
      </c>
      <c r="AO525" t="s">
        <v>2773</v>
      </c>
      <c r="AP525" t="s">
        <v>2774</v>
      </c>
      <c r="AQ525" t="s">
        <v>74</v>
      </c>
      <c r="AR525" t="s">
        <v>2775</v>
      </c>
      <c r="AS525" t="s">
        <v>2776</v>
      </c>
      <c r="AT525" t="s">
        <v>7692</v>
      </c>
      <c r="AU525">
        <v>2019</v>
      </c>
      <c r="AV525">
        <v>124</v>
      </c>
      <c r="AW525">
        <v>9</v>
      </c>
      <c r="AX525" t="s">
        <v>74</v>
      </c>
      <c r="AY525" t="s">
        <v>74</v>
      </c>
      <c r="AZ525" t="s">
        <v>74</v>
      </c>
      <c r="BA525" t="s">
        <v>74</v>
      </c>
      <c r="BB525" t="s">
        <v>7693</v>
      </c>
      <c r="BC525" t="s">
        <v>7694</v>
      </c>
      <c r="BD525" t="s">
        <v>74</v>
      </c>
      <c r="BE525" t="s">
        <v>7695</v>
      </c>
      <c r="BF525" t="str">
        <f>HYPERLINK("http://dx.doi.org/10.1161/CIRCRESAHA.119.315053","http://dx.doi.org/10.1161/CIRCRESAHA.119.315053")</f>
        <v>http://dx.doi.org/10.1161/CIRCRESAHA.119.315053</v>
      </c>
      <c r="BG525" t="s">
        <v>74</v>
      </c>
      <c r="BH525" t="s">
        <v>74</v>
      </c>
      <c r="BI525">
        <v>2</v>
      </c>
      <c r="BJ525" t="s">
        <v>2781</v>
      </c>
      <c r="BK525" t="s">
        <v>101</v>
      </c>
      <c r="BL525" t="s">
        <v>2782</v>
      </c>
      <c r="BM525" t="s">
        <v>7696</v>
      </c>
      <c r="BN525">
        <v>31021726</v>
      </c>
      <c r="BO525" t="s">
        <v>1194</v>
      </c>
      <c r="BP525" t="s">
        <v>74</v>
      </c>
      <c r="BQ525" t="s">
        <v>74</v>
      </c>
      <c r="BR525" t="s">
        <v>104</v>
      </c>
      <c r="BS525" t="s">
        <v>7697</v>
      </c>
      <c r="BT525" t="str">
        <f>HYPERLINK("https%3A%2F%2Fwww.webofscience.com%2Fwos%2Fwoscc%2Ffull-record%2FWOS:000466444400003","View Full Record in Web of Science")</f>
        <v>View Full Record in Web of Science</v>
      </c>
    </row>
    <row r="526" spans="1:72" x14ac:dyDescent="0.25">
      <c r="A526" t="s">
        <v>72</v>
      </c>
      <c r="B526" t="s">
        <v>7698</v>
      </c>
      <c r="C526" t="s">
        <v>74</v>
      </c>
      <c r="D526" t="s">
        <v>74</v>
      </c>
      <c r="E526" t="s">
        <v>74</v>
      </c>
      <c r="F526" t="s">
        <v>7699</v>
      </c>
      <c r="G526" t="s">
        <v>74</v>
      </c>
      <c r="H526" t="s">
        <v>74</v>
      </c>
      <c r="I526" t="s">
        <v>7700</v>
      </c>
      <c r="J526" t="s">
        <v>983</v>
      </c>
      <c r="K526" t="s">
        <v>74</v>
      </c>
      <c r="L526" t="s">
        <v>74</v>
      </c>
      <c r="M526" t="s">
        <v>78</v>
      </c>
      <c r="N526" t="s">
        <v>52</v>
      </c>
      <c r="O526" t="s">
        <v>7701</v>
      </c>
      <c r="P526" t="s">
        <v>7702</v>
      </c>
      <c r="Q526" t="s">
        <v>7703</v>
      </c>
      <c r="R526" t="s">
        <v>987</v>
      </c>
      <c r="S526" t="s">
        <v>74</v>
      </c>
      <c r="T526" t="s">
        <v>74</v>
      </c>
      <c r="U526" t="s">
        <v>74</v>
      </c>
      <c r="V526" t="s">
        <v>74</v>
      </c>
      <c r="W526" t="s">
        <v>7704</v>
      </c>
      <c r="X526" t="s">
        <v>7705</v>
      </c>
      <c r="Y526" t="s">
        <v>74</v>
      </c>
      <c r="Z526" t="s">
        <v>74</v>
      </c>
      <c r="AA526" t="s">
        <v>7706</v>
      </c>
      <c r="AB526" t="s">
        <v>74</v>
      </c>
      <c r="AC526" t="s">
        <v>74</v>
      </c>
      <c r="AD526" t="s">
        <v>74</v>
      </c>
      <c r="AE526" t="s">
        <v>74</v>
      </c>
      <c r="AF526" t="s">
        <v>74</v>
      </c>
      <c r="AG526">
        <v>0</v>
      </c>
      <c r="AH526">
        <v>0</v>
      </c>
      <c r="AI526">
        <v>0</v>
      </c>
      <c r="AJ526">
        <v>0</v>
      </c>
      <c r="AK526">
        <v>0</v>
      </c>
      <c r="AL526" t="s">
        <v>991</v>
      </c>
      <c r="AM526" t="s">
        <v>486</v>
      </c>
      <c r="AN526" t="s">
        <v>992</v>
      </c>
      <c r="AO526" t="s">
        <v>993</v>
      </c>
      <c r="AP526" t="s">
        <v>994</v>
      </c>
      <c r="AQ526" t="s">
        <v>74</v>
      </c>
      <c r="AR526" t="s">
        <v>995</v>
      </c>
      <c r="AS526" t="s">
        <v>996</v>
      </c>
      <c r="AT526" t="s">
        <v>997</v>
      </c>
      <c r="AU526">
        <v>2019</v>
      </c>
      <c r="AV526">
        <v>38</v>
      </c>
      <c r="AW526">
        <v>4</v>
      </c>
      <c r="AX526" t="s">
        <v>74</v>
      </c>
      <c r="AY526" t="s">
        <v>998</v>
      </c>
      <c r="AZ526" t="s">
        <v>74</v>
      </c>
      <c r="BA526">
        <v>294</v>
      </c>
      <c r="BB526" t="s">
        <v>7707</v>
      </c>
      <c r="BC526" t="s">
        <v>7707</v>
      </c>
      <c r="BD526" t="s">
        <v>74</v>
      </c>
      <c r="BE526" t="s">
        <v>7708</v>
      </c>
      <c r="BF526" t="str">
        <f>HYPERLINK("http://dx.doi.org/10.1016/j.healun.2019.01.304","http://dx.doi.org/10.1016/j.healun.2019.01.304")</f>
        <v>http://dx.doi.org/10.1016/j.healun.2019.01.304</v>
      </c>
      <c r="BG526" t="s">
        <v>74</v>
      </c>
      <c r="BH526" t="s">
        <v>74</v>
      </c>
      <c r="BI526">
        <v>1</v>
      </c>
      <c r="BJ526" t="s">
        <v>1000</v>
      </c>
      <c r="BK526" t="s">
        <v>512</v>
      </c>
      <c r="BL526" t="s">
        <v>1001</v>
      </c>
      <c r="BM526" t="s">
        <v>7709</v>
      </c>
      <c r="BN526" t="s">
        <v>74</v>
      </c>
      <c r="BO526" t="s">
        <v>74</v>
      </c>
      <c r="BP526" t="s">
        <v>74</v>
      </c>
      <c r="BQ526" t="s">
        <v>74</v>
      </c>
      <c r="BR526" t="s">
        <v>104</v>
      </c>
      <c r="BS526" t="s">
        <v>7710</v>
      </c>
      <c r="BT526" t="str">
        <f>HYPERLINK("https%3A%2F%2Fwww.webofscience.com%2Fwos%2Fwoscc%2Ffull-record%2FWOS:000461365100290","View Full Record in Web of Science")</f>
        <v>View Full Record in Web of Science</v>
      </c>
    </row>
    <row r="527" spans="1:72" x14ac:dyDescent="0.25">
      <c r="A527" t="s">
        <v>72</v>
      </c>
      <c r="B527" t="s">
        <v>7711</v>
      </c>
      <c r="C527" t="s">
        <v>74</v>
      </c>
      <c r="D527" t="s">
        <v>74</v>
      </c>
      <c r="E527" t="s">
        <v>74</v>
      </c>
      <c r="F527" t="s">
        <v>7712</v>
      </c>
      <c r="G527" t="s">
        <v>74</v>
      </c>
      <c r="H527" t="s">
        <v>74</v>
      </c>
      <c r="I527" t="s">
        <v>7713</v>
      </c>
      <c r="J527" t="s">
        <v>1348</v>
      </c>
      <c r="K527" t="s">
        <v>74</v>
      </c>
      <c r="L527" t="s">
        <v>74</v>
      </c>
      <c r="M527" t="s">
        <v>1349</v>
      </c>
      <c r="N527" t="s">
        <v>79</v>
      </c>
      <c r="O527" t="s">
        <v>74</v>
      </c>
      <c r="P527" t="s">
        <v>74</v>
      </c>
      <c r="Q527" t="s">
        <v>74</v>
      </c>
      <c r="R527" t="s">
        <v>74</v>
      </c>
      <c r="S527" t="s">
        <v>74</v>
      </c>
      <c r="T527" t="s">
        <v>7714</v>
      </c>
      <c r="U527" t="s">
        <v>7715</v>
      </c>
      <c r="V527" t="s">
        <v>7716</v>
      </c>
      <c r="W527" t="s">
        <v>7717</v>
      </c>
      <c r="X527" t="s">
        <v>7718</v>
      </c>
      <c r="Y527" t="s">
        <v>7719</v>
      </c>
      <c r="Z527" t="s">
        <v>276</v>
      </c>
      <c r="AA527" t="s">
        <v>7720</v>
      </c>
      <c r="AB527" t="s">
        <v>7721</v>
      </c>
      <c r="AC527" t="s">
        <v>74</v>
      </c>
      <c r="AD527" t="s">
        <v>74</v>
      </c>
      <c r="AE527" t="s">
        <v>74</v>
      </c>
      <c r="AF527" t="s">
        <v>74</v>
      </c>
      <c r="AG527">
        <v>25</v>
      </c>
      <c r="AH527">
        <v>12</v>
      </c>
      <c r="AI527">
        <v>14</v>
      </c>
      <c r="AJ527">
        <v>1</v>
      </c>
      <c r="AK527">
        <v>11</v>
      </c>
      <c r="AL527" t="s">
        <v>1358</v>
      </c>
      <c r="AM527" t="s">
        <v>1359</v>
      </c>
      <c r="AN527" t="s">
        <v>1360</v>
      </c>
      <c r="AO527" t="s">
        <v>1361</v>
      </c>
      <c r="AP527" t="s">
        <v>1362</v>
      </c>
      <c r="AQ527" t="s">
        <v>74</v>
      </c>
      <c r="AR527" t="s">
        <v>1363</v>
      </c>
      <c r="AS527" t="s">
        <v>1364</v>
      </c>
      <c r="AT527" t="s">
        <v>997</v>
      </c>
      <c r="AU527">
        <v>2019</v>
      </c>
      <c r="AV527">
        <v>36</v>
      </c>
      <c r="AW527">
        <v>4</v>
      </c>
      <c r="AX527" t="s">
        <v>74</v>
      </c>
      <c r="AY527" t="s">
        <v>74</v>
      </c>
      <c r="AZ527" t="s">
        <v>74</v>
      </c>
      <c r="BA527" t="s">
        <v>74</v>
      </c>
      <c r="BB527">
        <v>433</v>
      </c>
      <c r="BC527">
        <v>437</v>
      </c>
      <c r="BD527" t="s">
        <v>74</v>
      </c>
      <c r="BE527" t="s">
        <v>7722</v>
      </c>
      <c r="BF527" t="str">
        <f>HYPERLINK("http://dx.doi.org/10.1016/j.rmr.2019.03.003","http://dx.doi.org/10.1016/j.rmr.2019.03.003")</f>
        <v>http://dx.doi.org/10.1016/j.rmr.2019.03.003</v>
      </c>
      <c r="BG527" t="s">
        <v>74</v>
      </c>
      <c r="BH527" t="s">
        <v>74</v>
      </c>
      <c r="BI527">
        <v>5</v>
      </c>
      <c r="BJ527" t="s">
        <v>228</v>
      </c>
      <c r="BK527" t="s">
        <v>101</v>
      </c>
      <c r="BL527" t="s">
        <v>228</v>
      </c>
      <c r="BM527" t="s">
        <v>7723</v>
      </c>
      <c r="BN527">
        <v>31010759</v>
      </c>
      <c r="BO527" t="s">
        <v>612</v>
      </c>
      <c r="BP527" t="s">
        <v>74</v>
      </c>
      <c r="BQ527" t="s">
        <v>74</v>
      </c>
      <c r="BR527" t="s">
        <v>104</v>
      </c>
      <c r="BS527" t="s">
        <v>7724</v>
      </c>
      <c r="BT527" t="str">
        <f>HYPERLINK("https%3A%2F%2Fwww.webofscience.com%2Fwos%2Fwoscc%2Ffull-record%2FWOS:000467816700002","View Full Record in Web of Science")</f>
        <v>View Full Record in Web of Science</v>
      </c>
    </row>
    <row r="528" spans="1:72" x14ac:dyDescent="0.25">
      <c r="A528" t="s">
        <v>72</v>
      </c>
      <c r="B528" t="s">
        <v>7725</v>
      </c>
      <c r="C528" t="s">
        <v>74</v>
      </c>
      <c r="D528" t="s">
        <v>74</v>
      </c>
      <c r="E528" t="s">
        <v>74</v>
      </c>
      <c r="F528" t="s">
        <v>7726</v>
      </c>
      <c r="G528" t="s">
        <v>74</v>
      </c>
      <c r="H528" t="s">
        <v>7727</v>
      </c>
      <c r="I528" t="s">
        <v>7728</v>
      </c>
      <c r="J528" t="s">
        <v>7729</v>
      </c>
      <c r="K528" t="s">
        <v>74</v>
      </c>
      <c r="L528" t="s">
        <v>74</v>
      </c>
      <c r="M528" t="s">
        <v>78</v>
      </c>
      <c r="N528" t="s">
        <v>79</v>
      </c>
      <c r="O528" t="s">
        <v>74</v>
      </c>
      <c r="P528" t="s">
        <v>74</v>
      </c>
      <c r="Q528" t="s">
        <v>74</v>
      </c>
      <c r="R528" t="s">
        <v>74</v>
      </c>
      <c r="S528" t="s">
        <v>74</v>
      </c>
      <c r="T528" t="s">
        <v>7730</v>
      </c>
      <c r="U528" t="s">
        <v>7731</v>
      </c>
      <c r="V528" t="s">
        <v>7732</v>
      </c>
      <c r="W528" t="s">
        <v>7733</v>
      </c>
      <c r="X528" t="s">
        <v>7734</v>
      </c>
      <c r="Y528" t="s">
        <v>7735</v>
      </c>
      <c r="Z528" t="s">
        <v>4563</v>
      </c>
      <c r="AA528" t="s">
        <v>7736</v>
      </c>
      <c r="AB528" t="s">
        <v>7737</v>
      </c>
      <c r="AC528" t="s">
        <v>74</v>
      </c>
      <c r="AD528" t="s">
        <v>74</v>
      </c>
      <c r="AE528" t="s">
        <v>74</v>
      </c>
      <c r="AF528" t="s">
        <v>74</v>
      </c>
      <c r="AG528">
        <v>42</v>
      </c>
      <c r="AH528">
        <v>78</v>
      </c>
      <c r="AI528">
        <v>78</v>
      </c>
      <c r="AJ528">
        <v>1</v>
      </c>
      <c r="AK528">
        <v>108</v>
      </c>
      <c r="AL528" t="s">
        <v>169</v>
      </c>
      <c r="AM528" t="s">
        <v>170</v>
      </c>
      <c r="AN528" t="s">
        <v>171</v>
      </c>
      <c r="AO528" t="s">
        <v>7738</v>
      </c>
      <c r="AP528" t="s">
        <v>7739</v>
      </c>
      <c r="AQ528" t="s">
        <v>74</v>
      </c>
      <c r="AR528" t="s">
        <v>7740</v>
      </c>
      <c r="AS528" t="s">
        <v>7741</v>
      </c>
      <c r="AT528" t="s">
        <v>997</v>
      </c>
      <c r="AU528">
        <v>2019</v>
      </c>
      <c r="AV528">
        <v>49</v>
      </c>
      <c r="AW528">
        <v>4</v>
      </c>
      <c r="AX528" t="s">
        <v>74</v>
      </c>
      <c r="AY528" t="s">
        <v>74</v>
      </c>
      <c r="AZ528" t="s">
        <v>74</v>
      </c>
      <c r="BA528" t="s">
        <v>74</v>
      </c>
      <c r="BB528">
        <v>442</v>
      </c>
      <c r="BC528">
        <v>460</v>
      </c>
      <c r="BD528" t="s">
        <v>74</v>
      </c>
      <c r="BE528" t="s">
        <v>7742</v>
      </c>
      <c r="BF528" t="str">
        <f>HYPERLINK("http://dx.doi.org/10.1111/cea.13333","http://dx.doi.org/10.1111/cea.13333")</f>
        <v>http://dx.doi.org/10.1111/cea.13333</v>
      </c>
      <c r="BG528" t="s">
        <v>74</v>
      </c>
      <c r="BH528" t="s">
        <v>74</v>
      </c>
      <c r="BI528">
        <v>19</v>
      </c>
      <c r="BJ528" t="s">
        <v>3085</v>
      </c>
      <c r="BK528" t="s">
        <v>101</v>
      </c>
      <c r="BL528" t="s">
        <v>3085</v>
      </c>
      <c r="BM528" t="s">
        <v>7743</v>
      </c>
      <c r="BN528">
        <v>30597673</v>
      </c>
      <c r="BO528" t="s">
        <v>4779</v>
      </c>
      <c r="BP528" t="s">
        <v>74</v>
      </c>
      <c r="BQ528" t="s">
        <v>74</v>
      </c>
      <c r="BR528" t="s">
        <v>104</v>
      </c>
      <c r="BS528" t="s">
        <v>7744</v>
      </c>
      <c r="BT528" t="str">
        <f>HYPERLINK("https%3A%2F%2Fwww.webofscience.com%2Fwos%2Fwoscc%2Ffull-record%2FWOS:000463761700007","View Full Record in Web of Science")</f>
        <v>View Full Record in Web of Science</v>
      </c>
    </row>
    <row r="529" spans="1:72" x14ac:dyDescent="0.25">
      <c r="A529" t="s">
        <v>72</v>
      </c>
      <c r="B529" t="s">
        <v>7745</v>
      </c>
      <c r="C529" t="s">
        <v>74</v>
      </c>
      <c r="D529" t="s">
        <v>74</v>
      </c>
      <c r="E529" t="s">
        <v>74</v>
      </c>
      <c r="F529" t="s">
        <v>7746</v>
      </c>
      <c r="G529" t="s">
        <v>74</v>
      </c>
      <c r="H529" t="s">
        <v>74</v>
      </c>
      <c r="I529" t="s">
        <v>7747</v>
      </c>
      <c r="J529" t="s">
        <v>4285</v>
      </c>
      <c r="K529" t="s">
        <v>74</v>
      </c>
      <c r="L529" t="s">
        <v>74</v>
      </c>
      <c r="M529" t="s">
        <v>78</v>
      </c>
      <c r="N529" t="s">
        <v>79</v>
      </c>
      <c r="O529" t="s">
        <v>74</v>
      </c>
      <c r="P529" t="s">
        <v>74</v>
      </c>
      <c r="Q529" t="s">
        <v>74</v>
      </c>
      <c r="R529" t="s">
        <v>74</v>
      </c>
      <c r="S529" t="s">
        <v>74</v>
      </c>
      <c r="T529" t="s">
        <v>7748</v>
      </c>
      <c r="U529" t="s">
        <v>7749</v>
      </c>
      <c r="V529" t="s">
        <v>7750</v>
      </c>
      <c r="W529" t="s">
        <v>7751</v>
      </c>
      <c r="X529" t="s">
        <v>7752</v>
      </c>
      <c r="Y529" t="s">
        <v>7753</v>
      </c>
      <c r="Z529" t="s">
        <v>7754</v>
      </c>
      <c r="AA529" t="s">
        <v>7755</v>
      </c>
      <c r="AB529" t="s">
        <v>7756</v>
      </c>
      <c r="AC529" t="s">
        <v>7757</v>
      </c>
      <c r="AD529" t="s">
        <v>7758</v>
      </c>
      <c r="AE529" t="s">
        <v>7759</v>
      </c>
      <c r="AF529" t="s">
        <v>74</v>
      </c>
      <c r="AG529">
        <v>42</v>
      </c>
      <c r="AH529">
        <v>21</v>
      </c>
      <c r="AI529">
        <v>22</v>
      </c>
      <c r="AJ529">
        <v>0</v>
      </c>
      <c r="AK529">
        <v>3</v>
      </c>
      <c r="AL529" t="s">
        <v>1113</v>
      </c>
      <c r="AM529" t="s">
        <v>1114</v>
      </c>
      <c r="AN529" t="s">
        <v>1115</v>
      </c>
      <c r="AO529" t="s">
        <v>74</v>
      </c>
      <c r="AP529" t="s">
        <v>4299</v>
      </c>
      <c r="AQ529" t="s">
        <v>74</v>
      </c>
      <c r="AR529" t="s">
        <v>4300</v>
      </c>
      <c r="AS529" t="s">
        <v>4301</v>
      </c>
      <c r="AT529" t="s">
        <v>7760</v>
      </c>
      <c r="AU529">
        <v>2019</v>
      </c>
      <c r="AV529">
        <v>20</v>
      </c>
      <c r="AW529">
        <v>7</v>
      </c>
      <c r="AX529" t="s">
        <v>74</v>
      </c>
      <c r="AY529" t="s">
        <v>74</v>
      </c>
      <c r="AZ529" t="s">
        <v>74</v>
      </c>
      <c r="BA529" t="s">
        <v>74</v>
      </c>
      <c r="BB529" t="s">
        <v>74</v>
      </c>
      <c r="BC529" t="s">
        <v>74</v>
      </c>
      <c r="BD529">
        <v>1527</v>
      </c>
      <c r="BE529" t="s">
        <v>7761</v>
      </c>
      <c r="BF529" t="str">
        <f>HYPERLINK("http://dx.doi.org/10.3390/ijms20071527","http://dx.doi.org/10.3390/ijms20071527")</f>
        <v>http://dx.doi.org/10.3390/ijms20071527</v>
      </c>
      <c r="BG529" t="s">
        <v>74</v>
      </c>
      <c r="BH529" t="s">
        <v>74</v>
      </c>
      <c r="BI529">
        <v>16</v>
      </c>
      <c r="BJ529" t="s">
        <v>4303</v>
      </c>
      <c r="BK529" t="s">
        <v>101</v>
      </c>
      <c r="BL529" t="s">
        <v>4304</v>
      </c>
      <c r="BM529" t="s">
        <v>7762</v>
      </c>
      <c r="BN529">
        <v>30934680</v>
      </c>
      <c r="BO529" t="s">
        <v>5014</v>
      </c>
      <c r="BP529" t="s">
        <v>74</v>
      </c>
      <c r="BQ529" t="s">
        <v>74</v>
      </c>
      <c r="BR529" t="s">
        <v>104</v>
      </c>
      <c r="BS529" t="s">
        <v>7763</v>
      </c>
      <c r="BT529" t="str">
        <f>HYPERLINK("https%3A%2F%2Fwww.webofscience.com%2Fwos%2Fwoscc%2Ffull-record%2FWOS:000464980400012","View Full Record in Web of Science")</f>
        <v>View Full Record in Web of Science</v>
      </c>
    </row>
    <row r="530" spans="1:72" x14ac:dyDescent="0.25">
      <c r="A530" t="s">
        <v>72</v>
      </c>
      <c r="B530" t="s">
        <v>7764</v>
      </c>
      <c r="C530" t="s">
        <v>74</v>
      </c>
      <c r="D530" t="s">
        <v>74</v>
      </c>
      <c r="E530" t="s">
        <v>74</v>
      </c>
      <c r="F530" t="s">
        <v>7765</v>
      </c>
      <c r="G530" t="s">
        <v>74</v>
      </c>
      <c r="H530" t="s">
        <v>74</v>
      </c>
      <c r="I530" t="s">
        <v>7766</v>
      </c>
      <c r="J530" t="s">
        <v>2761</v>
      </c>
      <c r="K530" t="s">
        <v>74</v>
      </c>
      <c r="L530" t="s">
        <v>74</v>
      </c>
      <c r="M530" t="s">
        <v>78</v>
      </c>
      <c r="N530" t="s">
        <v>79</v>
      </c>
      <c r="O530" t="s">
        <v>74</v>
      </c>
      <c r="P530" t="s">
        <v>74</v>
      </c>
      <c r="Q530" t="s">
        <v>74</v>
      </c>
      <c r="R530" t="s">
        <v>74</v>
      </c>
      <c r="S530" t="s">
        <v>74</v>
      </c>
      <c r="T530" t="s">
        <v>7767</v>
      </c>
      <c r="U530" t="s">
        <v>7768</v>
      </c>
      <c r="V530" t="s">
        <v>7769</v>
      </c>
      <c r="W530" t="s">
        <v>7770</v>
      </c>
      <c r="X530" t="s">
        <v>7771</v>
      </c>
      <c r="Y530" t="s">
        <v>7772</v>
      </c>
      <c r="Z530" t="s">
        <v>7773</v>
      </c>
      <c r="AA530" t="s">
        <v>7774</v>
      </c>
      <c r="AB530" t="s">
        <v>7775</v>
      </c>
      <c r="AC530" t="s">
        <v>7776</v>
      </c>
      <c r="AD530" t="s">
        <v>7777</v>
      </c>
      <c r="AE530" t="s">
        <v>7778</v>
      </c>
      <c r="AF530" t="s">
        <v>74</v>
      </c>
      <c r="AG530">
        <v>40</v>
      </c>
      <c r="AH530">
        <v>93</v>
      </c>
      <c r="AI530">
        <v>96</v>
      </c>
      <c r="AJ530">
        <v>1</v>
      </c>
      <c r="AK530">
        <v>27</v>
      </c>
      <c r="AL530" t="s">
        <v>122</v>
      </c>
      <c r="AM530" t="s">
        <v>123</v>
      </c>
      <c r="AN530" t="s">
        <v>124</v>
      </c>
      <c r="AO530" t="s">
        <v>2773</v>
      </c>
      <c r="AP530" t="s">
        <v>2774</v>
      </c>
      <c r="AQ530" t="s">
        <v>74</v>
      </c>
      <c r="AR530" t="s">
        <v>2775</v>
      </c>
      <c r="AS530" t="s">
        <v>2776</v>
      </c>
      <c r="AT530" t="s">
        <v>5048</v>
      </c>
      <c r="AU530">
        <v>2019</v>
      </c>
      <c r="AV530">
        <v>124</v>
      </c>
      <c r="AW530">
        <v>6</v>
      </c>
      <c r="AX530" t="s">
        <v>74</v>
      </c>
      <c r="AY530" t="s">
        <v>74</v>
      </c>
      <c r="AZ530" t="s">
        <v>74</v>
      </c>
      <c r="BA530" t="s">
        <v>74</v>
      </c>
      <c r="BB530">
        <v>846</v>
      </c>
      <c r="BC530">
        <v>855</v>
      </c>
      <c r="BD530" t="s">
        <v>74</v>
      </c>
      <c r="BE530" t="s">
        <v>7779</v>
      </c>
      <c r="BF530" t="str">
        <f>HYPERLINK("http://dx.doi.org/10.1161/CIRCRESAHA.118.313356","http://dx.doi.org/10.1161/CIRCRESAHA.118.313356")</f>
        <v>http://dx.doi.org/10.1161/CIRCRESAHA.118.313356</v>
      </c>
      <c r="BG530" t="s">
        <v>74</v>
      </c>
      <c r="BH530" t="s">
        <v>74</v>
      </c>
      <c r="BI530">
        <v>10</v>
      </c>
      <c r="BJ530" t="s">
        <v>2781</v>
      </c>
      <c r="BK530" t="s">
        <v>101</v>
      </c>
      <c r="BL530" t="s">
        <v>2782</v>
      </c>
      <c r="BM530" t="s">
        <v>7780</v>
      </c>
      <c r="BN530">
        <v>30636542</v>
      </c>
      <c r="BO530" t="s">
        <v>2854</v>
      </c>
      <c r="BP530" t="s">
        <v>74</v>
      </c>
      <c r="BQ530" t="s">
        <v>74</v>
      </c>
      <c r="BR530" t="s">
        <v>104</v>
      </c>
      <c r="BS530" t="s">
        <v>7781</v>
      </c>
      <c r="BT530" t="str">
        <f>HYPERLINK("https%3A%2F%2Fwww.webofscience.com%2Fwos%2Fwoscc%2Ffull-record%2FWOS:000469341600010","View Full Record in Web of Science")</f>
        <v>View Full Record in Web of Science</v>
      </c>
    </row>
    <row r="531" spans="1:72" x14ac:dyDescent="0.25">
      <c r="A531" t="s">
        <v>72</v>
      </c>
      <c r="B531" t="s">
        <v>7782</v>
      </c>
      <c r="C531" t="s">
        <v>74</v>
      </c>
      <c r="D531" t="s">
        <v>74</v>
      </c>
      <c r="E531" t="s">
        <v>74</v>
      </c>
      <c r="F531" t="s">
        <v>7783</v>
      </c>
      <c r="G531" t="s">
        <v>74</v>
      </c>
      <c r="H531" t="s">
        <v>7784</v>
      </c>
      <c r="I531" t="s">
        <v>7785</v>
      </c>
      <c r="J531" t="s">
        <v>5479</v>
      </c>
      <c r="K531" t="s">
        <v>74</v>
      </c>
      <c r="L531" t="s">
        <v>74</v>
      </c>
      <c r="M531" t="s">
        <v>78</v>
      </c>
      <c r="N531" t="s">
        <v>299</v>
      </c>
      <c r="O531" t="s">
        <v>74</v>
      </c>
      <c r="P531" t="s">
        <v>74</v>
      </c>
      <c r="Q531" t="s">
        <v>74</v>
      </c>
      <c r="R531" t="s">
        <v>74</v>
      </c>
      <c r="S531" t="s">
        <v>74</v>
      </c>
      <c r="T531" t="s">
        <v>7786</v>
      </c>
      <c r="U531" t="s">
        <v>7787</v>
      </c>
      <c r="V531" t="s">
        <v>7788</v>
      </c>
      <c r="W531" t="s">
        <v>7789</v>
      </c>
      <c r="X531" t="s">
        <v>7790</v>
      </c>
      <c r="Y531" t="s">
        <v>7791</v>
      </c>
      <c r="Z531" t="s">
        <v>4563</v>
      </c>
      <c r="AA531" t="s">
        <v>7792</v>
      </c>
      <c r="AB531" t="s">
        <v>7793</v>
      </c>
      <c r="AC531" t="s">
        <v>7794</v>
      </c>
      <c r="AD531" t="s">
        <v>7794</v>
      </c>
      <c r="AE531" t="s">
        <v>7795</v>
      </c>
      <c r="AF531" t="s">
        <v>74</v>
      </c>
      <c r="AG531">
        <v>106</v>
      </c>
      <c r="AH531">
        <v>102</v>
      </c>
      <c r="AI531">
        <v>107</v>
      </c>
      <c r="AJ531">
        <v>4</v>
      </c>
      <c r="AK531">
        <v>78</v>
      </c>
      <c r="AL531" t="s">
        <v>169</v>
      </c>
      <c r="AM531" t="s">
        <v>170</v>
      </c>
      <c r="AN531" t="s">
        <v>171</v>
      </c>
      <c r="AO531" t="s">
        <v>74</v>
      </c>
      <c r="AP531" t="s">
        <v>5490</v>
      </c>
      <c r="AQ531" t="s">
        <v>74</v>
      </c>
      <c r="AR531" t="s">
        <v>5491</v>
      </c>
      <c r="AS531" t="s">
        <v>5492</v>
      </c>
      <c r="AT531" t="s">
        <v>7796</v>
      </c>
      <c r="AU531">
        <v>2019</v>
      </c>
      <c r="AV531">
        <v>9</v>
      </c>
      <c r="AW531" t="s">
        <v>74</v>
      </c>
      <c r="AX531" t="s">
        <v>74</v>
      </c>
      <c r="AY531" t="s">
        <v>74</v>
      </c>
      <c r="AZ531" t="s">
        <v>74</v>
      </c>
      <c r="BA531" t="s">
        <v>74</v>
      </c>
      <c r="BB531" t="s">
        <v>74</v>
      </c>
      <c r="BC531" t="s">
        <v>74</v>
      </c>
      <c r="BD531">
        <v>16</v>
      </c>
      <c r="BE531" t="s">
        <v>7797</v>
      </c>
      <c r="BF531" t="str">
        <f>HYPERLINK("http://dx.doi.org/10.1186/s13601-019-0252-0","http://dx.doi.org/10.1186/s13601-019-0252-0")</f>
        <v>http://dx.doi.org/10.1186/s13601-019-0252-0</v>
      </c>
      <c r="BG531" t="s">
        <v>74</v>
      </c>
      <c r="BH531" t="s">
        <v>74</v>
      </c>
      <c r="BI531">
        <v>19</v>
      </c>
      <c r="BJ531" t="s">
        <v>601</v>
      </c>
      <c r="BK531" t="s">
        <v>101</v>
      </c>
      <c r="BL531" t="s">
        <v>601</v>
      </c>
      <c r="BM531" t="s">
        <v>7798</v>
      </c>
      <c r="BN531">
        <v>30911372</v>
      </c>
      <c r="BO531" t="s">
        <v>809</v>
      </c>
      <c r="BP531" t="s">
        <v>74</v>
      </c>
      <c r="BQ531" t="s">
        <v>74</v>
      </c>
      <c r="BR531" t="s">
        <v>104</v>
      </c>
      <c r="BS531" t="s">
        <v>7799</v>
      </c>
      <c r="BT531" t="str">
        <f>HYPERLINK("https%3A%2F%2Fwww.webofscience.com%2Fwos%2Fwoscc%2Ffull-record%2FWOS:000460903700001","View Full Record in Web of Science")</f>
        <v>View Full Record in Web of Science</v>
      </c>
    </row>
    <row r="532" spans="1:72" x14ac:dyDescent="0.25">
      <c r="A532" t="s">
        <v>72</v>
      </c>
      <c r="B532" t="s">
        <v>7800</v>
      </c>
      <c r="C532" t="s">
        <v>74</v>
      </c>
      <c r="D532" t="s">
        <v>74</v>
      </c>
      <c r="E532" t="s">
        <v>74</v>
      </c>
      <c r="F532" t="s">
        <v>7801</v>
      </c>
      <c r="G532" t="s">
        <v>74</v>
      </c>
      <c r="H532" t="s">
        <v>7802</v>
      </c>
      <c r="I532" t="s">
        <v>7803</v>
      </c>
      <c r="J532" t="s">
        <v>4427</v>
      </c>
      <c r="K532" t="s">
        <v>74</v>
      </c>
      <c r="L532" t="s">
        <v>74</v>
      </c>
      <c r="M532" t="s">
        <v>78</v>
      </c>
      <c r="N532" t="s">
        <v>299</v>
      </c>
      <c r="O532" t="s">
        <v>74</v>
      </c>
      <c r="P532" t="s">
        <v>74</v>
      </c>
      <c r="Q532" t="s">
        <v>74</v>
      </c>
      <c r="R532" t="s">
        <v>74</v>
      </c>
      <c r="S532" t="s">
        <v>74</v>
      </c>
      <c r="T532" t="s">
        <v>7804</v>
      </c>
      <c r="U532" t="s">
        <v>7805</v>
      </c>
      <c r="V532" t="s">
        <v>7806</v>
      </c>
      <c r="W532" t="s">
        <v>7807</v>
      </c>
      <c r="X532" t="s">
        <v>7808</v>
      </c>
      <c r="Y532" t="s">
        <v>7809</v>
      </c>
      <c r="Z532" t="s">
        <v>74</v>
      </c>
      <c r="AA532" t="s">
        <v>7810</v>
      </c>
      <c r="AB532" t="s">
        <v>7811</v>
      </c>
      <c r="AC532" t="s">
        <v>7812</v>
      </c>
      <c r="AD532" t="s">
        <v>7812</v>
      </c>
      <c r="AE532" t="s">
        <v>7813</v>
      </c>
      <c r="AF532" t="s">
        <v>74</v>
      </c>
      <c r="AG532">
        <v>68</v>
      </c>
      <c r="AH532">
        <v>124</v>
      </c>
      <c r="AI532">
        <v>139</v>
      </c>
      <c r="AJ532">
        <v>6</v>
      </c>
      <c r="AK532">
        <v>166</v>
      </c>
      <c r="AL532" t="s">
        <v>485</v>
      </c>
      <c r="AM532" t="s">
        <v>486</v>
      </c>
      <c r="AN532" t="s">
        <v>487</v>
      </c>
      <c r="AO532" t="s">
        <v>4433</v>
      </c>
      <c r="AP532" t="s">
        <v>4434</v>
      </c>
      <c r="AQ532" t="s">
        <v>74</v>
      </c>
      <c r="AR532" t="s">
        <v>4435</v>
      </c>
      <c r="AS532" t="s">
        <v>4436</v>
      </c>
      <c r="AT532" t="s">
        <v>98</v>
      </c>
      <c r="AU532">
        <v>2019</v>
      </c>
      <c r="AV532">
        <v>143</v>
      </c>
      <c r="AW532">
        <v>3</v>
      </c>
      <c r="AX532" t="s">
        <v>74</v>
      </c>
      <c r="AY532" t="s">
        <v>74</v>
      </c>
      <c r="AZ532" t="s">
        <v>74</v>
      </c>
      <c r="BA532" t="s">
        <v>74</v>
      </c>
      <c r="BB532">
        <v>864</v>
      </c>
      <c r="BC532">
        <v>879</v>
      </c>
      <c r="BD532" t="s">
        <v>74</v>
      </c>
      <c r="BE532" t="s">
        <v>7814</v>
      </c>
      <c r="BF532" t="str">
        <f>HYPERLINK("http://dx.doi.org/10.1016/j.jaci.2018.08.049","http://dx.doi.org/10.1016/j.jaci.2018.08.049")</f>
        <v>http://dx.doi.org/10.1016/j.jaci.2018.08.049</v>
      </c>
      <c r="BG532" t="s">
        <v>74</v>
      </c>
      <c r="BH532" t="s">
        <v>74</v>
      </c>
      <c r="BI532">
        <v>16</v>
      </c>
      <c r="BJ532" t="s">
        <v>3085</v>
      </c>
      <c r="BK532" t="s">
        <v>101</v>
      </c>
      <c r="BL532" t="s">
        <v>3085</v>
      </c>
      <c r="BM532" t="s">
        <v>7815</v>
      </c>
      <c r="BN532">
        <v>30273709</v>
      </c>
      <c r="BO532" t="s">
        <v>5765</v>
      </c>
      <c r="BP532" t="s">
        <v>74</v>
      </c>
      <c r="BQ532" t="s">
        <v>74</v>
      </c>
      <c r="BR532" t="s">
        <v>104</v>
      </c>
      <c r="BS532" t="s">
        <v>7816</v>
      </c>
      <c r="BT532" t="str">
        <f>HYPERLINK("https%3A%2F%2Fwww.webofscience.com%2Fwos%2Fwoscc%2Ffull-record%2FWOS:000460272900005","View Full Record in Web of Science")</f>
        <v>View Full Record in Web of Science</v>
      </c>
    </row>
    <row r="533" spans="1:72" x14ac:dyDescent="0.25">
      <c r="A533" t="s">
        <v>72</v>
      </c>
      <c r="B533" t="s">
        <v>7817</v>
      </c>
      <c r="C533" t="s">
        <v>74</v>
      </c>
      <c r="D533" t="s">
        <v>74</v>
      </c>
      <c r="E533" t="s">
        <v>74</v>
      </c>
      <c r="F533" t="s">
        <v>7818</v>
      </c>
      <c r="G533" t="s">
        <v>74</v>
      </c>
      <c r="H533" t="s">
        <v>74</v>
      </c>
      <c r="I533" t="s">
        <v>7819</v>
      </c>
      <c r="J533" t="s">
        <v>216</v>
      </c>
      <c r="K533" t="s">
        <v>74</v>
      </c>
      <c r="L533" t="s">
        <v>74</v>
      </c>
      <c r="M533" t="s">
        <v>78</v>
      </c>
      <c r="N533" t="s">
        <v>79</v>
      </c>
      <c r="O533" t="s">
        <v>74</v>
      </c>
      <c r="P533" t="s">
        <v>74</v>
      </c>
      <c r="Q533" t="s">
        <v>74</v>
      </c>
      <c r="R533" t="s">
        <v>74</v>
      </c>
      <c r="S533" t="s">
        <v>74</v>
      </c>
      <c r="T533" t="s">
        <v>74</v>
      </c>
      <c r="U533" t="s">
        <v>7820</v>
      </c>
      <c r="V533" t="s">
        <v>7821</v>
      </c>
      <c r="W533" t="s">
        <v>7822</v>
      </c>
      <c r="X533" t="s">
        <v>7823</v>
      </c>
      <c r="Y533" t="s">
        <v>7824</v>
      </c>
      <c r="Z533" t="s">
        <v>7825</v>
      </c>
      <c r="AA533" t="s">
        <v>7826</v>
      </c>
      <c r="AB533" t="s">
        <v>7827</v>
      </c>
      <c r="AC533" t="s">
        <v>7828</v>
      </c>
      <c r="AD533" t="s">
        <v>7828</v>
      </c>
      <c r="AE533" t="s">
        <v>7829</v>
      </c>
      <c r="AF533" t="s">
        <v>74</v>
      </c>
      <c r="AG533">
        <v>42</v>
      </c>
      <c r="AH533">
        <v>81</v>
      </c>
      <c r="AI533">
        <v>83</v>
      </c>
      <c r="AJ533">
        <v>0</v>
      </c>
      <c r="AK533">
        <v>9</v>
      </c>
      <c r="AL533" t="s">
        <v>219</v>
      </c>
      <c r="AM533" t="s">
        <v>220</v>
      </c>
      <c r="AN533" t="s">
        <v>221</v>
      </c>
      <c r="AO533" t="s">
        <v>222</v>
      </c>
      <c r="AP533" t="s">
        <v>223</v>
      </c>
      <c r="AQ533" t="s">
        <v>74</v>
      </c>
      <c r="AR533" t="s">
        <v>224</v>
      </c>
      <c r="AS533" t="s">
        <v>225</v>
      </c>
      <c r="AT533" t="s">
        <v>1097</v>
      </c>
      <c r="AU533">
        <v>2019</v>
      </c>
      <c r="AV533">
        <v>53</v>
      </c>
      <c r="AW533">
        <v>3</v>
      </c>
      <c r="AX533" t="s">
        <v>74</v>
      </c>
      <c r="AY533" t="s">
        <v>74</v>
      </c>
      <c r="AZ533" t="s">
        <v>74</v>
      </c>
      <c r="BA533" t="s">
        <v>74</v>
      </c>
      <c r="BB533" t="s">
        <v>74</v>
      </c>
      <c r="BC533" t="s">
        <v>74</v>
      </c>
      <c r="BD533">
        <v>1801371</v>
      </c>
      <c r="BE533" t="s">
        <v>7830</v>
      </c>
      <c r="BF533" t="str">
        <f>HYPERLINK("http://dx.doi.org/10.1183/13993003.01371-2018","http://dx.doi.org/10.1183/13993003.01371-2018")</f>
        <v>http://dx.doi.org/10.1183/13993003.01371-2018</v>
      </c>
      <c r="BG533" t="s">
        <v>74</v>
      </c>
      <c r="BH533" t="s">
        <v>74</v>
      </c>
      <c r="BI533">
        <v>12</v>
      </c>
      <c r="BJ533" t="s">
        <v>228</v>
      </c>
      <c r="BK533" t="s">
        <v>101</v>
      </c>
      <c r="BL533" t="s">
        <v>228</v>
      </c>
      <c r="BM533" t="s">
        <v>7831</v>
      </c>
      <c r="BN533">
        <v>30578383</v>
      </c>
      <c r="BO533" t="s">
        <v>2854</v>
      </c>
      <c r="BP533" t="s">
        <v>74</v>
      </c>
      <c r="BQ533" t="s">
        <v>74</v>
      </c>
      <c r="BR533" t="s">
        <v>104</v>
      </c>
      <c r="BS533" t="s">
        <v>7832</v>
      </c>
      <c r="BT533" t="str">
        <f>HYPERLINK("https%3A%2F%2Fwww.webofscience.com%2Fwos%2Fwoscc%2Ffull-record%2FWOS:000461827000006","View Full Record in Web of Science")</f>
        <v>View Full Record in Web of Science</v>
      </c>
    </row>
    <row r="534" spans="1:72" x14ac:dyDescent="0.25">
      <c r="A534" t="s">
        <v>72</v>
      </c>
      <c r="B534" t="s">
        <v>7833</v>
      </c>
      <c r="C534" t="s">
        <v>74</v>
      </c>
      <c r="D534" t="s">
        <v>74</v>
      </c>
      <c r="E534" t="s">
        <v>74</v>
      </c>
      <c r="F534" t="s">
        <v>7834</v>
      </c>
      <c r="G534" t="s">
        <v>74</v>
      </c>
      <c r="H534" t="s">
        <v>74</v>
      </c>
      <c r="I534" t="s">
        <v>7835</v>
      </c>
      <c r="J534" t="s">
        <v>216</v>
      </c>
      <c r="K534" t="s">
        <v>74</v>
      </c>
      <c r="L534" t="s">
        <v>74</v>
      </c>
      <c r="M534" t="s">
        <v>78</v>
      </c>
      <c r="N534" t="s">
        <v>140</v>
      </c>
      <c r="O534" t="s">
        <v>74</v>
      </c>
      <c r="P534" t="s">
        <v>74</v>
      </c>
      <c r="Q534" t="s">
        <v>74</v>
      </c>
      <c r="R534" t="s">
        <v>74</v>
      </c>
      <c r="S534" t="s">
        <v>74</v>
      </c>
      <c r="T534" t="s">
        <v>74</v>
      </c>
      <c r="U534" t="s">
        <v>7836</v>
      </c>
      <c r="V534" t="s">
        <v>74</v>
      </c>
      <c r="W534" t="s">
        <v>7837</v>
      </c>
      <c r="X534" t="s">
        <v>7838</v>
      </c>
      <c r="Y534" t="s">
        <v>7839</v>
      </c>
      <c r="Z534" t="s">
        <v>1689</v>
      </c>
      <c r="AA534" t="s">
        <v>378</v>
      </c>
      <c r="AB534" t="s">
        <v>2803</v>
      </c>
      <c r="AC534" t="s">
        <v>74</v>
      </c>
      <c r="AD534" t="s">
        <v>74</v>
      </c>
      <c r="AE534" t="s">
        <v>74</v>
      </c>
      <c r="AF534" t="s">
        <v>74</v>
      </c>
      <c r="AG534">
        <v>31</v>
      </c>
      <c r="AH534">
        <v>42</v>
      </c>
      <c r="AI534">
        <v>45</v>
      </c>
      <c r="AJ534">
        <v>0</v>
      </c>
      <c r="AK534">
        <v>2</v>
      </c>
      <c r="AL534" t="s">
        <v>219</v>
      </c>
      <c r="AM534" t="s">
        <v>220</v>
      </c>
      <c r="AN534" t="s">
        <v>221</v>
      </c>
      <c r="AO534" t="s">
        <v>222</v>
      </c>
      <c r="AP534" t="s">
        <v>223</v>
      </c>
      <c r="AQ534" t="s">
        <v>74</v>
      </c>
      <c r="AR534" t="s">
        <v>224</v>
      </c>
      <c r="AS534" t="s">
        <v>225</v>
      </c>
      <c r="AT534" t="s">
        <v>1097</v>
      </c>
      <c r="AU534">
        <v>2019</v>
      </c>
      <c r="AV534">
        <v>53</v>
      </c>
      <c r="AW534">
        <v>3</v>
      </c>
      <c r="AX534" t="s">
        <v>74</v>
      </c>
      <c r="AY534" t="s">
        <v>74</v>
      </c>
      <c r="AZ534" t="s">
        <v>74</v>
      </c>
      <c r="BA534" t="s">
        <v>74</v>
      </c>
      <c r="BB534" t="s">
        <v>74</v>
      </c>
      <c r="BC534" t="s">
        <v>74</v>
      </c>
      <c r="BD534">
        <v>1900038</v>
      </c>
      <c r="BE534" t="s">
        <v>7840</v>
      </c>
      <c r="BF534" t="str">
        <f>HYPERLINK("http://dx.doi.org/10.1183/13993003.00038-2019","http://dx.doi.org/10.1183/13993003.00038-2019")</f>
        <v>http://dx.doi.org/10.1183/13993003.00038-2019</v>
      </c>
      <c r="BG534" t="s">
        <v>74</v>
      </c>
      <c r="BH534" t="s">
        <v>74</v>
      </c>
      <c r="BI534">
        <v>4</v>
      </c>
      <c r="BJ534" t="s">
        <v>228</v>
      </c>
      <c r="BK534" t="s">
        <v>101</v>
      </c>
      <c r="BL534" t="s">
        <v>228</v>
      </c>
      <c r="BM534" t="s">
        <v>7841</v>
      </c>
      <c r="BN534">
        <v>30923177</v>
      </c>
      <c r="BO534" t="s">
        <v>1194</v>
      </c>
      <c r="BP534" t="s">
        <v>74</v>
      </c>
      <c r="BQ534" t="s">
        <v>74</v>
      </c>
      <c r="BR534" t="s">
        <v>104</v>
      </c>
      <c r="BS534" t="s">
        <v>7842</v>
      </c>
      <c r="BT534" t="str">
        <f>HYPERLINK("https%3A%2F%2Fwww.webofscience.com%2Fwos%2Fwoscc%2Ffull-record%2FWOS:000467523800010","View Full Record in Web of Science")</f>
        <v>View Full Record in Web of Science</v>
      </c>
    </row>
    <row r="535" spans="1:72" x14ac:dyDescent="0.25">
      <c r="A535" t="s">
        <v>72</v>
      </c>
      <c r="B535" t="s">
        <v>7843</v>
      </c>
      <c r="C535" t="s">
        <v>74</v>
      </c>
      <c r="D535" t="s">
        <v>74</v>
      </c>
      <c r="E535" t="s">
        <v>74</v>
      </c>
      <c r="F535" t="s">
        <v>7844</v>
      </c>
      <c r="G535" t="s">
        <v>74</v>
      </c>
      <c r="H535" t="s">
        <v>74</v>
      </c>
      <c r="I535" t="s">
        <v>7845</v>
      </c>
      <c r="J535" t="s">
        <v>7846</v>
      </c>
      <c r="K535" t="s">
        <v>74</v>
      </c>
      <c r="L535" t="s">
        <v>74</v>
      </c>
      <c r="M535" t="s">
        <v>78</v>
      </c>
      <c r="N535" t="s">
        <v>79</v>
      </c>
      <c r="O535" t="s">
        <v>74</v>
      </c>
      <c r="P535" t="s">
        <v>74</v>
      </c>
      <c r="Q535" t="s">
        <v>74</v>
      </c>
      <c r="R535" t="s">
        <v>74</v>
      </c>
      <c r="S535" t="s">
        <v>74</v>
      </c>
      <c r="T535" t="s">
        <v>7847</v>
      </c>
      <c r="U535" t="s">
        <v>7848</v>
      </c>
      <c r="V535" t="s">
        <v>7849</v>
      </c>
      <c r="W535" t="s">
        <v>7850</v>
      </c>
      <c r="X535" t="s">
        <v>7851</v>
      </c>
      <c r="Y535" t="s">
        <v>7852</v>
      </c>
      <c r="Z535" t="s">
        <v>276</v>
      </c>
      <c r="AA535" t="s">
        <v>7853</v>
      </c>
      <c r="AB535" t="s">
        <v>7854</v>
      </c>
      <c r="AC535" t="s">
        <v>7855</v>
      </c>
      <c r="AD535" t="s">
        <v>7856</v>
      </c>
      <c r="AE535" t="s">
        <v>7857</v>
      </c>
      <c r="AF535" t="s">
        <v>74</v>
      </c>
      <c r="AG535">
        <v>33</v>
      </c>
      <c r="AH535">
        <v>23</v>
      </c>
      <c r="AI535">
        <v>27</v>
      </c>
      <c r="AJ535">
        <v>1</v>
      </c>
      <c r="AK535">
        <v>14</v>
      </c>
      <c r="AL535" t="s">
        <v>169</v>
      </c>
      <c r="AM535" t="s">
        <v>170</v>
      </c>
      <c r="AN535" t="s">
        <v>171</v>
      </c>
      <c r="AO535" t="s">
        <v>7858</v>
      </c>
      <c r="AP535" t="s">
        <v>7859</v>
      </c>
      <c r="AQ535" t="s">
        <v>74</v>
      </c>
      <c r="AR535" t="s">
        <v>7860</v>
      </c>
      <c r="AS535" t="s">
        <v>7861</v>
      </c>
      <c r="AT535" t="s">
        <v>98</v>
      </c>
      <c r="AU535">
        <v>2019</v>
      </c>
      <c r="AV535">
        <v>33</v>
      </c>
      <c r="AW535">
        <v>3</v>
      </c>
      <c r="AX535" t="s">
        <v>74</v>
      </c>
      <c r="AY535" t="s">
        <v>74</v>
      </c>
      <c r="AZ535" t="s">
        <v>74</v>
      </c>
      <c r="BA535" t="s">
        <v>74</v>
      </c>
      <c r="BB535">
        <v>3670</v>
      </c>
      <c r="BC535">
        <v>3679</v>
      </c>
      <c r="BD535" t="s">
        <v>74</v>
      </c>
      <c r="BE535" t="s">
        <v>7862</v>
      </c>
      <c r="BF535" t="str">
        <f>HYPERLINK("http://dx.doi.org/10.1096/fj.201801659R","http://dx.doi.org/10.1096/fj.201801659R")</f>
        <v>http://dx.doi.org/10.1096/fj.201801659R</v>
      </c>
      <c r="BG535" t="s">
        <v>74</v>
      </c>
      <c r="BH535" t="s">
        <v>74</v>
      </c>
      <c r="BI535">
        <v>10</v>
      </c>
      <c r="BJ535" t="s">
        <v>7863</v>
      </c>
      <c r="BK535" t="s">
        <v>101</v>
      </c>
      <c r="BL535" t="s">
        <v>7864</v>
      </c>
      <c r="BM535" t="s">
        <v>7865</v>
      </c>
      <c r="BN535">
        <v>30481487</v>
      </c>
      <c r="BO535" t="s">
        <v>1908</v>
      </c>
      <c r="BP535" t="s">
        <v>74</v>
      </c>
      <c r="BQ535" t="s">
        <v>74</v>
      </c>
      <c r="BR535" t="s">
        <v>104</v>
      </c>
      <c r="BS535" t="s">
        <v>7866</v>
      </c>
      <c r="BT535" t="str">
        <f>HYPERLINK("https%3A%2F%2Fwww.webofscience.com%2Fwos%2Fwoscc%2Ffull-record%2FWOS:000459794800047","View Full Record in Web of Science")</f>
        <v>View Full Record in Web of Science</v>
      </c>
    </row>
    <row r="536" spans="1:72" x14ac:dyDescent="0.25">
      <c r="A536" t="s">
        <v>72</v>
      </c>
      <c r="B536" t="s">
        <v>7867</v>
      </c>
      <c r="C536" t="s">
        <v>74</v>
      </c>
      <c r="D536" t="s">
        <v>74</v>
      </c>
      <c r="E536" t="s">
        <v>74</v>
      </c>
      <c r="F536" t="s">
        <v>7868</v>
      </c>
      <c r="G536" t="s">
        <v>74</v>
      </c>
      <c r="H536" t="s">
        <v>74</v>
      </c>
      <c r="I536" t="s">
        <v>7869</v>
      </c>
      <c r="J536" t="s">
        <v>1805</v>
      </c>
      <c r="K536" t="s">
        <v>74</v>
      </c>
      <c r="L536" t="s">
        <v>74</v>
      </c>
      <c r="M536" t="s">
        <v>78</v>
      </c>
      <c r="N536" t="s">
        <v>79</v>
      </c>
      <c r="O536" t="s">
        <v>74</v>
      </c>
      <c r="P536" t="s">
        <v>74</v>
      </c>
      <c r="Q536" t="s">
        <v>74</v>
      </c>
      <c r="R536" t="s">
        <v>74</v>
      </c>
      <c r="S536" t="s">
        <v>74</v>
      </c>
      <c r="T536" t="s">
        <v>7870</v>
      </c>
      <c r="U536" t="s">
        <v>7871</v>
      </c>
      <c r="V536" t="s">
        <v>7872</v>
      </c>
      <c r="W536" t="s">
        <v>7873</v>
      </c>
      <c r="X536" t="s">
        <v>7874</v>
      </c>
      <c r="Y536" t="s">
        <v>7875</v>
      </c>
      <c r="Z536" t="s">
        <v>7876</v>
      </c>
      <c r="AA536" t="s">
        <v>7877</v>
      </c>
      <c r="AB536" t="s">
        <v>7878</v>
      </c>
      <c r="AC536" t="s">
        <v>7879</v>
      </c>
      <c r="AD536" t="s">
        <v>7880</v>
      </c>
      <c r="AE536" t="s">
        <v>7881</v>
      </c>
      <c r="AF536" t="s">
        <v>74</v>
      </c>
      <c r="AG536">
        <v>43</v>
      </c>
      <c r="AH536">
        <v>12</v>
      </c>
      <c r="AI536">
        <v>13</v>
      </c>
      <c r="AJ536">
        <v>0</v>
      </c>
      <c r="AK536">
        <v>6</v>
      </c>
      <c r="AL536" t="s">
        <v>1817</v>
      </c>
      <c r="AM536" t="s">
        <v>7882</v>
      </c>
      <c r="AN536" t="s">
        <v>7883</v>
      </c>
      <c r="AO536" t="s">
        <v>1820</v>
      </c>
      <c r="AP536" t="s">
        <v>1821</v>
      </c>
      <c r="AQ536" t="s">
        <v>74</v>
      </c>
      <c r="AR536" t="s">
        <v>1822</v>
      </c>
      <c r="AS536" t="s">
        <v>1823</v>
      </c>
      <c r="AT536" t="s">
        <v>98</v>
      </c>
      <c r="AU536">
        <v>2019</v>
      </c>
      <c r="AV536">
        <v>316</v>
      </c>
      <c r="AW536">
        <v>3</v>
      </c>
      <c r="AX536" t="s">
        <v>74</v>
      </c>
      <c r="AY536" t="s">
        <v>74</v>
      </c>
      <c r="AZ536" t="s">
        <v>74</v>
      </c>
      <c r="BA536" t="s">
        <v>74</v>
      </c>
      <c r="BB536" t="s">
        <v>7884</v>
      </c>
      <c r="BC536" t="s">
        <v>7885</v>
      </c>
      <c r="BD536" t="s">
        <v>74</v>
      </c>
      <c r="BE536" t="s">
        <v>7886</v>
      </c>
      <c r="BF536" t="str">
        <f>HYPERLINK("http://dx.doi.org/10.1152/ajplung.00537.2017","http://dx.doi.org/10.1152/ajplung.00537.2017")</f>
        <v>http://dx.doi.org/10.1152/ajplung.00537.2017</v>
      </c>
      <c r="BG536" t="s">
        <v>74</v>
      </c>
      <c r="BH536" t="s">
        <v>74</v>
      </c>
      <c r="BI536">
        <v>11</v>
      </c>
      <c r="BJ536" t="s">
        <v>1522</v>
      </c>
      <c r="BK536" t="s">
        <v>101</v>
      </c>
      <c r="BL536" t="s">
        <v>1522</v>
      </c>
      <c r="BM536" t="s">
        <v>7887</v>
      </c>
      <c r="BN536">
        <v>30543306</v>
      </c>
      <c r="BO536" t="s">
        <v>74</v>
      </c>
      <c r="BP536" t="s">
        <v>74</v>
      </c>
      <c r="BQ536" t="s">
        <v>74</v>
      </c>
      <c r="BR536" t="s">
        <v>104</v>
      </c>
      <c r="BS536" t="s">
        <v>7888</v>
      </c>
      <c r="BT536" t="str">
        <f>HYPERLINK("https%3A%2F%2Fwww.webofscience.com%2Fwos%2Fwoscc%2Ffull-record%2FWOS:000460293800004","View Full Record in Web of Science")</f>
        <v>View Full Record in Web of Science</v>
      </c>
    </row>
    <row r="537" spans="1:72" x14ac:dyDescent="0.25">
      <c r="A537" t="s">
        <v>72</v>
      </c>
      <c r="B537" t="s">
        <v>7889</v>
      </c>
      <c r="C537" t="s">
        <v>74</v>
      </c>
      <c r="D537" t="s">
        <v>74</v>
      </c>
      <c r="E537" t="s">
        <v>74</v>
      </c>
      <c r="F537" t="s">
        <v>7890</v>
      </c>
      <c r="G537" t="s">
        <v>74</v>
      </c>
      <c r="H537" t="s">
        <v>7891</v>
      </c>
      <c r="I537" t="s">
        <v>7892</v>
      </c>
      <c r="J537" t="s">
        <v>388</v>
      </c>
      <c r="K537" t="s">
        <v>74</v>
      </c>
      <c r="L537" t="s">
        <v>74</v>
      </c>
      <c r="M537" t="s">
        <v>78</v>
      </c>
      <c r="N537" t="s">
        <v>79</v>
      </c>
      <c r="O537" t="s">
        <v>74</v>
      </c>
      <c r="P537" t="s">
        <v>74</v>
      </c>
      <c r="Q537" t="s">
        <v>74</v>
      </c>
      <c r="R537" t="s">
        <v>74</v>
      </c>
      <c r="S537" t="s">
        <v>74</v>
      </c>
      <c r="T537" t="s">
        <v>74</v>
      </c>
      <c r="U537" t="s">
        <v>7893</v>
      </c>
      <c r="V537" t="s">
        <v>7894</v>
      </c>
      <c r="W537" t="s">
        <v>7895</v>
      </c>
      <c r="X537" t="s">
        <v>7896</v>
      </c>
      <c r="Y537" t="s">
        <v>7897</v>
      </c>
      <c r="Z537" t="s">
        <v>7898</v>
      </c>
      <c r="AA537" t="s">
        <v>7899</v>
      </c>
      <c r="AB537" t="s">
        <v>7900</v>
      </c>
      <c r="AC537" t="s">
        <v>7901</v>
      </c>
      <c r="AD537" t="s">
        <v>7902</v>
      </c>
      <c r="AE537" t="s">
        <v>7903</v>
      </c>
      <c r="AF537" t="s">
        <v>74</v>
      </c>
      <c r="AG537">
        <v>32</v>
      </c>
      <c r="AH537">
        <v>144</v>
      </c>
      <c r="AI537">
        <v>159</v>
      </c>
      <c r="AJ537">
        <v>2</v>
      </c>
      <c r="AK537">
        <v>42</v>
      </c>
      <c r="AL537" t="s">
        <v>397</v>
      </c>
      <c r="AM537" t="s">
        <v>1074</v>
      </c>
      <c r="AN537" t="s">
        <v>4444</v>
      </c>
      <c r="AO537" t="s">
        <v>400</v>
      </c>
      <c r="AP537" t="s">
        <v>74</v>
      </c>
      <c r="AQ537" t="s">
        <v>74</v>
      </c>
      <c r="AR537" t="s">
        <v>401</v>
      </c>
      <c r="AS537" t="s">
        <v>402</v>
      </c>
      <c r="AT537" t="s">
        <v>98</v>
      </c>
      <c r="AU537">
        <v>2019</v>
      </c>
      <c r="AV537">
        <v>7</v>
      </c>
      <c r="AW537">
        <v>3</v>
      </c>
      <c r="AX537" t="s">
        <v>74</v>
      </c>
      <c r="AY537" t="s">
        <v>74</v>
      </c>
      <c r="AZ537" t="s">
        <v>74</v>
      </c>
      <c r="BA537" t="s">
        <v>74</v>
      </c>
      <c r="BB537">
        <v>227</v>
      </c>
      <c r="BC537">
        <v>238</v>
      </c>
      <c r="BD537" t="s">
        <v>74</v>
      </c>
      <c r="BE537" t="s">
        <v>7904</v>
      </c>
      <c r="BF537" t="str">
        <f>HYPERLINK("http://dx.doi.org/10.1016/S2213-2600(18)30409-0","http://dx.doi.org/10.1016/S2213-2600(18)30409-0")</f>
        <v>http://dx.doi.org/10.1016/S2213-2600(18)30409-0</v>
      </c>
      <c r="BG537" t="s">
        <v>74</v>
      </c>
      <c r="BH537" t="s">
        <v>74</v>
      </c>
      <c r="BI537">
        <v>12</v>
      </c>
      <c r="BJ537" t="s">
        <v>341</v>
      </c>
      <c r="BK537" t="s">
        <v>101</v>
      </c>
      <c r="BL537" t="s">
        <v>342</v>
      </c>
      <c r="BM537" t="s">
        <v>7905</v>
      </c>
      <c r="BN537">
        <v>30527956</v>
      </c>
      <c r="BO537" t="s">
        <v>7906</v>
      </c>
      <c r="BP537" t="s">
        <v>74</v>
      </c>
      <c r="BQ537" t="s">
        <v>74</v>
      </c>
      <c r="BR537" t="s">
        <v>104</v>
      </c>
      <c r="BS537" t="s">
        <v>7907</v>
      </c>
      <c r="BT537" t="str">
        <f>HYPERLINK("https%3A%2F%2Fwww.webofscience.com%2Fwos%2Fwoscc%2Ffull-record%2FWOS:000459820400019","View Full Record in Web of Science")</f>
        <v>View Full Record in Web of Science</v>
      </c>
    </row>
    <row r="538" spans="1:72" x14ac:dyDescent="0.25">
      <c r="A538" t="s">
        <v>72</v>
      </c>
      <c r="B538" t="s">
        <v>7908</v>
      </c>
      <c r="C538" t="s">
        <v>74</v>
      </c>
      <c r="D538" t="s">
        <v>74</v>
      </c>
      <c r="E538" t="s">
        <v>74</v>
      </c>
      <c r="F538" t="s">
        <v>7909</v>
      </c>
      <c r="G538" t="s">
        <v>74</v>
      </c>
      <c r="H538" t="s">
        <v>74</v>
      </c>
      <c r="I538" t="s">
        <v>7910</v>
      </c>
      <c r="J538" t="s">
        <v>251</v>
      </c>
      <c r="K538" t="s">
        <v>74</v>
      </c>
      <c r="L538" t="s">
        <v>74</v>
      </c>
      <c r="M538" t="s">
        <v>78</v>
      </c>
      <c r="N538" t="s">
        <v>79</v>
      </c>
      <c r="O538" t="s">
        <v>74</v>
      </c>
      <c r="P538" t="s">
        <v>74</v>
      </c>
      <c r="Q538" t="s">
        <v>74</v>
      </c>
      <c r="R538" t="s">
        <v>74</v>
      </c>
      <c r="S538" t="s">
        <v>74</v>
      </c>
      <c r="T538" t="s">
        <v>7911</v>
      </c>
      <c r="U538" t="s">
        <v>7912</v>
      </c>
      <c r="V538" t="s">
        <v>7913</v>
      </c>
      <c r="W538" t="s">
        <v>7914</v>
      </c>
      <c r="X538" t="s">
        <v>7915</v>
      </c>
      <c r="Y538" t="s">
        <v>7916</v>
      </c>
      <c r="Z538" t="s">
        <v>756</v>
      </c>
      <c r="AA538" t="s">
        <v>7917</v>
      </c>
      <c r="AB538" t="s">
        <v>7918</v>
      </c>
      <c r="AC538" t="s">
        <v>7919</v>
      </c>
      <c r="AD538" t="s">
        <v>7920</v>
      </c>
      <c r="AE538" t="s">
        <v>7921</v>
      </c>
      <c r="AF538" t="s">
        <v>74</v>
      </c>
      <c r="AG538">
        <v>49</v>
      </c>
      <c r="AH538">
        <v>90</v>
      </c>
      <c r="AI538">
        <v>93</v>
      </c>
      <c r="AJ538">
        <v>0</v>
      </c>
      <c r="AK538">
        <v>35</v>
      </c>
      <c r="AL538" t="s">
        <v>122</v>
      </c>
      <c r="AM538" t="s">
        <v>123</v>
      </c>
      <c r="AN538" t="s">
        <v>124</v>
      </c>
      <c r="AO538" t="s">
        <v>258</v>
      </c>
      <c r="AP538" t="s">
        <v>259</v>
      </c>
      <c r="AQ538" t="s">
        <v>74</v>
      </c>
      <c r="AR538" t="s">
        <v>251</v>
      </c>
      <c r="AS538" t="s">
        <v>260</v>
      </c>
      <c r="AT538" t="s">
        <v>7922</v>
      </c>
      <c r="AU538">
        <v>2019</v>
      </c>
      <c r="AV538">
        <v>139</v>
      </c>
      <c r="AW538">
        <v>7</v>
      </c>
      <c r="AX538" t="s">
        <v>74</v>
      </c>
      <c r="AY538" t="s">
        <v>74</v>
      </c>
      <c r="AZ538" t="s">
        <v>74</v>
      </c>
      <c r="BA538" t="s">
        <v>74</v>
      </c>
      <c r="BB538">
        <v>932</v>
      </c>
      <c r="BC538">
        <v>948</v>
      </c>
      <c r="BD538" t="s">
        <v>74</v>
      </c>
      <c r="BE538" t="s">
        <v>7923</v>
      </c>
      <c r="BF538" t="str">
        <f>HYPERLINK("http://dx.doi.org/10.1161/CIRCULATIONAHA.118.033744","http://dx.doi.org/10.1161/CIRCULATIONAHA.118.033744")</f>
        <v>http://dx.doi.org/10.1161/CIRCULATIONAHA.118.033744</v>
      </c>
      <c r="BG538" t="s">
        <v>74</v>
      </c>
      <c r="BH538" t="s">
        <v>74</v>
      </c>
      <c r="BI538">
        <v>17</v>
      </c>
      <c r="BJ538" t="s">
        <v>263</v>
      </c>
      <c r="BK538" t="s">
        <v>101</v>
      </c>
      <c r="BL538" t="s">
        <v>133</v>
      </c>
      <c r="BM538" t="s">
        <v>7924</v>
      </c>
      <c r="BN538">
        <v>30586714</v>
      </c>
      <c r="BO538" t="s">
        <v>7925</v>
      </c>
      <c r="BP538" t="s">
        <v>74</v>
      </c>
      <c r="BQ538" t="s">
        <v>74</v>
      </c>
      <c r="BR538" t="s">
        <v>104</v>
      </c>
      <c r="BS538" t="s">
        <v>7926</v>
      </c>
      <c r="BT538" t="str">
        <f>HYPERLINK("https%3A%2F%2Fwww.webofscience.com%2Fwos%2Fwoscc%2Ffull-record%2FWOS:000458410000015","View Full Record in Web of Science")</f>
        <v>View Full Record in Web of Science</v>
      </c>
    </row>
    <row r="539" spans="1:72" x14ac:dyDescent="0.25">
      <c r="A539" t="s">
        <v>72</v>
      </c>
      <c r="B539" t="s">
        <v>7927</v>
      </c>
      <c r="C539" t="s">
        <v>74</v>
      </c>
      <c r="D539" t="s">
        <v>74</v>
      </c>
      <c r="E539" t="s">
        <v>74</v>
      </c>
      <c r="F539" t="s">
        <v>7928</v>
      </c>
      <c r="G539" t="s">
        <v>74</v>
      </c>
      <c r="H539" t="s">
        <v>74</v>
      </c>
      <c r="I539" t="s">
        <v>7929</v>
      </c>
      <c r="J539" t="s">
        <v>7930</v>
      </c>
      <c r="K539" t="s">
        <v>74</v>
      </c>
      <c r="L539" t="s">
        <v>74</v>
      </c>
      <c r="M539" t="s">
        <v>78</v>
      </c>
      <c r="N539" t="s">
        <v>79</v>
      </c>
      <c r="O539" t="s">
        <v>74</v>
      </c>
      <c r="P539" t="s">
        <v>74</v>
      </c>
      <c r="Q539" t="s">
        <v>74</v>
      </c>
      <c r="R539" t="s">
        <v>74</v>
      </c>
      <c r="S539" t="s">
        <v>74</v>
      </c>
      <c r="T539" t="s">
        <v>74</v>
      </c>
      <c r="U539" t="s">
        <v>7931</v>
      </c>
      <c r="V539" t="s">
        <v>7932</v>
      </c>
      <c r="W539" t="s">
        <v>7933</v>
      </c>
      <c r="X539" t="s">
        <v>7934</v>
      </c>
      <c r="Y539" t="s">
        <v>7935</v>
      </c>
      <c r="Z539" t="s">
        <v>7936</v>
      </c>
      <c r="AA539" t="s">
        <v>7937</v>
      </c>
      <c r="AB539" t="s">
        <v>7938</v>
      </c>
      <c r="AC539" t="s">
        <v>7939</v>
      </c>
      <c r="AD539" t="s">
        <v>7940</v>
      </c>
      <c r="AE539" t="s">
        <v>7941</v>
      </c>
      <c r="AF539" t="s">
        <v>74</v>
      </c>
      <c r="AG539">
        <v>84</v>
      </c>
      <c r="AH539">
        <v>29</v>
      </c>
      <c r="AI539">
        <v>32</v>
      </c>
      <c r="AJ539">
        <v>0</v>
      </c>
      <c r="AK539">
        <v>1</v>
      </c>
      <c r="AL539" t="s">
        <v>7942</v>
      </c>
      <c r="AM539" t="s">
        <v>7943</v>
      </c>
      <c r="AN539" t="s">
        <v>7944</v>
      </c>
      <c r="AO539" t="s">
        <v>7945</v>
      </c>
      <c r="AP539" t="s">
        <v>74</v>
      </c>
      <c r="AQ539" t="s">
        <v>74</v>
      </c>
      <c r="AR539" t="s">
        <v>7930</v>
      </c>
      <c r="AS539" t="s">
        <v>7946</v>
      </c>
      <c r="AT539" t="s">
        <v>7947</v>
      </c>
      <c r="AU539">
        <v>2019</v>
      </c>
      <c r="AV539">
        <v>4</v>
      </c>
      <c r="AW539">
        <v>3</v>
      </c>
      <c r="AX539" t="s">
        <v>74</v>
      </c>
      <c r="AY539" t="s">
        <v>74</v>
      </c>
      <c r="AZ539" t="s">
        <v>74</v>
      </c>
      <c r="BA539" t="s">
        <v>74</v>
      </c>
      <c r="BB539" t="s">
        <v>74</v>
      </c>
      <c r="BC539" t="s">
        <v>74</v>
      </c>
      <c r="BD539" t="s">
        <v>7948</v>
      </c>
      <c r="BE539" t="s">
        <v>7949</v>
      </c>
      <c r="BF539" t="str">
        <f>HYPERLINK("http://dx.doi.org/10.1172/jci.insight.123971","http://dx.doi.org/10.1172/jci.insight.123971")</f>
        <v>http://dx.doi.org/10.1172/jci.insight.123971</v>
      </c>
      <c r="BG539" t="s">
        <v>74</v>
      </c>
      <c r="BH539" t="s">
        <v>74</v>
      </c>
      <c r="BI539">
        <v>17</v>
      </c>
      <c r="BJ539" t="s">
        <v>2122</v>
      </c>
      <c r="BK539" t="s">
        <v>101</v>
      </c>
      <c r="BL539" t="s">
        <v>2123</v>
      </c>
      <c r="BM539" t="s">
        <v>7950</v>
      </c>
      <c r="BN539">
        <v>30728330</v>
      </c>
      <c r="BO539" t="s">
        <v>809</v>
      </c>
      <c r="BP539" t="s">
        <v>74</v>
      </c>
      <c r="BQ539" t="s">
        <v>74</v>
      </c>
      <c r="BR539" t="s">
        <v>104</v>
      </c>
      <c r="BS539" t="s">
        <v>7951</v>
      </c>
      <c r="BT539" t="str">
        <f>HYPERLINK("https%3A%2F%2Fwww.webofscience.com%2Fwos%2Fwoscc%2Ffull-record%2FWOS:000458037000003","View Full Record in Web of Science")</f>
        <v>View Full Record in Web of Science</v>
      </c>
    </row>
    <row r="540" spans="1:72" x14ac:dyDescent="0.25">
      <c r="A540" t="s">
        <v>72</v>
      </c>
      <c r="B540" t="s">
        <v>7952</v>
      </c>
      <c r="C540" t="s">
        <v>74</v>
      </c>
      <c r="D540" t="s">
        <v>74</v>
      </c>
      <c r="E540" t="s">
        <v>74</v>
      </c>
      <c r="F540" t="s">
        <v>7953</v>
      </c>
      <c r="G540" t="s">
        <v>74</v>
      </c>
      <c r="H540" t="s">
        <v>74</v>
      </c>
      <c r="I540" t="s">
        <v>7954</v>
      </c>
      <c r="J540" t="s">
        <v>7955</v>
      </c>
      <c r="K540" t="s">
        <v>74</v>
      </c>
      <c r="L540" t="s">
        <v>74</v>
      </c>
      <c r="M540" t="s">
        <v>78</v>
      </c>
      <c r="N540" t="s">
        <v>299</v>
      </c>
      <c r="O540" t="s">
        <v>74</v>
      </c>
      <c r="P540" t="s">
        <v>74</v>
      </c>
      <c r="Q540" t="s">
        <v>74</v>
      </c>
      <c r="R540" t="s">
        <v>74</v>
      </c>
      <c r="S540" t="s">
        <v>74</v>
      </c>
      <c r="T540" t="s">
        <v>74</v>
      </c>
      <c r="U540" t="s">
        <v>7956</v>
      </c>
      <c r="V540" t="s">
        <v>7957</v>
      </c>
      <c r="W540" t="s">
        <v>7958</v>
      </c>
      <c r="X540" t="s">
        <v>7959</v>
      </c>
      <c r="Y540" t="s">
        <v>7960</v>
      </c>
      <c r="Z540" t="s">
        <v>7961</v>
      </c>
      <c r="AA540" t="s">
        <v>7962</v>
      </c>
      <c r="AB540" t="s">
        <v>7963</v>
      </c>
      <c r="AC540" t="s">
        <v>7964</v>
      </c>
      <c r="AD540" t="s">
        <v>7965</v>
      </c>
      <c r="AE540" t="s">
        <v>7966</v>
      </c>
      <c r="AF540" t="s">
        <v>74</v>
      </c>
      <c r="AG540">
        <v>88</v>
      </c>
      <c r="AH540">
        <v>53</v>
      </c>
      <c r="AI540">
        <v>54</v>
      </c>
      <c r="AJ540">
        <v>0</v>
      </c>
      <c r="AK540">
        <v>11</v>
      </c>
      <c r="AL540" t="s">
        <v>169</v>
      </c>
      <c r="AM540" t="s">
        <v>170</v>
      </c>
      <c r="AN540" t="s">
        <v>171</v>
      </c>
      <c r="AO540" t="s">
        <v>7967</v>
      </c>
      <c r="AP540" t="s">
        <v>7968</v>
      </c>
      <c r="AQ540" t="s">
        <v>74</v>
      </c>
      <c r="AR540" t="s">
        <v>7969</v>
      </c>
      <c r="AS540" t="s">
        <v>7970</v>
      </c>
      <c r="AT540" t="s">
        <v>74</v>
      </c>
      <c r="AU540">
        <v>2019</v>
      </c>
      <c r="AV540" t="s">
        <v>74</v>
      </c>
      <c r="AW540">
        <v>5</v>
      </c>
      <c r="AX540" t="s">
        <v>74</v>
      </c>
      <c r="AY540" t="s">
        <v>74</v>
      </c>
      <c r="AZ540" t="s">
        <v>74</v>
      </c>
      <c r="BA540" t="s">
        <v>74</v>
      </c>
      <c r="BB540" t="s">
        <v>74</v>
      </c>
      <c r="BC540" t="s">
        <v>74</v>
      </c>
      <c r="BD540" t="s">
        <v>7971</v>
      </c>
      <c r="BE540" t="s">
        <v>7972</v>
      </c>
      <c r="BF540" t="str">
        <f>HYPERLINK("http://dx.doi.org/10.1002/14651858.CD012785.pub2","http://dx.doi.org/10.1002/14651858.CD012785.pub2")</f>
        <v>http://dx.doi.org/10.1002/14651858.CD012785.pub2</v>
      </c>
      <c r="BG540" t="s">
        <v>74</v>
      </c>
      <c r="BH540" t="s">
        <v>74</v>
      </c>
      <c r="BI540">
        <v>108</v>
      </c>
      <c r="BJ540" t="s">
        <v>1152</v>
      </c>
      <c r="BK540" t="s">
        <v>101</v>
      </c>
      <c r="BL540" t="s">
        <v>1153</v>
      </c>
      <c r="BM540" t="s">
        <v>7973</v>
      </c>
      <c r="BN540">
        <v>31042010</v>
      </c>
      <c r="BO540" t="s">
        <v>103</v>
      </c>
      <c r="BP540" t="s">
        <v>74</v>
      </c>
      <c r="BQ540" t="s">
        <v>74</v>
      </c>
      <c r="BR540" t="s">
        <v>104</v>
      </c>
      <c r="BS540" t="s">
        <v>7974</v>
      </c>
      <c r="BT540" t="str">
        <f>HYPERLINK("https%3A%2F%2Fwww.webofscience.com%2Fwos%2Fwoscc%2Ffull-record%2FWOS:000470014800015","View Full Record in Web of Science")</f>
        <v>View Full Record in Web of Science</v>
      </c>
    </row>
    <row r="541" spans="1:72" x14ac:dyDescent="0.25">
      <c r="A541" t="s">
        <v>72</v>
      </c>
      <c r="B541" t="s">
        <v>7975</v>
      </c>
      <c r="C541" t="s">
        <v>74</v>
      </c>
      <c r="D541" t="s">
        <v>74</v>
      </c>
      <c r="E541" t="s">
        <v>74</v>
      </c>
      <c r="F541" t="s">
        <v>7976</v>
      </c>
      <c r="G541" t="s">
        <v>74</v>
      </c>
      <c r="H541" t="s">
        <v>74</v>
      </c>
      <c r="I541" t="s">
        <v>7977</v>
      </c>
      <c r="J541" t="s">
        <v>637</v>
      </c>
      <c r="K541" t="s">
        <v>74</v>
      </c>
      <c r="L541" t="s">
        <v>74</v>
      </c>
      <c r="M541" t="s">
        <v>78</v>
      </c>
      <c r="N541" t="s">
        <v>52</v>
      </c>
      <c r="O541" t="s">
        <v>3358</v>
      </c>
      <c r="P541" t="s">
        <v>7978</v>
      </c>
      <c r="Q541" t="s">
        <v>7979</v>
      </c>
      <c r="R541" t="s">
        <v>2006</v>
      </c>
      <c r="S541" t="s">
        <v>74</v>
      </c>
      <c r="T541" t="s">
        <v>74</v>
      </c>
      <c r="U541" t="s">
        <v>74</v>
      </c>
      <c r="V541" t="s">
        <v>74</v>
      </c>
      <c r="W541" t="s">
        <v>7980</v>
      </c>
      <c r="X541" t="s">
        <v>7981</v>
      </c>
      <c r="Y541" t="s">
        <v>74</v>
      </c>
      <c r="Z541" t="s">
        <v>74</v>
      </c>
      <c r="AA541" t="s">
        <v>1635</v>
      </c>
      <c r="AB541" t="s">
        <v>5709</v>
      </c>
      <c r="AC541" t="s">
        <v>74</v>
      </c>
      <c r="AD541" t="s">
        <v>74</v>
      </c>
      <c r="AE541" t="s">
        <v>74</v>
      </c>
      <c r="AF541" t="s">
        <v>74</v>
      </c>
      <c r="AG541">
        <v>0</v>
      </c>
      <c r="AH541">
        <v>2</v>
      </c>
      <c r="AI541">
        <v>2</v>
      </c>
      <c r="AJ541">
        <v>0</v>
      </c>
      <c r="AK541">
        <v>0</v>
      </c>
      <c r="AL541" t="s">
        <v>649</v>
      </c>
      <c r="AM541" t="s">
        <v>486</v>
      </c>
      <c r="AN541" t="s">
        <v>650</v>
      </c>
      <c r="AO541" t="s">
        <v>651</v>
      </c>
      <c r="AP541" t="s">
        <v>652</v>
      </c>
      <c r="AQ541" t="s">
        <v>74</v>
      </c>
      <c r="AR541" t="s">
        <v>653</v>
      </c>
      <c r="AS541" t="s">
        <v>654</v>
      </c>
      <c r="AT541" t="s">
        <v>74</v>
      </c>
      <c r="AU541">
        <v>2019</v>
      </c>
      <c r="AV541">
        <v>199</v>
      </c>
      <c r="AW541" t="s">
        <v>74</v>
      </c>
      <c r="AX541" t="s">
        <v>74</v>
      </c>
      <c r="AY541" t="s">
        <v>74</v>
      </c>
      <c r="AZ541" t="s">
        <v>74</v>
      </c>
      <c r="BA541" t="s">
        <v>7982</v>
      </c>
      <c r="BB541" t="s">
        <v>74</v>
      </c>
      <c r="BC541" t="s">
        <v>74</v>
      </c>
      <c r="BD541" t="s">
        <v>74</v>
      </c>
      <c r="BE541" t="s">
        <v>74</v>
      </c>
      <c r="BF541" t="s">
        <v>74</v>
      </c>
      <c r="BG541" t="s">
        <v>74</v>
      </c>
      <c r="BH541" t="s">
        <v>74</v>
      </c>
      <c r="BI541">
        <v>2</v>
      </c>
      <c r="BJ541" t="s">
        <v>341</v>
      </c>
      <c r="BK541" t="s">
        <v>512</v>
      </c>
      <c r="BL541" t="s">
        <v>342</v>
      </c>
      <c r="BM541" t="s">
        <v>7983</v>
      </c>
      <c r="BN541" t="s">
        <v>74</v>
      </c>
      <c r="BO541" t="s">
        <v>74</v>
      </c>
      <c r="BP541" t="s">
        <v>74</v>
      </c>
      <c r="BQ541" t="s">
        <v>74</v>
      </c>
      <c r="BR541" t="s">
        <v>104</v>
      </c>
      <c r="BS541" t="s">
        <v>7984</v>
      </c>
      <c r="BT541" t="str">
        <f>HYPERLINK("https%3A%2F%2Fwww.webofscience.com%2Fwos%2Fwoscc%2Ffull-record%2FWOS:000466776702184","View Full Record in Web of Science")</f>
        <v>View Full Record in Web of Science</v>
      </c>
    </row>
    <row r="542" spans="1:72" x14ac:dyDescent="0.25">
      <c r="A542" t="s">
        <v>72</v>
      </c>
      <c r="B542" t="s">
        <v>7985</v>
      </c>
      <c r="C542" t="s">
        <v>74</v>
      </c>
      <c r="D542" t="s">
        <v>74</v>
      </c>
      <c r="E542" t="s">
        <v>74</v>
      </c>
      <c r="F542" t="s">
        <v>7986</v>
      </c>
      <c r="G542" t="s">
        <v>74</v>
      </c>
      <c r="H542" t="s">
        <v>74</v>
      </c>
      <c r="I542" t="s">
        <v>7987</v>
      </c>
      <c r="J542" t="s">
        <v>637</v>
      </c>
      <c r="K542" t="s">
        <v>74</v>
      </c>
      <c r="L542" t="s">
        <v>74</v>
      </c>
      <c r="M542" t="s">
        <v>78</v>
      </c>
      <c r="N542" t="s">
        <v>52</v>
      </c>
      <c r="O542" t="s">
        <v>3358</v>
      </c>
      <c r="P542" t="s">
        <v>7978</v>
      </c>
      <c r="Q542" t="s">
        <v>7979</v>
      </c>
      <c r="R542" t="s">
        <v>2006</v>
      </c>
      <c r="S542" t="s">
        <v>74</v>
      </c>
      <c r="T542" t="s">
        <v>74</v>
      </c>
      <c r="U542" t="s">
        <v>74</v>
      </c>
      <c r="V542" t="s">
        <v>74</v>
      </c>
      <c r="W542" t="s">
        <v>7988</v>
      </c>
      <c r="X542" t="s">
        <v>7989</v>
      </c>
      <c r="Y542" t="s">
        <v>74</v>
      </c>
      <c r="Z542" t="s">
        <v>74</v>
      </c>
      <c r="AA542" t="s">
        <v>7990</v>
      </c>
      <c r="AB542" t="s">
        <v>7224</v>
      </c>
      <c r="AC542" t="s">
        <v>7991</v>
      </c>
      <c r="AD542" t="s">
        <v>7991</v>
      </c>
      <c r="AE542" t="s">
        <v>7992</v>
      </c>
      <c r="AF542" t="s">
        <v>74</v>
      </c>
      <c r="AG542">
        <v>0</v>
      </c>
      <c r="AH542">
        <v>0</v>
      </c>
      <c r="AI542">
        <v>0</v>
      </c>
      <c r="AJ542">
        <v>0</v>
      </c>
      <c r="AK542">
        <v>0</v>
      </c>
      <c r="AL542" t="s">
        <v>649</v>
      </c>
      <c r="AM542" t="s">
        <v>486</v>
      </c>
      <c r="AN542" t="s">
        <v>650</v>
      </c>
      <c r="AO542" t="s">
        <v>651</v>
      </c>
      <c r="AP542" t="s">
        <v>652</v>
      </c>
      <c r="AQ542" t="s">
        <v>74</v>
      </c>
      <c r="AR542" t="s">
        <v>653</v>
      </c>
      <c r="AS542" t="s">
        <v>654</v>
      </c>
      <c r="AT542" t="s">
        <v>74</v>
      </c>
      <c r="AU542">
        <v>2019</v>
      </c>
      <c r="AV542">
        <v>199</v>
      </c>
      <c r="AW542" t="s">
        <v>74</v>
      </c>
      <c r="AX542" t="s">
        <v>74</v>
      </c>
      <c r="AY542" t="s">
        <v>74</v>
      </c>
      <c r="AZ542" t="s">
        <v>74</v>
      </c>
      <c r="BA542" t="s">
        <v>7993</v>
      </c>
      <c r="BB542" t="s">
        <v>74</v>
      </c>
      <c r="BC542" t="s">
        <v>74</v>
      </c>
      <c r="BD542" t="s">
        <v>74</v>
      </c>
      <c r="BE542" t="s">
        <v>74</v>
      </c>
      <c r="BF542" t="s">
        <v>74</v>
      </c>
      <c r="BG542" t="s">
        <v>74</v>
      </c>
      <c r="BH542" t="s">
        <v>74</v>
      </c>
      <c r="BI542">
        <v>2</v>
      </c>
      <c r="BJ542" t="s">
        <v>341</v>
      </c>
      <c r="BK542" t="s">
        <v>512</v>
      </c>
      <c r="BL542" t="s">
        <v>342</v>
      </c>
      <c r="BM542" t="s">
        <v>7983</v>
      </c>
      <c r="BN542" t="s">
        <v>74</v>
      </c>
      <c r="BO542" t="s">
        <v>74</v>
      </c>
      <c r="BP542" t="s">
        <v>74</v>
      </c>
      <c r="BQ542" t="s">
        <v>74</v>
      </c>
      <c r="BR542" t="s">
        <v>104</v>
      </c>
      <c r="BS542" t="s">
        <v>7994</v>
      </c>
      <c r="BT542" t="str">
        <f>HYPERLINK("https%3A%2F%2Fwww.webofscience.com%2Fwos%2Fwoscc%2Ffull-record%2FWOS:000466776703155","View Full Record in Web of Science")</f>
        <v>View Full Record in Web of Science</v>
      </c>
    </row>
    <row r="543" spans="1:72" x14ac:dyDescent="0.25">
      <c r="A543" t="s">
        <v>72</v>
      </c>
      <c r="B543" t="s">
        <v>7995</v>
      </c>
      <c r="C543" t="s">
        <v>74</v>
      </c>
      <c r="D543" t="s">
        <v>74</v>
      </c>
      <c r="E543" t="s">
        <v>74</v>
      </c>
      <c r="F543" t="s">
        <v>7996</v>
      </c>
      <c r="G543" t="s">
        <v>74</v>
      </c>
      <c r="H543" t="s">
        <v>74</v>
      </c>
      <c r="I543" t="s">
        <v>7997</v>
      </c>
      <c r="J543" t="s">
        <v>637</v>
      </c>
      <c r="K543" t="s">
        <v>74</v>
      </c>
      <c r="L543" t="s">
        <v>74</v>
      </c>
      <c r="M543" t="s">
        <v>78</v>
      </c>
      <c r="N543" t="s">
        <v>52</v>
      </c>
      <c r="O543" t="s">
        <v>3358</v>
      </c>
      <c r="P543" t="s">
        <v>7978</v>
      </c>
      <c r="Q543" t="s">
        <v>7979</v>
      </c>
      <c r="R543" t="s">
        <v>2006</v>
      </c>
      <c r="S543" t="s">
        <v>74</v>
      </c>
      <c r="T543" t="s">
        <v>74</v>
      </c>
      <c r="U543" t="s">
        <v>74</v>
      </c>
      <c r="V543" t="s">
        <v>74</v>
      </c>
      <c r="W543" t="s">
        <v>7998</v>
      </c>
      <c r="X543" t="s">
        <v>7999</v>
      </c>
      <c r="Y543" t="s">
        <v>74</v>
      </c>
      <c r="Z543" t="s">
        <v>74</v>
      </c>
      <c r="AA543" t="s">
        <v>8000</v>
      </c>
      <c r="AB543" t="s">
        <v>8001</v>
      </c>
      <c r="AC543" t="s">
        <v>6847</v>
      </c>
      <c r="AD543" t="s">
        <v>6848</v>
      </c>
      <c r="AE543" t="s">
        <v>6849</v>
      </c>
      <c r="AF543" t="s">
        <v>74</v>
      </c>
      <c r="AG543">
        <v>0</v>
      </c>
      <c r="AH543">
        <v>3</v>
      </c>
      <c r="AI543">
        <v>3</v>
      </c>
      <c r="AJ543">
        <v>0</v>
      </c>
      <c r="AK543">
        <v>1</v>
      </c>
      <c r="AL543" t="s">
        <v>649</v>
      </c>
      <c r="AM543" t="s">
        <v>486</v>
      </c>
      <c r="AN543" t="s">
        <v>650</v>
      </c>
      <c r="AO543" t="s">
        <v>651</v>
      </c>
      <c r="AP543" t="s">
        <v>652</v>
      </c>
      <c r="AQ543" t="s">
        <v>74</v>
      </c>
      <c r="AR543" t="s">
        <v>653</v>
      </c>
      <c r="AS543" t="s">
        <v>654</v>
      </c>
      <c r="AT543" t="s">
        <v>74</v>
      </c>
      <c r="AU543">
        <v>2019</v>
      </c>
      <c r="AV543">
        <v>199</v>
      </c>
      <c r="AW543" t="s">
        <v>74</v>
      </c>
      <c r="AX543" t="s">
        <v>74</v>
      </c>
      <c r="AY543" t="s">
        <v>74</v>
      </c>
      <c r="AZ543" t="s">
        <v>74</v>
      </c>
      <c r="BA543" t="s">
        <v>8002</v>
      </c>
      <c r="BB543" t="s">
        <v>74</v>
      </c>
      <c r="BC543" t="s">
        <v>74</v>
      </c>
      <c r="BD543" t="s">
        <v>74</v>
      </c>
      <c r="BE543" t="s">
        <v>74</v>
      </c>
      <c r="BF543" t="s">
        <v>74</v>
      </c>
      <c r="BG543" t="s">
        <v>74</v>
      </c>
      <c r="BH543" t="s">
        <v>74</v>
      </c>
      <c r="BI543">
        <v>2</v>
      </c>
      <c r="BJ543" t="s">
        <v>341</v>
      </c>
      <c r="BK543" t="s">
        <v>512</v>
      </c>
      <c r="BL543" t="s">
        <v>342</v>
      </c>
      <c r="BM543" t="s">
        <v>7983</v>
      </c>
      <c r="BN543" t="s">
        <v>74</v>
      </c>
      <c r="BO543" t="s">
        <v>74</v>
      </c>
      <c r="BP543" t="s">
        <v>74</v>
      </c>
      <c r="BQ543" t="s">
        <v>74</v>
      </c>
      <c r="BR543" t="s">
        <v>104</v>
      </c>
      <c r="BS543" t="s">
        <v>8003</v>
      </c>
      <c r="BT543" t="str">
        <f>HYPERLINK("https%3A%2F%2Fwww.webofscience.com%2Fwos%2Fwoscc%2Ffull-record%2FWOS:000466776703111","View Full Record in Web of Science")</f>
        <v>View Full Record in Web of Science</v>
      </c>
    </row>
    <row r="544" spans="1:72" x14ac:dyDescent="0.25">
      <c r="A544" t="s">
        <v>72</v>
      </c>
      <c r="B544" t="s">
        <v>8004</v>
      </c>
      <c r="C544" t="s">
        <v>74</v>
      </c>
      <c r="D544" t="s">
        <v>74</v>
      </c>
      <c r="E544" t="s">
        <v>74</v>
      </c>
      <c r="F544" t="s">
        <v>8005</v>
      </c>
      <c r="G544" t="s">
        <v>74</v>
      </c>
      <c r="H544" t="s">
        <v>74</v>
      </c>
      <c r="I544" t="s">
        <v>8006</v>
      </c>
      <c r="J544" t="s">
        <v>637</v>
      </c>
      <c r="K544" t="s">
        <v>74</v>
      </c>
      <c r="L544" t="s">
        <v>74</v>
      </c>
      <c r="M544" t="s">
        <v>78</v>
      </c>
      <c r="N544" t="s">
        <v>52</v>
      </c>
      <c r="O544" t="s">
        <v>3358</v>
      </c>
      <c r="P544" t="s">
        <v>7978</v>
      </c>
      <c r="Q544" t="s">
        <v>7979</v>
      </c>
      <c r="R544" t="s">
        <v>2006</v>
      </c>
      <c r="S544" t="s">
        <v>74</v>
      </c>
      <c r="T544" t="s">
        <v>74</v>
      </c>
      <c r="U544" t="s">
        <v>74</v>
      </c>
      <c r="V544" t="s">
        <v>74</v>
      </c>
      <c r="W544" t="s">
        <v>8007</v>
      </c>
      <c r="X544" t="s">
        <v>8008</v>
      </c>
      <c r="Y544" t="s">
        <v>74</v>
      </c>
      <c r="Z544" t="s">
        <v>74</v>
      </c>
      <c r="AA544" t="s">
        <v>8009</v>
      </c>
      <c r="AB544" t="s">
        <v>8010</v>
      </c>
      <c r="AC544" t="s">
        <v>6847</v>
      </c>
      <c r="AD544" t="s">
        <v>6848</v>
      </c>
      <c r="AE544" t="s">
        <v>6849</v>
      </c>
      <c r="AF544" t="s">
        <v>74</v>
      </c>
      <c r="AG544">
        <v>0</v>
      </c>
      <c r="AH544">
        <v>0</v>
      </c>
      <c r="AI544">
        <v>0</v>
      </c>
      <c r="AJ544">
        <v>0</v>
      </c>
      <c r="AK544">
        <v>1</v>
      </c>
      <c r="AL544" t="s">
        <v>649</v>
      </c>
      <c r="AM544" t="s">
        <v>486</v>
      </c>
      <c r="AN544" t="s">
        <v>650</v>
      </c>
      <c r="AO544" t="s">
        <v>651</v>
      </c>
      <c r="AP544" t="s">
        <v>652</v>
      </c>
      <c r="AQ544" t="s">
        <v>74</v>
      </c>
      <c r="AR544" t="s">
        <v>653</v>
      </c>
      <c r="AS544" t="s">
        <v>654</v>
      </c>
      <c r="AT544" t="s">
        <v>74</v>
      </c>
      <c r="AU544">
        <v>2019</v>
      </c>
      <c r="AV544">
        <v>199</v>
      </c>
      <c r="AW544" t="s">
        <v>74</v>
      </c>
      <c r="AX544" t="s">
        <v>74</v>
      </c>
      <c r="AY544" t="s">
        <v>74</v>
      </c>
      <c r="AZ544" t="s">
        <v>74</v>
      </c>
      <c r="BA544" t="s">
        <v>8011</v>
      </c>
      <c r="BB544" t="s">
        <v>74</v>
      </c>
      <c r="BC544" t="s">
        <v>74</v>
      </c>
      <c r="BD544" t="s">
        <v>74</v>
      </c>
      <c r="BE544" t="s">
        <v>74</v>
      </c>
      <c r="BF544" t="s">
        <v>74</v>
      </c>
      <c r="BG544" t="s">
        <v>74</v>
      </c>
      <c r="BH544" t="s">
        <v>74</v>
      </c>
      <c r="BI544">
        <v>3</v>
      </c>
      <c r="BJ544" t="s">
        <v>341</v>
      </c>
      <c r="BK544" t="s">
        <v>512</v>
      </c>
      <c r="BL544" t="s">
        <v>342</v>
      </c>
      <c r="BM544" t="s">
        <v>7983</v>
      </c>
      <c r="BN544" t="s">
        <v>74</v>
      </c>
      <c r="BO544" t="s">
        <v>74</v>
      </c>
      <c r="BP544" t="s">
        <v>74</v>
      </c>
      <c r="BQ544" t="s">
        <v>74</v>
      </c>
      <c r="BR544" t="s">
        <v>104</v>
      </c>
      <c r="BS544" t="s">
        <v>8012</v>
      </c>
      <c r="BT544" t="str">
        <f>HYPERLINK("https%3A%2F%2Fwww.webofscience.com%2Fwos%2Fwoscc%2Ffull-record%2FWOS:000466776701255","View Full Record in Web of Science")</f>
        <v>View Full Record in Web of Science</v>
      </c>
    </row>
    <row r="545" spans="1:72" x14ac:dyDescent="0.25">
      <c r="A545" t="s">
        <v>72</v>
      </c>
      <c r="B545" t="s">
        <v>8013</v>
      </c>
      <c r="C545" t="s">
        <v>74</v>
      </c>
      <c r="D545" t="s">
        <v>74</v>
      </c>
      <c r="E545" t="s">
        <v>74</v>
      </c>
      <c r="F545" t="s">
        <v>8014</v>
      </c>
      <c r="G545" t="s">
        <v>74</v>
      </c>
      <c r="H545" t="s">
        <v>74</v>
      </c>
      <c r="I545" t="s">
        <v>8015</v>
      </c>
      <c r="J545" t="s">
        <v>216</v>
      </c>
      <c r="K545" t="s">
        <v>74</v>
      </c>
      <c r="L545" t="s">
        <v>74</v>
      </c>
      <c r="M545" t="s">
        <v>78</v>
      </c>
      <c r="N545" t="s">
        <v>8016</v>
      </c>
      <c r="O545" t="s">
        <v>8017</v>
      </c>
      <c r="P545" t="s">
        <v>8018</v>
      </c>
      <c r="Q545" t="s">
        <v>8019</v>
      </c>
      <c r="R545" t="s">
        <v>74</v>
      </c>
      <c r="S545" t="s">
        <v>74</v>
      </c>
      <c r="T545" t="s">
        <v>74</v>
      </c>
      <c r="U545" t="s">
        <v>8020</v>
      </c>
      <c r="V545" t="s">
        <v>8021</v>
      </c>
      <c r="W545" t="s">
        <v>8022</v>
      </c>
      <c r="X545" t="s">
        <v>8023</v>
      </c>
      <c r="Y545" t="s">
        <v>8024</v>
      </c>
      <c r="Z545" t="s">
        <v>8025</v>
      </c>
      <c r="AA545" t="s">
        <v>8026</v>
      </c>
      <c r="AB545" t="s">
        <v>8027</v>
      </c>
      <c r="AC545" t="s">
        <v>8028</v>
      </c>
      <c r="AD545" t="s">
        <v>8029</v>
      </c>
      <c r="AE545" t="s">
        <v>74</v>
      </c>
      <c r="AF545" t="s">
        <v>74</v>
      </c>
      <c r="AG545">
        <v>88</v>
      </c>
      <c r="AH545">
        <v>835</v>
      </c>
      <c r="AI545">
        <v>895</v>
      </c>
      <c r="AJ545">
        <v>19</v>
      </c>
      <c r="AK545">
        <v>142</v>
      </c>
      <c r="AL545" t="s">
        <v>219</v>
      </c>
      <c r="AM545" t="s">
        <v>220</v>
      </c>
      <c r="AN545" t="s">
        <v>221</v>
      </c>
      <c r="AO545" t="s">
        <v>222</v>
      </c>
      <c r="AP545" t="s">
        <v>223</v>
      </c>
      <c r="AQ545" t="s">
        <v>74</v>
      </c>
      <c r="AR545" t="s">
        <v>224</v>
      </c>
      <c r="AS545" t="s">
        <v>225</v>
      </c>
      <c r="AT545" t="s">
        <v>1247</v>
      </c>
      <c r="AU545">
        <v>2019</v>
      </c>
      <c r="AV545">
        <v>53</v>
      </c>
      <c r="AW545">
        <v>1</v>
      </c>
      <c r="AX545" t="s">
        <v>74</v>
      </c>
      <c r="AY545" t="s">
        <v>74</v>
      </c>
      <c r="AZ545" t="s">
        <v>74</v>
      </c>
      <c r="BA545" t="s">
        <v>74</v>
      </c>
      <c r="BB545" t="s">
        <v>74</v>
      </c>
      <c r="BC545" t="s">
        <v>74</v>
      </c>
      <c r="BD545">
        <v>1801887</v>
      </c>
      <c r="BE545" t="s">
        <v>8030</v>
      </c>
      <c r="BF545" t="str">
        <f>HYPERLINK("http://dx.doi.org/10.1183/13993003.01887-2018","http://dx.doi.org/10.1183/13993003.01887-2018")</f>
        <v>http://dx.doi.org/10.1183/13993003.01887-2018</v>
      </c>
      <c r="BG545" t="s">
        <v>74</v>
      </c>
      <c r="BH545" t="s">
        <v>74</v>
      </c>
      <c r="BI545">
        <v>14</v>
      </c>
      <c r="BJ545" t="s">
        <v>228</v>
      </c>
      <c r="BK545" t="s">
        <v>512</v>
      </c>
      <c r="BL545" t="s">
        <v>228</v>
      </c>
      <c r="BM545" t="s">
        <v>8031</v>
      </c>
      <c r="BN545">
        <v>30545970</v>
      </c>
      <c r="BO545" t="s">
        <v>246</v>
      </c>
      <c r="BP545" t="s">
        <v>1155</v>
      </c>
      <c r="BQ545" t="s">
        <v>1156</v>
      </c>
      <c r="BR545" t="s">
        <v>104</v>
      </c>
      <c r="BS545" t="s">
        <v>8032</v>
      </c>
      <c r="BT545" t="str">
        <f>HYPERLINK("https%3A%2F%2Fwww.webofscience.com%2Fwos%2Fwoscc%2Ffull-record%2FWOS:000458462600012","View Full Record in Web of Science")</f>
        <v>View Full Record in Web of Science</v>
      </c>
    </row>
    <row r="546" spans="1:72" x14ac:dyDescent="0.25">
      <c r="A546" t="s">
        <v>72</v>
      </c>
      <c r="B546" t="s">
        <v>8033</v>
      </c>
      <c r="C546" t="s">
        <v>74</v>
      </c>
      <c r="D546" t="s">
        <v>74</v>
      </c>
      <c r="E546" t="s">
        <v>74</v>
      </c>
      <c r="F546" t="s">
        <v>8034</v>
      </c>
      <c r="G546" t="s">
        <v>74</v>
      </c>
      <c r="H546" t="s">
        <v>8035</v>
      </c>
      <c r="I546" t="s">
        <v>8036</v>
      </c>
      <c r="J546" t="s">
        <v>637</v>
      </c>
      <c r="K546" t="s">
        <v>74</v>
      </c>
      <c r="L546" t="s">
        <v>74</v>
      </c>
      <c r="M546" t="s">
        <v>78</v>
      </c>
      <c r="N546" t="s">
        <v>52</v>
      </c>
      <c r="O546" t="s">
        <v>3358</v>
      </c>
      <c r="P546" t="s">
        <v>7978</v>
      </c>
      <c r="Q546" t="s">
        <v>7979</v>
      </c>
      <c r="R546" t="s">
        <v>2006</v>
      </c>
      <c r="S546" t="s">
        <v>74</v>
      </c>
      <c r="T546" t="s">
        <v>74</v>
      </c>
      <c r="U546" t="s">
        <v>74</v>
      </c>
      <c r="V546" t="s">
        <v>74</v>
      </c>
      <c r="W546" t="s">
        <v>8037</v>
      </c>
      <c r="X546" t="s">
        <v>8038</v>
      </c>
      <c r="Y546" t="s">
        <v>74</v>
      </c>
      <c r="Z546" t="s">
        <v>74</v>
      </c>
      <c r="AA546" t="s">
        <v>8039</v>
      </c>
      <c r="AB546" t="s">
        <v>74</v>
      </c>
      <c r="AC546" t="s">
        <v>8040</v>
      </c>
      <c r="AD546" t="s">
        <v>8040</v>
      </c>
      <c r="AE546" t="s">
        <v>8041</v>
      </c>
      <c r="AF546" t="s">
        <v>74</v>
      </c>
      <c r="AG546">
        <v>0</v>
      </c>
      <c r="AH546">
        <v>0</v>
      </c>
      <c r="AI546">
        <v>0</v>
      </c>
      <c r="AJ546">
        <v>0</v>
      </c>
      <c r="AK546">
        <v>0</v>
      </c>
      <c r="AL546" t="s">
        <v>649</v>
      </c>
      <c r="AM546" t="s">
        <v>486</v>
      </c>
      <c r="AN546" t="s">
        <v>650</v>
      </c>
      <c r="AO546" t="s">
        <v>651</v>
      </c>
      <c r="AP546" t="s">
        <v>652</v>
      </c>
      <c r="AQ546" t="s">
        <v>74</v>
      </c>
      <c r="AR546" t="s">
        <v>653</v>
      </c>
      <c r="AS546" t="s">
        <v>654</v>
      </c>
      <c r="AT546" t="s">
        <v>74</v>
      </c>
      <c r="AU546">
        <v>2019</v>
      </c>
      <c r="AV546">
        <v>199</v>
      </c>
      <c r="AW546" t="s">
        <v>74</v>
      </c>
      <c r="AX546" t="s">
        <v>74</v>
      </c>
      <c r="AY546" t="s">
        <v>74</v>
      </c>
      <c r="AZ546" t="s">
        <v>74</v>
      </c>
      <c r="BA546" t="s">
        <v>8042</v>
      </c>
      <c r="BB546" t="s">
        <v>74</v>
      </c>
      <c r="BC546" t="s">
        <v>74</v>
      </c>
      <c r="BD546" t="s">
        <v>74</v>
      </c>
      <c r="BE546" t="s">
        <v>74</v>
      </c>
      <c r="BF546" t="s">
        <v>74</v>
      </c>
      <c r="BG546" t="s">
        <v>74</v>
      </c>
      <c r="BH546" t="s">
        <v>74</v>
      </c>
      <c r="BI546">
        <v>2</v>
      </c>
      <c r="BJ546" t="s">
        <v>341</v>
      </c>
      <c r="BK546" t="s">
        <v>512</v>
      </c>
      <c r="BL546" t="s">
        <v>342</v>
      </c>
      <c r="BM546" t="s">
        <v>7983</v>
      </c>
      <c r="BN546" t="s">
        <v>74</v>
      </c>
      <c r="BO546" t="s">
        <v>74</v>
      </c>
      <c r="BP546" t="s">
        <v>74</v>
      </c>
      <c r="BQ546" t="s">
        <v>74</v>
      </c>
      <c r="BR546" t="s">
        <v>104</v>
      </c>
      <c r="BS546" t="s">
        <v>8043</v>
      </c>
      <c r="BT546" t="str">
        <f>HYPERLINK("https%3A%2F%2Fwww.webofscience.com%2Fwos%2Fwoscc%2Ffull-record%2FWOS:000466776701266","View Full Record in Web of Science")</f>
        <v>View Full Record in Web of Science</v>
      </c>
    </row>
    <row r="547" spans="1:72" x14ac:dyDescent="0.25">
      <c r="A547" t="s">
        <v>72</v>
      </c>
      <c r="B547" t="s">
        <v>8044</v>
      </c>
      <c r="C547" t="s">
        <v>74</v>
      </c>
      <c r="D547" t="s">
        <v>74</v>
      </c>
      <c r="E547" t="s">
        <v>74</v>
      </c>
      <c r="F547" t="s">
        <v>8045</v>
      </c>
      <c r="G547" t="s">
        <v>74</v>
      </c>
      <c r="H547" t="s">
        <v>74</v>
      </c>
      <c r="I547" t="s">
        <v>8046</v>
      </c>
      <c r="J547" t="s">
        <v>637</v>
      </c>
      <c r="K547" t="s">
        <v>74</v>
      </c>
      <c r="L547" t="s">
        <v>74</v>
      </c>
      <c r="M547" t="s">
        <v>78</v>
      </c>
      <c r="N547" t="s">
        <v>52</v>
      </c>
      <c r="O547" t="s">
        <v>3358</v>
      </c>
      <c r="P547" t="s">
        <v>7978</v>
      </c>
      <c r="Q547" t="s">
        <v>7979</v>
      </c>
      <c r="R547" t="s">
        <v>2006</v>
      </c>
      <c r="S547" t="s">
        <v>74</v>
      </c>
      <c r="T547" t="s">
        <v>74</v>
      </c>
      <c r="U547" t="s">
        <v>74</v>
      </c>
      <c r="V547" t="s">
        <v>74</v>
      </c>
      <c r="W547" t="s">
        <v>8047</v>
      </c>
      <c r="X547" t="s">
        <v>8048</v>
      </c>
      <c r="Y547" t="s">
        <v>74</v>
      </c>
      <c r="Z547" t="s">
        <v>1614</v>
      </c>
      <c r="AA547" t="s">
        <v>8049</v>
      </c>
      <c r="AB547" t="s">
        <v>8050</v>
      </c>
      <c r="AC547" t="s">
        <v>8051</v>
      </c>
      <c r="AD547" t="s">
        <v>8052</v>
      </c>
      <c r="AE547" t="s">
        <v>8053</v>
      </c>
      <c r="AF547" t="s">
        <v>74</v>
      </c>
      <c r="AG547">
        <v>0</v>
      </c>
      <c r="AH547">
        <v>0</v>
      </c>
      <c r="AI547">
        <v>0</v>
      </c>
      <c r="AJ547">
        <v>0</v>
      </c>
      <c r="AK547">
        <v>0</v>
      </c>
      <c r="AL547" t="s">
        <v>649</v>
      </c>
      <c r="AM547" t="s">
        <v>486</v>
      </c>
      <c r="AN547" t="s">
        <v>650</v>
      </c>
      <c r="AO547" t="s">
        <v>651</v>
      </c>
      <c r="AP547" t="s">
        <v>652</v>
      </c>
      <c r="AQ547" t="s">
        <v>74</v>
      </c>
      <c r="AR547" t="s">
        <v>653</v>
      </c>
      <c r="AS547" t="s">
        <v>654</v>
      </c>
      <c r="AT547" t="s">
        <v>74</v>
      </c>
      <c r="AU547">
        <v>2019</v>
      </c>
      <c r="AV547">
        <v>199</v>
      </c>
      <c r="AW547" t="s">
        <v>74</v>
      </c>
      <c r="AX547" t="s">
        <v>74</v>
      </c>
      <c r="AY547" t="s">
        <v>74</v>
      </c>
      <c r="AZ547" t="s">
        <v>74</v>
      </c>
      <c r="BA547" t="s">
        <v>8054</v>
      </c>
      <c r="BB547" t="s">
        <v>74</v>
      </c>
      <c r="BC547" t="s">
        <v>74</v>
      </c>
      <c r="BD547" t="s">
        <v>74</v>
      </c>
      <c r="BE547" t="s">
        <v>74</v>
      </c>
      <c r="BF547" t="s">
        <v>74</v>
      </c>
      <c r="BG547" t="s">
        <v>74</v>
      </c>
      <c r="BH547" t="s">
        <v>74</v>
      </c>
      <c r="BI547">
        <v>2</v>
      </c>
      <c r="BJ547" t="s">
        <v>341</v>
      </c>
      <c r="BK547" t="s">
        <v>512</v>
      </c>
      <c r="BL547" t="s">
        <v>342</v>
      </c>
      <c r="BM547" t="s">
        <v>7983</v>
      </c>
      <c r="BN547" t="s">
        <v>74</v>
      </c>
      <c r="BO547" t="s">
        <v>74</v>
      </c>
      <c r="BP547" t="s">
        <v>74</v>
      </c>
      <c r="BQ547" t="s">
        <v>74</v>
      </c>
      <c r="BR547" t="s">
        <v>104</v>
      </c>
      <c r="BS547" t="s">
        <v>8055</v>
      </c>
      <c r="BT547" t="str">
        <f>HYPERLINK("https%3A%2F%2Fwww.webofscience.com%2Fwos%2Fwoscc%2Ffull-record%2FWOS:000466776705107","View Full Record in Web of Science")</f>
        <v>View Full Record in Web of Science</v>
      </c>
    </row>
    <row r="548" spans="1:72" x14ac:dyDescent="0.25">
      <c r="A548" t="s">
        <v>72</v>
      </c>
      <c r="B548" t="s">
        <v>8056</v>
      </c>
      <c r="C548" t="s">
        <v>74</v>
      </c>
      <c r="D548" t="s">
        <v>74</v>
      </c>
      <c r="E548" t="s">
        <v>74</v>
      </c>
      <c r="F548" t="s">
        <v>8057</v>
      </c>
      <c r="G548" t="s">
        <v>74</v>
      </c>
      <c r="H548" t="s">
        <v>74</v>
      </c>
      <c r="I548" t="s">
        <v>8058</v>
      </c>
      <c r="J548" t="s">
        <v>637</v>
      </c>
      <c r="K548" t="s">
        <v>74</v>
      </c>
      <c r="L548" t="s">
        <v>74</v>
      </c>
      <c r="M548" t="s">
        <v>78</v>
      </c>
      <c r="N548" t="s">
        <v>52</v>
      </c>
      <c r="O548" t="s">
        <v>3358</v>
      </c>
      <c r="P548" t="s">
        <v>7978</v>
      </c>
      <c r="Q548" t="s">
        <v>7979</v>
      </c>
      <c r="R548" t="s">
        <v>2006</v>
      </c>
      <c r="S548" t="s">
        <v>74</v>
      </c>
      <c r="T548" t="s">
        <v>74</v>
      </c>
      <c r="U548" t="s">
        <v>74</v>
      </c>
      <c r="V548" t="s">
        <v>74</v>
      </c>
      <c r="W548" t="s">
        <v>8059</v>
      </c>
      <c r="X548" t="s">
        <v>7255</v>
      </c>
      <c r="Y548" t="s">
        <v>74</v>
      </c>
      <c r="Z548" t="s">
        <v>74</v>
      </c>
      <c r="AA548" t="s">
        <v>1635</v>
      </c>
      <c r="AB548" t="s">
        <v>74</v>
      </c>
      <c r="AC548" t="s">
        <v>74</v>
      </c>
      <c r="AD548" t="s">
        <v>74</v>
      </c>
      <c r="AE548" t="s">
        <v>74</v>
      </c>
      <c r="AF548" t="s">
        <v>74</v>
      </c>
      <c r="AG548">
        <v>0</v>
      </c>
      <c r="AH548">
        <v>0</v>
      </c>
      <c r="AI548">
        <v>0</v>
      </c>
      <c r="AJ548">
        <v>0</v>
      </c>
      <c r="AK548">
        <v>0</v>
      </c>
      <c r="AL548" t="s">
        <v>649</v>
      </c>
      <c r="AM548" t="s">
        <v>486</v>
      </c>
      <c r="AN548" t="s">
        <v>650</v>
      </c>
      <c r="AO548" t="s">
        <v>651</v>
      </c>
      <c r="AP548" t="s">
        <v>652</v>
      </c>
      <c r="AQ548" t="s">
        <v>74</v>
      </c>
      <c r="AR548" t="s">
        <v>653</v>
      </c>
      <c r="AS548" t="s">
        <v>654</v>
      </c>
      <c r="AT548" t="s">
        <v>74</v>
      </c>
      <c r="AU548">
        <v>2019</v>
      </c>
      <c r="AV548">
        <v>199</v>
      </c>
      <c r="AW548" t="s">
        <v>74</v>
      </c>
      <c r="AX548" t="s">
        <v>74</v>
      </c>
      <c r="AY548" t="s">
        <v>74</v>
      </c>
      <c r="AZ548" t="s">
        <v>74</v>
      </c>
      <c r="BA548" t="s">
        <v>8060</v>
      </c>
      <c r="BB548" t="s">
        <v>74</v>
      </c>
      <c r="BC548" t="s">
        <v>74</v>
      </c>
      <c r="BD548" t="s">
        <v>74</v>
      </c>
      <c r="BE548" t="s">
        <v>74</v>
      </c>
      <c r="BF548" t="s">
        <v>74</v>
      </c>
      <c r="BG548" t="s">
        <v>74</v>
      </c>
      <c r="BH548" t="s">
        <v>74</v>
      </c>
      <c r="BI548">
        <v>2</v>
      </c>
      <c r="BJ548" t="s">
        <v>341</v>
      </c>
      <c r="BK548" t="s">
        <v>512</v>
      </c>
      <c r="BL548" t="s">
        <v>342</v>
      </c>
      <c r="BM548" t="s">
        <v>7983</v>
      </c>
      <c r="BN548" t="s">
        <v>74</v>
      </c>
      <c r="BO548" t="s">
        <v>74</v>
      </c>
      <c r="BP548" t="s">
        <v>74</v>
      </c>
      <c r="BQ548" t="s">
        <v>74</v>
      </c>
      <c r="BR548" t="s">
        <v>104</v>
      </c>
      <c r="BS548" t="s">
        <v>8061</v>
      </c>
      <c r="BT548" t="str">
        <f>HYPERLINK("https%3A%2F%2Fwww.webofscience.com%2Fwos%2Fwoscc%2Ffull-record%2FWOS:000466776700075","View Full Record in Web of Science")</f>
        <v>View Full Record in Web of Science</v>
      </c>
    </row>
    <row r="549" spans="1:72" x14ac:dyDescent="0.25">
      <c r="A549" t="s">
        <v>8062</v>
      </c>
      <c r="B549" t="s">
        <v>2218</v>
      </c>
      <c r="C549" t="s">
        <v>74</v>
      </c>
      <c r="D549" t="s">
        <v>8063</v>
      </c>
      <c r="E549" t="s">
        <v>74</v>
      </c>
      <c r="F549" t="s">
        <v>2219</v>
      </c>
      <c r="G549" t="s">
        <v>74</v>
      </c>
      <c r="H549" t="s">
        <v>74</v>
      </c>
      <c r="I549" t="s">
        <v>1226</v>
      </c>
      <c r="J549" t="s">
        <v>8064</v>
      </c>
      <c r="K549" t="s">
        <v>74</v>
      </c>
      <c r="L549" t="s">
        <v>74</v>
      </c>
      <c r="M549" t="s">
        <v>78</v>
      </c>
      <c r="N549" t="s">
        <v>8065</v>
      </c>
      <c r="O549" t="s">
        <v>74</v>
      </c>
      <c r="P549" t="s">
        <v>74</v>
      </c>
      <c r="Q549" t="s">
        <v>74</v>
      </c>
      <c r="R549" t="s">
        <v>74</v>
      </c>
      <c r="S549" t="s">
        <v>74</v>
      </c>
      <c r="T549" t="s">
        <v>74</v>
      </c>
      <c r="U549" t="s">
        <v>74</v>
      </c>
      <c r="V549" t="s">
        <v>74</v>
      </c>
      <c r="W549" t="s">
        <v>8066</v>
      </c>
      <c r="X549" t="s">
        <v>8067</v>
      </c>
      <c r="Y549" t="s">
        <v>8068</v>
      </c>
      <c r="Z549" t="s">
        <v>8069</v>
      </c>
      <c r="AA549" t="s">
        <v>144</v>
      </c>
      <c r="AB549" t="s">
        <v>74</v>
      </c>
      <c r="AC549" t="s">
        <v>74</v>
      </c>
      <c r="AD549" t="s">
        <v>74</v>
      </c>
      <c r="AE549" t="s">
        <v>74</v>
      </c>
      <c r="AF549" t="s">
        <v>74</v>
      </c>
      <c r="AG549">
        <v>0</v>
      </c>
      <c r="AH549">
        <v>0</v>
      </c>
      <c r="AI549">
        <v>0</v>
      </c>
      <c r="AJ549">
        <v>0</v>
      </c>
      <c r="AK549">
        <v>0</v>
      </c>
      <c r="AL549" t="s">
        <v>8070</v>
      </c>
      <c r="AM549" t="s">
        <v>220</v>
      </c>
      <c r="AN549" t="s">
        <v>8071</v>
      </c>
      <c r="AO549" t="s">
        <v>74</v>
      </c>
      <c r="AP549" t="s">
        <v>74</v>
      </c>
      <c r="AQ549" t="s">
        <v>8072</v>
      </c>
      <c r="AR549" t="s">
        <v>74</v>
      </c>
      <c r="AS549" t="s">
        <v>74</v>
      </c>
      <c r="AT549" t="s">
        <v>74</v>
      </c>
      <c r="AU549">
        <v>2019</v>
      </c>
      <c r="AV549" t="s">
        <v>74</v>
      </c>
      <c r="AW549" t="s">
        <v>74</v>
      </c>
      <c r="AX549" t="s">
        <v>74</v>
      </c>
      <c r="AY549" t="s">
        <v>74</v>
      </c>
      <c r="AZ549" t="s">
        <v>74</v>
      </c>
      <c r="BA549" t="s">
        <v>74</v>
      </c>
      <c r="BB549">
        <v>628</v>
      </c>
      <c r="BC549">
        <v>636</v>
      </c>
      <c r="BD549" t="s">
        <v>74</v>
      </c>
      <c r="BE549" t="s">
        <v>74</v>
      </c>
      <c r="BF549" t="s">
        <v>74</v>
      </c>
      <c r="BG549" t="s">
        <v>74</v>
      </c>
      <c r="BH549" t="s">
        <v>74</v>
      </c>
      <c r="BI549">
        <v>9</v>
      </c>
      <c r="BJ549" t="s">
        <v>228</v>
      </c>
      <c r="BK549" t="s">
        <v>8073</v>
      </c>
      <c r="BL549" t="s">
        <v>228</v>
      </c>
      <c r="BM549" t="s">
        <v>8074</v>
      </c>
      <c r="BN549" t="s">
        <v>74</v>
      </c>
      <c r="BO549" t="s">
        <v>74</v>
      </c>
      <c r="BP549" t="s">
        <v>74</v>
      </c>
      <c r="BQ549" t="s">
        <v>74</v>
      </c>
      <c r="BR549" t="s">
        <v>104</v>
      </c>
      <c r="BS549" t="s">
        <v>8075</v>
      </c>
      <c r="BT549" t="str">
        <f>HYPERLINK("https%3A%2F%2Fwww.webofscience.com%2Fwos%2Fwoscc%2Ffull-record%2FWOS:000553660300090","View Full Record in Web of Science")</f>
        <v>View Full Record in Web of Science</v>
      </c>
    </row>
    <row r="550" spans="1:72" x14ac:dyDescent="0.25">
      <c r="A550" t="s">
        <v>72</v>
      </c>
      <c r="B550" t="s">
        <v>8076</v>
      </c>
      <c r="C550" t="s">
        <v>74</v>
      </c>
      <c r="D550" t="s">
        <v>74</v>
      </c>
      <c r="E550" t="s">
        <v>74</v>
      </c>
      <c r="F550" t="s">
        <v>8077</v>
      </c>
      <c r="G550" t="s">
        <v>74</v>
      </c>
      <c r="H550" t="s">
        <v>74</v>
      </c>
      <c r="I550" t="s">
        <v>8078</v>
      </c>
      <c r="J550" t="s">
        <v>1068</v>
      </c>
      <c r="K550" t="s">
        <v>74</v>
      </c>
      <c r="L550" t="s">
        <v>74</v>
      </c>
      <c r="M550" t="s">
        <v>78</v>
      </c>
      <c r="N550" t="s">
        <v>140</v>
      </c>
      <c r="O550" t="s">
        <v>74</v>
      </c>
      <c r="P550" t="s">
        <v>74</v>
      </c>
      <c r="Q550" t="s">
        <v>74</v>
      </c>
      <c r="R550" t="s">
        <v>74</v>
      </c>
      <c r="S550" t="s">
        <v>74</v>
      </c>
      <c r="T550" t="s">
        <v>74</v>
      </c>
      <c r="U550" t="s">
        <v>8079</v>
      </c>
      <c r="V550" t="s">
        <v>74</v>
      </c>
      <c r="W550" t="s">
        <v>8080</v>
      </c>
      <c r="X550" t="s">
        <v>8081</v>
      </c>
      <c r="Y550" t="s">
        <v>8082</v>
      </c>
      <c r="Z550" t="s">
        <v>377</v>
      </c>
      <c r="AA550" t="s">
        <v>3301</v>
      </c>
      <c r="AB550" t="s">
        <v>8083</v>
      </c>
      <c r="AC550" t="s">
        <v>74</v>
      </c>
      <c r="AD550" t="s">
        <v>74</v>
      </c>
      <c r="AE550" t="s">
        <v>74</v>
      </c>
      <c r="AF550" t="s">
        <v>74</v>
      </c>
      <c r="AG550">
        <v>15</v>
      </c>
      <c r="AH550">
        <v>13</v>
      </c>
      <c r="AI550">
        <v>16</v>
      </c>
      <c r="AJ550">
        <v>0</v>
      </c>
      <c r="AK550">
        <v>3</v>
      </c>
      <c r="AL550" t="s">
        <v>1073</v>
      </c>
      <c r="AM550" t="s">
        <v>1074</v>
      </c>
      <c r="AN550" t="s">
        <v>1075</v>
      </c>
      <c r="AO550" t="s">
        <v>1076</v>
      </c>
      <c r="AP550" t="s">
        <v>1077</v>
      </c>
      <c r="AQ550" t="s">
        <v>74</v>
      </c>
      <c r="AR550" t="s">
        <v>1078</v>
      </c>
      <c r="AS550" t="s">
        <v>1079</v>
      </c>
      <c r="AT550" t="s">
        <v>2566</v>
      </c>
      <c r="AU550">
        <v>2018</v>
      </c>
      <c r="AV550">
        <v>39</v>
      </c>
      <c r="AW550">
        <v>47</v>
      </c>
      <c r="AX550" t="s">
        <v>74</v>
      </c>
      <c r="AY550" t="s">
        <v>74</v>
      </c>
      <c r="AZ550" t="s">
        <v>74</v>
      </c>
      <c r="BA550" t="s">
        <v>74</v>
      </c>
      <c r="BB550">
        <v>4182</v>
      </c>
      <c r="BC550">
        <v>4185</v>
      </c>
      <c r="BD550" t="s">
        <v>74</v>
      </c>
      <c r="BE550" t="s">
        <v>8084</v>
      </c>
      <c r="BF550" t="str">
        <f>HYPERLINK("http://dx.doi.org/10.1093/eurheartj/ehx301","http://dx.doi.org/10.1093/eurheartj/ehx301")</f>
        <v>http://dx.doi.org/10.1093/eurheartj/ehx301</v>
      </c>
      <c r="BG550" t="s">
        <v>74</v>
      </c>
      <c r="BH550" t="s">
        <v>74</v>
      </c>
      <c r="BI550">
        <v>4</v>
      </c>
      <c r="BJ550" t="s">
        <v>132</v>
      </c>
      <c r="BK550" t="s">
        <v>101</v>
      </c>
      <c r="BL550" t="s">
        <v>133</v>
      </c>
      <c r="BM550" t="s">
        <v>8085</v>
      </c>
      <c r="BN550">
        <v>28637288</v>
      </c>
      <c r="BO550" t="s">
        <v>74</v>
      </c>
      <c r="BP550" t="s">
        <v>74</v>
      </c>
      <c r="BQ550" t="s">
        <v>74</v>
      </c>
      <c r="BR550" t="s">
        <v>104</v>
      </c>
      <c r="BS550" t="s">
        <v>8086</v>
      </c>
      <c r="BT550" t="str">
        <f>HYPERLINK("https%3A%2F%2Fwww.webofscience.com%2Fwos%2Fwoscc%2Ffull-record%2FWOS:000456854500011","View Full Record in Web of Science")</f>
        <v>View Full Record in Web of Science</v>
      </c>
    </row>
    <row r="551" spans="1:72" x14ac:dyDescent="0.25">
      <c r="A551" t="s">
        <v>72</v>
      </c>
      <c r="B551" t="s">
        <v>8087</v>
      </c>
      <c r="C551" t="s">
        <v>74</v>
      </c>
      <c r="D551" t="s">
        <v>74</v>
      </c>
      <c r="E551" t="s">
        <v>74</v>
      </c>
      <c r="F551" t="s">
        <v>8088</v>
      </c>
      <c r="G551" t="s">
        <v>74</v>
      </c>
      <c r="H551" t="s">
        <v>74</v>
      </c>
      <c r="I551" t="s">
        <v>8089</v>
      </c>
      <c r="J551" t="s">
        <v>8090</v>
      </c>
      <c r="K551" t="s">
        <v>74</v>
      </c>
      <c r="L551" t="s">
        <v>74</v>
      </c>
      <c r="M551" t="s">
        <v>78</v>
      </c>
      <c r="N551" t="s">
        <v>52</v>
      </c>
      <c r="O551" t="s">
        <v>8091</v>
      </c>
      <c r="P551" t="s">
        <v>8092</v>
      </c>
      <c r="Q551" t="s">
        <v>8093</v>
      </c>
      <c r="R551" t="s">
        <v>8094</v>
      </c>
      <c r="S551" t="s">
        <v>74</v>
      </c>
      <c r="T551" t="s">
        <v>74</v>
      </c>
      <c r="U551" t="s">
        <v>74</v>
      </c>
      <c r="V551" t="s">
        <v>74</v>
      </c>
      <c r="W551" t="s">
        <v>8095</v>
      </c>
      <c r="X551" t="s">
        <v>8096</v>
      </c>
      <c r="Y551" t="s">
        <v>74</v>
      </c>
      <c r="Z551" t="s">
        <v>74</v>
      </c>
      <c r="AA551" t="s">
        <v>8097</v>
      </c>
      <c r="AB551" t="s">
        <v>8098</v>
      </c>
      <c r="AC551" t="s">
        <v>74</v>
      </c>
      <c r="AD551" t="s">
        <v>74</v>
      </c>
      <c r="AE551" t="s">
        <v>74</v>
      </c>
      <c r="AF551" t="s">
        <v>74</v>
      </c>
      <c r="AG551">
        <v>0</v>
      </c>
      <c r="AH551">
        <v>0</v>
      </c>
      <c r="AI551">
        <v>0</v>
      </c>
      <c r="AJ551">
        <v>0</v>
      </c>
      <c r="AK551">
        <v>1</v>
      </c>
      <c r="AL551" t="s">
        <v>169</v>
      </c>
      <c r="AM551" t="s">
        <v>170</v>
      </c>
      <c r="AN551" t="s">
        <v>171</v>
      </c>
      <c r="AO551" t="s">
        <v>8099</v>
      </c>
      <c r="AP551" t="s">
        <v>8100</v>
      </c>
      <c r="AQ551" t="s">
        <v>74</v>
      </c>
      <c r="AR551" t="s">
        <v>8101</v>
      </c>
      <c r="AS551" t="s">
        <v>8102</v>
      </c>
      <c r="AT551" t="s">
        <v>226</v>
      </c>
      <c r="AU551">
        <v>2018</v>
      </c>
      <c r="AV551">
        <v>99</v>
      </c>
      <c r="AW551">
        <v>6</v>
      </c>
      <c r="AX551" t="s">
        <v>74</v>
      </c>
      <c r="AY551" t="s">
        <v>74</v>
      </c>
      <c r="AZ551" t="s">
        <v>74</v>
      </c>
      <c r="BA551" t="s">
        <v>74</v>
      </c>
      <c r="BB551" t="s">
        <v>8103</v>
      </c>
      <c r="BC551" t="s">
        <v>8104</v>
      </c>
      <c r="BD551" t="s">
        <v>74</v>
      </c>
      <c r="BE551" t="s">
        <v>74</v>
      </c>
      <c r="BF551" t="s">
        <v>74</v>
      </c>
      <c r="BG551" t="s">
        <v>74</v>
      </c>
      <c r="BH551" t="s">
        <v>74</v>
      </c>
      <c r="BI551">
        <v>2</v>
      </c>
      <c r="BJ551" t="s">
        <v>7547</v>
      </c>
      <c r="BK551" t="s">
        <v>512</v>
      </c>
      <c r="BL551" t="s">
        <v>7547</v>
      </c>
      <c r="BM551" t="s">
        <v>8105</v>
      </c>
      <c r="BN551" t="s">
        <v>74</v>
      </c>
      <c r="BO551" t="s">
        <v>74</v>
      </c>
      <c r="BP551" t="s">
        <v>74</v>
      </c>
      <c r="BQ551" t="s">
        <v>74</v>
      </c>
      <c r="BR551" t="s">
        <v>104</v>
      </c>
      <c r="BS551" t="s">
        <v>8106</v>
      </c>
      <c r="BT551" t="str">
        <f>HYPERLINK("https%3A%2F%2Fwww.webofscience.com%2Fwos%2Fwoscc%2Ffull-record%2FWOS:000459467900047","View Full Record in Web of Science")</f>
        <v>View Full Record in Web of Science</v>
      </c>
    </row>
    <row r="552" spans="1:72" x14ac:dyDescent="0.25">
      <c r="A552" t="s">
        <v>72</v>
      </c>
      <c r="B552" t="s">
        <v>8107</v>
      </c>
      <c r="C552" t="s">
        <v>74</v>
      </c>
      <c r="D552" t="s">
        <v>74</v>
      </c>
      <c r="E552" t="s">
        <v>74</v>
      </c>
      <c r="F552" t="s">
        <v>8108</v>
      </c>
      <c r="G552" t="s">
        <v>74</v>
      </c>
      <c r="H552" t="s">
        <v>74</v>
      </c>
      <c r="I552" t="s">
        <v>8109</v>
      </c>
      <c r="J552" t="s">
        <v>4285</v>
      </c>
      <c r="K552" t="s">
        <v>74</v>
      </c>
      <c r="L552" t="s">
        <v>74</v>
      </c>
      <c r="M552" t="s">
        <v>78</v>
      </c>
      <c r="N552" t="s">
        <v>79</v>
      </c>
      <c r="O552" t="s">
        <v>74</v>
      </c>
      <c r="P552" t="s">
        <v>74</v>
      </c>
      <c r="Q552" t="s">
        <v>74</v>
      </c>
      <c r="R552" t="s">
        <v>74</v>
      </c>
      <c r="S552" t="s">
        <v>74</v>
      </c>
      <c r="T552" t="s">
        <v>8110</v>
      </c>
      <c r="U552" t="s">
        <v>8111</v>
      </c>
      <c r="V552" t="s">
        <v>8112</v>
      </c>
      <c r="W552" t="s">
        <v>8113</v>
      </c>
      <c r="X552" t="s">
        <v>8114</v>
      </c>
      <c r="Y552" t="s">
        <v>8115</v>
      </c>
      <c r="Z552" t="s">
        <v>8116</v>
      </c>
      <c r="AA552" t="s">
        <v>8117</v>
      </c>
      <c r="AB552" t="s">
        <v>8118</v>
      </c>
      <c r="AC552" t="s">
        <v>8119</v>
      </c>
      <c r="AD552" t="s">
        <v>8120</v>
      </c>
      <c r="AE552" t="s">
        <v>8121</v>
      </c>
      <c r="AF552" t="s">
        <v>74</v>
      </c>
      <c r="AG552">
        <v>41</v>
      </c>
      <c r="AH552">
        <v>23</v>
      </c>
      <c r="AI552">
        <v>23</v>
      </c>
      <c r="AJ552">
        <v>0</v>
      </c>
      <c r="AK552">
        <v>12</v>
      </c>
      <c r="AL552" t="s">
        <v>1113</v>
      </c>
      <c r="AM552" t="s">
        <v>1114</v>
      </c>
      <c r="AN552" t="s">
        <v>1115</v>
      </c>
      <c r="AO552" t="s">
        <v>74</v>
      </c>
      <c r="AP552" t="s">
        <v>4299</v>
      </c>
      <c r="AQ552" t="s">
        <v>74</v>
      </c>
      <c r="AR552" t="s">
        <v>4300</v>
      </c>
      <c r="AS552" t="s">
        <v>4301</v>
      </c>
      <c r="AT552" t="s">
        <v>226</v>
      </c>
      <c r="AU552">
        <v>2018</v>
      </c>
      <c r="AV552">
        <v>19</v>
      </c>
      <c r="AW552">
        <v>12</v>
      </c>
      <c r="AX552" t="s">
        <v>74</v>
      </c>
      <c r="AY552" t="s">
        <v>74</v>
      </c>
      <c r="AZ552" t="s">
        <v>74</v>
      </c>
      <c r="BA552" t="s">
        <v>74</v>
      </c>
      <c r="BB552" t="s">
        <v>74</v>
      </c>
      <c r="BC552" t="s">
        <v>74</v>
      </c>
      <c r="BD552">
        <v>4105</v>
      </c>
      <c r="BE552" t="s">
        <v>8122</v>
      </c>
      <c r="BF552" t="str">
        <f>HYPERLINK("http://dx.doi.org/10.3390/ijms19124105","http://dx.doi.org/10.3390/ijms19124105")</f>
        <v>http://dx.doi.org/10.3390/ijms19124105</v>
      </c>
      <c r="BG552" t="s">
        <v>74</v>
      </c>
      <c r="BH552" t="s">
        <v>74</v>
      </c>
      <c r="BI552">
        <v>14</v>
      </c>
      <c r="BJ552" t="s">
        <v>4303</v>
      </c>
      <c r="BK552" t="s">
        <v>101</v>
      </c>
      <c r="BL552" t="s">
        <v>4304</v>
      </c>
      <c r="BM552" t="s">
        <v>8123</v>
      </c>
      <c r="BN552">
        <v>30567353</v>
      </c>
      <c r="BO552" t="s">
        <v>8124</v>
      </c>
      <c r="BP552" t="s">
        <v>74</v>
      </c>
      <c r="BQ552" t="s">
        <v>74</v>
      </c>
      <c r="BR552" t="s">
        <v>104</v>
      </c>
      <c r="BS552" t="s">
        <v>8125</v>
      </c>
      <c r="BT552" t="str">
        <f>HYPERLINK("https%3A%2F%2Fwww.webofscience.com%2Fwos%2Fwoscc%2Ffull-record%2FWOS:000455323500407","View Full Record in Web of Science")</f>
        <v>View Full Record in Web of Science</v>
      </c>
    </row>
    <row r="553" spans="1:72" x14ac:dyDescent="0.25">
      <c r="A553" t="s">
        <v>72</v>
      </c>
      <c r="B553" t="s">
        <v>8126</v>
      </c>
      <c r="C553" t="s">
        <v>74</v>
      </c>
      <c r="D553" t="s">
        <v>74</v>
      </c>
      <c r="E553" t="s">
        <v>74</v>
      </c>
      <c r="F553" t="s">
        <v>8127</v>
      </c>
      <c r="G553" t="s">
        <v>74</v>
      </c>
      <c r="H553" t="s">
        <v>74</v>
      </c>
      <c r="I553" t="s">
        <v>8128</v>
      </c>
      <c r="J553" t="s">
        <v>8129</v>
      </c>
      <c r="K553" t="s">
        <v>74</v>
      </c>
      <c r="L553" t="s">
        <v>74</v>
      </c>
      <c r="M553" t="s">
        <v>1349</v>
      </c>
      <c r="N553" t="s">
        <v>299</v>
      </c>
      <c r="O553" t="s">
        <v>74</v>
      </c>
      <c r="P553" t="s">
        <v>74</v>
      </c>
      <c r="Q553" t="s">
        <v>74</v>
      </c>
      <c r="R553" t="s">
        <v>74</v>
      </c>
      <c r="S553" t="s">
        <v>74</v>
      </c>
      <c r="T553" t="s">
        <v>8130</v>
      </c>
      <c r="U553" t="s">
        <v>8131</v>
      </c>
      <c r="V553" t="s">
        <v>8132</v>
      </c>
      <c r="W553" t="s">
        <v>8133</v>
      </c>
      <c r="X553" t="s">
        <v>8134</v>
      </c>
      <c r="Y553" t="s">
        <v>8135</v>
      </c>
      <c r="Z553" t="s">
        <v>8136</v>
      </c>
      <c r="AA553" t="s">
        <v>5202</v>
      </c>
      <c r="AB553" t="s">
        <v>8137</v>
      </c>
      <c r="AC553" t="s">
        <v>74</v>
      </c>
      <c r="AD553" t="s">
        <v>74</v>
      </c>
      <c r="AE553" t="s">
        <v>74</v>
      </c>
      <c r="AF553" t="s">
        <v>74</v>
      </c>
      <c r="AG553">
        <v>57</v>
      </c>
      <c r="AH553">
        <v>2</v>
      </c>
      <c r="AI553">
        <v>2</v>
      </c>
      <c r="AJ553">
        <v>0</v>
      </c>
      <c r="AK553">
        <v>4</v>
      </c>
      <c r="AL553" t="s">
        <v>8138</v>
      </c>
      <c r="AM553" t="s">
        <v>8139</v>
      </c>
      <c r="AN553" t="s">
        <v>8140</v>
      </c>
      <c r="AO553" t="s">
        <v>8141</v>
      </c>
      <c r="AP553" t="s">
        <v>74</v>
      </c>
      <c r="AQ553" t="s">
        <v>74</v>
      </c>
      <c r="AR553" t="s">
        <v>8142</v>
      </c>
      <c r="AS553" t="s">
        <v>8143</v>
      </c>
      <c r="AT553" t="s">
        <v>226</v>
      </c>
      <c r="AU553">
        <v>2018</v>
      </c>
      <c r="AV553">
        <v>39</v>
      </c>
      <c r="AW553">
        <v>12</v>
      </c>
      <c r="AX553" t="s">
        <v>74</v>
      </c>
      <c r="AY553" t="s">
        <v>74</v>
      </c>
      <c r="AZ553" t="s">
        <v>74</v>
      </c>
      <c r="BA553" t="s">
        <v>74</v>
      </c>
      <c r="BB553">
        <v>925</v>
      </c>
      <c r="BC553">
        <v>934</v>
      </c>
      <c r="BD553" t="s">
        <v>74</v>
      </c>
      <c r="BE553" t="s">
        <v>8144</v>
      </c>
      <c r="BF553" t="str">
        <f>HYPERLINK("http://dx.doi.org/10.1016/j.revmed.2018.07.015","http://dx.doi.org/10.1016/j.revmed.2018.07.015")</f>
        <v>http://dx.doi.org/10.1016/j.revmed.2018.07.015</v>
      </c>
      <c r="BG553" t="s">
        <v>74</v>
      </c>
      <c r="BH553" t="s">
        <v>74</v>
      </c>
      <c r="BI553">
        <v>10</v>
      </c>
      <c r="BJ553" t="s">
        <v>1152</v>
      </c>
      <c r="BK553" t="s">
        <v>101</v>
      </c>
      <c r="BL553" t="s">
        <v>1153</v>
      </c>
      <c r="BM553" t="s">
        <v>8145</v>
      </c>
      <c r="BN553">
        <v>30174113</v>
      </c>
      <c r="BO553" t="s">
        <v>74</v>
      </c>
      <c r="BP553" t="s">
        <v>74</v>
      </c>
      <c r="BQ553" t="s">
        <v>74</v>
      </c>
      <c r="BR553" t="s">
        <v>104</v>
      </c>
      <c r="BS553" t="s">
        <v>8146</v>
      </c>
      <c r="BT553" t="str">
        <f>HYPERLINK("https%3A%2F%2Fwww.webofscience.com%2Fwos%2Fwoscc%2Ffull-record%2FWOS:000454674400005","View Full Record in Web of Science")</f>
        <v>View Full Record in Web of Science</v>
      </c>
    </row>
    <row r="554" spans="1:72" x14ac:dyDescent="0.25">
      <c r="A554" t="s">
        <v>72</v>
      </c>
      <c r="B554" t="s">
        <v>8147</v>
      </c>
      <c r="C554" t="s">
        <v>74</v>
      </c>
      <c r="D554" t="s">
        <v>74</v>
      </c>
      <c r="E554" t="s">
        <v>74</v>
      </c>
      <c r="F554" t="s">
        <v>8148</v>
      </c>
      <c r="G554" t="s">
        <v>74</v>
      </c>
      <c r="H554" t="s">
        <v>74</v>
      </c>
      <c r="I554" t="s">
        <v>8149</v>
      </c>
      <c r="J554" t="s">
        <v>6978</v>
      </c>
      <c r="K554" t="s">
        <v>74</v>
      </c>
      <c r="L554" t="s">
        <v>74</v>
      </c>
      <c r="M554" t="s">
        <v>78</v>
      </c>
      <c r="N554" t="s">
        <v>52</v>
      </c>
      <c r="O554" t="s">
        <v>6979</v>
      </c>
      <c r="P554" t="s">
        <v>8150</v>
      </c>
      <c r="Q554" t="s">
        <v>8151</v>
      </c>
      <c r="R554" t="s">
        <v>6982</v>
      </c>
      <c r="S554" t="s">
        <v>74</v>
      </c>
      <c r="T554" t="s">
        <v>74</v>
      </c>
      <c r="U554" t="s">
        <v>74</v>
      </c>
      <c r="V554" t="s">
        <v>74</v>
      </c>
      <c r="W554" t="s">
        <v>8152</v>
      </c>
      <c r="X554" t="s">
        <v>8153</v>
      </c>
      <c r="Y554" t="s">
        <v>74</v>
      </c>
      <c r="Z554" t="s">
        <v>74</v>
      </c>
      <c r="AA554" t="s">
        <v>8154</v>
      </c>
      <c r="AB554" t="s">
        <v>8155</v>
      </c>
      <c r="AC554" t="s">
        <v>5906</v>
      </c>
      <c r="AD554" t="s">
        <v>5907</v>
      </c>
      <c r="AE554" t="s">
        <v>74</v>
      </c>
      <c r="AF554" t="s">
        <v>74</v>
      </c>
      <c r="AG554">
        <v>0</v>
      </c>
      <c r="AH554">
        <v>1</v>
      </c>
      <c r="AI554">
        <v>1</v>
      </c>
      <c r="AJ554">
        <v>0</v>
      </c>
      <c r="AK554">
        <v>0</v>
      </c>
      <c r="AL554" t="s">
        <v>2590</v>
      </c>
      <c r="AM554" t="s">
        <v>201</v>
      </c>
      <c r="AN554" t="s">
        <v>2591</v>
      </c>
      <c r="AO554" t="s">
        <v>6985</v>
      </c>
      <c r="AP554" t="s">
        <v>6986</v>
      </c>
      <c r="AQ554" t="s">
        <v>74</v>
      </c>
      <c r="AR554" t="s">
        <v>6978</v>
      </c>
      <c r="AS554" t="s">
        <v>6987</v>
      </c>
      <c r="AT554" t="s">
        <v>226</v>
      </c>
      <c r="AU554">
        <v>2018</v>
      </c>
      <c r="AV554">
        <v>73</v>
      </c>
      <c r="AW554" t="s">
        <v>74</v>
      </c>
      <c r="AX554" t="s">
        <v>74</v>
      </c>
      <c r="AY554">
        <v>4</v>
      </c>
      <c r="AZ554" t="s">
        <v>74</v>
      </c>
      <c r="BA554" t="s">
        <v>8156</v>
      </c>
      <c r="BB554" t="s">
        <v>8104</v>
      </c>
      <c r="BC554" t="s">
        <v>8157</v>
      </c>
      <c r="BD554" t="s">
        <v>74</v>
      </c>
      <c r="BE554" t="s">
        <v>8158</v>
      </c>
      <c r="BF554" t="str">
        <f>HYPERLINK("http://dx.doi.org/10.1136/thorax-2018-212555.46","http://dx.doi.org/10.1136/thorax-2018-212555.46")</f>
        <v>http://dx.doi.org/10.1136/thorax-2018-212555.46</v>
      </c>
      <c r="BG554" t="s">
        <v>74</v>
      </c>
      <c r="BH554" t="s">
        <v>74</v>
      </c>
      <c r="BI554">
        <v>3</v>
      </c>
      <c r="BJ554" t="s">
        <v>228</v>
      </c>
      <c r="BK554" t="s">
        <v>512</v>
      </c>
      <c r="BL554" t="s">
        <v>228</v>
      </c>
      <c r="BM554" t="s">
        <v>8159</v>
      </c>
      <c r="BN554" t="s">
        <v>74</v>
      </c>
      <c r="BO554" t="s">
        <v>74</v>
      </c>
      <c r="BP554" t="s">
        <v>74</v>
      </c>
      <c r="BQ554" t="s">
        <v>74</v>
      </c>
      <c r="BR554" t="s">
        <v>104</v>
      </c>
      <c r="BS554" t="s">
        <v>8160</v>
      </c>
      <c r="BT554" t="str">
        <f>HYPERLINK("https%3A%2F%2Fwww.webofscience.com%2Fwos%2Fwoscc%2Ffull-record%2FWOS:000471187500042","View Full Record in Web of Science")</f>
        <v>View Full Record in Web of Science</v>
      </c>
    </row>
    <row r="555" spans="1:72" x14ac:dyDescent="0.25">
      <c r="A555" t="s">
        <v>72</v>
      </c>
      <c r="B555" t="s">
        <v>8161</v>
      </c>
      <c r="C555" t="s">
        <v>74</v>
      </c>
      <c r="D555" t="s">
        <v>74</v>
      </c>
      <c r="E555" t="s">
        <v>74</v>
      </c>
      <c r="F555" t="s">
        <v>8162</v>
      </c>
      <c r="G555" t="s">
        <v>74</v>
      </c>
      <c r="H555" t="s">
        <v>74</v>
      </c>
      <c r="I555" t="s">
        <v>8163</v>
      </c>
      <c r="J555" t="s">
        <v>8164</v>
      </c>
      <c r="K555" t="s">
        <v>74</v>
      </c>
      <c r="L555" t="s">
        <v>74</v>
      </c>
      <c r="M555" t="s">
        <v>78</v>
      </c>
      <c r="N555" t="s">
        <v>52</v>
      </c>
      <c r="O555" t="s">
        <v>8165</v>
      </c>
      <c r="P555" t="s">
        <v>8166</v>
      </c>
      <c r="Q555" t="s">
        <v>8167</v>
      </c>
      <c r="R555" t="s">
        <v>8168</v>
      </c>
      <c r="S555" t="s">
        <v>74</v>
      </c>
      <c r="T555" t="s">
        <v>74</v>
      </c>
      <c r="U555" t="s">
        <v>74</v>
      </c>
      <c r="V555" t="s">
        <v>74</v>
      </c>
      <c r="W555" t="s">
        <v>8169</v>
      </c>
      <c r="X555" t="s">
        <v>8170</v>
      </c>
      <c r="Y555" t="s">
        <v>74</v>
      </c>
      <c r="Z555" t="s">
        <v>74</v>
      </c>
      <c r="AA555" t="s">
        <v>8171</v>
      </c>
      <c r="AB555" t="s">
        <v>74</v>
      </c>
      <c r="AC555" t="s">
        <v>74</v>
      </c>
      <c r="AD555" t="s">
        <v>74</v>
      </c>
      <c r="AE555" t="s">
        <v>74</v>
      </c>
      <c r="AF555" t="s">
        <v>74</v>
      </c>
      <c r="AG555">
        <v>0</v>
      </c>
      <c r="AH555">
        <v>0</v>
      </c>
      <c r="AI555">
        <v>0</v>
      </c>
      <c r="AJ555">
        <v>0</v>
      </c>
      <c r="AK555">
        <v>0</v>
      </c>
      <c r="AL555" t="s">
        <v>8172</v>
      </c>
      <c r="AM555" t="s">
        <v>1212</v>
      </c>
      <c r="AN555" t="s">
        <v>8173</v>
      </c>
      <c r="AO555" t="s">
        <v>8174</v>
      </c>
      <c r="AP555" t="s">
        <v>8175</v>
      </c>
      <c r="AQ555" t="s">
        <v>74</v>
      </c>
      <c r="AR555" t="s">
        <v>8164</v>
      </c>
      <c r="AS555" t="s">
        <v>8176</v>
      </c>
      <c r="AT555" t="s">
        <v>8177</v>
      </c>
      <c r="AU555">
        <v>2018</v>
      </c>
      <c r="AV555">
        <v>132</v>
      </c>
      <c r="AW555" t="s">
        <v>74</v>
      </c>
      <c r="AX555" t="s">
        <v>74</v>
      </c>
      <c r="AY555">
        <v>1</v>
      </c>
      <c r="AZ555" t="s">
        <v>74</v>
      </c>
      <c r="BA555">
        <v>7</v>
      </c>
      <c r="BB555" t="s">
        <v>74</v>
      </c>
      <c r="BC555" t="s">
        <v>74</v>
      </c>
      <c r="BD555" t="s">
        <v>74</v>
      </c>
      <c r="BE555" t="s">
        <v>8178</v>
      </c>
      <c r="BF555" t="str">
        <f>HYPERLINK("http://dx.doi.org/10.1182/blood-2018-99-113767","http://dx.doi.org/10.1182/blood-2018-99-113767")</f>
        <v>http://dx.doi.org/10.1182/blood-2018-99-113767</v>
      </c>
      <c r="BG555" t="s">
        <v>74</v>
      </c>
      <c r="BH555" t="s">
        <v>74</v>
      </c>
      <c r="BI555">
        <v>3</v>
      </c>
      <c r="BJ555" t="s">
        <v>318</v>
      </c>
      <c r="BK555" t="s">
        <v>512</v>
      </c>
      <c r="BL555" t="s">
        <v>318</v>
      </c>
      <c r="BM555" t="s">
        <v>8179</v>
      </c>
      <c r="BN555" t="s">
        <v>74</v>
      </c>
      <c r="BO555" t="s">
        <v>1194</v>
      </c>
      <c r="BP555" t="s">
        <v>74</v>
      </c>
      <c r="BQ555" t="s">
        <v>74</v>
      </c>
      <c r="BR555" t="s">
        <v>104</v>
      </c>
      <c r="BS555" t="s">
        <v>8180</v>
      </c>
      <c r="BT555" t="str">
        <f>HYPERLINK("https%3A%2F%2Fwww.webofscience.com%2Fwos%2Fwoscc%2Ffull-record%2FWOS:000454837600061","View Full Record in Web of Science")</f>
        <v>View Full Record in Web of Science</v>
      </c>
    </row>
    <row r="556" spans="1:72" x14ac:dyDescent="0.25">
      <c r="A556" t="s">
        <v>72</v>
      </c>
      <c r="B556" t="s">
        <v>8181</v>
      </c>
      <c r="C556" t="s">
        <v>74</v>
      </c>
      <c r="D556" t="s">
        <v>74</v>
      </c>
      <c r="E556" t="s">
        <v>74</v>
      </c>
      <c r="F556" t="s">
        <v>8182</v>
      </c>
      <c r="G556" t="s">
        <v>74</v>
      </c>
      <c r="H556" t="s">
        <v>74</v>
      </c>
      <c r="I556" t="s">
        <v>8183</v>
      </c>
      <c r="J556" t="s">
        <v>251</v>
      </c>
      <c r="K556" t="s">
        <v>74</v>
      </c>
      <c r="L556" t="s">
        <v>74</v>
      </c>
      <c r="M556" t="s">
        <v>78</v>
      </c>
      <c r="N556" t="s">
        <v>52</v>
      </c>
      <c r="O556" t="s">
        <v>74</v>
      </c>
      <c r="P556" t="s">
        <v>74</v>
      </c>
      <c r="Q556" t="s">
        <v>74</v>
      </c>
      <c r="R556" t="s">
        <v>74</v>
      </c>
      <c r="S556" t="s">
        <v>74</v>
      </c>
      <c r="T556" t="s">
        <v>74</v>
      </c>
      <c r="U556" t="s">
        <v>74</v>
      </c>
      <c r="V556" t="s">
        <v>74</v>
      </c>
      <c r="W556" t="s">
        <v>8184</v>
      </c>
      <c r="X556" t="s">
        <v>8185</v>
      </c>
      <c r="Y556" t="s">
        <v>74</v>
      </c>
      <c r="Z556" t="s">
        <v>74</v>
      </c>
      <c r="AA556" t="s">
        <v>8186</v>
      </c>
      <c r="AB556" t="s">
        <v>5709</v>
      </c>
      <c r="AC556" t="s">
        <v>74</v>
      </c>
      <c r="AD556" t="s">
        <v>74</v>
      </c>
      <c r="AE556" t="s">
        <v>74</v>
      </c>
      <c r="AF556" t="s">
        <v>74</v>
      </c>
      <c r="AG556">
        <v>0</v>
      </c>
      <c r="AH556">
        <v>0</v>
      </c>
      <c r="AI556">
        <v>0</v>
      </c>
      <c r="AJ556">
        <v>0</v>
      </c>
      <c r="AK556">
        <v>1</v>
      </c>
      <c r="AL556" t="s">
        <v>122</v>
      </c>
      <c r="AM556" t="s">
        <v>123</v>
      </c>
      <c r="AN556" t="s">
        <v>124</v>
      </c>
      <c r="AO556" t="s">
        <v>258</v>
      </c>
      <c r="AP556" t="s">
        <v>259</v>
      </c>
      <c r="AQ556" t="s">
        <v>74</v>
      </c>
      <c r="AR556" t="s">
        <v>251</v>
      </c>
      <c r="AS556" t="s">
        <v>260</v>
      </c>
      <c r="AT556" t="s">
        <v>8187</v>
      </c>
      <c r="AU556">
        <v>2018</v>
      </c>
      <c r="AV556">
        <v>138</v>
      </c>
      <c r="AW556" t="s">
        <v>74</v>
      </c>
      <c r="AX556" t="s">
        <v>74</v>
      </c>
      <c r="AY556">
        <v>1</v>
      </c>
      <c r="AZ556" t="s">
        <v>74</v>
      </c>
      <c r="BA556" t="s">
        <v>8188</v>
      </c>
      <c r="BB556" t="s">
        <v>74</v>
      </c>
      <c r="BC556" t="s">
        <v>74</v>
      </c>
      <c r="BD556" t="s">
        <v>74</v>
      </c>
      <c r="BE556" t="s">
        <v>74</v>
      </c>
      <c r="BF556" t="s">
        <v>74</v>
      </c>
      <c r="BG556" t="s">
        <v>74</v>
      </c>
      <c r="BH556" t="s">
        <v>74</v>
      </c>
      <c r="BI556">
        <v>2</v>
      </c>
      <c r="BJ556" t="s">
        <v>263</v>
      </c>
      <c r="BK556" t="s">
        <v>101</v>
      </c>
      <c r="BL556" t="s">
        <v>133</v>
      </c>
      <c r="BM556" t="s">
        <v>8189</v>
      </c>
      <c r="BN556" t="s">
        <v>74</v>
      </c>
      <c r="BO556" t="s">
        <v>74</v>
      </c>
      <c r="BP556" t="s">
        <v>74</v>
      </c>
      <c r="BQ556" t="s">
        <v>74</v>
      </c>
      <c r="BR556" t="s">
        <v>104</v>
      </c>
      <c r="BS556" t="s">
        <v>8190</v>
      </c>
      <c r="BT556" t="str">
        <f>HYPERLINK("https%3A%2F%2Fwww.webofscience.com%2Fwos%2Fwoscc%2Ffull-record%2FWOS:000528619403169","View Full Record in Web of Science")</f>
        <v>View Full Record in Web of Science</v>
      </c>
    </row>
    <row r="557" spans="1:72" x14ac:dyDescent="0.25">
      <c r="A557" t="s">
        <v>72</v>
      </c>
      <c r="B557" t="s">
        <v>8191</v>
      </c>
      <c r="C557" t="s">
        <v>74</v>
      </c>
      <c r="D557" t="s">
        <v>74</v>
      </c>
      <c r="E557" t="s">
        <v>74</v>
      </c>
      <c r="F557" t="s">
        <v>8192</v>
      </c>
      <c r="G557" t="s">
        <v>74</v>
      </c>
      <c r="H557" t="s">
        <v>8193</v>
      </c>
      <c r="I557" t="s">
        <v>8194</v>
      </c>
      <c r="J557" t="s">
        <v>189</v>
      </c>
      <c r="K557" t="s">
        <v>74</v>
      </c>
      <c r="L557" t="s">
        <v>74</v>
      </c>
      <c r="M557" t="s">
        <v>78</v>
      </c>
      <c r="N557" t="s">
        <v>79</v>
      </c>
      <c r="O557" t="s">
        <v>74</v>
      </c>
      <c r="P557" t="s">
        <v>74</v>
      </c>
      <c r="Q557" t="s">
        <v>74</v>
      </c>
      <c r="R557" t="s">
        <v>74</v>
      </c>
      <c r="S557" t="s">
        <v>74</v>
      </c>
      <c r="T557" t="s">
        <v>8195</v>
      </c>
      <c r="U557" t="s">
        <v>8196</v>
      </c>
      <c r="V557" t="s">
        <v>8197</v>
      </c>
      <c r="W557" t="s">
        <v>8198</v>
      </c>
      <c r="X557" t="s">
        <v>8199</v>
      </c>
      <c r="Y557" t="s">
        <v>8200</v>
      </c>
      <c r="Z557" t="s">
        <v>8201</v>
      </c>
      <c r="AA557" t="s">
        <v>8202</v>
      </c>
      <c r="AB557" t="s">
        <v>8203</v>
      </c>
      <c r="AC557" t="s">
        <v>8204</v>
      </c>
      <c r="AD557" t="s">
        <v>4875</v>
      </c>
      <c r="AE557" t="s">
        <v>8205</v>
      </c>
      <c r="AF557" t="s">
        <v>74</v>
      </c>
      <c r="AG557">
        <v>43</v>
      </c>
      <c r="AH557">
        <v>33</v>
      </c>
      <c r="AI557">
        <v>33</v>
      </c>
      <c r="AJ557">
        <v>0</v>
      </c>
      <c r="AK557">
        <v>7</v>
      </c>
      <c r="AL557" t="s">
        <v>200</v>
      </c>
      <c r="AM557" t="s">
        <v>201</v>
      </c>
      <c r="AN557" t="s">
        <v>202</v>
      </c>
      <c r="AO557" t="s">
        <v>203</v>
      </c>
      <c r="AP557" t="s">
        <v>204</v>
      </c>
      <c r="AQ557" t="s">
        <v>74</v>
      </c>
      <c r="AR557" t="s">
        <v>205</v>
      </c>
      <c r="AS557" t="s">
        <v>206</v>
      </c>
      <c r="AT557" t="s">
        <v>315</v>
      </c>
      <c r="AU557">
        <v>2018</v>
      </c>
      <c r="AV557">
        <v>144</v>
      </c>
      <c r="AW557" t="s">
        <v>74</v>
      </c>
      <c r="AX557" t="s">
        <v>74</v>
      </c>
      <c r="AY557" t="s">
        <v>74</v>
      </c>
      <c r="AZ557" t="s">
        <v>74</v>
      </c>
      <c r="BA557" t="s">
        <v>74</v>
      </c>
      <c r="BB557">
        <v>42</v>
      </c>
      <c r="BC557">
        <v>49</v>
      </c>
      <c r="BD557" t="s">
        <v>74</v>
      </c>
      <c r="BE557" t="s">
        <v>8206</v>
      </c>
      <c r="BF557" t="str">
        <f>HYPERLINK("http://dx.doi.org/10.1016/j.rmed.2018.10.002","http://dx.doi.org/10.1016/j.rmed.2018.10.002")</f>
        <v>http://dx.doi.org/10.1016/j.rmed.2018.10.002</v>
      </c>
      <c r="BG557" t="s">
        <v>74</v>
      </c>
      <c r="BH557" t="s">
        <v>74</v>
      </c>
      <c r="BI557">
        <v>8</v>
      </c>
      <c r="BJ557" t="s">
        <v>209</v>
      </c>
      <c r="BK557" t="s">
        <v>101</v>
      </c>
      <c r="BL557" t="s">
        <v>210</v>
      </c>
      <c r="BM557" t="s">
        <v>8207</v>
      </c>
      <c r="BN557">
        <v>30366583</v>
      </c>
      <c r="BO557" t="s">
        <v>1194</v>
      </c>
      <c r="BP557" t="s">
        <v>74</v>
      </c>
      <c r="BQ557" t="s">
        <v>74</v>
      </c>
      <c r="BR557" t="s">
        <v>104</v>
      </c>
      <c r="BS557" t="s">
        <v>8208</v>
      </c>
      <c r="BT557" t="str">
        <f>HYPERLINK("https%3A%2F%2Fwww.webofscience.com%2Fwos%2Fwoscc%2Ffull-record%2FWOS:000448159000007","View Full Record in Web of Science")</f>
        <v>View Full Record in Web of Science</v>
      </c>
    </row>
    <row r="558" spans="1:72" x14ac:dyDescent="0.25">
      <c r="A558" t="s">
        <v>72</v>
      </c>
      <c r="B558" t="s">
        <v>8209</v>
      </c>
      <c r="C558" t="s">
        <v>74</v>
      </c>
      <c r="D558" t="s">
        <v>74</v>
      </c>
      <c r="E558" t="s">
        <v>74</v>
      </c>
      <c r="F558" t="s">
        <v>8210</v>
      </c>
      <c r="G558" t="s">
        <v>74</v>
      </c>
      <c r="H558" t="s">
        <v>74</v>
      </c>
      <c r="I558" t="s">
        <v>8211</v>
      </c>
      <c r="J558" t="s">
        <v>637</v>
      </c>
      <c r="K558" t="s">
        <v>74</v>
      </c>
      <c r="L558" t="s">
        <v>74</v>
      </c>
      <c r="M558" t="s">
        <v>78</v>
      </c>
      <c r="N558" t="s">
        <v>79</v>
      </c>
      <c r="O558" t="s">
        <v>74</v>
      </c>
      <c r="P558" t="s">
        <v>74</v>
      </c>
      <c r="Q558" t="s">
        <v>74</v>
      </c>
      <c r="R558" t="s">
        <v>74</v>
      </c>
      <c r="S558" t="s">
        <v>74</v>
      </c>
      <c r="T558" t="s">
        <v>74</v>
      </c>
      <c r="U558" t="s">
        <v>8212</v>
      </c>
      <c r="V558" t="s">
        <v>74</v>
      </c>
      <c r="W558" t="s">
        <v>8213</v>
      </c>
      <c r="X558" t="s">
        <v>8214</v>
      </c>
      <c r="Y558" t="s">
        <v>8215</v>
      </c>
      <c r="Z558" t="s">
        <v>736</v>
      </c>
      <c r="AA558" t="s">
        <v>8216</v>
      </c>
      <c r="AB558" t="s">
        <v>8217</v>
      </c>
      <c r="AC558" t="s">
        <v>74</v>
      </c>
      <c r="AD558" t="s">
        <v>74</v>
      </c>
      <c r="AE558" t="s">
        <v>74</v>
      </c>
      <c r="AF558" t="s">
        <v>74</v>
      </c>
      <c r="AG558">
        <v>141</v>
      </c>
      <c r="AH558">
        <v>123</v>
      </c>
      <c r="AI558">
        <v>128</v>
      </c>
      <c r="AJ558">
        <v>0</v>
      </c>
      <c r="AK558">
        <v>8</v>
      </c>
      <c r="AL558" t="s">
        <v>649</v>
      </c>
      <c r="AM558" t="s">
        <v>486</v>
      </c>
      <c r="AN558" t="s">
        <v>650</v>
      </c>
      <c r="AO558" t="s">
        <v>651</v>
      </c>
      <c r="AP558" t="s">
        <v>652</v>
      </c>
      <c r="AQ558" t="s">
        <v>74</v>
      </c>
      <c r="AR558" t="s">
        <v>653</v>
      </c>
      <c r="AS558" t="s">
        <v>654</v>
      </c>
      <c r="AT558" t="s">
        <v>8218</v>
      </c>
      <c r="AU558">
        <v>2018</v>
      </c>
      <c r="AV558">
        <v>198</v>
      </c>
      <c r="AW558">
        <v>8</v>
      </c>
      <c r="AX558" t="s">
        <v>74</v>
      </c>
      <c r="AY558" t="s">
        <v>74</v>
      </c>
      <c r="AZ558" t="s">
        <v>74</v>
      </c>
      <c r="BA558" t="s">
        <v>74</v>
      </c>
      <c r="BB558">
        <v>1000</v>
      </c>
      <c r="BC558">
        <v>1011</v>
      </c>
      <c r="BD558" t="s">
        <v>74</v>
      </c>
      <c r="BE558" t="s">
        <v>8219</v>
      </c>
      <c r="BF558" t="str">
        <f>HYPERLINK("http://dx.doi.org/10.1164/rccm.201801-0095PP","http://dx.doi.org/10.1164/rccm.201801-0095PP")</f>
        <v>http://dx.doi.org/10.1164/rccm.201801-0095PP</v>
      </c>
      <c r="BG558" t="s">
        <v>74</v>
      </c>
      <c r="BH558" t="s">
        <v>74</v>
      </c>
      <c r="BI558">
        <v>12</v>
      </c>
      <c r="BJ558" t="s">
        <v>341</v>
      </c>
      <c r="BK558" t="s">
        <v>101</v>
      </c>
      <c r="BL558" t="s">
        <v>342</v>
      </c>
      <c r="BM558" t="s">
        <v>8220</v>
      </c>
      <c r="BN558">
        <v>29746142</v>
      </c>
      <c r="BO558" t="s">
        <v>74</v>
      </c>
      <c r="BP558" t="s">
        <v>74</v>
      </c>
      <c r="BQ558" t="s">
        <v>74</v>
      </c>
      <c r="BR558" t="s">
        <v>104</v>
      </c>
      <c r="BS558" t="s">
        <v>8221</v>
      </c>
      <c r="BT558" t="str">
        <f>HYPERLINK("https%3A%2F%2Fwww.webofscience.com%2Fwos%2Fwoscc%2Ffull-record%2FWOS:000447405000011","View Full Record in Web of Science")</f>
        <v>View Full Record in Web of Science</v>
      </c>
    </row>
    <row r="559" spans="1:72" x14ac:dyDescent="0.25">
      <c r="A559" t="s">
        <v>72</v>
      </c>
      <c r="B559" t="s">
        <v>8222</v>
      </c>
      <c r="C559" t="s">
        <v>74</v>
      </c>
      <c r="D559" t="s">
        <v>74</v>
      </c>
      <c r="E559" t="s">
        <v>74</v>
      </c>
      <c r="F559" t="s">
        <v>8223</v>
      </c>
      <c r="G559" t="s">
        <v>74</v>
      </c>
      <c r="H559" t="s">
        <v>74</v>
      </c>
      <c r="I559" t="s">
        <v>8224</v>
      </c>
      <c r="J559" t="s">
        <v>5285</v>
      </c>
      <c r="K559" t="s">
        <v>74</v>
      </c>
      <c r="L559" t="s">
        <v>74</v>
      </c>
      <c r="M559" t="s">
        <v>78</v>
      </c>
      <c r="N559" t="s">
        <v>79</v>
      </c>
      <c r="O559" t="s">
        <v>74</v>
      </c>
      <c r="P559" t="s">
        <v>74</v>
      </c>
      <c r="Q559" t="s">
        <v>74</v>
      </c>
      <c r="R559" t="s">
        <v>74</v>
      </c>
      <c r="S559" t="s">
        <v>74</v>
      </c>
      <c r="T559" t="s">
        <v>8225</v>
      </c>
      <c r="U559" t="s">
        <v>8226</v>
      </c>
      <c r="V559" t="s">
        <v>8227</v>
      </c>
      <c r="W559" t="s">
        <v>8228</v>
      </c>
      <c r="X559" t="s">
        <v>8229</v>
      </c>
      <c r="Y559" t="s">
        <v>8230</v>
      </c>
      <c r="Z559" t="s">
        <v>8231</v>
      </c>
      <c r="AA559" t="s">
        <v>8232</v>
      </c>
      <c r="AB559" t="s">
        <v>8233</v>
      </c>
      <c r="AC559" t="s">
        <v>8234</v>
      </c>
      <c r="AD559" t="s">
        <v>8235</v>
      </c>
      <c r="AE559" t="s">
        <v>8236</v>
      </c>
      <c r="AF559" t="s">
        <v>74</v>
      </c>
      <c r="AG559">
        <v>33</v>
      </c>
      <c r="AH559">
        <v>60</v>
      </c>
      <c r="AI559">
        <v>62</v>
      </c>
      <c r="AJ559">
        <v>0</v>
      </c>
      <c r="AK559">
        <v>6</v>
      </c>
      <c r="AL559" t="s">
        <v>122</v>
      </c>
      <c r="AM559" t="s">
        <v>123</v>
      </c>
      <c r="AN559" t="s">
        <v>124</v>
      </c>
      <c r="AO559" t="s">
        <v>5298</v>
      </c>
      <c r="AP559" t="s">
        <v>74</v>
      </c>
      <c r="AQ559" t="s">
        <v>74</v>
      </c>
      <c r="AR559" t="s">
        <v>5299</v>
      </c>
      <c r="AS559" t="s">
        <v>5300</v>
      </c>
      <c r="AT559" t="s">
        <v>420</v>
      </c>
      <c r="AU559">
        <v>2018</v>
      </c>
      <c r="AV559">
        <v>11</v>
      </c>
      <c r="AW559">
        <v>10</v>
      </c>
      <c r="AX559" t="s">
        <v>74</v>
      </c>
      <c r="AY559" t="s">
        <v>74</v>
      </c>
      <c r="AZ559" t="s">
        <v>74</v>
      </c>
      <c r="BA559" t="s">
        <v>74</v>
      </c>
      <c r="BB559" t="s">
        <v>74</v>
      </c>
      <c r="BC559" t="s">
        <v>74</v>
      </c>
      <c r="BD559" t="s">
        <v>8237</v>
      </c>
      <c r="BE559" t="s">
        <v>8238</v>
      </c>
      <c r="BF559" t="str">
        <f>HYPERLINK("http://dx.doi.org/10.1161/CIRCGEN.118.002087","http://dx.doi.org/10.1161/CIRCGEN.118.002087")</f>
        <v>http://dx.doi.org/10.1161/CIRCGEN.118.002087</v>
      </c>
      <c r="BG559" t="s">
        <v>74</v>
      </c>
      <c r="BH559" t="s">
        <v>74</v>
      </c>
      <c r="BI559">
        <v>9</v>
      </c>
      <c r="BJ559" t="s">
        <v>5303</v>
      </c>
      <c r="BK559" t="s">
        <v>101</v>
      </c>
      <c r="BL559" t="s">
        <v>5304</v>
      </c>
      <c r="BM559" t="s">
        <v>8239</v>
      </c>
      <c r="BN559">
        <v>30354297</v>
      </c>
      <c r="BO559" t="s">
        <v>4589</v>
      </c>
      <c r="BP559" t="s">
        <v>74</v>
      </c>
      <c r="BQ559" t="s">
        <v>74</v>
      </c>
      <c r="BR559" t="s">
        <v>104</v>
      </c>
      <c r="BS559" t="s">
        <v>8240</v>
      </c>
      <c r="BT559" t="str">
        <f>HYPERLINK("https%3A%2F%2Fwww.webofscience.com%2Fwos%2Fwoscc%2Ffull-record%2FWOS:000447465200004","View Full Record in Web of Science")</f>
        <v>View Full Record in Web of Science</v>
      </c>
    </row>
    <row r="560" spans="1:72" x14ac:dyDescent="0.25">
      <c r="A560" t="s">
        <v>72</v>
      </c>
      <c r="B560" t="s">
        <v>8241</v>
      </c>
      <c r="C560" t="s">
        <v>74</v>
      </c>
      <c r="D560" t="s">
        <v>74</v>
      </c>
      <c r="E560" t="s">
        <v>74</v>
      </c>
      <c r="F560" t="s">
        <v>8242</v>
      </c>
      <c r="G560" t="s">
        <v>74</v>
      </c>
      <c r="H560" t="s">
        <v>74</v>
      </c>
      <c r="I560" t="s">
        <v>8243</v>
      </c>
      <c r="J560" t="s">
        <v>324</v>
      </c>
      <c r="K560" t="s">
        <v>74</v>
      </c>
      <c r="L560" t="s">
        <v>74</v>
      </c>
      <c r="M560" t="s">
        <v>78</v>
      </c>
      <c r="N560" t="s">
        <v>79</v>
      </c>
      <c r="O560" t="s">
        <v>74</v>
      </c>
      <c r="P560" t="s">
        <v>74</v>
      </c>
      <c r="Q560" t="s">
        <v>74</v>
      </c>
      <c r="R560" t="s">
        <v>74</v>
      </c>
      <c r="S560" t="s">
        <v>74</v>
      </c>
      <c r="T560" t="s">
        <v>8244</v>
      </c>
      <c r="U560" t="s">
        <v>8245</v>
      </c>
      <c r="V560" t="s">
        <v>8246</v>
      </c>
      <c r="W560" t="s">
        <v>8247</v>
      </c>
      <c r="X560" t="s">
        <v>8248</v>
      </c>
      <c r="Y560" t="s">
        <v>8249</v>
      </c>
      <c r="Z560" t="s">
        <v>74</v>
      </c>
      <c r="AA560" t="s">
        <v>8250</v>
      </c>
      <c r="AB560" t="s">
        <v>8251</v>
      </c>
      <c r="AC560" t="s">
        <v>8252</v>
      </c>
      <c r="AD560" t="s">
        <v>6105</v>
      </c>
      <c r="AE560" t="s">
        <v>8253</v>
      </c>
      <c r="AF560" t="s">
        <v>74</v>
      </c>
      <c r="AG560">
        <v>37</v>
      </c>
      <c r="AH560">
        <v>11</v>
      </c>
      <c r="AI560">
        <v>12</v>
      </c>
      <c r="AJ560">
        <v>0</v>
      </c>
      <c r="AK560">
        <v>3</v>
      </c>
      <c r="AL560" t="s">
        <v>7467</v>
      </c>
      <c r="AM560" t="s">
        <v>93</v>
      </c>
      <c r="AN560" t="s">
        <v>7468</v>
      </c>
      <c r="AO560" t="s">
        <v>337</v>
      </c>
      <c r="AP560" t="s">
        <v>74</v>
      </c>
      <c r="AQ560" t="s">
        <v>74</v>
      </c>
      <c r="AR560" t="s">
        <v>324</v>
      </c>
      <c r="AS560" t="s">
        <v>339</v>
      </c>
      <c r="AT560" t="s">
        <v>420</v>
      </c>
      <c r="AU560">
        <v>2018</v>
      </c>
      <c r="AV560">
        <v>154</v>
      </c>
      <c r="AW560">
        <v>4</v>
      </c>
      <c r="AX560" t="s">
        <v>74</v>
      </c>
      <c r="AY560" t="s">
        <v>74</v>
      </c>
      <c r="AZ560" t="s">
        <v>74</v>
      </c>
      <c r="BA560" t="s">
        <v>74</v>
      </c>
      <c r="BB560">
        <v>882</v>
      </c>
      <c r="BC560">
        <v>892</v>
      </c>
      <c r="BD560" t="s">
        <v>74</v>
      </c>
      <c r="BE560" t="s">
        <v>8254</v>
      </c>
      <c r="BF560" t="str">
        <f>HYPERLINK("http://dx.doi.org/10.1016/j.chest.2018.06.015","http://dx.doi.org/10.1016/j.chest.2018.06.015")</f>
        <v>http://dx.doi.org/10.1016/j.chest.2018.06.015</v>
      </c>
      <c r="BG560" t="s">
        <v>74</v>
      </c>
      <c r="BH560" t="s">
        <v>74</v>
      </c>
      <c r="BI560">
        <v>11</v>
      </c>
      <c r="BJ560" t="s">
        <v>341</v>
      </c>
      <c r="BK560" t="s">
        <v>101</v>
      </c>
      <c r="BL560" t="s">
        <v>342</v>
      </c>
      <c r="BM560" t="s">
        <v>8255</v>
      </c>
      <c r="BN560">
        <v>29940163</v>
      </c>
      <c r="BO560" t="s">
        <v>74</v>
      </c>
      <c r="BP560" t="s">
        <v>74</v>
      </c>
      <c r="BQ560" t="s">
        <v>74</v>
      </c>
      <c r="BR560" t="s">
        <v>104</v>
      </c>
      <c r="BS560" t="s">
        <v>8256</v>
      </c>
      <c r="BT560" t="str">
        <f>HYPERLINK("https%3A%2F%2Fwww.webofscience.com%2Fwos%2Fwoscc%2Ffull-record%2FWOS:000446060400028","View Full Record in Web of Science")</f>
        <v>View Full Record in Web of Science</v>
      </c>
    </row>
    <row r="561" spans="1:72" x14ac:dyDescent="0.25">
      <c r="A561" t="s">
        <v>72</v>
      </c>
      <c r="B561" t="s">
        <v>8257</v>
      </c>
      <c r="C561" t="s">
        <v>74</v>
      </c>
      <c r="D561" t="s">
        <v>74</v>
      </c>
      <c r="E561" t="s">
        <v>74</v>
      </c>
      <c r="F561" t="s">
        <v>8258</v>
      </c>
      <c r="G561" t="s">
        <v>74</v>
      </c>
      <c r="H561" t="s">
        <v>74</v>
      </c>
      <c r="I561" t="s">
        <v>8259</v>
      </c>
      <c r="J561" t="s">
        <v>4285</v>
      </c>
      <c r="K561" t="s">
        <v>74</v>
      </c>
      <c r="L561" t="s">
        <v>74</v>
      </c>
      <c r="M561" t="s">
        <v>78</v>
      </c>
      <c r="N561" t="s">
        <v>299</v>
      </c>
      <c r="O561" t="s">
        <v>74</v>
      </c>
      <c r="P561" t="s">
        <v>74</v>
      </c>
      <c r="Q561" t="s">
        <v>74</v>
      </c>
      <c r="R561" t="s">
        <v>74</v>
      </c>
      <c r="S561" t="s">
        <v>74</v>
      </c>
      <c r="T561" t="s">
        <v>8260</v>
      </c>
      <c r="U561" t="s">
        <v>8261</v>
      </c>
      <c r="V561" t="s">
        <v>8262</v>
      </c>
      <c r="W561" t="s">
        <v>8263</v>
      </c>
      <c r="X561" t="s">
        <v>8264</v>
      </c>
      <c r="Y561" t="s">
        <v>8265</v>
      </c>
      <c r="Z561" t="s">
        <v>8266</v>
      </c>
      <c r="AA561" t="s">
        <v>8267</v>
      </c>
      <c r="AB561" t="s">
        <v>8268</v>
      </c>
      <c r="AC561" t="s">
        <v>8269</v>
      </c>
      <c r="AD561" t="s">
        <v>8270</v>
      </c>
      <c r="AE561" t="s">
        <v>8271</v>
      </c>
      <c r="AF561" t="s">
        <v>74</v>
      </c>
      <c r="AG561">
        <v>277</v>
      </c>
      <c r="AH561">
        <v>60</v>
      </c>
      <c r="AI561">
        <v>64</v>
      </c>
      <c r="AJ561">
        <v>0</v>
      </c>
      <c r="AK561">
        <v>20</v>
      </c>
      <c r="AL561" t="s">
        <v>1113</v>
      </c>
      <c r="AM561" t="s">
        <v>1114</v>
      </c>
      <c r="AN561" t="s">
        <v>1115</v>
      </c>
      <c r="AO561" t="s">
        <v>74</v>
      </c>
      <c r="AP561" t="s">
        <v>4299</v>
      </c>
      <c r="AQ561" t="s">
        <v>74</v>
      </c>
      <c r="AR561" t="s">
        <v>4300</v>
      </c>
      <c r="AS561" t="s">
        <v>4301</v>
      </c>
      <c r="AT561" t="s">
        <v>420</v>
      </c>
      <c r="AU561">
        <v>2018</v>
      </c>
      <c r="AV561">
        <v>19</v>
      </c>
      <c r="AW561">
        <v>10</v>
      </c>
      <c r="AX561" t="s">
        <v>74</v>
      </c>
      <c r="AY561" t="s">
        <v>74</v>
      </c>
      <c r="AZ561" t="s">
        <v>74</v>
      </c>
      <c r="BA561" t="s">
        <v>74</v>
      </c>
      <c r="BB561" t="s">
        <v>74</v>
      </c>
      <c r="BC561" t="s">
        <v>74</v>
      </c>
      <c r="BD561">
        <v>3162</v>
      </c>
      <c r="BE561" t="s">
        <v>8272</v>
      </c>
      <c r="BF561" t="str">
        <f>HYPERLINK("http://dx.doi.org/10.3390/ijms19103162","http://dx.doi.org/10.3390/ijms19103162")</f>
        <v>http://dx.doi.org/10.3390/ijms19103162</v>
      </c>
      <c r="BG561" t="s">
        <v>74</v>
      </c>
      <c r="BH561" t="s">
        <v>74</v>
      </c>
      <c r="BI561">
        <v>49</v>
      </c>
      <c r="BJ561" t="s">
        <v>4303</v>
      </c>
      <c r="BK561" t="s">
        <v>101</v>
      </c>
      <c r="BL561" t="s">
        <v>4304</v>
      </c>
      <c r="BM561" t="s">
        <v>8273</v>
      </c>
      <c r="BN561">
        <v>30322215</v>
      </c>
      <c r="BO561" t="s">
        <v>5014</v>
      </c>
      <c r="BP561" t="s">
        <v>74</v>
      </c>
      <c r="BQ561" t="s">
        <v>74</v>
      </c>
      <c r="BR561" t="s">
        <v>104</v>
      </c>
      <c r="BS561" t="s">
        <v>8274</v>
      </c>
      <c r="BT561" t="str">
        <f>HYPERLINK("https%3A%2F%2Fwww.webofscience.com%2Fwos%2Fwoscc%2Ffull-record%2FWOS:000448951000317","View Full Record in Web of Science")</f>
        <v>View Full Record in Web of Science</v>
      </c>
    </row>
    <row r="562" spans="1:72" x14ac:dyDescent="0.25">
      <c r="A562" t="s">
        <v>72</v>
      </c>
      <c r="B562" t="s">
        <v>8275</v>
      </c>
      <c r="C562" t="s">
        <v>74</v>
      </c>
      <c r="D562" t="s">
        <v>74</v>
      </c>
      <c r="E562" t="s">
        <v>74</v>
      </c>
      <c r="F562" t="s">
        <v>8276</v>
      </c>
      <c r="G562" t="s">
        <v>74</v>
      </c>
      <c r="H562" t="s">
        <v>74</v>
      </c>
      <c r="I562" t="s">
        <v>8277</v>
      </c>
      <c r="J562" t="s">
        <v>2105</v>
      </c>
      <c r="K562" t="s">
        <v>74</v>
      </c>
      <c r="L562" t="s">
        <v>74</v>
      </c>
      <c r="M562" t="s">
        <v>1349</v>
      </c>
      <c r="N562" t="s">
        <v>140</v>
      </c>
      <c r="O562" t="s">
        <v>74</v>
      </c>
      <c r="P562" t="s">
        <v>74</v>
      </c>
      <c r="Q562" t="s">
        <v>74</v>
      </c>
      <c r="R562" t="s">
        <v>74</v>
      </c>
      <c r="S562" t="s">
        <v>74</v>
      </c>
      <c r="T562" t="s">
        <v>74</v>
      </c>
      <c r="U562" t="s">
        <v>74</v>
      </c>
      <c r="V562" t="s">
        <v>74</v>
      </c>
      <c r="W562" t="s">
        <v>8278</v>
      </c>
      <c r="X562" t="s">
        <v>8279</v>
      </c>
      <c r="Y562" t="s">
        <v>8280</v>
      </c>
      <c r="Z562" t="s">
        <v>276</v>
      </c>
      <c r="AA562" t="s">
        <v>87</v>
      </c>
      <c r="AB562" t="s">
        <v>8281</v>
      </c>
      <c r="AC562" t="s">
        <v>74</v>
      </c>
      <c r="AD562" t="s">
        <v>74</v>
      </c>
      <c r="AE562" t="s">
        <v>74</v>
      </c>
      <c r="AF562" t="s">
        <v>74</v>
      </c>
      <c r="AG562">
        <v>13</v>
      </c>
      <c r="AH562">
        <v>0</v>
      </c>
      <c r="AI562">
        <v>0</v>
      </c>
      <c r="AJ562">
        <v>0</v>
      </c>
      <c r="AK562">
        <v>2</v>
      </c>
      <c r="AL562" t="s">
        <v>2113</v>
      </c>
      <c r="AM562" t="s">
        <v>2114</v>
      </c>
      <c r="AN562" t="s">
        <v>2115</v>
      </c>
      <c r="AO562" t="s">
        <v>2116</v>
      </c>
      <c r="AP562" t="s">
        <v>74</v>
      </c>
      <c r="AQ562" t="s">
        <v>74</v>
      </c>
      <c r="AR562" t="s">
        <v>2118</v>
      </c>
      <c r="AS562" t="s">
        <v>2119</v>
      </c>
      <c r="AT562" t="s">
        <v>420</v>
      </c>
      <c r="AU562">
        <v>2018</v>
      </c>
      <c r="AV562">
        <v>34</v>
      </c>
      <c r="AW562">
        <v>10</v>
      </c>
      <c r="AX562" t="s">
        <v>74</v>
      </c>
      <c r="AY562" t="s">
        <v>74</v>
      </c>
      <c r="AZ562" t="s">
        <v>74</v>
      </c>
      <c r="BA562" t="s">
        <v>74</v>
      </c>
      <c r="BB562">
        <v>765</v>
      </c>
      <c r="BC562">
        <v>768</v>
      </c>
      <c r="BD562" t="s">
        <v>74</v>
      </c>
      <c r="BE562" t="s">
        <v>8282</v>
      </c>
      <c r="BF562" t="str">
        <f>HYPERLINK("http://dx.doi.org/10.1051/medsci/2018201","http://dx.doi.org/10.1051/medsci/2018201")</f>
        <v>http://dx.doi.org/10.1051/medsci/2018201</v>
      </c>
      <c r="BG562" t="s">
        <v>74</v>
      </c>
      <c r="BH562" t="s">
        <v>74</v>
      </c>
      <c r="BI562">
        <v>4</v>
      </c>
      <c r="BJ562" t="s">
        <v>2122</v>
      </c>
      <c r="BK562" t="s">
        <v>101</v>
      </c>
      <c r="BL562" t="s">
        <v>2123</v>
      </c>
      <c r="BM562" t="s">
        <v>8283</v>
      </c>
      <c r="BN562">
        <v>30451672</v>
      </c>
      <c r="BO562" t="s">
        <v>2854</v>
      </c>
      <c r="BP562" t="s">
        <v>74</v>
      </c>
      <c r="BQ562" t="s">
        <v>74</v>
      </c>
      <c r="BR562" t="s">
        <v>104</v>
      </c>
      <c r="BS562" t="s">
        <v>8284</v>
      </c>
      <c r="BT562" t="str">
        <f>HYPERLINK("https%3A%2F%2Fwww.webofscience.com%2Fwos%2Fwoscc%2Ffull-record%2FWOS:000450515300002","View Full Record in Web of Science")</f>
        <v>View Full Record in Web of Science</v>
      </c>
    </row>
    <row r="563" spans="1:72" x14ac:dyDescent="0.25">
      <c r="A563" t="s">
        <v>72</v>
      </c>
      <c r="B563" t="s">
        <v>8285</v>
      </c>
      <c r="C563" t="s">
        <v>74</v>
      </c>
      <c r="D563" t="s">
        <v>74</v>
      </c>
      <c r="E563" t="s">
        <v>74</v>
      </c>
      <c r="F563" t="s">
        <v>8286</v>
      </c>
      <c r="G563" t="s">
        <v>74</v>
      </c>
      <c r="H563" t="s">
        <v>74</v>
      </c>
      <c r="I563" t="s">
        <v>8287</v>
      </c>
      <c r="J563" t="s">
        <v>216</v>
      </c>
      <c r="K563" t="s">
        <v>74</v>
      </c>
      <c r="L563" t="s">
        <v>74</v>
      </c>
      <c r="M563" t="s">
        <v>78</v>
      </c>
      <c r="N563" t="s">
        <v>79</v>
      </c>
      <c r="O563" t="s">
        <v>74</v>
      </c>
      <c r="P563" t="s">
        <v>74</v>
      </c>
      <c r="Q563" t="s">
        <v>74</v>
      </c>
      <c r="R563" t="s">
        <v>74</v>
      </c>
      <c r="S563" t="s">
        <v>74</v>
      </c>
      <c r="T563" t="s">
        <v>74</v>
      </c>
      <c r="U563" t="s">
        <v>8288</v>
      </c>
      <c r="V563" t="s">
        <v>8289</v>
      </c>
      <c r="W563" t="s">
        <v>8290</v>
      </c>
      <c r="X563" t="s">
        <v>8291</v>
      </c>
      <c r="Y563" t="s">
        <v>8292</v>
      </c>
      <c r="Z563" t="s">
        <v>86</v>
      </c>
      <c r="AA563" t="s">
        <v>8293</v>
      </c>
      <c r="AB563" t="s">
        <v>8294</v>
      </c>
      <c r="AC563" t="s">
        <v>8295</v>
      </c>
      <c r="AD563" t="s">
        <v>8296</v>
      </c>
      <c r="AE563" t="s">
        <v>8297</v>
      </c>
      <c r="AF563" t="s">
        <v>74</v>
      </c>
      <c r="AG563">
        <v>27</v>
      </c>
      <c r="AH563">
        <v>18</v>
      </c>
      <c r="AI563">
        <v>19</v>
      </c>
      <c r="AJ563">
        <v>0</v>
      </c>
      <c r="AK563">
        <v>2</v>
      </c>
      <c r="AL563" t="s">
        <v>219</v>
      </c>
      <c r="AM563" t="s">
        <v>220</v>
      </c>
      <c r="AN563" t="s">
        <v>221</v>
      </c>
      <c r="AO563" t="s">
        <v>222</v>
      </c>
      <c r="AP563" t="s">
        <v>223</v>
      </c>
      <c r="AQ563" t="s">
        <v>74</v>
      </c>
      <c r="AR563" t="s">
        <v>224</v>
      </c>
      <c r="AS563" t="s">
        <v>225</v>
      </c>
      <c r="AT563" t="s">
        <v>2820</v>
      </c>
      <c r="AU563">
        <v>2018</v>
      </c>
      <c r="AV563">
        <v>52</v>
      </c>
      <c r="AW563">
        <v>4</v>
      </c>
      <c r="AX563" t="s">
        <v>74</v>
      </c>
      <c r="AY563" t="s">
        <v>74</v>
      </c>
      <c r="AZ563" t="s">
        <v>74</v>
      </c>
      <c r="BA563" t="s">
        <v>74</v>
      </c>
      <c r="BB563" t="s">
        <v>74</v>
      </c>
      <c r="BC563" t="s">
        <v>74</v>
      </c>
      <c r="BD563">
        <v>1800272</v>
      </c>
      <c r="BE563" t="s">
        <v>8298</v>
      </c>
      <c r="BF563" t="str">
        <f>HYPERLINK("http://dx.doi.org/10.1183/13993003.00272-2018","http://dx.doi.org/10.1183/13993003.00272-2018")</f>
        <v>http://dx.doi.org/10.1183/13993003.00272-2018</v>
      </c>
      <c r="BG563" t="s">
        <v>74</v>
      </c>
      <c r="BH563" t="s">
        <v>74</v>
      </c>
      <c r="BI563">
        <v>10</v>
      </c>
      <c r="BJ563" t="s">
        <v>228</v>
      </c>
      <c r="BK563" t="s">
        <v>101</v>
      </c>
      <c r="BL563" t="s">
        <v>228</v>
      </c>
      <c r="BM563" t="s">
        <v>8299</v>
      </c>
      <c r="BN563">
        <v>30305330</v>
      </c>
      <c r="BO563" t="s">
        <v>74</v>
      </c>
      <c r="BP563" t="s">
        <v>74</v>
      </c>
      <c r="BQ563" t="s">
        <v>74</v>
      </c>
      <c r="BR563" t="s">
        <v>104</v>
      </c>
      <c r="BS563" t="s">
        <v>8300</v>
      </c>
      <c r="BT563" t="str">
        <f>HYPERLINK("https%3A%2F%2Fwww.webofscience.com%2Fwos%2Fwoscc%2Ffull-record%2FWOS:000452394200006","View Full Record in Web of Science")</f>
        <v>View Full Record in Web of Science</v>
      </c>
    </row>
    <row r="564" spans="1:72" x14ac:dyDescent="0.25">
      <c r="A564" t="s">
        <v>72</v>
      </c>
      <c r="B564" t="s">
        <v>8301</v>
      </c>
      <c r="C564" t="s">
        <v>74</v>
      </c>
      <c r="D564" t="s">
        <v>74</v>
      </c>
      <c r="E564" t="s">
        <v>74</v>
      </c>
      <c r="F564" t="s">
        <v>8302</v>
      </c>
      <c r="G564" t="s">
        <v>74</v>
      </c>
      <c r="H564" t="s">
        <v>74</v>
      </c>
      <c r="I564" t="s">
        <v>8303</v>
      </c>
      <c r="J564" t="s">
        <v>324</v>
      </c>
      <c r="K564" t="s">
        <v>74</v>
      </c>
      <c r="L564" t="s">
        <v>74</v>
      </c>
      <c r="M564" t="s">
        <v>78</v>
      </c>
      <c r="N564" t="s">
        <v>79</v>
      </c>
      <c r="O564" t="s">
        <v>74</v>
      </c>
      <c r="P564" t="s">
        <v>74</v>
      </c>
      <c r="Q564" t="s">
        <v>74</v>
      </c>
      <c r="R564" t="s">
        <v>74</v>
      </c>
      <c r="S564" t="s">
        <v>74</v>
      </c>
      <c r="T564" t="s">
        <v>8304</v>
      </c>
      <c r="U564" t="s">
        <v>8305</v>
      </c>
      <c r="V564" t="s">
        <v>8306</v>
      </c>
      <c r="W564" t="s">
        <v>8307</v>
      </c>
      <c r="X564" t="s">
        <v>8308</v>
      </c>
      <c r="Y564" t="s">
        <v>6448</v>
      </c>
      <c r="Z564" t="s">
        <v>5201</v>
      </c>
      <c r="AA564" t="s">
        <v>8309</v>
      </c>
      <c r="AB564" t="s">
        <v>8310</v>
      </c>
      <c r="AC564" t="s">
        <v>8311</v>
      </c>
      <c r="AD564" t="s">
        <v>8312</v>
      </c>
      <c r="AE564" t="s">
        <v>8313</v>
      </c>
      <c r="AF564" t="s">
        <v>74</v>
      </c>
      <c r="AG564">
        <v>32</v>
      </c>
      <c r="AH564">
        <v>43</v>
      </c>
      <c r="AI564">
        <v>45</v>
      </c>
      <c r="AJ564">
        <v>1</v>
      </c>
      <c r="AK564">
        <v>11</v>
      </c>
      <c r="AL564" t="s">
        <v>92</v>
      </c>
      <c r="AM564" t="s">
        <v>93</v>
      </c>
      <c r="AN564" t="s">
        <v>94</v>
      </c>
      <c r="AO564" t="s">
        <v>337</v>
      </c>
      <c r="AP564" t="s">
        <v>338</v>
      </c>
      <c r="AQ564" t="s">
        <v>74</v>
      </c>
      <c r="AR564" t="s">
        <v>324</v>
      </c>
      <c r="AS564" t="s">
        <v>339</v>
      </c>
      <c r="AT564" t="s">
        <v>420</v>
      </c>
      <c r="AU564">
        <v>2018</v>
      </c>
      <c r="AV564">
        <v>154</v>
      </c>
      <c r="AW564">
        <v>4</v>
      </c>
      <c r="AX564" t="s">
        <v>74</v>
      </c>
      <c r="AY564" t="s">
        <v>74</v>
      </c>
      <c r="AZ564" t="s">
        <v>74</v>
      </c>
      <c r="BA564" t="s">
        <v>74</v>
      </c>
      <c r="BB564">
        <v>872</v>
      </c>
      <c r="BC564">
        <v>881</v>
      </c>
      <c r="BD564" t="s">
        <v>74</v>
      </c>
      <c r="BE564" t="s">
        <v>8314</v>
      </c>
      <c r="BF564" t="str">
        <f>HYPERLINK("http://dx.doi.org/10.1016/j.chest.2018.05.006","http://dx.doi.org/10.1016/j.chest.2018.05.006")</f>
        <v>http://dx.doi.org/10.1016/j.chest.2018.05.006</v>
      </c>
      <c r="BG564" t="s">
        <v>74</v>
      </c>
      <c r="BH564" t="s">
        <v>74</v>
      </c>
      <c r="BI564">
        <v>10</v>
      </c>
      <c r="BJ564" t="s">
        <v>341</v>
      </c>
      <c r="BK564" t="s">
        <v>101</v>
      </c>
      <c r="BL564" t="s">
        <v>342</v>
      </c>
      <c r="BM564" t="s">
        <v>8255</v>
      </c>
      <c r="BN564">
        <v>29800550</v>
      </c>
      <c r="BO564" t="s">
        <v>74</v>
      </c>
      <c r="BP564" t="s">
        <v>74</v>
      </c>
      <c r="BQ564" t="s">
        <v>74</v>
      </c>
      <c r="BR564" t="s">
        <v>104</v>
      </c>
      <c r="BS564" t="s">
        <v>8315</v>
      </c>
      <c r="BT564" t="str">
        <f>HYPERLINK("https%3A%2F%2Fwww.webofscience.com%2Fwos%2Fwoscc%2Ffull-record%2FWOS:000446060400027","View Full Record in Web of Science")</f>
        <v>View Full Record in Web of Science</v>
      </c>
    </row>
    <row r="565" spans="1:72" x14ac:dyDescent="0.25">
      <c r="A565" t="s">
        <v>72</v>
      </c>
      <c r="B565" t="s">
        <v>8316</v>
      </c>
      <c r="C565" t="s">
        <v>74</v>
      </c>
      <c r="D565" t="s">
        <v>74</v>
      </c>
      <c r="E565" t="s">
        <v>74</v>
      </c>
      <c r="F565" t="s">
        <v>8317</v>
      </c>
      <c r="G565" t="s">
        <v>74</v>
      </c>
      <c r="H565" t="s">
        <v>74</v>
      </c>
      <c r="I565" t="s">
        <v>8318</v>
      </c>
      <c r="J565" t="s">
        <v>216</v>
      </c>
      <c r="K565" t="s">
        <v>74</v>
      </c>
      <c r="L565" t="s">
        <v>74</v>
      </c>
      <c r="M565" t="s">
        <v>78</v>
      </c>
      <c r="N565" t="s">
        <v>79</v>
      </c>
      <c r="O565" t="s">
        <v>74</v>
      </c>
      <c r="P565" t="s">
        <v>74</v>
      </c>
      <c r="Q565" t="s">
        <v>74</v>
      </c>
      <c r="R565" t="s">
        <v>74</v>
      </c>
      <c r="S565" t="s">
        <v>74</v>
      </c>
      <c r="T565" t="s">
        <v>74</v>
      </c>
      <c r="U565" t="s">
        <v>8319</v>
      </c>
      <c r="V565" t="s">
        <v>8320</v>
      </c>
      <c r="W565" t="s">
        <v>8321</v>
      </c>
      <c r="X565" t="s">
        <v>8322</v>
      </c>
      <c r="Y565" t="s">
        <v>8323</v>
      </c>
      <c r="Z565" t="s">
        <v>8324</v>
      </c>
      <c r="AA565" t="s">
        <v>8325</v>
      </c>
      <c r="AB565" t="s">
        <v>8326</v>
      </c>
      <c r="AC565" t="s">
        <v>8327</v>
      </c>
      <c r="AD565" t="s">
        <v>8328</v>
      </c>
      <c r="AE565" t="s">
        <v>8329</v>
      </c>
      <c r="AF565" t="s">
        <v>74</v>
      </c>
      <c r="AG565">
        <v>41</v>
      </c>
      <c r="AH565">
        <v>71</v>
      </c>
      <c r="AI565">
        <v>72</v>
      </c>
      <c r="AJ565">
        <v>0</v>
      </c>
      <c r="AK565">
        <v>4</v>
      </c>
      <c r="AL565" t="s">
        <v>219</v>
      </c>
      <c r="AM565" t="s">
        <v>220</v>
      </c>
      <c r="AN565" t="s">
        <v>221</v>
      </c>
      <c r="AO565" t="s">
        <v>222</v>
      </c>
      <c r="AP565" t="s">
        <v>223</v>
      </c>
      <c r="AQ565" t="s">
        <v>74</v>
      </c>
      <c r="AR565" t="s">
        <v>224</v>
      </c>
      <c r="AS565" t="s">
        <v>225</v>
      </c>
      <c r="AT565" t="s">
        <v>2820</v>
      </c>
      <c r="AU565">
        <v>2018</v>
      </c>
      <c r="AV565">
        <v>52</v>
      </c>
      <c r="AW565">
        <v>4</v>
      </c>
      <c r="AX565" t="s">
        <v>74</v>
      </c>
      <c r="AY565" t="s">
        <v>74</v>
      </c>
      <c r="AZ565" t="s">
        <v>74</v>
      </c>
      <c r="BA565" t="s">
        <v>74</v>
      </c>
      <c r="BB565" t="s">
        <v>74</v>
      </c>
      <c r="BC565" t="s">
        <v>74</v>
      </c>
      <c r="BD565">
        <v>1800678</v>
      </c>
      <c r="BE565" t="s">
        <v>8330</v>
      </c>
      <c r="BF565" t="str">
        <f>HYPERLINK("http://dx.doi.org/10.1183/13993003.00678-2018","http://dx.doi.org/10.1183/13993003.00678-2018")</f>
        <v>http://dx.doi.org/10.1183/13993003.00678-2018</v>
      </c>
      <c r="BG565" t="s">
        <v>74</v>
      </c>
      <c r="BH565" t="s">
        <v>74</v>
      </c>
      <c r="BI565">
        <v>14</v>
      </c>
      <c r="BJ565" t="s">
        <v>228</v>
      </c>
      <c r="BK565" t="s">
        <v>101</v>
      </c>
      <c r="BL565" t="s">
        <v>228</v>
      </c>
      <c r="BM565" t="s">
        <v>8299</v>
      </c>
      <c r="BN565">
        <v>30209196</v>
      </c>
      <c r="BO565" t="s">
        <v>1194</v>
      </c>
      <c r="BP565" t="s">
        <v>74</v>
      </c>
      <c r="BQ565" t="s">
        <v>74</v>
      </c>
      <c r="BR565" t="s">
        <v>104</v>
      </c>
      <c r="BS565" t="s">
        <v>8331</v>
      </c>
      <c r="BT565" t="str">
        <f>HYPERLINK("https%3A%2F%2Fwww.webofscience.com%2Fwos%2Fwoscc%2Ffull-record%2FWOS:000452394200012","View Full Record in Web of Science")</f>
        <v>View Full Record in Web of Science</v>
      </c>
    </row>
    <row r="566" spans="1:72" x14ac:dyDescent="0.25">
      <c r="A566" t="s">
        <v>72</v>
      </c>
      <c r="B566" t="s">
        <v>8332</v>
      </c>
      <c r="C566" t="s">
        <v>74</v>
      </c>
      <c r="D566" t="s">
        <v>74</v>
      </c>
      <c r="E566" t="s">
        <v>74</v>
      </c>
      <c r="F566" t="s">
        <v>8333</v>
      </c>
      <c r="G566" t="s">
        <v>74</v>
      </c>
      <c r="H566" t="s">
        <v>74</v>
      </c>
      <c r="I566" t="s">
        <v>8334</v>
      </c>
      <c r="J566" t="s">
        <v>814</v>
      </c>
      <c r="K566" t="s">
        <v>74</v>
      </c>
      <c r="L566" t="s">
        <v>74</v>
      </c>
      <c r="M566" t="s">
        <v>78</v>
      </c>
      <c r="N566" t="s">
        <v>79</v>
      </c>
      <c r="O566" t="s">
        <v>74</v>
      </c>
      <c r="P566" t="s">
        <v>74</v>
      </c>
      <c r="Q566" t="s">
        <v>74</v>
      </c>
      <c r="R566" t="s">
        <v>74</v>
      </c>
      <c r="S566" t="s">
        <v>74</v>
      </c>
      <c r="T566" t="s">
        <v>74</v>
      </c>
      <c r="U566" t="s">
        <v>8335</v>
      </c>
      <c r="V566" t="s">
        <v>8336</v>
      </c>
      <c r="W566" t="s">
        <v>8337</v>
      </c>
      <c r="X566" t="s">
        <v>8338</v>
      </c>
      <c r="Y566" t="s">
        <v>8339</v>
      </c>
      <c r="Z566" t="s">
        <v>331</v>
      </c>
      <c r="AA566" t="s">
        <v>8340</v>
      </c>
      <c r="AB566" t="s">
        <v>8341</v>
      </c>
      <c r="AC566" t="s">
        <v>74</v>
      </c>
      <c r="AD566" t="s">
        <v>74</v>
      </c>
      <c r="AE566" t="s">
        <v>74</v>
      </c>
      <c r="AF566" t="s">
        <v>74</v>
      </c>
      <c r="AG566">
        <v>78</v>
      </c>
      <c r="AH566">
        <v>18</v>
      </c>
      <c r="AI566">
        <v>18</v>
      </c>
      <c r="AJ566">
        <v>0</v>
      </c>
      <c r="AK566">
        <v>3</v>
      </c>
      <c r="AL566" t="s">
        <v>219</v>
      </c>
      <c r="AM566" t="s">
        <v>220</v>
      </c>
      <c r="AN566" t="s">
        <v>221</v>
      </c>
      <c r="AO566" t="s">
        <v>823</v>
      </c>
      <c r="AP566" t="s">
        <v>824</v>
      </c>
      <c r="AQ566" t="s">
        <v>74</v>
      </c>
      <c r="AR566" t="s">
        <v>825</v>
      </c>
      <c r="AS566" t="s">
        <v>826</v>
      </c>
      <c r="AT566" t="s">
        <v>2883</v>
      </c>
      <c r="AU566">
        <v>2018</v>
      </c>
      <c r="AV566">
        <v>27</v>
      </c>
      <c r="AW566">
        <v>149</v>
      </c>
      <c r="AX566" t="s">
        <v>74</v>
      </c>
      <c r="AY566" t="s">
        <v>74</v>
      </c>
      <c r="AZ566" t="s">
        <v>74</v>
      </c>
      <c r="BA566" t="s">
        <v>74</v>
      </c>
      <c r="BB566" t="s">
        <v>74</v>
      </c>
      <c r="BC566" t="s">
        <v>74</v>
      </c>
      <c r="BD566">
        <v>180053</v>
      </c>
      <c r="BE566" t="s">
        <v>8342</v>
      </c>
      <c r="BF566" t="str">
        <f>HYPERLINK("http://dx.doi.org/10.1183/16000617.0053-2018","http://dx.doi.org/10.1183/16000617.0053-2018")</f>
        <v>http://dx.doi.org/10.1183/16000617.0053-2018</v>
      </c>
      <c r="BG566" t="s">
        <v>74</v>
      </c>
      <c r="BH566" t="s">
        <v>74</v>
      </c>
      <c r="BI566">
        <v>13</v>
      </c>
      <c r="BJ566" t="s">
        <v>228</v>
      </c>
      <c r="BK566" t="s">
        <v>101</v>
      </c>
      <c r="BL566" t="s">
        <v>228</v>
      </c>
      <c r="BM566" t="s">
        <v>8343</v>
      </c>
      <c r="BN566">
        <v>30158278</v>
      </c>
      <c r="BO566" t="s">
        <v>1665</v>
      </c>
      <c r="BP566" t="s">
        <v>74</v>
      </c>
      <c r="BQ566" t="s">
        <v>74</v>
      </c>
      <c r="BR566" t="s">
        <v>104</v>
      </c>
      <c r="BS566" t="s">
        <v>8344</v>
      </c>
      <c r="BT566" t="str">
        <f>HYPERLINK("https%3A%2F%2Fwww.webofscience.com%2Fwos%2Fwoscc%2Ffull-record%2FWOS:000450326600007","View Full Record in Web of Science")</f>
        <v>View Full Record in Web of Science</v>
      </c>
    </row>
    <row r="567" spans="1:72" x14ac:dyDescent="0.25">
      <c r="A567" t="s">
        <v>72</v>
      </c>
      <c r="B567" t="s">
        <v>8345</v>
      </c>
      <c r="C567" t="s">
        <v>74</v>
      </c>
      <c r="D567" t="s">
        <v>74</v>
      </c>
      <c r="E567" t="s">
        <v>74</v>
      </c>
      <c r="F567" t="s">
        <v>8346</v>
      </c>
      <c r="G567" t="s">
        <v>74</v>
      </c>
      <c r="H567" t="s">
        <v>74</v>
      </c>
      <c r="I567" t="s">
        <v>8347</v>
      </c>
      <c r="J567" t="s">
        <v>216</v>
      </c>
      <c r="K567" t="s">
        <v>74</v>
      </c>
      <c r="L567" t="s">
        <v>74</v>
      </c>
      <c r="M567" t="s">
        <v>78</v>
      </c>
      <c r="N567" t="s">
        <v>52</v>
      </c>
      <c r="O567" t="s">
        <v>8348</v>
      </c>
      <c r="P567" t="s">
        <v>8349</v>
      </c>
      <c r="Q567" t="s">
        <v>7094</v>
      </c>
      <c r="R567" t="s">
        <v>2954</v>
      </c>
      <c r="S567" t="s">
        <v>74</v>
      </c>
      <c r="T567" t="s">
        <v>74</v>
      </c>
      <c r="U567" t="s">
        <v>74</v>
      </c>
      <c r="V567" t="s">
        <v>74</v>
      </c>
      <c r="W567" t="s">
        <v>8350</v>
      </c>
      <c r="X567" t="s">
        <v>8351</v>
      </c>
      <c r="Y567" t="s">
        <v>74</v>
      </c>
      <c r="Z567" t="s">
        <v>74</v>
      </c>
      <c r="AA567" t="s">
        <v>8352</v>
      </c>
      <c r="AB567" t="s">
        <v>8353</v>
      </c>
      <c r="AC567" t="s">
        <v>74</v>
      </c>
      <c r="AD567" t="s">
        <v>74</v>
      </c>
      <c r="AE567" t="s">
        <v>74</v>
      </c>
      <c r="AF567" t="s">
        <v>74</v>
      </c>
      <c r="AG567">
        <v>0</v>
      </c>
      <c r="AH567">
        <v>0</v>
      </c>
      <c r="AI567">
        <v>0</v>
      </c>
      <c r="AJ567">
        <v>0</v>
      </c>
      <c r="AK567">
        <v>1</v>
      </c>
      <c r="AL567" t="s">
        <v>219</v>
      </c>
      <c r="AM567" t="s">
        <v>220</v>
      </c>
      <c r="AN567" t="s">
        <v>221</v>
      </c>
      <c r="AO567" t="s">
        <v>222</v>
      </c>
      <c r="AP567" t="s">
        <v>223</v>
      </c>
      <c r="AQ567" t="s">
        <v>74</v>
      </c>
      <c r="AR567" t="s">
        <v>224</v>
      </c>
      <c r="AS567" t="s">
        <v>225</v>
      </c>
      <c r="AT567" t="s">
        <v>5777</v>
      </c>
      <c r="AU567">
        <v>2018</v>
      </c>
      <c r="AV567">
        <v>52</v>
      </c>
      <c r="AW567" t="s">
        <v>74</v>
      </c>
      <c r="AX567" t="s">
        <v>74</v>
      </c>
      <c r="AY567">
        <v>62</v>
      </c>
      <c r="AZ567" t="s">
        <v>74</v>
      </c>
      <c r="BA567" t="s">
        <v>8354</v>
      </c>
      <c r="BB567" t="s">
        <v>74</v>
      </c>
      <c r="BC567" t="s">
        <v>74</v>
      </c>
      <c r="BD567" t="s">
        <v>74</v>
      </c>
      <c r="BE567" t="s">
        <v>8355</v>
      </c>
      <c r="BF567" t="str">
        <f>HYPERLINK("http://dx.doi.org/10.1183/13993003.congress-2018.PA3936","http://dx.doi.org/10.1183/13993003.congress-2018.PA3936")</f>
        <v>http://dx.doi.org/10.1183/13993003.congress-2018.PA3936</v>
      </c>
      <c r="BG567" t="s">
        <v>74</v>
      </c>
      <c r="BH567" t="s">
        <v>74</v>
      </c>
      <c r="BI567">
        <v>2</v>
      </c>
      <c r="BJ567" t="s">
        <v>228</v>
      </c>
      <c r="BK567" t="s">
        <v>512</v>
      </c>
      <c r="BL567" t="s">
        <v>228</v>
      </c>
      <c r="BM567" t="s">
        <v>8356</v>
      </c>
      <c r="BN567" t="s">
        <v>74</v>
      </c>
      <c r="BO567" t="s">
        <v>74</v>
      </c>
      <c r="BP567" t="s">
        <v>74</v>
      </c>
      <c r="BQ567" t="s">
        <v>74</v>
      </c>
      <c r="BR567" t="s">
        <v>104</v>
      </c>
      <c r="BS567" t="s">
        <v>8357</v>
      </c>
      <c r="BT567" t="str">
        <f>HYPERLINK("https%3A%2F%2Fwww.webofscience.com%2Fwos%2Fwoscc%2Ffull-record%2FWOS:000455567105070","View Full Record in Web of Science")</f>
        <v>View Full Record in Web of Science</v>
      </c>
    </row>
    <row r="568" spans="1:72" x14ac:dyDescent="0.25">
      <c r="A568" t="s">
        <v>72</v>
      </c>
      <c r="B568" t="s">
        <v>8358</v>
      </c>
      <c r="C568" t="s">
        <v>74</v>
      </c>
      <c r="D568" t="s">
        <v>74</v>
      </c>
      <c r="E568" t="s">
        <v>74</v>
      </c>
      <c r="F568" t="s">
        <v>8359</v>
      </c>
      <c r="G568" t="s">
        <v>74</v>
      </c>
      <c r="H568" t="s">
        <v>74</v>
      </c>
      <c r="I568" t="s">
        <v>8360</v>
      </c>
      <c r="J568" t="s">
        <v>216</v>
      </c>
      <c r="K568" t="s">
        <v>74</v>
      </c>
      <c r="L568" t="s">
        <v>74</v>
      </c>
      <c r="M568" t="s">
        <v>78</v>
      </c>
      <c r="N568" t="s">
        <v>52</v>
      </c>
      <c r="O568" t="s">
        <v>8348</v>
      </c>
      <c r="P568" t="s">
        <v>8349</v>
      </c>
      <c r="Q568" t="s">
        <v>7094</v>
      </c>
      <c r="R568" t="s">
        <v>2954</v>
      </c>
      <c r="S568" t="s">
        <v>74</v>
      </c>
      <c r="T568" t="s">
        <v>74</v>
      </c>
      <c r="U568" t="s">
        <v>74</v>
      </c>
      <c r="V568" t="s">
        <v>74</v>
      </c>
      <c r="W568" t="s">
        <v>8361</v>
      </c>
      <c r="X568" t="s">
        <v>8362</v>
      </c>
      <c r="Y568" t="s">
        <v>74</v>
      </c>
      <c r="Z568" t="s">
        <v>74</v>
      </c>
      <c r="AA568" t="s">
        <v>8363</v>
      </c>
      <c r="AB568" t="s">
        <v>74</v>
      </c>
      <c r="AC568" t="s">
        <v>8364</v>
      </c>
      <c r="AD568" t="s">
        <v>4875</v>
      </c>
      <c r="AE568" t="s">
        <v>8365</v>
      </c>
      <c r="AF568" t="s">
        <v>74</v>
      </c>
      <c r="AG568">
        <v>0</v>
      </c>
      <c r="AH568">
        <v>0</v>
      </c>
      <c r="AI568">
        <v>0</v>
      </c>
      <c r="AJ568">
        <v>0</v>
      </c>
      <c r="AK568">
        <v>0</v>
      </c>
      <c r="AL568" t="s">
        <v>219</v>
      </c>
      <c r="AM568" t="s">
        <v>220</v>
      </c>
      <c r="AN568" t="s">
        <v>221</v>
      </c>
      <c r="AO568" t="s">
        <v>222</v>
      </c>
      <c r="AP568" t="s">
        <v>223</v>
      </c>
      <c r="AQ568" t="s">
        <v>74</v>
      </c>
      <c r="AR568" t="s">
        <v>224</v>
      </c>
      <c r="AS568" t="s">
        <v>225</v>
      </c>
      <c r="AT568" t="s">
        <v>5777</v>
      </c>
      <c r="AU568">
        <v>2018</v>
      </c>
      <c r="AV568">
        <v>52</v>
      </c>
      <c r="AW568" t="s">
        <v>74</v>
      </c>
      <c r="AX568" t="s">
        <v>74</v>
      </c>
      <c r="AY568">
        <v>62</v>
      </c>
      <c r="AZ568" t="s">
        <v>74</v>
      </c>
      <c r="BA568" t="s">
        <v>8366</v>
      </c>
      <c r="BB568" t="s">
        <v>74</v>
      </c>
      <c r="BC568" t="s">
        <v>74</v>
      </c>
      <c r="BD568" t="s">
        <v>74</v>
      </c>
      <c r="BE568" t="s">
        <v>8367</v>
      </c>
      <c r="BF568" t="str">
        <f>HYPERLINK("http://dx.doi.org/10.1183/13993003.congress-2018.OA3566","http://dx.doi.org/10.1183/13993003.congress-2018.OA3566")</f>
        <v>http://dx.doi.org/10.1183/13993003.congress-2018.OA3566</v>
      </c>
      <c r="BG568" t="s">
        <v>74</v>
      </c>
      <c r="BH568" t="s">
        <v>74</v>
      </c>
      <c r="BI568">
        <v>3</v>
      </c>
      <c r="BJ568" t="s">
        <v>228</v>
      </c>
      <c r="BK568" t="s">
        <v>512</v>
      </c>
      <c r="BL568" t="s">
        <v>228</v>
      </c>
      <c r="BM568" t="s">
        <v>8356</v>
      </c>
      <c r="BN568" t="s">
        <v>74</v>
      </c>
      <c r="BO568" t="s">
        <v>74</v>
      </c>
      <c r="BP568" t="s">
        <v>74</v>
      </c>
      <c r="BQ568" t="s">
        <v>74</v>
      </c>
      <c r="BR568" t="s">
        <v>104</v>
      </c>
      <c r="BS568" t="s">
        <v>8368</v>
      </c>
      <c r="BT568" t="str">
        <f>HYPERLINK("https%3A%2F%2Fwww.webofscience.com%2Fwos%2Fwoscc%2Ffull-record%2FWOS:000455567100278","View Full Record in Web of Science")</f>
        <v>View Full Record in Web of Science</v>
      </c>
    </row>
    <row r="569" spans="1:72" x14ac:dyDescent="0.25">
      <c r="A569" t="s">
        <v>72</v>
      </c>
      <c r="B569" t="s">
        <v>8369</v>
      </c>
      <c r="C569" t="s">
        <v>74</v>
      </c>
      <c r="D569" t="s">
        <v>74</v>
      </c>
      <c r="E569" t="s">
        <v>74</v>
      </c>
      <c r="F569" t="s">
        <v>8370</v>
      </c>
      <c r="G569" t="s">
        <v>74</v>
      </c>
      <c r="H569" t="s">
        <v>74</v>
      </c>
      <c r="I569" t="s">
        <v>8371</v>
      </c>
      <c r="J569" t="s">
        <v>216</v>
      </c>
      <c r="K569" t="s">
        <v>74</v>
      </c>
      <c r="L569" t="s">
        <v>74</v>
      </c>
      <c r="M569" t="s">
        <v>78</v>
      </c>
      <c r="N569" t="s">
        <v>52</v>
      </c>
      <c r="O569" t="s">
        <v>8348</v>
      </c>
      <c r="P569" t="s">
        <v>8349</v>
      </c>
      <c r="Q569" t="s">
        <v>7094</v>
      </c>
      <c r="R569" t="s">
        <v>2954</v>
      </c>
      <c r="S569" t="s">
        <v>74</v>
      </c>
      <c r="T569" t="s">
        <v>74</v>
      </c>
      <c r="U569" t="s">
        <v>74</v>
      </c>
      <c r="V569" t="s">
        <v>74</v>
      </c>
      <c r="W569" t="s">
        <v>8372</v>
      </c>
      <c r="X569" t="s">
        <v>8373</v>
      </c>
      <c r="Y569" t="s">
        <v>74</v>
      </c>
      <c r="Z569" t="s">
        <v>74</v>
      </c>
      <c r="AA569" t="s">
        <v>8374</v>
      </c>
      <c r="AB569" t="s">
        <v>5709</v>
      </c>
      <c r="AC569" t="s">
        <v>74</v>
      </c>
      <c r="AD569" t="s">
        <v>74</v>
      </c>
      <c r="AE569" t="s">
        <v>74</v>
      </c>
      <c r="AF569" t="s">
        <v>74</v>
      </c>
      <c r="AG569">
        <v>0</v>
      </c>
      <c r="AH569">
        <v>4</v>
      </c>
      <c r="AI569">
        <v>4</v>
      </c>
      <c r="AJ569">
        <v>0</v>
      </c>
      <c r="AK569">
        <v>0</v>
      </c>
      <c r="AL569" t="s">
        <v>219</v>
      </c>
      <c r="AM569" t="s">
        <v>220</v>
      </c>
      <c r="AN569" t="s">
        <v>221</v>
      </c>
      <c r="AO569" t="s">
        <v>222</v>
      </c>
      <c r="AP569" t="s">
        <v>223</v>
      </c>
      <c r="AQ569" t="s">
        <v>74</v>
      </c>
      <c r="AR569" t="s">
        <v>224</v>
      </c>
      <c r="AS569" t="s">
        <v>225</v>
      </c>
      <c r="AT569" t="s">
        <v>5777</v>
      </c>
      <c r="AU569">
        <v>2018</v>
      </c>
      <c r="AV569">
        <v>52</v>
      </c>
      <c r="AW569" t="s">
        <v>74</v>
      </c>
      <c r="AX569" t="s">
        <v>74</v>
      </c>
      <c r="AY569">
        <v>62</v>
      </c>
      <c r="AZ569" t="s">
        <v>74</v>
      </c>
      <c r="BA569" t="s">
        <v>8375</v>
      </c>
      <c r="BB569" t="s">
        <v>74</v>
      </c>
      <c r="BC569" t="s">
        <v>74</v>
      </c>
      <c r="BD569" t="s">
        <v>74</v>
      </c>
      <c r="BE569" t="s">
        <v>8376</v>
      </c>
      <c r="BF569" t="str">
        <f>HYPERLINK("http://dx.doi.org/10.1183/13993003.congress-2018.OA271","http://dx.doi.org/10.1183/13993003.congress-2018.OA271")</f>
        <v>http://dx.doi.org/10.1183/13993003.congress-2018.OA271</v>
      </c>
      <c r="BG569" t="s">
        <v>74</v>
      </c>
      <c r="BH569" t="s">
        <v>74</v>
      </c>
      <c r="BI569">
        <v>1</v>
      </c>
      <c r="BJ569" t="s">
        <v>228</v>
      </c>
      <c r="BK569" t="s">
        <v>512</v>
      </c>
      <c r="BL569" t="s">
        <v>228</v>
      </c>
      <c r="BM569" t="s">
        <v>8356</v>
      </c>
      <c r="BN569" t="s">
        <v>74</v>
      </c>
      <c r="BO569" t="s">
        <v>74</v>
      </c>
      <c r="BP569" t="s">
        <v>74</v>
      </c>
      <c r="BQ569" t="s">
        <v>74</v>
      </c>
      <c r="BR569" t="s">
        <v>104</v>
      </c>
      <c r="BS569" t="s">
        <v>8377</v>
      </c>
      <c r="BT569" t="str">
        <f>HYPERLINK("https%3A%2F%2Fwww.webofscience.com%2Fwos%2Fwoscc%2Ffull-record%2FWOS:000455567100176","View Full Record in Web of Science")</f>
        <v>View Full Record in Web of Science</v>
      </c>
    </row>
    <row r="570" spans="1:72" x14ac:dyDescent="0.25">
      <c r="A570" t="s">
        <v>72</v>
      </c>
      <c r="B570" t="s">
        <v>8378</v>
      </c>
      <c r="C570" t="s">
        <v>74</v>
      </c>
      <c r="D570" t="s">
        <v>74</v>
      </c>
      <c r="E570" t="s">
        <v>74</v>
      </c>
      <c r="F570" t="s">
        <v>8379</v>
      </c>
      <c r="G570" t="s">
        <v>74</v>
      </c>
      <c r="H570" t="s">
        <v>74</v>
      </c>
      <c r="I570" t="s">
        <v>8380</v>
      </c>
      <c r="J570" t="s">
        <v>216</v>
      </c>
      <c r="K570" t="s">
        <v>74</v>
      </c>
      <c r="L570" t="s">
        <v>74</v>
      </c>
      <c r="M570" t="s">
        <v>78</v>
      </c>
      <c r="N570" t="s">
        <v>52</v>
      </c>
      <c r="O570" t="s">
        <v>8348</v>
      </c>
      <c r="P570" t="s">
        <v>8349</v>
      </c>
      <c r="Q570" t="s">
        <v>7094</v>
      </c>
      <c r="R570" t="s">
        <v>2954</v>
      </c>
      <c r="S570" t="s">
        <v>74</v>
      </c>
      <c r="T570" t="s">
        <v>74</v>
      </c>
      <c r="U570" t="s">
        <v>74</v>
      </c>
      <c r="V570" t="s">
        <v>74</v>
      </c>
      <c r="W570" t="s">
        <v>8381</v>
      </c>
      <c r="X570" t="s">
        <v>8382</v>
      </c>
      <c r="Y570" t="s">
        <v>74</v>
      </c>
      <c r="Z570" t="s">
        <v>74</v>
      </c>
      <c r="AA570" t="s">
        <v>8383</v>
      </c>
      <c r="AB570" t="s">
        <v>7098</v>
      </c>
      <c r="AC570" t="s">
        <v>74</v>
      </c>
      <c r="AD570" t="s">
        <v>74</v>
      </c>
      <c r="AE570" t="s">
        <v>74</v>
      </c>
      <c r="AF570" t="s">
        <v>74</v>
      </c>
      <c r="AG570">
        <v>0</v>
      </c>
      <c r="AH570">
        <v>1</v>
      </c>
      <c r="AI570">
        <v>1</v>
      </c>
      <c r="AJ570">
        <v>0</v>
      </c>
      <c r="AK570">
        <v>0</v>
      </c>
      <c r="AL570" t="s">
        <v>219</v>
      </c>
      <c r="AM570" t="s">
        <v>220</v>
      </c>
      <c r="AN570" t="s">
        <v>221</v>
      </c>
      <c r="AO570" t="s">
        <v>222</v>
      </c>
      <c r="AP570" t="s">
        <v>223</v>
      </c>
      <c r="AQ570" t="s">
        <v>74</v>
      </c>
      <c r="AR570" t="s">
        <v>224</v>
      </c>
      <c r="AS570" t="s">
        <v>225</v>
      </c>
      <c r="AT570" t="s">
        <v>5777</v>
      </c>
      <c r="AU570">
        <v>2018</v>
      </c>
      <c r="AV570">
        <v>52</v>
      </c>
      <c r="AW570" t="s">
        <v>74</v>
      </c>
      <c r="AX570" t="s">
        <v>74</v>
      </c>
      <c r="AY570">
        <v>62</v>
      </c>
      <c r="AZ570" t="s">
        <v>74</v>
      </c>
      <c r="BA570" t="s">
        <v>8384</v>
      </c>
      <c r="BB570" t="s">
        <v>74</v>
      </c>
      <c r="BC570" t="s">
        <v>74</v>
      </c>
      <c r="BD570" t="s">
        <v>74</v>
      </c>
      <c r="BE570" t="s">
        <v>8385</v>
      </c>
      <c r="BF570" t="str">
        <f>HYPERLINK("http://dx.doi.org/10.1183/13993003.congress-2018.PA3315","http://dx.doi.org/10.1183/13993003.congress-2018.PA3315")</f>
        <v>http://dx.doi.org/10.1183/13993003.congress-2018.PA3315</v>
      </c>
      <c r="BG570" t="s">
        <v>74</v>
      </c>
      <c r="BH570" t="s">
        <v>74</v>
      </c>
      <c r="BI570">
        <v>2</v>
      </c>
      <c r="BJ570" t="s">
        <v>228</v>
      </c>
      <c r="BK570" t="s">
        <v>512</v>
      </c>
      <c r="BL570" t="s">
        <v>228</v>
      </c>
      <c r="BM570" t="s">
        <v>8356</v>
      </c>
      <c r="BN570" t="s">
        <v>74</v>
      </c>
      <c r="BO570" t="s">
        <v>74</v>
      </c>
      <c r="BP570" t="s">
        <v>74</v>
      </c>
      <c r="BQ570" t="s">
        <v>74</v>
      </c>
      <c r="BR570" t="s">
        <v>104</v>
      </c>
      <c r="BS570" t="s">
        <v>8386</v>
      </c>
      <c r="BT570" t="str">
        <f>HYPERLINK("https%3A%2F%2Fwww.webofscience.com%2Fwos%2Fwoscc%2Ffull-record%2FWOS:000455567104218","View Full Record in Web of Science")</f>
        <v>View Full Record in Web of Science</v>
      </c>
    </row>
    <row r="571" spans="1:72" x14ac:dyDescent="0.25">
      <c r="A571" t="s">
        <v>72</v>
      </c>
      <c r="B571" t="s">
        <v>8387</v>
      </c>
      <c r="C571" t="s">
        <v>74</v>
      </c>
      <c r="D571" t="s">
        <v>74</v>
      </c>
      <c r="E571" t="s">
        <v>74</v>
      </c>
      <c r="F571" t="s">
        <v>8388</v>
      </c>
      <c r="G571" t="s">
        <v>74</v>
      </c>
      <c r="H571" t="s">
        <v>74</v>
      </c>
      <c r="I571" t="s">
        <v>8389</v>
      </c>
      <c r="J571" t="s">
        <v>216</v>
      </c>
      <c r="K571" t="s">
        <v>74</v>
      </c>
      <c r="L571" t="s">
        <v>74</v>
      </c>
      <c r="M571" t="s">
        <v>78</v>
      </c>
      <c r="N571" t="s">
        <v>52</v>
      </c>
      <c r="O571" t="s">
        <v>8348</v>
      </c>
      <c r="P571" t="s">
        <v>8349</v>
      </c>
      <c r="Q571" t="s">
        <v>7094</v>
      </c>
      <c r="R571" t="s">
        <v>2954</v>
      </c>
      <c r="S571" t="s">
        <v>74</v>
      </c>
      <c r="T571" t="s">
        <v>74</v>
      </c>
      <c r="U571" t="s">
        <v>74</v>
      </c>
      <c r="V571" t="s">
        <v>74</v>
      </c>
      <c r="W571" t="s">
        <v>8390</v>
      </c>
      <c r="X571" t="s">
        <v>8391</v>
      </c>
      <c r="Y571" t="s">
        <v>74</v>
      </c>
      <c r="Z571" t="s">
        <v>74</v>
      </c>
      <c r="AA571" t="s">
        <v>8392</v>
      </c>
      <c r="AB571" t="s">
        <v>8393</v>
      </c>
      <c r="AC571" t="s">
        <v>74</v>
      </c>
      <c r="AD571" t="s">
        <v>74</v>
      </c>
      <c r="AE571" t="s">
        <v>74</v>
      </c>
      <c r="AF571" t="s">
        <v>74</v>
      </c>
      <c r="AG571">
        <v>0</v>
      </c>
      <c r="AH571">
        <v>0</v>
      </c>
      <c r="AI571">
        <v>0</v>
      </c>
      <c r="AJ571">
        <v>0</v>
      </c>
      <c r="AK571">
        <v>1</v>
      </c>
      <c r="AL571" t="s">
        <v>219</v>
      </c>
      <c r="AM571" t="s">
        <v>220</v>
      </c>
      <c r="AN571" t="s">
        <v>221</v>
      </c>
      <c r="AO571" t="s">
        <v>222</v>
      </c>
      <c r="AP571" t="s">
        <v>223</v>
      </c>
      <c r="AQ571" t="s">
        <v>74</v>
      </c>
      <c r="AR571" t="s">
        <v>224</v>
      </c>
      <c r="AS571" t="s">
        <v>225</v>
      </c>
      <c r="AT571" t="s">
        <v>5777</v>
      </c>
      <c r="AU571">
        <v>2018</v>
      </c>
      <c r="AV571">
        <v>52</v>
      </c>
      <c r="AW571" t="s">
        <v>74</v>
      </c>
      <c r="AX571" t="s">
        <v>74</v>
      </c>
      <c r="AY571">
        <v>62</v>
      </c>
      <c r="AZ571" t="s">
        <v>74</v>
      </c>
      <c r="BA571" t="s">
        <v>8394</v>
      </c>
      <c r="BB571" t="s">
        <v>74</v>
      </c>
      <c r="BC571" t="s">
        <v>74</v>
      </c>
      <c r="BD571" t="s">
        <v>74</v>
      </c>
      <c r="BE571" t="s">
        <v>8395</v>
      </c>
      <c r="BF571" t="str">
        <f>HYPERLINK("http://dx.doi.org/10.1183/13993003.congress-2018.PA3938","http://dx.doi.org/10.1183/13993003.congress-2018.PA3938")</f>
        <v>http://dx.doi.org/10.1183/13993003.congress-2018.PA3938</v>
      </c>
      <c r="BG571" t="s">
        <v>74</v>
      </c>
      <c r="BH571" t="s">
        <v>74</v>
      </c>
      <c r="BI571">
        <v>2</v>
      </c>
      <c r="BJ571" t="s">
        <v>228</v>
      </c>
      <c r="BK571" t="s">
        <v>512</v>
      </c>
      <c r="BL571" t="s">
        <v>228</v>
      </c>
      <c r="BM571" t="s">
        <v>8356</v>
      </c>
      <c r="BN571" t="s">
        <v>74</v>
      </c>
      <c r="BO571" t="s">
        <v>74</v>
      </c>
      <c r="BP571" t="s">
        <v>74</v>
      </c>
      <c r="BQ571" t="s">
        <v>74</v>
      </c>
      <c r="BR571" t="s">
        <v>104</v>
      </c>
      <c r="BS571" t="s">
        <v>8396</v>
      </c>
      <c r="BT571" t="str">
        <f>HYPERLINK("https%3A%2F%2Fwww.webofscience.com%2Fwos%2Fwoscc%2Ffull-record%2FWOS:000455567105072","View Full Record in Web of Science")</f>
        <v>View Full Record in Web of Science</v>
      </c>
    </row>
    <row r="572" spans="1:72" x14ac:dyDescent="0.25">
      <c r="A572" t="s">
        <v>72</v>
      </c>
      <c r="B572" t="s">
        <v>8397</v>
      </c>
      <c r="C572" t="s">
        <v>74</v>
      </c>
      <c r="D572" t="s">
        <v>74</v>
      </c>
      <c r="E572" t="s">
        <v>74</v>
      </c>
      <c r="F572" t="s">
        <v>8398</v>
      </c>
      <c r="G572" t="s">
        <v>74</v>
      </c>
      <c r="H572" t="s">
        <v>74</v>
      </c>
      <c r="I572" t="s">
        <v>8399</v>
      </c>
      <c r="J572" t="s">
        <v>216</v>
      </c>
      <c r="K572" t="s">
        <v>74</v>
      </c>
      <c r="L572" t="s">
        <v>74</v>
      </c>
      <c r="M572" t="s">
        <v>78</v>
      </c>
      <c r="N572" t="s">
        <v>52</v>
      </c>
      <c r="O572" t="s">
        <v>8348</v>
      </c>
      <c r="P572" t="s">
        <v>8349</v>
      </c>
      <c r="Q572" t="s">
        <v>7094</v>
      </c>
      <c r="R572" t="s">
        <v>2954</v>
      </c>
      <c r="S572" t="s">
        <v>74</v>
      </c>
      <c r="T572" t="s">
        <v>74</v>
      </c>
      <c r="U572" t="s">
        <v>74</v>
      </c>
      <c r="V572" t="s">
        <v>74</v>
      </c>
      <c r="W572" t="s">
        <v>8400</v>
      </c>
      <c r="X572" t="s">
        <v>8401</v>
      </c>
      <c r="Y572" t="s">
        <v>74</v>
      </c>
      <c r="Z572" t="s">
        <v>74</v>
      </c>
      <c r="AA572" t="s">
        <v>8402</v>
      </c>
      <c r="AB572" t="s">
        <v>8403</v>
      </c>
      <c r="AC572" t="s">
        <v>74</v>
      </c>
      <c r="AD572" t="s">
        <v>74</v>
      </c>
      <c r="AE572" t="s">
        <v>74</v>
      </c>
      <c r="AF572" t="s">
        <v>74</v>
      </c>
      <c r="AG572">
        <v>0</v>
      </c>
      <c r="AH572">
        <v>1</v>
      </c>
      <c r="AI572">
        <v>1</v>
      </c>
      <c r="AJ572">
        <v>0</v>
      </c>
      <c r="AK572">
        <v>1</v>
      </c>
      <c r="AL572" t="s">
        <v>219</v>
      </c>
      <c r="AM572" t="s">
        <v>220</v>
      </c>
      <c r="AN572" t="s">
        <v>221</v>
      </c>
      <c r="AO572" t="s">
        <v>222</v>
      </c>
      <c r="AP572" t="s">
        <v>223</v>
      </c>
      <c r="AQ572" t="s">
        <v>74</v>
      </c>
      <c r="AR572" t="s">
        <v>224</v>
      </c>
      <c r="AS572" t="s">
        <v>225</v>
      </c>
      <c r="AT572" t="s">
        <v>5777</v>
      </c>
      <c r="AU572">
        <v>2018</v>
      </c>
      <c r="AV572">
        <v>52</v>
      </c>
      <c r="AW572" t="s">
        <v>74</v>
      </c>
      <c r="AX572" t="s">
        <v>74</v>
      </c>
      <c r="AY572">
        <v>62</v>
      </c>
      <c r="AZ572" t="s">
        <v>74</v>
      </c>
      <c r="BA572" t="s">
        <v>8404</v>
      </c>
      <c r="BB572" t="s">
        <v>74</v>
      </c>
      <c r="BC572" t="s">
        <v>74</v>
      </c>
      <c r="BD572" t="s">
        <v>74</v>
      </c>
      <c r="BE572" t="s">
        <v>8405</v>
      </c>
      <c r="BF572" t="str">
        <f>HYPERLINK("http://dx.doi.org/10.1183/13993003.congress-2018.PA3932","http://dx.doi.org/10.1183/13993003.congress-2018.PA3932")</f>
        <v>http://dx.doi.org/10.1183/13993003.congress-2018.PA3932</v>
      </c>
      <c r="BG572" t="s">
        <v>74</v>
      </c>
      <c r="BH572" t="s">
        <v>74</v>
      </c>
      <c r="BI572">
        <v>2</v>
      </c>
      <c r="BJ572" t="s">
        <v>228</v>
      </c>
      <c r="BK572" t="s">
        <v>512</v>
      </c>
      <c r="BL572" t="s">
        <v>228</v>
      </c>
      <c r="BM572" t="s">
        <v>8356</v>
      </c>
      <c r="BN572" t="s">
        <v>74</v>
      </c>
      <c r="BO572" t="s">
        <v>74</v>
      </c>
      <c r="BP572" t="s">
        <v>74</v>
      </c>
      <c r="BQ572" t="s">
        <v>74</v>
      </c>
      <c r="BR572" t="s">
        <v>104</v>
      </c>
      <c r="BS572" t="s">
        <v>8406</v>
      </c>
      <c r="BT572" t="str">
        <f>HYPERLINK("https%3A%2F%2Fwww.webofscience.com%2Fwos%2Fwoscc%2Ffull-record%2FWOS:000455567105066","View Full Record in Web of Science")</f>
        <v>View Full Record in Web of Science</v>
      </c>
    </row>
    <row r="573" spans="1:72" x14ac:dyDescent="0.25">
      <c r="A573" t="s">
        <v>72</v>
      </c>
      <c r="B573" t="s">
        <v>8407</v>
      </c>
      <c r="C573" t="s">
        <v>74</v>
      </c>
      <c r="D573" t="s">
        <v>74</v>
      </c>
      <c r="E573" t="s">
        <v>74</v>
      </c>
      <c r="F573" t="s">
        <v>8408</v>
      </c>
      <c r="G573" t="s">
        <v>74</v>
      </c>
      <c r="H573" t="s">
        <v>74</v>
      </c>
      <c r="I573" t="s">
        <v>8409</v>
      </c>
      <c r="J573" t="s">
        <v>637</v>
      </c>
      <c r="K573" t="s">
        <v>74</v>
      </c>
      <c r="L573" t="s">
        <v>74</v>
      </c>
      <c r="M573" t="s">
        <v>78</v>
      </c>
      <c r="N573" t="s">
        <v>460</v>
      </c>
      <c r="O573" t="s">
        <v>74</v>
      </c>
      <c r="P573" t="s">
        <v>74</v>
      </c>
      <c r="Q573" t="s">
        <v>74</v>
      </c>
      <c r="R573" t="s">
        <v>74</v>
      </c>
      <c r="S573" t="s">
        <v>74</v>
      </c>
      <c r="T573" t="s">
        <v>74</v>
      </c>
      <c r="U573" t="s">
        <v>8410</v>
      </c>
      <c r="V573" t="s">
        <v>74</v>
      </c>
      <c r="W573" t="s">
        <v>8411</v>
      </c>
      <c r="X573" t="s">
        <v>8412</v>
      </c>
      <c r="Y573" t="s">
        <v>8413</v>
      </c>
      <c r="Z573" t="s">
        <v>74</v>
      </c>
      <c r="AA573" t="s">
        <v>780</v>
      </c>
      <c r="AB573" t="s">
        <v>8414</v>
      </c>
      <c r="AC573" t="s">
        <v>8415</v>
      </c>
      <c r="AD573" t="s">
        <v>8416</v>
      </c>
      <c r="AE573" t="s">
        <v>8417</v>
      </c>
      <c r="AF573" t="s">
        <v>74</v>
      </c>
      <c r="AG573">
        <v>13</v>
      </c>
      <c r="AH573">
        <v>0</v>
      </c>
      <c r="AI573">
        <v>0</v>
      </c>
      <c r="AJ573">
        <v>0</v>
      </c>
      <c r="AK573">
        <v>0</v>
      </c>
      <c r="AL573" t="s">
        <v>649</v>
      </c>
      <c r="AM573" t="s">
        <v>486</v>
      </c>
      <c r="AN573" t="s">
        <v>650</v>
      </c>
      <c r="AO573" t="s">
        <v>651</v>
      </c>
      <c r="AP573" t="s">
        <v>652</v>
      </c>
      <c r="AQ573" t="s">
        <v>74</v>
      </c>
      <c r="AR573" t="s">
        <v>653</v>
      </c>
      <c r="AS573" t="s">
        <v>654</v>
      </c>
      <c r="AT573" t="s">
        <v>5777</v>
      </c>
      <c r="AU573">
        <v>2018</v>
      </c>
      <c r="AV573">
        <v>198</v>
      </c>
      <c r="AW573">
        <v>6</v>
      </c>
      <c r="AX573" t="s">
        <v>74</v>
      </c>
      <c r="AY573" t="s">
        <v>74</v>
      </c>
      <c r="AZ573" t="s">
        <v>74</v>
      </c>
      <c r="BA573" t="s">
        <v>74</v>
      </c>
      <c r="BB573">
        <v>820</v>
      </c>
      <c r="BC573">
        <v>821</v>
      </c>
      <c r="BD573" t="s">
        <v>74</v>
      </c>
      <c r="BE573" t="s">
        <v>8418</v>
      </c>
      <c r="BF573" t="str">
        <f>HYPERLINK("http://dx.doi.org/10.1164/rccm.201804-0792LE","http://dx.doi.org/10.1164/rccm.201804-0792LE")</f>
        <v>http://dx.doi.org/10.1164/rccm.201804-0792LE</v>
      </c>
      <c r="BG573" t="s">
        <v>74</v>
      </c>
      <c r="BH573" t="s">
        <v>74</v>
      </c>
      <c r="BI573">
        <v>3</v>
      </c>
      <c r="BJ573" t="s">
        <v>341</v>
      </c>
      <c r="BK573" t="s">
        <v>101</v>
      </c>
      <c r="BL573" t="s">
        <v>342</v>
      </c>
      <c r="BM573" t="s">
        <v>8419</v>
      </c>
      <c r="BN573">
        <v>29944844</v>
      </c>
      <c r="BO573" t="s">
        <v>103</v>
      </c>
      <c r="BP573" t="s">
        <v>74</v>
      </c>
      <c r="BQ573" t="s">
        <v>74</v>
      </c>
      <c r="BR573" t="s">
        <v>104</v>
      </c>
      <c r="BS573" t="s">
        <v>8420</v>
      </c>
      <c r="BT573" t="str">
        <f>HYPERLINK("https%3A%2F%2Fwww.webofscience.com%2Fwos%2Fwoscc%2Ffull-record%2FWOS:000444796300025","View Full Record in Web of Science")</f>
        <v>View Full Record in Web of Science</v>
      </c>
    </row>
    <row r="574" spans="1:72" x14ac:dyDescent="0.25">
      <c r="A574" t="s">
        <v>72</v>
      </c>
      <c r="B574" t="s">
        <v>8421</v>
      </c>
      <c r="C574" t="s">
        <v>74</v>
      </c>
      <c r="D574" t="s">
        <v>74</v>
      </c>
      <c r="E574" t="s">
        <v>74</v>
      </c>
      <c r="F574" t="s">
        <v>8422</v>
      </c>
      <c r="G574" t="s">
        <v>74</v>
      </c>
      <c r="H574" t="s">
        <v>74</v>
      </c>
      <c r="I574" t="s">
        <v>8423</v>
      </c>
      <c r="J574" t="s">
        <v>216</v>
      </c>
      <c r="K574" t="s">
        <v>74</v>
      </c>
      <c r="L574" t="s">
        <v>74</v>
      </c>
      <c r="M574" t="s">
        <v>78</v>
      </c>
      <c r="N574" t="s">
        <v>52</v>
      </c>
      <c r="O574" t="s">
        <v>8348</v>
      </c>
      <c r="P574" t="s">
        <v>8349</v>
      </c>
      <c r="Q574" t="s">
        <v>7094</v>
      </c>
      <c r="R574" t="s">
        <v>2954</v>
      </c>
      <c r="S574" t="s">
        <v>74</v>
      </c>
      <c r="T574" t="s">
        <v>74</v>
      </c>
      <c r="U574" t="s">
        <v>74</v>
      </c>
      <c r="V574" t="s">
        <v>74</v>
      </c>
      <c r="W574" t="s">
        <v>8424</v>
      </c>
      <c r="X574" t="s">
        <v>8425</v>
      </c>
      <c r="Y574" t="s">
        <v>74</v>
      </c>
      <c r="Z574" t="s">
        <v>74</v>
      </c>
      <c r="AA574" t="s">
        <v>8426</v>
      </c>
      <c r="AB574" t="s">
        <v>5709</v>
      </c>
      <c r="AC574" t="s">
        <v>74</v>
      </c>
      <c r="AD574" t="s">
        <v>74</v>
      </c>
      <c r="AE574" t="s">
        <v>74</v>
      </c>
      <c r="AF574" t="s">
        <v>74</v>
      </c>
      <c r="AG574">
        <v>0</v>
      </c>
      <c r="AH574">
        <v>3</v>
      </c>
      <c r="AI574">
        <v>4</v>
      </c>
      <c r="AJ574">
        <v>0</v>
      </c>
      <c r="AK574">
        <v>0</v>
      </c>
      <c r="AL574" t="s">
        <v>219</v>
      </c>
      <c r="AM574" t="s">
        <v>220</v>
      </c>
      <c r="AN574" t="s">
        <v>221</v>
      </c>
      <c r="AO574" t="s">
        <v>222</v>
      </c>
      <c r="AP574" t="s">
        <v>223</v>
      </c>
      <c r="AQ574" t="s">
        <v>74</v>
      </c>
      <c r="AR574" t="s">
        <v>224</v>
      </c>
      <c r="AS574" t="s">
        <v>225</v>
      </c>
      <c r="AT574" t="s">
        <v>5777</v>
      </c>
      <c r="AU574">
        <v>2018</v>
      </c>
      <c r="AV574">
        <v>52</v>
      </c>
      <c r="AW574" t="s">
        <v>74</v>
      </c>
      <c r="AX574" t="s">
        <v>74</v>
      </c>
      <c r="AY574">
        <v>62</v>
      </c>
      <c r="AZ574" t="s">
        <v>74</v>
      </c>
      <c r="BA574" t="s">
        <v>8427</v>
      </c>
      <c r="BB574" t="s">
        <v>74</v>
      </c>
      <c r="BC574" t="s">
        <v>74</v>
      </c>
      <c r="BD574" t="s">
        <v>74</v>
      </c>
      <c r="BE574" t="s">
        <v>8428</v>
      </c>
      <c r="BF574" t="str">
        <f>HYPERLINK("http://dx.doi.org/10.1183/13993003.congress-2018.PA3053","http://dx.doi.org/10.1183/13993003.congress-2018.PA3053")</f>
        <v>http://dx.doi.org/10.1183/13993003.congress-2018.PA3053</v>
      </c>
      <c r="BG574" t="s">
        <v>74</v>
      </c>
      <c r="BH574" t="s">
        <v>74</v>
      </c>
      <c r="BI574">
        <v>2</v>
      </c>
      <c r="BJ574" t="s">
        <v>228</v>
      </c>
      <c r="BK574" t="s">
        <v>512</v>
      </c>
      <c r="BL574" t="s">
        <v>228</v>
      </c>
      <c r="BM574" t="s">
        <v>8356</v>
      </c>
      <c r="BN574" t="s">
        <v>74</v>
      </c>
      <c r="BO574" t="s">
        <v>74</v>
      </c>
      <c r="BP574" t="s">
        <v>74</v>
      </c>
      <c r="BQ574" t="s">
        <v>74</v>
      </c>
      <c r="BR574" t="s">
        <v>104</v>
      </c>
      <c r="BS574" t="s">
        <v>8429</v>
      </c>
      <c r="BT574" t="str">
        <f>HYPERLINK("https%3A%2F%2Fwww.webofscience.com%2Fwos%2Fwoscc%2Ffull-record%2FWOS:000455567104086","View Full Record in Web of Science")</f>
        <v>View Full Record in Web of Science</v>
      </c>
    </row>
    <row r="575" spans="1:72" x14ac:dyDescent="0.25">
      <c r="A575" t="s">
        <v>72</v>
      </c>
      <c r="B575" t="s">
        <v>8430</v>
      </c>
      <c r="C575" t="s">
        <v>74</v>
      </c>
      <c r="D575" t="s">
        <v>74</v>
      </c>
      <c r="E575" t="s">
        <v>74</v>
      </c>
      <c r="F575" t="s">
        <v>8431</v>
      </c>
      <c r="G575" t="s">
        <v>74</v>
      </c>
      <c r="H575" t="s">
        <v>74</v>
      </c>
      <c r="I575" t="s">
        <v>8432</v>
      </c>
      <c r="J575" t="s">
        <v>216</v>
      </c>
      <c r="K575" t="s">
        <v>74</v>
      </c>
      <c r="L575" t="s">
        <v>74</v>
      </c>
      <c r="M575" t="s">
        <v>78</v>
      </c>
      <c r="N575" t="s">
        <v>52</v>
      </c>
      <c r="O575" t="s">
        <v>8348</v>
      </c>
      <c r="P575" t="s">
        <v>8349</v>
      </c>
      <c r="Q575" t="s">
        <v>7094</v>
      </c>
      <c r="R575" t="s">
        <v>2954</v>
      </c>
      <c r="S575" t="s">
        <v>74</v>
      </c>
      <c r="T575" t="s">
        <v>74</v>
      </c>
      <c r="U575" t="s">
        <v>74</v>
      </c>
      <c r="V575" t="s">
        <v>74</v>
      </c>
      <c r="W575" t="s">
        <v>8433</v>
      </c>
      <c r="X575" t="s">
        <v>8434</v>
      </c>
      <c r="Y575" t="s">
        <v>74</v>
      </c>
      <c r="Z575" t="s">
        <v>74</v>
      </c>
      <c r="AA575" t="s">
        <v>8435</v>
      </c>
      <c r="AB575" t="s">
        <v>8436</v>
      </c>
      <c r="AC575" t="s">
        <v>74</v>
      </c>
      <c r="AD575" t="s">
        <v>74</v>
      </c>
      <c r="AE575" t="s">
        <v>74</v>
      </c>
      <c r="AF575" t="s">
        <v>74</v>
      </c>
      <c r="AG575">
        <v>0</v>
      </c>
      <c r="AH575">
        <v>0</v>
      </c>
      <c r="AI575">
        <v>0</v>
      </c>
      <c r="AJ575">
        <v>0</v>
      </c>
      <c r="AK575">
        <v>1</v>
      </c>
      <c r="AL575" t="s">
        <v>219</v>
      </c>
      <c r="AM575" t="s">
        <v>220</v>
      </c>
      <c r="AN575" t="s">
        <v>221</v>
      </c>
      <c r="AO575" t="s">
        <v>222</v>
      </c>
      <c r="AP575" t="s">
        <v>223</v>
      </c>
      <c r="AQ575" t="s">
        <v>74</v>
      </c>
      <c r="AR575" t="s">
        <v>224</v>
      </c>
      <c r="AS575" t="s">
        <v>225</v>
      </c>
      <c r="AT575" t="s">
        <v>5777</v>
      </c>
      <c r="AU575">
        <v>2018</v>
      </c>
      <c r="AV575">
        <v>52</v>
      </c>
      <c r="AW575" t="s">
        <v>74</v>
      </c>
      <c r="AX575" t="s">
        <v>74</v>
      </c>
      <c r="AY575">
        <v>62</v>
      </c>
      <c r="AZ575" t="s">
        <v>74</v>
      </c>
      <c r="BA575" t="s">
        <v>8437</v>
      </c>
      <c r="BB575" t="s">
        <v>74</v>
      </c>
      <c r="BC575" t="s">
        <v>74</v>
      </c>
      <c r="BD575" t="s">
        <v>74</v>
      </c>
      <c r="BE575" t="s">
        <v>8438</v>
      </c>
      <c r="BF575" t="str">
        <f>HYPERLINK("http://dx.doi.org/10.1183/13993003.congress-2018.OA3273","http://dx.doi.org/10.1183/13993003.congress-2018.OA3273")</f>
        <v>http://dx.doi.org/10.1183/13993003.congress-2018.OA3273</v>
      </c>
      <c r="BG575" t="s">
        <v>74</v>
      </c>
      <c r="BH575" t="s">
        <v>74</v>
      </c>
      <c r="BI575">
        <v>2</v>
      </c>
      <c r="BJ575" t="s">
        <v>228</v>
      </c>
      <c r="BK575" t="s">
        <v>512</v>
      </c>
      <c r="BL575" t="s">
        <v>228</v>
      </c>
      <c r="BM575" t="s">
        <v>8356</v>
      </c>
      <c r="BN575" t="s">
        <v>74</v>
      </c>
      <c r="BO575" t="s">
        <v>74</v>
      </c>
      <c r="BP575" t="s">
        <v>74</v>
      </c>
      <c r="BQ575" t="s">
        <v>74</v>
      </c>
      <c r="BR575" t="s">
        <v>104</v>
      </c>
      <c r="BS575" t="s">
        <v>8439</v>
      </c>
      <c r="BT575" t="str">
        <f>HYPERLINK("https%3A%2F%2Fwww.webofscience.com%2Fwos%2Fwoscc%2Ffull-record%2FWOS:000455567100220","View Full Record in Web of Science")</f>
        <v>View Full Record in Web of Science</v>
      </c>
    </row>
    <row r="576" spans="1:72" x14ac:dyDescent="0.25">
      <c r="A576" t="s">
        <v>72</v>
      </c>
      <c r="B576" t="s">
        <v>8440</v>
      </c>
      <c r="C576" t="s">
        <v>74</v>
      </c>
      <c r="D576" t="s">
        <v>74</v>
      </c>
      <c r="E576" t="s">
        <v>74</v>
      </c>
      <c r="F576" t="s">
        <v>8441</v>
      </c>
      <c r="G576" t="s">
        <v>74</v>
      </c>
      <c r="H576" t="s">
        <v>74</v>
      </c>
      <c r="I576" t="s">
        <v>8442</v>
      </c>
      <c r="J576" t="s">
        <v>216</v>
      </c>
      <c r="K576" t="s">
        <v>74</v>
      </c>
      <c r="L576" t="s">
        <v>74</v>
      </c>
      <c r="M576" t="s">
        <v>78</v>
      </c>
      <c r="N576" t="s">
        <v>52</v>
      </c>
      <c r="O576" t="s">
        <v>8348</v>
      </c>
      <c r="P576" t="s">
        <v>8349</v>
      </c>
      <c r="Q576" t="s">
        <v>7094</v>
      </c>
      <c r="R576" t="s">
        <v>2954</v>
      </c>
      <c r="S576" t="s">
        <v>74</v>
      </c>
      <c r="T576" t="s">
        <v>74</v>
      </c>
      <c r="U576" t="s">
        <v>74</v>
      </c>
      <c r="V576" t="s">
        <v>74</v>
      </c>
      <c r="W576" t="s">
        <v>8443</v>
      </c>
      <c r="X576" t="s">
        <v>8444</v>
      </c>
      <c r="Y576" t="s">
        <v>74</v>
      </c>
      <c r="Z576" t="s">
        <v>74</v>
      </c>
      <c r="AA576" t="s">
        <v>8445</v>
      </c>
      <c r="AB576" t="s">
        <v>5709</v>
      </c>
      <c r="AC576" t="s">
        <v>74</v>
      </c>
      <c r="AD576" t="s">
        <v>74</v>
      </c>
      <c r="AE576" t="s">
        <v>74</v>
      </c>
      <c r="AF576" t="s">
        <v>74</v>
      </c>
      <c r="AG576">
        <v>0</v>
      </c>
      <c r="AH576">
        <v>0</v>
      </c>
      <c r="AI576">
        <v>0</v>
      </c>
      <c r="AJ576">
        <v>0</v>
      </c>
      <c r="AK576">
        <v>0</v>
      </c>
      <c r="AL576" t="s">
        <v>219</v>
      </c>
      <c r="AM576" t="s">
        <v>220</v>
      </c>
      <c r="AN576" t="s">
        <v>221</v>
      </c>
      <c r="AO576" t="s">
        <v>222</v>
      </c>
      <c r="AP576" t="s">
        <v>223</v>
      </c>
      <c r="AQ576" t="s">
        <v>74</v>
      </c>
      <c r="AR576" t="s">
        <v>224</v>
      </c>
      <c r="AS576" t="s">
        <v>225</v>
      </c>
      <c r="AT576" t="s">
        <v>5777</v>
      </c>
      <c r="AU576">
        <v>2018</v>
      </c>
      <c r="AV576">
        <v>52</v>
      </c>
      <c r="AW576" t="s">
        <v>74</v>
      </c>
      <c r="AX576" t="s">
        <v>74</v>
      </c>
      <c r="AY576">
        <v>62</v>
      </c>
      <c r="AZ576" t="s">
        <v>74</v>
      </c>
      <c r="BA576" t="s">
        <v>8446</v>
      </c>
      <c r="BB576" t="s">
        <v>74</v>
      </c>
      <c r="BC576" t="s">
        <v>74</v>
      </c>
      <c r="BD576" t="s">
        <v>74</v>
      </c>
      <c r="BE576" t="s">
        <v>8447</v>
      </c>
      <c r="BF576" t="str">
        <f>HYPERLINK("http://dx.doi.org/10.1183/13993003.congress-2018.OA4942","http://dx.doi.org/10.1183/13993003.congress-2018.OA4942")</f>
        <v>http://dx.doi.org/10.1183/13993003.congress-2018.OA4942</v>
      </c>
      <c r="BG576" t="s">
        <v>74</v>
      </c>
      <c r="BH576" t="s">
        <v>74</v>
      </c>
      <c r="BI576">
        <v>2</v>
      </c>
      <c r="BJ576" t="s">
        <v>228</v>
      </c>
      <c r="BK576" t="s">
        <v>512</v>
      </c>
      <c r="BL576" t="s">
        <v>228</v>
      </c>
      <c r="BM576" t="s">
        <v>8356</v>
      </c>
      <c r="BN576" t="s">
        <v>74</v>
      </c>
      <c r="BO576" t="s">
        <v>74</v>
      </c>
      <c r="BP576" t="s">
        <v>74</v>
      </c>
      <c r="BQ576" t="s">
        <v>74</v>
      </c>
      <c r="BR576" t="s">
        <v>104</v>
      </c>
      <c r="BS576" t="s">
        <v>8448</v>
      </c>
      <c r="BT576" t="str">
        <f>HYPERLINK("https%3A%2F%2Fwww.webofscience.com%2Fwos%2Fwoscc%2Ffull-record%2FWOS:000455567100406","View Full Record in Web of Science")</f>
        <v>View Full Record in Web of Science</v>
      </c>
    </row>
    <row r="577" spans="1:72" x14ac:dyDescent="0.25">
      <c r="A577" t="s">
        <v>72</v>
      </c>
      <c r="B577" t="s">
        <v>8449</v>
      </c>
      <c r="C577" t="s">
        <v>74</v>
      </c>
      <c r="D577" t="s">
        <v>74</v>
      </c>
      <c r="E577" t="s">
        <v>74</v>
      </c>
      <c r="F577" t="s">
        <v>8450</v>
      </c>
      <c r="G577" t="s">
        <v>74</v>
      </c>
      <c r="H577" t="s">
        <v>74</v>
      </c>
      <c r="I577" t="s">
        <v>8451</v>
      </c>
      <c r="J577" t="s">
        <v>216</v>
      </c>
      <c r="K577" t="s">
        <v>74</v>
      </c>
      <c r="L577" t="s">
        <v>74</v>
      </c>
      <c r="M577" t="s">
        <v>78</v>
      </c>
      <c r="N577" t="s">
        <v>52</v>
      </c>
      <c r="O577" t="s">
        <v>8348</v>
      </c>
      <c r="P577" t="s">
        <v>8349</v>
      </c>
      <c r="Q577" t="s">
        <v>7094</v>
      </c>
      <c r="R577" t="s">
        <v>2954</v>
      </c>
      <c r="S577" t="s">
        <v>74</v>
      </c>
      <c r="T577" t="s">
        <v>74</v>
      </c>
      <c r="U577" t="s">
        <v>74</v>
      </c>
      <c r="V577" t="s">
        <v>74</v>
      </c>
      <c r="W577" t="s">
        <v>8452</v>
      </c>
      <c r="X577" t="s">
        <v>8453</v>
      </c>
      <c r="Y577" t="s">
        <v>74</v>
      </c>
      <c r="Z577" t="s">
        <v>74</v>
      </c>
      <c r="AA577" t="s">
        <v>5202</v>
      </c>
      <c r="AB577" t="s">
        <v>5709</v>
      </c>
      <c r="AC577" t="s">
        <v>74</v>
      </c>
      <c r="AD577" t="s">
        <v>74</v>
      </c>
      <c r="AE577" t="s">
        <v>74</v>
      </c>
      <c r="AF577" t="s">
        <v>74</v>
      </c>
      <c r="AG577">
        <v>0</v>
      </c>
      <c r="AH577">
        <v>1</v>
      </c>
      <c r="AI577">
        <v>1</v>
      </c>
      <c r="AJ577">
        <v>0</v>
      </c>
      <c r="AK577">
        <v>3</v>
      </c>
      <c r="AL577" t="s">
        <v>219</v>
      </c>
      <c r="AM577" t="s">
        <v>220</v>
      </c>
      <c r="AN577" t="s">
        <v>221</v>
      </c>
      <c r="AO577" t="s">
        <v>222</v>
      </c>
      <c r="AP577" t="s">
        <v>223</v>
      </c>
      <c r="AQ577" t="s">
        <v>74</v>
      </c>
      <c r="AR577" t="s">
        <v>224</v>
      </c>
      <c r="AS577" t="s">
        <v>225</v>
      </c>
      <c r="AT577" t="s">
        <v>5777</v>
      </c>
      <c r="AU577">
        <v>2018</v>
      </c>
      <c r="AV577">
        <v>52</v>
      </c>
      <c r="AW577" t="s">
        <v>74</v>
      </c>
      <c r="AX577" t="s">
        <v>74</v>
      </c>
      <c r="AY577">
        <v>62</v>
      </c>
      <c r="AZ577" t="s">
        <v>74</v>
      </c>
      <c r="BA577" t="s">
        <v>8454</v>
      </c>
      <c r="BB577" t="s">
        <v>74</v>
      </c>
      <c r="BC577" t="s">
        <v>74</v>
      </c>
      <c r="BD577" t="s">
        <v>74</v>
      </c>
      <c r="BE577" t="s">
        <v>8455</v>
      </c>
      <c r="BF577" t="str">
        <f>HYPERLINK("http://dx.doi.org/10.1183/13993003.congress-2018.PA3050","http://dx.doi.org/10.1183/13993003.congress-2018.PA3050")</f>
        <v>http://dx.doi.org/10.1183/13993003.congress-2018.PA3050</v>
      </c>
      <c r="BG577" t="s">
        <v>74</v>
      </c>
      <c r="BH577" t="s">
        <v>74</v>
      </c>
      <c r="BI577">
        <v>1</v>
      </c>
      <c r="BJ577" t="s">
        <v>228</v>
      </c>
      <c r="BK577" t="s">
        <v>512</v>
      </c>
      <c r="BL577" t="s">
        <v>228</v>
      </c>
      <c r="BM577" t="s">
        <v>8356</v>
      </c>
      <c r="BN577" t="s">
        <v>74</v>
      </c>
      <c r="BO577" t="s">
        <v>74</v>
      </c>
      <c r="BP577" t="s">
        <v>74</v>
      </c>
      <c r="BQ577" t="s">
        <v>74</v>
      </c>
      <c r="BR577" t="s">
        <v>104</v>
      </c>
      <c r="BS577" t="s">
        <v>8456</v>
      </c>
      <c r="BT577" t="str">
        <f>HYPERLINK("https%3A%2F%2Fwww.webofscience.com%2Fwos%2Fwoscc%2Ffull-record%2FWOS:000455567104083","View Full Record in Web of Science")</f>
        <v>View Full Record in Web of Science</v>
      </c>
    </row>
    <row r="578" spans="1:72" x14ac:dyDescent="0.25">
      <c r="A578" t="s">
        <v>72</v>
      </c>
      <c r="B578" t="s">
        <v>8457</v>
      </c>
      <c r="C578" t="s">
        <v>74</v>
      </c>
      <c r="D578" t="s">
        <v>74</v>
      </c>
      <c r="E578" t="s">
        <v>74</v>
      </c>
      <c r="F578" t="s">
        <v>8458</v>
      </c>
      <c r="G578" t="s">
        <v>74</v>
      </c>
      <c r="H578" t="s">
        <v>74</v>
      </c>
      <c r="I578" t="s">
        <v>8459</v>
      </c>
      <c r="J578" t="s">
        <v>216</v>
      </c>
      <c r="K578" t="s">
        <v>74</v>
      </c>
      <c r="L578" t="s">
        <v>74</v>
      </c>
      <c r="M578" t="s">
        <v>78</v>
      </c>
      <c r="N578" t="s">
        <v>52</v>
      </c>
      <c r="O578" t="s">
        <v>8348</v>
      </c>
      <c r="P578" t="s">
        <v>8349</v>
      </c>
      <c r="Q578" t="s">
        <v>7094</v>
      </c>
      <c r="R578" t="s">
        <v>2954</v>
      </c>
      <c r="S578" t="s">
        <v>74</v>
      </c>
      <c r="T578" t="s">
        <v>74</v>
      </c>
      <c r="U578" t="s">
        <v>74</v>
      </c>
      <c r="V578" t="s">
        <v>74</v>
      </c>
      <c r="W578" t="s">
        <v>8460</v>
      </c>
      <c r="X578" t="s">
        <v>8461</v>
      </c>
      <c r="Y578" t="s">
        <v>74</v>
      </c>
      <c r="Z578" t="s">
        <v>74</v>
      </c>
      <c r="AA578" t="s">
        <v>8462</v>
      </c>
      <c r="AB578" t="s">
        <v>74</v>
      </c>
      <c r="AC578" t="s">
        <v>74</v>
      </c>
      <c r="AD578" t="s">
        <v>74</v>
      </c>
      <c r="AE578" t="s">
        <v>74</v>
      </c>
      <c r="AF578" t="s">
        <v>74</v>
      </c>
      <c r="AG578">
        <v>0</v>
      </c>
      <c r="AH578">
        <v>0</v>
      </c>
      <c r="AI578">
        <v>0</v>
      </c>
      <c r="AJ578">
        <v>0</v>
      </c>
      <c r="AK578">
        <v>2</v>
      </c>
      <c r="AL578" t="s">
        <v>219</v>
      </c>
      <c r="AM578" t="s">
        <v>220</v>
      </c>
      <c r="AN578" t="s">
        <v>221</v>
      </c>
      <c r="AO578" t="s">
        <v>222</v>
      </c>
      <c r="AP578" t="s">
        <v>223</v>
      </c>
      <c r="AQ578" t="s">
        <v>74</v>
      </c>
      <c r="AR578" t="s">
        <v>224</v>
      </c>
      <c r="AS578" t="s">
        <v>225</v>
      </c>
      <c r="AT578" t="s">
        <v>5777</v>
      </c>
      <c r="AU578">
        <v>2018</v>
      </c>
      <c r="AV578">
        <v>52</v>
      </c>
      <c r="AW578" t="s">
        <v>74</v>
      </c>
      <c r="AX578" t="s">
        <v>74</v>
      </c>
      <c r="AY578">
        <v>62</v>
      </c>
      <c r="AZ578" t="s">
        <v>74</v>
      </c>
      <c r="BA578" t="s">
        <v>8463</v>
      </c>
      <c r="BB578" t="s">
        <v>74</v>
      </c>
      <c r="BC578" t="s">
        <v>74</v>
      </c>
      <c r="BD578" t="s">
        <v>74</v>
      </c>
      <c r="BE578" t="s">
        <v>8464</v>
      </c>
      <c r="BF578" t="str">
        <f>HYPERLINK("http://dx.doi.org/10.1183/13993003.congress-2018.PA3924","http://dx.doi.org/10.1183/13993003.congress-2018.PA3924")</f>
        <v>http://dx.doi.org/10.1183/13993003.congress-2018.PA3924</v>
      </c>
      <c r="BG578" t="s">
        <v>74</v>
      </c>
      <c r="BH578" t="s">
        <v>74</v>
      </c>
      <c r="BI578">
        <v>1</v>
      </c>
      <c r="BJ578" t="s">
        <v>228</v>
      </c>
      <c r="BK578" t="s">
        <v>512</v>
      </c>
      <c r="BL578" t="s">
        <v>228</v>
      </c>
      <c r="BM578" t="s">
        <v>8356</v>
      </c>
      <c r="BN578" t="s">
        <v>74</v>
      </c>
      <c r="BO578" t="s">
        <v>74</v>
      </c>
      <c r="BP578" t="s">
        <v>74</v>
      </c>
      <c r="BQ578" t="s">
        <v>74</v>
      </c>
      <c r="BR578" t="s">
        <v>104</v>
      </c>
      <c r="BS578" t="s">
        <v>8465</v>
      </c>
      <c r="BT578" t="str">
        <f>HYPERLINK("https%3A%2F%2Fwww.webofscience.com%2Fwos%2Fwoscc%2Ffull-record%2FWOS:000455567105057","View Full Record in Web of Science")</f>
        <v>View Full Record in Web of Science</v>
      </c>
    </row>
    <row r="579" spans="1:72" x14ac:dyDescent="0.25">
      <c r="A579" t="s">
        <v>72</v>
      </c>
      <c r="B579" t="s">
        <v>8466</v>
      </c>
      <c r="C579" t="s">
        <v>74</v>
      </c>
      <c r="D579" t="s">
        <v>74</v>
      </c>
      <c r="E579" t="s">
        <v>74</v>
      </c>
      <c r="F579" t="s">
        <v>8467</v>
      </c>
      <c r="G579" t="s">
        <v>74</v>
      </c>
      <c r="H579" t="s">
        <v>74</v>
      </c>
      <c r="I579" t="s">
        <v>8468</v>
      </c>
      <c r="J579" t="s">
        <v>216</v>
      </c>
      <c r="K579" t="s">
        <v>74</v>
      </c>
      <c r="L579" t="s">
        <v>74</v>
      </c>
      <c r="M579" t="s">
        <v>78</v>
      </c>
      <c r="N579" t="s">
        <v>52</v>
      </c>
      <c r="O579" t="s">
        <v>8348</v>
      </c>
      <c r="P579" t="s">
        <v>8349</v>
      </c>
      <c r="Q579" t="s">
        <v>7094</v>
      </c>
      <c r="R579" t="s">
        <v>2954</v>
      </c>
      <c r="S579" t="s">
        <v>74</v>
      </c>
      <c r="T579" t="s">
        <v>74</v>
      </c>
      <c r="U579" t="s">
        <v>74</v>
      </c>
      <c r="V579" t="s">
        <v>74</v>
      </c>
      <c r="W579" t="s">
        <v>8469</v>
      </c>
      <c r="X579" t="s">
        <v>8470</v>
      </c>
      <c r="Y579" t="s">
        <v>74</v>
      </c>
      <c r="Z579" t="s">
        <v>74</v>
      </c>
      <c r="AA579" t="s">
        <v>5335</v>
      </c>
      <c r="AB579" t="s">
        <v>74</v>
      </c>
      <c r="AC579" t="s">
        <v>74</v>
      </c>
      <c r="AD579" t="s">
        <v>74</v>
      </c>
      <c r="AE579" t="s">
        <v>74</v>
      </c>
      <c r="AF579" t="s">
        <v>74</v>
      </c>
      <c r="AG579">
        <v>0</v>
      </c>
      <c r="AH579">
        <v>1</v>
      </c>
      <c r="AI579">
        <v>1</v>
      </c>
      <c r="AJ579">
        <v>0</v>
      </c>
      <c r="AK579">
        <v>2</v>
      </c>
      <c r="AL579" t="s">
        <v>219</v>
      </c>
      <c r="AM579" t="s">
        <v>220</v>
      </c>
      <c r="AN579" t="s">
        <v>221</v>
      </c>
      <c r="AO579" t="s">
        <v>222</v>
      </c>
      <c r="AP579" t="s">
        <v>223</v>
      </c>
      <c r="AQ579" t="s">
        <v>74</v>
      </c>
      <c r="AR579" t="s">
        <v>224</v>
      </c>
      <c r="AS579" t="s">
        <v>225</v>
      </c>
      <c r="AT579" t="s">
        <v>5777</v>
      </c>
      <c r="AU579">
        <v>2018</v>
      </c>
      <c r="AV579">
        <v>52</v>
      </c>
      <c r="AW579" t="s">
        <v>74</v>
      </c>
      <c r="AX579" t="s">
        <v>74</v>
      </c>
      <c r="AY579">
        <v>62</v>
      </c>
      <c r="AZ579" t="s">
        <v>74</v>
      </c>
      <c r="BA579" t="s">
        <v>8471</v>
      </c>
      <c r="BB579" t="s">
        <v>74</v>
      </c>
      <c r="BC579" t="s">
        <v>74</v>
      </c>
      <c r="BD579" t="s">
        <v>74</v>
      </c>
      <c r="BE579" t="s">
        <v>8472</v>
      </c>
      <c r="BF579" t="str">
        <f>HYPERLINK("http://dx.doi.org/10.1183/13993003.congress-2018.OA274","http://dx.doi.org/10.1183/13993003.congress-2018.OA274")</f>
        <v>http://dx.doi.org/10.1183/13993003.congress-2018.OA274</v>
      </c>
      <c r="BG579" t="s">
        <v>74</v>
      </c>
      <c r="BH579" t="s">
        <v>74</v>
      </c>
      <c r="BI579">
        <v>2</v>
      </c>
      <c r="BJ579" t="s">
        <v>228</v>
      </c>
      <c r="BK579" t="s">
        <v>512</v>
      </c>
      <c r="BL579" t="s">
        <v>228</v>
      </c>
      <c r="BM579" t="s">
        <v>8356</v>
      </c>
      <c r="BN579" t="s">
        <v>74</v>
      </c>
      <c r="BO579" t="s">
        <v>74</v>
      </c>
      <c r="BP579" t="s">
        <v>74</v>
      </c>
      <c r="BQ579" t="s">
        <v>74</v>
      </c>
      <c r="BR579" t="s">
        <v>104</v>
      </c>
      <c r="BS579" t="s">
        <v>8473</v>
      </c>
      <c r="BT579" t="str">
        <f>HYPERLINK("https%3A%2F%2Fwww.webofscience.com%2Fwos%2Fwoscc%2Ffull-record%2FWOS:000455567100179","View Full Record in Web of Science")</f>
        <v>View Full Record in Web of Science</v>
      </c>
    </row>
    <row r="580" spans="1:72" x14ac:dyDescent="0.25">
      <c r="A580" t="s">
        <v>72</v>
      </c>
      <c r="B580" t="s">
        <v>8474</v>
      </c>
      <c r="C580" t="s">
        <v>74</v>
      </c>
      <c r="D580" t="s">
        <v>74</v>
      </c>
      <c r="E580" t="s">
        <v>74</v>
      </c>
      <c r="F580" t="s">
        <v>8475</v>
      </c>
      <c r="G580" t="s">
        <v>74</v>
      </c>
      <c r="H580" t="s">
        <v>74</v>
      </c>
      <c r="I580" t="s">
        <v>8476</v>
      </c>
      <c r="J580" t="s">
        <v>216</v>
      </c>
      <c r="K580" t="s">
        <v>74</v>
      </c>
      <c r="L580" t="s">
        <v>74</v>
      </c>
      <c r="M580" t="s">
        <v>78</v>
      </c>
      <c r="N580" t="s">
        <v>52</v>
      </c>
      <c r="O580" t="s">
        <v>8348</v>
      </c>
      <c r="P580" t="s">
        <v>8349</v>
      </c>
      <c r="Q580" t="s">
        <v>7094</v>
      </c>
      <c r="R580" t="s">
        <v>2954</v>
      </c>
      <c r="S580" t="s">
        <v>74</v>
      </c>
      <c r="T580" t="s">
        <v>74</v>
      </c>
      <c r="U580" t="s">
        <v>74</v>
      </c>
      <c r="V580" t="s">
        <v>74</v>
      </c>
      <c r="W580" t="s">
        <v>8477</v>
      </c>
      <c r="X580" t="s">
        <v>8373</v>
      </c>
      <c r="Y580" t="s">
        <v>74</v>
      </c>
      <c r="Z580" t="s">
        <v>74</v>
      </c>
      <c r="AA580" t="s">
        <v>8478</v>
      </c>
      <c r="AB580" t="s">
        <v>5709</v>
      </c>
      <c r="AC580" t="s">
        <v>74</v>
      </c>
      <c r="AD580" t="s">
        <v>74</v>
      </c>
      <c r="AE580" t="s">
        <v>74</v>
      </c>
      <c r="AF580" t="s">
        <v>74</v>
      </c>
      <c r="AG580">
        <v>0</v>
      </c>
      <c r="AH580">
        <v>1</v>
      </c>
      <c r="AI580">
        <v>1</v>
      </c>
      <c r="AJ580">
        <v>0</v>
      </c>
      <c r="AK580">
        <v>1</v>
      </c>
      <c r="AL580" t="s">
        <v>219</v>
      </c>
      <c r="AM580" t="s">
        <v>220</v>
      </c>
      <c r="AN580" t="s">
        <v>221</v>
      </c>
      <c r="AO580" t="s">
        <v>222</v>
      </c>
      <c r="AP580" t="s">
        <v>223</v>
      </c>
      <c r="AQ580" t="s">
        <v>74</v>
      </c>
      <c r="AR580" t="s">
        <v>224</v>
      </c>
      <c r="AS580" t="s">
        <v>225</v>
      </c>
      <c r="AT580" t="s">
        <v>5777</v>
      </c>
      <c r="AU580">
        <v>2018</v>
      </c>
      <c r="AV580">
        <v>52</v>
      </c>
      <c r="AW580" t="s">
        <v>74</v>
      </c>
      <c r="AX580" t="s">
        <v>74</v>
      </c>
      <c r="AY580">
        <v>62</v>
      </c>
      <c r="AZ580" t="s">
        <v>74</v>
      </c>
      <c r="BA580" t="s">
        <v>8479</v>
      </c>
      <c r="BB580" t="s">
        <v>74</v>
      </c>
      <c r="BC580" t="s">
        <v>74</v>
      </c>
      <c r="BD580" t="s">
        <v>74</v>
      </c>
      <c r="BE580" t="s">
        <v>8480</v>
      </c>
      <c r="BF580" t="str">
        <f>HYPERLINK("http://dx.doi.org/10.1183/13993003.congress-2018.PA3081","http://dx.doi.org/10.1183/13993003.congress-2018.PA3081")</f>
        <v>http://dx.doi.org/10.1183/13993003.congress-2018.PA3081</v>
      </c>
      <c r="BG580" t="s">
        <v>74</v>
      </c>
      <c r="BH580" t="s">
        <v>74</v>
      </c>
      <c r="BI580">
        <v>1</v>
      </c>
      <c r="BJ580" t="s">
        <v>228</v>
      </c>
      <c r="BK580" t="s">
        <v>512</v>
      </c>
      <c r="BL580" t="s">
        <v>228</v>
      </c>
      <c r="BM580" t="s">
        <v>8356</v>
      </c>
      <c r="BN580" t="s">
        <v>74</v>
      </c>
      <c r="BO580" t="s">
        <v>74</v>
      </c>
      <c r="BP580" t="s">
        <v>74</v>
      </c>
      <c r="BQ580" t="s">
        <v>74</v>
      </c>
      <c r="BR580" t="s">
        <v>104</v>
      </c>
      <c r="BS580" t="s">
        <v>8481</v>
      </c>
      <c r="BT580" t="str">
        <f>HYPERLINK("https%3A%2F%2Fwww.webofscience.com%2Fwos%2Fwoscc%2Ffull-record%2FWOS:000455567104113","View Full Record in Web of Science")</f>
        <v>View Full Record in Web of Science</v>
      </c>
    </row>
    <row r="581" spans="1:72" x14ac:dyDescent="0.25">
      <c r="A581" t="s">
        <v>72</v>
      </c>
      <c r="B581" t="s">
        <v>8482</v>
      </c>
      <c r="C581" t="s">
        <v>74</v>
      </c>
      <c r="D581" t="s">
        <v>74</v>
      </c>
      <c r="E581" t="s">
        <v>74</v>
      </c>
      <c r="F581" t="s">
        <v>8483</v>
      </c>
      <c r="G581" t="s">
        <v>74</v>
      </c>
      <c r="H581" t="s">
        <v>74</v>
      </c>
      <c r="I581" t="s">
        <v>8484</v>
      </c>
      <c r="J581" t="s">
        <v>216</v>
      </c>
      <c r="K581" t="s">
        <v>74</v>
      </c>
      <c r="L581" t="s">
        <v>74</v>
      </c>
      <c r="M581" t="s">
        <v>78</v>
      </c>
      <c r="N581" t="s">
        <v>52</v>
      </c>
      <c r="O581" t="s">
        <v>8348</v>
      </c>
      <c r="P581" t="s">
        <v>8349</v>
      </c>
      <c r="Q581" t="s">
        <v>7094</v>
      </c>
      <c r="R581" t="s">
        <v>2954</v>
      </c>
      <c r="S581" t="s">
        <v>74</v>
      </c>
      <c r="T581" t="s">
        <v>74</v>
      </c>
      <c r="U581" t="s">
        <v>74</v>
      </c>
      <c r="V581" t="s">
        <v>74</v>
      </c>
      <c r="W581" t="s">
        <v>8485</v>
      </c>
      <c r="X581" t="s">
        <v>8486</v>
      </c>
      <c r="Y581" t="s">
        <v>74</v>
      </c>
      <c r="Z581" t="s">
        <v>74</v>
      </c>
      <c r="AA581" t="s">
        <v>8487</v>
      </c>
      <c r="AB581" t="s">
        <v>74</v>
      </c>
      <c r="AC581" t="s">
        <v>74</v>
      </c>
      <c r="AD581" t="s">
        <v>74</v>
      </c>
      <c r="AE581" t="s">
        <v>74</v>
      </c>
      <c r="AF581" t="s">
        <v>74</v>
      </c>
      <c r="AG581">
        <v>0</v>
      </c>
      <c r="AH581">
        <v>0</v>
      </c>
      <c r="AI581">
        <v>0</v>
      </c>
      <c r="AJ581">
        <v>0</v>
      </c>
      <c r="AK581">
        <v>4</v>
      </c>
      <c r="AL581" t="s">
        <v>219</v>
      </c>
      <c r="AM581" t="s">
        <v>220</v>
      </c>
      <c r="AN581" t="s">
        <v>221</v>
      </c>
      <c r="AO581" t="s">
        <v>222</v>
      </c>
      <c r="AP581" t="s">
        <v>223</v>
      </c>
      <c r="AQ581" t="s">
        <v>74</v>
      </c>
      <c r="AR581" t="s">
        <v>224</v>
      </c>
      <c r="AS581" t="s">
        <v>225</v>
      </c>
      <c r="AT581" t="s">
        <v>5777</v>
      </c>
      <c r="AU581">
        <v>2018</v>
      </c>
      <c r="AV581">
        <v>52</v>
      </c>
      <c r="AW581" t="s">
        <v>74</v>
      </c>
      <c r="AX581" t="s">
        <v>74</v>
      </c>
      <c r="AY581">
        <v>62</v>
      </c>
      <c r="AZ581" t="s">
        <v>74</v>
      </c>
      <c r="BA581" t="s">
        <v>8488</v>
      </c>
      <c r="BB581" t="s">
        <v>74</v>
      </c>
      <c r="BC581" t="s">
        <v>74</v>
      </c>
      <c r="BD581" t="s">
        <v>74</v>
      </c>
      <c r="BE581" t="s">
        <v>8489</v>
      </c>
      <c r="BF581" t="str">
        <f>HYPERLINK("http://dx.doi.org/10.1183/13993003.congress-2018.PA3935","http://dx.doi.org/10.1183/13993003.congress-2018.PA3935")</f>
        <v>http://dx.doi.org/10.1183/13993003.congress-2018.PA3935</v>
      </c>
      <c r="BG581" t="s">
        <v>74</v>
      </c>
      <c r="BH581" t="s">
        <v>74</v>
      </c>
      <c r="BI581">
        <v>2</v>
      </c>
      <c r="BJ581" t="s">
        <v>228</v>
      </c>
      <c r="BK581" t="s">
        <v>512</v>
      </c>
      <c r="BL581" t="s">
        <v>228</v>
      </c>
      <c r="BM581" t="s">
        <v>8356</v>
      </c>
      <c r="BN581" t="s">
        <v>74</v>
      </c>
      <c r="BO581" t="s">
        <v>74</v>
      </c>
      <c r="BP581" t="s">
        <v>74</v>
      </c>
      <c r="BQ581" t="s">
        <v>74</v>
      </c>
      <c r="BR581" t="s">
        <v>104</v>
      </c>
      <c r="BS581" t="s">
        <v>8490</v>
      </c>
      <c r="BT581" t="str">
        <f>HYPERLINK("https%3A%2F%2Fwww.webofscience.com%2Fwos%2Fwoscc%2Ffull-record%2FWOS:000455567105069","View Full Record in Web of Science")</f>
        <v>View Full Record in Web of Science</v>
      </c>
    </row>
    <row r="582" spans="1:72" x14ac:dyDescent="0.25">
      <c r="A582" t="s">
        <v>72</v>
      </c>
      <c r="B582" t="s">
        <v>8491</v>
      </c>
      <c r="C582" t="s">
        <v>74</v>
      </c>
      <c r="D582" t="s">
        <v>74</v>
      </c>
      <c r="E582" t="s">
        <v>74</v>
      </c>
      <c r="F582" t="s">
        <v>8492</v>
      </c>
      <c r="G582" t="s">
        <v>74</v>
      </c>
      <c r="H582" t="s">
        <v>74</v>
      </c>
      <c r="I582" t="s">
        <v>8493</v>
      </c>
      <c r="J582" t="s">
        <v>216</v>
      </c>
      <c r="K582" t="s">
        <v>74</v>
      </c>
      <c r="L582" t="s">
        <v>74</v>
      </c>
      <c r="M582" t="s">
        <v>78</v>
      </c>
      <c r="N582" t="s">
        <v>52</v>
      </c>
      <c r="O582" t="s">
        <v>8348</v>
      </c>
      <c r="P582" t="s">
        <v>8349</v>
      </c>
      <c r="Q582" t="s">
        <v>7094</v>
      </c>
      <c r="R582" t="s">
        <v>2954</v>
      </c>
      <c r="S582" t="s">
        <v>74</v>
      </c>
      <c r="T582" t="s">
        <v>74</v>
      </c>
      <c r="U582" t="s">
        <v>74</v>
      </c>
      <c r="V582" t="s">
        <v>74</v>
      </c>
      <c r="W582" t="s">
        <v>8494</v>
      </c>
      <c r="X582" t="s">
        <v>8495</v>
      </c>
      <c r="Y582" t="s">
        <v>74</v>
      </c>
      <c r="Z582" t="s">
        <v>74</v>
      </c>
      <c r="AA582" t="s">
        <v>8496</v>
      </c>
      <c r="AB582" t="s">
        <v>5709</v>
      </c>
      <c r="AC582" t="s">
        <v>74</v>
      </c>
      <c r="AD582" t="s">
        <v>74</v>
      </c>
      <c r="AE582" t="s">
        <v>74</v>
      </c>
      <c r="AF582" t="s">
        <v>74</v>
      </c>
      <c r="AG582">
        <v>0</v>
      </c>
      <c r="AH582">
        <v>0</v>
      </c>
      <c r="AI582">
        <v>0</v>
      </c>
      <c r="AJ582">
        <v>0</v>
      </c>
      <c r="AK582">
        <v>0</v>
      </c>
      <c r="AL582" t="s">
        <v>219</v>
      </c>
      <c r="AM582" t="s">
        <v>220</v>
      </c>
      <c r="AN582" t="s">
        <v>221</v>
      </c>
      <c r="AO582" t="s">
        <v>222</v>
      </c>
      <c r="AP582" t="s">
        <v>223</v>
      </c>
      <c r="AQ582" t="s">
        <v>74</v>
      </c>
      <c r="AR582" t="s">
        <v>224</v>
      </c>
      <c r="AS582" t="s">
        <v>225</v>
      </c>
      <c r="AT582" t="s">
        <v>5777</v>
      </c>
      <c r="AU582">
        <v>2018</v>
      </c>
      <c r="AV582">
        <v>52</v>
      </c>
      <c r="AW582" t="s">
        <v>74</v>
      </c>
      <c r="AX582" t="s">
        <v>74</v>
      </c>
      <c r="AY582">
        <v>62</v>
      </c>
      <c r="AZ582" t="s">
        <v>74</v>
      </c>
      <c r="BA582" t="s">
        <v>8497</v>
      </c>
      <c r="BB582" t="s">
        <v>74</v>
      </c>
      <c r="BC582" t="s">
        <v>74</v>
      </c>
      <c r="BD582" t="s">
        <v>74</v>
      </c>
      <c r="BE582" t="s">
        <v>8498</v>
      </c>
      <c r="BF582" t="str">
        <f>HYPERLINK("http://dx.doi.org/10.1183/13993003.congress-2018.OA4944","http://dx.doi.org/10.1183/13993003.congress-2018.OA4944")</f>
        <v>http://dx.doi.org/10.1183/13993003.congress-2018.OA4944</v>
      </c>
      <c r="BG582" t="s">
        <v>74</v>
      </c>
      <c r="BH582" t="s">
        <v>74</v>
      </c>
      <c r="BI582">
        <v>2</v>
      </c>
      <c r="BJ582" t="s">
        <v>228</v>
      </c>
      <c r="BK582" t="s">
        <v>512</v>
      </c>
      <c r="BL582" t="s">
        <v>228</v>
      </c>
      <c r="BM582" t="s">
        <v>8356</v>
      </c>
      <c r="BN582" t="s">
        <v>74</v>
      </c>
      <c r="BO582" t="s">
        <v>74</v>
      </c>
      <c r="BP582" t="s">
        <v>74</v>
      </c>
      <c r="BQ582" t="s">
        <v>74</v>
      </c>
      <c r="BR582" t="s">
        <v>104</v>
      </c>
      <c r="BS582" t="s">
        <v>8499</v>
      </c>
      <c r="BT582" t="str">
        <f>HYPERLINK("https%3A%2F%2Fwww.webofscience.com%2Fwos%2Fwoscc%2Ffull-record%2FWOS:000455567100408","View Full Record in Web of Science")</f>
        <v>View Full Record in Web of Science</v>
      </c>
    </row>
    <row r="583" spans="1:72" x14ac:dyDescent="0.25">
      <c r="A583" t="s">
        <v>72</v>
      </c>
      <c r="B583" t="s">
        <v>8500</v>
      </c>
      <c r="C583" t="s">
        <v>74</v>
      </c>
      <c r="D583" t="s">
        <v>74</v>
      </c>
      <c r="E583" t="s">
        <v>74</v>
      </c>
      <c r="F583" t="s">
        <v>8501</v>
      </c>
      <c r="G583" t="s">
        <v>74</v>
      </c>
      <c r="H583" t="s">
        <v>8502</v>
      </c>
      <c r="I583" t="s">
        <v>8503</v>
      </c>
      <c r="J583" t="s">
        <v>269</v>
      </c>
      <c r="K583" t="s">
        <v>74</v>
      </c>
      <c r="L583" t="s">
        <v>74</v>
      </c>
      <c r="M583" t="s">
        <v>78</v>
      </c>
      <c r="N583" t="s">
        <v>217</v>
      </c>
      <c r="O583" t="s">
        <v>74</v>
      </c>
      <c r="P583" t="s">
        <v>74</v>
      </c>
      <c r="Q583" t="s">
        <v>74</v>
      </c>
      <c r="R583" t="s">
        <v>74</v>
      </c>
      <c r="S583" t="s">
        <v>74</v>
      </c>
      <c r="T583" t="s">
        <v>74</v>
      </c>
      <c r="U583" t="s">
        <v>74</v>
      </c>
      <c r="V583" t="s">
        <v>74</v>
      </c>
      <c r="W583" t="s">
        <v>8504</v>
      </c>
      <c r="X583" t="s">
        <v>8505</v>
      </c>
      <c r="Y583" t="s">
        <v>8506</v>
      </c>
      <c r="Z583" t="s">
        <v>8507</v>
      </c>
      <c r="AA583" t="s">
        <v>8508</v>
      </c>
      <c r="AB583" t="s">
        <v>8509</v>
      </c>
      <c r="AC583" t="s">
        <v>8510</v>
      </c>
      <c r="AD583" t="s">
        <v>5907</v>
      </c>
      <c r="AE583" t="s">
        <v>74</v>
      </c>
      <c r="AF583" t="s">
        <v>74</v>
      </c>
      <c r="AG583">
        <v>1</v>
      </c>
      <c r="AH583">
        <v>0</v>
      </c>
      <c r="AI583">
        <v>0</v>
      </c>
      <c r="AJ583">
        <v>0</v>
      </c>
      <c r="AK583">
        <v>9</v>
      </c>
      <c r="AL583" t="s">
        <v>282</v>
      </c>
      <c r="AM583" t="s">
        <v>283</v>
      </c>
      <c r="AN583" t="s">
        <v>284</v>
      </c>
      <c r="AO583" t="s">
        <v>285</v>
      </c>
      <c r="AP583" t="s">
        <v>74</v>
      </c>
      <c r="AQ583" t="s">
        <v>74</v>
      </c>
      <c r="AR583" t="s">
        <v>286</v>
      </c>
      <c r="AS583" t="s">
        <v>287</v>
      </c>
      <c r="AT583" t="s">
        <v>8511</v>
      </c>
      <c r="AU583">
        <v>2018</v>
      </c>
      <c r="AV583">
        <v>8</v>
      </c>
      <c r="AW583" t="s">
        <v>74</v>
      </c>
      <c r="AX583" t="s">
        <v>74</v>
      </c>
      <c r="AY583" t="s">
        <v>74</v>
      </c>
      <c r="AZ583" t="s">
        <v>74</v>
      </c>
      <c r="BA583" t="s">
        <v>74</v>
      </c>
      <c r="BB583" t="s">
        <v>74</v>
      </c>
      <c r="BC583" t="s">
        <v>74</v>
      </c>
      <c r="BD583">
        <v>13376</v>
      </c>
      <c r="BE583" t="s">
        <v>8512</v>
      </c>
      <c r="BF583" t="str">
        <f>HYPERLINK("http://dx.doi.org/10.1038/s41598-018-31524-0","http://dx.doi.org/10.1038/s41598-018-31524-0")</f>
        <v>http://dx.doi.org/10.1038/s41598-018-31524-0</v>
      </c>
      <c r="BG583" t="s">
        <v>74</v>
      </c>
      <c r="BH583" t="s">
        <v>74</v>
      </c>
      <c r="BI583">
        <v>4</v>
      </c>
      <c r="BJ583" t="s">
        <v>290</v>
      </c>
      <c r="BK583" t="s">
        <v>101</v>
      </c>
      <c r="BL583" t="s">
        <v>291</v>
      </c>
      <c r="BM583" t="s">
        <v>8513</v>
      </c>
      <c r="BN583">
        <v>30177810</v>
      </c>
      <c r="BO583" t="s">
        <v>1418</v>
      </c>
      <c r="BP583" t="s">
        <v>74</v>
      </c>
      <c r="BQ583" t="s">
        <v>74</v>
      </c>
      <c r="BR583" t="s">
        <v>104</v>
      </c>
      <c r="BS583" t="s">
        <v>8514</v>
      </c>
      <c r="BT583" t="str">
        <f>HYPERLINK("https%3A%2F%2Fwww.webofscience.com%2Fwos%2Fwoscc%2Ffull-record%2FWOS:000443479700003","View Full Record in Web of Science")</f>
        <v>View Full Record in Web of Science</v>
      </c>
    </row>
    <row r="584" spans="1:72" x14ac:dyDescent="0.25">
      <c r="A584" t="s">
        <v>72</v>
      </c>
      <c r="B584" t="s">
        <v>8515</v>
      </c>
      <c r="C584" t="s">
        <v>74</v>
      </c>
      <c r="D584" t="s">
        <v>74</v>
      </c>
      <c r="E584" t="s">
        <v>74</v>
      </c>
      <c r="F584" t="s">
        <v>8516</v>
      </c>
      <c r="G584" t="s">
        <v>74</v>
      </c>
      <c r="H584" t="s">
        <v>74</v>
      </c>
      <c r="I584" t="s">
        <v>8517</v>
      </c>
      <c r="J584" t="s">
        <v>983</v>
      </c>
      <c r="K584" t="s">
        <v>74</v>
      </c>
      <c r="L584" t="s">
        <v>74</v>
      </c>
      <c r="M584" t="s">
        <v>78</v>
      </c>
      <c r="N584" t="s">
        <v>79</v>
      </c>
      <c r="O584" t="s">
        <v>74</v>
      </c>
      <c r="P584" t="s">
        <v>74</v>
      </c>
      <c r="Q584" t="s">
        <v>74</v>
      </c>
      <c r="R584" t="s">
        <v>74</v>
      </c>
      <c r="S584" t="s">
        <v>74</v>
      </c>
      <c r="T584" t="s">
        <v>8518</v>
      </c>
      <c r="U584" t="s">
        <v>8519</v>
      </c>
      <c r="V584" t="s">
        <v>8520</v>
      </c>
      <c r="W584" t="s">
        <v>8521</v>
      </c>
      <c r="X584" t="s">
        <v>8522</v>
      </c>
      <c r="Y584" t="s">
        <v>8523</v>
      </c>
      <c r="Z584" t="s">
        <v>8524</v>
      </c>
      <c r="AA584" t="s">
        <v>8525</v>
      </c>
      <c r="AB584" t="s">
        <v>8526</v>
      </c>
      <c r="AC584" t="s">
        <v>8527</v>
      </c>
      <c r="AD584" t="s">
        <v>8528</v>
      </c>
      <c r="AE584" t="s">
        <v>8529</v>
      </c>
      <c r="AF584" t="s">
        <v>74</v>
      </c>
      <c r="AG584">
        <v>31</v>
      </c>
      <c r="AH584">
        <v>21</v>
      </c>
      <c r="AI584">
        <v>22</v>
      </c>
      <c r="AJ584">
        <v>0</v>
      </c>
      <c r="AK584">
        <v>0</v>
      </c>
      <c r="AL584" t="s">
        <v>991</v>
      </c>
      <c r="AM584" t="s">
        <v>486</v>
      </c>
      <c r="AN584" t="s">
        <v>8530</v>
      </c>
      <c r="AO584" t="s">
        <v>993</v>
      </c>
      <c r="AP584" t="s">
        <v>994</v>
      </c>
      <c r="AQ584" t="s">
        <v>74</v>
      </c>
      <c r="AR584" t="s">
        <v>995</v>
      </c>
      <c r="AS584" t="s">
        <v>996</v>
      </c>
      <c r="AT584" t="s">
        <v>492</v>
      </c>
      <c r="AU584">
        <v>2018</v>
      </c>
      <c r="AV584">
        <v>37</v>
      </c>
      <c r="AW584">
        <v>9</v>
      </c>
      <c r="AX584" t="s">
        <v>74</v>
      </c>
      <c r="AY584" t="s">
        <v>74</v>
      </c>
      <c r="AZ584" t="s">
        <v>74</v>
      </c>
      <c r="BA584" t="s">
        <v>74</v>
      </c>
      <c r="BB584">
        <v>1102</v>
      </c>
      <c r="BC584">
        <v>1110</v>
      </c>
      <c r="BD584" t="s">
        <v>74</v>
      </c>
      <c r="BE584" t="s">
        <v>8531</v>
      </c>
      <c r="BF584" t="str">
        <f>HYPERLINK("http://dx.doi.org/10.1016/j.healun.2018.05.004","http://dx.doi.org/10.1016/j.healun.2018.05.004")</f>
        <v>http://dx.doi.org/10.1016/j.healun.2018.05.004</v>
      </c>
      <c r="BG584" t="s">
        <v>74</v>
      </c>
      <c r="BH584" t="s">
        <v>74</v>
      </c>
      <c r="BI584">
        <v>9</v>
      </c>
      <c r="BJ584" t="s">
        <v>1000</v>
      </c>
      <c r="BK584" t="s">
        <v>101</v>
      </c>
      <c r="BL584" t="s">
        <v>1001</v>
      </c>
      <c r="BM584" t="s">
        <v>8532</v>
      </c>
      <c r="BN584">
        <v>30037729</v>
      </c>
      <c r="BO584" t="s">
        <v>74</v>
      </c>
      <c r="BP584" t="s">
        <v>74</v>
      </c>
      <c r="BQ584" t="s">
        <v>74</v>
      </c>
      <c r="BR584" t="s">
        <v>104</v>
      </c>
      <c r="BS584" t="s">
        <v>8533</v>
      </c>
      <c r="BT584" t="str">
        <f>HYPERLINK("https%3A%2F%2Fwww.webofscience.com%2Fwos%2Fwoscc%2Ffull-record%2FWOS:000444512200009","View Full Record in Web of Science")</f>
        <v>View Full Record in Web of Science</v>
      </c>
    </row>
    <row r="585" spans="1:72" x14ac:dyDescent="0.25">
      <c r="A585" t="s">
        <v>72</v>
      </c>
      <c r="B585" t="s">
        <v>1420</v>
      </c>
      <c r="C585" t="s">
        <v>74</v>
      </c>
      <c r="D585" t="s">
        <v>74</v>
      </c>
      <c r="E585" t="s">
        <v>74</v>
      </c>
      <c r="F585" t="s">
        <v>1421</v>
      </c>
      <c r="G585" t="s">
        <v>74</v>
      </c>
      <c r="H585" t="s">
        <v>74</v>
      </c>
      <c r="I585" t="s">
        <v>8534</v>
      </c>
      <c r="J585" t="s">
        <v>8535</v>
      </c>
      <c r="K585" t="s">
        <v>74</v>
      </c>
      <c r="L585" t="s">
        <v>74</v>
      </c>
      <c r="M585" t="s">
        <v>78</v>
      </c>
      <c r="N585" t="s">
        <v>140</v>
      </c>
      <c r="O585" t="s">
        <v>74</v>
      </c>
      <c r="P585" t="s">
        <v>74</v>
      </c>
      <c r="Q585" t="s">
        <v>74</v>
      </c>
      <c r="R585" t="s">
        <v>74</v>
      </c>
      <c r="S585" t="s">
        <v>74</v>
      </c>
      <c r="T585" t="s">
        <v>74</v>
      </c>
      <c r="U585" t="s">
        <v>8536</v>
      </c>
      <c r="V585" t="s">
        <v>74</v>
      </c>
      <c r="W585" t="s">
        <v>8537</v>
      </c>
      <c r="X585" t="s">
        <v>8538</v>
      </c>
      <c r="Y585" t="s">
        <v>8539</v>
      </c>
      <c r="Z585" t="s">
        <v>377</v>
      </c>
      <c r="AA585" t="s">
        <v>144</v>
      </c>
      <c r="AB585" t="s">
        <v>257</v>
      </c>
      <c r="AC585" t="s">
        <v>74</v>
      </c>
      <c r="AD585" t="s">
        <v>74</v>
      </c>
      <c r="AE585" t="s">
        <v>74</v>
      </c>
      <c r="AF585" t="s">
        <v>74</v>
      </c>
      <c r="AG585">
        <v>23</v>
      </c>
      <c r="AH585">
        <v>1</v>
      </c>
      <c r="AI585">
        <v>1</v>
      </c>
      <c r="AJ585">
        <v>0</v>
      </c>
      <c r="AK585">
        <v>1</v>
      </c>
      <c r="AL585" t="s">
        <v>570</v>
      </c>
      <c r="AM585" t="s">
        <v>571</v>
      </c>
      <c r="AN585" t="s">
        <v>572</v>
      </c>
      <c r="AO585" t="s">
        <v>8540</v>
      </c>
      <c r="AP585" t="s">
        <v>8541</v>
      </c>
      <c r="AQ585" t="s">
        <v>74</v>
      </c>
      <c r="AR585" t="s">
        <v>8542</v>
      </c>
      <c r="AS585" t="s">
        <v>8543</v>
      </c>
      <c r="AT585" t="s">
        <v>492</v>
      </c>
      <c r="AU585">
        <v>2018</v>
      </c>
      <c r="AV585">
        <v>37</v>
      </c>
      <c r="AW585">
        <v>9</v>
      </c>
      <c r="AX585" t="s">
        <v>74</v>
      </c>
      <c r="AY585" t="s">
        <v>74</v>
      </c>
      <c r="AZ585" t="s">
        <v>74</v>
      </c>
      <c r="BA585" t="s">
        <v>74</v>
      </c>
      <c r="BB585">
        <v>759</v>
      </c>
      <c r="BC585">
        <v>761</v>
      </c>
      <c r="BD585" t="s">
        <v>74</v>
      </c>
      <c r="BE585" t="s">
        <v>8544</v>
      </c>
      <c r="BF585" t="str">
        <f>HYPERLINK("http://dx.doi.org/10.1016/j.repc.2018.08.003","http://dx.doi.org/10.1016/j.repc.2018.08.003")</f>
        <v>http://dx.doi.org/10.1016/j.repc.2018.08.003</v>
      </c>
      <c r="BG585" t="s">
        <v>74</v>
      </c>
      <c r="BH585" t="s">
        <v>74</v>
      </c>
      <c r="BI585">
        <v>3</v>
      </c>
      <c r="BJ585" t="s">
        <v>132</v>
      </c>
      <c r="BK585" t="s">
        <v>101</v>
      </c>
      <c r="BL585" t="s">
        <v>133</v>
      </c>
      <c r="BM585" t="s">
        <v>8545</v>
      </c>
      <c r="BN585">
        <v>30143347</v>
      </c>
      <c r="BO585" t="s">
        <v>293</v>
      </c>
      <c r="BP585" t="s">
        <v>74</v>
      </c>
      <c r="BQ585" t="s">
        <v>74</v>
      </c>
      <c r="BR585" t="s">
        <v>104</v>
      </c>
      <c r="BS585" t="s">
        <v>8546</v>
      </c>
      <c r="BT585" t="str">
        <f>HYPERLINK("https%3A%2F%2Fwww.webofscience.com%2Fwos%2Fwoscc%2Ffull-record%2FWOS:000445429600006","View Full Record in Web of Science")</f>
        <v>View Full Record in Web of Science</v>
      </c>
    </row>
    <row r="586" spans="1:72" x14ac:dyDescent="0.25">
      <c r="A586" t="s">
        <v>72</v>
      </c>
      <c r="B586" t="s">
        <v>8547</v>
      </c>
      <c r="C586" t="s">
        <v>74</v>
      </c>
      <c r="D586" t="s">
        <v>74</v>
      </c>
      <c r="E586" t="s">
        <v>74</v>
      </c>
      <c r="F586" t="s">
        <v>8548</v>
      </c>
      <c r="G586" t="s">
        <v>74</v>
      </c>
      <c r="H586" t="s">
        <v>74</v>
      </c>
      <c r="I586" t="s">
        <v>8549</v>
      </c>
      <c r="J586" t="s">
        <v>324</v>
      </c>
      <c r="K586" t="s">
        <v>74</v>
      </c>
      <c r="L586" t="s">
        <v>74</v>
      </c>
      <c r="M586" t="s">
        <v>78</v>
      </c>
      <c r="N586" t="s">
        <v>79</v>
      </c>
      <c r="O586" t="s">
        <v>74</v>
      </c>
      <c r="P586" t="s">
        <v>74</v>
      </c>
      <c r="Q586" t="s">
        <v>74</v>
      </c>
      <c r="R586" t="s">
        <v>74</v>
      </c>
      <c r="S586" t="s">
        <v>74</v>
      </c>
      <c r="T586" t="s">
        <v>8550</v>
      </c>
      <c r="U586" t="s">
        <v>8551</v>
      </c>
      <c r="V586" t="s">
        <v>8552</v>
      </c>
      <c r="W586" t="s">
        <v>8553</v>
      </c>
      <c r="X586" t="s">
        <v>8554</v>
      </c>
      <c r="Y586" t="s">
        <v>8555</v>
      </c>
      <c r="Z586" t="s">
        <v>2468</v>
      </c>
      <c r="AA586" t="s">
        <v>8556</v>
      </c>
      <c r="AB586" t="s">
        <v>8557</v>
      </c>
      <c r="AC586" t="s">
        <v>8558</v>
      </c>
      <c r="AD586" t="s">
        <v>8559</v>
      </c>
      <c r="AE586" t="s">
        <v>8560</v>
      </c>
      <c r="AF586" t="s">
        <v>74</v>
      </c>
      <c r="AG586">
        <v>33</v>
      </c>
      <c r="AH586">
        <v>23</v>
      </c>
      <c r="AI586">
        <v>26</v>
      </c>
      <c r="AJ586">
        <v>0</v>
      </c>
      <c r="AK586">
        <v>3</v>
      </c>
      <c r="AL586" t="s">
        <v>7467</v>
      </c>
      <c r="AM586" t="s">
        <v>93</v>
      </c>
      <c r="AN586" t="s">
        <v>7468</v>
      </c>
      <c r="AO586" t="s">
        <v>337</v>
      </c>
      <c r="AP586" t="s">
        <v>74</v>
      </c>
      <c r="AQ586" t="s">
        <v>74</v>
      </c>
      <c r="AR586" t="s">
        <v>324</v>
      </c>
      <c r="AS586" t="s">
        <v>339</v>
      </c>
      <c r="AT586" t="s">
        <v>492</v>
      </c>
      <c r="AU586">
        <v>2018</v>
      </c>
      <c r="AV586">
        <v>154</v>
      </c>
      <c r="AW586">
        <v>3</v>
      </c>
      <c r="AX586" t="s">
        <v>74</v>
      </c>
      <c r="AY586" t="s">
        <v>74</v>
      </c>
      <c r="AZ586" t="s">
        <v>74</v>
      </c>
      <c r="BA586" t="s">
        <v>74</v>
      </c>
      <c r="BB586">
        <v>521</v>
      </c>
      <c r="BC586">
        <v>531</v>
      </c>
      <c r="BD586" t="s">
        <v>74</v>
      </c>
      <c r="BE586" t="s">
        <v>8561</v>
      </c>
      <c r="BF586" t="str">
        <f>HYPERLINK("http://dx.doi.org/10.1016/j.chest.2018.03.059","http://dx.doi.org/10.1016/j.chest.2018.03.059")</f>
        <v>http://dx.doi.org/10.1016/j.chest.2018.03.059</v>
      </c>
      <c r="BG586" t="s">
        <v>74</v>
      </c>
      <c r="BH586" t="s">
        <v>74</v>
      </c>
      <c r="BI586">
        <v>11</v>
      </c>
      <c r="BJ586" t="s">
        <v>341</v>
      </c>
      <c r="BK586" t="s">
        <v>101</v>
      </c>
      <c r="BL586" t="s">
        <v>342</v>
      </c>
      <c r="BM586" t="s">
        <v>8562</v>
      </c>
      <c r="BN586">
        <v>29730328</v>
      </c>
      <c r="BO586" t="s">
        <v>103</v>
      </c>
      <c r="BP586" t="s">
        <v>74</v>
      </c>
      <c r="BQ586" t="s">
        <v>74</v>
      </c>
      <c r="BR586" t="s">
        <v>104</v>
      </c>
      <c r="BS586" t="s">
        <v>8563</v>
      </c>
      <c r="BT586" t="str">
        <f>HYPERLINK("https%3A%2F%2Fwww.webofscience.com%2Fwos%2Fwoscc%2Ffull-record%2FWOS:000443725300020","View Full Record in Web of Science")</f>
        <v>View Full Record in Web of Science</v>
      </c>
    </row>
    <row r="587" spans="1:72" x14ac:dyDescent="0.25">
      <c r="A587" t="s">
        <v>72</v>
      </c>
      <c r="B587" t="s">
        <v>8564</v>
      </c>
      <c r="C587" t="s">
        <v>74</v>
      </c>
      <c r="D587" t="s">
        <v>74</v>
      </c>
      <c r="E587" t="s">
        <v>74</v>
      </c>
      <c r="F587" t="s">
        <v>8565</v>
      </c>
      <c r="G587" t="s">
        <v>74</v>
      </c>
      <c r="H587" t="s">
        <v>74</v>
      </c>
      <c r="I587" t="s">
        <v>8566</v>
      </c>
      <c r="J587" t="s">
        <v>637</v>
      </c>
      <c r="K587" t="s">
        <v>74</v>
      </c>
      <c r="L587" t="s">
        <v>74</v>
      </c>
      <c r="M587" t="s">
        <v>78</v>
      </c>
      <c r="N587" t="s">
        <v>460</v>
      </c>
      <c r="O587" t="s">
        <v>74</v>
      </c>
      <c r="P587" t="s">
        <v>74</v>
      </c>
      <c r="Q587" t="s">
        <v>74</v>
      </c>
      <c r="R587" t="s">
        <v>74</v>
      </c>
      <c r="S587" t="s">
        <v>74</v>
      </c>
      <c r="T587" t="s">
        <v>74</v>
      </c>
      <c r="U587" t="s">
        <v>74</v>
      </c>
      <c r="V587" t="s">
        <v>74</v>
      </c>
      <c r="W587" t="s">
        <v>8567</v>
      </c>
      <c r="X587" t="s">
        <v>8568</v>
      </c>
      <c r="Y587" t="s">
        <v>8569</v>
      </c>
      <c r="Z587" t="s">
        <v>74</v>
      </c>
      <c r="AA587" t="s">
        <v>8570</v>
      </c>
      <c r="AB587" t="s">
        <v>8571</v>
      </c>
      <c r="AC587" t="s">
        <v>74</v>
      </c>
      <c r="AD587" t="s">
        <v>74</v>
      </c>
      <c r="AE587" t="s">
        <v>74</v>
      </c>
      <c r="AF587" t="s">
        <v>74</v>
      </c>
      <c r="AG587">
        <v>9</v>
      </c>
      <c r="AH587">
        <v>15</v>
      </c>
      <c r="AI587">
        <v>15</v>
      </c>
      <c r="AJ587">
        <v>0</v>
      </c>
      <c r="AK587">
        <v>0</v>
      </c>
      <c r="AL587" t="s">
        <v>649</v>
      </c>
      <c r="AM587" t="s">
        <v>486</v>
      </c>
      <c r="AN587" t="s">
        <v>650</v>
      </c>
      <c r="AO587" t="s">
        <v>651</v>
      </c>
      <c r="AP587" t="s">
        <v>652</v>
      </c>
      <c r="AQ587" t="s">
        <v>74</v>
      </c>
      <c r="AR587" t="s">
        <v>653</v>
      </c>
      <c r="AS587" t="s">
        <v>654</v>
      </c>
      <c r="AT587" t="s">
        <v>6124</v>
      </c>
      <c r="AU587">
        <v>2018</v>
      </c>
      <c r="AV587">
        <v>198</v>
      </c>
      <c r="AW587">
        <v>4</v>
      </c>
      <c r="AX587" t="s">
        <v>74</v>
      </c>
      <c r="AY587" t="s">
        <v>74</v>
      </c>
      <c r="AZ587" t="s">
        <v>74</v>
      </c>
      <c r="BA587" t="s">
        <v>74</v>
      </c>
      <c r="BB587">
        <v>537</v>
      </c>
      <c r="BC587">
        <v>541</v>
      </c>
      <c r="BD587" t="s">
        <v>74</v>
      </c>
      <c r="BE587" t="s">
        <v>8572</v>
      </c>
      <c r="BF587" t="str">
        <f>HYPERLINK("http://dx.doi.org/10.1164/rccm.201802-0317LE","http://dx.doi.org/10.1164/rccm.201802-0317LE")</f>
        <v>http://dx.doi.org/10.1164/rccm.201802-0317LE</v>
      </c>
      <c r="BG587" t="s">
        <v>74</v>
      </c>
      <c r="BH587" t="s">
        <v>74</v>
      </c>
      <c r="BI587">
        <v>6</v>
      </c>
      <c r="BJ587" t="s">
        <v>341</v>
      </c>
      <c r="BK587" t="s">
        <v>101</v>
      </c>
      <c r="BL587" t="s">
        <v>342</v>
      </c>
      <c r="BM587" t="s">
        <v>8573</v>
      </c>
      <c r="BN587">
        <v>29702008</v>
      </c>
      <c r="BO587" t="s">
        <v>74</v>
      </c>
      <c r="BP587" t="s">
        <v>74</v>
      </c>
      <c r="BQ587" t="s">
        <v>74</v>
      </c>
      <c r="BR587" t="s">
        <v>104</v>
      </c>
      <c r="BS587" t="s">
        <v>8574</v>
      </c>
      <c r="BT587" t="str">
        <f>HYPERLINK("https%3A%2F%2Fwww.webofscience.com%2Fwos%2Fwoscc%2Ffull-record%2FWOS:000441764900020","View Full Record in Web of Science")</f>
        <v>View Full Record in Web of Science</v>
      </c>
    </row>
    <row r="588" spans="1:72" x14ac:dyDescent="0.25">
      <c r="A588" t="s">
        <v>72</v>
      </c>
      <c r="B588" t="s">
        <v>8575</v>
      </c>
      <c r="C588" t="s">
        <v>74</v>
      </c>
      <c r="D588" t="s">
        <v>74</v>
      </c>
      <c r="E588" t="s">
        <v>74</v>
      </c>
      <c r="F588" t="s">
        <v>8576</v>
      </c>
      <c r="G588" t="s">
        <v>74</v>
      </c>
      <c r="H588" t="s">
        <v>74</v>
      </c>
      <c r="I588" t="s">
        <v>8577</v>
      </c>
      <c r="J588" t="s">
        <v>5624</v>
      </c>
      <c r="K588" t="s">
        <v>74</v>
      </c>
      <c r="L588" t="s">
        <v>74</v>
      </c>
      <c r="M588" t="s">
        <v>78</v>
      </c>
      <c r="N588" t="s">
        <v>52</v>
      </c>
      <c r="O588" t="s">
        <v>8578</v>
      </c>
      <c r="P588" t="s">
        <v>8579</v>
      </c>
      <c r="Q588" t="s">
        <v>8580</v>
      </c>
      <c r="R588" t="s">
        <v>8581</v>
      </c>
      <c r="S588" t="s">
        <v>74</v>
      </c>
      <c r="T588" t="s">
        <v>74</v>
      </c>
      <c r="U588" t="s">
        <v>74</v>
      </c>
      <c r="V588" t="s">
        <v>74</v>
      </c>
      <c r="W588" t="s">
        <v>8582</v>
      </c>
      <c r="X588" t="s">
        <v>8583</v>
      </c>
      <c r="Y588" t="s">
        <v>74</v>
      </c>
      <c r="Z588" t="s">
        <v>74</v>
      </c>
      <c r="AA588" t="s">
        <v>144</v>
      </c>
      <c r="AB588" t="s">
        <v>74</v>
      </c>
      <c r="AC588" t="s">
        <v>8584</v>
      </c>
      <c r="AD588" t="s">
        <v>4875</v>
      </c>
      <c r="AE588" t="s">
        <v>8585</v>
      </c>
      <c r="AF588" t="s">
        <v>74</v>
      </c>
      <c r="AG588">
        <v>0</v>
      </c>
      <c r="AH588">
        <v>0</v>
      </c>
      <c r="AI588">
        <v>0</v>
      </c>
      <c r="AJ588">
        <v>0</v>
      </c>
      <c r="AK588">
        <v>0</v>
      </c>
      <c r="AL588" t="s">
        <v>169</v>
      </c>
      <c r="AM588" t="s">
        <v>170</v>
      </c>
      <c r="AN588" t="s">
        <v>171</v>
      </c>
      <c r="AO588" t="s">
        <v>5636</v>
      </c>
      <c r="AP588" t="s">
        <v>5637</v>
      </c>
      <c r="AQ588" t="s">
        <v>74</v>
      </c>
      <c r="AR588" t="s">
        <v>5624</v>
      </c>
      <c r="AS588" t="s">
        <v>601</v>
      </c>
      <c r="AT588" t="s">
        <v>725</v>
      </c>
      <c r="AU588">
        <v>2018</v>
      </c>
      <c r="AV588">
        <v>73</v>
      </c>
      <c r="AW588" t="s">
        <v>74</v>
      </c>
      <c r="AX588" t="s">
        <v>74</v>
      </c>
      <c r="AY588">
        <v>105</v>
      </c>
      <c r="AZ588" t="s">
        <v>1080</v>
      </c>
      <c r="BA588">
        <v>351</v>
      </c>
      <c r="BB588">
        <v>201</v>
      </c>
      <c r="BC588">
        <v>202</v>
      </c>
      <c r="BD588" t="s">
        <v>74</v>
      </c>
      <c r="BE588" t="s">
        <v>74</v>
      </c>
      <c r="BF588" t="s">
        <v>74</v>
      </c>
      <c r="BG588" t="s">
        <v>74</v>
      </c>
      <c r="BH588" t="s">
        <v>74</v>
      </c>
      <c r="BI588">
        <v>2</v>
      </c>
      <c r="BJ588" t="s">
        <v>3085</v>
      </c>
      <c r="BK588" t="s">
        <v>512</v>
      </c>
      <c r="BL588" t="s">
        <v>3085</v>
      </c>
      <c r="BM588" t="s">
        <v>8586</v>
      </c>
      <c r="BN588" t="s">
        <v>74</v>
      </c>
      <c r="BO588" t="s">
        <v>74</v>
      </c>
      <c r="BP588" t="s">
        <v>74</v>
      </c>
      <c r="BQ588" t="s">
        <v>74</v>
      </c>
      <c r="BR588" t="s">
        <v>104</v>
      </c>
      <c r="BS588" t="s">
        <v>8587</v>
      </c>
      <c r="BT588" t="str">
        <f>HYPERLINK("https%3A%2F%2Fwww.webofscience.com%2Fwos%2Fwoscc%2Ffull-record%2FWOS:000441690401137","View Full Record in Web of Science")</f>
        <v>View Full Record in Web of Science</v>
      </c>
    </row>
    <row r="589" spans="1:72" x14ac:dyDescent="0.25">
      <c r="A589" t="s">
        <v>72</v>
      </c>
      <c r="B589" t="s">
        <v>8588</v>
      </c>
      <c r="C589" t="s">
        <v>74</v>
      </c>
      <c r="D589" t="s">
        <v>74</v>
      </c>
      <c r="E589" t="s">
        <v>74</v>
      </c>
      <c r="F589" t="s">
        <v>8589</v>
      </c>
      <c r="G589" t="s">
        <v>74</v>
      </c>
      <c r="H589" t="s">
        <v>74</v>
      </c>
      <c r="I589" t="s">
        <v>8590</v>
      </c>
      <c r="J589" t="s">
        <v>8591</v>
      </c>
      <c r="K589" t="s">
        <v>74</v>
      </c>
      <c r="L589" t="s">
        <v>74</v>
      </c>
      <c r="M589" t="s">
        <v>78</v>
      </c>
      <c r="N589" t="s">
        <v>79</v>
      </c>
      <c r="O589" t="s">
        <v>74</v>
      </c>
      <c r="P589" t="s">
        <v>74</v>
      </c>
      <c r="Q589" t="s">
        <v>74</v>
      </c>
      <c r="R589" t="s">
        <v>74</v>
      </c>
      <c r="S589" t="s">
        <v>74</v>
      </c>
      <c r="T589" t="s">
        <v>8592</v>
      </c>
      <c r="U589" t="s">
        <v>8593</v>
      </c>
      <c r="V589" t="s">
        <v>8594</v>
      </c>
      <c r="W589" t="s">
        <v>8595</v>
      </c>
      <c r="X589" t="s">
        <v>8596</v>
      </c>
      <c r="Y589" t="s">
        <v>8597</v>
      </c>
      <c r="Z589" t="s">
        <v>8598</v>
      </c>
      <c r="AA589" t="s">
        <v>8599</v>
      </c>
      <c r="AB589" t="s">
        <v>8600</v>
      </c>
      <c r="AC589" t="s">
        <v>8601</v>
      </c>
      <c r="AD589" t="s">
        <v>8602</v>
      </c>
      <c r="AE589" t="s">
        <v>8603</v>
      </c>
      <c r="AF589" t="s">
        <v>74</v>
      </c>
      <c r="AG589">
        <v>23</v>
      </c>
      <c r="AH589">
        <v>5</v>
      </c>
      <c r="AI589">
        <v>5</v>
      </c>
      <c r="AJ589">
        <v>0</v>
      </c>
      <c r="AK589">
        <v>5</v>
      </c>
      <c r="AL589" t="s">
        <v>1781</v>
      </c>
      <c r="AM589" t="s">
        <v>1782</v>
      </c>
      <c r="AN589" t="s">
        <v>1783</v>
      </c>
      <c r="AO589" t="s">
        <v>8604</v>
      </c>
      <c r="AP589" t="s">
        <v>8605</v>
      </c>
      <c r="AQ589" t="s">
        <v>74</v>
      </c>
      <c r="AR589" t="s">
        <v>8606</v>
      </c>
      <c r="AS589" t="s">
        <v>8607</v>
      </c>
      <c r="AT589" t="s">
        <v>725</v>
      </c>
      <c r="AU589">
        <v>2018</v>
      </c>
      <c r="AV589">
        <v>40</v>
      </c>
      <c r="AW589">
        <v>4</v>
      </c>
      <c r="AX589" t="s">
        <v>74</v>
      </c>
      <c r="AY589" t="s">
        <v>74</v>
      </c>
      <c r="AZ589" t="s">
        <v>1080</v>
      </c>
      <c r="BA589" t="s">
        <v>74</v>
      </c>
      <c r="BB589">
        <v>790</v>
      </c>
      <c r="BC589">
        <v>794</v>
      </c>
      <c r="BD589" t="s">
        <v>74</v>
      </c>
      <c r="BE589" t="s">
        <v>8608</v>
      </c>
      <c r="BF589" t="str">
        <f>HYPERLINK("http://dx.doi.org/10.1007/s11096-018-0712-y","http://dx.doi.org/10.1007/s11096-018-0712-y")</f>
        <v>http://dx.doi.org/10.1007/s11096-018-0712-y</v>
      </c>
      <c r="BG589" t="s">
        <v>74</v>
      </c>
      <c r="BH589" t="s">
        <v>74</v>
      </c>
      <c r="BI589">
        <v>5</v>
      </c>
      <c r="BJ589" t="s">
        <v>1477</v>
      </c>
      <c r="BK589" t="s">
        <v>101</v>
      </c>
      <c r="BL589" t="s">
        <v>1477</v>
      </c>
      <c r="BM589" t="s">
        <v>8609</v>
      </c>
      <c r="BN589">
        <v>30101375</v>
      </c>
      <c r="BO589" t="s">
        <v>74</v>
      </c>
      <c r="BP589" t="s">
        <v>74</v>
      </c>
      <c r="BQ589" t="s">
        <v>74</v>
      </c>
      <c r="BR589" t="s">
        <v>104</v>
      </c>
      <c r="BS589" t="s">
        <v>8610</v>
      </c>
      <c r="BT589" t="str">
        <f>HYPERLINK("https%3A%2F%2Fwww.webofscience.com%2Fwos%2Fwoscc%2Ffull-record%2FWOS:000443696700013","View Full Record in Web of Science")</f>
        <v>View Full Record in Web of Science</v>
      </c>
    </row>
    <row r="590" spans="1:72" x14ac:dyDescent="0.25">
      <c r="A590" t="s">
        <v>72</v>
      </c>
      <c r="B590" t="s">
        <v>8611</v>
      </c>
      <c r="C590" t="s">
        <v>74</v>
      </c>
      <c r="D590" t="s">
        <v>74</v>
      </c>
      <c r="E590" t="s">
        <v>74</v>
      </c>
      <c r="F590" t="s">
        <v>8612</v>
      </c>
      <c r="G590" t="s">
        <v>74</v>
      </c>
      <c r="H590" t="s">
        <v>74</v>
      </c>
      <c r="I590" t="s">
        <v>8613</v>
      </c>
      <c r="J590" t="s">
        <v>189</v>
      </c>
      <c r="K590" t="s">
        <v>74</v>
      </c>
      <c r="L590" t="s">
        <v>74</v>
      </c>
      <c r="M590" t="s">
        <v>78</v>
      </c>
      <c r="N590" t="s">
        <v>79</v>
      </c>
      <c r="O590" t="s">
        <v>74</v>
      </c>
      <c r="P590" t="s">
        <v>74</v>
      </c>
      <c r="Q590" t="s">
        <v>74</v>
      </c>
      <c r="R590" t="s">
        <v>74</v>
      </c>
      <c r="S590" t="s">
        <v>74</v>
      </c>
      <c r="T590" t="s">
        <v>8614</v>
      </c>
      <c r="U590" t="s">
        <v>8615</v>
      </c>
      <c r="V590" t="s">
        <v>8616</v>
      </c>
      <c r="W590" t="s">
        <v>8617</v>
      </c>
      <c r="X590" t="s">
        <v>8618</v>
      </c>
      <c r="Y590" t="s">
        <v>8619</v>
      </c>
      <c r="Z590" t="s">
        <v>8620</v>
      </c>
      <c r="AA590" t="s">
        <v>144</v>
      </c>
      <c r="AB590" t="s">
        <v>8621</v>
      </c>
      <c r="AC590" t="s">
        <v>8622</v>
      </c>
      <c r="AD590" t="s">
        <v>8623</v>
      </c>
      <c r="AE590" t="s">
        <v>8624</v>
      </c>
      <c r="AF590" t="s">
        <v>74</v>
      </c>
      <c r="AG590">
        <v>31</v>
      </c>
      <c r="AH590">
        <v>10</v>
      </c>
      <c r="AI590">
        <v>10</v>
      </c>
      <c r="AJ590">
        <v>0</v>
      </c>
      <c r="AK590">
        <v>8</v>
      </c>
      <c r="AL590" t="s">
        <v>200</v>
      </c>
      <c r="AM590" t="s">
        <v>201</v>
      </c>
      <c r="AN590" t="s">
        <v>202</v>
      </c>
      <c r="AO590" t="s">
        <v>203</v>
      </c>
      <c r="AP590" t="s">
        <v>204</v>
      </c>
      <c r="AQ590" t="s">
        <v>74</v>
      </c>
      <c r="AR590" t="s">
        <v>205</v>
      </c>
      <c r="AS590" t="s">
        <v>206</v>
      </c>
      <c r="AT590" t="s">
        <v>725</v>
      </c>
      <c r="AU590">
        <v>2018</v>
      </c>
      <c r="AV590">
        <v>141</v>
      </c>
      <c r="AW590" t="s">
        <v>74</v>
      </c>
      <c r="AX590" t="s">
        <v>74</v>
      </c>
      <c r="AY590" t="s">
        <v>74</v>
      </c>
      <c r="AZ590" t="s">
        <v>74</v>
      </c>
      <c r="BA590" t="s">
        <v>74</v>
      </c>
      <c r="BB590">
        <v>111</v>
      </c>
      <c r="BC590">
        <v>120</v>
      </c>
      <c r="BD590" t="s">
        <v>74</v>
      </c>
      <c r="BE590" t="s">
        <v>8625</v>
      </c>
      <c r="BF590" t="str">
        <f>HYPERLINK("http://dx.doi.org/10.1016/j.rmed.2018.06.009","http://dx.doi.org/10.1016/j.rmed.2018.06.009")</f>
        <v>http://dx.doi.org/10.1016/j.rmed.2018.06.009</v>
      </c>
      <c r="BG590" t="s">
        <v>74</v>
      </c>
      <c r="BH590" t="s">
        <v>74</v>
      </c>
      <c r="BI590">
        <v>10</v>
      </c>
      <c r="BJ590" t="s">
        <v>209</v>
      </c>
      <c r="BK590" t="s">
        <v>101</v>
      </c>
      <c r="BL590" t="s">
        <v>210</v>
      </c>
      <c r="BM590" t="s">
        <v>8626</v>
      </c>
      <c r="BN590">
        <v>30053956</v>
      </c>
      <c r="BO590" t="s">
        <v>161</v>
      </c>
      <c r="BP590" t="s">
        <v>74</v>
      </c>
      <c r="BQ590" t="s">
        <v>74</v>
      </c>
      <c r="BR590" t="s">
        <v>104</v>
      </c>
      <c r="BS590" t="s">
        <v>8627</v>
      </c>
      <c r="BT590" t="str">
        <f>HYPERLINK("https%3A%2F%2Fwww.webofscience.com%2Fwos%2Fwoscc%2Ffull-record%2FWOS:000439709700017","View Full Record in Web of Science")</f>
        <v>View Full Record in Web of Science</v>
      </c>
    </row>
    <row r="591" spans="1:72" x14ac:dyDescent="0.25">
      <c r="A591" t="s">
        <v>72</v>
      </c>
      <c r="B591" t="s">
        <v>8628</v>
      </c>
      <c r="C591" t="s">
        <v>74</v>
      </c>
      <c r="D591" t="s">
        <v>74</v>
      </c>
      <c r="E591" t="s">
        <v>74</v>
      </c>
      <c r="F591" t="s">
        <v>8629</v>
      </c>
      <c r="G591" t="s">
        <v>74</v>
      </c>
      <c r="H591" t="s">
        <v>74</v>
      </c>
      <c r="I591" t="s">
        <v>8630</v>
      </c>
      <c r="J591" t="s">
        <v>5624</v>
      </c>
      <c r="K591" t="s">
        <v>74</v>
      </c>
      <c r="L591" t="s">
        <v>74</v>
      </c>
      <c r="M591" t="s">
        <v>78</v>
      </c>
      <c r="N591" t="s">
        <v>52</v>
      </c>
      <c r="O591" t="s">
        <v>8578</v>
      </c>
      <c r="P591" t="s">
        <v>8579</v>
      </c>
      <c r="Q591" t="s">
        <v>8580</v>
      </c>
      <c r="R591" t="s">
        <v>8581</v>
      </c>
      <c r="S591" t="s">
        <v>74</v>
      </c>
      <c r="T591" t="s">
        <v>74</v>
      </c>
      <c r="U591" t="s">
        <v>74</v>
      </c>
      <c r="V591" t="s">
        <v>74</v>
      </c>
      <c r="W591" t="s">
        <v>8631</v>
      </c>
      <c r="X591" t="s">
        <v>8632</v>
      </c>
      <c r="Y591" t="s">
        <v>74</v>
      </c>
      <c r="Z591" t="s">
        <v>74</v>
      </c>
      <c r="AA591" t="s">
        <v>144</v>
      </c>
      <c r="AB591" t="s">
        <v>74</v>
      </c>
      <c r="AC591" t="s">
        <v>8584</v>
      </c>
      <c r="AD591" t="s">
        <v>4875</v>
      </c>
      <c r="AE591" t="s">
        <v>8585</v>
      </c>
      <c r="AF591" t="s">
        <v>74</v>
      </c>
      <c r="AG591">
        <v>0</v>
      </c>
      <c r="AH591">
        <v>0</v>
      </c>
      <c r="AI591">
        <v>0</v>
      </c>
      <c r="AJ591">
        <v>0</v>
      </c>
      <c r="AK591">
        <v>1</v>
      </c>
      <c r="AL591" t="s">
        <v>169</v>
      </c>
      <c r="AM591" t="s">
        <v>170</v>
      </c>
      <c r="AN591" t="s">
        <v>171</v>
      </c>
      <c r="AO591" t="s">
        <v>5636</v>
      </c>
      <c r="AP591" t="s">
        <v>5637</v>
      </c>
      <c r="AQ591" t="s">
        <v>74</v>
      </c>
      <c r="AR591" t="s">
        <v>5624</v>
      </c>
      <c r="AS591" t="s">
        <v>601</v>
      </c>
      <c r="AT591" t="s">
        <v>725</v>
      </c>
      <c r="AU591">
        <v>2018</v>
      </c>
      <c r="AV591">
        <v>73</v>
      </c>
      <c r="AW591" t="s">
        <v>74</v>
      </c>
      <c r="AX591" t="s">
        <v>74</v>
      </c>
      <c r="AY591">
        <v>105</v>
      </c>
      <c r="AZ591" t="s">
        <v>1080</v>
      </c>
      <c r="BA591">
        <v>350</v>
      </c>
      <c r="BB591">
        <v>201</v>
      </c>
      <c r="BC591">
        <v>201</v>
      </c>
      <c r="BD591" t="s">
        <v>74</v>
      </c>
      <c r="BE591" t="s">
        <v>74</v>
      </c>
      <c r="BF591" t="s">
        <v>74</v>
      </c>
      <c r="BG591" t="s">
        <v>74</v>
      </c>
      <c r="BH591" t="s">
        <v>74</v>
      </c>
      <c r="BI591">
        <v>1</v>
      </c>
      <c r="BJ591" t="s">
        <v>3085</v>
      </c>
      <c r="BK591" t="s">
        <v>512</v>
      </c>
      <c r="BL591" t="s">
        <v>3085</v>
      </c>
      <c r="BM591" t="s">
        <v>8586</v>
      </c>
      <c r="BN591" t="s">
        <v>74</v>
      </c>
      <c r="BO591" t="s">
        <v>74</v>
      </c>
      <c r="BP591" t="s">
        <v>74</v>
      </c>
      <c r="BQ591" t="s">
        <v>74</v>
      </c>
      <c r="BR591" t="s">
        <v>104</v>
      </c>
      <c r="BS591" t="s">
        <v>8633</v>
      </c>
      <c r="BT591" t="str">
        <f>HYPERLINK("https%3A%2F%2Fwww.webofscience.com%2Fwos%2Fwoscc%2Ffull-record%2FWOS:000441690401136","View Full Record in Web of Science")</f>
        <v>View Full Record in Web of Science</v>
      </c>
    </row>
    <row r="592" spans="1:72" x14ac:dyDescent="0.25">
      <c r="A592" t="s">
        <v>72</v>
      </c>
      <c r="B592" t="s">
        <v>8634</v>
      </c>
      <c r="C592" t="s">
        <v>74</v>
      </c>
      <c r="D592" t="s">
        <v>74</v>
      </c>
      <c r="E592" t="s">
        <v>74</v>
      </c>
      <c r="F592" t="s">
        <v>8635</v>
      </c>
      <c r="G592" t="s">
        <v>74</v>
      </c>
      <c r="H592" t="s">
        <v>74</v>
      </c>
      <c r="I592" t="s">
        <v>8493</v>
      </c>
      <c r="J592" t="s">
        <v>1068</v>
      </c>
      <c r="K592" t="s">
        <v>74</v>
      </c>
      <c r="L592" t="s">
        <v>74</v>
      </c>
      <c r="M592" t="s">
        <v>78</v>
      </c>
      <c r="N592" t="s">
        <v>52</v>
      </c>
      <c r="O592" t="s">
        <v>8636</v>
      </c>
      <c r="P592" t="s">
        <v>8637</v>
      </c>
      <c r="Q592" t="s">
        <v>8580</v>
      </c>
      <c r="R592" t="s">
        <v>5566</v>
      </c>
      <c r="S592" t="s">
        <v>74</v>
      </c>
      <c r="T592" t="s">
        <v>74</v>
      </c>
      <c r="U592" t="s">
        <v>74</v>
      </c>
      <c r="V592" t="s">
        <v>74</v>
      </c>
      <c r="W592" t="s">
        <v>8638</v>
      </c>
      <c r="X592" t="s">
        <v>8639</v>
      </c>
      <c r="Y592" t="s">
        <v>74</v>
      </c>
      <c r="Z592" t="s">
        <v>74</v>
      </c>
      <c r="AA592" t="s">
        <v>8640</v>
      </c>
      <c r="AB592" t="s">
        <v>5709</v>
      </c>
      <c r="AC592" t="s">
        <v>74</v>
      </c>
      <c r="AD592" t="s">
        <v>74</v>
      </c>
      <c r="AE592" t="s">
        <v>74</v>
      </c>
      <c r="AF592" t="s">
        <v>74</v>
      </c>
      <c r="AG592">
        <v>0</v>
      </c>
      <c r="AH592">
        <v>0</v>
      </c>
      <c r="AI592">
        <v>0</v>
      </c>
      <c r="AJ592">
        <v>0</v>
      </c>
      <c r="AK592">
        <v>0</v>
      </c>
      <c r="AL592" t="s">
        <v>1073</v>
      </c>
      <c r="AM592" t="s">
        <v>1074</v>
      </c>
      <c r="AN592" t="s">
        <v>1075</v>
      </c>
      <c r="AO592" t="s">
        <v>1076</v>
      </c>
      <c r="AP592" t="s">
        <v>1077</v>
      </c>
      <c r="AQ592" t="s">
        <v>74</v>
      </c>
      <c r="AR592" t="s">
        <v>1078</v>
      </c>
      <c r="AS592" t="s">
        <v>1079</v>
      </c>
      <c r="AT592" t="s">
        <v>725</v>
      </c>
      <c r="AU592">
        <v>2018</v>
      </c>
      <c r="AV592">
        <v>39</v>
      </c>
      <c r="AW592" t="s">
        <v>74</v>
      </c>
      <c r="AX592" t="s">
        <v>74</v>
      </c>
      <c r="AY592">
        <v>1</v>
      </c>
      <c r="AZ592" t="s">
        <v>74</v>
      </c>
      <c r="BA592" t="s">
        <v>8641</v>
      </c>
      <c r="BB592">
        <v>521</v>
      </c>
      <c r="BC592">
        <v>521</v>
      </c>
      <c r="BD592" t="s">
        <v>74</v>
      </c>
      <c r="BE592" t="s">
        <v>74</v>
      </c>
      <c r="BF592" t="s">
        <v>74</v>
      </c>
      <c r="BG592" t="s">
        <v>74</v>
      </c>
      <c r="BH592" t="s">
        <v>74</v>
      </c>
      <c r="BI592">
        <v>1</v>
      </c>
      <c r="BJ592" t="s">
        <v>132</v>
      </c>
      <c r="BK592" t="s">
        <v>512</v>
      </c>
      <c r="BL592" t="s">
        <v>133</v>
      </c>
      <c r="BM592" t="s">
        <v>8642</v>
      </c>
      <c r="BN592" t="s">
        <v>74</v>
      </c>
      <c r="BO592" t="s">
        <v>74</v>
      </c>
      <c r="BP592" t="s">
        <v>74</v>
      </c>
      <c r="BQ592" t="s">
        <v>74</v>
      </c>
      <c r="BR592" t="s">
        <v>104</v>
      </c>
      <c r="BS592" t="s">
        <v>8643</v>
      </c>
      <c r="BT592" t="str">
        <f>HYPERLINK("https%3A%2F%2Fwww.webofscience.com%2Fwos%2Fwoscc%2Ffull-record%2FWOS:000459824001636","View Full Record in Web of Science")</f>
        <v>View Full Record in Web of Science</v>
      </c>
    </row>
    <row r="593" spans="1:72" x14ac:dyDescent="0.25">
      <c r="A593" t="s">
        <v>72</v>
      </c>
      <c r="B593" t="s">
        <v>8644</v>
      </c>
      <c r="C593" t="s">
        <v>74</v>
      </c>
      <c r="D593" t="s">
        <v>74</v>
      </c>
      <c r="E593" t="s">
        <v>74</v>
      </c>
      <c r="F593" t="s">
        <v>8645</v>
      </c>
      <c r="G593" t="s">
        <v>74</v>
      </c>
      <c r="H593" t="s">
        <v>74</v>
      </c>
      <c r="I593" t="s">
        <v>8646</v>
      </c>
      <c r="J593" t="s">
        <v>637</v>
      </c>
      <c r="K593" t="s">
        <v>74</v>
      </c>
      <c r="L593" t="s">
        <v>74</v>
      </c>
      <c r="M593" t="s">
        <v>78</v>
      </c>
      <c r="N593" t="s">
        <v>79</v>
      </c>
      <c r="O593" t="s">
        <v>74</v>
      </c>
      <c r="P593" t="s">
        <v>74</v>
      </c>
      <c r="Q593" t="s">
        <v>74</v>
      </c>
      <c r="R593" t="s">
        <v>74</v>
      </c>
      <c r="S593" t="s">
        <v>74</v>
      </c>
      <c r="T593" t="s">
        <v>74</v>
      </c>
      <c r="U593" t="s">
        <v>8647</v>
      </c>
      <c r="V593" t="s">
        <v>74</v>
      </c>
      <c r="W593" t="s">
        <v>8648</v>
      </c>
      <c r="X593" t="s">
        <v>8649</v>
      </c>
      <c r="Y593" t="s">
        <v>8650</v>
      </c>
      <c r="Z593" t="s">
        <v>8651</v>
      </c>
      <c r="AA593" t="s">
        <v>8652</v>
      </c>
      <c r="AB593" t="s">
        <v>8653</v>
      </c>
      <c r="AC593" t="s">
        <v>8654</v>
      </c>
      <c r="AD593" t="s">
        <v>8655</v>
      </c>
      <c r="AE593" t="s">
        <v>8656</v>
      </c>
      <c r="AF593" t="s">
        <v>74</v>
      </c>
      <c r="AG593">
        <v>118</v>
      </c>
      <c r="AH593">
        <v>16</v>
      </c>
      <c r="AI593">
        <v>17</v>
      </c>
      <c r="AJ593">
        <v>1</v>
      </c>
      <c r="AK593">
        <v>6</v>
      </c>
      <c r="AL593" t="s">
        <v>649</v>
      </c>
      <c r="AM593" t="s">
        <v>486</v>
      </c>
      <c r="AN593" t="s">
        <v>650</v>
      </c>
      <c r="AO593" t="s">
        <v>651</v>
      </c>
      <c r="AP593" t="s">
        <v>652</v>
      </c>
      <c r="AQ593" t="s">
        <v>74</v>
      </c>
      <c r="AR593" t="s">
        <v>653</v>
      </c>
      <c r="AS593" t="s">
        <v>654</v>
      </c>
      <c r="AT593" t="s">
        <v>8657</v>
      </c>
      <c r="AU593">
        <v>2018</v>
      </c>
      <c r="AV593">
        <v>198</v>
      </c>
      <c r="AW593">
        <v>2</v>
      </c>
      <c r="AX593" t="s">
        <v>74</v>
      </c>
      <c r="AY593" t="s">
        <v>74</v>
      </c>
      <c r="AZ593" t="s">
        <v>74</v>
      </c>
      <c r="BA593" t="s">
        <v>74</v>
      </c>
      <c r="BB593">
        <v>166</v>
      </c>
      <c r="BC593">
        <v>174</v>
      </c>
      <c r="BD593" t="s">
        <v>74</v>
      </c>
      <c r="BE593" t="s">
        <v>8658</v>
      </c>
      <c r="BF593" t="str">
        <f>HYPERLINK("http://dx.doi.org/10.1164/rccm.201710-2093PP","http://dx.doi.org/10.1164/rccm.201710-2093PP")</f>
        <v>http://dx.doi.org/10.1164/rccm.201710-2093PP</v>
      </c>
      <c r="BG593" t="s">
        <v>74</v>
      </c>
      <c r="BH593" t="s">
        <v>74</v>
      </c>
      <c r="BI593">
        <v>9</v>
      </c>
      <c r="BJ593" t="s">
        <v>341</v>
      </c>
      <c r="BK593" t="s">
        <v>101</v>
      </c>
      <c r="BL593" t="s">
        <v>342</v>
      </c>
      <c r="BM593" t="s">
        <v>8659</v>
      </c>
      <c r="BN593">
        <v>29425462</v>
      </c>
      <c r="BO593" t="s">
        <v>103</v>
      </c>
      <c r="BP593" t="s">
        <v>74</v>
      </c>
      <c r="BQ593" t="s">
        <v>74</v>
      </c>
      <c r="BR593" t="s">
        <v>104</v>
      </c>
      <c r="BS593" t="s">
        <v>8660</v>
      </c>
      <c r="BT593" t="str">
        <f>HYPERLINK("https%3A%2F%2Fwww.webofscience.com%2Fwos%2Fwoscc%2Ffull-record%2FWOS:000438880000009","View Full Record in Web of Science")</f>
        <v>View Full Record in Web of Science</v>
      </c>
    </row>
    <row r="594" spans="1:72" x14ac:dyDescent="0.25">
      <c r="A594" t="s">
        <v>72</v>
      </c>
      <c r="B594" t="s">
        <v>8661</v>
      </c>
      <c r="C594" t="s">
        <v>74</v>
      </c>
      <c r="D594" t="s">
        <v>74</v>
      </c>
      <c r="E594" t="s">
        <v>74</v>
      </c>
      <c r="F594" t="s">
        <v>8662</v>
      </c>
      <c r="G594" t="s">
        <v>74</v>
      </c>
      <c r="H594" t="s">
        <v>74</v>
      </c>
      <c r="I594" t="s">
        <v>8663</v>
      </c>
      <c r="J594" t="s">
        <v>5175</v>
      </c>
      <c r="K594" t="s">
        <v>74</v>
      </c>
      <c r="L594" t="s">
        <v>74</v>
      </c>
      <c r="M594" t="s">
        <v>78</v>
      </c>
      <c r="N594" t="s">
        <v>79</v>
      </c>
      <c r="O594" t="s">
        <v>74</v>
      </c>
      <c r="P594" t="s">
        <v>74</v>
      </c>
      <c r="Q594" t="s">
        <v>74</v>
      </c>
      <c r="R594" t="s">
        <v>74</v>
      </c>
      <c r="S594" t="s">
        <v>74</v>
      </c>
      <c r="T594" t="s">
        <v>74</v>
      </c>
      <c r="U594" t="s">
        <v>8664</v>
      </c>
      <c r="V594" t="s">
        <v>8665</v>
      </c>
      <c r="W594" t="s">
        <v>8666</v>
      </c>
      <c r="X594" t="s">
        <v>8667</v>
      </c>
      <c r="Y594" t="s">
        <v>8668</v>
      </c>
      <c r="Z594" t="s">
        <v>8669</v>
      </c>
      <c r="AA594" t="s">
        <v>8670</v>
      </c>
      <c r="AB594" t="s">
        <v>8671</v>
      </c>
      <c r="AC594" t="s">
        <v>74</v>
      </c>
      <c r="AD594" t="s">
        <v>74</v>
      </c>
      <c r="AE594" t="s">
        <v>74</v>
      </c>
      <c r="AF594" t="s">
        <v>74</v>
      </c>
      <c r="AG594">
        <v>35</v>
      </c>
      <c r="AH594">
        <v>26</v>
      </c>
      <c r="AI594">
        <v>27</v>
      </c>
      <c r="AJ594">
        <v>0</v>
      </c>
      <c r="AK594">
        <v>18</v>
      </c>
      <c r="AL594" t="s">
        <v>5187</v>
      </c>
      <c r="AM594" t="s">
        <v>5188</v>
      </c>
      <c r="AN594" t="s">
        <v>5189</v>
      </c>
      <c r="AO594" t="s">
        <v>5190</v>
      </c>
      <c r="AP594" t="s">
        <v>74</v>
      </c>
      <c r="AQ594" t="s">
        <v>74</v>
      </c>
      <c r="AR594" t="s">
        <v>5175</v>
      </c>
      <c r="AS594" t="s">
        <v>5191</v>
      </c>
      <c r="AT594" t="s">
        <v>785</v>
      </c>
      <c r="AU594">
        <v>2018</v>
      </c>
      <c r="AV594">
        <v>288</v>
      </c>
      <c r="AW594">
        <v>1</v>
      </c>
      <c r="AX594" t="s">
        <v>74</v>
      </c>
      <c r="AY594" t="s">
        <v>74</v>
      </c>
      <c r="AZ594" t="s">
        <v>74</v>
      </c>
      <c r="BA594" t="s">
        <v>74</v>
      </c>
      <c r="BB594">
        <v>277</v>
      </c>
      <c r="BC594">
        <v>284</v>
      </c>
      <c r="BD594" t="s">
        <v>74</v>
      </c>
      <c r="BE594" t="s">
        <v>8672</v>
      </c>
      <c r="BF594" t="str">
        <f>HYPERLINK("http://dx.doi.org/10.1148/radiol.2018171756","http://dx.doi.org/10.1148/radiol.2018171756")</f>
        <v>http://dx.doi.org/10.1148/radiol.2018171756</v>
      </c>
      <c r="BG594" t="s">
        <v>74</v>
      </c>
      <c r="BH594" t="s">
        <v>74</v>
      </c>
      <c r="BI594">
        <v>8</v>
      </c>
      <c r="BJ594" t="s">
        <v>892</v>
      </c>
      <c r="BK594" t="s">
        <v>101</v>
      </c>
      <c r="BL594" t="s">
        <v>892</v>
      </c>
      <c r="BM594" t="s">
        <v>8673</v>
      </c>
      <c r="BN594">
        <v>29613842</v>
      </c>
      <c r="BO594" t="s">
        <v>74</v>
      </c>
      <c r="BP594" t="s">
        <v>74</v>
      </c>
      <c r="BQ594" t="s">
        <v>74</v>
      </c>
      <c r="BR594" t="s">
        <v>104</v>
      </c>
      <c r="BS594" t="s">
        <v>8674</v>
      </c>
      <c r="BT594" t="str">
        <f>HYPERLINK("https%3A%2F%2Fwww.webofscience.com%2Fwos%2Fwoscc%2Ffull-record%2FWOS:000441805800043","View Full Record in Web of Science")</f>
        <v>View Full Record in Web of Science</v>
      </c>
    </row>
    <row r="595" spans="1:72" x14ac:dyDescent="0.25">
      <c r="A595" t="s">
        <v>72</v>
      </c>
      <c r="B595" t="s">
        <v>8675</v>
      </c>
      <c r="C595" t="s">
        <v>74</v>
      </c>
      <c r="D595" t="s">
        <v>74</v>
      </c>
      <c r="E595" t="s">
        <v>74</v>
      </c>
      <c r="F595" t="s">
        <v>8676</v>
      </c>
      <c r="G595" t="s">
        <v>74</v>
      </c>
      <c r="H595" t="s">
        <v>74</v>
      </c>
      <c r="I595" t="s">
        <v>8677</v>
      </c>
      <c r="J595" t="s">
        <v>216</v>
      </c>
      <c r="K595" t="s">
        <v>74</v>
      </c>
      <c r="L595" t="s">
        <v>74</v>
      </c>
      <c r="M595" t="s">
        <v>78</v>
      </c>
      <c r="N595" t="s">
        <v>140</v>
      </c>
      <c r="O595" t="s">
        <v>74</v>
      </c>
      <c r="P595" t="s">
        <v>74</v>
      </c>
      <c r="Q595" t="s">
        <v>74</v>
      </c>
      <c r="R595" t="s">
        <v>74</v>
      </c>
      <c r="S595" t="s">
        <v>74</v>
      </c>
      <c r="T595" t="s">
        <v>74</v>
      </c>
      <c r="U595" t="s">
        <v>8678</v>
      </c>
      <c r="V595" t="s">
        <v>74</v>
      </c>
      <c r="W595" t="s">
        <v>8679</v>
      </c>
      <c r="X595" t="s">
        <v>8680</v>
      </c>
      <c r="Y595" t="s">
        <v>8681</v>
      </c>
      <c r="Z595" t="s">
        <v>377</v>
      </c>
      <c r="AA595" t="s">
        <v>780</v>
      </c>
      <c r="AB595" t="s">
        <v>8682</v>
      </c>
      <c r="AC595" t="s">
        <v>8683</v>
      </c>
      <c r="AD595" t="s">
        <v>8684</v>
      </c>
      <c r="AE595" t="s">
        <v>8685</v>
      </c>
      <c r="AF595" t="s">
        <v>74</v>
      </c>
      <c r="AG595">
        <v>19</v>
      </c>
      <c r="AH595">
        <v>12</v>
      </c>
      <c r="AI595">
        <v>12</v>
      </c>
      <c r="AJ595">
        <v>0</v>
      </c>
      <c r="AK595">
        <v>0</v>
      </c>
      <c r="AL595" t="s">
        <v>219</v>
      </c>
      <c r="AM595" t="s">
        <v>220</v>
      </c>
      <c r="AN595" t="s">
        <v>221</v>
      </c>
      <c r="AO595" t="s">
        <v>222</v>
      </c>
      <c r="AP595" t="s">
        <v>223</v>
      </c>
      <c r="AQ595" t="s">
        <v>74</v>
      </c>
      <c r="AR595" t="s">
        <v>224</v>
      </c>
      <c r="AS595" t="s">
        <v>225</v>
      </c>
      <c r="AT595" t="s">
        <v>806</v>
      </c>
      <c r="AU595">
        <v>2018</v>
      </c>
      <c r="AV595">
        <v>52</v>
      </c>
      <c r="AW595">
        <v>1</v>
      </c>
      <c r="AX595" t="s">
        <v>74</v>
      </c>
      <c r="AY595" t="s">
        <v>74</v>
      </c>
      <c r="AZ595" t="s">
        <v>74</v>
      </c>
      <c r="BA595" t="s">
        <v>74</v>
      </c>
      <c r="BB595" t="s">
        <v>74</v>
      </c>
      <c r="BC595" t="s">
        <v>74</v>
      </c>
      <c r="BD595">
        <v>1800738</v>
      </c>
      <c r="BE595" t="s">
        <v>8686</v>
      </c>
      <c r="BF595" t="str">
        <f>HYPERLINK("http://dx.doi.org/10.1183/13993003.00738-2018","http://dx.doi.org/10.1183/13993003.00738-2018")</f>
        <v>http://dx.doi.org/10.1183/13993003.00738-2018</v>
      </c>
      <c r="BG595" t="s">
        <v>74</v>
      </c>
      <c r="BH595" t="s">
        <v>74</v>
      </c>
      <c r="BI595">
        <v>3</v>
      </c>
      <c r="BJ595" t="s">
        <v>228</v>
      </c>
      <c r="BK595" t="s">
        <v>101</v>
      </c>
      <c r="BL595" t="s">
        <v>228</v>
      </c>
      <c r="BM595" t="s">
        <v>8687</v>
      </c>
      <c r="BN595">
        <v>29973355</v>
      </c>
      <c r="BO595" t="s">
        <v>1194</v>
      </c>
      <c r="BP595" t="s">
        <v>74</v>
      </c>
      <c r="BQ595" t="s">
        <v>74</v>
      </c>
      <c r="BR595" t="s">
        <v>104</v>
      </c>
      <c r="BS595" t="s">
        <v>8688</v>
      </c>
      <c r="BT595" t="str">
        <f>HYPERLINK("https%3A%2F%2Fwww.webofscience.com%2Fwos%2Fwoscc%2Ffull-record%2FWOS:000437979000001","View Full Record in Web of Science")</f>
        <v>View Full Record in Web of Science</v>
      </c>
    </row>
    <row r="596" spans="1:72" x14ac:dyDescent="0.25">
      <c r="A596" t="s">
        <v>72</v>
      </c>
      <c r="B596" t="s">
        <v>8689</v>
      </c>
      <c r="C596" t="s">
        <v>74</v>
      </c>
      <c r="D596" t="s">
        <v>74</v>
      </c>
      <c r="E596" t="s">
        <v>74</v>
      </c>
      <c r="F596" t="s">
        <v>8690</v>
      </c>
      <c r="G596" t="s">
        <v>74</v>
      </c>
      <c r="H596" t="s">
        <v>74</v>
      </c>
      <c r="I596" t="s">
        <v>8691</v>
      </c>
      <c r="J596" t="s">
        <v>324</v>
      </c>
      <c r="K596" t="s">
        <v>74</v>
      </c>
      <c r="L596" t="s">
        <v>74</v>
      </c>
      <c r="M596" t="s">
        <v>78</v>
      </c>
      <c r="N596" t="s">
        <v>8016</v>
      </c>
      <c r="O596" t="s">
        <v>8692</v>
      </c>
      <c r="P596" t="s">
        <v>8693</v>
      </c>
      <c r="Q596" t="s">
        <v>8694</v>
      </c>
      <c r="R596" t="s">
        <v>8695</v>
      </c>
      <c r="S596" t="s">
        <v>74</v>
      </c>
      <c r="T596" t="s">
        <v>8696</v>
      </c>
      <c r="U596" t="s">
        <v>8697</v>
      </c>
      <c r="V596" t="s">
        <v>8698</v>
      </c>
      <c r="W596" t="s">
        <v>8699</v>
      </c>
      <c r="X596" t="s">
        <v>8700</v>
      </c>
      <c r="Y596" t="s">
        <v>8701</v>
      </c>
      <c r="Z596" t="s">
        <v>8702</v>
      </c>
      <c r="AA596" t="s">
        <v>8703</v>
      </c>
      <c r="AB596" t="s">
        <v>8704</v>
      </c>
      <c r="AC596" t="s">
        <v>8705</v>
      </c>
      <c r="AD596" t="s">
        <v>8706</v>
      </c>
      <c r="AE596" t="s">
        <v>8707</v>
      </c>
      <c r="AF596" t="s">
        <v>74</v>
      </c>
      <c r="AG596">
        <v>56</v>
      </c>
      <c r="AH596">
        <v>21</v>
      </c>
      <c r="AI596">
        <v>23</v>
      </c>
      <c r="AJ596">
        <v>0</v>
      </c>
      <c r="AK596">
        <v>11</v>
      </c>
      <c r="AL596" t="s">
        <v>7467</v>
      </c>
      <c r="AM596" t="s">
        <v>93</v>
      </c>
      <c r="AN596" t="s">
        <v>7468</v>
      </c>
      <c r="AO596" t="s">
        <v>337</v>
      </c>
      <c r="AP596" t="s">
        <v>74</v>
      </c>
      <c r="AQ596" t="s">
        <v>74</v>
      </c>
      <c r="AR596" t="s">
        <v>324</v>
      </c>
      <c r="AS596" t="s">
        <v>339</v>
      </c>
      <c r="AT596" t="s">
        <v>785</v>
      </c>
      <c r="AU596">
        <v>2018</v>
      </c>
      <c r="AV596">
        <v>154</v>
      </c>
      <c r="AW596">
        <v>1</v>
      </c>
      <c r="AX596" t="s">
        <v>74</v>
      </c>
      <c r="AY596" t="s">
        <v>74</v>
      </c>
      <c r="AZ596" t="s">
        <v>74</v>
      </c>
      <c r="BA596" t="s">
        <v>74</v>
      </c>
      <c r="BB596">
        <v>136</v>
      </c>
      <c r="BC596">
        <v>147</v>
      </c>
      <c r="BD596" t="s">
        <v>74</v>
      </c>
      <c r="BE596" t="s">
        <v>8708</v>
      </c>
      <c r="BF596" t="str">
        <f>HYPERLINK("http://dx.doi.org/10.1016/j.chest.2017.12.008","http://dx.doi.org/10.1016/j.chest.2017.12.008")</f>
        <v>http://dx.doi.org/10.1016/j.chest.2017.12.008</v>
      </c>
      <c r="BG596" t="s">
        <v>74</v>
      </c>
      <c r="BH596" t="s">
        <v>74</v>
      </c>
      <c r="BI596">
        <v>12</v>
      </c>
      <c r="BJ596" t="s">
        <v>341</v>
      </c>
      <c r="BK596" t="s">
        <v>512</v>
      </c>
      <c r="BL596" t="s">
        <v>342</v>
      </c>
      <c r="BM596" t="s">
        <v>8709</v>
      </c>
      <c r="BN596">
        <v>29275134</v>
      </c>
      <c r="BO596" t="s">
        <v>74</v>
      </c>
      <c r="BP596" t="s">
        <v>74</v>
      </c>
      <c r="BQ596" t="s">
        <v>74</v>
      </c>
      <c r="BR596" t="s">
        <v>104</v>
      </c>
      <c r="BS596" t="s">
        <v>8710</v>
      </c>
      <c r="BT596" t="str">
        <f>HYPERLINK("https%3A%2F%2Fwww.webofscience.com%2Fwos%2Fwoscc%2Ffull-record%2FWOS:000438198300025","View Full Record in Web of Science")</f>
        <v>View Full Record in Web of Science</v>
      </c>
    </row>
    <row r="597" spans="1:72" x14ac:dyDescent="0.25">
      <c r="A597" t="s">
        <v>72</v>
      </c>
      <c r="B597" t="s">
        <v>8711</v>
      </c>
      <c r="C597" t="s">
        <v>74</v>
      </c>
      <c r="D597" t="s">
        <v>74</v>
      </c>
      <c r="E597" t="s">
        <v>74</v>
      </c>
      <c r="F597" t="s">
        <v>8712</v>
      </c>
      <c r="G597" t="s">
        <v>74</v>
      </c>
      <c r="H597" t="s">
        <v>74</v>
      </c>
      <c r="I597" t="s">
        <v>8713</v>
      </c>
      <c r="J597" t="s">
        <v>814</v>
      </c>
      <c r="K597" t="s">
        <v>74</v>
      </c>
      <c r="L597" t="s">
        <v>74</v>
      </c>
      <c r="M597" t="s">
        <v>78</v>
      </c>
      <c r="N597" t="s">
        <v>299</v>
      </c>
      <c r="O597" t="s">
        <v>74</v>
      </c>
      <c r="P597" t="s">
        <v>74</v>
      </c>
      <c r="Q597" t="s">
        <v>74</v>
      </c>
      <c r="R597" t="s">
        <v>74</v>
      </c>
      <c r="S597" t="s">
        <v>74</v>
      </c>
      <c r="T597" t="s">
        <v>74</v>
      </c>
      <c r="U597" t="s">
        <v>8714</v>
      </c>
      <c r="V597" t="s">
        <v>8715</v>
      </c>
      <c r="W597" t="s">
        <v>8716</v>
      </c>
      <c r="X597" t="s">
        <v>8717</v>
      </c>
      <c r="Y597" t="s">
        <v>8718</v>
      </c>
      <c r="Z597" t="s">
        <v>86</v>
      </c>
      <c r="AA597" t="s">
        <v>2250</v>
      </c>
      <c r="AB597" t="s">
        <v>8719</v>
      </c>
      <c r="AC597" t="s">
        <v>8720</v>
      </c>
      <c r="AD597" t="s">
        <v>8721</v>
      </c>
      <c r="AE597" t="s">
        <v>8722</v>
      </c>
      <c r="AF597" t="s">
        <v>74</v>
      </c>
      <c r="AG597">
        <v>91</v>
      </c>
      <c r="AH597">
        <v>22</v>
      </c>
      <c r="AI597">
        <v>22</v>
      </c>
      <c r="AJ597">
        <v>4</v>
      </c>
      <c r="AK597">
        <v>17</v>
      </c>
      <c r="AL597" t="s">
        <v>219</v>
      </c>
      <c r="AM597" t="s">
        <v>220</v>
      </c>
      <c r="AN597" t="s">
        <v>221</v>
      </c>
      <c r="AO597" t="s">
        <v>823</v>
      </c>
      <c r="AP597" t="s">
        <v>824</v>
      </c>
      <c r="AQ597" t="s">
        <v>74</v>
      </c>
      <c r="AR597" t="s">
        <v>825</v>
      </c>
      <c r="AS597" t="s">
        <v>826</v>
      </c>
      <c r="AT597" t="s">
        <v>6291</v>
      </c>
      <c r="AU597">
        <v>2018</v>
      </c>
      <c r="AV597">
        <v>27</v>
      </c>
      <c r="AW597">
        <v>148</v>
      </c>
      <c r="AX597" t="s">
        <v>74</v>
      </c>
      <c r="AY597" t="s">
        <v>74</v>
      </c>
      <c r="AZ597" t="s">
        <v>74</v>
      </c>
      <c r="BA597" t="s">
        <v>74</v>
      </c>
      <c r="BB597" t="s">
        <v>74</v>
      </c>
      <c r="BC597" t="s">
        <v>74</v>
      </c>
      <c r="BD597">
        <v>180004</v>
      </c>
      <c r="BE597" t="s">
        <v>8723</v>
      </c>
      <c r="BF597" t="str">
        <f>HYPERLINK("http://dx.doi.org/10.1183/16000617.0004-2018","http://dx.doi.org/10.1183/16000617.0004-2018")</f>
        <v>http://dx.doi.org/10.1183/16000617.0004-2018</v>
      </c>
      <c r="BG597" t="s">
        <v>74</v>
      </c>
      <c r="BH597" t="s">
        <v>74</v>
      </c>
      <c r="BI597">
        <v>9</v>
      </c>
      <c r="BJ597" t="s">
        <v>228</v>
      </c>
      <c r="BK597" t="s">
        <v>101</v>
      </c>
      <c r="BL597" t="s">
        <v>228</v>
      </c>
      <c r="BM597" t="s">
        <v>8724</v>
      </c>
      <c r="BN597">
        <v>29653948</v>
      </c>
      <c r="BO597" t="s">
        <v>1665</v>
      </c>
      <c r="BP597" t="s">
        <v>74</v>
      </c>
      <c r="BQ597" t="s">
        <v>74</v>
      </c>
      <c r="BR597" t="s">
        <v>104</v>
      </c>
      <c r="BS597" t="s">
        <v>8725</v>
      </c>
      <c r="BT597" t="str">
        <f>HYPERLINK("https%3A%2F%2Fwww.webofscience.com%2Fwos%2Fwoscc%2Ffull-record%2FWOS:000437470300009","View Full Record in Web of Science")</f>
        <v>View Full Record in Web of Science</v>
      </c>
    </row>
    <row r="598" spans="1:72" x14ac:dyDescent="0.25">
      <c r="A598" t="s">
        <v>72</v>
      </c>
      <c r="B598" t="s">
        <v>8726</v>
      </c>
      <c r="C598" t="s">
        <v>74</v>
      </c>
      <c r="D598" t="s">
        <v>74</v>
      </c>
      <c r="E598" t="s">
        <v>74</v>
      </c>
      <c r="F598" t="s">
        <v>8727</v>
      </c>
      <c r="G598" t="s">
        <v>74</v>
      </c>
      <c r="H598" t="s">
        <v>74</v>
      </c>
      <c r="I598" t="s">
        <v>8728</v>
      </c>
      <c r="J598" t="s">
        <v>5456</v>
      </c>
      <c r="K598" t="s">
        <v>74</v>
      </c>
      <c r="L598" t="s">
        <v>74</v>
      </c>
      <c r="M598" t="s">
        <v>78</v>
      </c>
      <c r="N598" t="s">
        <v>79</v>
      </c>
      <c r="O598" t="s">
        <v>74</v>
      </c>
      <c r="P598" t="s">
        <v>74</v>
      </c>
      <c r="Q598" t="s">
        <v>74</v>
      </c>
      <c r="R598" t="s">
        <v>74</v>
      </c>
      <c r="S598" t="s">
        <v>74</v>
      </c>
      <c r="T598" t="s">
        <v>74</v>
      </c>
      <c r="U598" t="s">
        <v>8729</v>
      </c>
      <c r="V598" t="s">
        <v>8730</v>
      </c>
      <c r="W598" t="s">
        <v>8731</v>
      </c>
      <c r="X598" t="s">
        <v>8732</v>
      </c>
      <c r="Y598" t="s">
        <v>8733</v>
      </c>
      <c r="Z598" t="s">
        <v>8734</v>
      </c>
      <c r="AA598" t="s">
        <v>8735</v>
      </c>
      <c r="AB598" t="s">
        <v>8736</v>
      </c>
      <c r="AC598" t="s">
        <v>74</v>
      </c>
      <c r="AD598" t="s">
        <v>74</v>
      </c>
      <c r="AE598" t="s">
        <v>74</v>
      </c>
      <c r="AF598" t="s">
        <v>74</v>
      </c>
      <c r="AG598">
        <v>30</v>
      </c>
      <c r="AH598">
        <v>27</v>
      </c>
      <c r="AI598">
        <v>29</v>
      </c>
      <c r="AJ598">
        <v>0</v>
      </c>
      <c r="AK598">
        <v>0</v>
      </c>
      <c r="AL598" t="s">
        <v>5465</v>
      </c>
      <c r="AM598" t="s">
        <v>5466</v>
      </c>
      <c r="AN598" t="s">
        <v>5467</v>
      </c>
      <c r="AO598" t="s">
        <v>5468</v>
      </c>
      <c r="AP598" t="s">
        <v>74</v>
      </c>
      <c r="AQ598" t="s">
        <v>74</v>
      </c>
      <c r="AR598" t="s">
        <v>5456</v>
      </c>
      <c r="AS598" t="s">
        <v>5469</v>
      </c>
      <c r="AT598" t="s">
        <v>8737</v>
      </c>
      <c r="AU598">
        <v>2018</v>
      </c>
      <c r="AV598">
        <v>13</v>
      </c>
      <c r="AW598">
        <v>6</v>
      </c>
      <c r="AX598" t="s">
        <v>74</v>
      </c>
      <c r="AY598" t="s">
        <v>74</v>
      </c>
      <c r="AZ598" t="s">
        <v>74</v>
      </c>
      <c r="BA598" t="s">
        <v>74</v>
      </c>
      <c r="BB598" t="s">
        <v>74</v>
      </c>
      <c r="BC598" t="s">
        <v>74</v>
      </c>
      <c r="BD598" t="s">
        <v>8738</v>
      </c>
      <c r="BE598" t="s">
        <v>8739</v>
      </c>
      <c r="BF598" t="str">
        <f>HYPERLINK("http://dx.doi.org/10.1371/journal.pone.0198198","http://dx.doi.org/10.1371/journal.pone.0198198")</f>
        <v>http://dx.doi.org/10.1371/journal.pone.0198198</v>
      </c>
      <c r="BG598" t="s">
        <v>74</v>
      </c>
      <c r="BH598" t="s">
        <v>74</v>
      </c>
      <c r="BI598">
        <v>14</v>
      </c>
      <c r="BJ598" t="s">
        <v>290</v>
      </c>
      <c r="BK598" t="s">
        <v>101</v>
      </c>
      <c r="BL598" t="s">
        <v>291</v>
      </c>
      <c r="BM598" t="s">
        <v>8740</v>
      </c>
      <c r="BN598">
        <v>29927944</v>
      </c>
      <c r="BO598" t="s">
        <v>5014</v>
      </c>
      <c r="BP598" t="s">
        <v>74</v>
      </c>
      <c r="BQ598" t="s">
        <v>74</v>
      </c>
      <c r="BR598" t="s">
        <v>104</v>
      </c>
      <c r="BS598" t="s">
        <v>8741</v>
      </c>
      <c r="BT598" t="str">
        <f>HYPERLINK("https%3A%2F%2Fwww.webofscience.com%2Fwos%2Fwoscc%2Ffull-record%2FWOS:000435802500011","View Full Record in Web of Science")</f>
        <v>View Full Record in Web of Science</v>
      </c>
    </row>
    <row r="599" spans="1:72" x14ac:dyDescent="0.25">
      <c r="A599" t="s">
        <v>72</v>
      </c>
      <c r="B599" t="s">
        <v>8742</v>
      </c>
      <c r="C599" t="s">
        <v>74</v>
      </c>
      <c r="D599" t="s">
        <v>74</v>
      </c>
      <c r="E599" t="s">
        <v>74</v>
      </c>
      <c r="F599" t="s">
        <v>8743</v>
      </c>
      <c r="G599" t="s">
        <v>74</v>
      </c>
      <c r="H599" t="s">
        <v>74</v>
      </c>
      <c r="I599" t="s">
        <v>8744</v>
      </c>
      <c r="J599" t="s">
        <v>251</v>
      </c>
      <c r="K599" t="s">
        <v>74</v>
      </c>
      <c r="L599" t="s">
        <v>74</v>
      </c>
      <c r="M599" t="s">
        <v>78</v>
      </c>
      <c r="N599" t="s">
        <v>79</v>
      </c>
      <c r="O599" t="s">
        <v>74</v>
      </c>
      <c r="P599" t="s">
        <v>74</v>
      </c>
      <c r="Q599" t="s">
        <v>74</v>
      </c>
      <c r="R599" t="s">
        <v>74</v>
      </c>
      <c r="S599" t="s">
        <v>74</v>
      </c>
      <c r="T599" t="s">
        <v>8745</v>
      </c>
      <c r="U599" t="s">
        <v>8746</v>
      </c>
      <c r="V599" t="s">
        <v>8747</v>
      </c>
      <c r="W599" t="s">
        <v>8748</v>
      </c>
      <c r="X599" t="s">
        <v>7874</v>
      </c>
      <c r="Y599" t="s">
        <v>8749</v>
      </c>
      <c r="Z599" t="s">
        <v>7876</v>
      </c>
      <c r="AA599" t="s">
        <v>8750</v>
      </c>
      <c r="AB599" t="s">
        <v>8751</v>
      </c>
      <c r="AC599" t="s">
        <v>8752</v>
      </c>
      <c r="AD599" t="s">
        <v>8753</v>
      </c>
      <c r="AE599" t="s">
        <v>8754</v>
      </c>
      <c r="AF599" t="s">
        <v>74</v>
      </c>
      <c r="AG599">
        <v>62</v>
      </c>
      <c r="AH599">
        <v>75</v>
      </c>
      <c r="AI599">
        <v>83</v>
      </c>
      <c r="AJ599">
        <v>0</v>
      </c>
      <c r="AK599">
        <v>32</v>
      </c>
      <c r="AL599" t="s">
        <v>122</v>
      </c>
      <c r="AM599" t="s">
        <v>123</v>
      </c>
      <c r="AN599" t="s">
        <v>124</v>
      </c>
      <c r="AO599" t="s">
        <v>258</v>
      </c>
      <c r="AP599" t="s">
        <v>259</v>
      </c>
      <c r="AQ599" t="s">
        <v>74</v>
      </c>
      <c r="AR599" t="s">
        <v>251</v>
      </c>
      <c r="AS599" t="s">
        <v>260</v>
      </c>
      <c r="AT599" t="s">
        <v>8755</v>
      </c>
      <c r="AU599">
        <v>2018</v>
      </c>
      <c r="AV599">
        <v>137</v>
      </c>
      <c r="AW599">
        <v>22</v>
      </c>
      <c r="AX599" t="s">
        <v>74</v>
      </c>
      <c r="AY599" t="s">
        <v>74</v>
      </c>
      <c r="AZ599" t="s">
        <v>74</v>
      </c>
      <c r="BA599" t="s">
        <v>74</v>
      </c>
      <c r="BB599">
        <v>2371</v>
      </c>
      <c r="BC599">
        <v>2389</v>
      </c>
      <c r="BD599" t="s">
        <v>74</v>
      </c>
      <c r="BE599" t="s">
        <v>8756</v>
      </c>
      <c r="BF599" t="str">
        <f>HYPERLINK("http://dx.doi.org/10.1161/CIRCULATIONAHA.117.029930","http://dx.doi.org/10.1161/CIRCULATIONAHA.117.029930")</f>
        <v>http://dx.doi.org/10.1161/CIRCULATIONAHA.117.029930</v>
      </c>
      <c r="BG599" t="s">
        <v>74</v>
      </c>
      <c r="BH599" t="s">
        <v>74</v>
      </c>
      <c r="BI599">
        <v>19</v>
      </c>
      <c r="BJ599" t="s">
        <v>263</v>
      </c>
      <c r="BK599" t="s">
        <v>101</v>
      </c>
      <c r="BL599" t="s">
        <v>133</v>
      </c>
      <c r="BM599" t="s">
        <v>8757</v>
      </c>
      <c r="BN599">
        <v>29444988</v>
      </c>
      <c r="BO599" t="s">
        <v>103</v>
      </c>
      <c r="BP599" t="s">
        <v>74</v>
      </c>
      <c r="BQ599" t="s">
        <v>74</v>
      </c>
      <c r="BR599" t="s">
        <v>104</v>
      </c>
      <c r="BS599" t="s">
        <v>8758</v>
      </c>
      <c r="BT599" t="str">
        <f>HYPERLINK("https%3A%2F%2Fwww.webofscience.com%2Fwos%2Fwoscc%2Ffull-record%2FWOS:000434255300013","View Full Record in Web of Science")</f>
        <v>View Full Record in Web of Science</v>
      </c>
    </row>
    <row r="600" spans="1:72" x14ac:dyDescent="0.25">
      <c r="A600" t="s">
        <v>72</v>
      </c>
      <c r="B600" t="s">
        <v>8759</v>
      </c>
      <c r="C600" t="s">
        <v>74</v>
      </c>
      <c r="D600" t="s">
        <v>74</v>
      </c>
      <c r="E600" t="s">
        <v>74</v>
      </c>
      <c r="F600" t="s">
        <v>8760</v>
      </c>
      <c r="G600" t="s">
        <v>74</v>
      </c>
      <c r="H600" t="s">
        <v>74</v>
      </c>
      <c r="I600" t="s">
        <v>8761</v>
      </c>
      <c r="J600" t="s">
        <v>5456</v>
      </c>
      <c r="K600" t="s">
        <v>74</v>
      </c>
      <c r="L600" t="s">
        <v>74</v>
      </c>
      <c r="M600" t="s">
        <v>78</v>
      </c>
      <c r="N600" t="s">
        <v>79</v>
      </c>
      <c r="O600" t="s">
        <v>74</v>
      </c>
      <c r="P600" t="s">
        <v>74</v>
      </c>
      <c r="Q600" t="s">
        <v>74</v>
      </c>
      <c r="R600" t="s">
        <v>74</v>
      </c>
      <c r="S600" t="s">
        <v>74</v>
      </c>
      <c r="T600" t="s">
        <v>74</v>
      </c>
      <c r="U600" t="s">
        <v>8762</v>
      </c>
      <c r="V600" t="s">
        <v>8763</v>
      </c>
      <c r="W600" t="s">
        <v>8764</v>
      </c>
      <c r="X600" t="s">
        <v>8765</v>
      </c>
      <c r="Y600" t="s">
        <v>8766</v>
      </c>
      <c r="Z600" t="s">
        <v>8767</v>
      </c>
      <c r="AA600" t="s">
        <v>8768</v>
      </c>
      <c r="AB600" t="s">
        <v>8769</v>
      </c>
      <c r="AC600" t="s">
        <v>8770</v>
      </c>
      <c r="AD600" t="s">
        <v>8771</v>
      </c>
      <c r="AE600" t="s">
        <v>8772</v>
      </c>
      <c r="AF600" t="s">
        <v>74</v>
      </c>
      <c r="AG600">
        <v>20</v>
      </c>
      <c r="AH600">
        <v>53</v>
      </c>
      <c r="AI600">
        <v>55</v>
      </c>
      <c r="AJ600">
        <v>0</v>
      </c>
      <c r="AK600">
        <v>1</v>
      </c>
      <c r="AL600" t="s">
        <v>5465</v>
      </c>
      <c r="AM600" t="s">
        <v>5466</v>
      </c>
      <c r="AN600" t="s">
        <v>5467</v>
      </c>
      <c r="AO600" t="s">
        <v>5468</v>
      </c>
      <c r="AP600" t="s">
        <v>74</v>
      </c>
      <c r="AQ600" t="s">
        <v>74</v>
      </c>
      <c r="AR600" t="s">
        <v>5456</v>
      </c>
      <c r="AS600" t="s">
        <v>5469</v>
      </c>
      <c r="AT600" t="s">
        <v>8773</v>
      </c>
      <c r="AU600">
        <v>2018</v>
      </c>
      <c r="AV600">
        <v>13</v>
      </c>
      <c r="AW600">
        <v>5</v>
      </c>
      <c r="AX600" t="s">
        <v>74</v>
      </c>
      <c r="AY600" t="s">
        <v>74</v>
      </c>
      <c r="AZ600" t="s">
        <v>74</v>
      </c>
      <c r="BA600" t="s">
        <v>74</v>
      </c>
      <c r="BB600" t="s">
        <v>74</v>
      </c>
      <c r="BC600" t="s">
        <v>74</v>
      </c>
      <c r="BD600" t="s">
        <v>8774</v>
      </c>
      <c r="BE600" t="s">
        <v>8775</v>
      </c>
      <c r="BF600" t="str">
        <f>HYPERLINK("http://dx.doi.org/10.1371/journal.pone.0197112","http://dx.doi.org/10.1371/journal.pone.0197112")</f>
        <v>http://dx.doi.org/10.1371/journal.pone.0197112</v>
      </c>
      <c r="BG600" t="s">
        <v>74</v>
      </c>
      <c r="BH600" t="s">
        <v>74</v>
      </c>
      <c r="BI600">
        <v>12</v>
      </c>
      <c r="BJ600" t="s">
        <v>290</v>
      </c>
      <c r="BK600" t="s">
        <v>101</v>
      </c>
      <c r="BL600" t="s">
        <v>291</v>
      </c>
      <c r="BM600" t="s">
        <v>8776</v>
      </c>
      <c r="BN600">
        <v>29763468</v>
      </c>
      <c r="BO600" t="s">
        <v>5014</v>
      </c>
      <c r="BP600" t="s">
        <v>74</v>
      </c>
      <c r="BQ600" t="s">
        <v>74</v>
      </c>
      <c r="BR600" t="s">
        <v>104</v>
      </c>
      <c r="BS600" t="s">
        <v>8777</v>
      </c>
      <c r="BT600" t="str">
        <f>HYPERLINK("https%3A%2F%2Fwww.webofscience.com%2Fwos%2Fwoscc%2Ffull-record%2FWOS:000432118800025","View Full Record in Web of Science")</f>
        <v>View Full Record in Web of Science</v>
      </c>
    </row>
    <row r="601" spans="1:72" x14ac:dyDescent="0.25">
      <c r="A601" t="s">
        <v>72</v>
      </c>
      <c r="B601" t="s">
        <v>8778</v>
      </c>
      <c r="C601" t="s">
        <v>74</v>
      </c>
      <c r="D601" t="s">
        <v>74</v>
      </c>
      <c r="E601" t="s">
        <v>74</v>
      </c>
      <c r="F601" t="s">
        <v>8779</v>
      </c>
      <c r="G601" t="s">
        <v>74</v>
      </c>
      <c r="H601" t="s">
        <v>74</v>
      </c>
      <c r="I601" t="s">
        <v>8780</v>
      </c>
      <c r="J601" t="s">
        <v>637</v>
      </c>
      <c r="K601" t="s">
        <v>74</v>
      </c>
      <c r="L601" t="s">
        <v>74</v>
      </c>
      <c r="M601" t="s">
        <v>78</v>
      </c>
      <c r="N601" t="s">
        <v>460</v>
      </c>
      <c r="O601" t="s">
        <v>74</v>
      </c>
      <c r="P601" t="s">
        <v>74</v>
      </c>
      <c r="Q601" t="s">
        <v>74</v>
      </c>
      <c r="R601" t="s">
        <v>74</v>
      </c>
      <c r="S601" t="s">
        <v>74</v>
      </c>
      <c r="T601" t="s">
        <v>74</v>
      </c>
      <c r="U601" t="s">
        <v>74</v>
      </c>
      <c r="V601" t="s">
        <v>74</v>
      </c>
      <c r="W601" t="s">
        <v>8781</v>
      </c>
      <c r="X601" t="s">
        <v>8782</v>
      </c>
      <c r="Y601" t="s">
        <v>8783</v>
      </c>
      <c r="Z601" t="s">
        <v>74</v>
      </c>
      <c r="AA601" t="s">
        <v>7706</v>
      </c>
      <c r="AB601" t="s">
        <v>257</v>
      </c>
      <c r="AC601" t="s">
        <v>74</v>
      </c>
      <c r="AD601" t="s">
        <v>74</v>
      </c>
      <c r="AE601" t="s">
        <v>74</v>
      </c>
      <c r="AF601" t="s">
        <v>74</v>
      </c>
      <c r="AG601">
        <v>8</v>
      </c>
      <c r="AH601">
        <v>0</v>
      </c>
      <c r="AI601">
        <v>0</v>
      </c>
      <c r="AJ601">
        <v>0</v>
      </c>
      <c r="AK601">
        <v>4</v>
      </c>
      <c r="AL601" t="s">
        <v>649</v>
      </c>
      <c r="AM601" t="s">
        <v>486</v>
      </c>
      <c r="AN601" t="s">
        <v>650</v>
      </c>
      <c r="AO601" t="s">
        <v>651</v>
      </c>
      <c r="AP601" t="s">
        <v>652</v>
      </c>
      <c r="AQ601" t="s">
        <v>74</v>
      </c>
      <c r="AR601" t="s">
        <v>653</v>
      </c>
      <c r="AS601" t="s">
        <v>654</v>
      </c>
      <c r="AT601" t="s">
        <v>8773</v>
      </c>
      <c r="AU601">
        <v>2018</v>
      </c>
      <c r="AV601">
        <v>197</v>
      </c>
      <c r="AW601">
        <v>10</v>
      </c>
      <c r="AX601" t="s">
        <v>74</v>
      </c>
      <c r="AY601" t="s">
        <v>74</v>
      </c>
      <c r="AZ601" t="s">
        <v>74</v>
      </c>
      <c r="BA601" t="s">
        <v>74</v>
      </c>
      <c r="BB601">
        <v>1364</v>
      </c>
      <c r="BC601">
        <v>1365</v>
      </c>
      <c r="BD601" t="s">
        <v>74</v>
      </c>
      <c r="BE601" t="s">
        <v>8784</v>
      </c>
      <c r="BF601" t="str">
        <f>HYPERLINK("http://dx.doi.org/10.1164/rccm.201712-2483LE","http://dx.doi.org/10.1164/rccm.201712-2483LE")</f>
        <v>http://dx.doi.org/10.1164/rccm.201712-2483LE</v>
      </c>
      <c r="BG601" t="s">
        <v>74</v>
      </c>
      <c r="BH601" t="s">
        <v>74</v>
      </c>
      <c r="BI601">
        <v>4</v>
      </c>
      <c r="BJ601" t="s">
        <v>341</v>
      </c>
      <c r="BK601" t="s">
        <v>101</v>
      </c>
      <c r="BL601" t="s">
        <v>342</v>
      </c>
      <c r="BM601" t="s">
        <v>8785</v>
      </c>
      <c r="BN601">
        <v>29272591</v>
      </c>
      <c r="BO601" t="s">
        <v>74</v>
      </c>
      <c r="BP601" t="s">
        <v>74</v>
      </c>
      <c r="BQ601" t="s">
        <v>74</v>
      </c>
      <c r="BR601" t="s">
        <v>104</v>
      </c>
      <c r="BS601" t="s">
        <v>8786</v>
      </c>
      <c r="BT601" t="str">
        <f>HYPERLINK("https%3A%2F%2Fwww.webofscience.com%2Fwos%2Fwoscc%2Ffull-record%2FWOS:000432215400028","View Full Record in Web of Science")</f>
        <v>View Full Record in Web of Science</v>
      </c>
    </row>
    <row r="602" spans="1:72" x14ac:dyDescent="0.25">
      <c r="A602" t="s">
        <v>72</v>
      </c>
      <c r="B602" t="s">
        <v>8787</v>
      </c>
      <c r="C602" t="s">
        <v>74</v>
      </c>
      <c r="D602" t="s">
        <v>74</v>
      </c>
      <c r="E602" t="s">
        <v>74</v>
      </c>
      <c r="F602" t="s">
        <v>8788</v>
      </c>
      <c r="G602" t="s">
        <v>74</v>
      </c>
      <c r="H602" t="s">
        <v>74</v>
      </c>
      <c r="I602" t="s">
        <v>8789</v>
      </c>
      <c r="J602" t="s">
        <v>435</v>
      </c>
      <c r="K602" t="s">
        <v>74</v>
      </c>
      <c r="L602" t="s">
        <v>74</v>
      </c>
      <c r="M602" t="s">
        <v>78</v>
      </c>
      <c r="N602" t="s">
        <v>79</v>
      </c>
      <c r="O602" t="s">
        <v>74</v>
      </c>
      <c r="P602" t="s">
        <v>74</v>
      </c>
      <c r="Q602" t="s">
        <v>74</v>
      </c>
      <c r="R602" t="s">
        <v>74</v>
      </c>
      <c r="S602" t="s">
        <v>74</v>
      </c>
      <c r="T602" t="s">
        <v>8790</v>
      </c>
      <c r="U602" t="s">
        <v>8791</v>
      </c>
      <c r="V602" t="s">
        <v>8792</v>
      </c>
      <c r="W602" t="s">
        <v>8793</v>
      </c>
      <c r="X602" t="s">
        <v>8794</v>
      </c>
      <c r="Y602" t="s">
        <v>8795</v>
      </c>
      <c r="Z602" t="s">
        <v>8796</v>
      </c>
      <c r="AA602" t="s">
        <v>8797</v>
      </c>
      <c r="AB602" t="s">
        <v>8798</v>
      </c>
      <c r="AC602" t="s">
        <v>8799</v>
      </c>
      <c r="AD602" t="s">
        <v>8799</v>
      </c>
      <c r="AE602" t="s">
        <v>8800</v>
      </c>
      <c r="AF602" t="s">
        <v>74</v>
      </c>
      <c r="AG602">
        <v>20</v>
      </c>
      <c r="AH602">
        <v>27</v>
      </c>
      <c r="AI602">
        <v>30</v>
      </c>
      <c r="AJ602">
        <v>0</v>
      </c>
      <c r="AK602">
        <v>3</v>
      </c>
      <c r="AL602" t="s">
        <v>1330</v>
      </c>
      <c r="AM602" t="s">
        <v>1331</v>
      </c>
      <c r="AN602" t="s">
        <v>1332</v>
      </c>
      <c r="AO602" t="s">
        <v>448</v>
      </c>
      <c r="AP602" t="s">
        <v>449</v>
      </c>
      <c r="AQ602" t="s">
        <v>74</v>
      </c>
      <c r="AR602" t="s">
        <v>450</v>
      </c>
      <c r="AS602" t="s">
        <v>451</v>
      </c>
      <c r="AT602" t="s">
        <v>8801</v>
      </c>
      <c r="AU602">
        <v>2018</v>
      </c>
      <c r="AV602">
        <v>8</v>
      </c>
      <c r="AW602">
        <v>2</v>
      </c>
      <c r="AX602" t="s">
        <v>74</v>
      </c>
      <c r="AY602" t="s">
        <v>74</v>
      </c>
      <c r="AZ602" t="s">
        <v>74</v>
      </c>
      <c r="BA602" t="s">
        <v>74</v>
      </c>
      <c r="BB602" t="s">
        <v>74</v>
      </c>
      <c r="BC602" t="s">
        <v>74</v>
      </c>
      <c r="BD602">
        <v>2045894018769305</v>
      </c>
      <c r="BE602" t="s">
        <v>8802</v>
      </c>
      <c r="BF602" t="str">
        <f>HYPERLINK("http://dx.doi.org/10.1177/2045894018769305","http://dx.doi.org/10.1177/2045894018769305")</f>
        <v>http://dx.doi.org/10.1177/2045894018769305</v>
      </c>
      <c r="BG602" t="s">
        <v>74</v>
      </c>
      <c r="BH602" t="s">
        <v>74</v>
      </c>
      <c r="BI602">
        <v>4</v>
      </c>
      <c r="BJ602" t="s">
        <v>209</v>
      </c>
      <c r="BK602" t="s">
        <v>101</v>
      </c>
      <c r="BL602" t="s">
        <v>210</v>
      </c>
      <c r="BM602" t="s">
        <v>8803</v>
      </c>
      <c r="BN602">
        <v>29565224</v>
      </c>
      <c r="BO602" t="s">
        <v>809</v>
      </c>
      <c r="BP602" t="s">
        <v>74</v>
      </c>
      <c r="BQ602" t="s">
        <v>74</v>
      </c>
      <c r="BR602" t="s">
        <v>104</v>
      </c>
      <c r="BS602" t="s">
        <v>8804</v>
      </c>
      <c r="BT602" t="str">
        <f>HYPERLINK("https%3A%2F%2Fwww.webofscience.com%2Fwos%2Fwoscc%2Ffull-record%2FWOS:000432116500001","View Full Record in Web of Science")</f>
        <v>View Full Record in Web of Science</v>
      </c>
    </row>
    <row r="603" spans="1:72" x14ac:dyDescent="0.25">
      <c r="A603" t="s">
        <v>72</v>
      </c>
      <c r="B603" t="s">
        <v>8805</v>
      </c>
      <c r="C603" t="s">
        <v>74</v>
      </c>
      <c r="D603" t="s">
        <v>74</v>
      </c>
      <c r="E603" t="s">
        <v>74</v>
      </c>
      <c r="F603" t="s">
        <v>8806</v>
      </c>
      <c r="G603" t="s">
        <v>74</v>
      </c>
      <c r="H603" t="s">
        <v>74</v>
      </c>
      <c r="I603" t="s">
        <v>8807</v>
      </c>
      <c r="J603" t="s">
        <v>8808</v>
      </c>
      <c r="K603" t="s">
        <v>74</v>
      </c>
      <c r="L603" t="s">
        <v>74</v>
      </c>
      <c r="M603" t="s">
        <v>78</v>
      </c>
      <c r="N603" t="s">
        <v>52</v>
      </c>
      <c r="O603" t="s">
        <v>74</v>
      </c>
      <c r="P603" t="s">
        <v>74</v>
      </c>
      <c r="Q603" t="s">
        <v>74</v>
      </c>
      <c r="R603" t="s">
        <v>74</v>
      </c>
      <c r="S603" t="s">
        <v>74</v>
      </c>
      <c r="T603" t="s">
        <v>74</v>
      </c>
      <c r="U603" t="s">
        <v>74</v>
      </c>
      <c r="V603" t="s">
        <v>74</v>
      </c>
      <c r="W603" t="s">
        <v>8809</v>
      </c>
      <c r="X603" t="s">
        <v>8810</v>
      </c>
      <c r="Y603" t="s">
        <v>74</v>
      </c>
      <c r="Z603" t="s">
        <v>74</v>
      </c>
      <c r="AA603" t="s">
        <v>8811</v>
      </c>
      <c r="AB603" t="s">
        <v>74</v>
      </c>
      <c r="AC603" t="s">
        <v>74</v>
      </c>
      <c r="AD603" t="s">
        <v>74</v>
      </c>
      <c r="AE603" t="s">
        <v>74</v>
      </c>
      <c r="AF603" t="s">
        <v>74</v>
      </c>
      <c r="AG603">
        <v>1</v>
      </c>
      <c r="AH603">
        <v>0</v>
      </c>
      <c r="AI603">
        <v>0</v>
      </c>
      <c r="AJ603">
        <v>1</v>
      </c>
      <c r="AK603">
        <v>1</v>
      </c>
      <c r="AL603" t="s">
        <v>8812</v>
      </c>
      <c r="AM603" t="s">
        <v>8813</v>
      </c>
      <c r="AN603" t="s">
        <v>8814</v>
      </c>
      <c r="AO603" t="s">
        <v>8815</v>
      </c>
      <c r="AP603" t="s">
        <v>8816</v>
      </c>
      <c r="AQ603" t="s">
        <v>74</v>
      </c>
      <c r="AR603" t="s">
        <v>8808</v>
      </c>
      <c r="AS603" t="s">
        <v>4364</v>
      </c>
      <c r="AT603" t="s">
        <v>960</v>
      </c>
      <c r="AU603">
        <v>2018</v>
      </c>
      <c r="AV603">
        <v>142</v>
      </c>
      <c r="AW603" t="s">
        <v>74</v>
      </c>
      <c r="AX603" t="s">
        <v>74</v>
      </c>
      <c r="AY603">
        <v>1</v>
      </c>
      <c r="AZ603" t="s">
        <v>74</v>
      </c>
      <c r="BA603">
        <v>809</v>
      </c>
      <c r="BB603" t="s">
        <v>74</v>
      </c>
      <c r="BC603" t="s">
        <v>74</v>
      </c>
      <c r="BD603" t="s">
        <v>74</v>
      </c>
      <c r="BE603" t="s">
        <v>8817</v>
      </c>
      <c r="BF603" t="str">
        <f>HYPERLINK("http://dx.doi.org/10.1542/peds.142.1_MeetingAbstract.809","http://dx.doi.org/10.1542/peds.142.1_MeetingAbstract.809")</f>
        <v>http://dx.doi.org/10.1542/peds.142.1_MeetingAbstract.809</v>
      </c>
      <c r="BG603" t="s">
        <v>74</v>
      </c>
      <c r="BH603" t="s">
        <v>74</v>
      </c>
      <c r="BI603">
        <v>2</v>
      </c>
      <c r="BJ603" t="s">
        <v>4364</v>
      </c>
      <c r="BK603" t="s">
        <v>101</v>
      </c>
      <c r="BL603" t="s">
        <v>4364</v>
      </c>
      <c r="BM603" t="s">
        <v>8818</v>
      </c>
      <c r="BN603" t="s">
        <v>74</v>
      </c>
      <c r="BO603" t="s">
        <v>74</v>
      </c>
      <c r="BP603" t="s">
        <v>74</v>
      </c>
      <c r="BQ603" t="s">
        <v>74</v>
      </c>
      <c r="BR603" t="s">
        <v>104</v>
      </c>
      <c r="BS603" t="s">
        <v>8819</v>
      </c>
      <c r="BT603" t="str">
        <f>HYPERLINK("https%3A%2F%2Fwww.webofscience.com%2Fwos%2Fwoscc%2Ffull-record%2FWOS:000540807300756","View Full Record in Web of Science")</f>
        <v>View Full Record in Web of Science</v>
      </c>
    </row>
    <row r="604" spans="1:72" x14ac:dyDescent="0.25">
      <c r="A604" t="s">
        <v>72</v>
      </c>
      <c r="B604" t="s">
        <v>8820</v>
      </c>
      <c r="C604" t="s">
        <v>74</v>
      </c>
      <c r="D604" t="s">
        <v>74</v>
      </c>
      <c r="E604" t="s">
        <v>74</v>
      </c>
      <c r="F604" t="s">
        <v>8821</v>
      </c>
      <c r="G604" t="s">
        <v>74</v>
      </c>
      <c r="H604" t="s">
        <v>74</v>
      </c>
      <c r="I604" t="s">
        <v>8822</v>
      </c>
      <c r="J604" t="s">
        <v>8823</v>
      </c>
      <c r="K604" t="s">
        <v>74</v>
      </c>
      <c r="L604" t="s">
        <v>74</v>
      </c>
      <c r="M604" t="s">
        <v>78</v>
      </c>
      <c r="N604" t="s">
        <v>52</v>
      </c>
      <c r="O604" t="s">
        <v>8824</v>
      </c>
      <c r="P604" t="s">
        <v>8825</v>
      </c>
      <c r="Q604" t="s">
        <v>1375</v>
      </c>
      <c r="R604" t="s">
        <v>8826</v>
      </c>
      <c r="S604" t="s">
        <v>74</v>
      </c>
      <c r="T604" t="s">
        <v>74</v>
      </c>
      <c r="U604" t="s">
        <v>74</v>
      </c>
      <c r="V604" t="s">
        <v>74</v>
      </c>
      <c r="W604" t="s">
        <v>8827</v>
      </c>
      <c r="X604" t="s">
        <v>8828</v>
      </c>
      <c r="Y604" t="s">
        <v>74</v>
      </c>
      <c r="Z604" t="s">
        <v>74</v>
      </c>
      <c r="AA604" t="s">
        <v>8829</v>
      </c>
      <c r="AB604" t="s">
        <v>8830</v>
      </c>
      <c r="AC604" t="s">
        <v>74</v>
      </c>
      <c r="AD604" t="s">
        <v>74</v>
      </c>
      <c r="AE604" t="s">
        <v>74</v>
      </c>
      <c r="AF604" t="s">
        <v>74</v>
      </c>
      <c r="AG604">
        <v>0</v>
      </c>
      <c r="AH604">
        <v>2</v>
      </c>
      <c r="AI604">
        <v>2</v>
      </c>
      <c r="AJ604">
        <v>0</v>
      </c>
      <c r="AK604">
        <v>3</v>
      </c>
      <c r="AL604" t="s">
        <v>8831</v>
      </c>
      <c r="AM604" t="s">
        <v>8832</v>
      </c>
      <c r="AN604" t="s">
        <v>8833</v>
      </c>
      <c r="AO604" t="s">
        <v>8834</v>
      </c>
      <c r="AP604" t="s">
        <v>8835</v>
      </c>
      <c r="AQ604" t="s">
        <v>74</v>
      </c>
      <c r="AR604" t="s">
        <v>8836</v>
      </c>
      <c r="AS604" t="s">
        <v>8837</v>
      </c>
      <c r="AT604" t="s">
        <v>960</v>
      </c>
      <c r="AU604">
        <v>2018</v>
      </c>
      <c r="AV604">
        <v>59</v>
      </c>
      <c r="AW604" t="s">
        <v>74</v>
      </c>
      <c r="AX604" t="s">
        <v>74</v>
      </c>
      <c r="AY604">
        <v>1</v>
      </c>
      <c r="AZ604" t="s">
        <v>74</v>
      </c>
      <c r="BA604">
        <v>322</v>
      </c>
      <c r="BB604" t="s">
        <v>74</v>
      </c>
      <c r="BC604" t="s">
        <v>74</v>
      </c>
      <c r="BD604" t="s">
        <v>74</v>
      </c>
      <c r="BE604" t="s">
        <v>74</v>
      </c>
      <c r="BF604" t="s">
        <v>74</v>
      </c>
      <c r="BG604" t="s">
        <v>74</v>
      </c>
      <c r="BH604" t="s">
        <v>74</v>
      </c>
      <c r="BI604">
        <v>3</v>
      </c>
      <c r="BJ604" t="s">
        <v>892</v>
      </c>
      <c r="BK604" t="s">
        <v>512</v>
      </c>
      <c r="BL604" t="s">
        <v>892</v>
      </c>
      <c r="BM604" t="s">
        <v>8838</v>
      </c>
      <c r="BN604" t="s">
        <v>74</v>
      </c>
      <c r="BO604" t="s">
        <v>74</v>
      </c>
      <c r="BP604" t="s">
        <v>74</v>
      </c>
      <c r="BQ604" t="s">
        <v>74</v>
      </c>
      <c r="BR604" t="s">
        <v>104</v>
      </c>
      <c r="BS604" t="s">
        <v>8839</v>
      </c>
      <c r="BT604" t="str">
        <f>HYPERLINK("https%3A%2F%2Fwww.webofscience.com%2Fwos%2Fwoscc%2Ffull-record%2FWOS:000467489900322","View Full Record in Web of Science")</f>
        <v>View Full Record in Web of Science</v>
      </c>
    </row>
    <row r="605" spans="1:72" x14ac:dyDescent="0.25">
      <c r="A605" t="s">
        <v>72</v>
      </c>
      <c r="B605" t="s">
        <v>8840</v>
      </c>
      <c r="C605" t="s">
        <v>74</v>
      </c>
      <c r="D605" t="s">
        <v>74</v>
      </c>
      <c r="E605" t="s">
        <v>74</v>
      </c>
      <c r="F605" t="s">
        <v>8841</v>
      </c>
      <c r="G605" t="s">
        <v>74</v>
      </c>
      <c r="H605" t="s">
        <v>5371</v>
      </c>
      <c r="I605" t="s">
        <v>8842</v>
      </c>
      <c r="J605" t="s">
        <v>216</v>
      </c>
      <c r="K605" t="s">
        <v>74</v>
      </c>
      <c r="L605" t="s">
        <v>74</v>
      </c>
      <c r="M605" t="s">
        <v>78</v>
      </c>
      <c r="N605" t="s">
        <v>79</v>
      </c>
      <c r="O605" t="s">
        <v>74</v>
      </c>
      <c r="P605" t="s">
        <v>74</v>
      </c>
      <c r="Q605" t="s">
        <v>74</v>
      </c>
      <c r="R605" t="s">
        <v>74</v>
      </c>
      <c r="S605" t="s">
        <v>74</v>
      </c>
      <c r="T605" t="s">
        <v>74</v>
      </c>
      <c r="U605" t="s">
        <v>8843</v>
      </c>
      <c r="V605" t="s">
        <v>8844</v>
      </c>
      <c r="W605" t="s">
        <v>8845</v>
      </c>
      <c r="X605" t="s">
        <v>8846</v>
      </c>
      <c r="Y605" t="s">
        <v>7557</v>
      </c>
      <c r="Z605" t="s">
        <v>377</v>
      </c>
      <c r="AA605" t="s">
        <v>8847</v>
      </c>
      <c r="AB605" t="s">
        <v>8848</v>
      </c>
      <c r="AC605" t="s">
        <v>8849</v>
      </c>
      <c r="AD605" t="s">
        <v>8850</v>
      </c>
      <c r="AE605" t="s">
        <v>8851</v>
      </c>
      <c r="AF605" t="s">
        <v>74</v>
      </c>
      <c r="AG605">
        <v>24</v>
      </c>
      <c r="AH605">
        <v>172</v>
      </c>
      <c r="AI605">
        <v>178</v>
      </c>
      <c r="AJ605">
        <v>1</v>
      </c>
      <c r="AK605">
        <v>7</v>
      </c>
      <c r="AL605" t="s">
        <v>219</v>
      </c>
      <c r="AM605" t="s">
        <v>220</v>
      </c>
      <c r="AN605" t="s">
        <v>221</v>
      </c>
      <c r="AO605" t="s">
        <v>222</v>
      </c>
      <c r="AP605" t="s">
        <v>223</v>
      </c>
      <c r="AQ605" t="s">
        <v>74</v>
      </c>
      <c r="AR605" t="s">
        <v>224</v>
      </c>
      <c r="AS605" t="s">
        <v>225</v>
      </c>
      <c r="AT605" t="s">
        <v>960</v>
      </c>
      <c r="AU605">
        <v>2018</v>
      </c>
      <c r="AV605">
        <v>51</v>
      </c>
      <c r="AW605">
        <v>5</v>
      </c>
      <c r="AX605" t="s">
        <v>74</v>
      </c>
      <c r="AY605" t="s">
        <v>74</v>
      </c>
      <c r="AZ605" t="s">
        <v>74</v>
      </c>
      <c r="BA605" t="s">
        <v>74</v>
      </c>
      <c r="BB605" t="s">
        <v>74</v>
      </c>
      <c r="BC605" t="s">
        <v>74</v>
      </c>
      <c r="BD605">
        <v>1702523</v>
      </c>
      <c r="BE605" t="s">
        <v>8852</v>
      </c>
      <c r="BF605" t="str">
        <f>HYPERLINK("http://dx.doi.org/10.1183/13993003.02523-2017","http://dx.doi.org/10.1183/13993003.02523-2017")</f>
        <v>http://dx.doi.org/10.1183/13993003.02523-2017</v>
      </c>
      <c r="BG605" t="s">
        <v>74</v>
      </c>
      <c r="BH605" t="s">
        <v>74</v>
      </c>
      <c r="BI605">
        <v>11</v>
      </c>
      <c r="BJ605" t="s">
        <v>228</v>
      </c>
      <c r="BK605" t="s">
        <v>101</v>
      </c>
      <c r="BL605" t="s">
        <v>228</v>
      </c>
      <c r="BM605" t="s">
        <v>8853</v>
      </c>
      <c r="BN605">
        <v>29545284</v>
      </c>
      <c r="BO605" t="s">
        <v>246</v>
      </c>
      <c r="BP605" t="s">
        <v>74</v>
      </c>
      <c r="BQ605" t="s">
        <v>74</v>
      </c>
      <c r="BR605" t="s">
        <v>104</v>
      </c>
      <c r="BS605" t="s">
        <v>8854</v>
      </c>
      <c r="BT605" t="str">
        <f>HYPERLINK("https%3A%2F%2Fwww.webofscience.com%2Fwos%2Fwoscc%2Ffull-record%2FWOS:000435212900018","View Full Record in Web of Science")</f>
        <v>View Full Record in Web of Science</v>
      </c>
    </row>
    <row r="606" spans="1:72" x14ac:dyDescent="0.25">
      <c r="A606" t="s">
        <v>72</v>
      </c>
      <c r="B606" t="s">
        <v>8855</v>
      </c>
      <c r="C606" t="s">
        <v>74</v>
      </c>
      <c r="D606" t="s">
        <v>74</v>
      </c>
      <c r="E606" t="s">
        <v>74</v>
      </c>
      <c r="F606" t="s">
        <v>8856</v>
      </c>
      <c r="G606" t="s">
        <v>74</v>
      </c>
      <c r="H606" t="s">
        <v>74</v>
      </c>
      <c r="I606" t="s">
        <v>8857</v>
      </c>
      <c r="J606" t="s">
        <v>4594</v>
      </c>
      <c r="K606" t="s">
        <v>74</v>
      </c>
      <c r="L606" t="s">
        <v>74</v>
      </c>
      <c r="M606" t="s">
        <v>78</v>
      </c>
      <c r="N606" t="s">
        <v>79</v>
      </c>
      <c r="O606" t="s">
        <v>74</v>
      </c>
      <c r="P606" t="s">
        <v>74</v>
      </c>
      <c r="Q606" t="s">
        <v>74</v>
      </c>
      <c r="R606" t="s">
        <v>74</v>
      </c>
      <c r="S606" t="s">
        <v>74</v>
      </c>
      <c r="T606" t="s">
        <v>8858</v>
      </c>
      <c r="U606" t="s">
        <v>8859</v>
      </c>
      <c r="V606" t="s">
        <v>8860</v>
      </c>
      <c r="W606" t="s">
        <v>8861</v>
      </c>
      <c r="X606" t="s">
        <v>8862</v>
      </c>
      <c r="Y606" t="s">
        <v>8863</v>
      </c>
      <c r="Z606" t="s">
        <v>7319</v>
      </c>
      <c r="AA606" t="s">
        <v>8864</v>
      </c>
      <c r="AB606" t="s">
        <v>8865</v>
      </c>
      <c r="AC606" t="s">
        <v>8866</v>
      </c>
      <c r="AD606" t="s">
        <v>8867</v>
      </c>
      <c r="AE606" t="s">
        <v>8868</v>
      </c>
      <c r="AF606" t="s">
        <v>74</v>
      </c>
      <c r="AG606">
        <v>46</v>
      </c>
      <c r="AH606">
        <v>54</v>
      </c>
      <c r="AI606">
        <v>56</v>
      </c>
      <c r="AJ606">
        <v>0</v>
      </c>
      <c r="AK606">
        <v>6</v>
      </c>
      <c r="AL606" t="s">
        <v>1073</v>
      </c>
      <c r="AM606" t="s">
        <v>1074</v>
      </c>
      <c r="AN606" t="s">
        <v>1075</v>
      </c>
      <c r="AO606" t="s">
        <v>4607</v>
      </c>
      <c r="AP606" t="s">
        <v>4608</v>
      </c>
      <c r="AQ606" t="s">
        <v>74</v>
      </c>
      <c r="AR606" t="s">
        <v>4609</v>
      </c>
      <c r="AS606" t="s">
        <v>4610</v>
      </c>
      <c r="AT606" t="s">
        <v>960</v>
      </c>
      <c r="AU606">
        <v>2018</v>
      </c>
      <c r="AV606">
        <v>114</v>
      </c>
      <c r="AW606">
        <v>6</v>
      </c>
      <c r="AX606" t="s">
        <v>74</v>
      </c>
      <c r="AY606" t="s">
        <v>74</v>
      </c>
      <c r="AZ606" t="s">
        <v>74</v>
      </c>
      <c r="BA606" t="s">
        <v>74</v>
      </c>
      <c r="BB606">
        <v>880</v>
      </c>
      <c r="BC606">
        <v>893</v>
      </c>
      <c r="BD606" t="s">
        <v>74</v>
      </c>
      <c r="BE606" t="s">
        <v>8869</v>
      </c>
      <c r="BF606" t="str">
        <f>HYPERLINK("http://dx.doi.org/10.1093/cvr/cvy016","http://dx.doi.org/10.1093/cvr/cvy016")</f>
        <v>http://dx.doi.org/10.1093/cvr/cvy016</v>
      </c>
      <c r="BG606" t="s">
        <v>74</v>
      </c>
      <c r="BH606" t="s">
        <v>74</v>
      </c>
      <c r="BI606">
        <v>14</v>
      </c>
      <c r="BJ606" t="s">
        <v>132</v>
      </c>
      <c r="BK606" t="s">
        <v>101</v>
      </c>
      <c r="BL606" t="s">
        <v>133</v>
      </c>
      <c r="BM606" t="s">
        <v>8870</v>
      </c>
      <c r="BN606">
        <v>29360952</v>
      </c>
      <c r="BO606" t="s">
        <v>2517</v>
      </c>
      <c r="BP606" t="s">
        <v>74</v>
      </c>
      <c r="BQ606" t="s">
        <v>74</v>
      </c>
      <c r="BR606" t="s">
        <v>104</v>
      </c>
      <c r="BS606" t="s">
        <v>8871</v>
      </c>
      <c r="BT606" t="str">
        <f>HYPERLINK("https%3A%2F%2Fwww.webofscience.com%2Fwos%2Fwoscc%2Ffull-record%2FWOS:000432181500020","View Full Record in Web of Science")</f>
        <v>View Full Record in Web of Science</v>
      </c>
    </row>
    <row r="607" spans="1:72" x14ac:dyDescent="0.25">
      <c r="A607" t="s">
        <v>72</v>
      </c>
      <c r="B607" t="s">
        <v>8872</v>
      </c>
      <c r="C607" t="s">
        <v>74</v>
      </c>
      <c r="D607" t="s">
        <v>74</v>
      </c>
      <c r="E607" t="s">
        <v>74</v>
      </c>
      <c r="F607" t="s">
        <v>8873</v>
      </c>
      <c r="G607" t="s">
        <v>74</v>
      </c>
      <c r="H607" t="s">
        <v>74</v>
      </c>
      <c r="I607" t="s">
        <v>8874</v>
      </c>
      <c r="J607" t="s">
        <v>983</v>
      </c>
      <c r="K607" t="s">
        <v>74</v>
      </c>
      <c r="L607" t="s">
        <v>74</v>
      </c>
      <c r="M607" t="s">
        <v>78</v>
      </c>
      <c r="N607" t="s">
        <v>79</v>
      </c>
      <c r="O607" t="s">
        <v>74</v>
      </c>
      <c r="P607" t="s">
        <v>74</v>
      </c>
      <c r="Q607" t="s">
        <v>74</v>
      </c>
      <c r="R607" t="s">
        <v>74</v>
      </c>
      <c r="S607" t="s">
        <v>74</v>
      </c>
      <c r="T607" t="s">
        <v>8875</v>
      </c>
      <c r="U607" t="s">
        <v>8876</v>
      </c>
      <c r="V607" t="s">
        <v>8877</v>
      </c>
      <c r="W607" t="s">
        <v>8878</v>
      </c>
      <c r="X607" t="s">
        <v>8879</v>
      </c>
      <c r="Y607" t="s">
        <v>8880</v>
      </c>
      <c r="Z607" t="s">
        <v>8881</v>
      </c>
      <c r="AA607" t="s">
        <v>8882</v>
      </c>
      <c r="AB607" t="s">
        <v>8883</v>
      </c>
      <c r="AC607" t="s">
        <v>8884</v>
      </c>
      <c r="AD607" t="s">
        <v>8884</v>
      </c>
      <c r="AE607" t="s">
        <v>8885</v>
      </c>
      <c r="AF607" t="s">
        <v>74</v>
      </c>
      <c r="AG607">
        <v>31</v>
      </c>
      <c r="AH607">
        <v>50</v>
      </c>
      <c r="AI607">
        <v>57</v>
      </c>
      <c r="AJ607">
        <v>0</v>
      </c>
      <c r="AK607">
        <v>10</v>
      </c>
      <c r="AL607" t="s">
        <v>991</v>
      </c>
      <c r="AM607" t="s">
        <v>486</v>
      </c>
      <c r="AN607" t="s">
        <v>992</v>
      </c>
      <c r="AO607" t="s">
        <v>993</v>
      </c>
      <c r="AP607" t="s">
        <v>994</v>
      </c>
      <c r="AQ607" t="s">
        <v>74</v>
      </c>
      <c r="AR607" t="s">
        <v>995</v>
      </c>
      <c r="AS607" t="s">
        <v>996</v>
      </c>
      <c r="AT607" t="s">
        <v>2097</v>
      </c>
      <c r="AU607">
        <v>2018</v>
      </c>
      <c r="AV607">
        <v>37</v>
      </c>
      <c r="AW607">
        <v>5</v>
      </c>
      <c r="AX607" t="s">
        <v>74</v>
      </c>
      <c r="AY607" t="s">
        <v>74</v>
      </c>
      <c r="AZ607" t="s">
        <v>74</v>
      </c>
      <c r="BA607" t="s">
        <v>74</v>
      </c>
      <c r="BB607">
        <v>647</v>
      </c>
      <c r="BC607">
        <v>655</v>
      </c>
      <c r="BD607" t="s">
        <v>74</v>
      </c>
      <c r="BE607" t="s">
        <v>8886</v>
      </c>
      <c r="BF607" t="str">
        <f>HYPERLINK("http://dx.doi.org/10.1016/j.healun.2017.09.022","http://dx.doi.org/10.1016/j.healun.2017.09.022")</f>
        <v>http://dx.doi.org/10.1016/j.healun.2017.09.022</v>
      </c>
      <c r="BG607" t="s">
        <v>74</v>
      </c>
      <c r="BH607" t="s">
        <v>74</v>
      </c>
      <c r="BI607">
        <v>9</v>
      </c>
      <c r="BJ607" t="s">
        <v>1000</v>
      </c>
      <c r="BK607" t="s">
        <v>101</v>
      </c>
      <c r="BL607" t="s">
        <v>1001</v>
      </c>
      <c r="BM607" t="s">
        <v>8887</v>
      </c>
      <c r="BN607">
        <v>29108819</v>
      </c>
      <c r="BO607" t="s">
        <v>74</v>
      </c>
      <c r="BP607" t="s">
        <v>74</v>
      </c>
      <c r="BQ607" t="s">
        <v>74</v>
      </c>
      <c r="BR607" t="s">
        <v>104</v>
      </c>
      <c r="BS607" t="s">
        <v>8888</v>
      </c>
      <c r="BT607" t="str">
        <f>HYPERLINK("https%3A%2F%2Fwww.webofscience.com%2Fwos%2Fwoscc%2Ffull-record%2FWOS:000432164900017","View Full Record in Web of Science")</f>
        <v>View Full Record in Web of Science</v>
      </c>
    </row>
    <row r="608" spans="1:72" x14ac:dyDescent="0.25">
      <c r="A608" t="s">
        <v>72</v>
      </c>
      <c r="B608" t="s">
        <v>8889</v>
      </c>
      <c r="C608" t="s">
        <v>74</v>
      </c>
      <c r="D608" t="s">
        <v>74</v>
      </c>
      <c r="E608" t="s">
        <v>74</v>
      </c>
      <c r="F608" t="s">
        <v>8890</v>
      </c>
      <c r="G608" t="s">
        <v>74</v>
      </c>
      <c r="H608" t="s">
        <v>74</v>
      </c>
      <c r="I608" t="s">
        <v>8891</v>
      </c>
      <c r="J608" t="s">
        <v>8892</v>
      </c>
      <c r="K608" t="s">
        <v>74</v>
      </c>
      <c r="L608" t="s">
        <v>74</v>
      </c>
      <c r="M608" t="s">
        <v>78</v>
      </c>
      <c r="N608" t="s">
        <v>79</v>
      </c>
      <c r="O608" t="s">
        <v>74</v>
      </c>
      <c r="P608" t="s">
        <v>74</v>
      </c>
      <c r="Q608" t="s">
        <v>74</v>
      </c>
      <c r="R608" t="s">
        <v>74</v>
      </c>
      <c r="S608" t="s">
        <v>74</v>
      </c>
      <c r="T608" t="s">
        <v>8893</v>
      </c>
      <c r="U608" t="s">
        <v>8894</v>
      </c>
      <c r="V608" t="s">
        <v>8895</v>
      </c>
      <c r="W608" t="s">
        <v>8896</v>
      </c>
      <c r="X608" t="s">
        <v>8897</v>
      </c>
      <c r="Y608" t="s">
        <v>8898</v>
      </c>
      <c r="Z608" t="s">
        <v>7319</v>
      </c>
      <c r="AA608" t="s">
        <v>8899</v>
      </c>
      <c r="AB608" t="s">
        <v>8900</v>
      </c>
      <c r="AC608" t="s">
        <v>8901</v>
      </c>
      <c r="AD608" t="s">
        <v>8902</v>
      </c>
      <c r="AE608" t="s">
        <v>8903</v>
      </c>
      <c r="AF608" t="s">
        <v>74</v>
      </c>
      <c r="AG608">
        <v>75</v>
      </c>
      <c r="AH608">
        <v>59</v>
      </c>
      <c r="AI608">
        <v>62</v>
      </c>
      <c r="AJ608">
        <v>0</v>
      </c>
      <c r="AK608">
        <v>19</v>
      </c>
      <c r="AL608" t="s">
        <v>397</v>
      </c>
      <c r="AM608" t="s">
        <v>1074</v>
      </c>
      <c r="AN608" t="s">
        <v>4444</v>
      </c>
      <c r="AO608" t="s">
        <v>8904</v>
      </c>
      <c r="AP608" t="s">
        <v>8905</v>
      </c>
      <c r="AQ608" t="s">
        <v>74</v>
      </c>
      <c r="AR608" t="s">
        <v>8906</v>
      </c>
      <c r="AS608" t="s">
        <v>8907</v>
      </c>
      <c r="AT608" t="s">
        <v>2097</v>
      </c>
      <c r="AU608">
        <v>2018</v>
      </c>
      <c r="AV608">
        <v>118</v>
      </c>
      <c r="AW608" t="s">
        <v>74</v>
      </c>
      <c r="AX608" t="s">
        <v>74</v>
      </c>
      <c r="AY608" t="s">
        <v>74</v>
      </c>
      <c r="AZ608" t="s">
        <v>74</v>
      </c>
      <c r="BA608" t="s">
        <v>74</v>
      </c>
      <c r="BB608">
        <v>208</v>
      </c>
      <c r="BC608">
        <v>224</v>
      </c>
      <c r="BD608" t="s">
        <v>74</v>
      </c>
      <c r="BE608" t="s">
        <v>8908</v>
      </c>
      <c r="BF608" t="str">
        <f>HYPERLINK("http://dx.doi.org/10.1016/j.yjmcc.2018.04.003","http://dx.doi.org/10.1016/j.yjmcc.2018.04.003")</f>
        <v>http://dx.doi.org/10.1016/j.yjmcc.2018.04.003</v>
      </c>
      <c r="BG608" t="s">
        <v>74</v>
      </c>
      <c r="BH608" t="s">
        <v>74</v>
      </c>
      <c r="BI608">
        <v>17</v>
      </c>
      <c r="BJ608" t="s">
        <v>8909</v>
      </c>
      <c r="BK608" t="s">
        <v>101</v>
      </c>
      <c r="BL608" t="s">
        <v>8910</v>
      </c>
      <c r="BM608" t="s">
        <v>8911</v>
      </c>
      <c r="BN608">
        <v>29634917</v>
      </c>
      <c r="BO608" t="s">
        <v>612</v>
      </c>
      <c r="BP608" t="s">
        <v>74</v>
      </c>
      <c r="BQ608" t="s">
        <v>74</v>
      </c>
      <c r="BR608" t="s">
        <v>104</v>
      </c>
      <c r="BS608" t="s">
        <v>8912</v>
      </c>
      <c r="BT608" t="str">
        <f>HYPERLINK("https%3A%2F%2Fwww.webofscience.com%2Fwos%2Fwoscc%2Ffull-record%2FWOS:000432499700017","View Full Record in Web of Science")</f>
        <v>View Full Record in Web of Science</v>
      </c>
    </row>
    <row r="609" spans="1:72" x14ac:dyDescent="0.25">
      <c r="A609" t="s">
        <v>72</v>
      </c>
      <c r="B609" t="s">
        <v>8913</v>
      </c>
      <c r="C609" t="s">
        <v>74</v>
      </c>
      <c r="D609" t="s">
        <v>74</v>
      </c>
      <c r="E609" t="s">
        <v>74</v>
      </c>
      <c r="F609" t="s">
        <v>8914</v>
      </c>
      <c r="G609" t="s">
        <v>74</v>
      </c>
      <c r="H609" t="s">
        <v>74</v>
      </c>
      <c r="I609" t="s">
        <v>8915</v>
      </c>
      <c r="J609" t="s">
        <v>8916</v>
      </c>
      <c r="K609" t="s">
        <v>74</v>
      </c>
      <c r="L609" t="s">
        <v>74</v>
      </c>
      <c r="M609" t="s">
        <v>78</v>
      </c>
      <c r="N609" t="s">
        <v>79</v>
      </c>
      <c r="O609" t="s">
        <v>74</v>
      </c>
      <c r="P609" t="s">
        <v>74</v>
      </c>
      <c r="Q609" t="s">
        <v>74</v>
      </c>
      <c r="R609" t="s">
        <v>74</v>
      </c>
      <c r="S609" t="s">
        <v>74</v>
      </c>
      <c r="T609" t="s">
        <v>74</v>
      </c>
      <c r="U609" t="s">
        <v>8917</v>
      </c>
      <c r="V609" t="s">
        <v>8918</v>
      </c>
      <c r="W609" t="s">
        <v>8919</v>
      </c>
      <c r="X609" t="s">
        <v>8920</v>
      </c>
      <c r="Y609" t="s">
        <v>8921</v>
      </c>
      <c r="Z609" t="s">
        <v>276</v>
      </c>
      <c r="AA609" t="s">
        <v>8922</v>
      </c>
      <c r="AB609" t="s">
        <v>8923</v>
      </c>
      <c r="AC609" t="s">
        <v>8924</v>
      </c>
      <c r="AD609" t="s">
        <v>8925</v>
      </c>
      <c r="AE609" t="s">
        <v>8926</v>
      </c>
      <c r="AF609" t="s">
        <v>74</v>
      </c>
      <c r="AG609">
        <v>52</v>
      </c>
      <c r="AH609">
        <v>122</v>
      </c>
      <c r="AI609">
        <v>127</v>
      </c>
      <c r="AJ609">
        <v>0</v>
      </c>
      <c r="AK609">
        <v>14</v>
      </c>
      <c r="AL609" t="s">
        <v>7942</v>
      </c>
      <c r="AM609" t="s">
        <v>7943</v>
      </c>
      <c r="AN609" t="s">
        <v>7944</v>
      </c>
      <c r="AO609" t="s">
        <v>8927</v>
      </c>
      <c r="AP609" t="s">
        <v>8928</v>
      </c>
      <c r="AQ609" t="s">
        <v>74</v>
      </c>
      <c r="AR609" t="s">
        <v>8929</v>
      </c>
      <c r="AS609" t="s">
        <v>8930</v>
      </c>
      <c r="AT609" t="s">
        <v>960</v>
      </c>
      <c r="AU609">
        <v>2018</v>
      </c>
      <c r="AV609">
        <v>128</v>
      </c>
      <c r="AW609">
        <v>5</v>
      </c>
      <c r="AX609" t="s">
        <v>74</v>
      </c>
      <c r="AY609" t="s">
        <v>74</v>
      </c>
      <c r="AZ609" t="s">
        <v>74</v>
      </c>
      <c r="BA609" t="s">
        <v>74</v>
      </c>
      <c r="BB609">
        <v>1956</v>
      </c>
      <c r="BC609">
        <v>1970</v>
      </c>
      <c r="BD609" t="s">
        <v>74</v>
      </c>
      <c r="BE609" t="s">
        <v>8931</v>
      </c>
      <c r="BF609" t="str">
        <f>HYPERLINK("http://dx.doi.org/10.1172/JCI96462","http://dx.doi.org/10.1172/JCI96462")</f>
        <v>http://dx.doi.org/10.1172/JCI96462</v>
      </c>
      <c r="BG609" t="s">
        <v>74</v>
      </c>
      <c r="BH609" t="s">
        <v>74</v>
      </c>
      <c r="BI609">
        <v>15</v>
      </c>
      <c r="BJ609" t="s">
        <v>2122</v>
      </c>
      <c r="BK609" t="s">
        <v>101</v>
      </c>
      <c r="BL609" t="s">
        <v>2123</v>
      </c>
      <c r="BM609" t="s">
        <v>8932</v>
      </c>
      <c r="BN609">
        <v>29629897</v>
      </c>
      <c r="BO609" t="s">
        <v>2517</v>
      </c>
      <c r="BP609" t="s">
        <v>74</v>
      </c>
      <c r="BQ609" t="s">
        <v>74</v>
      </c>
      <c r="BR609" t="s">
        <v>104</v>
      </c>
      <c r="BS609" t="s">
        <v>8933</v>
      </c>
      <c r="BT609" t="str">
        <f>HYPERLINK("https%3A%2F%2Fwww.webofscience.com%2Fwos%2Fwoscc%2Ffull-record%2FWOS:000431959100024","View Full Record in Web of Science")</f>
        <v>View Full Record in Web of Science</v>
      </c>
    </row>
    <row r="610" spans="1:72" x14ac:dyDescent="0.25">
      <c r="A610" t="s">
        <v>72</v>
      </c>
      <c r="B610" t="s">
        <v>8934</v>
      </c>
      <c r="C610" t="s">
        <v>74</v>
      </c>
      <c r="D610" t="s">
        <v>74</v>
      </c>
      <c r="E610" t="s">
        <v>74</v>
      </c>
      <c r="F610" t="s">
        <v>8935</v>
      </c>
      <c r="G610" t="s">
        <v>74</v>
      </c>
      <c r="H610" t="s">
        <v>74</v>
      </c>
      <c r="I610" t="s">
        <v>8936</v>
      </c>
      <c r="J610" t="s">
        <v>8937</v>
      </c>
      <c r="K610" t="s">
        <v>74</v>
      </c>
      <c r="L610" t="s">
        <v>74</v>
      </c>
      <c r="M610" t="s">
        <v>78</v>
      </c>
      <c r="N610" t="s">
        <v>79</v>
      </c>
      <c r="O610" t="s">
        <v>74</v>
      </c>
      <c r="P610" t="s">
        <v>74</v>
      </c>
      <c r="Q610" t="s">
        <v>74</v>
      </c>
      <c r="R610" t="s">
        <v>74</v>
      </c>
      <c r="S610" t="s">
        <v>74</v>
      </c>
      <c r="T610" t="s">
        <v>8938</v>
      </c>
      <c r="U610" t="s">
        <v>8939</v>
      </c>
      <c r="V610" t="s">
        <v>8940</v>
      </c>
      <c r="W610" t="s">
        <v>8941</v>
      </c>
      <c r="X610" t="s">
        <v>8942</v>
      </c>
      <c r="Y610" t="s">
        <v>8943</v>
      </c>
      <c r="Z610" t="s">
        <v>8944</v>
      </c>
      <c r="AA610" t="s">
        <v>8945</v>
      </c>
      <c r="AB610" t="s">
        <v>8946</v>
      </c>
      <c r="AC610" t="s">
        <v>8947</v>
      </c>
      <c r="AD610" t="s">
        <v>8948</v>
      </c>
      <c r="AE610" t="s">
        <v>8949</v>
      </c>
      <c r="AF610" t="s">
        <v>74</v>
      </c>
      <c r="AG610">
        <v>40</v>
      </c>
      <c r="AH610">
        <v>51</v>
      </c>
      <c r="AI610">
        <v>59</v>
      </c>
      <c r="AJ610">
        <v>0</v>
      </c>
      <c r="AK610">
        <v>20</v>
      </c>
      <c r="AL610" t="s">
        <v>122</v>
      </c>
      <c r="AM610" t="s">
        <v>123</v>
      </c>
      <c r="AN610" t="s">
        <v>124</v>
      </c>
      <c r="AO610" t="s">
        <v>8950</v>
      </c>
      <c r="AP610" t="s">
        <v>8951</v>
      </c>
      <c r="AQ610" t="s">
        <v>74</v>
      </c>
      <c r="AR610" t="s">
        <v>8952</v>
      </c>
      <c r="AS610" t="s">
        <v>8953</v>
      </c>
      <c r="AT610" t="s">
        <v>2097</v>
      </c>
      <c r="AU610">
        <v>2018</v>
      </c>
      <c r="AV610">
        <v>36</v>
      </c>
      <c r="AW610">
        <v>5</v>
      </c>
      <c r="AX610" t="s">
        <v>74</v>
      </c>
      <c r="AY610" t="s">
        <v>74</v>
      </c>
      <c r="AZ610" t="s">
        <v>74</v>
      </c>
      <c r="BA610" t="s">
        <v>74</v>
      </c>
      <c r="BB610">
        <v>1164</v>
      </c>
      <c r="BC610">
        <v>1177</v>
      </c>
      <c r="BD610" t="s">
        <v>74</v>
      </c>
      <c r="BE610" t="s">
        <v>8954</v>
      </c>
      <c r="BF610" t="str">
        <f>HYPERLINK("http://dx.doi.org/10.1097/HJH.0000000000001676","http://dx.doi.org/10.1097/HJH.0000000000001676")</f>
        <v>http://dx.doi.org/10.1097/HJH.0000000000001676</v>
      </c>
      <c r="BG610" t="s">
        <v>74</v>
      </c>
      <c r="BH610" t="s">
        <v>74</v>
      </c>
      <c r="BI610">
        <v>14</v>
      </c>
      <c r="BJ610" t="s">
        <v>1789</v>
      </c>
      <c r="BK610" t="s">
        <v>101</v>
      </c>
      <c r="BL610" t="s">
        <v>133</v>
      </c>
      <c r="BM610" t="s">
        <v>8955</v>
      </c>
      <c r="BN610">
        <v>29369849</v>
      </c>
      <c r="BO610" t="s">
        <v>612</v>
      </c>
      <c r="BP610" t="s">
        <v>74</v>
      </c>
      <c r="BQ610" t="s">
        <v>74</v>
      </c>
      <c r="BR610" t="s">
        <v>104</v>
      </c>
      <c r="BS610" t="s">
        <v>8956</v>
      </c>
      <c r="BT610" t="str">
        <f>HYPERLINK("https%3A%2F%2Fwww.webofscience.com%2Fwos%2Fwoscc%2Ffull-record%2FWOS:000429441700026","View Full Record in Web of Science")</f>
        <v>View Full Record in Web of Science</v>
      </c>
    </row>
    <row r="611" spans="1:72" x14ac:dyDescent="0.25">
      <c r="A611" t="s">
        <v>72</v>
      </c>
      <c r="B611" t="s">
        <v>8957</v>
      </c>
      <c r="C611" t="s">
        <v>74</v>
      </c>
      <c r="D611" t="s">
        <v>74</v>
      </c>
      <c r="E611" t="s">
        <v>74</v>
      </c>
      <c r="F611" t="s">
        <v>8958</v>
      </c>
      <c r="G611" t="s">
        <v>74</v>
      </c>
      <c r="H611" t="s">
        <v>74</v>
      </c>
      <c r="I611" t="s">
        <v>8959</v>
      </c>
      <c r="J611" t="s">
        <v>3940</v>
      </c>
      <c r="K611" t="s">
        <v>74</v>
      </c>
      <c r="L611" t="s">
        <v>74</v>
      </c>
      <c r="M611" t="s">
        <v>78</v>
      </c>
      <c r="N611" t="s">
        <v>79</v>
      </c>
      <c r="O611" t="s">
        <v>74</v>
      </c>
      <c r="P611" t="s">
        <v>74</v>
      </c>
      <c r="Q611" t="s">
        <v>74</v>
      </c>
      <c r="R611" t="s">
        <v>74</v>
      </c>
      <c r="S611" t="s">
        <v>74</v>
      </c>
      <c r="T611" t="s">
        <v>74</v>
      </c>
      <c r="U611" t="s">
        <v>8960</v>
      </c>
      <c r="V611" t="s">
        <v>8961</v>
      </c>
      <c r="W611" t="s">
        <v>8962</v>
      </c>
      <c r="X611" t="s">
        <v>8963</v>
      </c>
      <c r="Y611" t="s">
        <v>8964</v>
      </c>
      <c r="Z611" t="s">
        <v>8965</v>
      </c>
      <c r="AA611" t="s">
        <v>8966</v>
      </c>
      <c r="AB611" t="s">
        <v>8967</v>
      </c>
      <c r="AC611" t="s">
        <v>8968</v>
      </c>
      <c r="AD611" t="s">
        <v>8969</v>
      </c>
      <c r="AE611" t="s">
        <v>8970</v>
      </c>
      <c r="AF611" t="s">
        <v>74</v>
      </c>
      <c r="AG611">
        <v>65</v>
      </c>
      <c r="AH611">
        <v>276</v>
      </c>
      <c r="AI611">
        <v>284</v>
      </c>
      <c r="AJ611">
        <v>3</v>
      </c>
      <c r="AK611">
        <v>21</v>
      </c>
      <c r="AL611" t="s">
        <v>282</v>
      </c>
      <c r="AM611" t="s">
        <v>283</v>
      </c>
      <c r="AN611" t="s">
        <v>284</v>
      </c>
      <c r="AO611" t="s">
        <v>74</v>
      </c>
      <c r="AP611" t="s">
        <v>3952</v>
      </c>
      <c r="AQ611" t="s">
        <v>74</v>
      </c>
      <c r="AR611" t="s">
        <v>3953</v>
      </c>
      <c r="AS611" t="s">
        <v>3954</v>
      </c>
      <c r="AT611" t="s">
        <v>8971</v>
      </c>
      <c r="AU611">
        <v>2018</v>
      </c>
      <c r="AV611">
        <v>9</v>
      </c>
      <c r="AW611" t="s">
        <v>74</v>
      </c>
      <c r="AX611" t="s">
        <v>74</v>
      </c>
      <c r="AY611" t="s">
        <v>74</v>
      </c>
      <c r="AZ611" t="s">
        <v>74</v>
      </c>
      <c r="BA611" t="s">
        <v>74</v>
      </c>
      <c r="BB611" t="s">
        <v>74</v>
      </c>
      <c r="BC611" t="s">
        <v>74</v>
      </c>
      <c r="BD611">
        <v>1416</v>
      </c>
      <c r="BE611" t="s">
        <v>8972</v>
      </c>
      <c r="BF611" t="str">
        <f>HYPERLINK("http://dx.doi.org/10.1038/s41467-018-03672-4","http://dx.doi.org/10.1038/s41467-018-03672-4")</f>
        <v>http://dx.doi.org/10.1038/s41467-018-03672-4</v>
      </c>
      <c r="BG611" t="s">
        <v>74</v>
      </c>
      <c r="BH611" t="s">
        <v>74</v>
      </c>
      <c r="BI611">
        <v>16</v>
      </c>
      <c r="BJ611" t="s">
        <v>290</v>
      </c>
      <c r="BK611" t="s">
        <v>101</v>
      </c>
      <c r="BL611" t="s">
        <v>291</v>
      </c>
      <c r="BM611" t="s">
        <v>8973</v>
      </c>
      <c r="BN611">
        <v>29650961</v>
      </c>
      <c r="BO611" t="s">
        <v>8974</v>
      </c>
      <c r="BP611" t="s">
        <v>74</v>
      </c>
      <c r="BQ611" t="s">
        <v>74</v>
      </c>
      <c r="BR611" t="s">
        <v>104</v>
      </c>
      <c r="BS611" t="s">
        <v>8975</v>
      </c>
      <c r="BT611" t="str">
        <f>HYPERLINK("https%3A%2F%2Fwww.webofscience.com%2Fwos%2Fwoscc%2Ffull-record%2FWOS:000429794300009","View Full Record in Web of Science")</f>
        <v>View Full Record in Web of Science</v>
      </c>
    </row>
    <row r="612" spans="1:72" x14ac:dyDescent="0.25">
      <c r="A612" t="s">
        <v>72</v>
      </c>
      <c r="B612" t="s">
        <v>8976</v>
      </c>
      <c r="C612" t="s">
        <v>74</v>
      </c>
      <c r="D612" t="s">
        <v>74</v>
      </c>
      <c r="E612" t="s">
        <v>74</v>
      </c>
      <c r="F612" t="s">
        <v>8977</v>
      </c>
      <c r="G612" t="s">
        <v>74</v>
      </c>
      <c r="H612" t="s">
        <v>74</v>
      </c>
      <c r="I612" t="s">
        <v>8978</v>
      </c>
      <c r="J612" t="s">
        <v>8979</v>
      </c>
      <c r="K612" t="s">
        <v>74</v>
      </c>
      <c r="L612" t="s">
        <v>74</v>
      </c>
      <c r="M612" t="s">
        <v>78</v>
      </c>
      <c r="N612" t="s">
        <v>79</v>
      </c>
      <c r="O612" t="s">
        <v>74</v>
      </c>
      <c r="P612" t="s">
        <v>74</v>
      </c>
      <c r="Q612" t="s">
        <v>74</v>
      </c>
      <c r="R612" t="s">
        <v>74</v>
      </c>
      <c r="S612" t="s">
        <v>74</v>
      </c>
      <c r="T612" t="s">
        <v>74</v>
      </c>
      <c r="U612" t="s">
        <v>8980</v>
      </c>
      <c r="V612" t="s">
        <v>8981</v>
      </c>
      <c r="W612" t="s">
        <v>8982</v>
      </c>
      <c r="X612" t="s">
        <v>8983</v>
      </c>
      <c r="Y612" t="s">
        <v>8984</v>
      </c>
      <c r="Z612" t="s">
        <v>8985</v>
      </c>
      <c r="AA612" t="s">
        <v>8986</v>
      </c>
      <c r="AB612" t="s">
        <v>8987</v>
      </c>
      <c r="AC612" t="s">
        <v>8988</v>
      </c>
      <c r="AD612" t="s">
        <v>8989</v>
      </c>
      <c r="AE612" t="s">
        <v>8990</v>
      </c>
      <c r="AF612" t="s">
        <v>74</v>
      </c>
      <c r="AG612">
        <v>43</v>
      </c>
      <c r="AH612">
        <v>21</v>
      </c>
      <c r="AI612">
        <v>22</v>
      </c>
      <c r="AJ612">
        <v>0</v>
      </c>
      <c r="AK612">
        <v>16</v>
      </c>
      <c r="AL612" t="s">
        <v>6081</v>
      </c>
      <c r="AM612" t="s">
        <v>1212</v>
      </c>
      <c r="AN612" t="s">
        <v>6082</v>
      </c>
      <c r="AO612" t="s">
        <v>8991</v>
      </c>
      <c r="AP612" t="s">
        <v>8992</v>
      </c>
      <c r="AQ612" t="s">
        <v>74</v>
      </c>
      <c r="AR612" t="s">
        <v>8993</v>
      </c>
      <c r="AS612" t="s">
        <v>8994</v>
      </c>
      <c r="AT612" t="s">
        <v>8971</v>
      </c>
      <c r="AU612">
        <v>2018</v>
      </c>
      <c r="AV612">
        <v>61</v>
      </c>
      <c r="AW612">
        <v>7</v>
      </c>
      <c r="AX612" t="s">
        <v>74</v>
      </c>
      <c r="AY612" t="s">
        <v>74</v>
      </c>
      <c r="AZ612" t="s">
        <v>74</v>
      </c>
      <c r="BA612" t="s">
        <v>74</v>
      </c>
      <c r="BB612">
        <v>2725</v>
      </c>
      <c r="BC612">
        <v>2736</v>
      </c>
      <c r="BD612" t="s">
        <v>74</v>
      </c>
      <c r="BE612" t="s">
        <v>8995</v>
      </c>
      <c r="BF612" t="str">
        <f>HYPERLINK("http://dx.doi.org/10.1021/acs.jmedchem.7b01312","http://dx.doi.org/10.1021/acs.jmedchem.7b01312")</f>
        <v>http://dx.doi.org/10.1021/acs.jmedchem.7b01312</v>
      </c>
      <c r="BG612" t="s">
        <v>74</v>
      </c>
      <c r="BH612" t="s">
        <v>74</v>
      </c>
      <c r="BI612">
        <v>12</v>
      </c>
      <c r="BJ612" t="s">
        <v>8996</v>
      </c>
      <c r="BK612" t="s">
        <v>8997</v>
      </c>
      <c r="BL612" t="s">
        <v>1477</v>
      </c>
      <c r="BM612" t="s">
        <v>8998</v>
      </c>
      <c r="BN612">
        <v>29526099</v>
      </c>
      <c r="BO612" t="s">
        <v>74</v>
      </c>
      <c r="BP612" t="s">
        <v>74</v>
      </c>
      <c r="BQ612" t="s">
        <v>74</v>
      </c>
      <c r="BR612" t="s">
        <v>104</v>
      </c>
      <c r="BS612" t="s">
        <v>8999</v>
      </c>
      <c r="BT612" t="str">
        <f>HYPERLINK("https%3A%2F%2Fwww.webofscience.com%2Fwos%2Fwoscc%2Ffull-record%2FWOS:000430256600007","View Full Record in Web of Science")</f>
        <v>View Full Record in Web of Science</v>
      </c>
    </row>
    <row r="613" spans="1:72" x14ac:dyDescent="0.25">
      <c r="A613" t="s">
        <v>72</v>
      </c>
      <c r="B613" t="s">
        <v>9000</v>
      </c>
      <c r="C613" t="s">
        <v>74</v>
      </c>
      <c r="D613" t="s">
        <v>74</v>
      </c>
      <c r="E613" t="s">
        <v>74</v>
      </c>
      <c r="F613" t="s">
        <v>9001</v>
      </c>
      <c r="G613" t="s">
        <v>74</v>
      </c>
      <c r="H613" t="s">
        <v>74</v>
      </c>
      <c r="I613" t="s">
        <v>9002</v>
      </c>
      <c r="J613" t="s">
        <v>983</v>
      </c>
      <c r="K613" t="s">
        <v>74</v>
      </c>
      <c r="L613" t="s">
        <v>74</v>
      </c>
      <c r="M613" t="s">
        <v>78</v>
      </c>
      <c r="N613" t="s">
        <v>52</v>
      </c>
      <c r="O613" t="s">
        <v>9003</v>
      </c>
      <c r="P613" t="s">
        <v>9004</v>
      </c>
      <c r="Q613" t="s">
        <v>8019</v>
      </c>
      <c r="R613" t="s">
        <v>987</v>
      </c>
      <c r="S613" t="s">
        <v>74</v>
      </c>
      <c r="T613" t="s">
        <v>74</v>
      </c>
      <c r="U613" t="s">
        <v>74</v>
      </c>
      <c r="V613" t="s">
        <v>74</v>
      </c>
      <c r="W613" t="s">
        <v>9005</v>
      </c>
      <c r="X613" t="s">
        <v>9006</v>
      </c>
      <c r="Y613" t="s">
        <v>74</v>
      </c>
      <c r="Z613" t="s">
        <v>74</v>
      </c>
      <c r="AA613" t="s">
        <v>9007</v>
      </c>
      <c r="AB613" t="s">
        <v>9008</v>
      </c>
      <c r="AC613" t="s">
        <v>74</v>
      </c>
      <c r="AD613" t="s">
        <v>74</v>
      </c>
      <c r="AE613" t="s">
        <v>74</v>
      </c>
      <c r="AF613" t="s">
        <v>74</v>
      </c>
      <c r="AG613">
        <v>0</v>
      </c>
      <c r="AH613">
        <v>2</v>
      </c>
      <c r="AI613">
        <v>2</v>
      </c>
      <c r="AJ613">
        <v>0</v>
      </c>
      <c r="AK613">
        <v>0</v>
      </c>
      <c r="AL613" t="s">
        <v>991</v>
      </c>
      <c r="AM613" t="s">
        <v>486</v>
      </c>
      <c r="AN613" t="s">
        <v>8530</v>
      </c>
      <c r="AO613" t="s">
        <v>993</v>
      </c>
      <c r="AP613" t="s">
        <v>994</v>
      </c>
      <c r="AQ613" t="s">
        <v>74</v>
      </c>
      <c r="AR613" t="s">
        <v>995</v>
      </c>
      <c r="AS613" t="s">
        <v>996</v>
      </c>
      <c r="AT613" t="s">
        <v>997</v>
      </c>
      <c r="AU613">
        <v>2018</v>
      </c>
      <c r="AV613">
        <v>37</v>
      </c>
      <c r="AW613">
        <v>4</v>
      </c>
      <c r="AX613" t="s">
        <v>74</v>
      </c>
      <c r="AY613" t="s">
        <v>998</v>
      </c>
      <c r="AZ613" t="s">
        <v>74</v>
      </c>
      <c r="BA613">
        <v>594</v>
      </c>
      <c r="BB613" t="s">
        <v>9009</v>
      </c>
      <c r="BC613" t="s">
        <v>9009</v>
      </c>
      <c r="BD613" t="s">
        <v>74</v>
      </c>
      <c r="BE613" t="s">
        <v>9010</v>
      </c>
      <c r="BF613" t="str">
        <f>HYPERLINK("http://dx.doi.org/10.1016/j.healun.2018.01.597","http://dx.doi.org/10.1016/j.healun.2018.01.597")</f>
        <v>http://dx.doi.org/10.1016/j.healun.2018.01.597</v>
      </c>
      <c r="BG613" t="s">
        <v>74</v>
      </c>
      <c r="BH613" t="s">
        <v>74</v>
      </c>
      <c r="BI613">
        <v>1</v>
      </c>
      <c r="BJ613" t="s">
        <v>1000</v>
      </c>
      <c r="BK613" t="s">
        <v>512</v>
      </c>
      <c r="BL613" t="s">
        <v>1001</v>
      </c>
      <c r="BM613" t="s">
        <v>9011</v>
      </c>
      <c r="BN613" t="s">
        <v>74</v>
      </c>
      <c r="BO613" t="s">
        <v>74</v>
      </c>
      <c r="BP613" t="s">
        <v>74</v>
      </c>
      <c r="BQ613" t="s">
        <v>74</v>
      </c>
      <c r="BR613" t="s">
        <v>104</v>
      </c>
      <c r="BS613" t="s">
        <v>9012</v>
      </c>
      <c r="BT613" t="str">
        <f>HYPERLINK("https%3A%2F%2Fwww.webofscience.com%2Fwos%2Fwoscc%2Ffull-record%2FWOS:000429934300589","View Full Record in Web of Science")</f>
        <v>View Full Record in Web of Science</v>
      </c>
    </row>
    <row r="614" spans="1:72" x14ac:dyDescent="0.25">
      <c r="A614" t="s">
        <v>72</v>
      </c>
      <c r="B614" t="s">
        <v>9013</v>
      </c>
      <c r="C614" t="s">
        <v>74</v>
      </c>
      <c r="D614" t="s">
        <v>74</v>
      </c>
      <c r="E614" t="s">
        <v>74</v>
      </c>
      <c r="F614" t="s">
        <v>9014</v>
      </c>
      <c r="G614" t="s">
        <v>74</v>
      </c>
      <c r="H614" t="s">
        <v>74</v>
      </c>
      <c r="I614" t="s">
        <v>9015</v>
      </c>
      <c r="J614" t="s">
        <v>9016</v>
      </c>
      <c r="K614" t="s">
        <v>74</v>
      </c>
      <c r="L614" t="s">
        <v>74</v>
      </c>
      <c r="M614" t="s">
        <v>78</v>
      </c>
      <c r="N614" t="s">
        <v>79</v>
      </c>
      <c r="O614" t="s">
        <v>74</v>
      </c>
      <c r="P614" t="s">
        <v>74</v>
      </c>
      <c r="Q614" t="s">
        <v>74</v>
      </c>
      <c r="R614" t="s">
        <v>74</v>
      </c>
      <c r="S614" t="s">
        <v>74</v>
      </c>
      <c r="T614" t="s">
        <v>9017</v>
      </c>
      <c r="U614" t="s">
        <v>9018</v>
      </c>
      <c r="V614" t="s">
        <v>9019</v>
      </c>
      <c r="W614" t="s">
        <v>9020</v>
      </c>
      <c r="X614" t="s">
        <v>9021</v>
      </c>
      <c r="Y614" t="s">
        <v>9022</v>
      </c>
      <c r="Z614" t="s">
        <v>9023</v>
      </c>
      <c r="AA614" t="s">
        <v>9024</v>
      </c>
      <c r="AB614" t="s">
        <v>9025</v>
      </c>
      <c r="AC614" t="s">
        <v>74</v>
      </c>
      <c r="AD614" t="s">
        <v>74</v>
      </c>
      <c r="AE614" t="s">
        <v>74</v>
      </c>
      <c r="AF614" t="s">
        <v>74</v>
      </c>
      <c r="AG614">
        <v>29</v>
      </c>
      <c r="AH614">
        <v>46</v>
      </c>
      <c r="AI614">
        <v>49</v>
      </c>
      <c r="AJ614">
        <v>0</v>
      </c>
      <c r="AK614">
        <v>6</v>
      </c>
      <c r="AL614" t="s">
        <v>1781</v>
      </c>
      <c r="AM614" t="s">
        <v>486</v>
      </c>
      <c r="AN614" t="s">
        <v>4730</v>
      </c>
      <c r="AO614" t="s">
        <v>9026</v>
      </c>
      <c r="AP614" t="s">
        <v>9027</v>
      </c>
      <c r="AQ614" t="s">
        <v>74</v>
      </c>
      <c r="AR614" t="s">
        <v>9016</v>
      </c>
      <c r="AS614" t="s">
        <v>9028</v>
      </c>
      <c r="AT614" t="s">
        <v>997</v>
      </c>
      <c r="AU614">
        <v>2018</v>
      </c>
      <c r="AV614">
        <v>196</v>
      </c>
      <c r="AW614">
        <v>2</v>
      </c>
      <c r="AX614" t="s">
        <v>74</v>
      </c>
      <c r="AY614" t="s">
        <v>74</v>
      </c>
      <c r="AZ614" t="s">
        <v>74</v>
      </c>
      <c r="BA614" t="s">
        <v>74</v>
      </c>
      <c r="BB614">
        <v>157</v>
      </c>
      <c r="BC614">
        <v>164</v>
      </c>
      <c r="BD614" t="s">
        <v>74</v>
      </c>
      <c r="BE614" t="s">
        <v>9029</v>
      </c>
      <c r="BF614" t="str">
        <f>HYPERLINK("http://dx.doi.org/10.1007/s00408-018-0089-7","http://dx.doi.org/10.1007/s00408-018-0089-7")</f>
        <v>http://dx.doi.org/10.1007/s00408-018-0089-7</v>
      </c>
      <c r="BG614" t="s">
        <v>74</v>
      </c>
      <c r="BH614" t="s">
        <v>74</v>
      </c>
      <c r="BI614">
        <v>8</v>
      </c>
      <c r="BJ614" t="s">
        <v>228</v>
      </c>
      <c r="BK614" t="s">
        <v>101</v>
      </c>
      <c r="BL614" t="s">
        <v>228</v>
      </c>
      <c r="BM614" t="s">
        <v>9030</v>
      </c>
      <c r="BN614">
        <v>29435740</v>
      </c>
      <c r="BO614" t="s">
        <v>74</v>
      </c>
      <c r="BP614" t="s">
        <v>74</v>
      </c>
      <c r="BQ614" t="s">
        <v>74</v>
      </c>
      <c r="BR614" t="s">
        <v>104</v>
      </c>
      <c r="BS614" t="s">
        <v>9031</v>
      </c>
      <c r="BT614" t="str">
        <f>HYPERLINK("https%3A%2F%2Fwww.webofscience.com%2Fwos%2Fwoscc%2Ffull-record%2FWOS:000427629200004","View Full Record in Web of Science")</f>
        <v>View Full Record in Web of Science</v>
      </c>
    </row>
    <row r="615" spans="1:72" x14ac:dyDescent="0.25">
      <c r="A615" t="s">
        <v>72</v>
      </c>
      <c r="B615" t="s">
        <v>9032</v>
      </c>
      <c r="C615" t="s">
        <v>74</v>
      </c>
      <c r="D615" t="s">
        <v>74</v>
      </c>
      <c r="E615" t="s">
        <v>74</v>
      </c>
      <c r="F615" t="s">
        <v>9033</v>
      </c>
      <c r="G615" t="s">
        <v>74</v>
      </c>
      <c r="H615" t="s">
        <v>74</v>
      </c>
      <c r="I615" t="s">
        <v>9034</v>
      </c>
      <c r="J615" t="s">
        <v>216</v>
      </c>
      <c r="K615" t="s">
        <v>74</v>
      </c>
      <c r="L615" t="s">
        <v>74</v>
      </c>
      <c r="M615" t="s">
        <v>78</v>
      </c>
      <c r="N615" t="s">
        <v>299</v>
      </c>
      <c r="O615" t="s">
        <v>74</v>
      </c>
      <c r="P615" t="s">
        <v>74</v>
      </c>
      <c r="Q615" t="s">
        <v>74</v>
      </c>
      <c r="R615" t="s">
        <v>74</v>
      </c>
      <c r="S615" t="s">
        <v>74</v>
      </c>
      <c r="T615" t="s">
        <v>74</v>
      </c>
      <c r="U615" t="s">
        <v>9035</v>
      </c>
      <c r="V615" t="s">
        <v>9036</v>
      </c>
      <c r="W615" t="s">
        <v>9037</v>
      </c>
      <c r="X615" t="s">
        <v>9038</v>
      </c>
      <c r="Y615" t="s">
        <v>9039</v>
      </c>
      <c r="Z615" t="s">
        <v>1296</v>
      </c>
      <c r="AA615" t="s">
        <v>9040</v>
      </c>
      <c r="AB615" t="s">
        <v>9041</v>
      </c>
      <c r="AC615" t="s">
        <v>9042</v>
      </c>
      <c r="AD615" t="s">
        <v>9043</v>
      </c>
      <c r="AE615" t="s">
        <v>9044</v>
      </c>
      <c r="AF615" t="s">
        <v>74</v>
      </c>
      <c r="AG615">
        <v>120</v>
      </c>
      <c r="AH615">
        <v>139</v>
      </c>
      <c r="AI615">
        <v>153</v>
      </c>
      <c r="AJ615">
        <v>1</v>
      </c>
      <c r="AK615">
        <v>26</v>
      </c>
      <c r="AL615" t="s">
        <v>219</v>
      </c>
      <c r="AM615" t="s">
        <v>220</v>
      </c>
      <c r="AN615" t="s">
        <v>221</v>
      </c>
      <c r="AO615" t="s">
        <v>222</v>
      </c>
      <c r="AP615" t="s">
        <v>223</v>
      </c>
      <c r="AQ615" t="s">
        <v>74</v>
      </c>
      <c r="AR615" t="s">
        <v>224</v>
      </c>
      <c r="AS615" t="s">
        <v>225</v>
      </c>
      <c r="AT615" t="s">
        <v>1017</v>
      </c>
      <c r="AU615">
        <v>2018</v>
      </c>
      <c r="AV615">
        <v>51</v>
      </c>
      <c r="AW615">
        <v>4</v>
      </c>
      <c r="AX615" t="s">
        <v>74</v>
      </c>
      <c r="AY615" t="s">
        <v>74</v>
      </c>
      <c r="AZ615" t="s">
        <v>74</v>
      </c>
      <c r="BA615" t="s">
        <v>74</v>
      </c>
      <c r="BB615" t="s">
        <v>74</v>
      </c>
      <c r="BC615" t="s">
        <v>74</v>
      </c>
      <c r="BD615">
        <v>1700745</v>
      </c>
      <c r="BE615" t="s">
        <v>9045</v>
      </c>
      <c r="BF615" t="str">
        <f>HYPERLINK("http://dx.doi.org/10.1183/13993003.00745-2017","http://dx.doi.org/10.1183/13993003.00745-2017")</f>
        <v>http://dx.doi.org/10.1183/13993003.00745-2017</v>
      </c>
      <c r="BG615" t="s">
        <v>74</v>
      </c>
      <c r="BH615" t="s">
        <v>74</v>
      </c>
      <c r="BI615">
        <v>13</v>
      </c>
      <c r="BJ615" t="s">
        <v>228</v>
      </c>
      <c r="BK615" t="s">
        <v>101</v>
      </c>
      <c r="BL615" t="s">
        <v>228</v>
      </c>
      <c r="BM615" t="s">
        <v>9046</v>
      </c>
      <c r="BN615">
        <v>29545281</v>
      </c>
      <c r="BO615" t="s">
        <v>1908</v>
      </c>
      <c r="BP615" t="s">
        <v>74</v>
      </c>
      <c r="BQ615" t="s">
        <v>74</v>
      </c>
      <c r="BR615" t="s">
        <v>104</v>
      </c>
      <c r="BS615" t="s">
        <v>9047</v>
      </c>
      <c r="BT615" t="str">
        <f>HYPERLINK("https%3A%2F%2Fwww.webofscience.com%2Fwos%2Fwoscc%2Ffull-record%2FWOS:000430017400014","View Full Record in Web of Science")</f>
        <v>View Full Record in Web of Science</v>
      </c>
    </row>
    <row r="616" spans="1:72" x14ac:dyDescent="0.25">
      <c r="A616" t="s">
        <v>72</v>
      </c>
      <c r="B616" t="s">
        <v>9048</v>
      </c>
      <c r="C616" t="s">
        <v>74</v>
      </c>
      <c r="D616" t="s">
        <v>74</v>
      </c>
      <c r="E616" t="s">
        <v>74</v>
      </c>
      <c r="F616" t="s">
        <v>9049</v>
      </c>
      <c r="G616" t="s">
        <v>74</v>
      </c>
      <c r="H616" t="s">
        <v>74</v>
      </c>
      <c r="I616" t="s">
        <v>9050</v>
      </c>
      <c r="J616" t="s">
        <v>637</v>
      </c>
      <c r="K616" t="s">
        <v>74</v>
      </c>
      <c r="L616" t="s">
        <v>74</v>
      </c>
      <c r="M616" t="s">
        <v>78</v>
      </c>
      <c r="N616" t="s">
        <v>79</v>
      </c>
      <c r="O616" t="s">
        <v>74</v>
      </c>
      <c r="P616" t="s">
        <v>74</v>
      </c>
      <c r="Q616" t="s">
        <v>74</v>
      </c>
      <c r="R616" t="s">
        <v>74</v>
      </c>
      <c r="S616" t="s">
        <v>74</v>
      </c>
      <c r="T616" t="s">
        <v>74</v>
      </c>
      <c r="U616" t="s">
        <v>9051</v>
      </c>
      <c r="V616" t="s">
        <v>74</v>
      </c>
      <c r="W616" t="s">
        <v>9052</v>
      </c>
      <c r="X616" t="s">
        <v>9053</v>
      </c>
      <c r="Y616" t="s">
        <v>8323</v>
      </c>
      <c r="Z616" t="s">
        <v>8324</v>
      </c>
      <c r="AA616" t="s">
        <v>9054</v>
      </c>
      <c r="AB616" t="s">
        <v>9055</v>
      </c>
      <c r="AC616" t="s">
        <v>74</v>
      </c>
      <c r="AD616" t="s">
        <v>74</v>
      </c>
      <c r="AE616" t="s">
        <v>74</v>
      </c>
      <c r="AF616" t="s">
        <v>74</v>
      </c>
      <c r="AG616">
        <v>63</v>
      </c>
      <c r="AH616">
        <v>46</v>
      </c>
      <c r="AI616">
        <v>51</v>
      </c>
      <c r="AJ616">
        <v>0</v>
      </c>
      <c r="AK616">
        <v>3</v>
      </c>
      <c r="AL616" t="s">
        <v>649</v>
      </c>
      <c r="AM616" t="s">
        <v>486</v>
      </c>
      <c r="AN616" t="s">
        <v>650</v>
      </c>
      <c r="AO616" t="s">
        <v>651</v>
      </c>
      <c r="AP616" t="s">
        <v>652</v>
      </c>
      <c r="AQ616" t="s">
        <v>74</v>
      </c>
      <c r="AR616" t="s">
        <v>653</v>
      </c>
      <c r="AS616" t="s">
        <v>654</v>
      </c>
      <c r="AT616" t="s">
        <v>1017</v>
      </c>
      <c r="AU616">
        <v>2018</v>
      </c>
      <c r="AV616">
        <v>197</v>
      </c>
      <c r="AW616">
        <v>7</v>
      </c>
      <c r="AX616" t="s">
        <v>74</v>
      </c>
      <c r="AY616" t="s">
        <v>74</v>
      </c>
      <c r="AZ616" t="s">
        <v>74</v>
      </c>
      <c r="BA616" t="s">
        <v>74</v>
      </c>
      <c r="BB616">
        <v>860</v>
      </c>
      <c r="BC616">
        <v>868</v>
      </c>
      <c r="BD616" t="s">
        <v>74</v>
      </c>
      <c r="BE616" t="s">
        <v>9056</v>
      </c>
      <c r="BF616" t="str">
        <f>HYPERLINK("http://dx.doi.org/10.1164/rccm.201709-1840PP","http://dx.doi.org/10.1164/rccm.201709-1840PP")</f>
        <v>http://dx.doi.org/10.1164/rccm.201709-1840PP</v>
      </c>
      <c r="BG616" t="s">
        <v>74</v>
      </c>
      <c r="BH616" t="s">
        <v>74</v>
      </c>
      <c r="BI616">
        <v>9</v>
      </c>
      <c r="BJ616" t="s">
        <v>341</v>
      </c>
      <c r="BK616" t="s">
        <v>101</v>
      </c>
      <c r="BL616" t="s">
        <v>342</v>
      </c>
      <c r="BM616" t="s">
        <v>9057</v>
      </c>
      <c r="BN616">
        <v>29256625</v>
      </c>
      <c r="BO616" t="s">
        <v>161</v>
      </c>
      <c r="BP616" t="s">
        <v>74</v>
      </c>
      <c r="BQ616" t="s">
        <v>74</v>
      </c>
      <c r="BR616" t="s">
        <v>104</v>
      </c>
      <c r="BS616" t="s">
        <v>9058</v>
      </c>
      <c r="BT616" t="str">
        <f>HYPERLINK("https%3A%2F%2Fwww.webofscience.com%2Fwos%2Fwoscc%2Ffull-record%2FWOS:000429242000012","View Full Record in Web of Science")</f>
        <v>View Full Record in Web of Science</v>
      </c>
    </row>
    <row r="617" spans="1:72" x14ac:dyDescent="0.25">
      <c r="A617" t="s">
        <v>72</v>
      </c>
      <c r="B617" t="s">
        <v>8778</v>
      </c>
      <c r="C617" t="s">
        <v>74</v>
      </c>
      <c r="D617" t="s">
        <v>74</v>
      </c>
      <c r="E617" t="s">
        <v>74</v>
      </c>
      <c r="F617" t="s">
        <v>8779</v>
      </c>
      <c r="G617" t="s">
        <v>74</v>
      </c>
      <c r="H617" t="s">
        <v>74</v>
      </c>
      <c r="I617" t="s">
        <v>9059</v>
      </c>
      <c r="J617" t="s">
        <v>637</v>
      </c>
      <c r="K617" t="s">
        <v>74</v>
      </c>
      <c r="L617" t="s">
        <v>74</v>
      </c>
      <c r="M617" t="s">
        <v>78</v>
      </c>
      <c r="N617" t="s">
        <v>140</v>
      </c>
      <c r="O617" t="s">
        <v>74</v>
      </c>
      <c r="P617" t="s">
        <v>74</v>
      </c>
      <c r="Q617" t="s">
        <v>74</v>
      </c>
      <c r="R617" t="s">
        <v>74</v>
      </c>
      <c r="S617" t="s">
        <v>74</v>
      </c>
      <c r="T617" t="s">
        <v>74</v>
      </c>
      <c r="U617" t="s">
        <v>74</v>
      </c>
      <c r="V617" t="s">
        <v>74</v>
      </c>
      <c r="W617" t="s">
        <v>9060</v>
      </c>
      <c r="X617" t="s">
        <v>9061</v>
      </c>
      <c r="Y617" t="s">
        <v>9062</v>
      </c>
      <c r="Z617" t="s">
        <v>74</v>
      </c>
      <c r="AA617" t="s">
        <v>7706</v>
      </c>
      <c r="AB617" t="s">
        <v>257</v>
      </c>
      <c r="AC617" t="s">
        <v>74</v>
      </c>
      <c r="AD617" t="s">
        <v>74</v>
      </c>
      <c r="AE617" t="s">
        <v>74</v>
      </c>
      <c r="AF617" t="s">
        <v>74</v>
      </c>
      <c r="AG617">
        <v>11</v>
      </c>
      <c r="AH617">
        <v>6</v>
      </c>
      <c r="AI617">
        <v>6</v>
      </c>
      <c r="AJ617">
        <v>0</v>
      </c>
      <c r="AK617">
        <v>1</v>
      </c>
      <c r="AL617" t="s">
        <v>649</v>
      </c>
      <c r="AM617" t="s">
        <v>486</v>
      </c>
      <c r="AN617" t="s">
        <v>650</v>
      </c>
      <c r="AO617" t="s">
        <v>651</v>
      </c>
      <c r="AP617" t="s">
        <v>652</v>
      </c>
      <c r="AQ617" t="s">
        <v>74</v>
      </c>
      <c r="AR617" t="s">
        <v>653</v>
      </c>
      <c r="AS617" t="s">
        <v>654</v>
      </c>
      <c r="AT617" t="s">
        <v>5048</v>
      </c>
      <c r="AU617">
        <v>2018</v>
      </c>
      <c r="AV617">
        <v>197</v>
      </c>
      <c r="AW617">
        <v>6</v>
      </c>
      <c r="AX617" t="s">
        <v>74</v>
      </c>
      <c r="AY617" t="s">
        <v>74</v>
      </c>
      <c r="AZ617" t="s">
        <v>74</v>
      </c>
      <c r="BA617" t="s">
        <v>74</v>
      </c>
      <c r="BB617">
        <v>704</v>
      </c>
      <c r="BC617">
        <v>706</v>
      </c>
      <c r="BD617" t="s">
        <v>74</v>
      </c>
      <c r="BE617" t="s">
        <v>9063</v>
      </c>
      <c r="BF617" t="str">
        <f>HYPERLINK("http://dx.doi.org/10.1164/rccm.201709-1962ED","http://dx.doi.org/10.1164/rccm.201709-1962ED")</f>
        <v>http://dx.doi.org/10.1164/rccm.201709-1962ED</v>
      </c>
      <c r="BG617" t="s">
        <v>74</v>
      </c>
      <c r="BH617" t="s">
        <v>74</v>
      </c>
      <c r="BI617">
        <v>4</v>
      </c>
      <c r="BJ617" t="s">
        <v>341</v>
      </c>
      <c r="BK617" t="s">
        <v>101</v>
      </c>
      <c r="BL617" t="s">
        <v>342</v>
      </c>
      <c r="BM617" t="s">
        <v>9064</v>
      </c>
      <c r="BN617">
        <v>29043836</v>
      </c>
      <c r="BO617" t="s">
        <v>74</v>
      </c>
      <c r="BP617" t="s">
        <v>74</v>
      </c>
      <c r="BQ617" t="s">
        <v>74</v>
      </c>
      <c r="BR617" t="s">
        <v>104</v>
      </c>
      <c r="BS617" t="s">
        <v>9065</v>
      </c>
      <c r="BT617" t="str">
        <f>HYPERLINK("https%3A%2F%2Fwww.webofscience.com%2Fwos%2Fwoscc%2Ffull-record%2FWOS:000427600800007","View Full Record in Web of Science")</f>
        <v>View Full Record in Web of Science</v>
      </c>
    </row>
    <row r="618" spans="1:72" x14ac:dyDescent="0.25">
      <c r="A618" t="s">
        <v>72</v>
      </c>
      <c r="B618" t="s">
        <v>8515</v>
      </c>
      <c r="C618" t="s">
        <v>74</v>
      </c>
      <c r="D618" t="s">
        <v>74</v>
      </c>
      <c r="E618" t="s">
        <v>74</v>
      </c>
      <c r="F618" t="s">
        <v>8516</v>
      </c>
      <c r="G618" t="s">
        <v>74</v>
      </c>
      <c r="H618" t="s">
        <v>74</v>
      </c>
      <c r="I618" t="s">
        <v>9066</v>
      </c>
      <c r="J618" t="s">
        <v>9067</v>
      </c>
      <c r="K618" t="s">
        <v>74</v>
      </c>
      <c r="L618" t="s">
        <v>74</v>
      </c>
      <c r="M618" t="s">
        <v>78</v>
      </c>
      <c r="N618" t="s">
        <v>52</v>
      </c>
      <c r="O618" t="s">
        <v>9068</v>
      </c>
      <c r="P618" t="s">
        <v>9069</v>
      </c>
      <c r="Q618" t="s">
        <v>7703</v>
      </c>
      <c r="R618" t="s">
        <v>9070</v>
      </c>
      <c r="S618" t="s">
        <v>74</v>
      </c>
      <c r="T618" t="s">
        <v>74</v>
      </c>
      <c r="U618" t="s">
        <v>74</v>
      </c>
      <c r="V618" t="s">
        <v>74</v>
      </c>
      <c r="W618" t="s">
        <v>9071</v>
      </c>
      <c r="X618" t="s">
        <v>777</v>
      </c>
      <c r="Y618" t="s">
        <v>74</v>
      </c>
      <c r="Z618" t="s">
        <v>74</v>
      </c>
      <c r="AA618" t="s">
        <v>9072</v>
      </c>
      <c r="AB618" t="s">
        <v>74</v>
      </c>
      <c r="AC618" t="s">
        <v>74</v>
      </c>
      <c r="AD618" t="s">
        <v>74</v>
      </c>
      <c r="AE618" t="s">
        <v>74</v>
      </c>
      <c r="AF618" t="s">
        <v>74</v>
      </c>
      <c r="AG618">
        <v>0</v>
      </c>
      <c r="AH618">
        <v>0</v>
      </c>
      <c r="AI618">
        <v>0</v>
      </c>
      <c r="AJ618">
        <v>0</v>
      </c>
      <c r="AK618">
        <v>0</v>
      </c>
      <c r="AL618" t="s">
        <v>991</v>
      </c>
      <c r="AM618" t="s">
        <v>486</v>
      </c>
      <c r="AN618" t="s">
        <v>8530</v>
      </c>
      <c r="AO618" t="s">
        <v>9073</v>
      </c>
      <c r="AP618" t="s">
        <v>9074</v>
      </c>
      <c r="AQ618" t="s">
        <v>74</v>
      </c>
      <c r="AR618" t="s">
        <v>9075</v>
      </c>
      <c r="AS618" t="s">
        <v>9076</v>
      </c>
      <c r="AT618" t="s">
        <v>9077</v>
      </c>
      <c r="AU618">
        <v>2018</v>
      </c>
      <c r="AV618">
        <v>71</v>
      </c>
      <c r="AW618">
        <v>11</v>
      </c>
      <c r="AX618" t="s">
        <v>74</v>
      </c>
      <c r="AY618" t="s">
        <v>998</v>
      </c>
      <c r="AZ618" t="s">
        <v>74</v>
      </c>
      <c r="BA618" t="s">
        <v>9078</v>
      </c>
      <c r="BB618">
        <v>1958</v>
      </c>
      <c r="BC618">
        <v>1958</v>
      </c>
      <c r="BD618" t="s">
        <v>74</v>
      </c>
      <c r="BE618" t="s">
        <v>9079</v>
      </c>
      <c r="BF618" t="str">
        <f>HYPERLINK("http://dx.doi.org/10.1016/S0735-1097(18)32499-9","http://dx.doi.org/10.1016/S0735-1097(18)32499-9")</f>
        <v>http://dx.doi.org/10.1016/S0735-1097(18)32499-9</v>
      </c>
      <c r="BG618" t="s">
        <v>74</v>
      </c>
      <c r="BH618" t="s">
        <v>74</v>
      </c>
      <c r="BI618">
        <v>1</v>
      </c>
      <c r="BJ618" t="s">
        <v>132</v>
      </c>
      <c r="BK618" t="s">
        <v>512</v>
      </c>
      <c r="BL618" t="s">
        <v>133</v>
      </c>
      <c r="BM618" t="s">
        <v>9080</v>
      </c>
      <c r="BN618" t="s">
        <v>74</v>
      </c>
      <c r="BO618" t="s">
        <v>74</v>
      </c>
      <c r="BP618" t="s">
        <v>74</v>
      </c>
      <c r="BQ618" t="s">
        <v>74</v>
      </c>
      <c r="BR618" t="s">
        <v>104</v>
      </c>
      <c r="BS618" t="s">
        <v>9081</v>
      </c>
      <c r="BT618" t="str">
        <f>HYPERLINK("https%3A%2F%2Fwww.webofscience.com%2Fwos%2Fwoscc%2Ffull-record%2FWOS:000429659704008","View Full Record in Web of Science")</f>
        <v>View Full Record in Web of Science</v>
      </c>
    </row>
    <row r="619" spans="1:72" x14ac:dyDescent="0.25">
      <c r="A619" t="s">
        <v>72</v>
      </c>
      <c r="B619" t="s">
        <v>9082</v>
      </c>
      <c r="C619" t="s">
        <v>74</v>
      </c>
      <c r="D619" t="s">
        <v>74</v>
      </c>
      <c r="E619" t="s">
        <v>74</v>
      </c>
      <c r="F619" t="s">
        <v>9083</v>
      </c>
      <c r="G619" t="s">
        <v>74</v>
      </c>
      <c r="H619" t="s">
        <v>74</v>
      </c>
      <c r="I619" t="s">
        <v>9084</v>
      </c>
      <c r="J619" t="s">
        <v>216</v>
      </c>
      <c r="K619" t="s">
        <v>74</v>
      </c>
      <c r="L619" t="s">
        <v>74</v>
      </c>
      <c r="M619" t="s">
        <v>78</v>
      </c>
      <c r="N619" t="s">
        <v>140</v>
      </c>
      <c r="O619" t="s">
        <v>74</v>
      </c>
      <c r="P619" t="s">
        <v>74</v>
      </c>
      <c r="Q619" t="s">
        <v>74</v>
      </c>
      <c r="R619" t="s">
        <v>74</v>
      </c>
      <c r="S619" t="s">
        <v>74</v>
      </c>
      <c r="T619" t="s">
        <v>74</v>
      </c>
      <c r="U619" t="s">
        <v>74</v>
      </c>
      <c r="V619" t="s">
        <v>74</v>
      </c>
      <c r="W619" t="s">
        <v>9085</v>
      </c>
      <c r="X619" t="s">
        <v>9086</v>
      </c>
      <c r="Y619" t="s">
        <v>9087</v>
      </c>
      <c r="Z619" t="s">
        <v>6688</v>
      </c>
      <c r="AA619" t="s">
        <v>3301</v>
      </c>
      <c r="AB619" t="s">
        <v>9088</v>
      </c>
      <c r="AC619" t="s">
        <v>8312</v>
      </c>
      <c r="AD619" t="s">
        <v>8312</v>
      </c>
      <c r="AE619" t="s">
        <v>9089</v>
      </c>
      <c r="AF619" t="s">
        <v>74</v>
      </c>
      <c r="AG619">
        <v>5</v>
      </c>
      <c r="AH619">
        <v>21</v>
      </c>
      <c r="AI619">
        <v>21</v>
      </c>
      <c r="AJ619">
        <v>0</v>
      </c>
      <c r="AK619">
        <v>0</v>
      </c>
      <c r="AL619" t="s">
        <v>219</v>
      </c>
      <c r="AM619" t="s">
        <v>220</v>
      </c>
      <c r="AN619" t="s">
        <v>221</v>
      </c>
      <c r="AO619" t="s">
        <v>222</v>
      </c>
      <c r="AP619" t="s">
        <v>223</v>
      </c>
      <c r="AQ619" t="s">
        <v>74</v>
      </c>
      <c r="AR619" t="s">
        <v>224</v>
      </c>
      <c r="AS619" t="s">
        <v>225</v>
      </c>
      <c r="AT619" t="s">
        <v>1097</v>
      </c>
      <c r="AU619">
        <v>2018</v>
      </c>
      <c r="AV619">
        <v>51</v>
      </c>
      <c r="AW619">
        <v>3</v>
      </c>
      <c r="AX619" t="s">
        <v>74</v>
      </c>
      <c r="AY619" t="s">
        <v>74</v>
      </c>
      <c r="AZ619" t="s">
        <v>74</v>
      </c>
      <c r="BA619" t="s">
        <v>74</v>
      </c>
      <c r="BB619" t="s">
        <v>74</v>
      </c>
      <c r="BC619" t="s">
        <v>74</v>
      </c>
      <c r="BD619">
        <v>1800279</v>
      </c>
      <c r="BE619" t="s">
        <v>9090</v>
      </c>
      <c r="BF619" t="str">
        <f>HYPERLINK("http://dx.doi.org/10.1183/13993003.00279-2018","http://dx.doi.org/10.1183/13993003.00279-2018")</f>
        <v>http://dx.doi.org/10.1183/13993003.00279-2018</v>
      </c>
      <c r="BG619" t="s">
        <v>74</v>
      </c>
      <c r="BH619" t="s">
        <v>74</v>
      </c>
      <c r="BI619">
        <v>2</v>
      </c>
      <c r="BJ619" t="s">
        <v>228</v>
      </c>
      <c r="BK619" t="s">
        <v>101</v>
      </c>
      <c r="BL619" t="s">
        <v>228</v>
      </c>
      <c r="BM619" t="s">
        <v>9091</v>
      </c>
      <c r="BN619">
        <v>29599118</v>
      </c>
      <c r="BO619" t="s">
        <v>1194</v>
      </c>
      <c r="BP619" t="s">
        <v>74</v>
      </c>
      <c r="BQ619" t="s">
        <v>74</v>
      </c>
      <c r="BR619" t="s">
        <v>104</v>
      </c>
      <c r="BS619" t="s">
        <v>9092</v>
      </c>
      <c r="BT619" t="str">
        <f>HYPERLINK("https%3A%2F%2Fwww.webofscience.com%2Fwos%2Fwoscc%2Ffull-record%2FWOS:000429430000031","View Full Record in Web of Science")</f>
        <v>View Full Record in Web of Science</v>
      </c>
    </row>
    <row r="620" spans="1:72" x14ac:dyDescent="0.25">
      <c r="A620" t="s">
        <v>72</v>
      </c>
      <c r="B620" t="s">
        <v>9093</v>
      </c>
      <c r="C620" t="s">
        <v>74</v>
      </c>
      <c r="D620" t="s">
        <v>74</v>
      </c>
      <c r="E620" t="s">
        <v>74</v>
      </c>
      <c r="F620" t="s">
        <v>9094</v>
      </c>
      <c r="G620" t="s">
        <v>74</v>
      </c>
      <c r="H620" t="s">
        <v>74</v>
      </c>
      <c r="I620" t="s">
        <v>9095</v>
      </c>
      <c r="J620" t="s">
        <v>251</v>
      </c>
      <c r="K620" t="s">
        <v>74</v>
      </c>
      <c r="L620" t="s">
        <v>74</v>
      </c>
      <c r="M620" t="s">
        <v>78</v>
      </c>
      <c r="N620" t="s">
        <v>79</v>
      </c>
      <c r="O620" t="s">
        <v>74</v>
      </c>
      <c r="P620" t="s">
        <v>74</v>
      </c>
      <c r="Q620" t="s">
        <v>74</v>
      </c>
      <c r="R620" t="s">
        <v>74</v>
      </c>
      <c r="S620" t="s">
        <v>74</v>
      </c>
      <c r="T620" t="s">
        <v>9096</v>
      </c>
      <c r="U620" t="s">
        <v>9097</v>
      </c>
      <c r="V620" t="s">
        <v>9098</v>
      </c>
      <c r="W620" t="s">
        <v>9099</v>
      </c>
      <c r="X620" t="s">
        <v>9100</v>
      </c>
      <c r="Y620" t="s">
        <v>9101</v>
      </c>
      <c r="Z620" t="s">
        <v>9102</v>
      </c>
      <c r="AA620" t="s">
        <v>9103</v>
      </c>
      <c r="AB620" t="s">
        <v>9104</v>
      </c>
      <c r="AC620" t="s">
        <v>9105</v>
      </c>
      <c r="AD620" t="s">
        <v>9106</v>
      </c>
      <c r="AE620" t="s">
        <v>9107</v>
      </c>
      <c r="AF620" t="s">
        <v>74</v>
      </c>
      <c r="AG620">
        <v>48</v>
      </c>
      <c r="AH620">
        <v>84</v>
      </c>
      <c r="AI620">
        <v>86</v>
      </c>
      <c r="AJ620">
        <v>1</v>
      </c>
      <c r="AK620">
        <v>26</v>
      </c>
      <c r="AL620" t="s">
        <v>122</v>
      </c>
      <c r="AM620" t="s">
        <v>123</v>
      </c>
      <c r="AN620" t="s">
        <v>124</v>
      </c>
      <c r="AO620" t="s">
        <v>258</v>
      </c>
      <c r="AP620" t="s">
        <v>259</v>
      </c>
      <c r="AQ620" t="s">
        <v>74</v>
      </c>
      <c r="AR620" t="s">
        <v>251</v>
      </c>
      <c r="AS620" t="s">
        <v>260</v>
      </c>
      <c r="AT620" t="s">
        <v>9108</v>
      </c>
      <c r="AU620">
        <v>2018</v>
      </c>
      <c r="AV620">
        <v>137</v>
      </c>
      <c r="AW620">
        <v>9</v>
      </c>
      <c r="AX620" t="s">
        <v>74</v>
      </c>
      <c r="AY620" t="s">
        <v>74</v>
      </c>
      <c r="AZ620" t="s">
        <v>74</v>
      </c>
      <c r="BA620" t="s">
        <v>74</v>
      </c>
      <c r="BB620">
        <v>910</v>
      </c>
      <c r="BC620">
        <v>924</v>
      </c>
      <c r="BD620" t="s">
        <v>74</v>
      </c>
      <c r="BE620" t="s">
        <v>9109</v>
      </c>
      <c r="BF620" t="str">
        <f>HYPERLINK("http://dx.doi.org/10.1161/CIRCULATIONAHA.117.027451","http://dx.doi.org/10.1161/CIRCULATIONAHA.117.027451")</f>
        <v>http://dx.doi.org/10.1161/CIRCULATIONAHA.117.027451</v>
      </c>
      <c r="BG620" t="s">
        <v>74</v>
      </c>
      <c r="BH620" t="s">
        <v>74</v>
      </c>
      <c r="BI620">
        <v>15</v>
      </c>
      <c r="BJ620" t="s">
        <v>263</v>
      </c>
      <c r="BK620" t="s">
        <v>101</v>
      </c>
      <c r="BL620" t="s">
        <v>133</v>
      </c>
      <c r="BM620" t="s">
        <v>9110</v>
      </c>
      <c r="BN620">
        <v>29167228</v>
      </c>
      <c r="BO620" t="s">
        <v>74</v>
      </c>
      <c r="BP620" t="s">
        <v>74</v>
      </c>
      <c r="BQ620" t="s">
        <v>74</v>
      </c>
      <c r="BR620" t="s">
        <v>104</v>
      </c>
      <c r="BS620" t="s">
        <v>9111</v>
      </c>
      <c r="BT620" t="str">
        <f>HYPERLINK("https%3A%2F%2Fwww.webofscience.com%2Fwos%2Fwoscc%2Ffull-record%2FWOS:000426206800006","View Full Record in Web of Science")</f>
        <v>View Full Record in Web of Science</v>
      </c>
    </row>
    <row r="621" spans="1:72" x14ac:dyDescent="0.25">
      <c r="A621" t="s">
        <v>72</v>
      </c>
      <c r="B621" t="s">
        <v>9112</v>
      </c>
      <c r="C621" t="s">
        <v>74</v>
      </c>
      <c r="D621" t="s">
        <v>74</v>
      </c>
      <c r="E621" t="s">
        <v>74</v>
      </c>
      <c r="F621" t="s">
        <v>9113</v>
      </c>
      <c r="G621" t="s">
        <v>74</v>
      </c>
      <c r="H621" t="s">
        <v>74</v>
      </c>
      <c r="I621" t="s">
        <v>9114</v>
      </c>
      <c r="J621" t="s">
        <v>251</v>
      </c>
      <c r="K621" t="s">
        <v>74</v>
      </c>
      <c r="L621" t="s">
        <v>74</v>
      </c>
      <c r="M621" t="s">
        <v>78</v>
      </c>
      <c r="N621" t="s">
        <v>79</v>
      </c>
      <c r="O621" t="s">
        <v>74</v>
      </c>
      <c r="P621" t="s">
        <v>74</v>
      </c>
      <c r="Q621" t="s">
        <v>74</v>
      </c>
      <c r="R621" t="s">
        <v>74</v>
      </c>
      <c r="S621" t="s">
        <v>74</v>
      </c>
      <c r="T621" t="s">
        <v>9115</v>
      </c>
      <c r="U621" t="s">
        <v>9116</v>
      </c>
      <c r="V621" t="s">
        <v>9117</v>
      </c>
      <c r="W621" t="s">
        <v>9118</v>
      </c>
      <c r="X621" t="s">
        <v>9119</v>
      </c>
      <c r="Y621" t="s">
        <v>9120</v>
      </c>
      <c r="Z621" t="s">
        <v>9121</v>
      </c>
      <c r="AA621" t="s">
        <v>9122</v>
      </c>
      <c r="AB621" t="s">
        <v>9123</v>
      </c>
      <c r="AC621" t="s">
        <v>9124</v>
      </c>
      <c r="AD621" t="s">
        <v>9125</v>
      </c>
      <c r="AE621" t="s">
        <v>9126</v>
      </c>
      <c r="AF621" t="s">
        <v>74</v>
      </c>
      <c r="AG621">
        <v>35</v>
      </c>
      <c r="AH621">
        <v>157</v>
      </c>
      <c r="AI621">
        <v>163</v>
      </c>
      <c r="AJ621">
        <v>0</v>
      </c>
      <c r="AK621">
        <v>9</v>
      </c>
      <c r="AL621" t="s">
        <v>122</v>
      </c>
      <c r="AM621" t="s">
        <v>123</v>
      </c>
      <c r="AN621" t="s">
        <v>124</v>
      </c>
      <c r="AO621" t="s">
        <v>258</v>
      </c>
      <c r="AP621" t="s">
        <v>259</v>
      </c>
      <c r="AQ621" t="s">
        <v>74</v>
      </c>
      <c r="AR621" t="s">
        <v>251</v>
      </c>
      <c r="AS621" t="s">
        <v>260</v>
      </c>
      <c r="AT621" t="s">
        <v>9127</v>
      </c>
      <c r="AU621">
        <v>2018</v>
      </c>
      <c r="AV621">
        <v>137</v>
      </c>
      <c r="AW621">
        <v>7</v>
      </c>
      <c r="AX621" t="s">
        <v>74</v>
      </c>
      <c r="AY621" t="s">
        <v>74</v>
      </c>
      <c r="AZ621" t="s">
        <v>74</v>
      </c>
      <c r="BA621" t="s">
        <v>74</v>
      </c>
      <c r="BB621">
        <v>693</v>
      </c>
      <c r="BC621">
        <v>704</v>
      </c>
      <c r="BD621" t="s">
        <v>74</v>
      </c>
      <c r="BE621" t="s">
        <v>9128</v>
      </c>
      <c r="BF621" t="str">
        <f>HYPERLINK("http://dx.doi.org/10.1161/CIRCULATIONAHA.117.029254","http://dx.doi.org/10.1161/CIRCULATIONAHA.117.029254")</f>
        <v>http://dx.doi.org/10.1161/CIRCULATIONAHA.117.029254</v>
      </c>
      <c r="BG621" t="s">
        <v>74</v>
      </c>
      <c r="BH621" t="s">
        <v>74</v>
      </c>
      <c r="BI621">
        <v>12</v>
      </c>
      <c r="BJ621" t="s">
        <v>263</v>
      </c>
      <c r="BK621" t="s">
        <v>101</v>
      </c>
      <c r="BL621" t="s">
        <v>133</v>
      </c>
      <c r="BM621" t="s">
        <v>9129</v>
      </c>
      <c r="BN621">
        <v>29070502</v>
      </c>
      <c r="BO621" t="s">
        <v>1194</v>
      </c>
      <c r="BP621" t="s">
        <v>74</v>
      </c>
      <c r="BQ621" t="s">
        <v>74</v>
      </c>
      <c r="BR621" t="s">
        <v>104</v>
      </c>
      <c r="BS621" t="s">
        <v>9130</v>
      </c>
      <c r="BT621" t="str">
        <f>HYPERLINK("https%3A%2F%2Fwww.webofscience.com%2Fwos%2Fwoscc%2Ffull-record%2FWOS:000424954800009","View Full Record in Web of Science")</f>
        <v>View Full Record in Web of Science</v>
      </c>
    </row>
    <row r="622" spans="1:72" x14ac:dyDescent="0.25">
      <c r="A622" t="s">
        <v>72</v>
      </c>
      <c r="B622" t="s">
        <v>9131</v>
      </c>
      <c r="C622" t="s">
        <v>74</v>
      </c>
      <c r="D622" t="s">
        <v>74</v>
      </c>
      <c r="E622" t="s">
        <v>74</v>
      </c>
      <c r="F622" t="s">
        <v>9132</v>
      </c>
      <c r="G622" t="s">
        <v>74</v>
      </c>
      <c r="H622" t="s">
        <v>74</v>
      </c>
      <c r="I622" t="s">
        <v>9133</v>
      </c>
      <c r="J622" t="s">
        <v>1348</v>
      </c>
      <c r="K622" t="s">
        <v>74</v>
      </c>
      <c r="L622" t="s">
        <v>74</v>
      </c>
      <c r="M622" t="s">
        <v>1349</v>
      </c>
      <c r="N622" t="s">
        <v>299</v>
      </c>
      <c r="O622" t="s">
        <v>74</v>
      </c>
      <c r="P622" t="s">
        <v>74</v>
      </c>
      <c r="Q622" t="s">
        <v>74</v>
      </c>
      <c r="R622" t="s">
        <v>74</v>
      </c>
      <c r="S622" t="s">
        <v>74</v>
      </c>
      <c r="T622" t="s">
        <v>9134</v>
      </c>
      <c r="U622" t="s">
        <v>9135</v>
      </c>
      <c r="V622" t="s">
        <v>9136</v>
      </c>
      <c r="W622" t="s">
        <v>9137</v>
      </c>
      <c r="X622" t="s">
        <v>9138</v>
      </c>
      <c r="Y622" t="s">
        <v>9139</v>
      </c>
      <c r="Z622" t="s">
        <v>331</v>
      </c>
      <c r="AA622" t="s">
        <v>9140</v>
      </c>
      <c r="AB622" t="s">
        <v>9141</v>
      </c>
      <c r="AC622" t="s">
        <v>74</v>
      </c>
      <c r="AD622" t="s">
        <v>74</v>
      </c>
      <c r="AE622" t="s">
        <v>74</v>
      </c>
      <c r="AF622" t="s">
        <v>74</v>
      </c>
      <c r="AG622">
        <v>55</v>
      </c>
      <c r="AH622">
        <v>7</v>
      </c>
      <c r="AI622">
        <v>10</v>
      </c>
      <c r="AJ622">
        <v>0</v>
      </c>
      <c r="AK622">
        <v>4</v>
      </c>
      <c r="AL622" t="s">
        <v>1358</v>
      </c>
      <c r="AM622" t="s">
        <v>1359</v>
      </c>
      <c r="AN622" t="s">
        <v>1360</v>
      </c>
      <c r="AO622" t="s">
        <v>1361</v>
      </c>
      <c r="AP622" t="s">
        <v>1362</v>
      </c>
      <c r="AQ622" t="s">
        <v>74</v>
      </c>
      <c r="AR622" t="s">
        <v>1363</v>
      </c>
      <c r="AS622" t="s">
        <v>1364</v>
      </c>
      <c r="AT622" t="s">
        <v>129</v>
      </c>
      <c r="AU622">
        <v>2018</v>
      </c>
      <c r="AV622">
        <v>35</v>
      </c>
      <c r="AW622">
        <v>2</v>
      </c>
      <c r="AX622" t="s">
        <v>74</v>
      </c>
      <c r="AY622" t="s">
        <v>74</v>
      </c>
      <c r="AZ622" t="s">
        <v>74</v>
      </c>
      <c r="BA622" t="s">
        <v>74</v>
      </c>
      <c r="BB622">
        <v>160</v>
      </c>
      <c r="BC622">
        <v>170</v>
      </c>
      <c r="BD622" t="s">
        <v>74</v>
      </c>
      <c r="BE622" t="s">
        <v>9142</v>
      </c>
      <c r="BF622" t="str">
        <f>HYPERLINK("http://dx.doi.org/10.1016/j.rmr.2017.11.005","http://dx.doi.org/10.1016/j.rmr.2017.11.005")</f>
        <v>http://dx.doi.org/10.1016/j.rmr.2017.11.005</v>
      </c>
      <c r="BG622" t="s">
        <v>74</v>
      </c>
      <c r="BH622" t="s">
        <v>74</v>
      </c>
      <c r="BI622">
        <v>11</v>
      </c>
      <c r="BJ622" t="s">
        <v>228</v>
      </c>
      <c r="BK622" t="s">
        <v>101</v>
      </c>
      <c r="BL622" t="s">
        <v>228</v>
      </c>
      <c r="BM622" t="s">
        <v>9143</v>
      </c>
      <c r="BN622">
        <v>29501213</v>
      </c>
      <c r="BO622" t="s">
        <v>74</v>
      </c>
      <c r="BP622" t="s">
        <v>74</v>
      </c>
      <c r="BQ622" t="s">
        <v>74</v>
      </c>
      <c r="BR622" t="s">
        <v>104</v>
      </c>
      <c r="BS622" t="s">
        <v>9144</v>
      </c>
      <c r="BT622" t="str">
        <f>HYPERLINK("https%3A%2F%2Fwww.webofscience.com%2Fwos%2Fwoscc%2Ffull-record%2FWOS:000427526800006","View Full Record in Web of Science")</f>
        <v>View Full Record in Web of Science</v>
      </c>
    </row>
    <row r="623" spans="1:72" x14ac:dyDescent="0.25">
      <c r="A623" t="s">
        <v>72</v>
      </c>
      <c r="B623" t="s">
        <v>9145</v>
      </c>
      <c r="C623" t="s">
        <v>74</v>
      </c>
      <c r="D623" t="s">
        <v>74</v>
      </c>
      <c r="E623" t="s">
        <v>74</v>
      </c>
      <c r="F623" t="s">
        <v>9146</v>
      </c>
      <c r="G623" t="s">
        <v>74</v>
      </c>
      <c r="H623" t="s">
        <v>74</v>
      </c>
      <c r="I623" t="s">
        <v>9147</v>
      </c>
      <c r="J623" t="s">
        <v>1135</v>
      </c>
      <c r="K623" t="s">
        <v>74</v>
      </c>
      <c r="L623" t="s">
        <v>74</v>
      </c>
      <c r="M623" t="s">
        <v>78</v>
      </c>
      <c r="N623" t="s">
        <v>299</v>
      </c>
      <c r="O623" t="s">
        <v>74</v>
      </c>
      <c r="P623" t="s">
        <v>74</v>
      </c>
      <c r="Q623" t="s">
        <v>74</v>
      </c>
      <c r="R623" t="s">
        <v>74</v>
      </c>
      <c r="S623" t="s">
        <v>74</v>
      </c>
      <c r="T623" t="s">
        <v>74</v>
      </c>
      <c r="U623" t="s">
        <v>9148</v>
      </c>
      <c r="V623" t="s">
        <v>74</v>
      </c>
      <c r="W623" t="s">
        <v>9149</v>
      </c>
      <c r="X623" t="s">
        <v>9150</v>
      </c>
      <c r="Y623" t="s">
        <v>9151</v>
      </c>
      <c r="Z623" t="s">
        <v>9152</v>
      </c>
      <c r="AA623" t="s">
        <v>9153</v>
      </c>
      <c r="AB623" t="s">
        <v>9154</v>
      </c>
      <c r="AC623" t="s">
        <v>9155</v>
      </c>
      <c r="AD623" t="s">
        <v>9156</v>
      </c>
      <c r="AE623" t="s">
        <v>74</v>
      </c>
      <c r="AF623" t="s">
        <v>74</v>
      </c>
      <c r="AG623">
        <v>340</v>
      </c>
      <c r="AH623">
        <v>759</v>
      </c>
      <c r="AI623">
        <v>789</v>
      </c>
      <c r="AJ623">
        <v>5</v>
      </c>
      <c r="AK623">
        <v>158</v>
      </c>
      <c r="AL623" t="s">
        <v>991</v>
      </c>
      <c r="AM623" t="s">
        <v>486</v>
      </c>
      <c r="AN623" t="s">
        <v>992</v>
      </c>
      <c r="AO623" t="s">
        <v>1146</v>
      </c>
      <c r="AP623" t="s">
        <v>1147</v>
      </c>
      <c r="AQ623" t="s">
        <v>74</v>
      </c>
      <c r="AR623" t="s">
        <v>1135</v>
      </c>
      <c r="AS623" t="s">
        <v>1148</v>
      </c>
      <c r="AT623" t="s">
        <v>9157</v>
      </c>
      <c r="AU623">
        <v>2018</v>
      </c>
      <c r="AV623">
        <v>391</v>
      </c>
      <c r="AW623">
        <v>10118</v>
      </c>
      <c r="AX623" t="s">
        <v>74</v>
      </c>
      <c r="AY623" t="s">
        <v>74</v>
      </c>
      <c r="AZ623" t="s">
        <v>74</v>
      </c>
      <c r="BA623" t="s">
        <v>74</v>
      </c>
      <c r="BB623">
        <v>350</v>
      </c>
      <c r="BC623">
        <v>400</v>
      </c>
      <c r="BD623" t="s">
        <v>74</v>
      </c>
      <c r="BE623" t="s">
        <v>9158</v>
      </c>
      <c r="BF623" t="str">
        <f>HYPERLINK("http://dx.doi.org/10.1016/S0140-6736(17)30879-6","http://dx.doi.org/10.1016/S0140-6736(17)30879-6")</f>
        <v>http://dx.doi.org/10.1016/S0140-6736(17)30879-6</v>
      </c>
      <c r="BG623" t="s">
        <v>74</v>
      </c>
      <c r="BH623" t="s">
        <v>74</v>
      </c>
      <c r="BI623">
        <v>51</v>
      </c>
      <c r="BJ623" t="s">
        <v>1152</v>
      </c>
      <c r="BK623" t="s">
        <v>101</v>
      </c>
      <c r="BL623" t="s">
        <v>1153</v>
      </c>
      <c r="BM623" t="s">
        <v>9159</v>
      </c>
      <c r="BN623">
        <v>28911920</v>
      </c>
      <c r="BO623" t="s">
        <v>3117</v>
      </c>
      <c r="BP623" t="s">
        <v>1155</v>
      </c>
      <c r="BQ623" t="s">
        <v>1156</v>
      </c>
      <c r="BR623" t="s">
        <v>104</v>
      </c>
      <c r="BS623" t="s">
        <v>9160</v>
      </c>
      <c r="BT623" t="str">
        <f>HYPERLINK("https%3A%2F%2Fwww.webofscience.com%2Fwos%2Fwoscc%2Ffull-record%2FWOS:000423869500030","View Full Record in Web of Science")</f>
        <v>View Full Record in Web of Science</v>
      </c>
    </row>
    <row r="624" spans="1:72" x14ac:dyDescent="0.25">
      <c r="A624" t="s">
        <v>72</v>
      </c>
      <c r="B624" t="s">
        <v>9161</v>
      </c>
      <c r="C624" t="s">
        <v>74</v>
      </c>
      <c r="D624" t="s">
        <v>74</v>
      </c>
      <c r="E624" t="s">
        <v>74</v>
      </c>
      <c r="F624" t="s">
        <v>9162</v>
      </c>
      <c r="G624" t="s">
        <v>74</v>
      </c>
      <c r="H624" t="s">
        <v>74</v>
      </c>
      <c r="I624" t="s">
        <v>9163</v>
      </c>
      <c r="J624" t="s">
        <v>637</v>
      </c>
      <c r="K624" t="s">
        <v>74</v>
      </c>
      <c r="L624" t="s">
        <v>74</v>
      </c>
      <c r="M624" t="s">
        <v>78</v>
      </c>
      <c r="N624" t="s">
        <v>52</v>
      </c>
      <c r="O624" t="s">
        <v>3358</v>
      </c>
      <c r="P624" t="s">
        <v>9164</v>
      </c>
      <c r="Q624" t="s">
        <v>8167</v>
      </c>
      <c r="R624" t="s">
        <v>9165</v>
      </c>
      <c r="S624" t="s">
        <v>74</v>
      </c>
      <c r="T624" t="s">
        <v>74</v>
      </c>
      <c r="U624" t="s">
        <v>74</v>
      </c>
      <c r="V624" t="s">
        <v>74</v>
      </c>
      <c r="W624" t="s">
        <v>9166</v>
      </c>
      <c r="X624" t="s">
        <v>9167</v>
      </c>
      <c r="Y624" t="s">
        <v>74</v>
      </c>
      <c r="Z624" t="s">
        <v>74</v>
      </c>
      <c r="AA624" t="s">
        <v>9168</v>
      </c>
      <c r="AB624" t="s">
        <v>5709</v>
      </c>
      <c r="AC624" t="s">
        <v>74</v>
      </c>
      <c r="AD624" t="s">
        <v>74</v>
      </c>
      <c r="AE624" t="s">
        <v>74</v>
      </c>
      <c r="AF624" t="s">
        <v>74</v>
      </c>
      <c r="AG624">
        <v>0</v>
      </c>
      <c r="AH624">
        <v>1</v>
      </c>
      <c r="AI624">
        <v>1</v>
      </c>
      <c r="AJ624">
        <v>0</v>
      </c>
      <c r="AK624">
        <v>0</v>
      </c>
      <c r="AL624" t="s">
        <v>649</v>
      </c>
      <c r="AM624" t="s">
        <v>486</v>
      </c>
      <c r="AN624" t="s">
        <v>650</v>
      </c>
      <c r="AO624" t="s">
        <v>651</v>
      </c>
      <c r="AP624" t="s">
        <v>652</v>
      </c>
      <c r="AQ624" t="s">
        <v>74</v>
      </c>
      <c r="AR624" t="s">
        <v>653</v>
      </c>
      <c r="AS624" t="s">
        <v>654</v>
      </c>
      <c r="AT624" t="s">
        <v>74</v>
      </c>
      <c r="AU624">
        <v>2018</v>
      </c>
      <c r="AV624">
        <v>197</v>
      </c>
      <c r="AW624" t="s">
        <v>74</v>
      </c>
      <c r="AX624" t="s">
        <v>74</v>
      </c>
      <c r="AY624" t="s">
        <v>74</v>
      </c>
      <c r="AZ624" t="s">
        <v>74</v>
      </c>
      <c r="BA624" t="s">
        <v>9169</v>
      </c>
      <c r="BB624" t="s">
        <v>74</v>
      </c>
      <c r="BC624" t="s">
        <v>74</v>
      </c>
      <c r="BD624" t="s">
        <v>74</v>
      </c>
      <c r="BE624" t="s">
        <v>74</v>
      </c>
      <c r="BF624" t="s">
        <v>74</v>
      </c>
      <c r="BG624" t="s">
        <v>74</v>
      </c>
      <c r="BH624" t="s">
        <v>74</v>
      </c>
      <c r="BI624">
        <v>2</v>
      </c>
      <c r="BJ624" t="s">
        <v>341</v>
      </c>
      <c r="BK624" t="s">
        <v>512</v>
      </c>
      <c r="BL624" t="s">
        <v>342</v>
      </c>
      <c r="BM624" t="s">
        <v>9170</v>
      </c>
      <c r="BN624" t="s">
        <v>74</v>
      </c>
      <c r="BO624" t="s">
        <v>74</v>
      </c>
      <c r="BP624" t="s">
        <v>74</v>
      </c>
      <c r="BQ624" t="s">
        <v>74</v>
      </c>
      <c r="BR624" t="s">
        <v>104</v>
      </c>
      <c r="BS624" t="s">
        <v>9171</v>
      </c>
      <c r="BT624" t="str">
        <f>HYPERLINK("https%3A%2F%2Fwww.webofscience.com%2Fwos%2Fwoscc%2Ffull-record%2FWOS:000449978900179","View Full Record in Web of Science")</f>
        <v>View Full Record in Web of Science</v>
      </c>
    </row>
    <row r="625" spans="1:72" x14ac:dyDescent="0.25">
      <c r="A625" t="s">
        <v>72</v>
      </c>
      <c r="B625" t="s">
        <v>9172</v>
      </c>
      <c r="C625" t="s">
        <v>74</v>
      </c>
      <c r="D625" t="s">
        <v>74</v>
      </c>
      <c r="E625" t="s">
        <v>74</v>
      </c>
      <c r="F625" t="s">
        <v>9173</v>
      </c>
      <c r="G625" t="s">
        <v>74</v>
      </c>
      <c r="H625" t="s">
        <v>74</v>
      </c>
      <c r="I625" t="s">
        <v>9174</v>
      </c>
      <c r="J625" t="s">
        <v>637</v>
      </c>
      <c r="K625" t="s">
        <v>74</v>
      </c>
      <c r="L625" t="s">
        <v>74</v>
      </c>
      <c r="M625" t="s">
        <v>78</v>
      </c>
      <c r="N625" t="s">
        <v>52</v>
      </c>
      <c r="O625" t="s">
        <v>3358</v>
      </c>
      <c r="P625" t="s">
        <v>9164</v>
      </c>
      <c r="Q625" t="s">
        <v>8167</v>
      </c>
      <c r="R625" t="s">
        <v>9165</v>
      </c>
      <c r="S625" t="s">
        <v>74</v>
      </c>
      <c r="T625" t="s">
        <v>74</v>
      </c>
      <c r="U625" t="s">
        <v>74</v>
      </c>
      <c r="V625" t="s">
        <v>74</v>
      </c>
      <c r="W625" t="s">
        <v>9175</v>
      </c>
      <c r="X625" t="s">
        <v>9176</v>
      </c>
      <c r="Y625" t="s">
        <v>74</v>
      </c>
      <c r="Z625" t="s">
        <v>9177</v>
      </c>
      <c r="AA625" t="s">
        <v>9178</v>
      </c>
      <c r="AB625" t="s">
        <v>74</v>
      </c>
      <c r="AC625" t="s">
        <v>74</v>
      </c>
      <c r="AD625" t="s">
        <v>74</v>
      </c>
      <c r="AE625" t="s">
        <v>74</v>
      </c>
      <c r="AF625" t="s">
        <v>74</v>
      </c>
      <c r="AG625">
        <v>0</v>
      </c>
      <c r="AH625">
        <v>0</v>
      </c>
      <c r="AI625">
        <v>0</v>
      </c>
      <c r="AJ625">
        <v>0</v>
      </c>
      <c r="AK625">
        <v>0</v>
      </c>
      <c r="AL625" t="s">
        <v>649</v>
      </c>
      <c r="AM625" t="s">
        <v>486</v>
      </c>
      <c r="AN625" t="s">
        <v>650</v>
      </c>
      <c r="AO625" t="s">
        <v>651</v>
      </c>
      <c r="AP625" t="s">
        <v>652</v>
      </c>
      <c r="AQ625" t="s">
        <v>74</v>
      </c>
      <c r="AR625" t="s">
        <v>653</v>
      </c>
      <c r="AS625" t="s">
        <v>654</v>
      </c>
      <c r="AT625" t="s">
        <v>74</v>
      </c>
      <c r="AU625">
        <v>2018</v>
      </c>
      <c r="AV625">
        <v>197</v>
      </c>
      <c r="AW625" t="s">
        <v>74</v>
      </c>
      <c r="AX625" t="s">
        <v>74</v>
      </c>
      <c r="AY625" t="s">
        <v>74</v>
      </c>
      <c r="AZ625" t="s">
        <v>74</v>
      </c>
      <c r="BA625" t="s">
        <v>9179</v>
      </c>
      <c r="BB625" t="s">
        <v>74</v>
      </c>
      <c r="BC625" t="s">
        <v>74</v>
      </c>
      <c r="BD625" t="s">
        <v>74</v>
      </c>
      <c r="BE625" t="s">
        <v>74</v>
      </c>
      <c r="BF625" t="s">
        <v>74</v>
      </c>
      <c r="BG625" t="s">
        <v>74</v>
      </c>
      <c r="BH625" t="s">
        <v>74</v>
      </c>
      <c r="BI625">
        <v>2</v>
      </c>
      <c r="BJ625" t="s">
        <v>341</v>
      </c>
      <c r="BK625" t="s">
        <v>512</v>
      </c>
      <c r="BL625" t="s">
        <v>342</v>
      </c>
      <c r="BM625" t="s">
        <v>9180</v>
      </c>
      <c r="BN625" t="s">
        <v>74</v>
      </c>
      <c r="BO625" t="s">
        <v>74</v>
      </c>
      <c r="BP625" t="s">
        <v>74</v>
      </c>
      <c r="BQ625" t="s">
        <v>74</v>
      </c>
      <c r="BR625" t="s">
        <v>104</v>
      </c>
      <c r="BS625" t="s">
        <v>9181</v>
      </c>
      <c r="BT625" t="str">
        <f>HYPERLINK("https%3A%2F%2Fwww.webofscience.com%2Fwos%2Fwoscc%2Ffull-record%2FWOS:000449980305533","View Full Record in Web of Science")</f>
        <v>View Full Record in Web of Science</v>
      </c>
    </row>
    <row r="626" spans="1:72" x14ac:dyDescent="0.25">
      <c r="A626" t="s">
        <v>72</v>
      </c>
      <c r="B626" t="s">
        <v>9182</v>
      </c>
      <c r="C626" t="s">
        <v>74</v>
      </c>
      <c r="D626" t="s">
        <v>74</v>
      </c>
      <c r="E626" t="s">
        <v>74</v>
      </c>
      <c r="F626" t="s">
        <v>9183</v>
      </c>
      <c r="G626" t="s">
        <v>74</v>
      </c>
      <c r="H626" t="s">
        <v>74</v>
      </c>
      <c r="I626" t="s">
        <v>9184</v>
      </c>
      <c r="J626" t="s">
        <v>637</v>
      </c>
      <c r="K626" t="s">
        <v>74</v>
      </c>
      <c r="L626" t="s">
        <v>74</v>
      </c>
      <c r="M626" t="s">
        <v>78</v>
      </c>
      <c r="N626" t="s">
        <v>52</v>
      </c>
      <c r="O626" t="s">
        <v>3358</v>
      </c>
      <c r="P626" t="s">
        <v>9164</v>
      </c>
      <c r="Q626" t="s">
        <v>8167</v>
      </c>
      <c r="R626" t="s">
        <v>9165</v>
      </c>
      <c r="S626" t="s">
        <v>74</v>
      </c>
      <c r="T626" t="s">
        <v>74</v>
      </c>
      <c r="U626" t="s">
        <v>74</v>
      </c>
      <c r="V626" t="s">
        <v>74</v>
      </c>
      <c r="W626" t="s">
        <v>9185</v>
      </c>
      <c r="X626" t="s">
        <v>9186</v>
      </c>
      <c r="Y626" t="s">
        <v>74</v>
      </c>
      <c r="Z626" t="s">
        <v>74</v>
      </c>
      <c r="AA626" t="s">
        <v>9187</v>
      </c>
      <c r="AB626" t="s">
        <v>5709</v>
      </c>
      <c r="AC626" t="s">
        <v>74</v>
      </c>
      <c r="AD626" t="s">
        <v>74</v>
      </c>
      <c r="AE626" t="s">
        <v>74</v>
      </c>
      <c r="AF626" t="s">
        <v>74</v>
      </c>
      <c r="AG626">
        <v>0</v>
      </c>
      <c r="AH626">
        <v>0</v>
      </c>
      <c r="AI626">
        <v>0</v>
      </c>
      <c r="AJ626">
        <v>0</v>
      </c>
      <c r="AK626">
        <v>0</v>
      </c>
      <c r="AL626" t="s">
        <v>649</v>
      </c>
      <c r="AM626" t="s">
        <v>486</v>
      </c>
      <c r="AN626" t="s">
        <v>650</v>
      </c>
      <c r="AO626" t="s">
        <v>651</v>
      </c>
      <c r="AP626" t="s">
        <v>652</v>
      </c>
      <c r="AQ626" t="s">
        <v>74</v>
      </c>
      <c r="AR626" t="s">
        <v>653</v>
      </c>
      <c r="AS626" t="s">
        <v>654</v>
      </c>
      <c r="AT626" t="s">
        <v>74</v>
      </c>
      <c r="AU626">
        <v>2018</v>
      </c>
      <c r="AV626">
        <v>197</v>
      </c>
      <c r="AW626" t="s">
        <v>74</v>
      </c>
      <c r="AX626" t="s">
        <v>74</v>
      </c>
      <c r="AY626" t="s">
        <v>74</v>
      </c>
      <c r="AZ626" t="s">
        <v>74</v>
      </c>
      <c r="BA626" t="s">
        <v>9188</v>
      </c>
      <c r="BB626" t="s">
        <v>74</v>
      </c>
      <c r="BC626" t="s">
        <v>74</v>
      </c>
      <c r="BD626" t="s">
        <v>74</v>
      </c>
      <c r="BE626" t="s">
        <v>74</v>
      </c>
      <c r="BF626" t="s">
        <v>74</v>
      </c>
      <c r="BG626" t="s">
        <v>74</v>
      </c>
      <c r="BH626" t="s">
        <v>74</v>
      </c>
      <c r="BI626">
        <v>2</v>
      </c>
      <c r="BJ626" t="s">
        <v>341</v>
      </c>
      <c r="BK626" t="s">
        <v>512</v>
      </c>
      <c r="BL626" t="s">
        <v>342</v>
      </c>
      <c r="BM626" t="s">
        <v>9170</v>
      </c>
      <c r="BN626" t="s">
        <v>74</v>
      </c>
      <c r="BO626" t="s">
        <v>74</v>
      </c>
      <c r="BP626" t="s">
        <v>74</v>
      </c>
      <c r="BQ626" t="s">
        <v>74</v>
      </c>
      <c r="BR626" t="s">
        <v>104</v>
      </c>
      <c r="BS626" t="s">
        <v>9189</v>
      </c>
      <c r="BT626" t="str">
        <f>HYPERLINK("https%3A%2F%2Fwww.webofscience.com%2Fwos%2Fwoscc%2Ffull-record%2FWOS:000449978900174","View Full Record in Web of Science")</f>
        <v>View Full Record in Web of Science</v>
      </c>
    </row>
    <row r="627" spans="1:72" x14ac:dyDescent="0.25">
      <c r="A627" t="s">
        <v>72</v>
      </c>
      <c r="B627" t="s">
        <v>9190</v>
      </c>
      <c r="C627" t="s">
        <v>74</v>
      </c>
      <c r="D627" t="s">
        <v>74</v>
      </c>
      <c r="E627" t="s">
        <v>74</v>
      </c>
      <c r="F627" t="s">
        <v>9191</v>
      </c>
      <c r="G627" t="s">
        <v>74</v>
      </c>
      <c r="H627" t="s">
        <v>74</v>
      </c>
      <c r="I627" t="s">
        <v>9192</v>
      </c>
      <c r="J627" t="s">
        <v>637</v>
      </c>
      <c r="K627" t="s">
        <v>74</v>
      </c>
      <c r="L627" t="s">
        <v>74</v>
      </c>
      <c r="M627" t="s">
        <v>78</v>
      </c>
      <c r="N627" t="s">
        <v>52</v>
      </c>
      <c r="O627" t="s">
        <v>3358</v>
      </c>
      <c r="P627" t="s">
        <v>9164</v>
      </c>
      <c r="Q627" t="s">
        <v>8167</v>
      </c>
      <c r="R627" t="s">
        <v>9165</v>
      </c>
      <c r="S627" t="s">
        <v>74</v>
      </c>
      <c r="T627" t="s">
        <v>74</v>
      </c>
      <c r="U627" t="s">
        <v>74</v>
      </c>
      <c r="V627" t="s">
        <v>74</v>
      </c>
      <c r="W627" t="s">
        <v>9193</v>
      </c>
      <c r="X627" t="s">
        <v>9194</v>
      </c>
      <c r="Y627" t="s">
        <v>74</v>
      </c>
      <c r="Z627" t="s">
        <v>7876</v>
      </c>
      <c r="AA627" t="s">
        <v>9195</v>
      </c>
      <c r="AB627" t="s">
        <v>2958</v>
      </c>
      <c r="AC627" t="s">
        <v>9196</v>
      </c>
      <c r="AD627" t="s">
        <v>9197</v>
      </c>
      <c r="AE627" t="s">
        <v>9198</v>
      </c>
      <c r="AF627" t="s">
        <v>74</v>
      </c>
      <c r="AG627">
        <v>0</v>
      </c>
      <c r="AH627">
        <v>0</v>
      </c>
      <c r="AI627">
        <v>0</v>
      </c>
      <c r="AJ627">
        <v>0</v>
      </c>
      <c r="AK627">
        <v>1</v>
      </c>
      <c r="AL627" t="s">
        <v>649</v>
      </c>
      <c r="AM627" t="s">
        <v>486</v>
      </c>
      <c r="AN627" t="s">
        <v>650</v>
      </c>
      <c r="AO627" t="s">
        <v>651</v>
      </c>
      <c r="AP627" t="s">
        <v>652</v>
      </c>
      <c r="AQ627" t="s">
        <v>74</v>
      </c>
      <c r="AR627" t="s">
        <v>653</v>
      </c>
      <c r="AS627" t="s">
        <v>654</v>
      </c>
      <c r="AT627" t="s">
        <v>74</v>
      </c>
      <c r="AU627">
        <v>2018</v>
      </c>
      <c r="AV627">
        <v>197</v>
      </c>
      <c r="AW627" t="s">
        <v>74</v>
      </c>
      <c r="AX627" t="s">
        <v>74</v>
      </c>
      <c r="AY627" t="s">
        <v>74</v>
      </c>
      <c r="AZ627" t="s">
        <v>74</v>
      </c>
      <c r="BA627" t="s">
        <v>9199</v>
      </c>
      <c r="BB627" t="s">
        <v>74</v>
      </c>
      <c r="BC627" t="s">
        <v>74</v>
      </c>
      <c r="BD627" t="s">
        <v>74</v>
      </c>
      <c r="BE627" t="s">
        <v>74</v>
      </c>
      <c r="BF627" t="s">
        <v>74</v>
      </c>
      <c r="BG627" t="s">
        <v>74</v>
      </c>
      <c r="BH627" t="s">
        <v>74</v>
      </c>
      <c r="BI627">
        <v>2</v>
      </c>
      <c r="BJ627" t="s">
        <v>341</v>
      </c>
      <c r="BK627" t="s">
        <v>512</v>
      </c>
      <c r="BL627" t="s">
        <v>342</v>
      </c>
      <c r="BM627" t="s">
        <v>9180</v>
      </c>
      <c r="BN627" t="s">
        <v>74</v>
      </c>
      <c r="BO627" t="s">
        <v>74</v>
      </c>
      <c r="BP627" t="s">
        <v>74</v>
      </c>
      <c r="BQ627" t="s">
        <v>74</v>
      </c>
      <c r="BR627" t="s">
        <v>104</v>
      </c>
      <c r="BS627" t="s">
        <v>9200</v>
      </c>
      <c r="BT627" t="str">
        <f>HYPERLINK("https%3A%2F%2Fwww.webofscience.com%2Fwos%2Fwoscc%2Ffull-record%2FWOS:000449980305494","View Full Record in Web of Science")</f>
        <v>View Full Record in Web of Science</v>
      </c>
    </row>
    <row r="628" spans="1:72" x14ac:dyDescent="0.25">
      <c r="A628" t="s">
        <v>72</v>
      </c>
      <c r="B628" t="s">
        <v>9201</v>
      </c>
      <c r="C628" t="s">
        <v>74</v>
      </c>
      <c r="D628" t="s">
        <v>74</v>
      </c>
      <c r="E628" t="s">
        <v>74</v>
      </c>
      <c r="F628" t="s">
        <v>9202</v>
      </c>
      <c r="G628" t="s">
        <v>74</v>
      </c>
      <c r="H628" t="s">
        <v>74</v>
      </c>
      <c r="I628" t="s">
        <v>9203</v>
      </c>
      <c r="J628" t="s">
        <v>189</v>
      </c>
      <c r="K628" t="s">
        <v>74</v>
      </c>
      <c r="L628" t="s">
        <v>74</v>
      </c>
      <c r="M628" t="s">
        <v>78</v>
      </c>
      <c r="N628" t="s">
        <v>299</v>
      </c>
      <c r="O628" t="s">
        <v>74</v>
      </c>
      <c r="P628" t="s">
        <v>74</v>
      </c>
      <c r="Q628" t="s">
        <v>74</v>
      </c>
      <c r="R628" t="s">
        <v>74</v>
      </c>
      <c r="S628" t="s">
        <v>74</v>
      </c>
      <c r="T628" t="s">
        <v>9204</v>
      </c>
      <c r="U628" t="s">
        <v>9205</v>
      </c>
      <c r="V628" t="s">
        <v>9206</v>
      </c>
      <c r="W628" t="s">
        <v>9207</v>
      </c>
      <c r="X628" t="s">
        <v>9208</v>
      </c>
      <c r="Y628" t="s">
        <v>9209</v>
      </c>
      <c r="Z628" t="s">
        <v>9210</v>
      </c>
      <c r="AA628" t="s">
        <v>9211</v>
      </c>
      <c r="AB628" t="s">
        <v>9212</v>
      </c>
      <c r="AC628" t="s">
        <v>74</v>
      </c>
      <c r="AD628" t="s">
        <v>74</v>
      </c>
      <c r="AE628" t="s">
        <v>74</v>
      </c>
      <c r="AF628" t="s">
        <v>74</v>
      </c>
      <c r="AG628">
        <v>66</v>
      </c>
      <c r="AH628">
        <v>43</v>
      </c>
      <c r="AI628">
        <v>45</v>
      </c>
      <c r="AJ628">
        <v>2</v>
      </c>
      <c r="AK628">
        <v>18</v>
      </c>
      <c r="AL628" t="s">
        <v>200</v>
      </c>
      <c r="AM628" t="s">
        <v>201</v>
      </c>
      <c r="AN628" t="s">
        <v>202</v>
      </c>
      <c r="AO628" t="s">
        <v>203</v>
      </c>
      <c r="AP628" t="s">
        <v>204</v>
      </c>
      <c r="AQ628" t="s">
        <v>74</v>
      </c>
      <c r="AR628" t="s">
        <v>205</v>
      </c>
      <c r="AS628" t="s">
        <v>206</v>
      </c>
      <c r="AT628" t="s">
        <v>176</v>
      </c>
      <c r="AU628">
        <v>2018</v>
      </c>
      <c r="AV628">
        <v>134</v>
      </c>
      <c r="AW628" t="s">
        <v>74</v>
      </c>
      <c r="AX628" t="s">
        <v>74</v>
      </c>
      <c r="AY628" t="s">
        <v>74</v>
      </c>
      <c r="AZ628" t="s">
        <v>74</v>
      </c>
      <c r="BA628" t="s">
        <v>74</v>
      </c>
      <c r="BB628">
        <v>47</v>
      </c>
      <c r="BC628">
        <v>53</v>
      </c>
      <c r="BD628" t="s">
        <v>74</v>
      </c>
      <c r="BE628" t="s">
        <v>9213</v>
      </c>
      <c r="BF628" t="str">
        <f>HYPERLINK("http://dx.doi.org/10.1016/j.rmed.2017.11.021","http://dx.doi.org/10.1016/j.rmed.2017.11.021")</f>
        <v>http://dx.doi.org/10.1016/j.rmed.2017.11.021</v>
      </c>
      <c r="BG628" t="s">
        <v>74</v>
      </c>
      <c r="BH628" t="s">
        <v>74</v>
      </c>
      <c r="BI628">
        <v>7</v>
      </c>
      <c r="BJ628" t="s">
        <v>209</v>
      </c>
      <c r="BK628" t="s">
        <v>101</v>
      </c>
      <c r="BL628" t="s">
        <v>210</v>
      </c>
      <c r="BM628" t="s">
        <v>9214</v>
      </c>
      <c r="BN628">
        <v>29413507</v>
      </c>
      <c r="BO628" t="s">
        <v>612</v>
      </c>
      <c r="BP628" t="s">
        <v>74</v>
      </c>
      <c r="BQ628" t="s">
        <v>74</v>
      </c>
      <c r="BR628" t="s">
        <v>104</v>
      </c>
      <c r="BS628" t="s">
        <v>9215</v>
      </c>
      <c r="BT628" t="str">
        <f>HYPERLINK("https%3A%2F%2Fwww.webofscience.com%2Fwos%2Fwoscc%2Ffull-record%2FWOS:000425285300008","View Full Record in Web of Science")</f>
        <v>View Full Record in Web of Science</v>
      </c>
    </row>
    <row r="629" spans="1:72" x14ac:dyDescent="0.25">
      <c r="A629" t="s">
        <v>72</v>
      </c>
      <c r="B629" t="s">
        <v>9216</v>
      </c>
      <c r="C629" t="s">
        <v>74</v>
      </c>
      <c r="D629" t="s">
        <v>74</v>
      </c>
      <c r="E629" t="s">
        <v>74</v>
      </c>
      <c r="F629" t="s">
        <v>9217</v>
      </c>
      <c r="G629" t="s">
        <v>74</v>
      </c>
      <c r="H629" t="s">
        <v>74</v>
      </c>
      <c r="I629" t="s">
        <v>9218</v>
      </c>
      <c r="J629" t="s">
        <v>637</v>
      </c>
      <c r="K629" t="s">
        <v>74</v>
      </c>
      <c r="L629" t="s">
        <v>74</v>
      </c>
      <c r="M629" t="s">
        <v>78</v>
      </c>
      <c r="N629" t="s">
        <v>52</v>
      </c>
      <c r="O629" t="s">
        <v>3358</v>
      </c>
      <c r="P629" t="s">
        <v>9164</v>
      </c>
      <c r="Q629" t="s">
        <v>8167</v>
      </c>
      <c r="R629" t="s">
        <v>9165</v>
      </c>
      <c r="S629" t="s">
        <v>74</v>
      </c>
      <c r="T629" t="s">
        <v>74</v>
      </c>
      <c r="U629" t="s">
        <v>74</v>
      </c>
      <c r="V629" t="s">
        <v>74</v>
      </c>
      <c r="W629" t="s">
        <v>9219</v>
      </c>
      <c r="X629" t="s">
        <v>9220</v>
      </c>
      <c r="Y629" t="s">
        <v>74</v>
      </c>
      <c r="Z629" t="s">
        <v>74</v>
      </c>
      <c r="AA629" t="s">
        <v>9221</v>
      </c>
      <c r="AB629" t="s">
        <v>1489</v>
      </c>
      <c r="AC629" t="s">
        <v>6847</v>
      </c>
      <c r="AD629" t="s">
        <v>6848</v>
      </c>
      <c r="AE629" t="s">
        <v>6849</v>
      </c>
      <c r="AF629" t="s">
        <v>74</v>
      </c>
      <c r="AG629">
        <v>0</v>
      </c>
      <c r="AH629">
        <v>1</v>
      </c>
      <c r="AI629">
        <v>1</v>
      </c>
      <c r="AJ629">
        <v>0</v>
      </c>
      <c r="AK629">
        <v>0</v>
      </c>
      <c r="AL629" t="s">
        <v>649</v>
      </c>
      <c r="AM629" t="s">
        <v>486</v>
      </c>
      <c r="AN629" t="s">
        <v>650</v>
      </c>
      <c r="AO629" t="s">
        <v>651</v>
      </c>
      <c r="AP629" t="s">
        <v>652</v>
      </c>
      <c r="AQ629" t="s">
        <v>74</v>
      </c>
      <c r="AR629" t="s">
        <v>653</v>
      </c>
      <c r="AS629" t="s">
        <v>654</v>
      </c>
      <c r="AT629" t="s">
        <v>74</v>
      </c>
      <c r="AU629">
        <v>2018</v>
      </c>
      <c r="AV629">
        <v>197</v>
      </c>
      <c r="AW629" t="s">
        <v>74</v>
      </c>
      <c r="AX629" t="s">
        <v>74</v>
      </c>
      <c r="AY629" t="s">
        <v>74</v>
      </c>
      <c r="AZ629" t="s">
        <v>74</v>
      </c>
      <c r="BA629" t="s">
        <v>9222</v>
      </c>
      <c r="BB629" t="s">
        <v>74</v>
      </c>
      <c r="BC629" t="s">
        <v>74</v>
      </c>
      <c r="BD629" t="s">
        <v>74</v>
      </c>
      <c r="BE629" t="s">
        <v>74</v>
      </c>
      <c r="BF629" t="s">
        <v>74</v>
      </c>
      <c r="BG629" t="s">
        <v>74</v>
      </c>
      <c r="BH629" t="s">
        <v>74</v>
      </c>
      <c r="BI629">
        <v>2</v>
      </c>
      <c r="BJ629" t="s">
        <v>341</v>
      </c>
      <c r="BK629" t="s">
        <v>512</v>
      </c>
      <c r="BL629" t="s">
        <v>342</v>
      </c>
      <c r="BM629" t="s">
        <v>9170</v>
      </c>
      <c r="BN629" t="s">
        <v>74</v>
      </c>
      <c r="BO629" t="s">
        <v>74</v>
      </c>
      <c r="BP629" t="s">
        <v>74</v>
      </c>
      <c r="BQ629" t="s">
        <v>74</v>
      </c>
      <c r="BR629" t="s">
        <v>104</v>
      </c>
      <c r="BS629" t="s">
        <v>9223</v>
      </c>
      <c r="BT629" t="str">
        <f>HYPERLINK("https%3A%2F%2Fwww.webofscience.com%2Fwos%2Fwoscc%2Ffull-record%2FWOS:000449978904441","View Full Record in Web of Science")</f>
        <v>View Full Record in Web of Science</v>
      </c>
    </row>
    <row r="630" spans="1:72" x14ac:dyDescent="0.25">
      <c r="A630" t="s">
        <v>72</v>
      </c>
      <c r="B630" t="s">
        <v>9224</v>
      </c>
      <c r="C630" t="s">
        <v>74</v>
      </c>
      <c r="D630" t="s">
        <v>74</v>
      </c>
      <c r="E630" t="s">
        <v>74</v>
      </c>
      <c r="F630" t="s">
        <v>9225</v>
      </c>
      <c r="G630" t="s">
        <v>74</v>
      </c>
      <c r="H630" t="s">
        <v>9226</v>
      </c>
      <c r="I630" t="s">
        <v>9227</v>
      </c>
      <c r="J630" t="s">
        <v>324</v>
      </c>
      <c r="K630" t="s">
        <v>74</v>
      </c>
      <c r="L630" t="s">
        <v>74</v>
      </c>
      <c r="M630" t="s">
        <v>78</v>
      </c>
      <c r="N630" t="s">
        <v>79</v>
      </c>
      <c r="O630" t="s">
        <v>74</v>
      </c>
      <c r="P630" t="s">
        <v>74</v>
      </c>
      <c r="Q630" t="s">
        <v>74</v>
      </c>
      <c r="R630" t="s">
        <v>74</v>
      </c>
      <c r="S630" t="s">
        <v>74</v>
      </c>
      <c r="T630" t="s">
        <v>9228</v>
      </c>
      <c r="U630" t="s">
        <v>9229</v>
      </c>
      <c r="V630" t="s">
        <v>9230</v>
      </c>
      <c r="W630" t="s">
        <v>9231</v>
      </c>
      <c r="X630" t="s">
        <v>9232</v>
      </c>
      <c r="Y630" t="s">
        <v>9233</v>
      </c>
      <c r="Z630" t="s">
        <v>6542</v>
      </c>
      <c r="AA630" t="s">
        <v>9234</v>
      </c>
      <c r="AB630" t="s">
        <v>9235</v>
      </c>
      <c r="AC630" t="s">
        <v>9236</v>
      </c>
      <c r="AD630" t="s">
        <v>9237</v>
      </c>
      <c r="AE630" t="s">
        <v>9238</v>
      </c>
      <c r="AF630" t="s">
        <v>74</v>
      </c>
      <c r="AG630">
        <v>24</v>
      </c>
      <c r="AH630">
        <v>66</v>
      </c>
      <c r="AI630">
        <v>67</v>
      </c>
      <c r="AJ630">
        <v>1</v>
      </c>
      <c r="AK630">
        <v>7</v>
      </c>
      <c r="AL630" t="s">
        <v>7467</v>
      </c>
      <c r="AM630" t="s">
        <v>93</v>
      </c>
      <c r="AN630" t="s">
        <v>7468</v>
      </c>
      <c r="AO630" t="s">
        <v>337</v>
      </c>
      <c r="AP630" t="s">
        <v>74</v>
      </c>
      <c r="AQ630" t="s">
        <v>74</v>
      </c>
      <c r="AR630" t="s">
        <v>324</v>
      </c>
      <c r="AS630" t="s">
        <v>339</v>
      </c>
      <c r="AT630" t="s">
        <v>176</v>
      </c>
      <c r="AU630">
        <v>2018</v>
      </c>
      <c r="AV630">
        <v>153</v>
      </c>
      <c r="AW630">
        <v>1</v>
      </c>
      <c r="AX630" t="s">
        <v>74</v>
      </c>
      <c r="AY630" t="s">
        <v>74</v>
      </c>
      <c r="AZ630" t="s">
        <v>74</v>
      </c>
      <c r="BA630" t="s">
        <v>74</v>
      </c>
      <c r="BB630">
        <v>143</v>
      </c>
      <c r="BC630">
        <v>151</v>
      </c>
      <c r="BD630" t="s">
        <v>74</v>
      </c>
      <c r="BE630" t="s">
        <v>9239</v>
      </c>
      <c r="BF630" t="str">
        <f>HYPERLINK("http://dx.doi.org/10.1016/j.chest.2017.08.014","http://dx.doi.org/10.1016/j.chest.2017.08.014")</f>
        <v>http://dx.doi.org/10.1016/j.chest.2017.08.014</v>
      </c>
      <c r="BG630" t="s">
        <v>74</v>
      </c>
      <c r="BH630" t="s">
        <v>74</v>
      </c>
      <c r="BI630">
        <v>9</v>
      </c>
      <c r="BJ630" t="s">
        <v>341</v>
      </c>
      <c r="BK630" t="s">
        <v>101</v>
      </c>
      <c r="BL630" t="s">
        <v>342</v>
      </c>
      <c r="BM630" t="s">
        <v>9240</v>
      </c>
      <c r="BN630">
        <v>28851621</v>
      </c>
      <c r="BO630" t="s">
        <v>103</v>
      </c>
      <c r="BP630" t="s">
        <v>74</v>
      </c>
      <c r="BQ630" t="s">
        <v>74</v>
      </c>
      <c r="BR630" t="s">
        <v>104</v>
      </c>
      <c r="BS630" t="s">
        <v>9241</v>
      </c>
      <c r="BT630" t="str">
        <f>HYPERLINK("https%3A%2F%2Fwww.webofscience.com%2Fwos%2Fwoscc%2Ffull-record%2FWOS:000422771600026","View Full Record in Web of Science")</f>
        <v>View Full Record in Web of Science</v>
      </c>
    </row>
    <row r="631" spans="1:72" x14ac:dyDescent="0.25">
      <c r="A631" t="s">
        <v>72</v>
      </c>
      <c r="B631" t="s">
        <v>9242</v>
      </c>
      <c r="C631" t="s">
        <v>74</v>
      </c>
      <c r="D631" t="s">
        <v>74</v>
      </c>
      <c r="E631" t="s">
        <v>74</v>
      </c>
      <c r="F631" t="s">
        <v>9243</v>
      </c>
      <c r="G631" t="s">
        <v>74</v>
      </c>
      <c r="H631" t="s">
        <v>74</v>
      </c>
      <c r="I631" t="s">
        <v>9244</v>
      </c>
      <c r="J631" t="s">
        <v>324</v>
      </c>
      <c r="K631" t="s">
        <v>74</v>
      </c>
      <c r="L631" t="s">
        <v>74</v>
      </c>
      <c r="M631" t="s">
        <v>78</v>
      </c>
      <c r="N631" t="s">
        <v>79</v>
      </c>
      <c r="O631" t="s">
        <v>74</v>
      </c>
      <c r="P631" t="s">
        <v>74</v>
      </c>
      <c r="Q631" t="s">
        <v>74</v>
      </c>
      <c r="R631" t="s">
        <v>74</v>
      </c>
      <c r="S631" t="s">
        <v>74</v>
      </c>
      <c r="T631" t="s">
        <v>74</v>
      </c>
      <c r="U631" t="s">
        <v>9245</v>
      </c>
      <c r="V631" t="s">
        <v>9246</v>
      </c>
      <c r="W631" t="s">
        <v>9247</v>
      </c>
      <c r="X631" t="s">
        <v>9248</v>
      </c>
      <c r="Y631" t="s">
        <v>9249</v>
      </c>
      <c r="Z631" t="s">
        <v>9250</v>
      </c>
      <c r="AA631" t="s">
        <v>9251</v>
      </c>
      <c r="AB631" t="s">
        <v>9252</v>
      </c>
      <c r="AC631" t="s">
        <v>9253</v>
      </c>
      <c r="AD631" t="s">
        <v>9254</v>
      </c>
      <c r="AE631" t="s">
        <v>9255</v>
      </c>
      <c r="AF631" t="s">
        <v>74</v>
      </c>
      <c r="AG631">
        <v>37</v>
      </c>
      <c r="AH631">
        <v>25</v>
      </c>
      <c r="AI631">
        <v>26</v>
      </c>
      <c r="AJ631">
        <v>0</v>
      </c>
      <c r="AK631">
        <v>6</v>
      </c>
      <c r="AL631" t="s">
        <v>7467</v>
      </c>
      <c r="AM631" t="s">
        <v>93</v>
      </c>
      <c r="AN631" t="s">
        <v>7468</v>
      </c>
      <c r="AO631" t="s">
        <v>337</v>
      </c>
      <c r="AP631" t="s">
        <v>74</v>
      </c>
      <c r="AQ631" t="s">
        <v>74</v>
      </c>
      <c r="AR631" t="s">
        <v>324</v>
      </c>
      <c r="AS631" t="s">
        <v>339</v>
      </c>
      <c r="AT631" t="s">
        <v>176</v>
      </c>
      <c r="AU631">
        <v>2018</v>
      </c>
      <c r="AV631">
        <v>153</v>
      </c>
      <c r="AW631">
        <v>1</v>
      </c>
      <c r="AX631" t="s">
        <v>74</v>
      </c>
      <c r="AY631" t="s">
        <v>74</v>
      </c>
      <c r="AZ631" t="s">
        <v>74</v>
      </c>
      <c r="BA631" t="s">
        <v>74</v>
      </c>
      <c r="BB631">
        <v>217</v>
      </c>
      <c r="BC631">
        <v>223</v>
      </c>
      <c r="BD631" t="s">
        <v>74</v>
      </c>
      <c r="BE631" t="s">
        <v>9256</v>
      </c>
      <c r="BF631" t="str">
        <f>HYPERLINK("http://dx.doi.org/10.1016/j.chest.2017.06.008","http://dx.doi.org/10.1016/j.chest.2017.06.008")</f>
        <v>http://dx.doi.org/10.1016/j.chest.2017.06.008</v>
      </c>
      <c r="BG631" t="s">
        <v>74</v>
      </c>
      <c r="BH631" t="s">
        <v>74</v>
      </c>
      <c r="BI631">
        <v>7</v>
      </c>
      <c r="BJ631" t="s">
        <v>341</v>
      </c>
      <c r="BK631" t="s">
        <v>101</v>
      </c>
      <c r="BL631" t="s">
        <v>342</v>
      </c>
      <c r="BM631" t="s">
        <v>9240</v>
      </c>
      <c r="BN631">
        <v>28629920</v>
      </c>
      <c r="BO631" t="s">
        <v>74</v>
      </c>
      <c r="BP631" t="s">
        <v>74</v>
      </c>
      <c r="BQ631" t="s">
        <v>74</v>
      </c>
      <c r="BR631" t="s">
        <v>104</v>
      </c>
      <c r="BS631" t="s">
        <v>9257</v>
      </c>
      <c r="BT631" t="str">
        <f>HYPERLINK("https%3A%2F%2Fwww.webofscience.com%2Fwos%2Fwoscc%2Ffull-record%2FWOS:000422771600034","View Full Record in Web of Science")</f>
        <v>View Full Record in Web of Science</v>
      </c>
    </row>
    <row r="632" spans="1:72" x14ac:dyDescent="0.25">
      <c r="A632" t="s">
        <v>72</v>
      </c>
      <c r="B632" t="s">
        <v>9258</v>
      </c>
      <c r="C632" t="s">
        <v>74</v>
      </c>
      <c r="D632" t="s">
        <v>74</v>
      </c>
      <c r="E632" t="s">
        <v>74</v>
      </c>
      <c r="F632" t="s">
        <v>9259</v>
      </c>
      <c r="G632" t="s">
        <v>74</v>
      </c>
      <c r="H632" t="s">
        <v>74</v>
      </c>
      <c r="I632" t="s">
        <v>9260</v>
      </c>
      <c r="J632" t="s">
        <v>637</v>
      </c>
      <c r="K632" t="s">
        <v>74</v>
      </c>
      <c r="L632" t="s">
        <v>74</v>
      </c>
      <c r="M632" t="s">
        <v>78</v>
      </c>
      <c r="N632" t="s">
        <v>52</v>
      </c>
      <c r="O632" t="s">
        <v>3358</v>
      </c>
      <c r="P632" t="s">
        <v>9164</v>
      </c>
      <c r="Q632" t="s">
        <v>8167</v>
      </c>
      <c r="R632" t="s">
        <v>9165</v>
      </c>
      <c r="S632" t="s">
        <v>74</v>
      </c>
      <c r="T632" t="s">
        <v>74</v>
      </c>
      <c r="U632" t="s">
        <v>74</v>
      </c>
      <c r="V632" t="s">
        <v>74</v>
      </c>
      <c r="W632" t="s">
        <v>9261</v>
      </c>
      <c r="X632" t="s">
        <v>9262</v>
      </c>
      <c r="Y632" t="s">
        <v>74</v>
      </c>
      <c r="Z632" t="s">
        <v>74</v>
      </c>
      <c r="AA632" t="s">
        <v>1387</v>
      </c>
      <c r="AB632" t="s">
        <v>1489</v>
      </c>
      <c r="AC632" t="s">
        <v>6847</v>
      </c>
      <c r="AD632" t="s">
        <v>6848</v>
      </c>
      <c r="AE632" t="s">
        <v>6849</v>
      </c>
      <c r="AF632" t="s">
        <v>74</v>
      </c>
      <c r="AG632">
        <v>0</v>
      </c>
      <c r="AH632">
        <v>0</v>
      </c>
      <c r="AI632">
        <v>0</v>
      </c>
      <c r="AJ632">
        <v>0</v>
      </c>
      <c r="AK632">
        <v>0</v>
      </c>
      <c r="AL632" t="s">
        <v>649</v>
      </c>
      <c r="AM632" t="s">
        <v>486</v>
      </c>
      <c r="AN632" t="s">
        <v>650</v>
      </c>
      <c r="AO632" t="s">
        <v>651</v>
      </c>
      <c r="AP632" t="s">
        <v>652</v>
      </c>
      <c r="AQ632" t="s">
        <v>74</v>
      </c>
      <c r="AR632" t="s">
        <v>653</v>
      </c>
      <c r="AS632" t="s">
        <v>654</v>
      </c>
      <c r="AT632" t="s">
        <v>74</v>
      </c>
      <c r="AU632">
        <v>2018</v>
      </c>
      <c r="AV632">
        <v>197</v>
      </c>
      <c r="AW632" t="s">
        <v>74</v>
      </c>
      <c r="AX632" t="s">
        <v>74</v>
      </c>
      <c r="AY632" t="s">
        <v>74</v>
      </c>
      <c r="AZ632" t="s">
        <v>74</v>
      </c>
      <c r="BA632" t="s">
        <v>9263</v>
      </c>
      <c r="BB632" t="s">
        <v>74</v>
      </c>
      <c r="BC632" t="s">
        <v>74</v>
      </c>
      <c r="BD632" t="s">
        <v>74</v>
      </c>
      <c r="BE632" t="s">
        <v>74</v>
      </c>
      <c r="BF632" t="s">
        <v>74</v>
      </c>
      <c r="BG632" t="s">
        <v>74</v>
      </c>
      <c r="BH632" t="s">
        <v>74</v>
      </c>
      <c r="BI632">
        <v>2</v>
      </c>
      <c r="BJ632" t="s">
        <v>341</v>
      </c>
      <c r="BK632" t="s">
        <v>512</v>
      </c>
      <c r="BL632" t="s">
        <v>342</v>
      </c>
      <c r="BM632" t="s">
        <v>9170</v>
      </c>
      <c r="BN632" t="s">
        <v>74</v>
      </c>
      <c r="BO632" t="s">
        <v>74</v>
      </c>
      <c r="BP632" t="s">
        <v>74</v>
      </c>
      <c r="BQ632" t="s">
        <v>74</v>
      </c>
      <c r="BR632" t="s">
        <v>104</v>
      </c>
      <c r="BS632" t="s">
        <v>9264</v>
      </c>
      <c r="BT632" t="str">
        <f>HYPERLINK("https%3A%2F%2Fwww.webofscience.com%2Fwos%2Fwoscc%2Ffull-record%2FWOS:000449978901532","View Full Record in Web of Science")</f>
        <v>View Full Record in Web of Science</v>
      </c>
    </row>
    <row r="633" spans="1:72" x14ac:dyDescent="0.25">
      <c r="A633" t="s">
        <v>72</v>
      </c>
      <c r="B633" t="s">
        <v>9265</v>
      </c>
      <c r="C633" t="s">
        <v>74</v>
      </c>
      <c r="D633" t="s">
        <v>74</v>
      </c>
      <c r="E633" t="s">
        <v>74</v>
      </c>
      <c r="F633" t="s">
        <v>9266</v>
      </c>
      <c r="G633" t="s">
        <v>74</v>
      </c>
      <c r="H633" t="s">
        <v>74</v>
      </c>
      <c r="I633" t="s">
        <v>9267</v>
      </c>
      <c r="J633" t="s">
        <v>5959</v>
      </c>
      <c r="K633" t="s">
        <v>74</v>
      </c>
      <c r="L633" t="s">
        <v>74</v>
      </c>
      <c r="M633" t="s">
        <v>78</v>
      </c>
      <c r="N633" t="s">
        <v>299</v>
      </c>
      <c r="O633" t="s">
        <v>74</v>
      </c>
      <c r="P633" t="s">
        <v>74</v>
      </c>
      <c r="Q633" t="s">
        <v>74</v>
      </c>
      <c r="R633" t="s">
        <v>74</v>
      </c>
      <c r="S633" t="s">
        <v>74</v>
      </c>
      <c r="T633" t="s">
        <v>9268</v>
      </c>
      <c r="U633" t="s">
        <v>9269</v>
      </c>
      <c r="V633" t="s">
        <v>9270</v>
      </c>
      <c r="W633" t="s">
        <v>9271</v>
      </c>
      <c r="X633" t="s">
        <v>9272</v>
      </c>
      <c r="Y633" t="s">
        <v>7557</v>
      </c>
      <c r="Z633" t="s">
        <v>377</v>
      </c>
      <c r="AA633" t="s">
        <v>9273</v>
      </c>
      <c r="AB633" t="s">
        <v>257</v>
      </c>
      <c r="AC633" t="s">
        <v>7675</v>
      </c>
      <c r="AD633" t="s">
        <v>7675</v>
      </c>
      <c r="AE633" t="s">
        <v>9274</v>
      </c>
      <c r="AF633" t="s">
        <v>74</v>
      </c>
      <c r="AG633">
        <v>98</v>
      </c>
      <c r="AH633">
        <v>8</v>
      </c>
      <c r="AI633">
        <v>8</v>
      </c>
      <c r="AJ633">
        <v>0</v>
      </c>
      <c r="AK633">
        <v>4</v>
      </c>
      <c r="AL633" t="s">
        <v>122</v>
      </c>
      <c r="AM633" t="s">
        <v>123</v>
      </c>
      <c r="AN633" t="s">
        <v>124</v>
      </c>
      <c r="AO633" t="s">
        <v>5967</v>
      </c>
      <c r="AP633" t="s">
        <v>5968</v>
      </c>
      <c r="AQ633" t="s">
        <v>74</v>
      </c>
      <c r="AR633" t="s">
        <v>5969</v>
      </c>
      <c r="AS633" t="s">
        <v>5970</v>
      </c>
      <c r="AT633" t="s">
        <v>176</v>
      </c>
      <c r="AU633">
        <v>2018</v>
      </c>
      <c r="AV633">
        <v>24</v>
      </c>
      <c r="AW633">
        <v>1</v>
      </c>
      <c r="AX633" t="s">
        <v>74</v>
      </c>
      <c r="AY633" t="s">
        <v>74</v>
      </c>
      <c r="AZ633" t="s">
        <v>74</v>
      </c>
      <c r="BA633" t="s">
        <v>74</v>
      </c>
      <c r="BB633">
        <v>83</v>
      </c>
      <c r="BC633">
        <v>93</v>
      </c>
      <c r="BD633" t="s">
        <v>74</v>
      </c>
      <c r="BE633" t="s">
        <v>9275</v>
      </c>
      <c r="BF633" t="str">
        <f>HYPERLINK("http://dx.doi.org/10.1097/MCP.0000000000000438","http://dx.doi.org/10.1097/MCP.0000000000000438")</f>
        <v>http://dx.doi.org/10.1097/MCP.0000000000000438</v>
      </c>
      <c r="BG633" t="s">
        <v>74</v>
      </c>
      <c r="BH633" t="s">
        <v>74</v>
      </c>
      <c r="BI633">
        <v>11</v>
      </c>
      <c r="BJ633" t="s">
        <v>228</v>
      </c>
      <c r="BK633" t="s">
        <v>101</v>
      </c>
      <c r="BL633" t="s">
        <v>228</v>
      </c>
      <c r="BM633" t="s">
        <v>9276</v>
      </c>
      <c r="BN633">
        <v>29059087</v>
      </c>
      <c r="BO633" t="s">
        <v>74</v>
      </c>
      <c r="BP633" t="s">
        <v>74</v>
      </c>
      <c r="BQ633" t="s">
        <v>74</v>
      </c>
      <c r="BR633" t="s">
        <v>104</v>
      </c>
      <c r="BS633" t="s">
        <v>9277</v>
      </c>
      <c r="BT633" t="str">
        <f>HYPERLINK("https%3A%2F%2Fwww.webofscience.com%2Fwos%2Fwoscc%2Ffull-record%2FWOS:000428735600013","View Full Record in Web of Science")</f>
        <v>View Full Record in Web of Science</v>
      </c>
    </row>
    <row r="634" spans="1:72" x14ac:dyDescent="0.25">
      <c r="A634" t="s">
        <v>72</v>
      </c>
      <c r="B634" t="s">
        <v>1420</v>
      </c>
      <c r="C634" t="s">
        <v>74</v>
      </c>
      <c r="D634" t="s">
        <v>74</v>
      </c>
      <c r="E634" t="s">
        <v>74</v>
      </c>
      <c r="F634" t="s">
        <v>1421</v>
      </c>
      <c r="G634" t="s">
        <v>74</v>
      </c>
      <c r="H634" t="s">
        <v>74</v>
      </c>
      <c r="I634" t="s">
        <v>9278</v>
      </c>
      <c r="J634" t="s">
        <v>388</v>
      </c>
      <c r="K634" t="s">
        <v>74</v>
      </c>
      <c r="L634" t="s">
        <v>74</v>
      </c>
      <c r="M634" t="s">
        <v>78</v>
      </c>
      <c r="N634" t="s">
        <v>140</v>
      </c>
      <c r="O634" t="s">
        <v>74</v>
      </c>
      <c r="P634" t="s">
        <v>74</v>
      </c>
      <c r="Q634" t="s">
        <v>74</v>
      </c>
      <c r="R634" t="s">
        <v>74</v>
      </c>
      <c r="S634" t="s">
        <v>74</v>
      </c>
      <c r="T634" t="s">
        <v>74</v>
      </c>
      <c r="U634" t="s">
        <v>74</v>
      </c>
      <c r="V634" t="s">
        <v>74</v>
      </c>
      <c r="W634" t="s">
        <v>9279</v>
      </c>
      <c r="X634" t="s">
        <v>9280</v>
      </c>
      <c r="Y634" t="s">
        <v>9281</v>
      </c>
      <c r="Z634" t="s">
        <v>377</v>
      </c>
      <c r="AA634" t="s">
        <v>144</v>
      </c>
      <c r="AB634" t="s">
        <v>257</v>
      </c>
      <c r="AC634" t="s">
        <v>9282</v>
      </c>
      <c r="AD634" t="s">
        <v>9283</v>
      </c>
      <c r="AE634" t="s">
        <v>9284</v>
      </c>
      <c r="AF634" t="s">
        <v>74</v>
      </c>
      <c r="AG634">
        <v>10</v>
      </c>
      <c r="AH634">
        <v>2</v>
      </c>
      <c r="AI634">
        <v>2</v>
      </c>
      <c r="AJ634">
        <v>0</v>
      </c>
      <c r="AK634">
        <v>1</v>
      </c>
      <c r="AL634" t="s">
        <v>397</v>
      </c>
      <c r="AM634" t="s">
        <v>1074</v>
      </c>
      <c r="AN634" t="s">
        <v>4444</v>
      </c>
      <c r="AO634" t="s">
        <v>400</v>
      </c>
      <c r="AP634" t="s">
        <v>74</v>
      </c>
      <c r="AQ634" t="s">
        <v>74</v>
      </c>
      <c r="AR634" t="s">
        <v>401</v>
      </c>
      <c r="AS634" t="s">
        <v>402</v>
      </c>
      <c r="AT634" t="s">
        <v>176</v>
      </c>
      <c r="AU634">
        <v>2018</v>
      </c>
      <c r="AV634">
        <v>6</v>
      </c>
      <c r="AW634">
        <v>1</v>
      </c>
      <c r="AX634" t="s">
        <v>74</v>
      </c>
      <c r="AY634" t="s">
        <v>74</v>
      </c>
      <c r="AZ634" t="s">
        <v>74</v>
      </c>
      <c r="BA634" t="s">
        <v>74</v>
      </c>
      <c r="BB634">
        <v>7</v>
      </c>
      <c r="BC634">
        <v>8</v>
      </c>
      <c r="BD634" t="s">
        <v>74</v>
      </c>
      <c r="BE634" t="s">
        <v>9285</v>
      </c>
      <c r="BF634" t="str">
        <f>HYPERLINK("http://dx.doi.org/10.1016/S2213-2600(17)30343-0","http://dx.doi.org/10.1016/S2213-2600(17)30343-0")</f>
        <v>http://dx.doi.org/10.1016/S2213-2600(17)30343-0</v>
      </c>
      <c r="BG634" t="s">
        <v>74</v>
      </c>
      <c r="BH634" t="s">
        <v>74</v>
      </c>
      <c r="BI634">
        <v>2</v>
      </c>
      <c r="BJ634" t="s">
        <v>341</v>
      </c>
      <c r="BK634" t="s">
        <v>101</v>
      </c>
      <c r="BL634" t="s">
        <v>342</v>
      </c>
      <c r="BM634" t="s">
        <v>9286</v>
      </c>
      <c r="BN634">
        <v>28919199</v>
      </c>
      <c r="BO634" t="s">
        <v>74</v>
      </c>
      <c r="BP634" t="s">
        <v>74</v>
      </c>
      <c r="BQ634" t="s">
        <v>74</v>
      </c>
      <c r="BR634" t="s">
        <v>104</v>
      </c>
      <c r="BS634" t="s">
        <v>9287</v>
      </c>
      <c r="BT634" t="str">
        <f>HYPERLINK("https%3A%2F%2Fwww.webofscience.com%2Fwos%2Fwoscc%2Ffull-record%2FWOS:000418664800008","View Full Record in Web of Science")</f>
        <v>View Full Record in Web of Science</v>
      </c>
    </row>
    <row r="635" spans="1:72" x14ac:dyDescent="0.25">
      <c r="A635" t="s">
        <v>72</v>
      </c>
      <c r="B635" t="s">
        <v>9288</v>
      </c>
      <c r="C635" t="s">
        <v>74</v>
      </c>
      <c r="D635" t="s">
        <v>74</v>
      </c>
      <c r="E635" t="s">
        <v>74</v>
      </c>
      <c r="F635" t="s">
        <v>9289</v>
      </c>
      <c r="G635" t="s">
        <v>74</v>
      </c>
      <c r="H635" t="s">
        <v>74</v>
      </c>
      <c r="I635" t="s">
        <v>9290</v>
      </c>
      <c r="J635" t="s">
        <v>637</v>
      </c>
      <c r="K635" t="s">
        <v>74</v>
      </c>
      <c r="L635" t="s">
        <v>74</v>
      </c>
      <c r="M635" t="s">
        <v>78</v>
      </c>
      <c r="N635" t="s">
        <v>52</v>
      </c>
      <c r="O635" t="s">
        <v>3358</v>
      </c>
      <c r="P635" t="s">
        <v>9164</v>
      </c>
      <c r="Q635" t="s">
        <v>8167</v>
      </c>
      <c r="R635" t="s">
        <v>9165</v>
      </c>
      <c r="S635" t="s">
        <v>74</v>
      </c>
      <c r="T635" t="s">
        <v>74</v>
      </c>
      <c r="U635" t="s">
        <v>74</v>
      </c>
      <c r="V635" t="s">
        <v>74</v>
      </c>
      <c r="W635" t="s">
        <v>9291</v>
      </c>
      <c r="X635" t="s">
        <v>9292</v>
      </c>
      <c r="Y635" t="s">
        <v>74</v>
      </c>
      <c r="Z635" t="s">
        <v>74</v>
      </c>
      <c r="AA635" t="s">
        <v>9293</v>
      </c>
      <c r="AB635" t="s">
        <v>6895</v>
      </c>
      <c r="AC635" t="s">
        <v>6847</v>
      </c>
      <c r="AD635" t="s">
        <v>6848</v>
      </c>
      <c r="AE635" t="s">
        <v>6849</v>
      </c>
      <c r="AF635" t="s">
        <v>74</v>
      </c>
      <c r="AG635">
        <v>0</v>
      </c>
      <c r="AH635">
        <v>0</v>
      </c>
      <c r="AI635">
        <v>0</v>
      </c>
      <c r="AJ635">
        <v>0</v>
      </c>
      <c r="AK635">
        <v>2</v>
      </c>
      <c r="AL635" t="s">
        <v>649</v>
      </c>
      <c r="AM635" t="s">
        <v>486</v>
      </c>
      <c r="AN635" t="s">
        <v>650</v>
      </c>
      <c r="AO635" t="s">
        <v>651</v>
      </c>
      <c r="AP635" t="s">
        <v>652</v>
      </c>
      <c r="AQ635" t="s">
        <v>74</v>
      </c>
      <c r="AR635" t="s">
        <v>653</v>
      </c>
      <c r="AS635" t="s">
        <v>654</v>
      </c>
      <c r="AT635" t="s">
        <v>74</v>
      </c>
      <c r="AU635">
        <v>2018</v>
      </c>
      <c r="AV635">
        <v>197</v>
      </c>
      <c r="AW635" t="s">
        <v>74</v>
      </c>
      <c r="AX635" t="s">
        <v>74</v>
      </c>
      <c r="AY635" t="s">
        <v>74</v>
      </c>
      <c r="AZ635" t="s">
        <v>74</v>
      </c>
      <c r="BA635" t="s">
        <v>9294</v>
      </c>
      <c r="BB635" t="s">
        <v>74</v>
      </c>
      <c r="BC635" t="s">
        <v>74</v>
      </c>
      <c r="BD635" t="s">
        <v>74</v>
      </c>
      <c r="BE635" t="s">
        <v>74</v>
      </c>
      <c r="BF635" t="s">
        <v>74</v>
      </c>
      <c r="BG635" t="s">
        <v>74</v>
      </c>
      <c r="BH635" t="s">
        <v>74</v>
      </c>
      <c r="BI635">
        <v>2</v>
      </c>
      <c r="BJ635" t="s">
        <v>341</v>
      </c>
      <c r="BK635" t="s">
        <v>512</v>
      </c>
      <c r="BL635" t="s">
        <v>342</v>
      </c>
      <c r="BM635" t="s">
        <v>9180</v>
      </c>
      <c r="BN635" t="s">
        <v>74</v>
      </c>
      <c r="BO635" t="s">
        <v>74</v>
      </c>
      <c r="BP635" t="s">
        <v>74</v>
      </c>
      <c r="BQ635" t="s">
        <v>74</v>
      </c>
      <c r="BR635" t="s">
        <v>104</v>
      </c>
      <c r="BS635" t="s">
        <v>9295</v>
      </c>
      <c r="BT635" t="str">
        <f>HYPERLINK("https%3A%2F%2Fwww.webofscience.com%2Fwos%2Fwoscc%2Ffull-record%2FWOS:000449980302135","View Full Record in Web of Science")</f>
        <v>View Full Record in Web of Science</v>
      </c>
    </row>
    <row r="636" spans="1:72" x14ac:dyDescent="0.25">
      <c r="A636" t="s">
        <v>72</v>
      </c>
      <c r="B636" t="s">
        <v>9296</v>
      </c>
      <c r="C636" t="s">
        <v>74</v>
      </c>
      <c r="D636" t="s">
        <v>74</v>
      </c>
      <c r="E636" t="s">
        <v>74</v>
      </c>
      <c r="F636" t="s">
        <v>9297</v>
      </c>
      <c r="G636" t="s">
        <v>74</v>
      </c>
      <c r="H636" t="s">
        <v>74</v>
      </c>
      <c r="I636" t="s">
        <v>9298</v>
      </c>
      <c r="J636" t="s">
        <v>216</v>
      </c>
      <c r="K636" t="s">
        <v>74</v>
      </c>
      <c r="L636" t="s">
        <v>74</v>
      </c>
      <c r="M636" t="s">
        <v>78</v>
      </c>
      <c r="N636" t="s">
        <v>217</v>
      </c>
      <c r="O636" t="s">
        <v>74</v>
      </c>
      <c r="P636" t="s">
        <v>74</v>
      </c>
      <c r="Q636" t="s">
        <v>74</v>
      </c>
      <c r="R636" t="s">
        <v>74</v>
      </c>
      <c r="S636" t="s">
        <v>74</v>
      </c>
      <c r="T636" t="s">
        <v>74</v>
      </c>
      <c r="U636" t="s">
        <v>74</v>
      </c>
      <c r="V636" t="s">
        <v>74</v>
      </c>
      <c r="W636" t="s">
        <v>74</v>
      </c>
      <c r="X636" t="s">
        <v>74</v>
      </c>
      <c r="Y636" t="s">
        <v>74</v>
      </c>
      <c r="Z636" t="s">
        <v>74</v>
      </c>
      <c r="AA636" t="s">
        <v>9299</v>
      </c>
      <c r="AB636" t="s">
        <v>9300</v>
      </c>
      <c r="AC636" t="s">
        <v>74</v>
      </c>
      <c r="AD636" t="s">
        <v>74</v>
      </c>
      <c r="AE636" t="s">
        <v>74</v>
      </c>
      <c r="AF636" t="s">
        <v>74</v>
      </c>
      <c r="AG636">
        <v>1</v>
      </c>
      <c r="AH636">
        <v>1</v>
      </c>
      <c r="AI636">
        <v>2</v>
      </c>
      <c r="AJ636">
        <v>0</v>
      </c>
      <c r="AK636">
        <v>1</v>
      </c>
      <c r="AL636" t="s">
        <v>219</v>
      </c>
      <c r="AM636" t="s">
        <v>220</v>
      </c>
      <c r="AN636" t="s">
        <v>221</v>
      </c>
      <c r="AO636" t="s">
        <v>222</v>
      </c>
      <c r="AP636" t="s">
        <v>223</v>
      </c>
      <c r="AQ636" t="s">
        <v>74</v>
      </c>
      <c r="AR636" t="s">
        <v>224</v>
      </c>
      <c r="AS636" t="s">
        <v>225</v>
      </c>
      <c r="AT636" t="s">
        <v>1247</v>
      </c>
      <c r="AU636">
        <v>2018</v>
      </c>
      <c r="AV636">
        <v>51</v>
      </c>
      <c r="AW636">
        <v>1</v>
      </c>
      <c r="AX636" t="s">
        <v>74</v>
      </c>
      <c r="AY636" t="s">
        <v>74</v>
      </c>
      <c r="AZ636" t="s">
        <v>74</v>
      </c>
      <c r="BA636" t="s">
        <v>74</v>
      </c>
      <c r="BB636" t="s">
        <v>74</v>
      </c>
      <c r="BC636" t="s">
        <v>74</v>
      </c>
      <c r="BD636">
        <v>1850578</v>
      </c>
      <c r="BE636" t="s">
        <v>9301</v>
      </c>
      <c r="BF636" t="str">
        <f>HYPERLINK("http://dx.doi.org/10.1183/13993003.50578-2017","http://dx.doi.org/10.1183/13993003.50578-2017")</f>
        <v>http://dx.doi.org/10.1183/13993003.50578-2017</v>
      </c>
      <c r="BG636" t="s">
        <v>74</v>
      </c>
      <c r="BH636" t="s">
        <v>74</v>
      </c>
      <c r="BI636">
        <v>1</v>
      </c>
      <c r="BJ636" t="s">
        <v>228</v>
      </c>
      <c r="BK636" t="s">
        <v>101</v>
      </c>
      <c r="BL636" t="s">
        <v>228</v>
      </c>
      <c r="BM636" t="s">
        <v>9302</v>
      </c>
      <c r="BN636" t="s">
        <v>74</v>
      </c>
      <c r="BO636" t="s">
        <v>1194</v>
      </c>
      <c r="BP636" t="s">
        <v>74</v>
      </c>
      <c r="BQ636" t="s">
        <v>74</v>
      </c>
      <c r="BR636" t="s">
        <v>104</v>
      </c>
      <c r="BS636" t="s">
        <v>9303</v>
      </c>
      <c r="BT636" t="str">
        <f>HYPERLINK("https%3A%2F%2Fwww.webofscience.com%2Fwos%2Fwoscc%2Ffull-record%2FWOS:000424355100072","View Full Record in Web of Science")</f>
        <v>View Full Record in Web of Science</v>
      </c>
    </row>
    <row r="637" spans="1:72" x14ac:dyDescent="0.25">
      <c r="A637" t="s">
        <v>72</v>
      </c>
      <c r="B637" t="s">
        <v>9304</v>
      </c>
      <c r="C637" t="s">
        <v>74</v>
      </c>
      <c r="D637" t="s">
        <v>74</v>
      </c>
      <c r="E637" t="s">
        <v>74</v>
      </c>
      <c r="F637" t="s">
        <v>9305</v>
      </c>
      <c r="G637" t="s">
        <v>74</v>
      </c>
      <c r="H637" t="s">
        <v>74</v>
      </c>
      <c r="I637" t="s">
        <v>9306</v>
      </c>
      <c r="J637" t="s">
        <v>637</v>
      </c>
      <c r="K637" t="s">
        <v>74</v>
      </c>
      <c r="L637" t="s">
        <v>74</v>
      </c>
      <c r="M637" t="s">
        <v>78</v>
      </c>
      <c r="N637" t="s">
        <v>52</v>
      </c>
      <c r="O637" t="s">
        <v>3358</v>
      </c>
      <c r="P637" t="s">
        <v>9164</v>
      </c>
      <c r="Q637" t="s">
        <v>8167</v>
      </c>
      <c r="R637" t="s">
        <v>9165</v>
      </c>
      <c r="S637" t="s">
        <v>74</v>
      </c>
      <c r="T637" t="s">
        <v>74</v>
      </c>
      <c r="U637" t="s">
        <v>74</v>
      </c>
      <c r="V637" t="s">
        <v>74</v>
      </c>
      <c r="W637" t="s">
        <v>9307</v>
      </c>
      <c r="X637" t="s">
        <v>9308</v>
      </c>
      <c r="Y637" t="s">
        <v>74</v>
      </c>
      <c r="Z637" t="s">
        <v>3819</v>
      </c>
      <c r="AA637" t="s">
        <v>144</v>
      </c>
      <c r="AB637" t="s">
        <v>74</v>
      </c>
      <c r="AC637" t="s">
        <v>9309</v>
      </c>
      <c r="AD637" t="s">
        <v>4875</v>
      </c>
      <c r="AE637" t="s">
        <v>9310</v>
      </c>
      <c r="AF637" t="s">
        <v>74</v>
      </c>
      <c r="AG637">
        <v>0</v>
      </c>
      <c r="AH637">
        <v>0</v>
      </c>
      <c r="AI637">
        <v>0</v>
      </c>
      <c r="AJ637">
        <v>0</v>
      </c>
      <c r="AK637">
        <v>0</v>
      </c>
      <c r="AL637" t="s">
        <v>649</v>
      </c>
      <c r="AM637" t="s">
        <v>486</v>
      </c>
      <c r="AN637" t="s">
        <v>650</v>
      </c>
      <c r="AO637" t="s">
        <v>651</v>
      </c>
      <c r="AP637" t="s">
        <v>652</v>
      </c>
      <c r="AQ637" t="s">
        <v>74</v>
      </c>
      <c r="AR637" t="s">
        <v>653</v>
      </c>
      <c r="AS637" t="s">
        <v>654</v>
      </c>
      <c r="AT637" t="s">
        <v>74</v>
      </c>
      <c r="AU637">
        <v>2018</v>
      </c>
      <c r="AV637">
        <v>197</v>
      </c>
      <c r="AW637" t="s">
        <v>74</v>
      </c>
      <c r="AX637" t="s">
        <v>74</v>
      </c>
      <c r="AY637" t="s">
        <v>74</v>
      </c>
      <c r="AZ637" t="s">
        <v>74</v>
      </c>
      <c r="BA637" t="s">
        <v>9311</v>
      </c>
      <c r="BB637" t="s">
        <v>74</v>
      </c>
      <c r="BC637" t="s">
        <v>74</v>
      </c>
      <c r="BD637" t="s">
        <v>74</v>
      </c>
      <c r="BE637" t="s">
        <v>74</v>
      </c>
      <c r="BF637" t="s">
        <v>74</v>
      </c>
      <c r="BG637" t="s">
        <v>74</v>
      </c>
      <c r="BH637" t="s">
        <v>74</v>
      </c>
      <c r="BI637">
        <v>2</v>
      </c>
      <c r="BJ637" t="s">
        <v>341</v>
      </c>
      <c r="BK637" t="s">
        <v>512</v>
      </c>
      <c r="BL637" t="s">
        <v>342</v>
      </c>
      <c r="BM637" t="s">
        <v>9180</v>
      </c>
      <c r="BN637" t="s">
        <v>74</v>
      </c>
      <c r="BO637" t="s">
        <v>74</v>
      </c>
      <c r="BP637" t="s">
        <v>74</v>
      </c>
      <c r="BQ637" t="s">
        <v>74</v>
      </c>
      <c r="BR637" t="s">
        <v>104</v>
      </c>
      <c r="BS637" t="s">
        <v>9312</v>
      </c>
      <c r="BT637" t="str">
        <f>HYPERLINK("https%3A%2F%2Fwww.webofscience.com%2Fwos%2Fwoscc%2Ffull-record%2FWOS:000449980305403","View Full Record in Web of Science")</f>
        <v>View Full Record in Web of Science</v>
      </c>
    </row>
    <row r="638" spans="1:72" x14ac:dyDescent="0.25">
      <c r="A638" t="s">
        <v>72</v>
      </c>
      <c r="B638" t="s">
        <v>9313</v>
      </c>
      <c r="C638" t="s">
        <v>74</v>
      </c>
      <c r="D638" t="s">
        <v>74</v>
      </c>
      <c r="E638" t="s">
        <v>74</v>
      </c>
      <c r="F638" t="s">
        <v>9314</v>
      </c>
      <c r="G638" t="s">
        <v>74</v>
      </c>
      <c r="H638" t="s">
        <v>74</v>
      </c>
      <c r="I638" t="s">
        <v>9315</v>
      </c>
      <c r="J638" t="s">
        <v>9316</v>
      </c>
      <c r="K638" t="s">
        <v>74</v>
      </c>
      <c r="L638" t="s">
        <v>74</v>
      </c>
      <c r="M638" t="s">
        <v>78</v>
      </c>
      <c r="N638" t="s">
        <v>79</v>
      </c>
      <c r="O638" t="s">
        <v>74</v>
      </c>
      <c r="P638" t="s">
        <v>74</v>
      </c>
      <c r="Q638" t="s">
        <v>74</v>
      </c>
      <c r="R638" t="s">
        <v>74</v>
      </c>
      <c r="S638" t="s">
        <v>74</v>
      </c>
      <c r="T638" t="s">
        <v>9317</v>
      </c>
      <c r="U638" t="s">
        <v>9318</v>
      </c>
      <c r="V638" t="s">
        <v>9319</v>
      </c>
      <c r="W638" t="s">
        <v>9320</v>
      </c>
      <c r="X638" t="s">
        <v>9321</v>
      </c>
      <c r="Y638" t="s">
        <v>9322</v>
      </c>
      <c r="Z638" t="s">
        <v>9323</v>
      </c>
      <c r="AA638" t="s">
        <v>9324</v>
      </c>
      <c r="AB638" t="s">
        <v>9325</v>
      </c>
      <c r="AC638" t="s">
        <v>9326</v>
      </c>
      <c r="AD638" t="s">
        <v>9326</v>
      </c>
      <c r="AE638" t="s">
        <v>9327</v>
      </c>
      <c r="AF638" t="s">
        <v>74</v>
      </c>
      <c r="AG638">
        <v>40</v>
      </c>
      <c r="AH638">
        <v>20</v>
      </c>
      <c r="AI638">
        <v>21</v>
      </c>
      <c r="AJ638">
        <v>0</v>
      </c>
      <c r="AK638">
        <v>3</v>
      </c>
      <c r="AL638" t="s">
        <v>9328</v>
      </c>
      <c r="AM638" t="s">
        <v>1114</v>
      </c>
      <c r="AN638" t="s">
        <v>9329</v>
      </c>
      <c r="AO638" t="s">
        <v>9330</v>
      </c>
      <c r="AP638" t="s">
        <v>9331</v>
      </c>
      <c r="AQ638" t="s">
        <v>74</v>
      </c>
      <c r="AR638" t="s">
        <v>9316</v>
      </c>
      <c r="AS638" t="s">
        <v>9332</v>
      </c>
      <c r="AT638" t="s">
        <v>74</v>
      </c>
      <c r="AU638">
        <v>2018</v>
      </c>
      <c r="AV638">
        <v>95</v>
      </c>
      <c r="AW638">
        <v>4</v>
      </c>
      <c r="AX638" t="s">
        <v>74</v>
      </c>
      <c r="AY638" t="s">
        <v>74</v>
      </c>
      <c r="AZ638" t="s">
        <v>74</v>
      </c>
      <c r="BA638" t="s">
        <v>74</v>
      </c>
      <c r="BB638" t="s">
        <v>74</v>
      </c>
      <c r="BC638" t="s">
        <v>74</v>
      </c>
      <c r="BD638" t="s">
        <v>74</v>
      </c>
      <c r="BE638" t="s">
        <v>9333</v>
      </c>
      <c r="BF638" t="str">
        <f>HYPERLINK("http://dx.doi.org/10.1159/000485631","http://dx.doi.org/10.1159/000485631")</f>
        <v>http://dx.doi.org/10.1159/000485631</v>
      </c>
      <c r="BG638" t="s">
        <v>74</v>
      </c>
      <c r="BH638" t="s">
        <v>74</v>
      </c>
      <c r="BI638">
        <v>7</v>
      </c>
      <c r="BJ638" t="s">
        <v>228</v>
      </c>
      <c r="BK638" t="s">
        <v>101</v>
      </c>
      <c r="BL638" t="s">
        <v>228</v>
      </c>
      <c r="BM638" t="s">
        <v>9334</v>
      </c>
      <c r="BN638">
        <v>29490304</v>
      </c>
      <c r="BO638" t="s">
        <v>1908</v>
      </c>
      <c r="BP638" t="s">
        <v>74</v>
      </c>
      <c r="BQ638" t="s">
        <v>74</v>
      </c>
      <c r="BR638" t="s">
        <v>104</v>
      </c>
      <c r="BS638" t="s">
        <v>9335</v>
      </c>
      <c r="BT638" t="str">
        <f>HYPERLINK("https%3A%2F%2Fwww.webofscience.com%2Fwos%2Fwoscc%2Ffull-record%2FWOS:000429358900006","View Full Record in Web of Science")</f>
        <v>View Full Record in Web of Science</v>
      </c>
    </row>
    <row r="639" spans="1:72" x14ac:dyDescent="0.25">
      <c r="A639" t="s">
        <v>72</v>
      </c>
      <c r="B639" t="s">
        <v>9336</v>
      </c>
      <c r="C639" t="s">
        <v>74</v>
      </c>
      <c r="D639" t="s">
        <v>74</v>
      </c>
      <c r="E639" t="s">
        <v>74</v>
      </c>
      <c r="F639" t="s">
        <v>9337</v>
      </c>
      <c r="G639" t="s">
        <v>74</v>
      </c>
      <c r="H639" t="s">
        <v>74</v>
      </c>
      <c r="I639" t="s">
        <v>9338</v>
      </c>
      <c r="J639" t="s">
        <v>216</v>
      </c>
      <c r="K639" t="s">
        <v>74</v>
      </c>
      <c r="L639" t="s">
        <v>74</v>
      </c>
      <c r="M639" t="s">
        <v>78</v>
      </c>
      <c r="N639" t="s">
        <v>79</v>
      </c>
      <c r="O639" t="s">
        <v>74</v>
      </c>
      <c r="P639" t="s">
        <v>74</v>
      </c>
      <c r="Q639" t="s">
        <v>74</v>
      </c>
      <c r="R639" t="s">
        <v>74</v>
      </c>
      <c r="S639" t="s">
        <v>74</v>
      </c>
      <c r="T639" t="s">
        <v>74</v>
      </c>
      <c r="U639" t="s">
        <v>9339</v>
      </c>
      <c r="V639" t="s">
        <v>9340</v>
      </c>
      <c r="W639" t="s">
        <v>9341</v>
      </c>
      <c r="X639" t="s">
        <v>9342</v>
      </c>
      <c r="Y639" t="s">
        <v>8921</v>
      </c>
      <c r="Z639" t="s">
        <v>276</v>
      </c>
      <c r="AA639" t="s">
        <v>9343</v>
      </c>
      <c r="AB639" t="s">
        <v>9344</v>
      </c>
      <c r="AC639" t="s">
        <v>9345</v>
      </c>
      <c r="AD639" t="s">
        <v>9346</v>
      </c>
      <c r="AE639" t="s">
        <v>9347</v>
      </c>
      <c r="AF639" t="s">
        <v>74</v>
      </c>
      <c r="AG639">
        <v>43</v>
      </c>
      <c r="AH639">
        <v>56</v>
      </c>
      <c r="AI639">
        <v>58</v>
      </c>
      <c r="AJ639">
        <v>0</v>
      </c>
      <c r="AK639">
        <v>9</v>
      </c>
      <c r="AL639" t="s">
        <v>219</v>
      </c>
      <c r="AM639" t="s">
        <v>220</v>
      </c>
      <c r="AN639" t="s">
        <v>221</v>
      </c>
      <c r="AO639" t="s">
        <v>222</v>
      </c>
      <c r="AP639" t="s">
        <v>223</v>
      </c>
      <c r="AQ639" t="s">
        <v>74</v>
      </c>
      <c r="AR639" t="s">
        <v>224</v>
      </c>
      <c r="AS639" t="s">
        <v>225</v>
      </c>
      <c r="AT639" t="s">
        <v>1247</v>
      </c>
      <c r="AU639">
        <v>2018</v>
      </c>
      <c r="AV639">
        <v>51</v>
      </c>
      <c r="AW639">
        <v>1</v>
      </c>
      <c r="AX639" t="s">
        <v>74</v>
      </c>
      <c r="AY639" t="s">
        <v>74</v>
      </c>
      <c r="AZ639" t="s">
        <v>74</v>
      </c>
      <c r="BA639" t="s">
        <v>74</v>
      </c>
      <c r="BB639" t="s">
        <v>74</v>
      </c>
      <c r="BC639" t="s">
        <v>74</v>
      </c>
      <c r="BD639">
        <v>1701096</v>
      </c>
      <c r="BE639" t="s">
        <v>9348</v>
      </c>
      <c r="BF639" t="str">
        <f>HYPERLINK("http://dx.doi.org/10.1183/13993003.01096-2017","http://dx.doi.org/10.1183/13993003.01096-2017")</f>
        <v>http://dx.doi.org/10.1183/13993003.01096-2017</v>
      </c>
      <c r="BG639" t="s">
        <v>74</v>
      </c>
      <c r="BH639" t="s">
        <v>74</v>
      </c>
      <c r="BI639">
        <v>14</v>
      </c>
      <c r="BJ639" t="s">
        <v>228</v>
      </c>
      <c r="BK639" t="s">
        <v>101</v>
      </c>
      <c r="BL639" t="s">
        <v>228</v>
      </c>
      <c r="BM639" t="s">
        <v>9302</v>
      </c>
      <c r="BN639">
        <v>29348177</v>
      </c>
      <c r="BO639" t="s">
        <v>1194</v>
      </c>
      <c r="BP639" t="s">
        <v>74</v>
      </c>
      <c r="BQ639" t="s">
        <v>74</v>
      </c>
      <c r="BR639" t="s">
        <v>104</v>
      </c>
      <c r="BS639" t="s">
        <v>9349</v>
      </c>
      <c r="BT639" t="str">
        <f>HYPERLINK("https%3A%2F%2Fwww.webofscience.com%2Fwos%2Fwoscc%2Ffull-record%2FWOS:000424355100004","View Full Record in Web of Science")</f>
        <v>View Full Record in Web of Science</v>
      </c>
    </row>
    <row r="640" spans="1:72" x14ac:dyDescent="0.25">
      <c r="A640" t="s">
        <v>72</v>
      </c>
      <c r="B640" t="s">
        <v>9350</v>
      </c>
      <c r="C640" t="s">
        <v>74</v>
      </c>
      <c r="D640" t="s">
        <v>74</v>
      </c>
      <c r="E640" t="s">
        <v>74</v>
      </c>
      <c r="F640" t="s">
        <v>9351</v>
      </c>
      <c r="G640" t="s">
        <v>74</v>
      </c>
      <c r="H640" t="s">
        <v>74</v>
      </c>
      <c r="I640" t="s">
        <v>9352</v>
      </c>
      <c r="J640" t="s">
        <v>637</v>
      </c>
      <c r="K640" t="s">
        <v>74</v>
      </c>
      <c r="L640" t="s">
        <v>74</v>
      </c>
      <c r="M640" t="s">
        <v>78</v>
      </c>
      <c r="N640" t="s">
        <v>52</v>
      </c>
      <c r="O640" t="s">
        <v>3358</v>
      </c>
      <c r="P640" t="s">
        <v>9164</v>
      </c>
      <c r="Q640" t="s">
        <v>8167</v>
      </c>
      <c r="R640" t="s">
        <v>9165</v>
      </c>
      <c r="S640" t="s">
        <v>74</v>
      </c>
      <c r="T640" t="s">
        <v>74</v>
      </c>
      <c r="U640" t="s">
        <v>74</v>
      </c>
      <c r="V640" t="s">
        <v>74</v>
      </c>
      <c r="W640" t="s">
        <v>9353</v>
      </c>
      <c r="X640" t="s">
        <v>9354</v>
      </c>
      <c r="Y640" t="s">
        <v>74</v>
      </c>
      <c r="Z640" t="s">
        <v>74</v>
      </c>
      <c r="AA640" t="s">
        <v>9355</v>
      </c>
      <c r="AB640" t="s">
        <v>74</v>
      </c>
      <c r="AC640" t="s">
        <v>6317</v>
      </c>
      <c r="AD640" t="s">
        <v>6317</v>
      </c>
      <c r="AE640" t="s">
        <v>9356</v>
      </c>
      <c r="AF640" t="s">
        <v>74</v>
      </c>
      <c r="AG640">
        <v>0</v>
      </c>
      <c r="AH640">
        <v>3</v>
      </c>
      <c r="AI640">
        <v>3</v>
      </c>
      <c r="AJ640">
        <v>0</v>
      </c>
      <c r="AK640">
        <v>1</v>
      </c>
      <c r="AL640" t="s">
        <v>649</v>
      </c>
      <c r="AM640" t="s">
        <v>486</v>
      </c>
      <c r="AN640" t="s">
        <v>650</v>
      </c>
      <c r="AO640" t="s">
        <v>651</v>
      </c>
      <c r="AP640" t="s">
        <v>652</v>
      </c>
      <c r="AQ640" t="s">
        <v>74</v>
      </c>
      <c r="AR640" t="s">
        <v>653</v>
      </c>
      <c r="AS640" t="s">
        <v>654</v>
      </c>
      <c r="AT640" t="s">
        <v>74</v>
      </c>
      <c r="AU640">
        <v>2018</v>
      </c>
      <c r="AV640">
        <v>197</v>
      </c>
      <c r="AW640" t="s">
        <v>74</v>
      </c>
      <c r="AX640" t="s">
        <v>74</v>
      </c>
      <c r="AY640" t="s">
        <v>74</v>
      </c>
      <c r="AZ640" t="s">
        <v>74</v>
      </c>
      <c r="BA640" t="s">
        <v>9357</v>
      </c>
      <c r="BB640" t="s">
        <v>74</v>
      </c>
      <c r="BC640" t="s">
        <v>74</v>
      </c>
      <c r="BD640" t="s">
        <v>74</v>
      </c>
      <c r="BE640" t="s">
        <v>74</v>
      </c>
      <c r="BF640" t="s">
        <v>74</v>
      </c>
      <c r="BG640" t="s">
        <v>74</v>
      </c>
      <c r="BH640" t="s">
        <v>74</v>
      </c>
      <c r="BI640">
        <v>2</v>
      </c>
      <c r="BJ640" t="s">
        <v>341</v>
      </c>
      <c r="BK640" t="s">
        <v>512</v>
      </c>
      <c r="BL640" t="s">
        <v>342</v>
      </c>
      <c r="BM640" t="s">
        <v>9180</v>
      </c>
      <c r="BN640" t="s">
        <v>74</v>
      </c>
      <c r="BO640" t="s">
        <v>74</v>
      </c>
      <c r="BP640" t="s">
        <v>74</v>
      </c>
      <c r="BQ640" t="s">
        <v>74</v>
      </c>
      <c r="BR640" t="s">
        <v>104</v>
      </c>
      <c r="BS640" t="s">
        <v>9358</v>
      </c>
      <c r="BT640" t="str">
        <f>HYPERLINK("https%3A%2F%2Fwww.webofscience.com%2Fwos%2Fwoscc%2Ffull-record%2FWOS:000449980302133","View Full Record in Web of Science")</f>
        <v>View Full Record in Web of Science</v>
      </c>
    </row>
    <row r="641" spans="1:72" x14ac:dyDescent="0.25">
      <c r="A641" t="s">
        <v>72</v>
      </c>
      <c r="B641" t="s">
        <v>9359</v>
      </c>
      <c r="C641" t="s">
        <v>74</v>
      </c>
      <c r="D641" t="s">
        <v>74</v>
      </c>
      <c r="E641" t="s">
        <v>74</v>
      </c>
      <c r="F641" t="s">
        <v>9360</v>
      </c>
      <c r="G641" t="s">
        <v>74</v>
      </c>
      <c r="H641" t="s">
        <v>9361</v>
      </c>
      <c r="I641" t="s">
        <v>9362</v>
      </c>
      <c r="J641" t="s">
        <v>637</v>
      </c>
      <c r="K641" t="s">
        <v>74</v>
      </c>
      <c r="L641" t="s">
        <v>74</v>
      </c>
      <c r="M641" t="s">
        <v>78</v>
      </c>
      <c r="N641" t="s">
        <v>52</v>
      </c>
      <c r="O641" t="s">
        <v>3358</v>
      </c>
      <c r="P641" t="s">
        <v>9164</v>
      </c>
      <c r="Q641" t="s">
        <v>8167</v>
      </c>
      <c r="R641" t="s">
        <v>9165</v>
      </c>
      <c r="S641" t="s">
        <v>74</v>
      </c>
      <c r="T641" t="s">
        <v>74</v>
      </c>
      <c r="U641" t="s">
        <v>74</v>
      </c>
      <c r="V641" t="s">
        <v>74</v>
      </c>
      <c r="W641" t="s">
        <v>9363</v>
      </c>
      <c r="X641" t="s">
        <v>9364</v>
      </c>
      <c r="Y641" t="s">
        <v>74</v>
      </c>
      <c r="Z641" t="s">
        <v>9365</v>
      </c>
      <c r="AA641" t="s">
        <v>9366</v>
      </c>
      <c r="AB641" t="s">
        <v>9367</v>
      </c>
      <c r="AC641" t="s">
        <v>9368</v>
      </c>
      <c r="AD641" t="s">
        <v>9368</v>
      </c>
      <c r="AE641" t="s">
        <v>9369</v>
      </c>
      <c r="AF641" t="s">
        <v>74</v>
      </c>
      <c r="AG641">
        <v>0</v>
      </c>
      <c r="AH641">
        <v>0</v>
      </c>
      <c r="AI641">
        <v>0</v>
      </c>
      <c r="AJ641">
        <v>0</v>
      </c>
      <c r="AK641">
        <v>3</v>
      </c>
      <c r="AL641" t="s">
        <v>649</v>
      </c>
      <c r="AM641" t="s">
        <v>486</v>
      </c>
      <c r="AN641" t="s">
        <v>650</v>
      </c>
      <c r="AO641" t="s">
        <v>651</v>
      </c>
      <c r="AP641" t="s">
        <v>652</v>
      </c>
      <c r="AQ641" t="s">
        <v>74</v>
      </c>
      <c r="AR641" t="s">
        <v>653</v>
      </c>
      <c r="AS641" t="s">
        <v>654</v>
      </c>
      <c r="AT641" t="s">
        <v>74</v>
      </c>
      <c r="AU641">
        <v>2018</v>
      </c>
      <c r="AV641">
        <v>197</v>
      </c>
      <c r="AW641" t="s">
        <v>74</v>
      </c>
      <c r="AX641" t="s">
        <v>74</v>
      </c>
      <c r="AY641" t="s">
        <v>74</v>
      </c>
      <c r="AZ641" t="s">
        <v>74</v>
      </c>
      <c r="BA641" t="s">
        <v>9370</v>
      </c>
      <c r="BB641" t="s">
        <v>74</v>
      </c>
      <c r="BC641" t="s">
        <v>74</v>
      </c>
      <c r="BD641" t="s">
        <v>74</v>
      </c>
      <c r="BE641" t="s">
        <v>74</v>
      </c>
      <c r="BF641" t="s">
        <v>74</v>
      </c>
      <c r="BG641" t="s">
        <v>74</v>
      </c>
      <c r="BH641" t="s">
        <v>74</v>
      </c>
      <c r="BI641">
        <v>2</v>
      </c>
      <c r="BJ641" t="s">
        <v>341</v>
      </c>
      <c r="BK641" t="s">
        <v>512</v>
      </c>
      <c r="BL641" t="s">
        <v>342</v>
      </c>
      <c r="BM641" t="s">
        <v>9180</v>
      </c>
      <c r="BN641" t="s">
        <v>74</v>
      </c>
      <c r="BO641" t="s">
        <v>74</v>
      </c>
      <c r="BP641" t="s">
        <v>74</v>
      </c>
      <c r="BQ641" t="s">
        <v>74</v>
      </c>
      <c r="BR641" t="s">
        <v>104</v>
      </c>
      <c r="BS641" t="s">
        <v>9371</v>
      </c>
      <c r="BT641" t="str">
        <f>HYPERLINK("https%3A%2F%2Fwww.webofscience.com%2Fwos%2Fwoscc%2Ffull-record%2FWOS:000449980305396","View Full Record in Web of Science")</f>
        <v>View Full Record in Web of Science</v>
      </c>
    </row>
    <row r="642" spans="1:72" x14ac:dyDescent="0.25">
      <c r="A642" t="s">
        <v>72</v>
      </c>
      <c r="B642" t="s">
        <v>9372</v>
      </c>
      <c r="C642" t="s">
        <v>74</v>
      </c>
      <c r="D642" t="s">
        <v>74</v>
      </c>
      <c r="E642" t="s">
        <v>74</v>
      </c>
      <c r="F642" t="s">
        <v>9373</v>
      </c>
      <c r="G642" t="s">
        <v>74</v>
      </c>
      <c r="H642" t="s">
        <v>74</v>
      </c>
      <c r="I642" t="s">
        <v>9374</v>
      </c>
      <c r="J642" t="s">
        <v>637</v>
      </c>
      <c r="K642" t="s">
        <v>74</v>
      </c>
      <c r="L642" t="s">
        <v>74</v>
      </c>
      <c r="M642" t="s">
        <v>78</v>
      </c>
      <c r="N642" t="s">
        <v>52</v>
      </c>
      <c r="O642" t="s">
        <v>3358</v>
      </c>
      <c r="P642" t="s">
        <v>9164</v>
      </c>
      <c r="Q642" t="s">
        <v>8167</v>
      </c>
      <c r="R642" t="s">
        <v>9165</v>
      </c>
      <c r="S642" t="s">
        <v>74</v>
      </c>
      <c r="T642" t="s">
        <v>74</v>
      </c>
      <c r="U642" t="s">
        <v>74</v>
      </c>
      <c r="V642" t="s">
        <v>74</v>
      </c>
      <c r="W642" t="s">
        <v>9375</v>
      </c>
      <c r="X642" t="s">
        <v>9376</v>
      </c>
      <c r="Y642" t="s">
        <v>74</v>
      </c>
      <c r="Z642" t="s">
        <v>9377</v>
      </c>
      <c r="AA642" t="s">
        <v>9378</v>
      </c>
      <c r="AB642" t="s">
        <v>5709</v>
      </c>
      <c r="AC642" t="s">
        <v>9379</v>
      </c>
      <c r="AD642" t="s">
        <v>9379</v>
      </c>
      <c r="AE642" t="s">
        <v>9380</v>
      </c>
      <c r="AF642" t="s">
        <v>74</v>
      </c>
      <c r="AG642">
        <v>0</v>
      </c>
      <c r="AH642">
        <v>0</v>
      </c>
      <c r="AI642">
        <v>0</v>
      </c>
      <c r="AJ642">
        <v>0</v>
      </c>
      <c r="AK642">
        <v>2</v>
      </c>
      <c r="AL642" t="s">
        <v>649</v>
      </c>
      <c r="AM642" t="s">
        <v>486</v>
      </c>
      <c r="AN642" t="s">
        <v>650</v>
      </c>
      <c r="AO642" t="s">
        <v>651</v>
      </c>
      <c r="AP642" t="s">
        <v>652</v>
      </c>
      <c r="AQ642" t="s">
        <v>74</v>
      </c>
      <c r="AR642" t="s">
        <v>653</v>
      </c>
      <c r="AS642" t="s">
        <v>654</v>
      </c>
      <c r="AT642" t="s">
        <v>74</v>
      </c>
      <c r="AU642">
        <v>2018</v>
      </c>
      <c r="AV642">
        <v>197</v>
      </c>
      <c r="AW642" t="s">
        <v>74</v>
      </c>
      <c r="AX642" t="s">
        <v>74</v>
      </c>
      <c r="AY642" t="s">
        <v>74</v>
      </c>
      <c r="AZ642" t="s">
        <v>74</v>
      </c>
      <c r="BA642" t="s">
        <v>9381</v>
      </c>
      <c r="BB642" t="s">
        <v>74</v>
      </c>
      <c r="BC642" t="s">
        <v>74</v>
      </c>
      <c r="BD642" t="s">
        <v>74</v>
      </c>
      <c r="BE642" t="s">
        <v>74</v>
      </c>
      <c r="BF642" t="s">
        <v>74</v>
      </c>
      <c r="BG642" t="s">
        <v>74</v>
      </c>
      <c r="BH642" t="s">
        <v>74</v>
      </c>
      <c r="BI642">
        <v>2</v>
      </c>
      <c r="BJ642" t="s">
        <v>341</v>
      </c>
      <c r="BK642" t="s">
        <v>512</v>
      </c>
      <c r="BL642" t="s">
        <v>342</v>
      </c>
      <c r="BM642" t="s">
        <v>9170</v>
      </c>
      <c r="BN642" t="s">
        <v>74</v>
      </c>
      <c r="BO642" t="s">
        <v>74</v>
      </c>
      <c r="BP642" t="s">
        <v>74</v>
      </c>
      <c r="BQ642" t="s">
        <v>74</v>
      </c>
      <c r="BR642" t="s">
        <v>104</v>
      </c>
      <c r="BS642" t="s">
        <v>9382</v>
      </c>
      <c r="BT642" t="str">
        <f>HYPERLINK("https%3A%2F%2Fwww.webofscience.com%2Fwos%2Fwoscc%2Ffull-record%2FWOS:000449978900180","View Full Record in Web of Science")</f>
        <v>View Full Record in Web of Science</v>
      </c>
    </row>
    <row r="643" spans="1:72" x14ac:dyDescent="0.25">
      <c r="A643" t="s">
        <v>72</v>
      </c>
      <c r="B643" t="s">
        <v>9383</v>
      </c>
      <c r="C643" t="s">
        <v>74</v>
      </c>
      <c r="D643" t="s">
        <v>74</v>
      </c>
      <c r="E643" t="s">
        <v>74</v>
      </c>
      <c r="F643" t="s">
        <v>9384</v>
      </c>
      <c r="G643" t="s">
        <v>74</v>
      </c>
      <c r="H643" t="s">
        <v>74</v>
      </c>
      <c r="I643" t="s">
        <v>9385</v>
      </c>
      <c r="J643" t="s">
        <v>814</v>
      </c>
      <c r="K643" t="s">
        <v>74</v>
      </c>
      <c r="L643" t="s">
        <v>74</v>
      </c>
      <c r="M643" t="s">
        <v>78</v>
      </c>
      <c r="N643" t="s">
        <v>299</v>
      </c>
      <c r="O643" t="s">
        <v>74</v>
      </c>
      <c r="P643" t="s">
        <v>74</v>
      </c>
      <c r="Q643" t="s">
        <v>74</v>
      </c>
      <c r="R643" t="s">
        <v>74</v>
      </c>
      <c r="S643" t="s">
        <v>74</v>
      </c>
      <c r="T643" t="s">
        <v>74</v>
      </c>
      <c r="U643" t="s">
        <v>9386</v>
      </c>
      <c r="V643" t="s">
        <v>9387</v>
      </c>
      <c r="W643" t="s">
        <v>9388</v>
      </c>
      <c r="X643" t="s">
        <v>9389</v>
      </c>
      <c r="Y643" t="s">
        <v>9390</v>
      </c>
      <c r="Z643" t="s">
        <v>9391</v>
      </c>
      <c r="AA643" t="s">
        <v>2347</v>
      </c>
      <c r="AB643" t="s">
        <v>257</v>
      </c>
      <c r="AC643" t="s">
        <v>9392</v>
      </c>
      <c r="AD643" t="s">
        <v>9392</v>
      </c>
      <c r="AE643" t="s">
        <v>9393</v>
      </c>
      <c r="AF643" t="s">
        <v>74</v>
      </c>
      <c r="AG643">
        <v>106</v>
      </c>
      <c r="AH643">
        <v>72</v>
      </c>
      <c r="AI643">
        <v>76</v>
      </c>
      <c r="AJ643">
        <v>2</v>
      </c>
      <c r="AK643">
        <v>16</v>
      </c>
      <c r="AL643" t="s">
        <v>219</v>
      </c>
      <c r="AM643" t="s">
        <v>220</v>
      </c>
      <c r="AN643" t="s">
        <v>221</v>
      </c>
      <c r="AO643" t="s">
        <v>823</v>
      </c>
      <c r="AP643" t="s">
        <v>824</v>
      </c>
      <c r="AQ643" t="s">
        <v>74</v>
      </c>
      <c r="AR643" t="s">
        <v>825</v>
      </c>
      <c r="AS643" t="s">
        <v>826</v>
      </c>
      <c r="AT643" t="s">
        <v>3865</v>
      </c>
      <c r="AU643">
        <v>2017</v>
      </c>
      <c r="AV643">
        <v>26</v>
      </c>
      <c r="AW643">
        <v>146</v>
      </c>
      <c r="AX643" t="s">
        <v>74</v>
      </c>
      <c r="AY643" t="s">
        <v>74</v>
      </c>
      <c r="AZ643" t="s">
        <v>74</v>
      </c>
      <c r="BA643" t="s">
        <v>74</v>
      </c>
      <c r="BB643" t="s">
        <v>74</v>
      </c>
      <c r="BC643" t="s">
        <v>74</v>
      </c>
      <c r="BD643">
        <v>170093</v>
      </c>
      <c r="BE643" t="s">
        <v>9394</v>
      </c>
      <c r="BF643" t="str">
        <f>HYPERLINK("http://dx.doi.org/10.1183/16000617.0093-2017","http://dx.doi.org/10.1183/16000617.0093-2017")</f>
        <v>http://dx.doi.org/10.1183/16000617.0093-2017</v>
      </c>
      <c r="BG643" t="s">
        <v>74</v>
      </c>
      <c r="BH643" t="s">
        <v>74</v>
      </c>
      <c r="BI643">
        <v>11</v>
      </c>
      <c r="BJ643" t="s">
        <v>228</v>
      </c>
      <c r="BK643" t="s">
        <v>101</v>
      </c>
      <c r="BL643" t="s">
        <v>228</v>
      </c>
      <c r="BM643" t="s">
        <v>9395</v>
      </c>
      <c r="BN643">
        <v>29263173</v>
      </c>
      <c r="BO643" t="s">
        <v>809</v>
      </c>
      <c r="BP643" t="s">
        <v>74</v>
      </c>
      <c r="BQ643" t="s">
        <v>74</v>
      </c>
      <c r="BR643" t="s">
        <v>104</v>
      </c>
      <c r="BS643" t="s">
        <v>9396</v>
      </c>
      <c r="BT643" t="str">
        <f>HYPERLINK("https%3A%2F%2Fwww.webofscience.com%2Fwos%2Fwoscc%2Ffull-record%2FWOS:000418426100016","View Full Record in Web of Science")</f>
        <v>View Full Record in Web of Science</v>
      </c>
    </row>
    <row r="644" spans="1:72" x14ac:dyDescent="0.25">
      <c r="A644" t="s">
        <v>72</v>
      </c>
      <c r="B644" t="s">
        <v>9397</v>
      </c>
      <c r="C644" t="s">
        <v>74</v>
      </c>
      <c r="D644" t="s">
        <v>74</v>
      </c>
      <c r="E644" t="s">
        <v>74</v>
      </c>
      <c r="F644" t="s">
        <v>9398</v>
      </c>
      <c r="G644" t="s">
        <v>74</v>
      </c>
      <c r="H644" t="s">
        <v>74</v>
      </c>
      <c r="I644" t="s">
        <v>9399</v>
      </c>
      <c r="J644" t="s">
        <v>814</v>
      </c>
      <c r="K644" t="s">
        <v>74</v>
      </c>
      <c r="L644" t="s">
        <v>74</v>
      </c>
      <c r="M644" t="s">
        <v>78</v>
      </c>
      <c r="N644" t="s">
        <v>79</v>
      </c>
      <c r="O644" t="s">
        <v>74</v>
      </c>
      <c r="P644" t="s">
        <v>74</v>
      </c>
      <c r="Q644" t="s">
        <v>74</v>
      </c>
      <c r="R644" t="s">
        <v>74</v>
      </c>
      <c r="S644" t="s">
        <v>74</v>
      </c>
      <c r="T644" t="s">
        <v>74</v>
      </c>
      <c r="U644" t="s">
        <v>9400</v>
      </c>
      <c r="V644" t="s">
        <v>9401</v>
      </c>
      <c r="W644" t="s">
        <v>9402</v>
      </c>
      <c r="X644" t="s">
        <v>9403</v>
      </c>
      <c r="Y644" t="s">
        <v>9404</v>
      </c>
      <c r="Z644" t="s">
        <v>9405</v>
      </c>
      <c r="AA644" t="s">
        <v>9406</v>
      </c>
      <c r="AB644" t="s">
        <v>9407</v>
      </c>
      <c r="AC644" t="s">
        <v>74</v>
      </c>
      <c r="AD644" t="s">
        <v>74</v>
      </c>
      <c r="AE644" t="s">
        <v>74</v>
      </c>
      <c r="AF644" t="s">
        <v>74</v>
      </c>
      <c r="AG644">
        <v>67</v>
      </c>
      <c r="AH644">
        <v>55</v>
      </c>
      <c r="AI644">
        <v>55</v>
      </c>
      <c r="AJ644">
        <v>0</v>
      </c>
      <c r="AK644">
        <v>6</v>
      </c>
      <c r="AL644" t="s">
        <v>219</v>
      </c>
      <c r="AM644" t="s">
        <v>220</v>
      </c>
      <c r="AN644" t="s">
        <v>221</v>
      </c>
      <c r="AO644" t="s">
        <v>823</v>
      </c>
      <c r="AP644" t="s">
        <v>824</v>
      </c>
      <c r="AQ644" t="s">
        <v>74</v>
      </c>
      <c r="AR644" t="s">
        <v>825</v>
      </c>
      <c r="AS644" t="s">
        <v>826</v>
      </c>
      <c r="AT644" t="s">
        <v>3865</v>
      </c>
      <c r="AU644">
        <v>2017</v>
      </c>
      <c r="AV644">
        <v>26</v>
      </c>
      <c r="AW644">
        <v>146</v>
      </c>
      <c r="AX644" t="s">
        <v>74</v>
      </c>
      <c r="AY644" t="s">
        <v>74</v>
      </c>
      <c r="AZ644" t="s">
        <v>74</v>
      </c>
      <c r="BA644" t="s">
        <v>74</v>
      </c>
      <c r="BB644" t="s">
        <v>74</v>
      </c>
      <c r="BC644" t="s">
        <v>74</v>
      </c>
      <c r="BD644">
        <v>170092</v>
      </c>
      <c r="BE644" t="s">
        <v>9408</v>
      </c>
      <c r="BF644" t="str">
        <f>HYPERLINK("http://dx.doi.org/10.1183/16000617.0092-2017","http://dx.doi.org/10.1183/16000617.0092-2017")</f>
        <v>http://dx.doi.org/10.1183/16000617.0092-2017</v>
      </c>
      <c r="BG644" t="s">
        <v>74</v>
      </c>
      <c r="BH644" t="s">
        <v>74</v>
      </c>
      <c r="BI644">
        <v>12</v>
      </c>
      <c r="BJ644" t="s">
        <v>228</v>
      </c>
      <c r="BK644" t="s">
        <v>101</v>
      </c>
      <c r="BL644" t="s">
        <v>228</v>
      </c>
      <c r="BM644" t="s">
        <v>9395</v>
      </c>
      <c r="BN644">
        <v>29141964</v>
      </c>
      <c r="BO644" t="s">
        <v>809</v>
      </c>
      <c r="BP644" t="s">
        <v>74</v>
      </c>
      <c r="BQ644" t="s">
        <v>74</v>
      </c>
      <c r="BR644" t="s">
        <v>104</v>
      </c>
      <c r="BS644" t="s">
        <v>9409</v>
      </c>
      <c r="BT644" t="str">
        <f>HYPERLINK("https%3A%2F%2Fwww.webofscience.com%2Fwos%2Fwoscc%2Ffull-record%2FWOS:000418426100015","View Full Record in Web of Science")</f>
        <v>View Full Record in Web of Science</v>
      </c>
    </row>
    <row r="645" spans="1:72" x14ac:dyDescent="0.25">
      <c r="A645" t="s">
        <v>72</v>
      </c>
      <c r="B645" t="s">
        <v>9410</v>
      </c>
      <c r="C645" t="s">
        <v>74</v>
      </c>
      <c r="D645" t="s">
        <v>74</v>
      </c>
      <c r="E645" t="s">
        <v>74</v>
      </c>
      <c r="F645" t="s">
        <v>9411</v>
      </c>
      <c r="G645" t="s">
        <v>74</v>
      </c>
      <c r="H645" t="s">
        <v>74</v>
      </c>
      <c r="I645" t="s">
        <v>9412</v>
      </c>
      <c r="J645" t="s">
        <v>216</v>
      </c>
      <c r="K645" t="s">
        <v>74</v>
      </c>
      <c r="L645" t="s">
        <v>74</v>
      </c>
      <c r="M645" t="s">
        <v>78</v>
      </c>
      <c r="N645" t="s">
        <v>140</v>
      </c>
      <c r="O645" t="s">
        <v>74</v>
      </c>
      <c r="P645" t="s">
        <v>74</v>
      </c>
      <c r="Q645" t="s">
        <v>74</v>
      </c>
      <c r="R645" t="s">
        <v>74</v>
      </c>
      <c r="S645" t="s">
        <v>74</v>
      </c>
      <c r="T645" t="s">
        <v>74</v>
      </c>
      <c r="U645" t="s">
        <v>9413</v>
      </c>
      <c r="V645" t="s">
        <v>74</v>
      </c>
      <c r="W645" t="s">
        <v>9414</v>
      </c>
      <c r="X645" t="s">
        <v>9415</v>
      </c>
      <c r="Y645" t="s">
        <v>9416</v>
      </c>
      <c r="Z645" t="s">
        <v>4563</v>
      </c>
      <c r="AA645" t="s">
        <v>9417</v>
      </c>
      <c r="AB645" t="s">
        <v>9418</v>
      </c>
      <c r="AC645" t="s">
        <v>74</v>
      </c>
      <c r="AD645" t="s">
        <v>74</v>
      </c>
      <c r="AE645" t="s">
        <v>74</v>
      </c>
      <c r="AF645" t="s">
        <v>74</v>
      </c>
      <c r="AG645">
        <v>31</v>
      </c>
      <c r="AH645">
        <v>66</v>
      </c>
      <c r="AI645">
        <v>69</v>
      </c>
      <c r="AJ645">
        <v>0</v>
      </c>
      <c r="AK645">
        <v>4</v>
      </c>
      <c r="AL645" t="s">
        <v>219</v>
      </c>
      <c r="AM645" t="s">
        <v>220</v>
      </c>
      <c r="AN645" t="s">
        <v>221</v>
      </c>
      <c r="AO645" t="s">
        <v>222</v>
      </c>
      <c r="AP645" t="s">
        <v>223</v>
      </c>
      <c r="AQ645" t="s">
        <v>74</v>
      </c>
      <c r="AR645" t="s">
        <v>224</v>
      </c>
      <c r="AS645" t="s">
        <v>225</v>
      </c>
      <c r="AT645" t="s">
        <v>2689</v>
      </c>
      <c r="AU645">
        <v>2017</v>
      </c>
      <c r="AV645">
        <v>50</v>
      </c>
      <c r="AW645">
        <v>6</v>
      </c>
      <c r="AX645" t="s">
        <v>74</v>
      </c>
      <c r="AY645" t="s">
        <v>74</v>
      </c>
      <c r="AZ645" t="s">
        <v>74</v>
      </c>
      <c r="BA645" t="s">
        <v>74</v>
      </c>
      <c r="BB645" t="s">
        <v>74</v>
      </c>
      <c r="BC645" t="s">
        <v>74</v>
      </c>
      <c r="BD645">
        <v>1701782</v>
      </c>
      <c r="BE645" t="s">
        <v>9419</v>
      </c>
      <c r="BF645" t="str">
        <f>HYPERLINK("http://dx.doi.org/10.1183/13993003.01782-2017","http://dx.doi.org/10.1183/13993003.01782-2017")</f>
        <v>http://dx.doi.org/10.1183/13993003.01782-2017</v>
      </c>
      <c r="BG645" t="s">
        <v>74</v>
      </c>
      <c r="BH645" t="s">
        <v>74</v>
      </c>
      <c r="BI645">
        <v>6</v>
      </c>
      <c r="BJ645" t="s">
        <v>228</v>
      </c>
      <c r="BK645" t="s">
        <v>101</v>
      </c>
      <c r="BL645" t="s">
        <v>228</v>
      </c>
      <c r="BM645" t="s">
        <v>9420</v>
      </c>
      <c r="BN645">
        <v>29217605</v>
      </c>
      <c r="BO645" t="s">
        <v>1194</v>
      </c>
      <c r="BP645" t="s">
        <v>74</v>
      </c>
      <c r="BQ645" t="s">
        <v>74</v>
      </c>
      <c r="BR645" t="s">
        <v>104</v>
      </c>
      <c r="BS645" t="s">
        <v>9421</v>
      </c>
      <c r="BT645" t="str">
        <f>HYPERLINK("https%3A%2F%2Fwww.webofscience.com%2Fwos%2Fwoscc%2Ffull-record%2FWOS:000418281900020","View Full Record in Web of Science")</f>
        <v>View Full Record in Web of Science</v>
      </c>
    </row>
    <row r="646" spans="1:72" x14ac:dyDescent="0.25">
      <c r="A646" t="s">
        <v>72</v>
      </c>
      <c r="B646" t="s">
        <v>9422</v>
      </c>
      <c r="C646" t="s">
        <v>74</v>
      </c>
      <c r="D646" t="s">
        <v>74</v>
      </c>
      <c r="E646" t="s">
        <v>74</v>
      </c>
      <c r="F646" t="s">
        <v>9423</v>
      </c>
      <c r="G646" t="s">
        <v>74</v>
      </c>
      <c r="H646" t="s">
        <v>74</v>
      </c>
      <c r="I646" t="s">
        <v>9424</v>
      </c>
      <c r="J646" t="s">
        <v>1529</v>
      </c>
      <c r="K646" t="s">
        <v>74</v>
      </c>
      <c r="L646" t="s">
        <v>74</v>
      </c>
      <c r="M646" t="s">
        <v>78</v>
      </c>
      <c r="N646" t="s">
        <v>460</v>
      </c>
      <c r="O646" t="s">
        <v>74</v>
      </c>
      <c r="P646" t="s">
        <v>74</v>
      </c>
      <c r="Q646" t="s">
        <v>74</v>
      </c>
      <c r="R646" t="s">
        <v>74</v>
      </c>
      <c r="S646" t="s">
        <v>74</v>
      </c>
      <c r="T646" t="s">
        <v>74</v>
      </c>
      <c r="U646" t="s">
        <v>2837</v>
      </c>
      <c r="V646" t="s">
        <v>74</v>
      </c>
      <c r="W646" t="s">
        <v>9425</v>
      </c>
      <c r="X646" t="s">
        <v>9426</v>
      </c>
      <c r="Y646" t="s">
        <v>9427</v>
      </c>
      <c r="Z646" t="s">
        <v>331</v>
      </c>
      <c r="AA646" t="s">
        <v>1635</v>
      </c>
      <c r="AB646" t="s">
        <v>9428</v>
      </c>
      <c r="AC646" t="s">
        <v>9429</v>
      </c>
      <c r="AD646" t="s">
        <v>9430</v>
      </c>
      <c r="AE646" t="s">
        <v>9431</v>
      </c>
      <c r="AF646" t="s">
        <v>74</v>
      </c>
      <c r="AG646">
        <v>5</v>
      </c>
      <c r="AH646">
        <v>5</v>
      </c>
      <c r="AI646">
        <v>5</v>
      </c>
      <c r="AJ646">
        <v>0</v>
      </c>
      <c r="AK646">
        <v>2</v>
      </c>
      <c r="AL646" t="s">
        <v>1358</v>
      </c>
      <c r="AM646" t="s">
        <v>1359</v>
      </c>
      <c r="AN646" t="s">
        <v>1360</v>
      </c>
      <c r="AO646" t="s">
        <v>1533</v>
      </c>
      <c r="AP646" t="s">
        <v>1534</v>
      </c>
      <c r="AQ646" t="s">
        <v>74</v>
      </c>
      <c r="AR646" t="s">
        <v>1535</v>
      </c>
      <c r="AS646" t="s">
        <v>1536</v>
      </c>
      <c r="AT646" t="s">
        <v>226</v>
      </c>
      <c r="AU646">
        <v>2017</v>
      </c>
      <c r="AV646">
        <v>46</v>
      </c>
      <c r="AW646">
        <v>12</v>
      </c>
      <c r="AX646">
        <v>1</v>
      </c>
      <c r="AY646" t="s">
        <v>74</v>
      </c>
      <c r="AZ646" t="s">
        <v>74</v>
      </c>
      <c r="BA646" t="s">
        <v>74</v>
      </c>
      <c r="BB646">
        <v>1223</v>
      </c>
      <c r="BC646">
        <v>1225</v>
      </c>
      <c r="BD646" t="s">
        <v>74</v>
      </c>
      <c r="BE646" t="s">
        <v>9432</v>
      </c>
      <c r="BF646" t="str">
        <f>HYPERLINK("http://dx.doi.org/10.1016/j.lpm.2017.09.026","http://dx.doi.org/10.1016/j.lpm.2017.09.026")</f>
        <v>http://dx.doi.org/10.1016/j.lpm.2017.09.026</v>
      </c>
      <c r="BG646" t="s">
        <v>74</v>
      </c>
      <c r="BH646" t="s">
        <v>74</v>
      </c>
      <c r="BI646">
        <v>3</v>
      </c>
      <c r="BJ646" t="s">
        <v>1152</v>
      </c>
      <c r="BK646" t="s">
        <v>101</v>
      </c>
      <c r="BL646" t="s">
        <v>1153</v>
      </c>
      <c r="BM646" t="s">
        <v>9433</v>
      </c>
      <c r="BN646">
        <v>29129416</v>
      </c>
      <c r="BO646" t="s">
        <v>74</v>
      </c>
      <c r="BP646" t="s">
        <v>74</v>
      </c>
      <c r="BQ646" t="s">
        <v>74</v>
      </c>
      <c r="BR646" t="s">
        <v>104</v>
      </c>
      <c r="BS646" t="s">
        <v>9434</v>
      </c>
      <c r="BT646" t="str">
        <f>HYPERLINK("https%3A%2F%2Fwww.webofscience.com%2Fwos%2Fwoscc%2Ffull-record%2FWOS:000418006500016","View Full Record in Web of Science")</f>
        <v>View Full Record in Web of Science</v>
      </c>
    </row>
    <row r="647" spans="1:72" x14ac:dyDescent="0.25">
      <c r="A647" t="s">
        <v>72</v>
      </c>
      <c r="B647" t="s">
        <v>9435</v>
      </c>
      <c r="C647" t="s">
        <v>74</v>
      </c>
      <c r="D647" t="s">
        <v>74</v>
      </c>
      <c r="E647" t="s">
        <v>74</v>
      </c>
      <c r="F647" t="s">
        <v>9436</v>
      </c>
      <c r="G647" t="s">
        <v>74</v>
      </c>
      <c r="H647" t="s">
        <v>9437</v>
      </c>
      <c r="I647" t="s">
        <v>9438</v>
      </c>
      <c r="J647" t="s">
        <v>251</v>
      </c>
      <c r="K647" t="s">
        <v>74</v>
      </c>
      <c r="L647" t="s">
        <v>74</v>
      </c>
      <c r="M647" t="s">
        <v>78</v>
      </c>
      <c r="N647" t="s">
        <v>79</v>
      </c>
      <c r="O647" t="s">
        <v>74</v>
      </c>
      <c r="P647" t="s">
        <v>74</v>
      </c>
      <c r="Q647" t="s">
        <v>74</v>
      </c>
      <c r="R647" t="s">
        <v>74</v>
      </c>
      <c r="S647" t="s">
        <v>74</v>
      </c>
      <c r="T647" t="s">
        <v>9439</v>
      </c>
      <c r="U647" t="s">
        <v>9440</v>
      </c>
      <c r="V647" t="s">
        <v>9441</v>
      </c>
      <c r="W647" t="s">
        <v>9442</v>
      </c>
      <c r="X647" t="s">
        <v>9443</v>
      </c>
      <c r="Y647" t="s">
        <v>9444</v>
      </c>
      <c r="Z647" t="s">
        <v>9445</v>
      </c>
      <c r="AA647" t="s">
        <v>9446</v>
      </c>
      <c r="AB647" t="s">
        <v>9447</v>
      </c>
      <c r="AC647" t="s">
        <v>9448</v>
      </c>
      <c r="AD647" t="s">
        <v>9449</v>
      </c>
      <c r="AE647" t="s">
        <v>9450</v>
      </c>
      <c r="AF647" t="s">
        <v>74</v>
      </c>
      <c r="AG647">
        <v>42</v>
      </c>
      <c r="AH647">
        <v>110</v>
      </c>
      <c r="AI647">
        <v>117</v>
      </c>
      <c r="AJ647">
        <v>0</v>
      </c>
      <c r="AK647">
        <v>19</v>
      </c>
      <c r="AL647" t="s">
        <v>122</v>
      </c>
      <c r="AM647" t="s">
        <v>123</v>
      </c>
      <c r="AN647" t="s">
        <v>124</v>
      </c>
      <c r="AO647" t="s">
        <v>258</v>
      </c>
      <c r="AP647" t="s">
        <v>259</v>
      </c>
      <c r="AQ647" t="s">
        <v>74</v>
      </c>
      <c r="AR647" t="s">
        <v>251</v>
      </c>
      <c r="AS647" t="s">
        <v>260</v>
      </c>
      <c r="AT647" t="s">
        <v>9451</v>
      </c>
      <c r="AU647">
        <v>2017</v>
      </c>
      <c r="AV647">
        <v>136</v>
      </c>
      <c r="AW647">
        <v>21</v>
      </c>
      <c r="AX647" t="s">
        <v>74</v>
      </c>
      <c r="AY647" t="s">
        <v>74</v>
      </c>
      <c r="AZ647" t="s">
        <v>74</v>
      </c>
      <c r="BA647" t="s">
        <v>74</v>
      </c>
      <c r="BB647">
        <v>2022</v>
      </c>
      <c r="BC647" t="s">
        <v>3083</v>
      </c>
      <c r="BD647" t="s">
        <v>74</v>
      </c>
      <c r="BE647" t="s">
        <v>9452</v>
      </c>
      <c r="BF647" t="str">
        <f>HYPERLINK("http://dx.doi.org/10.1161/CIRCULATIONAHA.117.028351","http://dx.doi.org/10.1161/CIRCULATIONAHA.117.028351")</f>
        <v>http://dx.doi.org/10.1161/CIRCULATIONAHA.117.028351</v>
      </c>
      <c r="BG647" t="s">
        <v>74</v>
      </c>
      <c r="BH647" t="s">
        <v>74</v>
      </c>
      <c r="BI647">
        <v>57</v>
      </c>
      <c r="BJ647" t="s">
        <v>263</v>
      </c>
      <c r="BK647" t="s">
        <v>101</v>
      </c>
      <c r="BL647" t="s">
        <v>133</v>
      </c>
      <c r="BM647" t="s">
        <v>9453</v>
      </c>
      <c r="BN647">
        <v>28972005</v>
      </c>
      <c r="BO647" t="s">
        <v>7015</v>
      </c>
      <c r="BP647" t="s">
        <v>74</v>
      </c>
      <c r="BQ647" t="s">
        <v>74</v>
      </c>
      <c r="BR647" t="s">
        <v>104</v>
      </c>
      <c r="BS647" t="s">
        <v>9454</v>
      </c>
      <c r="BT647" t="str">
        <f>HYPERLINK("https%3A%2F%2Fwww.webofscience.com%2Fwos%2Fwoscc%2Ffull-record%2FWOS:000415712900007","View Full Record in Web of Science")</f>
        <v>View Full Record in Web of Science</v>
      </c>
    </row>
    <row r="648" spans="1:72" x14ac:dyDescent="0.25">
      <c r="A648" t="s">
        <v>72</v>
      </c>
      <c r="B648" t="s">
        <v>9455</v>
      </c>
      <c r="C648" t="s">
        <v>74</v>
      </c>
      <c r="D648" t="s">
        <v>74</v>
      </c>
      <c r="E648" t="s">
        <v>74</v>
      </c>
      <c r="F648" t="s">
        <v>9456</v>
      </c>
      <c r="G648" t="s">
        <v>74</v>
      </c>
      <c r="H648" t="s">
        <v>74</v>
      </c>
      <c r="I648" t="s">
        <v>9457</v>
      </c>
      <c r="J648" t="s">
        <v>251</v>
      </c>
      <c r="K648" t="s">
        <v>74</v>
      </c>
      <c r="L648" t="s">
        <v>74</v>
      </c>
      <c r="M648" t="s">
        <v>78</v>
      </c>
      <c r="N648" t="s">
        <v>52</v>
      </c>
      <c r="O648" t="s">
        <v>2710</v>
      </c>
      <c r="P648" t="s">
        <v>9458</v>
      </c>
      <c r="Q648" t="s">
        <v>9459</v>
      </c>
      <c r="R648" t="s">
        <v>1376</v>
      </c>
      <c r="S648" t="s">
        <v>74</v>
      </c>
      <c r="T648" t="s">
        <v>9460</v>
      </c>
      <c r="U648" t="s">
        <v>74</v>
      </c>
      <c r="V648" t="s">
        <v>74</v>
      </c>
      <c r="W648" t="s">
        <v>74</v>
      </c>
      <c r="X648" t="s">
        <v>74</v>
      </c>
      <c r="Y648" t="s">
        <v>74</v>
      </c>
      <c r="Z648" t="s">
        <v>74</v>
      </c>
      <c r="AA648" t="s">
        <v>9461</v>
      </c>
      <c r="AB648" t="s">
        <v>9462</v>
      </c>
      <c r="AC648" t="s">
        <v>74</v>
      </c>
      <c r="AD648" t="s">
        <v>74</v>
      </c>
      <c r="AE648" t="s">
        <v>74</v>
      </c>
      <c r="AF648" t="s">
        <v>74</v>
      </c>
      <c r="AG648">
        <v>0</v>
      </c>
      <c r="AH648">
        <v>0</v>
      </c>
      <c r="AI648">
        <v>0</v>
      </c>
      <c r="AJ648">
        <v>0</v>
      </c>
      <c r="AK648">
        <v>0</v>
      </c>
      <c r="AL648" t="s">
        <v>122</v>
      </c>
      <c r="AM648" t="s">
        <v>123</v>
      </c>
      <c r="AN648" t="s">
        <v>124</v>
      </c>
      <c r="AO648" t="s">
        <v>258</v>
      </c>
      <c r="AP648" t="s">
        <v>259</v>
      </c>
      <c r="AQ648" t="s">
        <v>74</v>
      </c>
      <c r="AR648" t="s">
        <v>251</v>
      </c>
      <c r="AS648" t="s">
        <v>260</v>
      </c>
      <c r="AT648" t="s">
        <v>9463</v>
      </c>
      <c r="AU648">
        <v>2017</v>
      </c>
      <c r="AV648">
        <v>136</v>
      </c>
      <c r="AW648" t="s">
        <v>74</v>
      </c>
      <c r="AX648" t="s">
        <v>74</v>
      </c>
      <c r="AY648">
        <v>1</v>
      </c>
      <c r="AZ648" t="s">
        <v>74</v>
      </c>
      <c r="BA648">
        <v>14753</v>
      </c>
      <c r="BB648" t="s">
        <v>74</v>
      </c>
      <c r="BC648" t="s">
        <v>74</v>
      </c>
      <c r="BD648" t="s">
        <v>74</v>
      </c>
      <c r="BE648" t="s">
        <v>74</v>
      </c>
      <c r="BF648" t="s">
        <v>74</v>
      </c>
      <c r="BG648" t="s">
        <v>74</v>
      </c>
      <c r="BH648" t="s">
        <v>74</v>
      </c>
      <c r="BI648">
        <v>2</v>
      </c>
      <c r="BJ648" t="s">
        <v>263</v>
      </c>
      <c r="BK648" t="s">
        <v>512</v>
      </c>
      <c r="BL648" t="s">
        <v>133</v>
      </c>
      <c r="BM648" t="s">
        <v>9464</v>
      </c>
      <c r="BN648" t="s">
        <v>74</v>
      </c>
      <c r="BO648" t="s">
        <v>74</v>
      </c>
      <c r="BP648" t="s">
        <v>74</v>
      </c>
      <c r="BQ648" t="s">
        <v>74</v>
      </c>
      <c r="BR648" t="s">
        <v>104</v>
      </c>
      <c r="BS648" t="s">
        <v>9465</v>
      </c>
      <c r="BT648" t="str">
        <f>HYPERLINK("https%3A%2F%2Fwww.webofscience.com%2Fwos%2Fwoscc%2Ffull-record%2FWOS:000437035901370","View Full Record in Web of Science")</f>
        <v>View Full Record in Web of Science</v>
      </c>
    </row>
    <row r="649" spans="1:72" x14ac:dyDescent="0.25">
      <c r="A649" t="s">
        <v>72</v>
      </c>
      <c r="B649" t="s">
        <v>9466</v>
      </c>
      <c r="C649" t="s">
        <v>74</v>
      </c>
      <c r="D649" t="s">
        <v>74</v>
      </c>
      <c r="E649" t="s">
        <v>74</v>
      </c>
      <c r="F649" t="s">
        <v>9467</v>
      </c>
      <c r="G649" t="s">
        <v>74</v>
      </c>
      <c r="H649" t="s">
        <v>74</v>
      </c>
      <c r="I649" t="s">
        <v>8183</v>
      </c>
      <c r="J649" t="s">
        <v>251</v>
      </c>
      <c r="K649" t="s">
        <v>74</v>
      </c>
      <c r="L649" t="s">
        <v>74</v>
      </c>
      <c r="M649" t="s">
        <v>78</v>
      </c>
      <c r="N649" t="s">
        <v>52</v>
      </c>
      <c r="O649" t="s">
        <v>2710</v>
      </c>
      <c r="P649" t="s">
        <v>9458</v>
      </c>
      <c r="Q649" t="s">
        <v>9459</v>
      </c>
      <c r="R649" t="s">
        <v>1376</v>
      </c>
      <c r="S649" t="s">
        <v>74</v>
      </c>
      <c r="T649" t="s">
        <v>9468</v>
      </c>
      <c r="U649" t="s">
        <v>74</v>
      </c>
      <c r="V649" t="s">
        <v>74</v>
      </c>
      <c r="W649" t="s">
        <v>74</v>
      </c>
      <c r="X649" t="s">
        <v>74</v>
      </c>
      <c r="Y649" t="s">
        <v>74</v>
      </c>
      <c r="Z649" t="s">
        <v>74</v>
      </c>
      <c r="AA649" t="s">
        <v>9469</v>
      </c>
      <c r="AB649" t="s">
        <v>9470</v>
      </c>
      <c r="AC649" t="s">
        <v>74</v>
      </c>
      <c r="AD649" t="s">
        <v>74</v>
      </c>
      <c r="AE649" t="s">
        <v>74</v>
      </c>
      <c r="AF649" t="s">
        <v>74</v>
      </c>
      <c r="AG649">
        <v>0</v>
      </c>
      <c r="AH649">
        <v>0</v>
      </c>
      <c r="AI649">
        <v>0</v>
      </c>
      <c r="AJ649">
        <v>0</v>
      </c>
      <c r="AK649">
        <v>0</v>
      </c>
      <c r="AL649" t="s">
        <v>122</v>
      </c>
      <c r="AM649" t="s">
        <v>123</v>
      </c>
      <c r="AN649" t="s">
        <v>124</v>
      </c>
      <c r="AO649" t="s">
        <v>258</v>
      </c>
      <c r="AP649" t="s">
        <v>259</v>
      </c>
      <c r="AQ649" t="s">
        <v>74</v>
      </c>
      <c r="AR649" t="s">
        <v>251</v>
      </c>
      <c r="AS649" t="s">
        <v>260</v>
      </c>
      <c r="AT649" t="s">
        <v>9463</v>
      </c>
      <c r="AU649">
        <v>2017</v>
      </c>
      <c r="AV649">
        <v>136</v>
      </c>
      <c r="AW649" t="s">
        <v>74</v>
      </c>
      <c r="AX649" t="s">
        <v>74</v>
      </c>
      <c r="AY649">
        <v>1</v>
      </c>
      <c r="AZ649" t="s">
        <v>74</v>
      </c>
      <c r="BA649">
        <v>15397</v>
      </c>
      <c r="BB649" t="s">
        <v>74</v>
      </c>
      <c r="BC649" t="s">
        <v>74</v>
      </c>
      <c r="BD649" t="s">
        <v>74</v>
      </c>
      <c r="BE649" t="s">
        <v>74</v>
      </c>
      <c r="BF649" t="s">
        <v>74</v>
      </c>
      <c r="BG649" t="s">
        <v>74</v>
      </c>
      <c r="BH649" t="s">
        <v>74</v>
      </c>
      <c r="BI649">
        <v>2</v>
      </c>
      <c r="BJ649" t="s">
        <v>263</v>
      </c>
      <c r="BK649" t="s">
        <v>512</v>
      </c>
      <c r="BL649" t="s">
        <v>133</v>
      </c>
      <c r="BM649" t="s">
        <v>9464</v>
      </c>
      <c r="BN649" t="s">
        <v>74</v>
      </c>
      <c r="BO649" t="s">
        <v>74</v>
      </c>
      <c r="BP649" t="s">
        <v>74</v>
      </c>
      <c r="BQ649" t="s">
        <v>74</v>
      </c>
      <c r="BR649" t="s">
        <v>104</v>
      </c>
      <c r="BS649" t="s">
        <v>9471</v>
      </c>
      <c r="BT649" t="str">
        <f>HYPERLINK("https%3A%2F%2Fwww.webofscience.com%2Fwos%2Fwoscc%2Ffull-record%2FWOS:000437035902127","View Full Record in Web of Science")</f>
        <v>View Full Record in Web of Science</v>
      </c>
    </row>
    <row r="650" spans="1:72" x14ac:dyDescent="0.25">
      <c r="A650" t="s">
        <v>72</v>
      </c>
      <c r="B650" t="s">
        <v>9472</v>
      </c>
      <c r="C650" t="s">
        <v>74</v>
      </c>
      <c r="D650" t="s">
        <v>74</v>
      </c>
      <c r="E650" t="s">
        <v>74</v>
      </c>
      <c r="F650" t="s">
        <v>9473</v>
      </c>
      <c r="G650" t="s">
        <v>74</v>
      </c>
      <c r="H650" t="s">
        <v>74</v>
      </c>
      <c r="I650" t="s">
        <v>9474</v>
      </c>
      <c r="J650" t="s">
        <v>4322</v>
      </c>
      <c r="K650" t="s">
        <v>74</v>
      </c>
      <c r="L650" t="s">
        <v>74</v>
      </c>
      <c r="M650" t="s">
        <v>78</v>
      </c>
      <c r="N650" t="s">
        <v>79</v>
      </c>
      <c r="O650" t="s">
        <v>74</v>
      </c>
      <c r="P650" t="s">
        <v>74</v>
      </c>
      <c r="Q650" t="s">
        <v>74</v>
      </c>
      <c r="R650" t="s">
        <v>74</v>
      </c>
      <c r="S650" t="s">
        <v>74</v>
      </c>
      <c r="T650" t="s">
        <v>74</v>
      </c>
      <c r="U650" t="s">
        <v>9475</v>
      </c>
      <c r="V650" t="s">
        <v>9476</v>
      </c>
      <c r="W650" t="s">
        <v>9477</v>
      </c>
      <c r="X650" t="s">
        <v>9478</v>
      </c>
      <c r="Y650" t="s">
        <v>9479</v>
      </c>
      <c r="Z650" t="s">
        <v>9480</v>
      </c>
      <c r="AA650" t="s">
        <v>9481</v>
      </c>
      <c r="AB650" t="s">
        <v>9482</v>
      </c>
      <c r="AC650" t="s">
        <v>9483</v>
      </c>
      <c r="AD650" t="s">
        <v>9484</v>
      </c>
      <c r="AE650" t="s">
        <v>9485</v>
      </c>
      <c r="AF650" t="s">
        <v>74</v>
      </c>
      <c r="AG650">
        <v>48</v>
      </c>
      <c r="AH650">
        <v>22</v>
      </c>
      <c r="AI650">
        <v>22</v>
      </c>
      <c r="AJ650">
        <v>0</v>
      </c>
      <c r="AK650">
        <v>9</v>
      </c>
      <c r="AL650" t="s">
        <v>169</v>
      </c>
      <c r="AM650" t="s">
        <v>170</v>
      </c>
      <c r="AN650" t="s">
        <v>171</v>
      </c>
      <c r="AO650" t="s">
        <v>4329</v>
      </c>
      <c r="AP650" t="s">
        <v>4330</v>
      </c>
      <c r="AQ650" t="s">
        <v>74</v>
      </c>
      <c r="AR650" t="s">
        <v>4331</v>
      </c>
      <c r="AS650" t="s">
        <v>4332</v>
      </c>
      <c r="AT650" t="s">
        <v>315</v>
      </c>
      <c r="AU650">
        <v>2017</v>
      </c>
      <c r="AV650">
        <v>69</v>
      </c>
      <c r="AW650">
        <v>11</v>
      </c>
      <c r="AX650" t="s">
        <v>74</v>
      </c>
      <c r="AY650" t="s">
        <v>74</v>
      </c>
      <c r="AZ650" t="s">
        <v>74</v>
      </c>
      <c r="BA650" t="s">
        <v>74</v>
      </c>
      <c r="BB650">
        <v>2209</v>
      </c>
      <c r="BC650">
        <v>2221</v>
      </c>
      <c r="BD650" t="s">
        <v>74</v>
      </c>
      <c r="BE650" t="s">
        <v>9486</v>
      </c>
      <c r="BF650" t="str">
        <f>HYPERLINK("http://dx.doi.org/10.1002/art.40229","http://dx.doi.org/10.1002/art.40229")</f>
        <v>http://dx.doi.org/10.1002/art.40229</v>
      </c>
      <c r="BG650" t="s">
        <v>74</v>
      </c>
      <c r="BH650" t="s">
        <v>74</v>
      </c>
      <c r="BI650">
        <v>13</v>
      </c>
      <c r="BJ650" t="s">
        <v>2369</v>
      </c>
      <c r="BK650" t="s">
        <v>101</v>
      </c>
      <c r="BL650" t="s">
        <v>2369</v>
      </c>
      <c r="BM650" t="s">
        <v>9487</v>
      </c>
      <c r="BN650">
        <v>28805015</v>
      </c>
      <c r="BO650" t="s">
        <v>103</v>
      </c>
      <c r="BP650" t="s">
        <v>74</v>
      </c>
      <c r="BQ650" t="s">
        <v>74</v>
      </c>
      <c r="BR650" t="s">
        <v>104</v>
      </c>
      <c r="BS650" t="s">
        <v>9488</v>
      </c>
      <c r="BT650" t="str">
        <f>HYPERLINK("https%3A%2F%2Fwww.webofscience.com%2Fwos%2Fwoscc%2Ffull-record%2FWOS:000414011300017","View Full Record in Web of Science")</f>
        <v>View Full Record in Web of Science</v>
      </c>
    </row>
    <row r="651" spans="1:72" x14ac:dyDescent="0.25">
      <c r="A651" t="s">
        <v>72</v>
      </c>
      <c r="B651" t="s">
        <v>9489</v>
      </c>
      <c r="C651" t="s">
        <v>74</v>
      </c>
      <c r="D651" t="s">
        <v>74</v>
      </c>
      <c r="E651" t="s">
        <v>74</v>
      </c>
      <c r="F651" t="s">
        <v>9490</v>
      </c>
      <c r="G651" t="s">
        <v>74</v>
      </c>
      <c r="H651" t="s">
        <v>74</v>
      </c>
      <c r="I651" t="s">
        <v>9491</v>
      </c>
      <c r="J651" t="s">
        <v>189</v>
      </c>
      <c r="K651" t="s">
        <v>74</v>
      </c>
      <c r="L651" t="s">
        <v>74</v>
      </c>
      <c r="M651" t="s">
        <v>78</v>
      </c>
      <c r="N651" t="s">
        <v>79</v>
      </c>
      <c r="O651" t="s">
        <v>74</v>
      </c>
      <c r="P651" t="s">
        <v>74</v>
      </c>
      <c r="Q651" t="s">
        <v>74</v>
      </c>
      <c r="R651" t="s">
        <v>74</v>
      </c>
      <c r="S651" t="s">
        <v>74</v>
      </c>
      <c r="T651" t="s">
        <v>9492</v>
      </c>
      <c r="U651" t="s">
        <v>9493</v>
      </c>
      <c r="V651" t="s">
        <v>9494</v>
      </c>
      <c r="W651" t="s">
        <v>9495</v>
      </c>
      <c r="X651" t="s">
        <v>9496</v>
      </c>
      <c r="Y651" t="s">
        <v>9497</v>
      </c>
      <c r="Z651" t="s">
        <v>9498</v>
      </c>
      <c r="AA651" t="s">
        <v>9499</v>
      </c>
      <c r="AB651" t="s">
        <v>9500</v>
      </c>
      <c r="AC651" t="s">
        <v>9501</v>
      </c>
      <c r="AD651" t="s">
        <v>9501</v>
      </c>
      <c r="AE651" t="s">
        <v>9502</v>
      </c>
      <c r="AF651" t="s">
        <v>74</v>
      </c>
      <c r="AG651">
        <v>77</v>
      </c>
      <c r="AH651">
        <v>14</v>
      </c>
      <c r="AI651">
        <v>15</v>
      </c>
      <c r="AJ651">
        <v>0</v>
      </c>
      <c r="AK651">
        <v>3</v>
      </c>
      <c r="AL651" t="s">
        <v>200</v>
      </c>
      <c r="AM651" t="s">
        <v>201</v>
      </c>
      <c r="AN651" t="s">
        <v>202</v>
      </c>
      <c r="AO651" t="s">
        <v>203</v>
      </c>
      <c r="AP651" t="s">
        <v>204</v>
      </c>
      <c r="AQ651" t="s">
        <v>74</v>
      </c>
      <c r="AR651" t="s">
        <v>205</v>
      </c>
      <c r="AS651" t="s">
        <v>206</v>
      </c>
      <c r="AT651" t="s">
        <v>315</v>
      </c>
      <c r="AU651">
        <v>2017</v>
      </c>
      <c r="AV651">
        <v>132</v>
      </c>
      <c r="AW651" t="s">
        <v>74</v>
      </c>
      <c r="AX651" t="s">
        <v>74</v>
      </c>
      <c r="AY651" t="s">
        <v>74</v>
      </c>
      <c r="AZ651" t="s">
        <v>74</v>
      </c>
      <c r="BA651" t="s">
        <v>74</v>
      </c>
      <c r="BB651">
        <v>178</v>
      </c>
      <c r="BC651">
        <v>188</v>
      </c>
      <c r="BD651" t="s">
        <v>74</v>
      </c>
      <c r="BE651" t="s">
        <v>9503</v>
      </c>
      <c r="BF651" t="str">
        <f>HYPERLINK("http://dx.doi.org/10.1016/j.rmed.2017.10.019","http://dx.doi.org/10.1016/j.rmed.2017.10.019")</f>
        <v>http://dx.doi.org/10.1016/j.rmed.2017.10.019</v>
      </c>
      <c r="BG651" t="s">
        <v>74</v>
      </c>
      <c r="BH651" t="s">
        <v>74</v>
      </c>
      <c r="BI651">
        <v>11</v>
      </c>
      <c r="BJ651" t="s">
        <v>209</v>
      </c>
      <c r="BK651" t="s">
        <v>101</v>
      </c>
      <c r="BL651" t="s">
        <v>210</v>
      </c>
      <c r="BM651" t="s">
        <v>9504</v>
      </c>
      <c r="BN651">
        <v>29229094</v>
      </c>
      <c r="BO651" t="s">
        <v>1194</v>
      </c>
      <c r="BP651" t="s">
        <v>74</v>
      </c>
      <c r="BQ651" t="s">
        <v>74</v>
      </c>
      <c r="BR651" t="s">
        <v>104</v>
      </c>
      <c r="BS651" t="s">
        <v>9505</v>
      </c>
      <c r="BT651" t="str">
        <f>HYPERLINK("https%3A%2F%2Fwww.webofscience.com%2Fwos%2Fwoscc%2Ffull-record%2FWOS:000418239100028","View Full Record in Web of Science")</f>
        <v>View Full Record in Web of Science</v>
      </c>
    </row>
    <row r="652" spans="1:72" x14ac:dyDescent="0.25">
      <c r="A652" t="s">
        <v>72</v>
      </c>
      <c r="B652" t="s">
        <v>9506</v>
      </c>
      <c r="C652" t="s">
        <v>74</v>
      </c>
      <c r="D652" t="s">
        <v>74</v>
      </c>
      <c r="E652" t="s">
        <v>74</v>
      </c>
      <c r="F652" t="s">
        <v>9507</v>
      </c>
      <c r="G652" t="s">
        <v>74</v>
      </c>
      <c r="H652" t="s">
        <v>74</v>
      </c>
      <c r="I652" t="s">
        <v>9508</v>
      </c>
      <c r="J652" t="s">
        <v>983</v>
      </c>
      <c r="K652" t="s">
        <v>74</v>
      </c>
      <c r="L652" t="s">
        <v>74</v>
      </c>
      <c r="M652" t="s">
        <v>78</v>
      </c>
      <c r="N652" t="s">
        <v>79</v>
      </c>
      <c r="O652" t="s">
        <v>74</v>
      </c>
      <c r="P652" t="s">
        <v>74</v>
      </c>
      <c r="Q652" t="s">
        <v>74</v>
      </c>
      <c r="R652" t="s">
        <v>74</v>
      </c>
      <c r="S652" t="s">
        <v>74</v>
      </c>
      <c r="T652" t="s">
        <v>9509</v>
      </c>
      <c r="U652" t="s">
        <v>9510</v>
      </c>
      <c r="V652" t="s">
        <v>9511</v>
      </c>
      <c r="W652" t="s">
        <v>9512</v>
      </c>
      <c r="X652" t="s">
        <v>9513</v>
      </c>
      <c r="Y652" t="s">
        <v>9514</v>
      </c>
      <c r="Z652" t="s">
        <v>9515</v>
      </c>
      <c r="AA652" t="s">
        <v>9516</v>
      </c>
      <c r="AB652" t="s">
        <v>9517</v>
      </c>
      <c r="AC652" t="s">
        <v>9518</v>
      </c>
      <c r="AD652" t="s">
        <v>9519</v>
      </c>
      <c r="AE652" t="s">
        <v>9520</v>
      </c>
      <c r="AF652" t="s">
        <v>74</v>
      </c>
      <c r="AG652">
        <v>36</v>
      </c>
      <c r="AH652">
        <v>37</v>
      </c>
      <c r="AI652">
        <v>38</v>
      </c>
      <c r="AJ652">
        <v>0</v>
      </c>
      <c r="AK652">
        <v>4</v>
      </c>
      <c r="AL652" t="s">
        <v>991</v>
      </c>
      <c r="AM652" t="s">
        <v>486</v>
      </c>
      <c r="AN652" t="s">
        <v>8530</v>
      </c>
      <c r="AO652" t="s">
        <v>993</v>
      </c>
      <c r="AP652" t="s">
        <v>994</v>
      </c>
      <c r="AQ652" t="s">
        <v>74</v>
      </c>
      <c r="AR652" t="s">
        <v>995</v>
      </c>
      <c r="AS652" t="s">
        <v>996</v>
      </c>
      <c r="AT652" t="s">
        <v>315</v>
      </c>
      <c r="AU652">
        <v>2017</v>
      </c>
      <c r="AV652">
        <v>36</v>
      </c>
      <c r="AW652">
        <v>11</v>
      </c>
      <c r="AX652" t="s">
        <v>74</v>
      </c>
      <c r="AY652" t="s">
        <v>74</v>
      </c>
      <c r="AZ652" t="s">
        <v>74</v>
      </c>
      <c r="BA652" t="s">
        <v>74</v>
      </c>
      <c r="BB652">
        <v>1234</v>
      </c>
      <c r="BC652">
        <v>1242</v>
      </c>
      <c r="BD652" t="s">
        <v>74</v>
      </c>
      <c r="BE652" t="s">
        <v>9521</v>
      </c>
      <c r="BF652" t="str">
        <f>HYPERLINK("http://dx.doi.org/10.1016/j.healun.2017.05.024","http://dx.doi.org/10.1016/j.healun.2017.05.024")</f>
        <v>http://dx.doi.org/10.1016/j.healun.2017.05.024</v>
      </c>
      <c r="BG652" t="s">
        <v>74</v>
      </c>
      <c r="BH652" t="s">
        <v>74</v>
      </c>
      <c r="BI652">
        <v>9</v>
      </c>
      <c r="BJ652" t="s">
        <v>1000</v>
      </c>
      <c r="BK652" t="s">
        <v>101</v>
      </c>
      <c r="BL652" t="s">
        <v>1001</v>
      </c>
      <c r="BM652" t="s">
        <v>9522</v>
      </c>
      <c r="BN652">
        <v>28666570</v>
      </c>
      <c r="BO652" t="s">
        <v>103</v>
      </c>
      <c r="BP652" t="s">
        <v>74</v>
      </c>
      <c r="BQ652" t="s">
        <v>74</v>
      </c>
      <c r="BR652" t="s">
        <v>104</v>
      </c>
      <c r="BS652" t="s">
        <v>9523</v>
      </c>
      <c r="BT652" t="str">
        <f>HYPERLINK("https%3A%2F%2Fwww.webofscience.com%2Fwos%2Fwoscc%2Ffull-record%2FWOS:000414561500013","View Full Record in Web of Science")</f>
        <v>View Full Record in Web of Science</v>
      </c>
    </row>
    <row r="653" spans="1:72" x14ac:dyDescent="0.25">
      <c r="A653" t="s">
        <v>72</v>
      </c>
      <c r="B653" t="s">
        <v>9524</v>
      </c>
      <c r="C653" t="s">
        <v>74</v>
      </c>
      <c r="D653" t="s">
        <v>74</v>
      </c>
      <c r="E653" t="s">
        <v>74</v>
      </c>
      <c r="F653" t="s">
        <v>9525</v>
      </c>
      <c r="G653" t="s">
        <v>74</v>
      </c>
      <c r="H653" t="s">
        <v>74</v>
      </c>
      <c r="I653" t="s">
        <v>9526</v>
      </c>
      <c r="J653" t="s">
        <v>2398</v>
      </c>
      <c r="K653" t="s">
        <v>74</v>
      </c>
      <c r="L653" t="s">
        <v>74</v>
      </c>
      <c r="M653" t="s">
        <v>78</v>
      </c>
      <c r="N653" t="s">
        <v>52</v>
      </c>
      <c r="O653" t="s">
        <v>74</v>
      </c>
      <c r="P653" t="s">
        <v>74</v>
      </c>
      <c r="Q653" t="s">
        <v>74</v>
      </c>
      <c r="R653" t="s">
        <v>74</v>
      </c>
      <c r="S653" t="s">
        <v>74</v>
      </c>
      <c r="T653" t="s">
        <v>74</v>
      </c>
      <c r="U653" t="s">
        <v>74</v>
      </c>
      <c r="V653" t="s">
        <v>74</v>
      </c>
      <c r="W653" t="s">
        <v>9527</v>
      </c>
      <c r="X653" t="s">
        <v>9528</v>
      </c>
      <c r="Y653" t="s">
        <v>74</v>
      </c>
      <c r="Z653" t="s">
        <v>74</v>
      </c>
      <c r="AA653" t="s">
        <v>9529</v>
      </c>
      <c r="AB653" t="s">
        <v>74</v>
      </c>
      <c r="AC653" t="s">
        <v>74</v>
      </c>
      <c r="AD653" t="s">
        <v>74</v>
      </c>
      <c r="AE653" t="s">
        <v>74</v>
      </c>
      <c r="AF653" t="s">
        <v>74</v>
      </c>
      <c r="AG653">
        <v>0</v>
      </c>
      <c r="AH653">
        <v>0</v>
      </c>
      <c r="AI653">
        <v>0</v>
      </c>
      <c r="AJ653">
        <v>0</v>
      </c>
      <c r="AK653">
        <v>0</v>
      </c>
      <c r="AL653" t="s">
        <v>169</v>
      </c>
      <c r="AM653" t="s">
        <v>170</v>
      </c>
      <c r="AN653" t="s">
        <v>171</v>
      </c>
      <c r="AO653" t="s">
        <v>2403</v>
      </c>
      <c r="AP653" t="s">
        <v>2404</v>
      </c>
      <c r="AQ653" t="s">
        <v>74</v>
      </c>
      <c r="AR653" t="s">
        <v>2398</v>
      </c>
      <c r="AS653" t="s">
        <v>2405</v>
      </c>
      <c r="AT653" t="s">
        <v>315</v>
      </c>
      <c r="AU653">
        <v>2017</v>
      </c>
      <c r="AV653">
        <v>22</v>
      </c>
      <c r="AW653" t="s">
        <v>74</v>
      </c>
      <c r="AX653" t="s">
        <v>74</v>
      </c>
      <c r="AY653">
        <v>3</v>
      </c>
      <c r="AZ653" t="s">
        <v>1080</v>
      </c>
      <c r="BA653" t="s">
        <v>9530</v>
      </c>
      <c r="BB653">
        <v>169</v>
      </c>
      <c r="BC653">
        <v>169</v>
      </c>
      <c r="BD653" t="s">
        <v>74</v>
      </c>
      <c r="BE653" t="s">
        <v>74</v>
      </c>
      <c r="BF653" t="s">
        <v>74</v>
      </c>
      <c r="BG653" t="s">
        <v>74</v>
      </c>
      <c r="BH653" t="s">
        <v>74</v>
      </c>
      <c r="BI653">
        <v>1</v>
      </c>
      <c r="BJ653" t="s">
        <v>228</v>
      </c>
      <c r="BK653" t="s">
        <v>101</v>
      </c>
      <c r="BL653" t="s">
        <v>228</v>
      </c>
      <c r="BM653" t="s">
        <v>9531</v>
      </c>
      <c r="BN653" t="s">
        <v>74</v>
      </c>
      <c r="BO653" t="s">
        <v>74</v>
      </c>
      <c r="BP653" t="s">
        <v>74</v>
      </c>
      <c r="BQ653" t="s">
        <v>74</v>
      </c>
      <c r="BR653" t="s">
        <v>104</v>
      </c>
      <c r="BS653" t="s">
        <v>9532</v>
      </c>
      <c r="BT653" t="str">
        <f>HYPERLINK("https%3A%2F%2Fwww.webofscience.com%2Fwos%2Fwoscc%2Ffull-record%2FWOS:000415925700425","View Full Record in Web of Science")</f>
        <v>View Full Record in Web of Science</v>
      </c>
    </row>
    <row r="654" spans="1:72" x14ac:dyDescent="0.25">
      <c r="A654" t="s">
        <v>72</v>
      </c>
      <c r="B654" t="s">
        <v>9296</v>
      </c>
      <c r="C654" t="s">
        <v>74</v>
      </c>
      <c r="D654" t="s">
        <v>74</v>
      </c>
      <c r="E654" t="s">
        <v>74</v>
      </c>
      <c r="F654" t="s">
        <v>9297</v>
      </c>
      <c r="G654" t="s">
        <v>74</v>
      </c>
      <c r="H654" t="s">
        <v>74</v>
      </c>
      <c r="I654" t="s">
        <v>9533</v>
      </c>
      <c r="J654" t="s">
        <v>216</v>
      </c>
      <c r="K654" t="s">
        <v>74</v>
      </c>
      <c r="L654" t="s">
        <v>74</v>
      </c>
      <c r="M654" t="s">
        <v>78</v>
      </c>
      <c r="N654" t="s">
        <v>79</v>
      </c>
      <c r="O654" t="s">
        <v>74</v>
      </c>
      <c r="P654" t="s">
        <v>74</v>
      </c>
      <c r="Q654" t="s">
        <v>74</v>
      </c>
      <c r="R654" t="s">
        <v>74</v>
      </c>
      <c r="S654" t="s">
        <v>74</v>
      </c>
      <c r="T654" t="s">
        <v>74</v>
      </c>
      <c r="U654" t="s">
        <v>9534</v>
      </c>
      <c r="V654" t="s">
        <v>9535</v>
      </c>
      <c r="W654" t="s">
        <v>9536</v>
      </c>
      <c r="X654" t="s">
        <v>9537</v>
      </c>
      <c r="Y654" t="s">
        <v>9538</v>
      </c>
      <c r="Z654" t="s">
        <v>9539</v>
      </c>
      <c r="AA654" t="s">
        <v>9540</v>
      </c>
      <c r="AB654" t="s">
        <v>9541</v>
      </c>
      <c r="AC654" t="s">
        <v>243</v>
      </c>
      <c r="AD654" t="s">
        <v>243</v>
      </c>
      <c r="AE654" t="s">
        <v>9542</v>
      </c>
      <c r="AF654" t="s">
        <v>74</v>
      </c>
      <c r="AG654">
        <v>179</v>
      </c>
      <c r="AH654">
        <v>210</v>
      </c>
      <c r="AI654">
        <v>220</v>
      </c>
      <c r="AJ654">
        <v>0</v>
      </c>
      <c r="AK654">
        <v>8</v>
      </c>
      <c r="AL654" t="s">
        <v>219</v>
      </c>
      <c r="AM654" t="s">
        <v>220</v>
      </c>
      <c r="AN654" t="s">
        <v>221</v>
      </c>
      <c r="AO654" t="s">
        <v>222</v>
      </c>
      <c r="AP654" t="s">
        <v>223</v>
      </c>
      <c r="AQ654" t="s">
        <v>74</v>
      </c>
      <c r="AR654" t="s">
        <v>224</v>
      </c>
      <c r="AS654" t="s">
        <v>225</v>
      </c>
      <c r="AT654" t="s">
        <v>1414</v>
      </c>
      <c r="AU654">
        <v>2017</v>
      </c>
      <c r="AV654">
        <v>50</v>
      </c>
      <c r="AW654">
        <v>5</v>
      </c>
      <c r="AX654" t="s">
        <v>74</v>
      </c>
      <c r="AY654" t="s">
        <v>74</v>
      </c>
      <c r="AZ654" t="s">
        <v>74</v>
      </c>
      <c r="BA654" t="s">
        <v>74</v>
      </c>
      <c r="BB654" t="s">
        <v>74</v>
      </c>
      <c r="BC654" t="s">
        <v>74</v>
      </c>
      <c r="BD654">
        <v>1700578</v>
      </c>
      <c r="BE654" t="s">
        <v>9543</v>
      </c>
      <c r="BF654" t="str">
        <f>HYPERLINK("http://dx.doi.org/10.1183/13993003.00578-2017","http://dx.doi.org/10.1183/13993003.00578-2017")</f>
        <v>http://dx.doi.org/10.1183/13993003.00578-2017</v>
      </c>
      <c r="BG654" t="s">
        <v>74</v>
      </c>
      <c r="BH654" t="s">
        <v>74</v>
      </c>
      <c r="BI654">
        <v>18</v>
      </c>
      <c r="BJ654" t="s">
        <v>228</v>
      </c>
      <c r="BK654" t="s">
        <v>101</v>
      </c>
      <c r="BL654" t="s">
        <v>228</v>
      </c>
      <c r="BM654" t="s">
        <v>9544</v>
      </c>
      <c r="BN654">
        <v>29167297</v>
      </c>
      <c r="BO654" t="s">
        <v>3737</v>
      </c>
      <c r="BP654" t="s">
        <v>74</v>
      </c>
      <c r="BQ654" t="s">
        <v>74</v>
      </c>
      <c r="BR654" t="s">
        <v>104</v>
      </c>
      <c r="BS654" t="s">
        <v>9545</v>
      </c>
      <c r="BT654" t="str">
        <f>HYPERLINK("https%3A%2F%2Fwww.webofscience.com%2Fwos%2Fwoscc%2Ffull-record%2FWOS:000416330200006","View Full Record in Web of Science")</f>
        <v>View Full Record in Web of Science</v>
      </c>
    </row>
    <row r="655" spans="1:72" x14ac:dyDescent="0.25">
      <c r="A655" t="s">
        <v>72</v>
      </c>
      <c r="B655" t="s">
        <v>9546</v>
      </c>
      <c r="C655" t="s">
        <v>74</v>
      </c>
      <c r="D655" t="s">
        <v>74</v>
      </c>
      <c r="E655" t="s">
        <v>74</v>
      </c>
      <c r="F655" t="s">
        <v>9547</v>
      </c>
      <c r="G655" t="s">
        <v>74</v>
      </c>
      <c r="H655" t="s">
        <v>74</v>
      </c>
      <c r="I655" t="s">
        <v>9548</v>
      </c>
      <c r="J655" t="s">
        <v>216</v>
      </c>
      <c r="K655" t="s">
        <v>74</v>
      </c>
      <c r="L655" t="s">
        <v>74</v>
      </c>
      <c r="M655" t="s">
        <v>78</v>
      </c>
      <c r="N655" t="s">
        <v>299</v>
      </c>
      <c r="O655" t="s">
        <v>74</v>
      </c>
      <c r="P655" t="s">
        <v>74</v>
      </c>
      <c r="Q655" t="s">
        <v>74</v>
      </c>
      <c r="R655" t="s">
        <v>74</v>
      </c>
      <c r="S655" t="s">
        <v>74</v>
      </c>
      <c r="T655" t="s">
        <v>74</v>
      </c>
      <c r="U655" t="s">
        <v>9549</v>
      </c>
      <c r="V655" t="s">
        <v>9550</v>
      </c>
      <c r="W655" t="s">
        <v>9551</v>
      </c>
      <c r="X655" t="s">
        <v>9552</v>
      </c>
      <c r="Y655" t="s">
        <v>9553</v>
      </c>
      <c r="Z655" t="s">
        <v>9554</v>
      </c>
      <c r="AA655" t="s">
        <v>9555</v>
      </c>
      <c r="AB655" t="s">
        <v>9556</v>
      </c>
      <c r="AC655" t="s">
        <v>9557</v>
      </c>
      <c r="AD655" t="s">
        <v>9558</v>
      </c>
      <c r="AE655" t="s">
        <v>9559</v>
      </c>
      <c r="AF655" t="s">
        <v>74</v>
      </c>
      <c r="AG655">
        <v>123</v>
      </c>
      <c r="AH655">
        <v>64</v>
      </c>
      <c r="AI655">
        <v>64</v>
      </c>
      <c r="AJ655">
        <v>0</v>
      </c>
      <c r="AK655">
        <v>11</v>
      </c>
      <c r="AL655" t="s">
        <v>219</v>
      </c>
      <c r="AM655" t="s">
        <v>220</v>
      </c>
      <c r="AN655" t="s">
        <v>221</v>
      </c>
      <c r="AO655" t="s">
        <v>222</v>
      </c>
      <c r="AP655" t="s">
        <v>223</v>
      </c>
      <c r="AQ655" t="s">
        <v>74</v>
      </c>
      <c r="AR655" t="s">
        <v>224</v>
      </c>
      <c r="AS655" t="s">
        <v>225</v>
      </c>
      <c r="AT655" t="s">
        <v>1414</v>
      </c>
      <c r="AU655">
        <v>2017</v>
      </c>
      <c r="AV655">
        <v>50</v>
      </c>
      <c r="AW655">
        <v>5</v>
      </c>
      <c r="AX655" t="s">
        <v>74</v>
      </c>
      <c r="AY655" t="s">
        <v>74</v>
      </c>
      <c r="AZ655" t="s">
        <v>74</v>
      </c>
      <c r="BA655" t="s">
        <v>74</v>
      </c>
      <c r="BB655" t="s">
        <v>74</v>
      </c>
      <c r="BC655" t="s">
        <v>74</v>
      </c>
      <c r="BD655">
        <v>1700754</v>
      </c>
      <c r="BE655" t="s">
        <v>9560</v>
      </c>
      <c r="BF655" t="str">
        <f>HYPERLINK("http://dx.doi.org/10.1183/13993003.00754-2017","http://dx.doi.org/10.1183/13993003.00754-2017")</f>
        <v>http://dx.doi.org/10.1183/13993003.00754-2017</v>
      </c>
      <c r="BG655" t="s">
        <v>74</v>
      </c>
      <c r="BH655" t="s">
        <v>74</v>
      </c>
      <c r="BI655">
        <v>14</v>
      </c>
      <c r="BJ655" t="s">
        <v>228</v>
      </c>
      <c r="BK655" t="s">
        <v>101</v>
      </c>
      <c r="BL655" t="s">
        <v>228</v>
      </c>
      <c r="BM655" t="s">
        <v>9544</v>
      </c>
      <c r="BN655">
        <v>29122916</v>
      </c>
      <c r="BO655" t="s">
        <v>4500</v>
      </c>
      <c r="BP655" t="s">
        <v>74</v>
      </c>
      <c r="BQ655" t="s">
        <v>74</v>
      </c>
      <c r="BR655" t="s">
        <v>104</v>
      </c>
      <c r="BS655" t="s">
        <v>9561</v>
      </c>
      <c r="BT655" t="str">
        <f>HYPERLINK("https%3A%2F%2Fwww.webofscience.com%2Fwos%2Fwoscc%2Ffull-record%2FWOS:000416330200009","View Full Record in Web of Science")</f>
        <v>View Full Record in Web of Science</v>
      </c>
    </row>
    <row r="656" spans="1:72" x14ac:dyDescent="0.25">
      <c r="A656" t="s">
        <v>72</v>
      </c>
      <c r="B656" t="s">
        <v>9562</v>
      </c>
      <c r="C656" t="s">
        <v>74</v>
      </c>
      <c r="D656" t="s">
        <v>74</v>
      </c>
      <c r="E656" t="s">
        <v>74</v>
      </c>
      <c r="F656" t="s">
        <v>9563</v>
      </c>
      <c r="G656" t="s">
        <v>74</v>
      </c>
      <c r="H656" t="s">
        <v>74</v>
      </c>
      <c r="I656" t="s">
        <v>9564</v>
      </c>
      <c r="J656" t="s">
        <v>9565</v>
      </c>
      <c r="K656" t="s">
        <v>74</v>
      </c>
      <c r="L656" t="s">
        <v>74</v>
      </c>
      <c r="M656" t="s">
        <v>78</v>
      </c>
      <c r="N656" t="s">
        <v>299</v>
      </c>
      <c r="O656" t="s">
        <v>74</v>
      </c>
      <c r="P656" t="s">
        <v>74</v>
      </c>
      <c r="Q656" t="s">
        <v>74</v>
      </c>
      <c r="R656" t="s">
        <v>74</v>
      </c>
      <c r="S656" t="s">
        <v>74</v>
      </c>
      <c r="T656" t="s">
        <v>9566</v>
      </c>
      <c r="U656" t="s">
        <v>9567</v>
      </c>
      <c r="V656" t="s">
        <v>9568</v>
      </c>
      <c r="W656" t="s">
        <v>9569</v>
      </c>
      <c r="X656" t="s">
        <v>9570</v>
      </c>
      <c r="Y656" t="s">
        <v>9571</v>
      </c>
      <c r="Z656" t="s">
        <v>377</v>
      </c>
      <c r="AA656" t="s">
        <v>1873</v>
      </c>
      <c r="AB656" t="s">
        <v>9572</v>
      </c>
      <c r="AC656" t="s">
        <v>9573</v>
      </c>
      <c r="AD656" t="s">
        <v>9574</v>
      </c>
      <c r="AE656" t="s">
        <v>9575</v>
      </c>
      <c r="AF656" t="s">
        <v>74</v>
      </c>
      <c r="AG656">
        <v>119</v>
      </c>
      <c r="AH656">
        <v>13</v>
      </c>
      <c r="AI656">
        <v>16</v>
      </c>
      <c r="AJ656">
        <v>0</v>
      </c>
      <c r="AK656">
        <v>0</v>
      </c>
      <c r="AL656" t="s">
        <v>1781</v>
      </c>
      <c r="AM656" t="s">
        <v>486</v>
      </c>
      <c r="AN656" t="s">
        <v>4357</v>
      </c>
      <c r="AO656" t="s">
        <v>9576</v>
      </c>
      <c r="AP656" t="s">
        <v>9577</v>
      </c>
      <c r="AQ656" t="s">
        <v>74</v>
      </c>
      <c r="AR656" t="s">
        <v>9578</v>
      </c>
      <c r="AS656" t="s">
        <v>9579</v>
      </c>
      <c r="AT656" t="s">
        <v>315</v>
      </c>
      <c r="AU656">
        <v>2017</v>
      </c>
      <c r="AV656">
        <v>19</v>
      </c>
      <c r="AW656">
        <v>11</v>
      </c>
      <c r="AX656" t="s">
        <v>74</v>
      </c>
      <c r="AY656" t="s">
        <v>74</v>
      </c>
      <c r="AZ656" t="s">
        <v>74</v>
      </c>
      <c r="BA656" t="s">
        <v>74</v>
      </c>
      <c r="BB656" t="s">
        <v>74</v>
      </c>
      <c r="BC656" t="s">
        <v>74</v>
      </c>
      <c r="BD656">
        <v>86</v>
      </c>
      <c r="BE656" t="s">
        <v>9580</v>
      </c>
      <c r="BF656" t="str">
        <f>HYPERLINK("http://dx.doi.org/10.1007/s11906-017-0783-5","http://dx.doi.org/10.1007/s11906-017-0783-5")</f>
        <v>http://dx.doi.org/10.1007/s11906-017-0783-5</v>
      </c>
      <c r="BG656" t="s">
        <v>74</v>
      </c>
      <c r="BH656" t="s">
        <v>74</v>
      </c>
      <c r="BI656">
        <v>12</v>
      </c>
      <c r="BJ656" t="s">
        <v>1789</v>
      </c>
      <c r="BK656" t="s">
        <v>101</v>
      </c>
      <c r="BL656" t="s">
        <v>133</v>
      </c>
      <c r="BM656" t="s">
        <v>9581</v>
      </c>
      <c r="BN656">
        <v>29046979</v>
      </c>
      <c r="BO656" t="s">
        <v>74</v>
      </c>
      <c r="BP656" t="s">
        <v>74</v>
      </c>
      <c r="BQ656" t="s">
        <v>74</v>
      </c>
      <c r="BR656" t="s">
        <v>104</v>
      </c>
      <c r="BS656" t="s">
        <v>9582</v>
      </c>
      <c r="BT656" t="str">
        <f>HYPERLINK("https%3A%2F%2Fwww.webofscience.com%2Fwos%2Fwoscc%2Ffull-record%2FWOS:000413221600001","View Full Record in Web of Science")</f>
        <v>View Full Record in Web of Science</v>
      </c>
    </row>
    <row r="657" spans="1:72" x14ac:dyDescent="0.25">
      <c r="A657" t="s">
        <v>72</v>
      </c>
      <c r="B657" t="s">
        <v>9583</v>
      </c>
      <c r="C657" t="s">
        <v>74</v>
      </c>
      <c r="D657" t="s">
        <v>74</v>
      </c>
      <c r="E657" t="s">
        <v>74</v>
      </c>
      <c r="F657" t="s">
        <v>9584</v>
      </c>
      <c r="G657" t="s">
        <v>74</v>
      </c>
      <c r="H657" t="s">
        <v>74</v>
      </c>
      <c r="I657" t="s">
        <v>9585</v>
      </c>
      <c r="J657" t="s">
        <v>2603</v>
      </c>
      <c r="K657" t="s">
        <v>74</v>
      </c>
      <c r="L657" t="s">
        <v>74</v>
      </c>
      <c r="M657" t="s">
        <v>78</v>
      </c>
      <c r="N657" t="s">
        <v>52</v>
      </c>
      <c r="O657" t="s">
        <v>74</v>
      </c>
      <c r="P657" t="s">
        <v>74</v>
      </c>
      <c r="Q657" t="s">
        <v>74</v>
      </c>
      <c r="R657" t="s">
        <v>74</v>
      </c>
      <c r="S657" t="s">
        <v>74</v>
      </c>
      <c r="T657" t="s">
        <v>74</v>
      </c>
      <c r="U657" t="s">
        <v>74</v>
      </c>
      <c r="V657" t="s">
        <v>74</v>
      </c>
      <c r="W657" t="s">
        <v>9586</v>
      </c>
      <c r="X657" t="s">
        <v>9587</v>
      </c>
      <c r="Y657" t="s">
        <v>74</v>
      </c>
      <c r="Z657" t="s">
        <v>74</v>
      </c>
      <c r="AA657" t="s">
        <v>7289</v>
      </c>
      <c r="AB657" t="s">
        <v>74</v>
      </c>
      <c r="AC657" t="s">
        <v>74</v>
      </c>
      <c r="AD657" t="s">
        <v>74</v>
      </c>
      <c r="AE657" t="s">
        <v>74</v>
      </c>
      <c r="AF657" t="s">
        <v>74</v>
      </c>
      <c r="AG657">
        <v>0</v>
      </c>
      <c r="AH657">
        <v>0</v>
      </c>
      <c r="AI657">
        <v>0</v>
      </c>
      <c r="AJ657">
        <v>0</v>
      </c>
      <c r="AK657">
        <v>0</v>
      </c>
      <c r="AL657" t="s">
        <v>991</v>
      </c>
      <c r="AM657" t="s">
        <v>486</v>
      </c>
      <c r="AN657" t="s">
        <v>8530</v>
      </c>
      <c r="AO657" t="s">
        <v>2607</v>
      </c>
      <c r="AP657" t="s">
        <v>2608</v>
      </c>
      <c r="AQ657" t="s">
        <v>74</v>
      </c>
      <c r="AR657" t="s">
        <v>2609</v>
      </c>
      <c r="AS657" t="s">
        <v>2610</v>
      </c>
      <c r="AT657" t="s">
        <v>9588</v>
      </c>
      <c r="AU657">
        <v>2017</v>
      </c>
      <c r="AV657">
        <v>20</v>
      </c>
      <c r="AW657">
        <v>9</v>
      </c>
      <c r="AX657" t="s">
        <v>74</v>
      </c>
      <c r="AY657" t="s">
        <v>74</v>
      </c>
      <c r="AZ657" t="s">
        <v>74</v>
      </c>
      <c r="BA657" t="s">
        <v>9589</v>
      </c>
      <c r="BB657" t="s">
        <v>9590</v>
      </c>
      <c r="BC657" t="s">
        <v>9590</v>
      </c>
      <c r="BD657" t="s">
        <v>74</v>
      </c>
      <c r="BE657" t="s">
        <v>9591</v>
      </c>
      <c r="BF657" t="str">
        <f>HYPERLINK("http://dx.doi.org/10.1016/j.jval.2017.08.2046","http://dx.doi.org/10.1016/j.jval.2017.08.2046")</f>
        <v>http://dx.doi.org/10.1016/j.jval.2017.08.2046</v>
      </c>
      <c r="BG657" t="s">
        <v>74</v>
      </c>
      <c r="BH657" t="s">
        <v>74</v>
      </c>
      <c r="BI657">
        <v>1</v>
      </c>
      <c r="BJ657" t="s">
        <v>2613</v>
      </c>
      <c r="BK657" t="s">
        <v>2614</v>
      </c>
      <c r="BL657" t="s">
        <v>2615</v>
      </c>
      <c r="BM657" t="s">
        <v>9592</v>
      </c>
      <c r="BN657" t="s">
        <v>74</v>
      </c>
      <c r="BO657" t="s">
        <v>1194</v>
      </c>
      <c r="BP657" t="s">
        <v>74</v>
      </c>
      <c r="BQ657" t="s">
        <v>74</v>
      </c>
      <c r="BR657" t="s">
        <v>104</v>
      </c>
      <c r="BS657" t="s">
        <v>9593</v>
      </c>
      <c r="BT657" t="str">
        <f>HYPERLINK("https%3A%2F%2Fwww.webofscience.com%2Fwos%2Fwoscc%2Ffull-record%2FWOS:000413599902579","View Full Record in Web of Science")</f>
        <v>View Full Record in Web of Science</v>
      </c>
    </row>
    <row r="658" spans="1:72" x14ac:dyDescent="0.25">
      <c r="A658" t="s">
        <v>72</v>
      </c>
      <c r="B658" t="s">
        <v>9594</v>
      </c>
      <c r="C658" t="s">
        <v>74</v>
      </c>
      <c r="D658" t="s">
        <v>74</v>
      </c>
      <c r="E658" t="s">
        <v>74</v>
      </c>
      <c r="F658" t="s">
        <v>9584</v>
      </c>
      <c r="G658" t="s">
        <v>74</v>
      </c>
      <c r="H658" t="s">
        <v>74</v>
      </c>
      <c r="I658" t="s">
        <v>9595</v>
      </c>
      <c r="J658" t="s">
        <v>2603</v>
      </c>
      <c r="K658" t="s">
        <v>74</v>
      </c>
      <c r="L658" t="s">
        <v>74</v>
      </c>
      <c r="M658" t="s">
        <v>78</v>
      </c>
      <c r="N658" t="s">
        <v>52</v>
      </c>
      <c r="O658" t="s">
        <v>74</v>
      </c>
      <c r="P658" t="s">
        <v>74</v>
      </c>
      <c r="Q658" t="s">
        <v>74</v>
      </c>
      <c r="R658" t="s">
        <v>74</v>
      </c>
      <c r="S658" t="s">
        <v>74</v>
      </c>
      <c r="T658" t="s">
        <v>74</v>
      </c>
      <c r="U658" t="s">
        <v>74</v>
      </c>
      <c r="V658" t="s">
        <v>74</v>
      </c>
      <c r="W658" t="s">
        <v>9586</v>
      </c>
      <c r="X658" t="s">
        <v>9596</v>
      </c>
      <c r="Y658" t="s">
        <v>74</v>
      </c>
      <c r="Z658" t="s">
        <v>74</v>
      </c>
      <c r="AA658" t="s">
        <v>7289</v>
      </c>
      <c r="AB658" t="s">
        <v>74</v>
      </c>
      <c r="AC658" t="s">
        <v>74</v>
      </c>
      <c r="AD658" t="s">
        <v>74</v>
      </c>
      <c r="AE658" t="s">
        <v>74</v>
      </c>
      <c r="AF658" t="s">
        <v>74</v>
      </c>
      <c r="AG658">
        <v>0</v>
      </c>
      <c r="AH658">
        <v>0</v>
      </c>
      <c r="AI658">
        <v>0</v>
      </c>
      <c r="AJ658">
        <v>0</v>
      </c>
      <c r="AK658">
        <v>3</v>
      </c>
      <c r="AL658" t="s">
        <v>991</v>
      </c>
      <c r="AM658" t="s">
        <v>486</v>
      </c>
      <c r="AN658" t="s">
        <v>8530</v>
      </c>
      <c r="AO658" t="s">
        <v>2607</v>
      </c>
      <c r="AP658" t="s">
        <v>2608</v>
      </c>
      <c r="AQ658" t="s">
        <v>74</v>
      </c>
      <c r="AR658" t="s">
        <v>2609</v>
      </c>
      <c r="AS658" t="s">
        <v>2610</v>
      </c>
      <c r="AT658" t="s">
        <v>9588</v>
      </c>
      <c r="AU658">
        <v>2017</v>
      </c>
      <c r="AV658">
        <v>20</v>
      </c>
      <c r="AW658">
        <v>9</v>
      </c>
      <c r="AX658" t="s">
        <v>74</v>
      </c>
      <c r="AY658" t="s">
        <v>74</v>
      </c>
      <c r="AZ658" t="s">
        <v>74</v>
      </c>
      <c r="BA658" t="s">
        <v>9597</v>
      </c>
      <c r="BB658" t="s">
        <v>9598</v>
      </c>
      <c r="BC658" t="s">
        <v>9599</v>
      </c>
      <c r="BD658" t="s">
        <v>74</v>
      </c>
      <c r="BE658" t="s">
        <v>9600</v>
      </c>
      <c r="BF658" t="str">
        <f>HYPERLINK("http://dx.doi.org/10.1016/j.jval.2017.08.1199","http://dx.doi.org/10.1016/j.jval.2017.08.1199")</f>
        <v>http://dx.doi.org/10.1016/j.jval.2017.08.1199</v>
      </c>
      <c r="BG658" t="s">
        <v>74</v>
      </c>
      <c r="BH658" t="s">
        <v>74</v>
      </c>
      <c r="BI658">
        <v>2</v>
      </c>
      <c r="BJ658" t="s">
        <v>2613</v>
      </c>
      <c r="BK658" t="s">
        <v>2614</v>
      </c>
      <c r="BL658" t="s">
        <v>2615</v>
      </c>
      <c r="BM658" t="s">
        <v>9592</v>
      </c>
      <c r="BN658" t="s">
        <v>74</v>
      </c>
      <c r="BO658" t="s">
        <v>1194</v>
      </c>
      <c r="BP658" t="s">
        <v>74</v>
      </c>
      <c r="BQ658" t="s">
        <v>74</v>
      </c>
      <c r="BR658" t="s">
        <v>104</v>
      </c>
      <c r="BS658" t="s">
        <v>9601</v>
      </c>
      <c r="BT658" t="str">
        <f>HYPERLINK("https%3A%2F%2Fwww.webofscience.com%2Fwos%2Fwoscc%2Ffull-record%2FWOS:000413599901532","View Full Record in Web of Science")</f>
        <v>View Full Record in Web of Science</v>
      </c>
    </row>
    <row r="659" spans="1:72" x14ac:dyDescent="0.25">
      <c r="A659" t="s">
        <v>72</v>
      </c>
      <c r="B659" t="s">
        <v>8661</v>
      </c>
      <c r="C659" t="s">
        <v>74</v>
      </c>
      <c r="D659" t="s">
        <v>74</v>
      </c>
      <c r="E659" t="s">
        <v>74</v>
      </c>
      <c r="F659" t="s">
        <v>9602</v>
      </c>
      <c r="G659" t="s">
        <v>74</v>
      </c>
      <c r="H659" t="s">
        <v>74</v>
      </c>
      <c r="I659" t="s">
        <v>9603</v>
      </c>
      <c r="J659" t="s">
        <v>9604</v>
      </c>
      <c r="K659" t="s">
        <v>74</v>
      </c>
      <c r="L659" t="s">
        <v>74</v>
      </c>
      <c r="M659" t="s">
        <v>78</v>
      </c>
      <c r="N659" t="s">
        <v>52</v>
      </c>
      <c r="O659" t="s">
        <v>74</v>
      </c>
      <c r="P659" t="s">
        <v>74</v>
      </c>
      <c r="Q659" t="s">
        <v>74</v>
      </c>
      <c r="R659" t="s">
        <v>74</v>
      </c>
      <c r="S659" t="s">
        <v>74</v>
      </c>
      <c r="T659" t="s">
        <v>74</v>
      </c>
      <c r="U659" t="s">
        <v>74</v>
      </c>
      <c r="V659" t="s">
        <v>74</v>
      </c>
      <c r="W659" t="s">
        <v>9605</v>
      </c>
      <c r="X659" t="s">
        <v>9606</v>
      </c>
      <c r="Y659" t="s">
        <v>74</v>
      </c>
      <c r="Z659" t="s">
        <v>74</v>
      </c>
      <c r="AA659" t="s">
        <v>9607</v>
      </c>
      <c r="AB659" t="s">
        <v>9608</v>
      </c>
      <c r="AC659" t="s">
        <v>74</v>
      </c>
      <c r="AD659" t="s">
        <v>74</v>
      </c>
      <c r="AE659" t="s">
        <v>74</v>
      </c>
      <c r="AF659" t="s">
        <v>74</v>
      </c>
      <c r="AG659">
        <v>0</v>
      </c>
      <c r="AH659">
        <v>0</v>
      </c>
      <c r="AI659">
        <v>0</v>
      </c>
      <c r="AJ659">
        <v>0</v>
      </c>
      <c r="AK659">
        <v>1</v>
      </c>
      <c r="AL659" t="s">
        <v>1781</v>
      </c>
      <c r="AM659" t="s">
        <v>486</v>
      </c>
      <c r="AN659" t="s">
        <v>4730</v>
      </c>
      <c r="AO659" t="s">
        <v>9609</v>
      </c>
      <c r="AP659" t="s">
        <v>9610</v>
      </c>
      <c r="AQ659" t="s">
        <v>74</v>
      </c>
      <c r="AR659" t="s">
        <v>9611</v>
      </c>
      <c r="AS659" t="s">
        <v>9612</v>
      </c>
      <c r="AT659" t="s">
        <v>420</v>
      </c>
      <c r="AU659">
        <v>2017</v>
      </c>
      <c r="AV659">
        <v>44</v>
      </c>
      <c r="AW659" t="s">
        <v>74</v>
      </c>
      <c r="AX659" t="s">
        <v>74</v>
      </c>
      <c r="AY659">
        <v>2</v>
      </c>
      <c r="AZ659" t="s">
        <v>74</v>
      </c>
      <c r="BA659" t="s">
        <v>9613</v>
      </c>
      <c r="BB659" t="s">
        <v>9614</v>
      </c>
      <c r="BC659" t="s">
        <v>9615</v>
      </c>
      <c r="BD659" t="s">
        <v>74</v>
      </c>
      <c r="BE659" t="s">
        <v>74</v>
      </c>
      <c r="BF659" t="s">
        <v>74</v>
      </c>
      <c r="BG659" t="s">
        <v>74</v>
      </c>
      <c r="BH659" t="s">
        <v>74</v>
      </c>
      <c r="BI659">
        <v>2</v>
      </c>
      <c r="BJ659" t="s">
        <v>892</v>
      </c>
      <c r="BK659" t="s">
        <v>101</v>
      </c>
      <c r="BL659" t="s">
        <v>892</v>
      </c>
      <c r="BM659" t="s">
        <v>9616</v>
      </c>
      <c r="BN659" t="s">
        <v>74</v>
      </c>
      <c r="BO659" t="s">
        <v>74</v>
      </c>
      <c r="BP659" t="s">
        <v>74</v>
      </c>
      <c r="BQ659" t="s">
        <v>74</v>
      </c>
      <c r="BR659" t="s">
        <v>104</v>
      </c>
      <c r="BS659" t="s">
        <v>9617</v>
      </c>
      <c r="BT659" t="str">
        <f>HYPERLINK("https%3A%2F%2Fwww.webofscience.com%2Fwos%2Fwoscc%2Ffull-record%2FWOS:000455019401184","View Full Record in Web of Science")</f>
        <v>View Full Record in Web of Science</v>
      </c>
    </row>
    <row r="660" spans="1:72" x14ac:dyDescent="0.25">
      <c r="A660" t="s">
        <v>72</v>
      </c>
      <c r="B660" t="s">
        <v>9618</v>
      </c>
      <c r="C660" t="s">
        <v>74</v>
      </c>
      <c r="D660" t="s">
        <v>74</v>
      </c>
      <c r="E660" t="s">
        <v>74</v>
      </c>
      <c r="F660" t="s">
        <v>9619</v>
      </c>
      <c r="G660" t="s">
        <v>74</v>
      </c>
      <c r="H660" t="s">
        <v>74</v>
      </c>
      <c r="I660" t="s">
        <v>9620</v>
      </c>
      <c r="J660" t="s">
        <v>216</v>
      </c>
      <c r="K660" t="s">
        <v>74</v>
      </c>
      <c r="L660" t="s">
        <v>74</v>
      </c>
      <c r="M660" t="s">
        <v>78</v>
      </c>
      <c r="N660" t="s">
        <v>79</v>
      </c>
      <c r="O660" t="s">
        <v>74</v>
      </c>
      <c r="P660" t="s">
        <v>74</v>
      </c>
      <c r="Q660" t="s">
        <v>74</v>
      </c>
      <c r="R660" t="s">
        <v>74</v>
      </c>
      <c r="S660" t="s">
        <v>74</v>
      </c>
      <c r="T660" t="s">
        <v>74</v>
      </c>
      <c r="U660" t="s">
        <v>9621</v>
      </c>
      <c r="V660" t="s">
        <v>9622</v>
      </c>
      <c r="W660" t="s">
        <v>9623</v>
      </c>
      <c r="X660" t="s">
        <v>9624</v>
      </c>
      <c r="Y660" t="s">
        <v>9625</v>
      </c>
      <c r="Z660" t="s">
        <v>9626</v>
      </c>
      <c r="AA660" t="s">
        <v>9627</v>
      </c>
      <c r="AB660" t="s">
        <v>9628</v>
      </c>
      <c r="AC660" t="s">
        <v>9629</v>
      </c>
      <c r="AD660" t="s">
        <v>9629</v>
      </c>
      <c r="AE660" t="s">
        <v>9630</v>
      </c>
      <c r="AF660" t="s">
        <v>74</v>
      </c>
      <c r="AG660">
        <v>23</v>
      </c>
      <c r="AH660">
        <v>93</v>
      </c>
      <c r="AI660">
        <v>93</v>
      </c>
      <c r="AJ660">
        <v>0</v>
      </c>
      <c r="AK660">
        <v>1</v>
      </c>
      <c r="AL660" t="s">
        <v>219</v>
      </c>
      <c r="AM660" t="s">
        <v>220</v>
      </c>
      <c r="AN660" t="s">
        <v>221</v>
      </c>
      <c r="AO660" t="s">
        <v>222</v>
      </c>
      <c r="AP660" t="s">
        <v>223</v>
      </c>
      <c r="AQ660" t="s">
        <v>74</v>
      </c>
      <c r="AR660" t="s">
        <v>224</v>
      </c>
      <c r="AS660" t="s">
        <v>225</v>
      </c>
      <c r="AT660" t="s">
        <v>2820</v>
      </c>
      <c r="AU660">
        <v>2017</v>
      </c>
      <c r="AV660">
        <v>50</v>
      </c>
      <c r="AW660">
        <v>4</v>
      </c>
      <c r="AX660" t="s">
        <v>74</v>
      </c>
      <c r="AY660" t="s">
        <v>74</v>
      </c>
      <c r="AZ660" t="s">
        <v>74</v>
      </c>
      <c r="BA660" t="s">
        <v>74</v>
      </c>
      <c r="BB660" t="s">
        <v>74</v>
      </c>
      <c r="BC660" t="s">
        <v>74</v>
      </c>
      <c r="BD660">
        <v>1700465</v>
      </c>
      <c r="BE660" t="s">
        <v>9631</v>
      </c>
      <c r="BF660" t="str">
        <f>HYPERLINK("http://dx.doi.org/10.1183/13993003.00465-2017","http://dx.doi.org/10.1183/13993003.00465-2017")</f>
        <v>http://dx.doi.org/10.1183/13993003.00465-2017</v>
      </c>
      <c r="BG660" t="s">
        <v>74</v>
      </c>
      <c r="BH660" t="s">
        <v>74</v>
      </c>
      <c r="BI660">
        <v>11</v>
      </c>
      <c r="BJ660" t="s">
        <v>228</v>
      </c>
      <c r="BK660" t="s">
        <v>101</v>
      </c>
      <c r="BL660" t="s">
        <v>228</v>
      </c>
      <c r="BM660" t="s">
        <v>9632</v>
      </c>
      <c r="BN660">
        <v>29051269</v>
      </c>
      <c r="BO660" t="s">
        <v>1194</v>
      </c>
      <c r="BP660" t="s">
        <v>74</v>
      </c>
      <c r="BQ660" t="s">
        <v>74</v>
      </c>
      <c r="BR660" t="s">
        <v>104</v>
      </c>
      <c r="BS660" t="s">
        <v>9633</v>
      </c>
      <c r="BT660" t="str">
        <f>HYPERLINK("https%3A%2F%2Fwww.webofscience.com%2Fwos%2Fwoscc%2Ffull-record%2FWOS:000413860300010","View Full Record in Web of Science")</f>
        <v>View Full Record in Web of Science</v>
      </c>
    </row>
    <row r="661" spans="1:72" x14ac:dyDescent="0.25">
      <c r="A661" t="s">
        <v>72</v>
      </c>
      <c r="B661" t="s">
        <v>9634</v>
      </c>
      <c r="C661" t="s">
        <v>74</v>
      </c>
      <c r="D661" t="s">
        <v>74</v>
      </c>
      <c r="E661" t="s">
        <v>74</v>
      </c>
      <c r="F661" t="s">
        <v>9635</v>
      </c>
      <c r="G661" t="s">
        <v>74</v>
      </c>
      <c r="H661" t="s">
        <v>74</v>
      </c>
      <c r="I661" t="s">
        <v>9636</v>
      </c>
      <c r="J661" t="s">
        <v>216</v>
      </c>
      <c r="K661" t="s">
        <v>74</v>
      </c>
      <c r="L661" t="s">
        <v>74</v>
      </c>
      <c r="M661" t="s">
        <v>78</v>
      </c>
      <c r="N661" t="s">
        <v>140</v>
      </c>
      <c r="O661" t="s">
        <v>74</v>
      </c>
      <c r="P661" t="s">
        <v>74</v>
      </c>
      <c r="Q661" t="s">
        <v>74</v>
      </c>
      <c r="R661" t="s">
        <v>74</v>
      </c>
      <c r="S661" t="s">
        <v>74</v>
      </c>
      <c r="T661" t="s">
        <v>74</v>
      </c>
      <c r="U661" t="s">
        <v>74</v>
      </c>
      <c r="V661" t="s">
        <v>74</v>
      </c>
      <c r="W661" t="s">
        <v>9637</v>
      </c>
      <c r="X661" t="s">
        <v>9638</v>
      </c>
      <c r="Y661" t="s">
        <v>9639</v>
      </c>
      <c r="Z661" t="s">
        <v>9640</v>
      </c>
      <c r="AA661" t="s">
        <v>9641</v>
      </c>
      <c r="AB661" t="s">
        <v>9642</v>
      </c>
      <c r="AC661" t="s">
        <v>74</v>
      </c>
      <c r="AD661" t="s">
        <v>74</v>
      </c>
      <c r="AE661" t="s">
        <v>74</v>
      </c>
      <c r="AF661" t="s">
        <v>74</v>
      </c>
      <c r="AG661">
        <v>7</v>
      </c>
      <c r="AH661">
        <v>0</v>
      </c>
      <c r="AI661">
        <v>0</v>
      </c>
      <c r="AJ661">
        <v>0</v>
      </c>
      <c r="AK661">
        <v>0</v>
      </c>
      <c r="AL661" t="s">
        <v>219</v>
      </c>
      <c r="AM661" t="s">
        <v>220</v>
      </c>
      <c r="AN661" t="s">
        <v>221</v>
      </c>
      <c r="AO661" t="s">
        <v>222</v>
      </c>
      <c r="AP661" t="s">
        <v>223</v>
      </c>
      <c r="AQ661" t="s">
        <v>74</v>
      </c>
      <c r="AR661" t="s">
        <v>224</v>
      </c>
      <c r="AS661" t="s">
        <v>225</v>
      </c>
      <c r="AT661" t="s">
        <v>2820</v>
      </c>
      <c r="AU661">
        <v>2017</v>
      </c>
      <c r="AV661">
        <v>50</v>
      </c>
      <c r="AW661">
        <v>4</v>
      </c>
      <c r="AX661" t="s">
        <v>74</v>
      </c>
      <c r="AY661" t="s">
        <v>74</v>
      </c>
      <c r="AZ661" t="s">
        <v>74</v>
      </c>
      <c r="BA661" t="s">
        <v>74</v>
      </c>
      <c r="BB661" t="s">
        <v>74</v>
      </c>
      <c r="BC661" t="s">
        <v>74</v>
      </c>
      <c r="BD661">
        <v>1701479</v>
      </c>
      <c r="BE661" t="s">
        <v>9643</v>
      </c>
      <c r="BF661" t="str">
        <f>HYPERLINK("http://dx.doi.org/10.1183/13993003.01479-2017","http://dx.doi.org/10.1183/13993003.01479-2017")</f>
        <v>http://dx.doi.org/10.1183/13993003.01479-2017</v>
      </c>
      <c r="BG661" t="s">
        <v>74</v>
      </c>
      <c r="BH661" t="s">
        <v>74</v>
      </c>
      <c r="BI661">
        <v>4</v>
      </c>
      <c r="BJ661" t="s">
        <v>228</v>
      </c>
      <c r="BK661" t="s">
        <v>101</v>
      </c>
      <c r="BL661" t="s">
        <v>228</v>
      </c>
      <c r="BM661" t="s">
        <v>9632</v>
      </c>
      <c r="BN661">
        <v>28982769</v>
      </c>
      <c r="BO661" t="s">
        <v>74</v>
      </c>
      <c r="BP661" t="s">
        <v>74</v>
      </c>
      <c r="BQ661" t="s">
        <v>74</v>
      </c>
      <c r="BR661" t="s">
        <v>104</v>
      </c>
      <c r="BS661" t="s">
        <v>9644</v>
      </c>
      <c r="BT661" t="str">
        <f>HYPERLINK("https%3A%2F%2Fwww.webofscience.com%2Fwos%2Fwoscc%2Ffull-record%2FWOS:000413860300042","View Full Record in Web of Science")</f>
        <v>View Full Record in Web of Science</v>
      </c>
    </row>
    <row r="662" spans="1:72" x14ac:dyDescent="0.25">
      <c r="A662" t="s">
        <v>72</v>
      </c>
      <c r="B662" t="s">
        <v>1420</v>
      </c>
      <c r="C662" t="s">
        <v>74</v>
      </c>
      <c r="D662" t="s">
        <v>74</v>
      </c>
      <c r="E662" t="s">
        <v>74</v>
      </c>
      <c r="F662" t="s">
        <v>1421</v>
      </c>
      <c r="G662" t="s">
        <v>74</v>
      </c>
      <c r="H662" t="s">
        <v>74</v>
      </c>
      <c r="I662" t="s">
        <v>9645</v>
      </c>
      <c r="J662" t="s">
        <v>1047</v>
      </c>
      <c r="K662" t="s">
        <v>74</v>
      </c>
      <c r="L662" t="s">
        <v>74</v>
      </c>
      <c r="M662" t="s">
        <v>78</v>
      </c>
      <c r="N662" t="s">
        <v>299</v>
      </c>
      <c r="O662" t="s">
        <v>74</v>
      </c>
      <c r="P662" t="s">
        <v>74</v>
      </c>
      <c r="Q662" t="s">
        <v>74</v>
      </c>
      <c r="R662" t="s">
        <v>74</v>
      </c>
      <c r="S662" t="s">
        <v>74</v>
      </c>
      <c r="T662" t="s">
        <v>74</v>
      </c>
      <c r="U662" t="s">
        <v>9646</v>
      </c>
      <c r="V662" t="s">
        <v>74</v>
      </c>
      <c r="W662" t="s">
        <v>9647</v>
      </c>
      <c r="X662" t="s">
        <v>9648</v>
      </c>
      <c r="Y662" t="s">
        <v>9649</v>
      </c>
      <c r="Z662" t="s">
        <v>377</v>
      </c>
      <c r="AA662" t="s">
        <v>144</v>
      </c>
      <c r="AB662" t="s">
        <v>257</v>
      </c>
      <c r="AC662" t="s">
        <v>74</v>
      </c>
      <c r="AD662" t="s">
        <v>74</v>
      </c>
      <c r="AE662" t="s">
        <v>74</v>
      </c>
      <c r="AF662" t="s">
        <v>74</v>
      </c>
      <c r="AG662">
        <v>10</v>
      </c>
      <c r="AH662">
        <v>0</v>
      </c>
      <c r="AI662">
        <v>0</v>
      </c>
      <c r="AJ662">
        <v>0</v>
      </c>
      <c r="AK662">
        <v>2</v>
      </c>
      <c r="AL662" t="s">
        <v>1054</v>
      </c>
      <c r="AM662" t="s">
        <v>486</v>
      </c>
      <c r="AN662" t="s">
        <v>1055</v>
      </c>
      <c r="AO662" t="s">
        <v>1056</v>
      </c>
      <c r="AP662" t="s">
        <v>1057</v>
      </c>
      <c r="AQ662" t="s">
        <v>74</v>
      </c>
      <c r="AR662" t="s">
        <v>1058</v>
      </c>
      <c r="AS662" t="s">
        <v>1059</v>
      </c>
      <c r="AT662" t="s">
        <v>420</v>
      </c>
      <c r="AU662">
        <v>2017</v>
      </c>
      <c r="AV662">
        <v>38</v>
      </c>
      <c r="AW662">
        <v>5</v>
      </c>
      <c r="AX662" t="s">
        <v>74</v>
      </c>
      <c r="AY662" t="s">
        <v>74</v>
      </c>
      <c r="AZ662" t="s">
        <v>74</v>
      </c>
      <c r="BA662" t="s">
        <v>74</v>
      </c>
      <c r="BB662" t="s">
        <v>74</v>
      </c>
      <c r="BC662" t="s">
        <v>74</v>
      </c>
      <c r="BD662" t="s">
        <v>74</v>
      </c>
      <c r="BE662" t="s">
        <v>9650</v>
      </c>
      <c r="BF662" t="str">
        <f>HYPERLINK("http://dx.doi.org/10.1055/s-0037-1606390","http://dx.doi.org/10.1055/s-0037-1606390")</f>
        <v>http://dx.doi.org/10.1055/s-0037-1606390</v>
      </c>
      <c r="BG662" t="s">
        <v>74</v>
      </c>
      <c r="BH662" t="s">
        <v>74</v>
      </c>
      <c r="BI662">
        <v>1</v>
      </c>
      <c r="BJ662" t="s">
        <v>341</v>
      </c>
      <c r="BK662" t="s">
        <v>101</v>
      </c>
      <c r="BL662" t="s">
        <v>342</v>
      </c>
      <c r="BM662" t="s">
        <v>9651</v>
      </c>
      <c r="BN662">
        <v>29032559</v>
      </c>
      <c r="BO662" t="s">
        <v>74</v>
      </c>
      <c r="BP662" t="s">
        <v>74</v>
      </c>
      <c r="BQ662" t="s">
        <v>74</v>
      </c>
      <c r="BR662" t="s">
        <v>104</v>
      </c>
      <c r="BS662" t="s">
        <v>9652</v>
      </c>
      <c r="BT662" t="str">
        <f>HYPERLINK("https%3A%2F%2Fwww.webofscience.com%2Fwos%2Fwoscc%2Ffull-record%2FWOS:000413053300001","View Full Record in Web of Science")</f>
        <v>View Full Record in Web of Science</v>
      </c>
    </row>
    <row r="663" spans="1:72" x14ac:dyDescent="0.25">
      <c r="A663" t="s">
        <v>72</v>
      </c>
      <c r="B663" t="s">
        <v>9653</v>
      </c>
      <c r="C663" t="s">
        <v>74</v>
      </c>
      <c r="D663" t="s">
        <v>74</v>
      </c>
      <c r="E663" t="s">
        <v>74</v>
      </c>
      <c r="F663" t="s">
        <v>9654</v>
      </c>
      <c r="G663" t="s">
        <v>74</v>
      </c>
      <c r="H663" t="s">
        <v>74</v>
      </c>
      <c r="I663" t="s">
        <v>9655</v>
      </c>
      <c r="J663" t="s">
        <v>9656</v>
      </c>
      <c r="K663" t="s">
        <v>74</v>
      </c>
      <c r="L663" t="s">
        <v>74</v>
      </c>
      <c r="M663" t="s">
        <v>78</v>
      </c>
      <c r="N663" t="s">
        <v>299</v>
      </c>
      <c r="O663" t="s">
        <v>74</v>
      </c>
      <c r="P663" t="s">
        <v>74</v>
      </c>
      <c r="Q663" t="s">
        <v>74</v>
      </c>
      <c r="R663" t="s">
        <v>74</v>
      </c>
      <c r="S663" t="s">
        <v>74</v>
      </c>
      <c r="T663" t="s">
        <v>74</v>
      </c>
      <c r="U663" t="s">
        <v>9657</v>
      </c>
      <c r="V663" t="s">
        <v>9658</v>
      </c>
      <c r="W663" t="s">
        <v>9659</v>
      </c>
      <c r="X663" t="s">
        <v>9660</v>
      </c>
      <c r="Y663" t="s">
        <v>9661</v>
      </c>
      <c r="Z663" t="s">
        <v>377</v>
      </c>
      <c r="AA663" t="s">
        <v>9662</v>
      </c>
      <c r="AB663" t="s">
        <v>9663</v>
      </c>
      <c r="AC663" t="s">
        <v>9664</v>
      </c>
      <c r="AD663" t="s">
        <v>9665</v>
      </c>
      <c r="AE663" t="s">
        <v>9666</v>
      </c>
      <c r="AF663" t="s">
        <v>74</v>
      </c>
      <c r="AG663">
        <v>115</v>
      </c>
      <c r="AH663">
        <v>335</v>
      </c>
      <c r="AI663">
        <v>356</v>
      </c>
      <c r="AJ663">
        <v>8</v>
      </c>
      <c r="AK663">
        <v>80</v>
      </c>
      <c r="AL663" t="s">
        <v>7501</v>
      </c>
      <c r="AM663" t="s">
        <v>486</v>
      </c>
      <c r="AN663" t="s">
        <v>9667</v>
      </c>
      <c r="AO663" t="s">
        <v>9668</v>
      </c>
      <c r="AP663" t="s">
        <v>9669</v>
      </c>
      <c r="AQ663" t="s">
        <v>74</v>
      </c>
      <c r="AR663" t="s">
        <v>9670</v>
      </c>
      <c r="AS663" t="s">
        <v>9671</v>
      </c>
      <c r="AT663" t="s">
        <v>420</v>
      </c>
      <c r="AU663">
        <v>2017</v>
      </c>
      <c r="AV663">
        <v>14</v>
      </c>
      <c r="AW663">
        <v>10</v>
      </c>
      <c r="AX663" t="s">
        <v>74</v>
      </c>
      <c r="AY663" t="s">
        <v>74</v>
      </c>
      <c r="AZ663" t="s">
        <v>74</v>
      </c>
      <c r="BA663" t="s">
        <v>74</v>
      </c>
      <c r="BB663" t="s">
        <v>74</v>
      </c>
      <c r="BC663" t="s">
        <v>74</v>
      </c>
      <c r="BD663" t="s">
        <v>74</v>
      </c>
      <c r="BE663" t="s">
        <v>9672</v>
      </c>
      <c r="BF663" t="str">
        <f>HYPERLINK("http://dx.doi.org/10.1038/nrcardio.2017.84","http://dx.doi.org/10.1038/nrcardio.2017.84")</f>
        <v>http://dx.doi.org/10.1038/nrcardio.2017.84</v>
      </c>
      <c r="BG663" t="s">
        <v>74</v>
      </c>
      <c r="BH663" t="s">
        <v>74</v>
      </c>
      <c r="BI663">
        <v>12</v>
      </c>
      <c r="BJ663" t="s">
        <v>132</v>
      </c>
      <c r="BK663" t="s">
        <v>101</v>
      </c>
      <c r="BL663" t="s">
        <v>133</v>
      </c>
      <c r="BM663" t="s">
        <v>9673</v>
      </c>
      <c r="BN663">
        <v>28593996</v>
      </c>
      <c r="BO663" t="s">
        <v>74</v>
      </c>
      <c r="BP663" t="s">
        <v>1155</v>
      </c>
      <c r="BQ663" t="s">
        <v>1156</v>
      </c>
      <c r="BR663" t="s">
        <v>104</v>
      </c>
      <c r="BS663" t="s">
        <v>9674</v>
      </c>
      <c r="BT663" t="str">
        <f>HYPERLINK("https%3A%2F%2Fwww.webofscience.com%2Fwos%2Fwoscc%2Ffull-record%2FWOS:000410669400013","View Full Record in Web of Science")</f>
        <v>View Full Record in Web of Science</v>
      </c>
    </row>
    <row r="664" spans="1:72" x14ac:dyDescent="0.25">
      <c r="A664" t="s">
        <v>72</v>
      </c>
      <c r="B664" t="s">
        <v>9675</v>
      </c>
      <c r="C664" t="s">
        <v>74</v>
      </c>
      <c r="D664" t="s">
        <v>74</v>
      </c>
      <c r="E664" t="s">
        <v>74</v>
      </c>
      <c r="F664" t="s">
        <v>9676</v>
      </c>
      <c r="G664" t="s">
        <v>74</v>
      </c>
      <c r="H664" t="s">
        <v>74</v>
      </c>
      <c r="I664" t="s">
        <v>9677</v>
      </c>
      <c r="J664" t="s">
        <v>1047</v>
      </c>
      <c r="K664" t="s">
        <v>74</v>
      </c>
      <c r="L664" t="s">
        <v>74</v>
      </c>
      <c r="M664" t="s">
        <v>78</v>
      </c>
      <c r="N664" t="s">
        <v>299</v>
      </c>
      <c r="O664" t="s">
        <v>74</v>
      </c>
      <c r="P664" t="s">
        <v>74</v>
      </c>
      <c r="Q664" t="s">
        <v>74</v>
      </c>
      <c r="R664" t="s">
        <v>74</v>
      </c>
      <c r="S664" t="s">
        <v>74</v>
      </c>
      <c r="T664" t="s">
        <v>9678</v>
      </c>
      <c r="U664" t="s">
        <v>9679</v>
      </c>
      <c r="V664" t="s">
        <v>9680</v>
      </c>
      <c r="W664" t="s">
        <v>9681</v>
      </c>
      <c r="X664" t="s">
        <v>9682</v>
      </c>
      <c r="Y664" t="s">
        <v>9683</v>
      </c>
      <c r="Z664" t="s">
        <v>6688</v>
      </c>
      <c r="AA664" t="s">
        <v>9684</v>
      </c>
      <c r="AB664" t="s">
        <v>9685</v>
      </c>
      <c r="AC664" t="s">
        <v>74</v>
      </c>
      <c r="AD664" t="s">
        <v>74</v>
      </c>
      <c r="AE664" t="s">
        <v>74</v>
      </c>
      <c r="AF664" t="s">
        <v>74</v>
      </c>
      <c r="AG664">
        <v>126</v>
      </c>
      <c r="AH664">
        <v>8</v>
      </c>
      <c r="AI664">
        <v>8</v>
      </c>
      <c r="AJ664">
        <v>0</v>
      </c>
      <c r="AK664">
        <v>9</v>
      </c>
      <c r="AL664" t="s">
        <v>1054</v>
      </c>
      <c r="AM664" t="s">
        <v>486</v>
      </c>
      <c r="AN664" t="s">
        <v>1055</v>
      </c>
      <c r="AO664" t="s">
        <v>1056</v>
      </c>
      <c r="AP664" t="s">
        <v>1057</v>
      </c>
      <c r="AQ664" t="s">
        <v>74</v>
      </c>
      <c r="AR664" t="s">
        <v>1058</v>
      </c>
      <c r="AS664" t="s">
        <v>1059</v>
      </c>
      <c r="AT664" t="s">
        <v>420</v>
      </c>
      <c r="AU664">
        <v>2017</v>
      </c>
      <c r="AV664">
        <v>38</v>
      </c>
      <c r="AW664">
        <v>5</v>
      </c>
      <c r="AX664" t="s">
        <v>74</v>
      </c>
      <c r="AY664" t="s">
        <v>74</v>
      </c>
      <c r="AZ664" t="s">
        <v>74</v>
      </c>
      <c r="BA664" t="s">
        <v>74</v>
      </c>
      <c r="BB664">
        <v>686</v>
      </c>
      <c r="BC664">
        <v>700</v>
      </c>
      <c r="BD664" t="s">
        <v>74</v>
      </c>
      <c r="BE664" t="s">
        <v>9686</v>
      </c>
      <c r="BF664" t="str">
        <f>HYPERLINK("http://dx.doi.org/10.1055/s-0037-1607208","http://dx.doi.org/10.1055/s-0037-1607208")</f>
        <v>http://dx.doi.org/10.1055/s-0037-1607208</v>
      </c>
      <c r="BG664" t="s">
        <v>74</v>
      </c>
      <c r="BH664" t="s">
        <v>74</v>
      </c>
      <c r="BI664">
        <v>15</v>
      </c>
      <c r="BJ664" t="s">
        <v>341</v>
      </c>
      <c r="BK664" t="s">
        <v>101</v>
      </c>
      <c r="BL664" t="s">
        <v>342</v>
      </c>
      <c r="BM664" t="s">
        <v>9651</v>
      </c>
      <c r="BN664">
        <v>29032569</v>
      </c>
      <c r="BO664" t="s">
        <v>74</v>
      </c>
      <c r="BP664" t="s">
        <v>74</v>
      </c>
      <c r="BQ664" t="s">
        <v>74</v>
      </c>
      <c r="BR664" t="s">
        <v>104</v>
      </c>
      <c r="BS664" t="s">
        <v>9687</v>
      </c>
      <c r="BT664" t="str">
        <f>HYPERLINK("https%3A%2F%2Fwww.webofscience.com%2Fwos%2Fwoscc%2Ffull-record%2FWOS:000413053300011","View Full Record in Web of Science")</f>
        <v>View Full Record in Web of Science</v>
      </c>
    </row>
    <row r="665" spans="1:72" x14ac:dyDescent="0.25">
      <c r="A665" t="s">
        <v>72</v>
      </c>
      <c r="B665" t="s">
        <v>9688</v>
      </c>
      <c r="C665" t="s">
        <v>74</v>
      </c>
      <c r="D665" t="s">
        <v>74</v>
      </c>
      <c r="E665" t="s">
        <v>74</v>
      </c>
      <c r="F665" t="s">
        <v>9689</v>
      </c>
      <c r="G665" t="s">
        <v>74</v>
      </c>
      <c r="H665" t="s">
        <v>74</v>
      </c>
      <c r="I665" t="s">
        <v>9690</v>
      </c>
      <c r="J665" t="s">
        <v>9691</v>
      </c>
      <c r="K665" t="s">
        <v>74</v>
      </c>
      <c r="L665" t="s">
        <v>74</v>
      </c>
      <c r="M665" t="s">
        <v>78</v>
      </c>
      <c r="N665" t="s">
        <v>79</v>
      </c>
      <c r="O665" t="s">
        <v>74</v>
      </c>
      <c r="P665" t="s">
        <v>74</v>
      </c>
      <c r="Q665" t="s">
        <v>74</v>
      </c>
      <c r="R665" t="s">
        <v>74</v>
      </c>
      <c r="S665" t="s">
        <v>74</v>
      </c>
      <c r="T665" t="s">
        <v>9692</v>
      </c>
      <c r="U665" t="s">
        <v>9693</v>
      </c>
      <c r="V665" t="s">
        <v>9694</v>
      </c>
      <c r="W665" t="s">
        <v>9695</v>
      </c>
      <c r="X665" t="s">
        <v>9696</v>
      </c>
      <c r="Y665" t="s">
        <v>9697</v>
      </c>
      <c r="Z665" t="s">
        <v>9698</v>
      </c>
      <c r="AA665" t="s">
        <v>9699</v>
      </c>
      <c r="AB665" t="s">
        <v>9700</v>
      </c>
      <c r="AC665" t="s">
        <v>9701</v>
      </c>
      <c r="AD665" t="s">
        <v>9702</v>
      </c>
      <c r="AE665" t="s">
        <v>9703</v>
      </c>
      <c r="AF665" t="s">
        <v>74</v>
      </c>
      <c r="AG665">
        <v>48</v>
      </c>
      <c r="AH665">
        <v>24</v>
      </c>
      <c r="AI665">
        <v>25</v>
      </c>
      <c r="AJ665">
        <v>0</v>
      </c>
      <c r="AK665">
        <v>6</v>
      </c>
      <c r="AL665" t="s">
        <v>7467</v>
      </c>
      <c r="AM665" t="s">
        <v>93</v>
      </c>
      <c r="AN665" t="s">
        <v>7468</v>
      </c>
      <c r="AO665" t="s">
        <v>9704</v>
      </c>
      <c r="AP665" t="s">
        <v>9705</v>
      </c>
      <c r="AQ665" t="s">
        <v>74</v>
      </c>
      <c r="AR665" t="s">
        <v>9706</v>
      </c>
      <c r="AS665" t="s">
        <v>9707</v>
      </c>
      <c r="AT665" t="s">
        <v>420</v>
      </c>
      <c r="AU665">
        <v>2017</v>
      </c>
      <c r="AV665">
        <v>1864</v>
      </c>
      <c r="AW665">
        <v>10</v>
      </c>
      <c r="AX665" t="s">
        <v>74</v>
      </c>
      <c r="AY665" t="s">
        <v>74</v>
      </c>
      <c r="AZ665" t="s">
        <v>74</v>
      </c>
      <c r="BA665" t="s">
        <v>74</v>
      </c>
      <c r="BB665">
        <v>1631</v>
      </c>
      <c r="BC665">
        <v>1641</v>
      </c>
      <c r="BD665" t="s">
        <v>74</v>
      </c>
      <c r="BE665" t="s">
        <v>9708</v>
      </c>
      <c r="BF665" t="str">
        <f>HYPERLINK("http://dx.doi.org/10.1016/j.bbamcr.2017.06.018","http://dx.doi.org/10.1016/j.bbamcr.2017.06.018")</f>
        <v>http://dx.doi.org/10.1016/j.bbamcr.2017.06.018</v>
      </c>
      <c r="BG665" t="s">
        <v>74</v>
      </c>
      <c r="BH665" t="s">
        <v>74</v>
      </c>
      <c r="BI665">
        <v>11</v>
      </c>
      <c r="BJ665" t="s">
        <v>9709</v>
      </c>
      <c r="BK665" t="s">
        <v>101</v>
      </c>
      <c r="BL665" t="s">
        <v>9709</v>
      </c>
      <c r="BM665" t="s">
        <v>9710</v>
      </c>
      <c r="BN665">
        <v>28655554</v>
      </c>
      <c r="BO665" t="s">
        <v>1908</v>
      </c>
      <c r="BP665" t="s">
        <v>74</v>
      </c>
      <c r="BQ665" t="s">
        <v>74</v>
      </c>
      <c r="BR665" t="s">
        <v>104</v>
      </c>
      <c r="BS665" t="s">
        <v>9711</v>
      </c>
      <c r="BT665" t="str">
        <f>HYPERLINK("https%3A%2F%2Fwww.webofscience.com%2Fwos%2Fwoscc%2Ffull-record%2FWOS:000411168100010","View Full Record in Web of Science")</f>
        <v>View Full Record in Web of Science</v>
      </c>
    </row>
    <row r="666" spans="1:72" x14ac:dyDescent="0.25">
      <c r="A666" t="s">
        <v>72</v>
      </c>
      <c r="B666" t="s">
        <v>9712</v>
      </c>
      <c r="C666" t="s">
        <v>74</v>
      </c>
      <c r="D666" t="s">
        <v>74</v>
      </c>
      <c r="E666" t="s">
        <v>74</v>
      </c>
      <c r="F666" t="s">
        <v>9713</v>
      </c>
      <c r="G666" t="s">
        <v>74</v>
      </c>
      <c r="H666" t="s">
        <v>74</v>
      </c>
      <c r="I666" t="s">
        <v>9714</v>
      </c>
      <c r="J666" t="s">
        <v>9715</v>
      </c>
      <c r="K666" t="s">
        <v>74</v>
      </c>
      <c r="L666" t="s">
        <v>74</v>
      </c>
      <c r="M666" t="s">
        <v>78</v>
      </c>
      <c r="N666" t="s">
        <v>79</v>
      </c>
      <c r="O666" t="s">
        <v>74</v>
      </c>
      <c r="P666" t="s">
        <v>74</v>
      </c>
      <c r="Q666" t="s">
        <v>74</v>
      </c>
      <c r="R666" t="s">
        <v>74</v>
      </c>
      <c r="S666" t="s">
        <v>74</v>
      </c>
      <c r="T666" t="s">
        <v>9716</v>
      </c>
      <c r="U666" t="s">
        <v>9717</v>
      </c>
      <c r="V666" t="s">
        <v>9718</v>
      </c>
      <c r="W666" t="s">
        <v>9719</v>
      </c>
      <c r="X666" t="s">
        <v>9720</v>
      </c>
      <c r="Y666" t="s">
        <v>9721</v>
      </c>
      <c r="Z666" t="s">
        <v>9722</v>
      </c>
      <c r="AA666" t="s">
        <v>9723</v>
      </c>
      <c r="AB666" t="s">
        <v>9724</v>
      </c>
      <c r="AC666" t="s">
        <v>9725</v>
      </c>
      <c r="AD666" t="s">
        <v>9725</v>
      </c>
      <c r="AE666" t="s">
        <v>9726</v>
      </c>
      <c r="AF666" t="s">
        <v>74</v>
      </c>
      <c r="AG666">
        <v>26</v>
      </c>
      <c r="AH666">
        <v>10</v>
      </c>
      <c r="AI666">
        <v>13</v>
      </c>
      <c r="AJ666">
        <v>0</v>
      </c>
      <c r="AK666">
        <v>12</v>
      </c>
      <c r="AL666" t="s">
        <v>9727</v>
      </c>
      <c r="AM666" t="s">
        <v>9728</v>
      </c>
      <c r="AN666" t="s">
        <v>9729</v>
      </c>
      <c r="AO666" t="s">
        <v>74</v>
      </c>
      <c r="AP666" t="s">
        <v>9730</v>
      </c>
      <c r="AQ666" t="s">
        <v>74</v>
      </c>
      <c r="AR666" t="s">
        <v>9715</v>
      </c>
      <c r="AS666" t="s">
        <v>9731</v>
      </c>
      <c r="AT666" t="s">
        <v>9732</v>
      </c>
      <c r="AU666">
        <v>2017</v>
      </c>
      <c r="AV666">
        <v>8</v>
      </c>
      <c r="AW666">
        <v>43</v>
      </c>
      <c r="AX666" t="s">
        <v>74</v>
      </c>
      <c r="AY666" t="s">
        <v>74</v>
      </c>
      <c r="AZ666" t="s">
        <v>74</v>
      </c>
      <c r="BA666" t="s">
        <v>74</v>
      </c>
      <c r="BB666">
        <v>74917</v>
      </c>
      <c r="BC666">
        <v>74926</v>
      </c>
      <c r="BD666" t="s">
        <v>74</v>
      </c>
      <c r="BE666" t="s">
        <v>9733</v>
      </c>
      <c r="BF666" t="str">
        <f>HYPERLINK("http://dx.doi.org/10.18632/oncotarget.20459","http://dx.doi.org/10.18632/oncotarget.20459")</f>
        <v>http://dx.doi.org/10.18632/oncotarget.20459</v>
      </c>
      <c r="BG666" t="s">
        <v>74</v>
      </c>
      <c r="BH666" t="s">
        <v>74</v>
      </c>
      <c r="BI666">
        <v>10</v>
      </c>
      <c r="BJ666" t="s">
        <v>9734</v>
      </c>
      <c r="BK666" t="s">
        <v>101</v>
      </c>
      <c r="BL666" t="s">
        <v>9734</v>
      </c>
      <c r="BM666" t="s">
        <v>9735</v>
      </c>
      <c r="BN666">
        <v>29088834</v>
      </c>
      <c r="BO666" t="s">
        <v>865</v>
      </c>
      <c r="BP666" t="s">
        <v>74</v>
      </c>
      <c r="BQ666" t="s">
        <v>74</v>
      </c>
      <c r="BR666" t="s">
        <v>104</v>
      </c>
      <c r="BS666" t="s">
        <v>9736</v>
      </c>
      <c r="BT666" t="str">
        <f>HYPERLINK("https%3A%2F%2Fwww.webofscience.com%2Fwos%2Fwoscc%2Ffull-record%2FWOS:000411760400126","View Full Record in Web of Science")</f>
        <v>View Full Record in Web of Science</v>
      </c>
    </row>
    <row r="667" spans="1:72" x14ac:dyDescent="0.25">
      <c r="A667" t="s">
        <v>72</v>
      </c>
      <c r="B667" t="s">
        <v>9737</v>
      </c>
      <c r="C667" t="s">
        <v>74</v>
      </c>
      <c r="D667" t="s">
        <v>74</v>
      </c>
      <c r="E667" t="s">
        <v>74</v>
      </c>
      <c r="F667" t="s">
        <v>9738</v>
      </c>
      <c r="G667" t="s">
        <v>74</v>
      </c>
      <c r="H667" t="s">
        <v>74</v>
      </c>
      <c r="I667" t="s">
        <v>9739</v>
      </c>
      <c r="J667" t="s">
        <v>216</v>
      </c>
      <c r="K667" t="s">
        <v>74</v>
      </c>
      <c r="L667" t="s">
        <v>74</v>
      </c>
      <c r="M667" t="s">
        <v>78</v>
      </c>
      <c r="N667" t="s">
        <v>52</v>
      </c>
      <c r="O667" t="s">
        <v>4152</v>
      </c>
      <c r="P667" t="s">
        <v>9740</v>
      </c>
      <c r="Q667" t="s">
        <v>7497</v>
      </c>
      <c r="R667" t="s">
        <v>2954</v>
      </c>
      <c r="S667" t="s">
        <v>74</v>
      </c>
      <c r="T667" t="s">
        <v>74</v>
      </c>
      <c r="U667" t="s">
        <v>74</v>
      </c>
      <c r="V667" t="s">
        <v>74</v>
      </c>
      <c r="W667" t="s">
        <v>74</v>
      </c>
      <c r="X667" t="s">
        <v>74</v>
      </c>
      <c r="Y667" t="s">
        <v>74</v>
      </c>
      <c r="Z667" t="s">
        <v>74</v>
      </c>
      <c r="AA667" t="s">
        <v>9741</v>
      </c>
      <c r="AB667" t="s">
        <v>74</v>
      </c>
      <c r="AC667" t="s">
        <v>74</v>
      </c>
      <c r="AD667" t="s">
        <v>74</v>
      </c>
      <c r="AE667" t="s">
        <v>74</v>
      </c>
      <c r="AF667" t="s">
        <v>74</v>
      </c>
      <c r="AG667">
        <v>0</v>
      </c>
      <c r="AH667">
        <v>1</v>
      </c>
      <c r="AI667">
        <v>1</v>
      </c>
      <c r="AJ667">
        <v>0</v>
      </c>
      <c r="AK667">
        <v>0</v>
      </c>
      <c r="AL667" t="s">
        <v>219</v>
      </c>
      <c r="AM667" t="s">
        <v>220</v>
      </c>
      <c r="AN667" t="s">
        <v>221</v>
      </c>
      <c r="AO667" t="s">
        <v>222</v>
      </c>
      <c r="AP667" t="s">
        <v>223</v>
      </c>
      <c r="AQ667" t="s">
        <v>74</v>
      </c>
      <c r="AR667" t="s">
        <v>224</v>
      </c>
      <c r="AS667" t="s">
        <v>225</v>
      </c>
      <c r="AT667" t="s">
        <v>529</v>
      </c>
      <c r="AU667">
        <v>2017</v>
      </c>
      <c r="AV667">
        <v>50</v>
      </c>
      <c r="AW667" t="s">
        <v>74</v>
      </c>
      <c r="AX667" t="s">
        <v>74</v>
      </c>
      <c r="AY667">
        <v>61</v>
      </c>
      <c r="AZ667" t="s">
        <v>74</v>
      </c>
      <c r="BA667" t="s">
        <v>9742</v>
      </c>
      <c r="BB667" t="s">
        <v>74</v>
      </c>
      <c r="BC667" t="s">
        <v>74</v>
      </c>
      <c r="BD667" t="s">
        <v>74</v>
      </c>
      <c r="BE667" t="s">
        <v>9743</v>
      </c>
      <c r="BF667" t="str">
        <f>HYPERLINK("http://dx.doi.org/10.1183/1393003.congress-2017.PA2385","http://dx.doi.org/10.1183/1393003.congress-2017.PA2385")</f>
        <v>http://dx.doi.org/10.1183/1393003.congress-2017.PA2385</v>
      </c>
      <c r="BG667" t="s">
        <v>74</v>
      </c>
      <c r="BH667" t="s">
        <v>74</v>
      </c>
      <c r="BI667">
        <v>1</v>
      </c>
      <c r="BJ667" t="s">
        <v>228</v>
      </c>
      <c r="BK667" t="s">
        <v>512</v>
      </c>
      <c r="BL667" t="s">
        <v>228</v>
      </c>
      <c r="BM667" t="s">
        <v>9744</v>
      </c>
      <c r="BN667" t="s">
        <v>74</v>
      </c>
      <c r="BO667" t="s">
        <v>74</v>
      </c>
      <c r="BP667" t="s">
        <v>74</v>
      </c>
      <c r="BQ667" t="s">
        <v>74</v>
      </c>
      <c r="BR667" t="s">
        <v>104</v>
      </c>
      <c r="BS667" t="s">
        <v>9745</v>
      </c>
      <c r="BT667" t="str">
        <f>HYPERLINK("https%3A%2F%2Fwww.webofscience.com%2Fwos%2Fwoscc%2Ffull-record%2FWOS:000431748901784","View Full Record in Web of Science")</f>
        <v>View Full Record in Web of Science</v>
      </c>
    </row>
    <row r="668" spans="1:72" x14ac:dyDescent="0.25">
      <c r="A668" t="s">
        <v>72</v>
      </c>
      <c r="B668" t="s">
        <v>9746</v>
      </c>
      <c r="C668" t="s">
        <v>74</v>
      </c>
      <c r="D668" t="s">
        <v>74</v>
      </c>
      <c r="E668" t="s">
        <v>74</v>
      </c>
      <c r="F668" t="s">
        <v>9747</v>
      </c>
      <c r="G668" t="s">
        <v>74</v>
      </c>
      <c r="H668" t="s">
        <v>74</v>
      </c>
      <c r="I668" t="s">
        <v>9748</v>
      </c>
      <c r="J668" t="s">
        <v>216</v>
      </c>
      <c r="K668" t="s">
        <v>74</v>
      </c>
      <c r="L668" t="s">
        <v>74</v>
      </c>
      <c r="M668" t="s">
        <v>78</v>
      </c>
      <c r="N668" t="s">
        <v>52</v>
      </c>
      <c r="O668" t="s">
        <v>4152</v>
      </c>
      <c r="P668" t="s">
        <v>9740</v>
      </c>
      <c r="Q668" t="s">
        <v>7497</v>
      </c>
      <c r="R668" t="s">
        <v>2954</v>
      </c>
      <c r="S668" t="s">
        <v>74</v>
      </c>
      <c r="T668" t="s">
        <v>74</v>
      </c>
      <c r="U668" t="s">
        <v>74</v>
      </c>
      <c r="V668" t="s">
        <v>74</v>
      </c>
      <c r="W668" t="s">
        <v>74</v>
      </c>
      <c r="X668" t="s">
        <v>74</v>
      </c>
      <c r="Y668" t="s">
        <v>74</v>
      </c>
      <c r="Z668" t="s">
        <v>74</v>
      </c>
      <c r="AA668" t="s">
        <v>9749</v>
      </c>
      <c r="AB668" t="s">
        <v>9750</v>
      </c>
      <c r="AC668" t="s">
        <v>74</v>
      </c>
      <c r="AD668" t="s">
        <v>74</v>
      </c>
      <c r="AE668" t="s">
        <v>74</v>
      </c>
      <c r="AF668" t="s">
        <v>74</v>
      </c>
      <c r="AG668">
        <v>0</v>
      </c>
      <c r="AH668">
        <v>0</v>
      </c>
      <c r="AI668">
        <v>0</v>
      </c>
      <c r="AJ668">
        <v>0</v>
      </c>
      <c r="AK668">
        <v>2</v>
      </c>
      <c r="AL668" t="s">
        <v>219</v>
      </c>
      <c r="AM668" t="s">
        <v>220</v>
      </c>
      <c r="AN668" t="s">
        <v>221</v>
      </c>
      <c r="AO668" t="s">
        <v>222</v>
      </c>
      <c r="AP668" t="s">
        <v>223</v>
      </c>
      <c r="AQ668" t="s">
        <v>74</v>
      </c>
      <c r="AR668" t="s">
        <v>224</v>
      </c>
      <c r="AS668" t="s">
        <v>225</v>
      </c>
      <c r="AT668" t="s">
        <v>529</v>
      </c>
      <c r="AU668">
        <v>2017</v>
      </c>
      <c r="AV668">
        <v>50</v>
      </c>
      <c r="AW668" t="s">
        <v>74</v>
      </c>
      <c r="AX668" t="s">
        <v>74</v>
      </c>
      <c r="AY668">
        <v>61</v>
      </c>
      <c r="AZ668" t="s">
        <v>74</v>
      </c>
      <c r="BA668" t="s">
        <v>9751</v>
      </c>
      <c r="BB668" t="s">
        <v>74</v>
      </c>
      <c r="BC668" t="s">
        <v>74</v>
      </c>
      <c r="BD668" t="s">
        <v>74</v>
      </c>
      <c r="BE668" t="s">
        <v>9752</v>
      </c>
      <c r="BF668" t="str">
        <f>HYPERLINK("http://dx.doi.org/10.1183/1393003.congress-2017.PA3527","http://dx.doi.org/10.1183/1393003.congress-2017.PA3527")</f>
        <v>http://dx.doi.org/10.1183/1393003.congress-2017.PA3527</v>
      </c>
      <c r="BG668" t="s">
        <v>74</v>
      </c>
      <c r="BH668" t="s">
        <v>74</v>
      </c>
      <c r="BI668">
        <v>1</v>
      </c>
      <c r="BJ668" t="s">
        <v>228</v>
      </c>
      <c r="BK668" t="s">
        <v>512</v>
      </c>
      <c r="BL668" t="s">
        <v>228</v>
      </c>
      <c r="BM668" t="s">
        <v>9744</v>
      </c>
      <c r="BN668" t="s">
        <v>74</v>
      </c>
      <c r="BO668" t="s">
        <v>74</v>
      </c>
      <c r="BP668" t="s">
        <v>74</v>
      </c>
      <c r="BQ668" t="s">
        <v>74</v>
      </c>
      <c r="BR668" t="s">
        <v>104</v>
      </c>
      <c r="BS668" t="s">
        <v>9753</v>
      </c>
      <c r="BT668" t="str">
        <f>HYPERLINK("https%3A%2F%2Fwww.webofscience.com%2Fwos%2Fwoscc%2Ffull-record%2FWOS:000431748902584","View Full Record in Web of Science")</f>
        <v>View Full Record in Web of Science</v>
      </c>
    </row>
    <row r="669" spans="1:72" x14ac:dyDescent="0.25">
      <c r="A669" t="s">
        <v>72</v>
      </c>
      <c r="B669" t="s">
        <v>9754</v>
      </c>
      <c r="C669" t="s">
        <v>74</v>
      </c>
      <c r="D669" t="s">
        <v>74</v>
      </c>
      <c r="E669" t="s">
        <v>74</v>
      </c>
      <c r="F669" t="s">
        <v>9755</v>
      </c>
      <c r="G669" t="s">
        <v>74</v>
      </c>
      <c r="H669" t="s">
        <v>74</v>
      </c>
      <c r="I669" t="s">
        <v>9756</v>
      </c>
      <c r="J669" t="s">
        <v>216</v>
      </c>
      <c r="K669" t="s">
        <v>74</v>
      </c>
      <c r="L669" t="s">
        <v>74</v>
      </c>
      <c r="M669" t="s">
        <v>78</v>
      </c>
      <c r="N669" t="s">
        <v>52</v>
      </c>
      <c r="O669" t="s">
        <v>4152</v>
      </c>
      <c r="P669" t="s">
        <v>9740</v>
      </c>
      <c r="Q669" t="s">
        <v>7497</v>
      </c>
      <c r="R669" t="s">
        <v>2954</v>
      </c>
      <c r="S669" t="s">
        <v>74</v>
      </c>
      <c r="T669" t="s">
        <v>74</v>
      </c>
      <c r="U669" t="s">
        <v>74</v>
      </c>
      <c r="V669" t="s">
        <v>74</v>
      </c>
      <c r="W669" t="s">
        <v>74</v>
      </c>
      <c r="X669" t="s">
        <v>74</v>
      </c>
      <c r="Y669" t="s">
        <v>74</v>
      </c>
      <c r="Z669" t="s">
        <v>74</v>
      </c>
      <c r="AA669" t="s">
        <v>1549</v>
      </c>
      <c r="AB669" t="s">
        <v>5709</v>
      </c>
      <c r="AC669" t="s">
        <v>74</v>
      </c>
      <c r="AD669" t="s">
        <v>74</v>
      </c>
      <c r="AE669" t="s">
        <v>74</v>
      </c>
      <c r="AF669" t="s">
        <v>74</v>
      </c>
      <c r="AG669">
        <v>0</v>
      </c>
      <c r="AH669">
        <v>1</v>
      </c>
      <c r="AI669">
        <v>1</v>
      </c>
      <c r="AJ669">
        <v>0</v>
      </c>
      <c r="AK669">
        <v>1</v>
      </c>
      <c r="AL669" t="s">
        <v>219</v>
      </c>
      <c r="AM669" t="s">
        <v>220</v>
      </c>
      <c r="AN669" t="s">
        <v>221</v>
      </c>
      <c r="AO669" t="s">
        <v>222</v>
      </c>
      <c r="AP669" t="s">
        <v>223</v>
      </c>
      <c r="AQ669" t="s">
        <v>74</v>
      </c>
      <c r="AR669" t="s">
        <v>224</v>
      </c>
      <c r="AS669" t="s">
        <v>225</v>
      </c>
      <c r="AT669" t="s">
        <v>529</v>
      </c>
      <c r="AU669">
        <v>2017</v>
      </c>
      <c r="AV669">
        <v>50</v>
      </c>
      <c r="AW669" t="s">
        <v>74</v>
      </c>
      <c r="AX669" t="s">
        <v>74</v>
      </c>
      <c r="AY669">
        <v>61</v>
      </c>
      <c r="AZ669" t="s">
        <v>74</v>
      </c>
      <c r="BA669" t="s">
        <v>9757</v>
      </c>
      <c r="BB669" t="s">
        <v>74</v>
      </c>
      <c r="BC669" t="s">
        <v>74</v>
      </c>
      <c r="BD669" t="s">
        <v>74</v>
      </c>
      <c r="BE669" t="s">
        <v>9758</v>
      </c>
      <c r="BF669" t="str">
        <f>HYPERLINK("http://dx.doi.org/10.1183/1393003.congress-2017.PA2430","http://dx.doi.org/10.1183/1393003.congress-2017.PA2430")</f>
        <v>http://dx.doi.org/10.1183/1393003.congress-2017.PA2430</v>
      </c>
      <c r="BG669" t="s">
        <v>74</v>
      </c>
      <c r="BH669" t="s">
        <v>74</v>
      </c>
      <c r="BI669">
        <v>1</v>
      </c>
      <c r="BJ669" t="s">
        <v>228</v>
      </c>
      <c r="BK669" t="s">
        <v>512</v>
      </c>
      <c r="BL669" t="s">
        <v>228</v>
      </c>
      <c r="BM669" t="s">
        <v>9744</v>
      </c>
      <c r="BN669" t="s">
        <v>74</v>
      </c>
      <c r="BO669" t="s">
        <v>74</v>
      </c>
      <c r="BP669" t="s">
        <v>74</v>
      </c>
      <c r="BQ669" t="s">
        <v>74</v>
      </c>
      <c r="BR669" t="s">
        <v>104</v>
      </c>
      <c r="BS669" t="s">
        <v>9759</v>
      </c>
      <c r="BT669" t="str">
        <f>HYPERLINK("https%3A%2F%2Fwww.webofscience.com%2Fwos%2Fwoscc%2Ffull-record%2FWOS:000431748902021","View Full Record in Web of Science")</f>
        <v>View Full Record in Web of Science</v>
      </c>
    </row>
    <row r="670" spans="1:72" x14ac:dyDescent="0.25">
      <c r="A670" t="s">
        <v>72</v>
      </c>
      <c r="B670" t="s">
        <v>9760</v>
      </c>
      <c r="C670" t="s">
        <v>74</v>
      </c>
      <c r="D670" t="s">
        <v>74</v>
      </c>
      <c r="E670" t="s">
        <v>74</v>
      </c>
      <c r="F670" t="s">
        <v>9761</v>
      </c>
      <c r="G670" t="s">
        <v>74</v>
      </c>
      <c r="H670" t="s">
        <v>74</v>
      </c>
      <c r="I670" t="s">
        <v>9762</v>
      </c>
      <c r="J670" t="s">
        <v>216</v>
      </c>
      <c r="K670" t="s">
        <v>74</v>
      </c>
      <c r="L670" t="s">
        <v>74</v>
      </c>
      <c r="M670" t="s">
        <v>78</v>
      </c>
      <c r="N670" t="s">
        <v>52</v>
      </c>
      <c r="O670" t="s">
        <v>4152</v>
      </c>
      <c r="P670" t="s">
        <v>9740</v>
      </c>
      <c r="Q670" t="s">
        <v>7497</v>
      </c>
      <c r="R670" t="s">
        <v>2954</v>
      </c>
      <c r="S670" t="s">
        <v>74</v>
      </c>
      <c r="T670" t="s">
        <v>74</v>
      </c>
      <c r="U670" t="s">
        <v>74</v>
      </c>
      <c r="V670" t="s">
        <v>74</v>
      </c>
      <c r="W670" t="s">
        <v>74</v>
      </c>
      <c r="X670" t="s">
        <v>74</v>
      </c>
      <c r="Y670" t="s">
        <v>74</v>
      </c>
      <c r="Z670" t="s">
        <v>74</v>
      </c>
      <c r="AA670" t="s">
        <v>144</v>
      </c>
      <c r="AB670" t="s">
        <v>74</v>
      </c>
      <c r="AC670" t="s">
        <v>74</v>
      </c>
      <c r="AD670" t="s">
        <v>74</v>
      </c>
      <c r="AE670" t="s">
        <v>74</v>
      </c>
      <c r="AF670" t="s">
        <v>74</v>
      </c>
      <c r="AG670">
        <v>0</v>
      </c>
      <c r="AH670">
        <v>0</v>
      </c>
      <c r="AI670">
        <v>0</v>
      </c>
      <c r="AJ670">
        <v>0</v>
      </c>
      <c r="AK670">
        <v>0</v>
      </c>
      <c r="AL670" t="s">
        <v>219</v>
      </c>
      <c r="AM670" t="s">
        <v>220</v>
      </c>
      <c r="AN670" t="s">
        <v>221</v>
      </c>
      <c r="AO670" t="s">
        <v>222</v>
      </c>
      <c r="AP670" t="s">
        <v>223</v>
      </c>
      <c r="AQ670" t="s">
        <v>74</v>
      </c>
      <c r="AR670" t="s">
        <v>224</v>
      </c>
      <c r="AS670" t="s">
        <v>225</v>
      </c>
      <c r="AT670" t="s">
        <v>529</v>
      </c>
      <c r="AU670">
        <v>2017</v>
      </c>
      <c r="AV670">
        <v>50</v>
      </c>
      <c r="AW670" t="s">
        <v>74</v>
      </c>
      <c r="AX670" t="s">
        <v>74</v>
      </c>
      <c r="AY670">
        <v>61</v>
      </c>
      <c r="AZ670" t="s">
        <v>74</v>
      </c>
      <c r="BA670" t="s">
        <v>9763</v>
      </c>
      <c r="BB670" t="s">
        <v>74</v>
      </c>
      <c r="BC670" t="s">
        <v>74</v>
      </c>
      <c r="BD670" t="s">
        <v>74</v>
      </c>
      <c r="BE670" t="s">
        <v>9764</v>
      </c>
      <c r="BF670" t="str">
        <f>HYPERLINK("http://dx.doi.org/10.1183/1393003.congress-2017.PA4691","http://dx.doi.org/10.1183/1393003.congress-2017.PA4691")</f>
        <v>http://dx.doi.org/10.1183/1393003.congress-2017.PA4691</v>
      </c>
      <c r="BG670" t="s">
        <v>74</v>
      </c>
      <c r="BH670" t="s">
        <v>74</v>
      </c>
      <c r="BI670">
        <v>1</v>
      </c>
      <c r="BJ670" t="s">
        <v>228</v>
      </c>
      <c r="BK670" t="s">
        <v>512</v>
      </c>
      <c r="BL670" t="s">
        <v>228</v>
      </c>
      <c r="BM670" t="s">
        <v>9744</v>
      </c>
      <c r="BN670" t="s">
        <v>74</v>
      </c>
      <c r="BO670" t="s">
        <v>74</v>
      </c>
      <c r="BP670" t="s">
        <v>74</v>
      </c>
      <c r="BQ670" t="s">
        <v>74</v>
      </c>
      <c r="BR670" t="s">
        <v>104</v>
      </c>
      <c r="BS670" t="s">
        <v>9765</v>
      </c>
      <c r="BT670" t="str">
        <f>HYPERLINK("https%3A%2F%2Fwww.webofscience.com%2Fwos%2Fwoscc%2Ffull-record%2FWOS:000431748903596","View Full Record in Web of Science")</f>
        <v>View Full Record in Web of Science</v>
      </c>
    </row>
    <row r="671" spans="1:72" x14ac:dyDescent="0.25">
      <c r="A671" t="s">
        <v>72</v>
      </c>
      <c r="B671" t="s">
        <v>9766</v>
      </c>
      <c r="C671" t="s">
        <v>74</v>
      </c>
      <c r="D671" t="s">
        <v>74</v>
      </c>
      <c r="E671" t="s">
        <v>74</v>
      </c>
      <c r="F671" t="s">
        <v>9767</v>
      </c>
      <c r="G671" t="s">
        <v>74</v>
      </c>
      <c r="H671" t="s">
        <v>74</v>
      </c>
      <c r="I671" t="s">
        <v>9768</v>
      </c>
      <c r="J671" t="s">
        <v>216</v>
      </c>
      <c r="K671" t="s">
        <v>74</v>
      </c>
      <c r="L671" t="s">
        <v>74</v>
      </c>
      <c r="M671" t="s">
        <v>78</v>
      </c>
      <c r="N671" t="s">
        <v>140</v>
      </c>
      <c r="O671" t="s">
        <v>74</v>
      </c>
      <c r="P671" t="s">
        <v>74</v>
      </c>
      <c r="Q671" t="s">
        <v>74</v>
      </c>
      <c r="R671" t="s">
        <v>74</v>
      </c>
      <c r="S671" t="s">
        <v>74</v>
      </c>
      <c r="T671" t="s">
        <v>74</v>
      </c>
      <c r="U671" t="s">
        <v>9769</v>
      </c>
      <c r="V671" t="s">
        <v>74</v>
      </c>
      <c r="W671" t="s">
        <v>9770</v>
      </c>
      <c r="X671" t="s">
        <v>9771</v>
      </c>
      <c r="Y671" t="s">
        <v>9772</v>
      </c>
      <c r="Z671" t="s">
        <v>9773</v>
      </c>
      <c r="AA671" t="s">
        <v>9774</v>
      </c>
      <c r="AB671" t="s">
        <v>9775</v>
      </c>
      <c r="AC671" t="s">
        <v>74</v>
      </c>
      <c r="AD671" t="s">
        <v>74</v>
      </c>
      <c r="AE671" t="s">
        <v>74</v>
      </c>
      <c r="AF671" t="s">
        <v>74</v>
      </c>
      <c r="AG671">
        <v>16</v>
      </c>
      <c r="AH671">
        <v>4</v>
      </c>
      <c r="AI671">
        <v>4</v>
      </c>
      <c r="AJ671">
        <v>0</v>
      </c>
      <c r="AK671">
        <v>3</v>
      </c>
      <c r="AL671" t="s">
        <v>219</v>
      </c>
      <c r="AM671" t="s">
        <v>220</v>
      </c>
      <c r="AN671" t="s">
        <v>221</v>
      </c>
      <c r="AO671" t="s">
        <v>222</v>
      </c>
      <c r="AP671" t="s">
        <v>223</v>
      </c>
      <c r="AQ671" t="s">
        <v>74</v>
      </c>
      <c r="AR671" t="s">
        <v>224</v>
      </c>
      <c r="AS671" t="s">
        <v>225</v>
      </c>
      <c r="AT671" t="s">
        <v>529</v>
      </c>
      <c r="AU671">
        <v>2017</v>
      </c>
      <c r="AV671">
        <v>50</v>
      </c>
      <c r="AW671">
        <v>3</v>
      </c>
      <c r="AX671" t="s">
        <v>74</v>
      </c>
      <c r="AY671" t="s">
        <v>74</v>
      </c>
      <c r="AZ671" t="s">
        <v>74</v>
      </c>
      <c r="BA671" t="s">
        <v>74</v>
      </c>
      <c r="BB671" t="s">
        <v>74</v>
      </c>
      <c r="BC671" t="s">
        <v>74</v>
      </c>
      <c r="BD671">
        <v>1701527</v>
      </c>
      <c r="BE671" t="s">
        <v>9776</v>
      </c>
      <c r="BF671" t="str">
        <f>HYPERLINK("http://dx.doi.org/10.1183/13993003.01527-2017","http://dx.doi.org/10.1183/13993003.01527-2017")</f>
        <v>http://dx.doi.org/10.1183/13993003.01527-2017</v>
      </c>
      <c r="BG671" t="s">
        <v>74</v>
      </c>
      <c r="BH671" t="s">
        <v>74</v>
      </c>
      <c r="BI671">
        <v>4</v>
      </c>
      <c r="BJ671" t="s">
        <v>228</v>
      </c>
      <c r="BK671" t="s">
        <v>101</v>
      </c>
      <c r="BL671" t="s">
        <v>228</v>
      </c>
      <c r="BM671" t="s">
        <v>9777</v>
      </c>
      <c r="BN671">
        <v>28889116</v>
      </c>
      <c r="BO671" t="s">
        <v>1194</v>
      </c>
      <c r="BP671" t="s">
        <v>74</v>
      </c>
      <c r="BQ671" t="s">
        <v>74</v>
      </c>
      <c r="BR671" t="s">
        <v>104</v>
      </c>
      <c r="BS671" t="s">
        <v>9778</v>
      </c>
      <c r="BT671" t="str">
        <f>HYPERLINK("https%3A%2F%2Fwww.webofscience.com%2Fwos%2Fwoscc%2Ffull-record%2FWOS:000410089300030","View Full Record in Web of Science")</f>
        <v>View Full Record in Web of Science</v>
      </c>
    </row>
    <row r="672" spans="1:72" x14ac:dyDescent="0.25">
      <c r="A672" t="s">
        <v>72</v>
      </c>
      <c r="B672" t="s">
        <v>9779</v>
      </c>
      <c r="C672" t="s">
        <v>74</v>
      </c>
      <c r="D672" t="s">
        <v>74</v>
      </c>
      <c r="E672" t="s">
        <v>74</v>
      </c>
      <c r="F672" t="s">
        <v>9780</v>
      </c>
      <c r="G672" t="s">
        <v>74</v>
      </c>
      <c r="H672" t="s">
        <v>74</v>
      </c>
      <c r="I672" t="s">
        <v>9781</v>
      </c>
      <c r="J672" t="s">
        <v>216</v>
      </c>
      <c r="K672" t="s">
        <v>74</v>
      </c>
      <c r="L672" t="s">
        <v>74</v>
      </c>
      <c r="M672" t="s">
        <v>78</v>
      </c>
      <c r="N672" t="s">
        <v>52</v>
      </c>
      <c r="O672" t="s">
        <v>4152</v>
      </c>
      <c r="P672" t="s">
        <v>9740</v>
      </c>
      <c r="Q672" t="s">
        <v>7497</v>
      </c>
      <c r="R672" t="s">
        <v>2954</v>
      </c>
      <c r="S672" t="s">
        <v>74</v>
      </c>
      <c r="T672" t="s">
        <v>74</v>
      </c>
      <c r="U672" t="s">
        <v>74</v>
      </c>
      <c r="V672" t="s">
        <v>74</v>
      </c>
      <c r="W672" t="s">
        <v>74</v>
      </c>
      <c r="X672" t="s">
        <v>74</v>
      </c>
      <c r="Y672" t="s">
        <v>74</v>
      </c>
      <c r="Z672" t="s">
        <v>74</v>
      </c>
      <c r="AA672" t="s">
        <v>9782</v>
      </c>
      <c r="AB672" t="s">
        <v>9783</v>
      </c>
      <c r="AC672" t="s">
        <v>74</v>
      </c>
      <c r="AD672" t="s">
        <v>74</v>
      </c>
      <c r="AE672" t="s">
        <v>74</v>
      </c>
      <c r="AF672" t="s">
        <v>74</v>
      </c>
      <c r="AG672">
        <v>0</v>
      </c>
      <c r="AH672">
        <v>0</v>
      </c>
      <c r="AI672">
        <v>0</v>
      </c>
      <c r="AJ672">
        <v>0</v>
      </c>
      <c r="AK672">
        <v>2</v>
      </c>
      <c r="AL672" t="s">
        <v>219</v>
      </c>
      <c r="AM672" t="s">
        <v>220</v>
      </c>
      <c r="AN672" t="s">
        <v>221</v>
      </c>
      <c r="AO672" t="s">
        <v>222</v>
      </c>
      <c r="AP672" t="s">
        <v>223</v>
      </c>
      <c r="AQ672" t="s">
        <v>74</v>
      </c>
      <c r="AR672" t="s">
        <v>224</v>
      </c>
      <c r="AS672" t="s">
        <v>225</v>
      </c>
      <c r="AT672" t="s">
        <v>529</v>
      </c>
      <c r="AU672">
        <v>2017</v>
      </c>
      <c r="AV672">
        <v>50</v>
      </c>
      <c r="AW672" t="s">
        <v>74</v>
      </c>
      <c r="AX672" t="s">
        <v>74</v>
      </c>
      <c r="AY672">
        <v>61</v>
      </c>
      <c r="AZ672" t="s">
        <v>74</v>
      </c>
      <c r="BA672" t="s">
        <v>9784</v>
      </c>
      <c r="BB672" t="s">
        <v>74</v>
      </c>
      <c r="BC672" t="s">
        <v>74</v>
      </c>
      <c r="BD672" t="s">
        <v>74</v>
      </c>
      <c r="BE672" t="s">
        <v>9785</v>
      </c>
      <c r="BF672" t="str">
        <f>HYPERLINK("http://dx.doi.org/10.1183/1393003.congress-2017.PA3534","http://dx.doi.org/10.1183/1393003.congress-2017.PA3534")</f>
        <v>http://dx.doi.org/10.1183/1393003.congress-2017.PA3534</v>
      </c>
      <c r="BG672" t="s">
        <v>74</v>
      </c>
      <c r="BH672" t="s">
        <v>74</v>
      </c>
      <c r="BI672">
        <v>1</v>
      </c>
      <c r="BJ672" t="s">
        <v>228</v>
      </c>
      <c r="BK672" t="s">
        <v>512</v>
      </c>
      <c r="BL672" t="s">
        <v>228</v>
      </c>
      <c r="BM672" t="s">
        <v>9744</v>
      </c>
      <c r="BN672" t="s">
        <v>74</v>
      </c>
      <c r="BO672" t="s">
        <v>74</v>
      </c>
      <c r="BP672" t="s">
        <v>74</v>
      </c>
      <c r="BQ672" t="s">
        <v>74</v>
      </c>
      <c r="BR672" t="s">
        <v>104</v>
      </c>
      <c r="BS672" t="s">
        <v>9786</v>
      </c>
      <c r="BT672" t="str">
        <f>HYPERLINK("https%3A%2F%2Fwww.webofscience.com%2Fwos%2Fwoscc%2Ffull-record%2FWOS:000431748902592","View Full Record in Web of Science")</f>
        <v>View Full Record in Web of Science</v>
      </c>
    </row>
    <row r="673" spans="1:72" x14ac:dyDescent="0.25">
      <c r="A673" t="s">
        <v>72</v>
      </c>
      <c r="B673" t="s">
        <v>9787</v>
      </c>
      <c r="C673" t="s">
        <v>74</v>
      </c>
      <c r="D673" t="s">
        <v>74</v>
      </c>
      <c r="E673" t="s">
        <v>74</v>
      </c>
      <c r="F673" t="s">
        <v>9788</v>
      </c>
      <c r="G673" t="s">
        <v>74</v>
      </c>
      <c r="H673" t="s">
        <v>74</v>
      </c>
      <c r="I673" t="s">
        <v>9789</v>
      </c>
      <c r="J673" t="s">
        <v>5959</v>
      </c>
      <c r="K673" t="s">
        <v>74</v>
      </c>
      <c r="L673" t="s">
        <v>74</v>
      </c>
      <c r="M673" t="s">
        <v>78</v>
      </c>
      <c r="N673" t="s">
        <v>299</v>
      </c>
      <c r="O673" t="s">
        <v>74</v>
      </c>
      <c r="P673" t="s">
        <v>74</v>
      </c>
      <c r="Q673" t="s">
        <v>74</v>
      </c>
      <c r="R673" t="s">
        <v>74</v>
      </c>
      <c r="S673" t="s">
        <v>74</v>
      </c>
      <c r="T673" t="s">
        <v>9790</v>
      </c>
      <c r="U673" t="s">
        <v>9791</v>
      </c>
      <c r="V673" t="s">
        <v>9792</v>
      </c>
      <c r="W673" t="s">
        <v>9793</v>
      </c>
      <c r="X673" t="s">
        <v>9794</v>
      </c>
      <c r="Y673" t="s">
        <v>9795</v>
      </c>
      <c r="Z673" t="s">
        <v>3402</v>
      </c>
      <c r="AA673" t="s">
        <v>1549</v>
      </c>
      <c r="AB673" t="s">
        <v>9796</v>
      </c>
      <c r="AC673" t="s">
        <v>74</v>
      </c>
      <c r="AD673" t="s">
        <v>74</v>
      </c>
      <c r="AE673" t="s">
        <v>74</v>
      </c>
      <c r="AF673" t="s">
        <v>74</v>
      </c>
      <c r="AG673">
        <v>39</v>
      </c>
      <c r="AH673">
        <v>16</v>
      </c>
      <c r="AI673">
        <v>18</v>
      </c>
      <c r="AJ673">
        <v>0</v>
      </c>
      <c r="AK673">
        <v>5</v>
      </c>
      <c r="AL673" t="s">
        <v>122</v>
      </c>
      <c r="AM673" t="s">
        <v>123</v>
      </c>
      <c r="AN673" t="s">
        <v>124</v>
      </c>
      <c r="AO673" t="s">
        <v>5967</v>
      </c>
      <c r="AP673" t="s">
        <v>5968</v>
      </c>
      <c r="AQ673" t="s">
        <v>74</v>
      </c>
      <c r="AR673" t="s">
        <v>5969</v>
      </c>
      <c r="AS673" t="s">
        <v>5970</v>
      </c>
      <c r="AT673" t="s">
        <v>492</v>
      </c>
      <c r="AU673">
        <v>2017</v>
      </c>
      <c r="AV673">
        <v>23</v>
      </c>
      <c r="AW673">
        <v>5</v>
      </c>
      <c r="AX673" t="s">
        <v>74</v>
      </c>
      <c r="AY673" t="s">
        <v>74</v>
      </c>
      <c r="AZ673" t="s">
        <v>74</v>
      </c>
      <c r="BA673" t="s">
        <v>74</v>
      </c>
      <c r="BB673">
        <v>386</v>
      </c>
      <c r="BC673">
        <v>391</v>
      </c>
      <c r="BD673" t="s">
        <v>74</v>
      </c>
      <c r="BE673" t="s">
        <v>9797</v>
      </c>
      <c r="BF673" t="str">
        <f>HYPERLINK("http://dx.doi.org/10.1097/MCP.0000000000000414","http://dx.doi.org/10.1097/MCP.0000000000000414")</f>
        <v>http://dx.doi.org/10.1097/MCP.0000000000000414</v>
      </c>
      <c r="BG673" t="s">
        <v>74</v>
      </c>
      <c r="BH673" t="s">
        <v>74</v>
      </c>
      <c r="BI673">
        <v>6</v>
      </c>
      <c r="BJ673" t="s">
        <v>228</v>
      </c>
      <c r="BK673" t="s">
        <v>101</v>
      </c>
      <c r="BL673" t="s">
        <v>228</v>
      </c>
      <c r="BM673" t="s">
        <v>9798</v>
      </c>
      <c r="BN673">
        <v>28661905</v>
      </c>
      <c r="BO673" t="s">
        <v>74</v>
      </c>
      <c r="BP673" t="s">
        <v>74</v>
      </c>
      <c r="BQ673" t="s">
        <v>74</v>
      </c>
      <c r="BR673" t="s">
        <v>104</v>
      </c>
      <c r="BS673" t="s">
        <v>9799</v>
      </c>
      <c r="BT673" t="str">
        <f>HYPERLINK("https%3A%2F%2Fwww.webofscience.com%2Fwos%2Fwoscc%2Ffull-record%2FWOS:000407057800002","View Full Record in Web of Science")</f>
        <v>View Full Record in Web of Science</v>
      </c>
    </row>
    <row r="674" spans="1:72" x14ac:dyDescent="0.25">
      <c r="A674" t="s">
        <v>72</v>
      </c>
      <c r="B674" t="s">
        <v>9800</v>
      </c>
      <c r="C674" t="s">
        <v>74</v>
      </c>
      <c r="D674" t="s">
        <v>74</v>
      </c>
      <c r="E674" t="s">
        <v>74</v>
      </c>
      <c r="F674" t="s">
        <v>9801</v>
      </c>
      <c r="G674" t="s">
        <v>74</v>
      </c>
      <c r="H674" t="s">
        <v>74</v>
      </c>
      <c r="I674" t="s">
        <v>9802</v>
      </c>
      <c r="J674" t="s">
        <v>814</v>
      </c>
      <c r="K674" t="s">
        <v>74</v>
      </c>
      <c r="L674" t="s">
        <v>74</v>
      </c>
      <c r="M674" t="s">
        <v>78</v>
      </c>
      <c r="N674" t="s">
        <v>299</v>
      </c>
      <c r="O674" t="s">
        <v>74</v>
      </c>
      <c r="P674" t="s">
        <v>74</v>
      </c>
      <c r="Q674" t="s">
        <v>74</v>
      </c>
      <c r="R674" t="s">
        <v>74</v>
      </c>
      <c r="S674" t="s">
        <v>74</v>
      </c>
      <c r="T674" t="s">
        <v>74</v>
      </c>
      <c r="U674" t="s">
        <v>9803</v>
      </c>
      <c r="V674" t="s">
        <v>9804</v>
      </c>
      <c r="W674" t="s">
        <v>9805</v>
      </c>
      <c r="X674" t="s">
        <v>9806</v>
      </c>
      <c r="Y674" t="s">
        <v>9795</v>
      </c>
      <c r="Z674" t="s">
        <v>377</v>
      </c>
      <c r="AA674" t="s">
        <v>1549</v>
      </c>
      <c r="AB674" t="s">
        <v>9807</v>
      </c>
      <c r="AC674" t="s">
        <v>9808</v>
      </c>
      <c r="AD674" t="s">
        <v>9809</v>
      </c>
      <c r="AE674" t="s">
        <v>9810</v>
      </c>
      <c r="AF674" t="s">
        <v>74</v>
      </c>
      <c r="AG674">
        <v>63</v>
      </c>
      <c r="AH674">
        <v>24</v>
      </c>
      <c r="AI674">
        <v>24</v>
      </c>
      <c r="AJ674">
        <v>1</v>
      </c>
      <c r="AK674">
        <v>2</v>
      </c>
      <c r="AL674" t="s">
        <v>219</v>
      </c>
      <c r="AM674" t="s">
        <v>220</v>
      </c>
      <c r="AN674" t="s">
        <v>221</v>
      </c>
      <c r="AO674" t="s">
        <v>823</v>
      </c>
      <c r="AP674" t="s">
        <v>824</v>
      </c>
      <c r="AQ674" t="s">
        <v>74</v>
      </c>
      <c r="AR674" t="s">
        <v>825</v>
      </c>
      <c r="AS674" t="s">
        <v>826</v>
      </c>
      <c r="AT674" t="s">
        <v>492</v>
      </c>
      <c r="AU674">
        <v>2017</v>
      </c>
      <c r="AV674">
        <v>26</v>
      </c>
      <c r="AW674">
        <v>145</v>
      </c>
      <c r="AX674" t="s">
        <v>74</v>
      </c>
      <c r="AY674" t="s">
        <v>74</v>
      </c>
      <c r="AZ674" t="s">
        <v>74</v>
      </c>
      <c r="BA674" t="s">
        <v>74</v>
      </c>
      <c r="BB674" t="s">
        <v>74</v>
      </c>
      <c r="BC674" t="s">
        <v>74</v>
      </c>
      <c r="BD674">
        <v>170037</v>
      </c>
      <c r="BE674" t="s">
        <v>9811</v>
      </c>
      <c r="BF674" t="str">
        <f>HYPERLINK("http://dx.doi.org/10.1183/16000617.0037-2017","http://dx.doi.org/10.1183/16000617.0037-2017")</f>
        <v>http://dx.doi.org/10.1183/16000617.0037-2017</v>
      </c>
      <c r="BG674" t="s">
        <v>74</v>
      </c>
      <c r="BH674" t="s">
        <v>74</v>
      </c>
      <c r="BI674">
        <v>9</v>
      </c>
      <c r="BJ674" t="s">
        <v>228</v>
      </c>
      <c r="BK674" t="s">
        <v>101</v>
      </c>
      <c r="BL674" t="s">
        <v>228</v>
      </c>
      <c r="BM674" t="s">
        <v>9812</v>
      </c>
      <c r="BN674">
        <v>28877973</v>
      </c>
      <c r="BO674" t="s">
        <v>809</v>
      </c>
      <c r="BP674" t="s">
        <v>74</v>
      </c>
      <c r="BQ674" t="s">
        <v>74</v>
      </c>
      <c r="BR674" t="s">
        <v>104</v>
      </c>
      <c r="BS674" t="s">
        <v>9813</v>
      </c>
      <c r="BT674" t="str">
        <f>HYPERLINK("https%3A%2F%2Fwww.webofscience.com%2Fwos%2Fwoscc%2Ffull-record%2FWOS:000412289200006","View Full Record in Web of Science")</f>
        <v>View Full Record in Web of Science</v>
      </c>
    </row>
    <row r="675" spans="1:72" x14ac:dyDescent="0.25">
      <c r="A675" t="s">
        <v>72</v>
      </c>
      <c r="B675" t="s">
        <v>6284</v>
      </c>
      <c r="C675" t="s">
        <v>74</v>
      </c>
      <c r="D675" t="s">
        <v>74</v>
      </c>
      <c r="E675" t="s">
        <v>74</v>
      </c>
      <c r="F675" t="s">
        <v>6285</v>
      </c>
      <c r="G675" t="s">
        <v>74</v>
      </c>
      <c r="H675" t="s">
        <v>74</v>
      </c>
      <c r="I675" t="s">
        <v>9814</v>
      </c>
      <c r="J675" t="s">
        <v>814</v>
      </c>
      <c r="K675" t="s">
        <v>74</v>
      </c>
      <c r="L675" t="s">
        <v>74</v>
      </c>
      <c r="M675" t="s">
        <v>78</v>
      </c>
      <c r="N675" t="s">
        <v>140</v>
      </c>
      <c r="O675" t="s">
        <v>74</v>
      </c>
      <c r="P675" t="s">
        <v>74</v>
      </c>
      <c r="Q675" t="s">
        <v>74</v>
      </c>
      <c r="R675" t="s">
        <v>74</v>
      </c>
      <c r="S675" t="s">
        <v>74</v>
      </c>
      <c r="T675" t="s">
        <v>74</v>
      </c>
      <c r="U675" t="s">
        <v>74</v>
      </c>
      <c r="V675" t="s">
        <v>74</v>
      </c>
      <c r="W675" t="s">
        <v>9815</v>
      </c>
      <c r="X675" t="s">
        <v>9816</v>
      </c>
      <c r="Y675" t="s">
        <v>9817</v>
      </c>
      <c r="Z675" t="s">
        <v>9250</v>
      </c>
      <c r="AA675" t="s">
        <v>144</v>
      </c>
      <c r="AB675" t="s">
        <v>257</v>
      </c>
      <c r="AC675" t="s">
        <v>74</v>
      </c>
      <c r="AD675" t="s">
        <v>74</v>
      </c>
      <c r="AE675" t="s">
        <v>74</v>
      </c>
      <c r="AF675" t="s">
        <v>74</v>
      </c>
      <c r="AG675">
        <v>16</v>
      </c>
      <c r="AH675">
        <v>4</v>
      </c>
      <c r="AI675">
        <v>4</v>
      </c>
      <c r="AJ675">
        <v>0</v>
      </c>
      <c r="AK675">
        <v>0</v>
      </c>
      <c r="AL675" t="s">
        <v>219</v>
      </c>
      <c r="AM675" t="s">
        <v>220</v>
      </c>
      <c r="AN675" t="s">
        <v>221</v>
      </c>
      <c r="AO675" t="s">
        <v>823</v>
      </c>
      <c r="AP675" t="s">
        <v>824</v>
      </c>
      <c r="AQ675" t="s">
        <v>74</v>
      </c>
      <c r="AR675" t="s">
        <v>825</v>
      </c>
      <c r="AS675" t="s">
        <v>826</v>
      </c>
      <c r="AT675" t="s">
        <v>492</v>
      </c>
      <c r="AU675">
        <v>2017</v>
      </c>
      <c r="AV675">
        <v>26</v>
      </c>
      <c r="AW675">
        <v>145</v>
      </c>
      <c r="AX675" t="s">
        <v>74</v>
      </c>
      <c r="AY675" t="s">
        <v>74</v>
      </c>
      <c r="AZ675" t="s">
        <v>74</v>
      </c>
      <c r="BA675" t="s">
        <v>74</v>
      </c>
      <c r="BB675" t="s">
        <v>74</v>
      </c>
      <c r="BC675" t="s">
        <v>74</v>
      </c>
      <c r="BD675">
        <v>170059</v>
      </c>
      <c r="BE675" t="s">
        <v>9818</v>
      </c>
      <c r="BF675" t="str">
        <f>HYPERLINK("http://dx.doi.org/10.1183/16000617.0059-2017","http://dx.doi.org/10.1183/16000617.0059-2017")</f>
        <v>http://dx.doi.org/10.1183/16000617.0059-2017</v>
      </c>
      <c r="BG675" t="s">
        <v>74</v>
      </c>
      <c r="BH675" t="s">
        <v>74</v>
      </c>
      <c r="BI675">
        <v>3</v>
      </c>
      <c r="BJ675" t="s">
        <v>228</v>
      </c>
      <c r="BK675" t="s">
        <v>101</v>
      </c>
      <c r="BL675" t="s">
        <v>228</v>
      </c>
      <c r="BM675" t="s">
        <v>9812</v>
      </c>
      <c r="BN675">
        <v>28877977</v>
      </c>
      <c r="BO675" t="s">
        <v>809</v>
      </c>
      <c r="BP675" t="s">
        <v>74</v>
      </c>
      <c r="BQ675" t="s">
        <v>74</v>
      </c>
      <c r="BR675" t="s">
        <v>104</v>
      </c>
      <c r="BS675" t="s">
        <v>9819</v>
      </c>
      <c r="BT675" t="str">
        <f>HYPERLINK("https%3A%2F%2Fwww.webofscience.com%2Fwos%2Fwoscc%2Ffull-record%2FWOS:000412289200001","View Full Record in Web of Science")</f>
        <v>View Full Record in Web of Science</v>
      </c>
    </row>
    <row r="676" spans="1:72" x14ac:dyDescent="0.25">
      <c r="A676" t="s">
        <v>72</v>
      </c>
      <c r="B676" t="s">
        <v>9820</v>
      </c>
      <c r="C676" t="s">
        <v>74</v>
      </c>
      <c r="D676" t="s">
        <v>74</v>
      </c>
      <c r="E676" t="s">
        <v>74</v>
      </c>
      <c r="F676" t="s">
        <v>9821</v>
      </c>
      <c r="G676" t="s">
        <v>74</v>
      </c>
      <c r="H676" t="s">
        <v>74</v>
      </c>
      <c r="I676" t="s">
        <v>9822</v>
      </c>
      <c r="J676" t="s">
        <v>216</v>
      </c>
      <c r="K676" t="s">
        <v>74</v>
      </c>
      <c r="L676" t="s">
        <v>74</v>
      </c>
      <c r="M676" t="s">
        <v>78</v>
      </c>
      <c r="N676" t="s">
        <v>52</v>
      </c>
      <c r="O676" t="s">
        <v>4152</v>
      </c>
      <c r="P676" t="s">
        <v>9740</v>
      </c>
      <c r="Q676" t="s">
        <v>7497</v>
      </c>
      <c r="R676" t="s">
        <v>2954</v>
      </c>
      <c r="S676" t="s">
        <v>74</v>
      </c>
      <c r="T676" t="s">
        <v>74</v>
      </c>
      <c r="U676" t="s">
        <v>74</v>
      </c>
      <c r="V676" t="s">
        <v>74</v>
      </c>
      <c r="W676" t="s">
        <v>74</v>
      </c>
      <c r="X676" t="s">
        <v>74</v>
      </c>
      <c r="Y676" t="s">
        <v>74</v>
      </c>
      <c r="Z676" t="s">
        <v>74</v>
      </c>
      <c r="AA676" t="s">
        <v>9823</v>
      </c>
      <c r="AB676" t="s">
        <v>74</v>
      </c>
      <c r="AC676" t="s">
        <v>74</v>
      </c>
      <c r="AD676" t="s">
        <v>74</v>
      </c>
      <c r="AE676" t="s">
        <v>74</v>
      </c>
      <c r="AF676" t="s">
        <v>74</v>
      </c>
      <c r="AG676">
        <v>0</v>
      </c>
      <c r="AH676">
        <v>0</v>
      </c>
      <c r="AI676">
        <v>0</v>
      </c>
      <c r="AJ676">
        <v>0</v>
      </c>
      <c r="AK676">
        <v>0</v>
      </c>
      <c r="AL676" t="s">
        <v>219</v>
      </c>
      <c r="AM676" t="s">
        <v>220</v>
      </c>
      <c r="AN676" t="s">
        <v>221</v>
      </c>
      <c r="AO676" t="s">
        <v>222</v>
      </c>
      <c r="AP676" t="s">
        <v>223</v>
      </c>
      <c r="AQ676" t="s">
        <v>74</v>
      </c>
      <c r="AR676" t="s">
        <v>224</v>
      </c>
      <c r="AS676" t="s">
        <v>225</v>
      </c>
      <c r="AT676" t="s">
        <v>529</v>
      </c>
      <c r="AU676">
        <v>2017</v>
      </c>
      <c r="AV676">
        <v>50</v>
      </c>
      <c r="AW676" t="s">
        <v>74</v>
      </c>
      <c r="AX676" t="s">
        <v>74</v>
      </c>
      <c r="AY676">
        <v>61</v>
      </c>
      <c r="AZ676" t="s">
        <v>74</v>
      </c>
      <c r="BA676" t="s">
        <v>9824</v>
      </c>
      <c r="BB676" t="s">
        <v>74</v>
      </c>
      <c r="BC676" t="s">
        <v>74</v>
      </c>
      <c r="BD676" t="s">
        <v>74</v>
      </c>
      <c r="BE676" t="s">
        <v>9825</v>
      </c>
      <c r="BF676" t="str">
        <f>HYPERLINK("http://dx.doi.org/10.1183/1393003.congress-2017.PA4696","http://dx.doi.org/10.1183/1393003.congress-2017.PA4696")</f>
        <v>http://dx.doi.org/10.1183/1393003.congress-2017.PA4696</v>
      </c>
      <c r="BG676" t="s">
        <v>74</v>
      </c>
      <c r="BH676" t="s">
        <v>74</v>
      </c>
      <c r="BI676">
        <v>1</v>
      </c>
      <c r="BJ676" t="s">
        <v>228</v>
      </c>
      <c r="BK676" t="s">
        <v>512</v>
      </c>
      <c r="BL676" t="s">
        <v>228</v>
      </c>
      <c r="BM676" t="s">
        <v>9744</v>
      </c>
      <c r="BN676" t="s">
        <v>74</v>
      </c>
      <c r="BO676" t="s">
        <v>74</v>
      </c>
      <c r="BP676" t="s">
        <v>74</v>
      </c>
      <c r="BQ676" t="s">
        <v>74</v>
      </c>
      <c r="BR676" t="s">
        <v>104</v>
      </c>
      <c r="BS676" t="s">
        <v>9826</v>
      </c>
      <c r="BT676" t="str">
        <f>HYPERLINK("https%3A%2F%2Fwww.webofscience.com%2Fwos%2Fwoscc%2Ffull-record%2FWOS:000431748903601","View Full Record in Web of Science")</f>
        <v>View Full Record in Web of Science</v>
      </c>
    </row>
    <row r="677" spans="1:72" x14ac:dyDescent="0.25">
      <c r="A677" t="s">
        <v>72</v>
      </c>
      <c r="B677" t="s">
        <v>9827</v>
      </c>
      <c r="C677" t="s">
        <v>74</v>
      </c>
      <c r="D677" t="s">
        <v>74</v>
      </c>
      <c r="E677" t="s">
        <v>74</v>
      </c>
      <c r="F677" t="s">
        <v>9828</v>
      </c>
      <c r="G677" t="s">
        <v>74</v>
      </c>
      <c r="H677" t="s">
        <v>74</v>
      </c>
      <c r="I677" t="s">
        <v>9829</v>
      </c>
      <c r="J677" t="s">
        <v>2355</v>
      </c>
      <c r="K677" t="s">
        <v>74</v>
      </c>
      <c r="L677" t="s">
        <v>74</v>
      </c>
      <c r="M677" t="s">
        <v>78</v>
      </c>
      <c r="N677" t="s">
        <v>79</v>
      </c>
      <c r="O677" t="s">
        <v>74</v>
      </c>
      <c r="P677" t="s">
        <v>74</v>
      </c>
      <c r="Q677" t="s">
        <v>74</v>
      </c>
      <c r="R677" t="s">
        <v>74</v>
      </c>
      <c r="S677" t="s">
        <v>74</v>
      </c>
      <c r="T677" t="s">
        <v>9830</v>
      </c>
      <c r="U677" t="s">
        <v>9831</v>
      </c>
      <c r="V677" t="s">
        <v>9832</v>
      </c>
      <c r="W677" t="s">
        <v>9833</v>
      </c>
      <c r="X677" t="s">
        <v>9834</v>
      </c>
      <c r="Y677" t="s">
        <v>7557</v>
      </c>
      <c r="Z677" t="s">
        <v>3402</v>
      </c>
      <c r="AA677" t="s">
        <v>9835</v>
      </c>
      <c r="AB677" t="s">
        <v>257</v>
      </c>
      <c r="AC677" t="s">
        <v>9836</v>
      </c>
      <c r="AD677" t="s">
        <v>9837</v>
      </c>
      <c r="AE677" t="s">
        <v>9838</v>
      </c>
      <c r="AF677" t="s">
        <v>74</v>
      </c>
      <c r="AG677">
        <v>32</v>
      </c>
      <c r="AH677">
        <v>6</v>
      </c>
      <c r="AI677">
        <v>6</v>
      </c>
      <c r="AJ677">
        <v>0</v>
      </c>
      <c r="AK677">
        <v>3</v>
      </c>
      <c r="AL677" t="s">
        <v>1073</v>
      </c>
      <c r="AM677" t="s">
        <v>1074</v>
      </c>
      <c r="AN677" t="s">
        <v>1075</v>
      </c>
      <c r="AO677" t="s">
        <v>2365</v>
      </c>
      <c r="AP677" t="s">
        <v>2366</v>
      </c>
      <c r="AQ677" t="s">
        <v>74</v>
      </c>
      <c r="AR677" t="s">
        <v>2355</v>
      </c>
      <c r="AS677" t="s">
        <v>2355</v>
      </c>
      <c r="AT677" t="s">
        <v>492</v>
      </c>
      <c r="AU677">
        <v>2017</v>
      </c>
      <c r="AV677">
        <v>56</v>
      </c>
      <c r="AW677" t="s">
        <v>74</v>
      </c>
      <c r="AX677" t="s">
        <v>74</v>
      </c>
      <c r="AY677">
        <v>5</v>
      </c>
      <c r="AZ677" t="s">
        <v>74</v>
      </c>
      <c r="BA677" t="s">
        <v>74</v>
      </c>
      <c r="BB677" t="s">
        <v>9839</v>
      </c>
      <c r="BC677" t="s">
        <v>9840</v>
      </c>
      <c r="BD677" t="s">
        <v>74</v>
      </c>
      <c r="BE677" t="s">
        <v>9841</v>
      </c>
      <c r="BF677" t="str">
        <f>HYPERLINK("http://dx.doi.org/10.1093/rheumatology/kex197","http://dx.doi.org/10.1093/rheumatology/kex197")</f>
        <v>http://dx.doi.org/10.1093/rheumatology/kex197</v>
      </c>
      <c r="BG677" t="s">
        <v>74</v>
      </c>
      <c r="BH677" t="s">
        <v>74</v>
      </c>
      <c r="BI677">
        <v>5</v>
      </c>
      <c r="BJ677" t="s">
        <v>2369</v>
      </c>
      <c r="BK677" t="s">
        <v>101</v>
      </c>
      <c r="BL677" t="s">
        <v>2369</v>
      </c>
      <c r="BM677" t="s">
        <v>9842</v>
      </c>
      <c r="BN677">
        <v>28992168</v>
      </c>
      <c r="BO677" t="s">
        <v>2517</v>
      </c>
      <c r="BP677" t="s">
        <v>74</v>
      </c>
      <c r="BQ677" t="s">
        <v>74</v>
      </c>
      <c r="BR677" t="s">
        <v>104</v>
      </c>
      <c r="BS677" t="s">
        <v>9843</v>
      </c>
      <c r="BT677" t="str">
        <f>HYPERLINK("https%3A%2F%2Fwww.webofscience.com%2Fwos%2Fwoscc%2Ffull-record%2FWOS:000412297100007","View Full Record in Web of Science")</f>
        <v>View Full Record in Web of Science</v>
      </c>
    </row>
    <row r="678" spans="1:72" x14ac:dyDescent="0.25">
      <c r="A678" t="s">
        <v>72</v>
      </c>
      <c r="B678" t="s">
        <v>9844</v>
      </c>
      <c r="C678" t="s">
        <v>74</v>
      </c>
      <c r="D678" t="s">
        <v>74</v>
      </c>
      <c r="E678" t="s">
        <v>74</v>
      </c>
      <c r="F678" t="s">
        <v>9845</v>
      </c>
      <c r="G678" t="s">
        <v>74</v>
      </c>
      <c r="H678" t="s">
        <v>74</v>
      </c>
      <c r="I678" t="s">
        <v>9846</v>
      </c>
      <c r="J678" t="s">
        <v>814</v>
      </c>
      <c r="K678" t="s">
        <v>74</v>
      </c>
      <c r="L678" t="s">
        <v>74</v>
      </c>
      <c r="M678" t="s">
        <v>78</v>
      </c>
      <c r="N678" t="s">
        <v>299</v>
      </c>
      <c r="O678" t="s">
        <v>74</v>
      </c>
      <c r="P678" t="s">
        <v>74</v>
      </c>
      <c r="Q678" t="s">
        <v>74</v>
      </c>
      <c r="R678" t="s">
        <v>74</v>
      </c>
      <c r="S678" t="s">
        <v>74</v>
      </c>
      <c r="T678" t="s">
        <v>74</v>
      </c>
      <c r="U678" t="s">
        <v>9847</v>
      </c>
      <c r="V678" t="s">
        <v>9848</v>
      </c>
      <c r="W678" t="s">
        <v>9849</v>
      </c>
      <c r="X678" t="s">
        <v>9850</v>
      </c>
      <c r="Y678" t="s">
        <v>9851</v>
      </c>
      <c r="Z678" t="s">
        <v>9852</v>
      </c>
      <c r="AA678" t="s">
        <v>9853</v>
      </c>
      <c r="AB678" t="s">
        <v>9854</v>
      </c>
      <c r="AC678" t="s">
        <v>74</v>
      </c>
      <c r="AD678" t="s">
        <v>74</v>
      </c>
      <c r="AE678" t="s">
        <v>74</v>
      </c>
      <c r="AF678" t="s">
        <v>74</v>
      </c>
      <c r="AG678">
        <v>39</v>
      </c>
      <c r="AH678">
        <v>95</v>
      </c>
      <c r="AI678">
        <v>97</v>
      </c>
      <c r="AJ678">
        <v>0</v>
      </c>
      <c r="AK678">
        <v>3</v>
      </c>
      <c r="AL678" t="s">
        <v>219</v>
      </c>
      <c r="AM678" t="s">
        <v>220</v>
      </c>
      <c r="AN678" t="s">
        <v>221</v>
      </c>
      <c r="AO678" t="s">
        <v>823</v>
      </c>
      <c r="AP678" t="s">
        <v>824</v>
      </c>
      <c r="AQ678" t="s">
        <v>74</v>
      </c>
      <c r="AR678" t="s">
        <v>825</v>
      </c>
      <c r="AS678" t="s">
        <v>826</v>
      </c>
      <c r="AT678" t="s">
        <v>492</v>
      </c>
      <c r="AU678">
        <v>2017</v>
      </c>
      <c r="AV678">
        <v>26</v>
      </c>
      <c r="AW678">
        <v>145</v>
      </c>
      <c r="AX678" t="s">
        <v>74</v>
      </c>
      <c r="AY678" t="s">
        <v>74</v>
      </c>
      <c r="AZ678" t="s">
        <v>74</v>
      </c>
      <c r="BA678" t="s">
        <v>74</v>
      </c>
      <c r="BB678" t="s">
        <v>74</v>
      </c>
      <c r="BC678" t="s">
        <v>74</v>
      </c>
      <c r="BD678">
        <v>170056</v>
      </c>
      <c r="BE678" t="s">
        <v>9855</v>
      </c>
      <c r="BF678" t="str">
        <f>HYPERLINK("http://dx.doi.org/10.1183/16000617.0056-2017","http://dx.doi.org/10.1183/16000617.0056-2017")</f>
        <v>http://dx.doi.org/10.1183/16000617.0056-2017</v>
      </c>
      <c r="BG678" t="s">
        <v>74</v>
      </c>
      <c r="BH678" t="s">
        <v>74</v>
      </c>
      <c r="BI678">
        <v>6</v>
      </c>
      <c r="BJ678" t="s">
        <v>228</v>
      </c>
      <c r="BK678" t="s">
        <v>101</v>
      </c>
      <c r="BL678" t="s">
        <v>228</v>
      </c>
      <c r="BM678" t="s">
        <v>9812</v>
      </c>
      <c r="BN678">
        <v>28954767</v>
      </c>
      <c r="BO678" t="s">
        <v>809</v>
      </c>
      <c r="BP678" t="s">
        <v>74</v>
      </c>
      <c r="BQ678" t="s">
        <v>74</v>
      </c>
      <c r="BR678" t="s">
        <v>104</v>
      </c>
      <c r="BS678" t="s">
        <v>9856</v>
      </c>
      <c r="BT678" t="str">
        <f>HYPERLINK("https%3A%2F%2Fwww.webofscience.com%2Fwos%2Fwoscc%2Ffull-record%2FWOS:000412289200007","View Full Record in Web of Science")</f>
        <v>View Full Record in Web of Science</v>
      </c>
    </row>
    <row r="679" spans="1:72" x14ac:dyDescent="0.25">
      <c r="A679" t="s">
        <v>72</v>
      </c>
      <c r="B679" t="s">
        <v>9857</v>
      </c>
      <c r="C679" t="s">
        <v>74</v>
      </c>
      <c r="D679" t="s">
        <v>74</v>
      </c>
      <c r="E679" t="s">
        <v>74</v>
      </c>
      <c r="F679" t="s">
        <v>9858</v>
      </c>
      <c r="G679" t="s">
        <v>74</v>
      </c>
      <c r="H679" t="s">
        <v>74</v>
      </c>
      <c r="I679" t="s">
        <v>9859</v>
      </c>
      <c r="J679" t="s">
        <v>216</v>
      </c>
      <c r="K679" t="s">
        <v>74</v>
      </c>
      <c r="L679" t="s">
        <v>74</v>
      </c>
      <c r="M679" t="s">
        <v>78</v>
      </c>
      <c r="N679" t="s">
        <v>52</v>
      </c>
      <c r="O679" t="s">
        <v>4152</v>
      </c>
      <c r="P679" t="s">
        <v>9740</v>
      </c>
      <c r="Q679" t="s">
        <v>7497</v>
      </c>
      <c r="R679" t="s">
        <v>2954</v>
      </c>
      <c r="S679" t="s">
        <v>74</v>
      </c>
      <c r="T679" t="s">
        <v>74</v>
      </c>
      <c r="U679" t="s">
        <v>74</v>
      </c>
      <c r="V679" t="s">
        <v>74</v>
      </c>
      <c r="W679" t="s">
        <v>74</v>
      </c>
      <c r="X679" t="s">
        <v>74</v>
      </c>
      <c r="Y679" t="s">
        <v>74</v>
      </c>
      <c r="Z679" t="s">
        <v>74</v>
      </c>
      <c r="AA679" t="s">
        <v>9860</v>
      </c>
      <c r="AB679" t="s">
        <v>9861</v>
      </c>
      <c r="AC679" t="s">
        <v>74</v>
      </c>
      <c r="AD679" t="s">
        <v>74</v>
      </c>
      <c r="AE679" t="s">
        <v>74</v>
      </c>
      <c r="AF679" t="s">
        <v>74</v>
      </c>
      <c r="AG679">
        <v>0</v>
      </c>
      <c r="AH679">
        <v>0</v>
      </c>
      <c r="AI679">
        <v>1</v>
      </c>
      <c r="AJ679">
        <v>0</v>
      </c>
      <c r="AK679">
        <v>0</v>
      </c>
      <c r="AL679" t="s">
        <v>219</v>
      </c>
      <c r="AM679" t="s">
        <v>220</v>
      </c>
      <c r="AN679" t="s">
        <v>221</v>
      </c>
      <c r="AO679" t="s">
        <v>222</v>
      </c>
      <c r="AP679" t="s">
        <v>223</v>
      </c>
      <c r="AQ679" t="s">
        <v>74</v>
      </c>
      <c r="AR679" t="s">
        <v>224</v>
      </c>
      <c r="AS679" t="s">
        <v>225</v>
      </c>
      <c r="AT679" t="s">
        <v>529</v>
      </c>
      <c r="AU679">
        <v>2017</v>
      </c>
      <c r="AV679">
        <v>50</v>
      </c>
      <c r="AW679" t="s">
        <v>74</v>
      </c>
      <c r="AX679" t="s">
        <v>74</v>
      </c>
      <c r="AY679">
        <v>61</v>
      </c>
      <c r="AZ679" t="s">
        <v>74</v>
      </c>
      <c r="BA679" t="s">
        <v>9862</v>
      </c>
      <c r="BB679" t="s">
        <v>74</v>
      </c>
      <c r="BC679" t="s">
        <v>74</v>
      </c>
      <c r="BD679" t="s">
        <v>74</v>
      </c>
      <c r="BE679" t="s">
        <v>9863</v>
      </c>
      <c r="BF679" t="str">
        <f>HYPERLINK("http://dx.doi.org/10.1183/1393003.congress-2017.OA4657","http://dx.doi.org/10.1183/1393003.congress-2017.OA4657")</f>
        <v>http://dx.doi.org/10.1183/1393003.congress-2017.OA4657</v>
      </c>
      <c r="BG679" t="s">
        <v>74</v>
      </c>
      <c r="BH679" t="s">
        <v>74</v>
      </c>
      <c r="BI679">
        <v>1</v>
      </c>
      <c r="BJ679" t="s">
        <v>228</v>
      </c>
      <c r="BK679" t="s">
        <v>512</v>
      </c>
      <c r="BL679" t="s">
        <v>228</v>
      </c>
      <c r="BM679" t="s">
        <v>9744</v>
      </c>
      <c r="BN679" t="s">
        <v>74</v>
      </c>
      <c r="BO679" t="s">
        <v>74</v>
      </c>
      <c r="BP679" t="s">
        <v>74</v>
      </c>
      <c r="BQ679" t="s">
        <v>74</v>
      </c>
      <c r="BR679" t="s">
        <v>104</v>
      </c>
      <c r="BS679" t="s">
        <v>9864</v>
      </c>
      <c r="BT679" t="str">
        <f>HYPERLINK("https%3A%2F%2Fwww.webofscience.com%2Fwos%2Fwoscc%2Ffull-record%2FWOS:000431748900425","View Full Record in Web of Science")</f>
        <v>View Full Record in Web of Science</v>
      </c>
    </row>
    <row r="680" spans="1:72" x14ac:dyDescent="0.25">
      <c r="A680" t="s">
        <v>72</v>
      </c>
      <c r="B680" t="s">
        <v>9865</v>
      </c>
      <c r="C680" t="s">
        <v>74</v>
      </c>
      <c r="D680" t="s">
        <v>74</v>
      </c>
      <c r="E680" t="s">
        <v>74</v>
      </c>
      <c r="F680" t="s">
        <v>9866</v>
      </c>
      <c r="G680" t="s">
        <v>74</v>
      </c>
      <c r="H680" t="s">
        <v>74</v>
      </c>
      <c r="I680" t="s">
        <v>9338</v>
      </c>
      <c r="J680" t="s">
        <v>216</v>
      </c>
      <c r="K680" t="s">
        <v>74</v>
      </c>
      <c r="L680" t="s">
        <v>74</v>
      </c>
      <c r="M680" t="s">
        <v>78</v>
      </c>
      <c r="N680" t="s">
        <v>52</v>
      </c>
      <c r="O680" t="s">
        <v>4152</v>
      </c>
      <c r="P680" t="s">
        <v>9740</v>
      </c>
      <c r="Q680" t="s">
        <v>7497</v>
      </c>
      <c r="R680" t="s">
        <v>2954</v>
      </c>
      <c r="S680" t="s">
        <v>74</v>
      </c>
      <c r="T680" t="s">
        <v>74</v>
      </c>
      <c r="U680" t="s">
        <v>74</v>
      </c>
      <c r="V680" t="s">
        <v>74</v>
      </c>
      <c r="W680" t="s">
        <v>74</v>
      </c>
      <c r="X680" t="s">
        <v>74</v>
      </c>
      <c r="Y680" t="s">
        <v>74</v>
      </c>
      <c r="Z680" t="s">
        <v>74</v>
      </c>
      <c r="AA680" t="s">
        <v>9867</v>
      </c>
      <c r="AB680" t="s">
        <v>5709</v>
      </c>
      <c r="AC680" t="s">
        <v>74</v>
      </c>
      <c r="AD680" t="s">
        <v>74</v>
      </c>
      <c r="AE680" t="s">
        <v>74</v>
      </c>
      <c r="AF680" t="s">
        <v>74</v>
      </c>
      <c r="AG680">
        <v>0</v>
      </c>
      <c r="AH680">
        <v>0</v>
      </c>
      <c r="AI680">
        <v>0</v>
      </c>
      <c r="AJ680">
        <v>0</v>
      </c>
      <c r="AK680">
        <v>0</v>
      </c>
      <c r="AL680" t="s">
        <v>219</v>
      </c>
      <c r="AM680" t="s">
        <v>220</v>
      </c>
      <c r="AN680" t="s">
        <v>221</v>
      </c>
      <c r="AO680" t="s">
        <v>222</v>
      </c>
      <c r="AP680" t="s">
        <v>223</v>
      </c>
      <c r="AQ680" t="s">
        <v>74</v>
      </c>
      <c r="AR680" t="s">
        <v>224</v>
      </c>
      <c r="AS680" t="s">
        <v>225</v>
      </c>
      <c r="AT680" t="s">
        <v>529</v>
      </c>
      <c r="AU680">
        <v>2017</v>
      </c>
      <c r="AV680">
        <v>50</v>
      </c>
      <c r="AW680" t="s">
        <v>74</v>
      </c>
      <c r="AX680" t="s">
        <v>74</v>
      </c>
      <c r="AY680">
        <v>61</v>
      </c>
      <c r="AZ680" t="s">
        <v>74</v>
      </c>
      <c r="BA680" t="s">
        <v>9868</v>
      </c>
      <c r="BB680" t="s">
        <v>74</v>
      </c>
      <c r="BC680" t="s">
        <v>74</v>
      </c>
      <c r="BD680" t="s">
        <v>74</v>
      </c>
      <c r="BE680" t="s">
        <v>9869</v>
      </c>
      <c r="BF680" t="str">
        <f>HYPERLINK("http://dx.doi.org/10.1183/1393003.congress-2017.PA2375","http://dx.doi.org/10.1183/1393003.congress-2017.PA2375")</f>
        <v>http://dx.doi.org/10.1183/1393003.congress-2017.PA2375</v>
      </c>
      <c r="BG680" t="s">
        <v>74</v>
      </c>
      <c r="BH680" t="s">
        <v>74</v>
      </c>
      <c r="BI680">
        <v>1</v>
      </c>
      <c r="BJ680" t="s">
        <v>228</v>
      </c>
      <c r="BK680" t="s">
        <v>512</v>
      </c>
      <c r="BL680" t="s">
        <v>228</v>
      </c>
      <c r="BM680" t="s">
        <v>9744</v>
      </c>
      <c r="BN680" t="s">
        <v>74</v>
      </c>
      <c r="BO680" t="s">
        <v>74</v>
      </c>
      <c r="BP680" t="s">
        <v>74</v>
      </c>
      <c r="BQ680" t="s">
        <v>74</v>
      </c>
      <c r="BR680" t="s">
        <v>104</v>
      </c>
      <c r="BS680" t="s">
        <v>9870</v>
      </c>
      <c r="BT680" t="str">
        <f>HYPERLINK("https%3A%2F%2Fwww.webofscience.com%2Fwos%2Fwoscc%2Ffull-record%2FWOS:000431748901774","View Full Record in Web of Science")</f>
        <v>View Full Record in Web of Science</v>
      </c>
    </row>
    <row r="681" spans="1:72" x14ac:dyDescent="0.25">
      <c r="A681" t="s">
        <v>72</v>
      </c>
      <c r="B681" t="s">
        <v>9871</v>
      </c>
      <c r="C681" t="s">
        <v>74</v>
      </c>
      <c r="D681" t="s">
        <v>74</v>
      </c>
      <c r="E681" t="s">
        <v>74</v>
      </c>
      <c r="F681" t="s">
        <v>9872</v>
      </c>
      <c r="G681" t="s">
        <v>74</v>
      </c>
      <c r="H681" t="s">
        <v>74</v>
      </c>
      <c r="I681" t="s">
        <v>9873</v>
      </c>
      <c r="J681" t="s">
        <v>388</v>
      </c>
      <c r="K681" t="s">
        <v>74</v>
      </c>
      <c r="L681" t="s">
        <v>74</v>
      </c>
      <c r="M681" t="s">
        <v>78</v>
      </c>
      <c r="N681" t="s">
        <v>79</v>
      </c>
      <c r="O681" t="s">
        <v>74</v>
      </c>
      <c r="P681" t="s">
        <v>74</v>
      </c>
      <c r="Q681" t="s">
        <v>74</v>
      </c>
      <c r="R681" t="s">
        <v>74</v>
      </c>
      <c r="S681" t="s">
        <v>74</v>
      </c>
      <c r="T681" t="s">
        <v>74</v>
      </c>
      <c r="U681" t="s">
        <v>9874</v>
      </c>
      <c r="V681" t="s">
        <v>9875</v>
      </c>
      <c r="W681" t="s">
        <v>9876</v>
      </c>
      <c r="X681" t="s">
        <v>9877</v>
      </c>
      <c r="Y681" t="s">
        <v>9878</v>
      </c>
      <c r="Z681" t="s">
        <v>3282</v>
      </c>
      <c r="AA681" t="s">
        <v>9879</v>
      </c>
      <c r="AB681" t="s">
        <v>9880</v>
      </c>
      <c r="AC681" t="s">
        <v>9881</v>
      </c>
      <c r="AD681" t="s">
        <v>9882</v>
      </c>
      <c r="AE681" t="s">
        <v>9883</v>
      </c>
      <c r="AF681" t="s">
        <v>74</v>
      </c>
      <c r="AG681">
        <v>30</v>
      </c>
      <c r="AH681">
        <v>103</v>
      </c>
      <c r="AI681">
        <v>110</v>
      </c>
      <c r="AJ681">
        <v>1</v>
      </c>
      <c r="AK681">
        <v>16</v>
      </c>
      <c r="AL681" t="s">
        <v>397</v>
      </c>
      <c r="AM681" t="s">
        <v>1074</v>
      </c>
      <c r="AN681" t="s">
        <v>4444</v>
      </c>
      <c r="AO681" t="s">
        <v>400</v>
      </c>
      <c r="AP681" t="s">
        <v>74</v>
      </c>
      <c r="AQ681" t="s">
        <v>74</v>
      </c>
      <c r="AR681" t="s">
        <v>401</v>
      </c>
      <c r="AS681" t="s">
        <v>402</v>
      </c>
      <c r="AT681" t="s">
        <v>492</v>
      </c>
      <c r="AU681">
        <v>2017</v>
      </c>
      <c r="AV681">
        <v>5</v>
      </c>
      <c r="AW681">
        <v>9</v>
      </c>
      <c r="AX681" t="s">
        <v>74</v>
      </c>
      <c r="AY681" t="s">
        <v>74</v>
      </c>
      <c r="AZ681" t="s">
        <v>74</v>
      </c>
      <c r="BA681" t="s">
        <v>74</v>
      </c>
      <c r="BB681">
        <v>717</v>
      </c>
      <c r="BC681">
        <v>726</v>
      </c>
      <c r="BD681" t="s">
        <v>74</v>
      </c>
      <c r="BE681" t="s">
        <v>9884</v>
      </c>
      <c r="BF681" t="str">
        <f>HYPERLINK("http://dx.doi.org/10.1016/S2213-2600(17)30161-3","http://dx.doi.org/10.1016/S2213-2600(17)30161-3")</f>
        <v>http://dx.doi.org/10.1016/S2213-2600(17)30161-3</v>
      </c>
      <c r="BG681" t="s">
        <v>74</v>
      </c>
      <c r="BH681" t="s">
        <v>74</v>
      </c>
      <c r="BI681">
        <v>10</v>
      </c>
      <c r="BJ681" t="s">
        <v>341</v>
      </c>
      <c r="BK681" t="s">
        <v>101</v>
      </c>
      <c r="BL681" t="s">
        <v>342</v>
      </c>
      <c r="BM681" t="s">
        <v>9885</v>
      </c>
      <c r="BN681">
        <v>28624389</v>
      </c>
      <c r="BO681" t="s">
        <v>9886</v>
      </c>
      <c r="BP681" t="s">
        <v>74</v>
      </c>
      <c r="BQ681" t="s">
        <v>74</v>
      </c>
      <c r="BR681" t="s">
        <v>104</v>
      </c>
      <c r="BS681" t="s">
        <v>9887</v>
      </c>
      <c r="BT681" t="str">
        <f>HYPERLINK("https%3A%2F%2Fwww.webofscience.com%2Fwos%2Fwoscc%2Ffull-record%2FWOS:000408367900020","View Full Record in Web of Science")</f>
        <v>View Full Record in Web of Science</v>
      </c>
    </row>
    <row r="682" spans="1:72" x14ac:dyDescent="0.25">
      <c r="A682" t="s">
        <v>72</v>
      </c>
      <c r="B682" t="s">
        <v>9888</v>
      </c>
      <c r="C682" t="s">
        <v>74</v>
      </c>
      <c r="D682" t="s">
        <v>74</v>
      </c>
      <c r="E682" t="s">
        <v>74</v>
      </c>
      <c r="F682" t="s">
        <v>9889</v>
      </c>
      <c r="G682" t="s">
        <v>74</v>
      </c>
      <c r="H682" t="s">
        <v>74</v>
      </c>
      <c r="I682" t="s">
        <v>9890</v>
      </c>
      <c r="J682" t="s">
        <v>216</v>
      </c>
      <c r="K682" t="s">
        <v>74</v>
      </c>
      <c r="L682" t="s">
        <v>74</v>
      </c>
      <c r="M682" t="s">
        <v>78</v>
      </c>
      <c r="N682" t="s">
        <v>52</v>
      </c>
      <c r="O682" t="s">
        <v>4152</v>
      </c>
      <c r="P682" t="s">
        <v>9740</v>
      </c>
      <c r="Q682" t="s">
        <v>7497</v>
      </c>
      <c r="R682" t="s">
        <v>2954</v>
      </c>
      <c r="S682" t="s">
        <v>74</v>
      </c>
      <c r="T682" t="s">
        <v>74</v>
      </c>
      <c r="U682" t="s">
        <v>74</v>
      </c>
      <c r="V682" t="s">
        <v>74</v>
      </c>
      <c r="W682" t="s">
        <v>74</v>
      </c>
      <c r="X682" t="s">
        <v>74</v>
      </c>
      <c r="Y682" t="s">
        <v>74</v>
      </c>
      <c r="Z682" t="s">
        <v>74</v>
      </c>
      <c r="AA682" t="s">
        <v>9891</v>
      </c>
      <c r="AB682" t="s">
        <v>74</v>
      </c>
      <c r="AC682" t="s">
        <v>74</v>
      </c>
      <c r="AD682" t="s">
        <v>74</v>
      </c>
      <c r="AE682" t="s">
        <v>74</v>
      </c>
      <c r="AF682" t="s">
        <v>74</v>
      </c>
      <c r="AG682">
        <v>0</v>
      </c>
      <c r="AH682">
        <v>0</v>
      </c>
      <c r="AI682">
        <v>0</v>
      </c>
      <c r="AJ682">
        <v>0</v>
      </c>
      <c r="AK682">
        <v>1</v>
      </c>
      <c r="AL682" t="s">
        <v>219</v>
      </c>
      <c r="AM682" t="s">
        <v>220</v>
      </c>
      <c r="AN682" t="s">
        <v>221</v>
      </c>
      <c r="AO682" t="s">
        <v>222</v>
      </c>
      <c r="AP682" t="s">
        <v>223</v>
      </c>
      <c r="AQ682" t="s">
        <v>74</v>
      </c>
      <c r="AR682" t="s">
        <v>224</v>
      </c>
      <c r="AS682" t="s">
        <v>225</v>
      </c>
      <c r="AT682" t="s">
        <v>529</v>
      </c>
      <c r="AU682">
        <v>2017</v>
      </c>
      <c r="AV682">
        <v>50</v>
      </c>
      <c r="AW682" t="s">
        <v>74</v>
      </c>
      <c r="AX682" t="s">
        <v>74</v>
      </c>
      <c r="AY682">
        <v>61</v>
      </c>
      <c r="AZ682" t="s">
        <v>74</v>
      </c>
      <c r="BA682" t="s">
        <v>9892</v>
      </c>
      <c r="BB682" t="s">
        <v>74</v>
      </c>
      <c r="BC682" t="s">
        <v>74</v>
      </c>
      <c r="BD682" t="s">
        <v>74</v>
      </c>
      <c r="BE682" t="s">
        <v>9893</v>
      </c>
      <c r="BF682" t="str">
        <f>HYPERLINK("http://dx.doi.org/10.1183/1393003.congress-2017.OA4658","http://dx.doi.org/10.1183/1393003.congress-2017.OA4658")</f>
        <v>http://dx.doi.org/10.1183/1393003.congress-2017.OA4658</v>
      </c>
      <c r="BG682" t="s">
        <v>74</v>
      </c>
      <c r="BH682" t="s">
        <v>74</v>
      </c>
      <c r="BI682">
        <v>1</v>
      </c>
      <c r="BJ682" t="s">
        <v>228</v>
      </c>
      <c r="BK682" t="s">
        <v>512</v>
      </c>
      <c r="BL682" t="s">
        <v>228</v>
      </c>
      <c r="BM682" t="s">
        <v>9744</v>
      </c>
      <c r="BN682" t="s">
        <v>74</v>
      </c>
      <c r="BO682" t="s">
        <v>74</v>
      </c>
      <c r="BP682" t="s">
        <v>74</v>
      </c>
      <c r="BQ682" t="s">
        <v>74</v>
      </c>
      <c r="BR682" t="s">
        <v>104</v>
      </c>
      <c r="BS682" t="s">
        <v>9894</v>
      </c>
      <c r="BT682" t="str">
        <f>HYPERLINK("https%3A%2F%2Fwww.webofscience.com%2Fwos%2Fwoscc%2Ffull-record%2FWOS:000431748900426","View Full Record in Web of Science")</f>
        <v>View Full Record in Web of Science</v>
      </c>
    </row>
    <row r="683" spans="1:72" x14ac:dyDescent="0.25">
      <c r="A683" t="s">
        <v>72</v>
      </c>
      <c r="B683" t="s">
        <v>9895</v>
      </c>
      <c r="C683" t="s">
        <v>74</v>
      </c>
      <c r="D683" t="s">
        <v>74</v>
      </c>
      <c r="E683" t="s">
        <v>74</v>
      </c>
      <c r="F683" t="s">
        <v>9896</v>
      </c>
      <c r="G683" t="s">
        <v>74</v>
      </c>
      <c r="H683" t="s">
        <v>74</v>
      </c>
      <c r="I683" t="s">
        <v>9897</v>
      </c>
      <c r="J683" t="s">
        <v>216</v>
      </c>
      <c r="K683" t="s">
        <v>74</v>
      </c>
      <c r="L683" t="s">
        <v>74</v>
      </c>
      <c r="M683" t="s">
        <v>78</v>
      </c>
      <c r="N683" t="s">
        <v>52</v>
      </c>
      <c r="O683" t="s">
        <v>4152</v>
      </c>
      <c r="P683" t="s">
        <v>9740</v>
      </c>
      <c r="Q683" t="s">
        <v>7497</v>
      </c>
      <c r="R683" t="s">
        <v>2954</v>
      </c>
      <c r="S683" t="s">
        <v>74</v>
      </c>
      <c r="T683" t="s">
        <v>74</v>
      </c>
      <c r="U683" t="s">
        <v>74</v>
      </c>
      <c r="V683" t="s">
        <v>74</v>
      </c>
      <c r="W683" t="s">
        <v>74</v>
      </c>
      <c r="X683" t="s">
        <v>74</v>
      </c>
      <c r="Y683" t="s">
        <v>74</v>
      </c>
      <c r="Z683" t="s">
        <v>74</v>
      </c>
      <c r="AA683" t="s">
        <v>9898</v>
      </c>
      <c r="AB683" t="s">
        <v>74</v>
      </c>
      <c r="AC683" t="s">
        <v>74</v>
      </c>
      <c r="AD683" t="s">
        <v>74</v>
      </c>
      <c r="AE683" t="s">
        <v>74</v>
      </c>
      <c r="AF683" t="s">
        <v>74</v>
      </c>
      <c r="AG683">
        <v>0</v>
      </c>
      <c r="AH683">
        <v>0</v>
      </c>
      <c r="AI683">
        <v>0</v>
      </c>
      <c r="AJ683">
        <v>0</v>
      </c>
      <c r="AK683">
        <v>0</v>
      </c>
      <c r="AL683" t="s">
        <v>219</v>
      </c>
      <c r="AM683" t="s">
        <v>220</v>
      </c>
      <c r="AN683" t="s">
        <v>221</v>
      </c>
      <c r="AO683" t="s">
        <v>222</v>
      </c>
      <c r="AP683" t="s">
        <v>223</v>
      </c>
      <c r="AQ683" t="s">
        <v>74</v>
      </c>
      <c r="AR683" t="s">
        <v>224</v>
      </c>
      <c r="AS683" t="s">
        <v>225</v>
      </c>
      <c r="AT683" t="s">
        <v>529</v>
      </c>
      <c r="AU683">
        <v>2017</v>
      </c>
      <c r="AV683">
        <v>50</v>
      </c>
      <c r="AW683" t="s">
        <v>74</v>
      </c>
      <c r="AX683" t="s">
        <v>74</v>
      </c>
      <c r="AY683">
        <v>61</v>
      </c>
      <c r="AZ683" t="s">
        <v>74</v>
      </c>
      <c r="BA683" t="s">
        <v>9899</v>
      </c>
      <c r="BB683" t="s">
        <v>74</v>
      </c>
      <c r="BC683" t="s">
        <v>74</v>
      </c>
      <c r="BD683" t="s">
        <v>74</v>
      </c>
      <c r="BE683" t="s">
        <v>9900</v>
      </c>
      <c r="BF683" t="str">
        <f>HYPERLINK("http://dx.doi.org/10.1183/1393003.congress-2017.PA3529","http://dx.doi.org/10.1183/1393003.congress-2017.PA3529")</f>
        <v>http://dx.doi.org/10.1183/1393003.congress-2017.PA3529</v>
      </c>
      <c r="BG683" t="s">
        <v>74</v>
      </c>
      <c r="BH683" t="s">
        <v>74</v>
      </c>
      <c r="BI683">
        <v>2</v>
      </c>
      <c r="BJ683" t="s">
        <v>228</v>
      </c>
      <c r="BK683" t="s">
        <v>512</v>
      </c>
      <c r="BL683" t="s">
        <v>228</v>
      </c>
      <c r="BM683" t="s">
        <v>9744</v>
      </c>
      <c r="BN683" t="s">
        <v>74</v>
      </c>
      <c r="BO683" t="s">
        <v>74</v>
      </c>
      <c r="BP683" t="s">
        <v>74</v>
      </c>
      <c r="BQ683" t="s">
        <v>74</v>
      </c>
      <c r="BR683" t="s">
        <v>104</v>
      </c>
      <c r="BS683" t="s">
        <v>9901</v>
      </c>
      <c r="BT683" t="str">
        <f>HYPERLINK("https%3A%2F%2Fwww.webofscience.com%2Fwos%2Fwoscc%2Ffull-record%2FWOS:000431748902586","View Full Record in Web of Science")</f>
        <v>View Full Record in Web of Science</v>
      </c>
    </row>
    <row r="684" spans="1:72" x14ac:dyDescent="0.25">
      <c r="A684" t="s">
        <v>72</v>
      </c>
      <c r="B684" t="s">
        <v>9902</v>
      </c>
      <c r="C684" t="s">
        <v>74</v>
      </c>
      <c r="D684" t="s">
        <v>74</v>
      </c>
      <c r="E684" t="s">
        <v>74</v>
      </c>
      <c r="F684" t="s">
        <v>9903</v>
      </c>
      <c r="G684" t="s">
        <v>74</v>
      </c>
      <c r="H684" t="s">
        <v>74</v>
      </c>
      <c r="I684" t="s">
        <v>9904</v>
      </c>
      <c r="J684" t="s">
        <v>216</v>
      </c>
      <c r="K684" t="s">
        <v>74</v>
      </c>
      <c r="L684" t="s">
        <v>74</v>
      </c>
      <c r="M684" t="s">
        <v>78</v>
      </c>
      <c r="N684" t="s">
        <v>52</v>
      </c>
      <c r="O684" t="s">
        <v>4152</v>
      </c>
      <c r="P684" t="s">
        <v>9740</v>
      </c>
      <c r="Q684" t="s">
        <v>7497</v>
      </c>
      <c r="R684" t="s">
        <v>2954</v>
      </c>
      <c r="S684" t="s">
        <v>74</v>
      </c>
      <c r="T684" t="s">
        <v>74</v>
      </c>
      <c r="U684" t="s">
        <v>74</v>
      </c>
      <c r="V684" t="s">
        <v>74</v>
      </c>
      <c r="W684" t="s">
        <v>74</v>
      </c>
      <c r="X684" t="s">
        <v>74</v>
      </c>
      <c r="Y684" t="s">
        <v>74</v>
      </c>
      <c r="Z684" t="s">
        <v>74</v>
      </c>
      <c r="AA684" t="s">
        <v>8250</v>
      </c>
      <c r="AB684" t="s">
        <v>5709</v>
      </c>
      <c r="AC684" t="s">
        <v>74</v>
      </c>
      <c r="AD684" t="s">
        <v>74</v>
      </c>
      <c r="AE684" t="s">
        <v>74</v>
      </c>
      <c r="AF684" t="s">
        <v>74</v>
      </c>
      <c r="AG684">
        <v>0</v>
      </c>
      <c r="AH684">
        <v>0</v>
      </c>
      <c r="AI684">
        <v>0</v>
      </c>
      <c r="AJ684">
        <v>0</v>
      </c>
      <c r="AK684">
        <v>1</v>
      </c>
      <c r="AL684" t="s">
        <v>219</v>
      </c>
      <c r="AM684" t="s">
        <v>220</v>
      </c>
      <c r="AN684" t="s">
        <v>221</v>
      </c>
      <c r="AO684" t="s">
        <v>222</v>
      </c>
      <c r="AP684" t="s">
        <v>223</v>
      </c>
      <c r="AQ684" t="s">
        <v>74</v>
      </c>
      <c r="AR684" t="s">
        <v>224</v>
      </c>
      <c r="AS684" t="s">
        <v>225</v>
      </c>
      <c r="AT684" t="s">
        <v>529</v>
      </c>
      <c r="AU684">
        <v>2017</v>
      </c>
      <c r="AV684">
        <v>50</v>
      </c>
      <c r="AW684" t="s">
        <v>74</v>
      </c>
      <c r="AX684" t="s">
        <v>74</v>
      </c>
      <c r="AY684">
        <v>61</v>
      </c>
      <c r="AZ684" t="s">
        <v>74</v>
      </c>
      <c r="BA684" t="s">
        <v>9905</v>
      </c>
      <c r="BB684" t="s">
        <v>74</v>
      </c>
      <c r="BC684" t="s">
        <v>74</v>
      </c>
      <c r="BD684" t="s">
        <v>74</v>
      </c>
      <c r="BE684" t="s">
        <v>9906</v>
      </c>
      <c r="BF684" t="str">
        <f>HYPERLINK("http://dx.doi.org/10.1183/1393003.congress-2017.PA3526","http://dx.doi.org/10.1183/1393003.congress-2017.PA3526")</f>
        <v>http://dx.doi.org/10.1183/1393003.congress-2017.PA3526</v>
      </c>
      <c r="BG684" t="s">
        <v>74</v>
      </c>
      <c r="BH684" t="s">
        <v>74</v>
      </c>
      <c r="BI684">
        <v>1</v>
      </c>
      <c r="BJ684" t="s">
        <v>228</v>
      </c>
      <c r="BK684" t="s">
        <v>512</v>
      </c>
      <c r="BL684" t="s">
        <v>228</v>
      </c>
      <c r="BM684" t="s">
        <v>9744</v>
      </c>
      <c r="BN684" t="s">
        <v>74</v>
      </c>
      <c r="BO684" t="s">
        <v>74</v>
      </c>
      <c r="BP684" t="s">
        <v>74</v>
      </c>
      <c r="BQ684" t="s">
        <v>74</v>
      </c>
      <c r="BR684" t="s">
        <v>104</v>
      </c>
      <c r="BS684" t="s">
        <v>9907</v>
      </c>
      <c r="BT684" t="str">
        <f>HYPERLINK("https%3A%2F%2Fwww.webofscience.com%2Fwos%2Fwoscc%2Ffull-record%2FWOS:000431748902583","View Full Record in Web of Science")</f>
        <v>View Full Record in Web of Science</v>
      </c>
    </row>
    <row r="685" spans="1:72" x14ac:dyDescent="0.25">
      <c r="A685" t="s">
        <v>72</v>
      </c>
      <c r="B685" t="s">
        <v>9908</v>
      </c>
      <c r="C685" t="s">
        <v>74</v>
      </c>
      <c r="D685" t="s">
        <v>74</v>
      </c>
      <c r="E685" t="s">
        <v>74</v>
      </c>
      <c r="F685" t="s">
        <v>9909</v>
      </c>
      <c r="G685" t="s">
        <v>74</v>
      </c>
      <c r="H685" t="s">
        <v>74</v>
      </c>
      <c r="I685" t="s">
        <v>9910</v>
      </c>
      <c r="J685" t="s">
        <v>216</v>
      </c>
      <c r="K685" t="s">
        <v>74</v>
      </c>
      <c r="L685" t="s">
        <v>74</v>
      </c>
      <c r="M685" t="s">
        <v>78</v>
      </c>
      <c r="N685" t="s">
        <v>52</v>
      </c>
      <c r="O685" t="s">
        <v>4152</v>
      </c>
      <c r="P685" t="s">
        <v>9740</v>
      </c>
      <c r="Q685" t="s">
        <v>7497</v>
      </c>
      <c r="R685" t="s">
        <v>2954</v>
      </c>
      <c r="S685" t="s">
        <v>74</v>
      </c>
      <c r="T685" t="s">
        <v>74</v>
      </c>
      <c r="U685" t="s">
        <v>74</v>
      </c>
      <c r="V685" t="s">
        <v>74</v>
      </c>
      <c r="W685" t="s">
        <v>74</v>
      </c>
      <c r="X685" t="s">
        <v>74</v>
      </c>
      <c r="Y685" t="s">
        <v>74</v>
      </c>
      <c r="Z685" t="s">
        <v>74</v>
      </c>
      <c r="AA685" t="s">
        <v>9911</v>
      </c>
      <c r="AB685" t="s">
        <v>5709</v>
      </c>
      <c r="AC685" t="s">
        <v>74</v>
      </c>
      <c r="AD685" t="s">
        <v>74</v>
      </c>
      <c r="AE685" t="s">
        <v>74</v>
      </c>
      <c r="AF685" t="s">
        <v>74</v>
      </c>
      <c r="AG685">
        <v>0</v>
      </c>
      <c r="AH685">
        <v>0</v>
      </c>
      <c r="AI685">
        <v>0</v>
      </c>
      <c r="AJ685">
        <v>0</v>
      </c>
      <c r="AK685">
        <v>1</v>
      </c>
      <c r="AL685" t="s">
        <v>219</v>
      </c>
      <c r="AM685" t="s">
        <v>220</v>
      </c>
      <c r="AN685" t="s">
        <v>221</v>
      </c>
      <c r="AO685" t="s">
        <v>222</v>
      </c>
      <c r="AP685" t="s">
        <v>223</v>
      </c>
      <c r="AQ685" t="s">
        <v>74</v>
      </c>
      <c r="AR685" t="s">
        <v>224</v>
      </c>
      <c r="AS685" t="s">
        <v>225</v>
      </c>
      <c r="AT685" t="s">
        <v>529</v>
      </c>
      <c r="AU685">
        <v>2017</v>
      </c>
      <c r="AV685">
        <v>50</v>
      </c>
      <c r="AW685" t="s">
        <v>74</v>
      </c>
      <c r="AX685" t="s">
        <v>74</v>
      </c>
      <c r="AY685">
        <v>61</v>
      </c>
      <c r="AZ685" t="s">
        <v>74</v>
      </c>
      <c r="BA685" t="s">
        <v>9912</v>
      </c>
      <c r="BB685" t="s">
        <v>74</v>
      </c>
      <c r="BC685" t="s">
        <v>74</v>
      </c>
      <c r="BD685" t="s">
        <v>74</v>
      </c>
      <c r="BE685" t="s">
        <v>9913</v>
      </c>
      <c r="BF685" t="str">
        <f>HYPERLINK("http://dx.doi.org/10.1183/1393003.congress-2017.OA1507","http://dx.doi.org/10.1183/1393003.congress-2017.OA1507")</f>
        <v>http://dx.doi.org/10.1183/1393003.congress-2017.OA1507</v>
      </c>
      <c r="BG685" t="s">
        <v>74</v>
      </c>
      <c r="BH685" t="s">
        <v>74</v>
      </c>
      <c r="BI685">
        <v>1</v>
      </c>
      <c r="BJ685" t="s">
        <v>228</v>
      </c>
      <c r="BK685" t="s">
        <v>512</v>
      </c>
      <c r="BL685" t="s">
        <v>228</v>
      </c>
      <c r="BM685" t="s">
        <v>9744</v>
      </c>
      <c r="BN685" t="s">
        <v>74</v>
      </c>
      <c r="BO685" t="s">
        <v>74</v>
      </c>
      <c r="BP685" t="s">
        <v>74</v>
      </c>
      <c r="BQ685" t="s">
        <v>74</v>
      </c>
      <c r="BR685" t="s">
        <v>104</v>
      </c>
      <c r="BS685" t="s">
        <v>9914</v>
      </c>
      <c r="BT685" t="str">
        <f>HYPERLINK("https%3A%2F%2Fwww.webofscience.com%2Fwos%2Fwoscc%2Ffull-record%2FWOS:000431748900093","View Full Record in Web of Science")</f>
        <v>View Full Record in Web of Science</v>
      </c>
    </row>
    <row r="686" spans="1:72" x14ac:dyDescent="0.25">
      <c r="A686" t="s">
        <v>72</v>
      </c>
      <c r="B686" t="s">
        <v>9915</v>
      </c>
      <c r="C686" t="s">
        <v>74</v>
      </c>
      <c r="D686" t="s">
        <v>74</v>
      </c>
      <c r="E686" t="s">
        <v>74</v>
      </c>
      <c r="F686" t="s">
        <v>9916</v>
      </c>
      <c r="G686" t="s">
        <v>74</v>
      </c>
      <c r="H686" t="s">
        <v>74</v>
      </c>
      <c r="I686" t="s">
        <v>9917</v>
      </c>
      <c r="J686" t="s">
        <v>216</v>
      </c>
      <c r="K686" t="s">
        <v>74</v>
      </c>
      <c r="L686" t="s">
        <v>74</v>
      </c>
      <c r="M686" t="s">
        <v>78</v>
      </c>
      <c r="N686" t="s">
        <v>52</v>
      </c>
      <c r="O686" t="s">
        <v>4152</v>
      </c>
      <c r="P686" t="s">
        <v>9740</v>
      </c>
      <c r="Q686" t="s">
        <v>7497</v>
      </c>
      <c r="R686" t="s">
        <v>2954</v>
      </c>
      <c r="S686" t="s">
        <v>74</v>
      </c>
      <c r="T686" t="s">
        <v>74</v>
      </c>
      <c r="U686" t="s">
        <v>74</v>
      </c>
      <c r="V686" t="s">
        <v>74</v>
      </c>
      <c r="W686" t="s">
        <v>74</v>
      </c>
      <c r="X686" t="s">
        <v>74</v>
      </c>
      <c r="Y686" t="s">
        <v>74</v>
      </c>
      <c r="Z686" t="s">
        <v>74</v>
      </c>
      <c r="AA686" t="s">
        <v>9918</v>
      </c>
      <c r="AB686" t="s">
        <v>5709</v>
      </c>
      <c r="AC686" t="s">
        <v>74</v>
      </c>
      <c r="AD686" t="s">
        <v>74</v>
      </c>
      <c r="AE686" t="s">
        <v>74</v>
      </c>
      <c r="AF686" t="s">
        <v>74</v>
      </c>
      <c r="AG686">
        <v>0</v>
      </c>
      <c r="AH686">
        <v>1</v>
      </c>
      <c r="AI686">
        <v>1</v>
      </c>
      <c r="AJ686">
        <v>0</v>
      </c>
      <c r="AK686">
        <v>0</v>
      </c>
      <c r="AL686" t="s">
        <v>219</v>
      </c>
      <c r="AM686" t="s">
        <v>220</v>
      </c>
      <c r="AN686" t="s">
        <v>221</v>
      </c>
      <c r="AO686" t="s">
        <v>222</v>
      </c>
      <c r="AP686" t="s">
        <v>223</v>
      </c>
      <c r="AQ686" t="s">
        <v>74</v>
      </c>
      <c r="AR686" t="s">
        <v>224</v>
      </c>
      <c r="AS686" t="s">
        <v>225</v>
      </c>
      <c r="AT686" t="s">
        <v>529</v>
      </c>
      <c r="AU686">
        <v>2017</v>
      </c>
      <c r="AV686">
        <v>50</v>
      </c>
      <c r="AW686" t="s">
        <v>74</v>
      </c>
      <c r="AX686" t="s">
        <v>74</v>
      </c>
      <c r="AY686">
        <v>61</v>
      </c>
      <c r="AZ686" t="s">
        <v>74</v>
      </c>
      <c r="BA686" t="s">
        <v>9919</v>
      </c>
      <c r="BB686" t="s">
        <v>74</v>
      </c>
      <c r="BC686" t="s">
        <v>74</v>
      </c>
      <c r="BD686" t="s">
        <v>74</v>
      </c>
      <c r="BE686" t="s">
        <v>9920</v>
      </c>
      <c r="BF686" t="str">
        <f>HYPERLINK("http://dx.doi.org/10.1183/1393003.congress-2017.PA3521","http://dx.doi.org/10.1183/1393003.congress-2017.PA3521")</f>
        <v>http://dx.doi.org/10.1183/1393003.congress-2017.PA3521</v>
      </c>
      <c r="BG686" t="s">
        <v>74</v>
      </c>
      <c r="BH686" t="s">
        <v>74</v>
      </c>
      <c r="BI686">
        <v>1</v>
      </c>
      <c r="BJ686" t="s">
        <v>228</v>
      </c>
      <c r="BK686" t="s">
        <v>512</v>
      </c>
      <c r="BL686" t="s">
        <v>228</v>
      </c>
      <c r="BM686" t="s">
        <v>9744</v>
      </c>
      <c r="BN686" t="s">
        <v>74</v>
      </c>
      <c r="BO686" t="s">
        <v>74</v>
      </c>
      <c r="BP686" t="s">
        <v>74</v>
      </c>
      <c r="BQ686" t="s">
        <v>74</v>
      </c>
      <c r="BR686" t="s">
        <v>104</v>
      </c>
      <c r="BS686" t="s">
        <v>9921</v>
      </c>
      <c r="BT686" t="str">
        <f>HYPERLINK("https%3A%2F%2Fwww.webofscience.com%2Fwos%2Fwoscc%2Ffull-record%2FWOS:000431748902578","View Full Record in Web of Science")</f>
        <v>View Full Record in Web of Science</v>
      </c>
    </row>
    <row r="687" spans="1:72" x14ac:dyDescent="0.25">
      <c r="A687" t="s">
        <v>72</v>
      </c>
      <c r="B687" t="s">
        <v>9922</v>
      </c>
      <c r="C687" t="s">
        <v>74</v>
      </c>
      <c r="D687" t="s">
        <v>74</v>
      </c>
      <c r="E687" t="s">
        <v>74</v>
      </c>
      <c r="F687" t="s">
        <v>9923</v>
      </c>
      <c r="G687" t="s">
        <v>74</v>
      </c>
      <c r="H687" t="s">
        <v>74</v>
      </c>
      <c r="I687" t="s">
        <v>9924</v>
      </c>
      <c r="J687" t="s">
        <v>216</v>
      </c>
      <c r="K687" t="s">
        <v>74</v>
      </c>
      <c r="L687" t="s">
        <v>74</v>
      </c>
      <c r="M687" t="s">
        <v>78</v>
      </c>
      <c r="N687" t="s">
        <v>460</v>
      </c>
      <c r="O687" t="s">
        <v>74</v>
      </c>
      <c r="P687" t="s">
        <v>74</v>
      </c>
      <c r="Q687" t="s">
        <v>74</v>
      </c>
      <c r="R687" t="s">
        <v>74</v>
      </c>
      <c r="S687" t="s">
        <v>74</v>
      </c>
      <c r="T687" t="s">
        <v>74</v>
      </c>
      <c r="U687" t="s">
        <v>9925</v>
      </c>
      <c r="V687" t="s">
        <v>74</v>
      </c>
      <c r="W687" t="s">
        <v>9926</v>
      </c>
      <c r="X687" t="s">
        <v>9927</v>
      </c>
      <c r="Y687" t="s">
        <v>9928</v>
      </c>
      <c r="Z687" t="s">
        <v>9929</v>
      </c>
      <c r="AA687" t="s">
        <v>9930</v>
      </c>
      <c r="AB687" t="s">
        <v>9931</v>
      </c>
      <c r="AC687" t="s">
        <v>9808</v>
      </c>
      <c r="AD687" t="s">
        <v>9809</v>
      </c>
      <c r="AE687" t="s">
        <v>9932</v>
      </c>
      <c r="AF687" t="s">
        <v>74</v>
      </c>
      <c r="AG687">
        <v>14</v>
      </c>
      <c r="AH687">
        <v>4</v>
      </c>
      <c r="AI687">
        <v>4</v>
      </c>
      <c r="AJ687">
        <v>0</v>
      </c>
      <c r="AK687">
        <v>0</v>
      </c>
      <c r="AL687" t="s">
        <v>219</v>
      </c>
      <c r="AM687" t="s">
        <v>220</v>
      </c>
      <c r="AN687" t="s">
        <v>221</v>
      </c>
      <c r="AO687" t="s">
        <v>222</v>
      </c>
      <c r="AP687" t="s">
        <v>223</v>
      </c>
      <c r="AQ687" t="s">
        <v>74</v>
      </c>
      <c r="AR687" t="s">
        <v>224</v>
      </c>
      <c r="AS687" t="s">
        <v>225</v>
      </c>
      <c r="AT687" t="s">
        <v>529</v>
      </c>
      <c r="AU687">
        <v>2017</v>
      </c>
      <c r="AV687">
        <v>50</v>
      </c>
      <c r="AW687">
        <v>3</v>
      </c>
      <c r="AX687" t="s">
        <v>74</v>
      </c>
      <c r="AY687" t="s">
        <v>74</v>
      </c>
      <c r="AZ687" t="s">
        <v>74</v>
      </c>
      <c r="BA687" t="s">
        <v>74</v>
      </c>
      <c r="BB687" t="s">
        <v>74</v>
      </c>
      <c r="BC687" t="s">
        <v>74</v>
      </c>
      <c r="BD687">
        <v>1700240</v>
      </c>
      <c r="BE687" t="s">
        <v>9933</v>
      </c>
      <c r="BF687" t="str">
        <f>HYPERLINK("http://dx.doi.org/10.1183/13993003.00240-2017","http://dx.doi.org/10.1183/13993003.00240-2017")</f>
        <v>http://dx.doi.org/10.1183/13993003.00240-2017</v>
      </c>
      <c r="BG687" t="s">
        <v>74</v>
      </c>
      <c r="BH687" t="s">
        <v>74</v>
      </c>
      <c r="BI687">
        <v>4</v>
      </c>
      <c r="BJ687" t="s">
        <v>228</v>
      </c>
      <c r="BK687" t="s">
        <v>101</v>
      </c>
      <c r="BL687" t="s">
        <v>228</v>
      </c>
      <c r="BM687" t="s">
        <v>9777</v>
      </c>
      <c r="BN687">
        <v>28889109</v>
      </c>
      <c r="BO687" t="s">
        <v>74</v>
      </c>
      <c r="BP687" t="s">
        <v>74</v>
      </c>
      <c r="BQ687" t="s">
        <v>74</v>
      </c>
      <c r="BR687" t="s">
        <v>104</v>
      </c>
      <c r="BS687" t="s">
        <v>9934</v>
      </c>
      <c r="BT687" t="str">
        <f>HYPERLINK("https%3A%2F%2Fwww.webofscience.com%2Fwos%2Fwoscc%2Ffull-record%2FWOS:000410089300009","View Full Record in Web of Science")</f>
        <v>View Full Record in Web of Science</v>
      </c>
    </row>
    <row r="688" spans="1:72" x14ac:dyDescent="0.25">
      <c r="A688" t="s">
        <v>72</v>
      </c>
      <c r="B688" t="s">
        <v>9935</v>
      </c>
      <c r="C688" t="s">
        <v>74</v>
      </c>
      <c r="D688" t="s">
        <v>74</v>
      </c>
      <c r="E688" t="s">
        <v>74</v>
      </c>
      <c r="F688" t="s">
        <v>9936</v>
      </c>
      <c r="G688" t="s">
        <v>74</v>
      </c>
      <c r="H688" t="s">
        <v>74</v>
      </c>
      <c r="I688" t="s">
        <v>9937</v>
      </c>
      <c r="J688" t="s">
        <v>2276</v>
      </c>
      <c r="K688" t="s">
        <v>74</v>
      </c>
      <c r="L688" t="s">
        <v>74</v>
      </c>
      <c r="M688" t="s">
        <v>78</v>
      </c>
      <c r="N688" t="s">
        <v>460</v>
      </c>
      <c r="O688" t="s">
        <v>74</v>
      </c>
      <c r="P688" t="s">
        <v>74</v>
      </c>
      <c r="Q688" t="s">
        <v>74</v>
      </c>
      <c r="R688" t="s">
        <v>74</v>
      </c>
      <c r="S688" t="s">
        <v>74</v>
      </c>
      <c r="T688" t="s">
        <v>74</v>
      </c>
      <c r="U688" t="s">
        <v>9938</v>
      </c>
      <c r="V688" t="s">
        <v>74</v>
      </c>
      <c r="W688" t="s">
        <v>9939</v>
      </c>
      <c r="X688" t="s">
        <v>9940</v>
      </c>
      <c r="Y688" t="s">
        <v>9941</v>
      </c>
      <c r="Z688" t="s">
        <v>9942</v>
      </c>
      <c r="AA688" t="s">
        <v>780</v>
      </c>
      <c r="AB688" t="s">
        <v>9943</v>
      </c>
      <c r="AC688" t="s">
        <v>9944</v>
      </c>
      <c r="AD688" t="s">
        <v>9945</v>
      </c>
      <c r="AE688" t="s">
        <v>9946</v>
      </c>
      <c r="AF688" t="s">
        <v>74</v>
      </c>
      <c r="AG688">
        <v>3</v>
      </c>
      <c r="AH688">
        <v>0</v>
      </c>
      <c r="AI688">
        <v>0</v>
      </c>
      <c r="AJ688">
        <v>0</v>
      </c>
      <c r="AK688">
        <v>1</v>
      </c>
      <c r="AL688" t="s">
        <v>2284</v>
      </c>
      <c r="AM688" t="s">
        <v>2285</v>
      </c>
      <c r="AN688" t="s">
        <v>2286</v>
      </c>
      <c r="AO688" t="s">
        <v>2287</v>
      </c>
      <c r="AP688" t="s">
        <v>2288</v>
      </c>
      <c r="AQ688" t="s">
        <v>74</v>
      </c>
      <c r="AR688" t="s">
        <v>2289</v>
      </c>
      <c r="AS688" t="s">
        <v>2290</v>
      </c>
      <c r="AT688" t="s">
        <v>9947</v>
      </c>
      <c r="AU688">
        <v>2017</v>
      </c>
      <c r="AV688">
        <v>377</v>
      </c>
      <c r="AW688">
        <v>6</v>
      </c>
      <c r="AX688" t="s">
        <v>74</v>
      </c>
      <c r="AY688" t="s">
        <v>74</v>
      </c>
      <c r="AZ688" t="s">
        <v>74</v>
      </c>
      <c r="BA688" t="s">
        <v>74</v>
      </c>
      <c r="BB688">
        <v>595</v>
      </c>
      <c r="BC688">
        <v>596</v>
      </c>
      <c r="BD688" t="s">
        <v>74</v>
      </c>
      <c r="BE688" t="s">
        <v>9948</v>
      </c>
      <c r="BF688" t="str">
        <f>HYPERLINK("http://dx.doi.org/10.1056/NEJMc1708004","http://dx.doi.org/10.1056/NEJMc1708004")</f>
        <v>http://dx.doi.org/10.1056/NEJMc1708004</v>
      </c>
      <c r="BG688" t="s">
        <v>74</v>
      </c>
      <c r="BH688" t="s">
        <v>74</v>
      </c>
      <c r="BI688">
        <v>2</v>
      </c>
      <c r="BJ688" t="s">
        <v>1152</v>
      </c>
      <c r="BK688" t="s">
        <v>101</v>
      </c>
      <c r="BL688" t="s">
        <v>1153</v>
      </c>
      <c r="BM688" t="s">
        <v>9949</v>
      </c>
      <c r="BN688" t="s">
        <v>74</v>
      </c>
      <c r="BO688" t="s">
        <v>74</v>
      </c>
      <c r="BP688" t="s">
        <v>74</v>
      </c>
      <c r="BQ688" t="s">
        <v>74</v>
      </c>
      <c r="BR688" t="s">
        <v>104</v>
      </c>
      <c r="BS688" t="s">
        <v>9950</v>
      </c>
      <c r="BT688" t="str">
        <f>HYPERLINK("https%3A%2F%2Fwww.webofscience.com%2Fwos%2Fwoscc%2Ffull-record%2FWOS:000407212600016","View Full Record in Web of Science")</f>
        <v>View Full Record in Web of Science</v>
      </c>
    </row>
    <row r="689" spans="1:72" x14ac:dyDescent="0.25">
      <c r="A689" t="s">
        <v>72</v>
      </c>
      <c r="B689" t="s">
        <v>9951</v>
      </c>
      <c r="C689" t="s">
        <v>74</v>
      </c>
      <c r="D689" t="s">
        <v>74</v>
      </c>
      <c r="E689" t="s">
        <v>74</v>
      </c>
      <c r="F689" t="s">
        <v>9952</v>
      </c>
      <c r="G689" t="s">
        <v>74</v>
      </c>
      <c r="H689" t="s">
        <v>74</v>
      </c>
      <c r="I689" t="s">
        <v>9953</v>
      </c>
      <c r="J689" t="s">
        <v>9715</v>
      </c>
      <c r="K689" t="s">
        <v>74</v>
      </c>
      <c r="L689" t="s">
        <v>74</v>
      </c>
      <c r="M689" t="s">
        <v>78</v>
      </c>
      <c r="N689" t="s">
        <v>79</v>
      </c>
      <c r="O689" t="s">
        <v>74</v>
      </c>
      <c r="P689" t="s">
        <v>74</v>
      </c>
      <c r="Q689" t="s">
        <v>74</v>
      </c>
      <c r="R689" t="s">
        <v>74</v>
      </c>
      <c r="S689" t="s">
        <v>74</v>
      </c>
      <c r="T689" t="s">
        <v>9954</v>
      </c>
      <c r="U689" t="s">
        <v>9955</v>
      </c>
      <c r="V689" t="s">
        <v>9956</v>
      </c>
      <c r="W689" t="s">
        <v>9957</v>
      </c>
      <c r="X689" t="s">
        <v>9958</v>
      </c>
      <c r="Y689" t="s">
        <v>9959</v>
      </c>
      <c r="Z689" t="s">
        <v>756</v>
      </c>
      <c r="AA689" t="s">
        <v>9960</v>
      </c>
      <c r="AB689" t="s">
        <v>9961</v>
      </c>
      <c r="AC689" t="s">
        <v>9962</v>
      </c>
      <c r="AD689" t="s">
        <v>9963</v>
      </c>
      <c r="AE689" t="s">
        <v>9964</v>
      </c>
      <c r="AF689" t="s">
        <v>74</v>
      </c>
      <c r="AG689">
        <v>84</v>
      </c>
      <c r="AH689">
        <v>38</v>
      </c>
      <c r="AI689">
        <v>41</v>
      </c>
      <c r="AJ689">
        <v>0</v>
      </c>
      <c r="AK689">
        <v>15</v>
      </c>
      <c r="AL689" t="s">
        <v>9727</v>
      </c>
      <c r="AM689" t="s">
        <v>9728</v>
      </c>
      <c r="AN689" t="s">
        <v>9729</v>
      </c>
      <c r="AO689" t="s">
        <v>74</v>
      </c>
      <c r="AP689" t="s">
        <v>9730</v>
      </c>
      <c r="AQ689" t="s">
        <v>74</v>
      </c>
      <c r="AR689" t="s">
        <v>9715</v>
      </c>
      <c r="AS689" t="s">
        <v>9731</v>
      </c>
      <c r="AT689" t="s">
        <v>9965</v>
      </c>
      <c r="AU689">
        <v>2017</v>
      </c>
      <c r="AV689">
        <v>8</v>
      </c>
      <c r="AW689">
        <v>32</v>
      </c>
      <c r="AX689" t="s">
        <v>74</v>
      </c>
      <c r="AY689" t="s">
        <v>74</v>
      </c>
      <c r="AZ689" t="s">
        <v>74</v>
      </c>
      <c r="BA689" t="s">
        <v>74</v>
      </c>
      <c r="BB689">
        <v>52995</v>
      </c>
      <c r="BC689">
        <v>53016</v>
      </c>
      <c r="BD689" t="s">
        <v>74</v>
      </c>
      <c r="BE689" t="s">
        <v>9966</v>
      </c>
      <c r="BF689" t="str">
        <f>HYPERLINK("http://dx.doi.org/10.18632/oncotarget.18031","http://dx.doi.org/10.18632/oncotarget.18031")</f>
        <v>http://dx.doi.org/10.18632/oncotarget.18031</v>
      </c>
      <c r="BG689" t="s">
        <v>74</v>
      </c>
      <c r="BH689" t="s">
        <v>74</v>
      </c>
      <c r="BI689">
        <v>22</v>
      </c>
      <c r="BJ689" t="s">
        <v>9734</v>
      </c>
      <c r="BK689" t="s">
        <v>101</v>
      </c>
      <c r="BL689" t="s">
        <v>9734</v>
      </c>
      <c r="BM689" t="s">
        <v>9967</v>
      </c>
      <c r="BN689">
        <v>28881789</v>
      </c>
      <c r="BO689" t="s">
        <v>1862</v>
      </c>
      <c r="BP689" t="s">
        <v>74</v>
      </c>
      <c r="BQ689" t="s">
        <v>74</v>
      </c>
      <c r="BR689" t="s">
        <v>104</v>
      </c>
      <c r="BS689" t="s">
        <v>9968</v>
      </c>
      <c r="BT689" t="str">
        <f>HYPERLINK("https%3A%2F%2Fwww.webofscience.com%2Fwos%2Fwoscc%2Ffull-record%2FWOS:000407124100082","View Full Record in Web of Science")</f>
        <v>View Full Record in Web of Science</v>
      </c>
    </row>
    <row r="690" spans="1:72" x14ac:dyDescent="0.25">
      <c r="A690" t="s">
        <v>72</v>
      </c>
      <c r="B690" t="s">
        <v>9969</v>
      </c>
      <c r="C690" t="s">
        <v>74</v>
      </c>
      <c r="D690" t="s">
        <v>74</v>
      </c>
      <c r="E690" t="s">
        <v>74</v>
      </c>
      <c r="F690" t="s">
        <v>9970</v>
      </c>
      <c r="G690" t="s">
        <v>74</v>
      </c>
      <c r="H690" t="s">
        <v>74</v>
      </c>
      <c r="I690" t="s">
        <v>9971</v>
      </c>
      <c r="J690" t="s">
        <v>216</v>
      </c>
      <c r="K690" t="s">
        <v>74</v>
      </c>
      <c r="L690" t="s">
        <v>74</v>
      </c>
      <c r="M690" t="s">
        <v>78</v>
      </c>
      <c r="N690" t="s">
        <v>79</v>
      </c>
      <c r="O690" t="s">
        <v>74</v>
      </c>
      <c r="P690" t="s">
        <v>74</v>
      </c>
      <c r="Q690" t="s">
        <v>74</v>
      </c>
      <c r="R690" t="s">
        <v>74</v>
      </c>
      <c r="S690" t="s">
        <v>74</v>
      </c>
      <c r="T690" t="s">
        <v>74</v>
      </c>
      <c r="U690" t="s">
        <v>9972</v>
      </c>
      <c r="V690" t="s">
        <v>9973</v>
      </c>
      <c r="W690" t="s">
        <v>9974</v>
      </c>
      <c r="X690" t="s">
        <v>9975</v>
      </c>
      <c r="Y690" t="s">
        <v>1467</v>
      </c>
      <c r="Z690" t="s">
        <v>6688</v>
      </c>
      <c r="AA690" t="s">
        <v>9976</v>
      </c>
      <c r="AB690" t="s">
        <v>9977</v>
      </c>
      <c r="AC690" t="s">
        <v>9978</v>
      </c>
      <c r="AD690" t="s">
        <v>9979</v>
      </c>
      <c r="AE690" t="s">
        <v>9980</v>
      </c>
      <c r="AF690" t="s">
        <v>74</v>
      </c>
      <c r="AG690">
        <v>18</v>
      </c>
      <c r="AH690">
        <v>513</v>
      </c>
      <c r="AI690">
        <v>538</v>
      </c>
      <c r="AJ690">
        <v>2</v>
      </c>
      <c r="AK690">
        <v>32</v>
      </c>
      <c r="AL690" t="s">
        <v>219</v>
      </c>
      <c r="AM690" t="s">
        <v>220</v>
      </c>
      <c r="AN690" t="s">
        <v>221</v>
      </c>
      <c r="AO690" t="s">
        <v>222</v>
      </c>
      <c r="AP690" t="s">
        <v>223</v>
      </c>
      <c r="AQ690" t="s">
        <v>74</v>
      </c>
      <c r="AR690" t="s">
        <v>224</v>
      </c>
      <c r="AS690" t="s">
        <v>225</v>
      </c>
      <c r="AT690" t="s">
        <v>742</v>
      </c>
      <c r="AU690">
        <v>2017</v>
      </c>
      <c r="AV690">
        <v>50</v>
      </c>
      <c r="AW690">
        <v>2</v>
      </c>
      <c r="AX690" t="s">
        <v>74</v>
      </c>
      <c r="AY690" t="s">
        <v>74</v>
      </c>
      <c r="AZ690" t="s">
        <v>74</v>
      </c>
      <c r="BA690" t="s">
        <v>74</v>
      </c>
      <c r="BB690" t="s">
        <v>74</v>
      </c>
      <c r="BC690" t="s">
        <v>74</v>
      </c>
      <c r="BD690">
        <v>1700889</v>
      </c>
      <c r="BE690" t="s">
        <v>9981</v>
      </c>
      <c r="BF690" t="str">
        <f>HYPERLINK("http://dx.doi.org/10.1183/13993003.00889-2017","http://dx.doi.org/10.1183/13993003.00889-2017")</f>
        <v>http://dx.doi.org/10.1183/13993003.00889-2017</v>
      </c>
      <c r="BG690" t="s">
        <v>74</v>
      </c>
      <c r="BH690" t="s">
        <v>74</v>
      </c>
      <c r="BI690">
        <v>10</v>
      </c>
      <c r="BJ690" t="s">
        <v>228</v>
      </c>
      <c r="BK690" t="s">
        <v>101</v>
      </c>
      <c r="BL690" t="s">
        <v>228</v>
      </c>
      <c r="BM690" t="s">
        <v>9982</v>
      </c>
      <c r="BN690">
        <v>28775050</v>
      </c>
      <c r="BO690" t="s">
        <v>1194</v>
      </c>
      <c r="BP690" t="s">
        <v>1155</v>
      </c>
      <c r="BQ690" t="s">
        <v>1156</v>
      </c>
      <c r="BR690" t="s">
        <v>104</v>
      </c>
      <c r="BS690" t="s">
        <v>9983</v>
      </c>
      <c r="BT690" t="str">
        <f>HYPERLINK("https%3A%2F%2Fwww.webofscience.com%2Fwos%2Fwoscc%2Ffull-record%2FWOS:000407628000016","View Full Record in Web of Science")</f>
        <v>View Full Record in Web of Science</v>
      </c>
    </row>
    <row r="691" spans="1:72" x14ac:dyDescent="0.25">
      <c r="A691" t="s">
        <v>72</v>
      </c>
      <c r="B691" t="s">
        <v>9984</v>
      </c>
      <c r="C691" t="s">
        <v>74</v>
      </c>
      <c r="D691" t="s">
        <v>74</v>
      </c>
      <c r="E691" t="s">
        <v>74</v>
      </c>
      <c r="F691" t="s">
        <v>9985</v>
      </c>
      <c r="G691" t="s">
        <v>74</v>
      </c>
      <c r="H691" t="s">
        <v>74</v>
      </c>
      <c r="I691" t="s">
        <v>9986</v>
      </c>
      <c r="J691" t="s">
        <v>1068</v>
      </c>
      <c r="K691" t="s">
        <v>74</v>
      </c>
      <c r="L691" t="s">
        <v>74</v>
      </c>
      <c r="M691" t="s">
        <v>78</v>
      </c>
      <c r="N691" t="s">
        <v>52</v>
      </c>
      <c r="O691" t="s">
        <v>74</v>
      </c>
      <c r="P691" t="s">
        <v>74</v>
      </c>
      <c r="Q691" t="s">
        <v>74</v>
      </c>
      <c r="R691" t="s">
        <v>74</v>
      </c>
      <c r="S691" t="s">
        <v>74</v>
      </c>
      <c r="T691" t="s">
        <v>74</v>
      </c>
      <c r="U691" t="s">
        <v>74</v>
      </c>
      <c r="V691" t="s">
        <v>74</v>
      </c>
      <c r="W691" t="s">
        <v>9987</v>
      </c>
      <c r="X691" t="s">
        <v>9988</v>
      </c>
      <c r="Y691" t="s">
        <v>74</v>
      </c>
      <c r="Z691" t="s">
        <v>74</v>
      </c>
      <c r="AA691" t="s">
        <v>144</v>
      </c>
      <c r="AB691" t="s">
        <v>74</v>
      </c>
      <c r="AC691" t="s">
        <v>74</v>
      </c>
      <c r="AD691" t="s">
        <v>74</v>
      </c>
      <c r="AE691" t="s">
        <v>74</v>
      </c>
      <c r="AF691" t="s">
        <v>74</v>
      </c>
      <c r="AG691">
        <v>0</v>
      </c>
      <c r="AH691">
        <v>0</v>
      </c>
      <c r="AI691">
        <v>0</v>
      </c>
      <c r="AJ691">
        <v>0</v>
      </c>
      <c r="AK691">
        <v>1</v>
      </c>
      <c r="AL691" t="s">
        <v>1073</v>
      </c>
      <c r="AM691" t="s">
        <v>1074</v>
      </c>
      <c r="AN691" t="s">
        <v>1075</v>
      </c>
      <c r="AO691" t="s">
        <v>1076</v>
      </c>
      <c r="AP691" t="s">
        <v>1077</v>
      </c>
      <c r="AQ691" t="s">
        <v>74</v>
      </c>
      <c r="AR691" t="s">
        <v>1078</v>
      </c>
      <c r="AS691" t="s">
        <v>1079</v>
      </c>
      <c r="AT691" t="s">
        <v>725</v>
      </c>
      <c r="AU691">
        <v>2017</v>
      </c>
      <c r="AV691">
        <v>38</v>
      </c>
      <c r="AW691" t="s">
        <v>74</v>
      </c>
      <c r="AX691" t="s">
        <v>74</v>
      </c>
      <c r="AY691">
        <v>1</v>
      </c>
      <c r="AZ691" t="s">
        <v>74</v>
      </c>
      <c r="BA691">
        <v>5022</v>
      </c>
      <c r="BB691">
        <v>1052</v>
      </c>
      <c r="BC691">
        <v>1052</v>
      </c>
      <c r="BD691" t="s">
        <v>74</v>
      </c>
      <c r="BE691" t="s">
        <v>74</v>
      </c>
      <c r="BF691" t="s">
        <v>74</v>
      </c>
      <c r="BG691" t="s">
        <v>74</v>
      </c>
      <c r="BH691" t="s">
        <v>74</v>
      </c>
      <c r="BI691">
        <v>1</v>
      </c>
      <c r="BJ691" t="s">
        <v>132</v>
      </c>
      <c r="BK691" t="s">
        <v>101</v>
      </c>
      <c r="BL691" t="s">
        <v>133</v>
      </c>
      <c r="BM691" t="s">
        <v>9989</v>
      </c>
      <c r="BN691" t="s">
        <v>74</v>
      </c>
      <c r="BO691" t="s">
        <v>74</v>
      </c>
      <c r="BP691" t="s">
        <v>74</v>
      </c>
      <c r="BQ691" t="s">
        <v>74</v>
      </c>
      <c r="BR691" t="s">
        <v>104</v>
      </c>
      <c r="BS691" t="s">
        <v>9990</v>
      </c>
      <c r="BT691" t="str">
        <f>HYPERLINK("https%3A%2F%2Fwww.webofscience.com%2Fwos%2Fwoscc%2Ffull-record%2FWOS:000440509304205","View Full Record in Web of Science")</f>
        <v>View Full Record in Web of Science</v>
      </c>
    </row>
    <row r="692" spans="1:72" x14ac:dyDescent="0.25">
      <c r="A692" t="s">
        <v>72</v>
      </c>
      <c r="B692" t="s">
        <v>9991</v>
      </c>
      <c r="C692" t="s">
        <v>74</v>
      </c>
      <c r="D692" t="s">
        <v>74</v>
      </c>
      <c r="E692" t="s">
        <v>74</v>
      </c>
      <c r="F692" t="s">
        <v>9992</v>
      </c>
      <c r="G692" t="s">
        <v>74</v>
      </c>
      <c r="H692" t="s">
        <v>74</v>
      </c>
      <c r="I692" t="s">
        <v>9993</v>
      </c>
      <c r="J692" t="s">
        <v>216</v>
      </c>
      <c r="K692" t="s">
        <v>74</v>
      </c>
      <c r="L692" t="s">
        <v>74</v>
      </c>
      <c r="M692" t="s">
        <v>78</v>
      </c>
      <c r="N692" t="s">
        <v>140</v>
      </c>
      <c r="O692" t="s">
        <v>74</v>
      </c>
      <c r="P692" t="s">
        <v>74</v>
      </c>
      <c r="Q692" t="s">
        <v>74</v>
      </c>
      <c r="R692" t="s">
        <v>74</v>
      </c>
      <c r="S692" t="s">
        <v>74</v>
      </c>
      <c r="T692" t="s">
        <v>74</v>
      </c>
      <c r="U692" t="s">
        <v>9994</v>
      </c>
      <c r="V692" t="s">
        <v>74</v>
      </c>
      <c r="W692" t="s">
        <v>9995</v>
      </c>
      <c r="X692" t="s">
        <v>9996</v>
      </c>
      <c r="Y692" t="s">
        <v>9997</v>
      </c>
      <c r="Z692" t="s">
        <v>331</v>
      </c>
      <c r="AA692" t="s">
        <v>1549</v>
      </c>
      <c r="AB692" t="s">
        <v>9998</v>
      </c>
      <c r="AC692" t="s">
        <v>74</v>
      </c>
      <c r="AD692" t="s">
        <v>74</v>
      </c>
      <c r="AE692" t="s">
        <v>74</v>
      </c>
      <c r="AF692" t="s">
        <v>74</v>
      </c>
      <c r="AG692">
        <v>8</v>
      </c>
      <c r="AH692">
        <v>8</v>
      </c>
      <c r="AI692">
        <v>8</v>
      </c>
      <c r="AJ692">
        <v>2</v>
      </c>
      <c r="AK692">
        <v>2</v>
      </c>
      <c r="AL692" t="s">
        <v>219</v>
      </c>
      <c r="AM692" t="s">
        <v>220</v>
      </c>
      <c r="AN692" t="s">
        <v>221</v>
      </c>
      <c r="AO692" t="s">
        <v>222</v>
      </c>
      <c r="AP692" t="s">
        <v>223</v>
      </c>
      <c r="AQ692" t="s">
        <v>74</v>
      </c>
      <c r="AR692" t="s">
        <v>224</v>
      </c>
      <c r="AS692" t="s">
        <v>225</v>
      </c>
      <c r="AT692" t="s">
        <v>742</v>
      </c>
      <c r="AU692">
        <v>2017</v>
      </c>
      <c r="AV692">
        <v>50</v>
      </c>
      <c r="AW692">
        <v>2</v>
      </c>
      <c r="AX692" t="s">
        <v>74</v>
      </c>
      <c r="AY692" t="s">
        <v>74</v>
      </c>
      <c r="AZ692" t="s">
        <v>74</v>
      </c>
      <c r="BA692" t="s">
        <v>74</v>
      </c>
      <c r="BB692" t="s">
        <v>74</v>
      </c>
      <c r="BC692" t="s">
        <v>74</v>
      </c>
      <c r="BD692">
        <v>1701319</v>
      </c>
      <c r="BE692" t="s">
        <v>9999</v>
      </c>
      <c r="BF692" t="str">
        <f>HYPERLINK("http://dx.doi.org/10.1183/13993003.01319-2017","http://dx.doi.org/10.1183/13993003.01319-2017")</f>
        <v>http://dx.doi.org/10.1183/13993003.01319-2017</v>
      </c>
      <c r="BG692" t="s">
        <v>74</v>
      </c>
      <c r="BH692" t="s">
        <v>74</v>
      </c>
      <c r="BI692">
        <v>3</v>
      </c>
      <c r="BJ692" t="s">
        <v>228</v>
      </c>
      <c r="BK692" t="s">
        <v>101</v>
      </c>
      <c r="BL692" t="s">
        <v>228</v>
      </c>
      <c r="BM692" t="s">
        <v>9982</v>
      </c>
      <c r="BN692">
        <v>28798094</v>
      </c>
      <c r="BO692" t="s">
        <v>1194</v>
      </c>
      <c r="BP692" t="s">
        <v>74</v>
      </c>
      <c r="BQ692" t="s">
        <v>74</v>
      </c>
      <c r="BR692" t="s">
        <v>104</v>
      </c>
      <c r="BS692" t="s">
        <v>10000</v>
      </c>
      <c r="BT692" t="str">
        <f>HYPERLINK("https%3A%2F%2Fwww.webofscience.com%2Fwos%2Fwoscc%2Ffull-record%2FWOS:000407628000021","View Full Record in Web of Science")</f>
        <v>View Full Record in Web of Science</v>
      </c>
    </row>
    <row r="693" spans="1:72" x14ac:dyDescent="0.25">
      <c r="A693" t="s">
        <v>72</v>
      </c>
      <c r="B693" t="s">
        <v>10001</v>
      </c>
      <c r="C693" t="s">
        <v>74</v>
      </c>
      <c r="D693" t="s">
        <v>74</v>
      </c>
      <c r="E693" t="s">
        <v>74</v>
      </c>
      <c r="F693" t="s">
        <v>10002</v>
      </c>
      <c r="G693" t="s">
        <v>74</v>
      </c>
      <c r="H693" t="s">
        <v>74</v>
      </c>
      <c r="I693" t="s">
        <v>10003</v>
      </c>
      <c r="J693" t="s">
        <v>10004</v>
      </c>
      <c r="K693" t="s">
        <v>74</v>
      </c>
      <c r="L693" t="s">
        <v>74</v>
      </c>
      <c r="M693" t="s">
        <v>78</v>
      </c>
      <c r="N693" t="s">
        <v>79</v>
      </c>
      <c r="O693" t="s">
        <v>74</v>
      </c>
      <c r="P693" t="s">
        <v>74</v>
      </c>
      <c r="Q693" t="s">
        <v>74</v>
      </c>
      <c r="R693" t="s">
        <v>74</v>
      </c>
      <c r="S693" t="s">
        <v>74</v>
      </c>
      <c r="T693" t="s">
        <v>74</v>
      </c>
      <c r="U693" t="s">
        <v>10005</v>
      </c>
      <c r="V693" t="s">
        <v>10006</v>
      </c>
      <c r="W693" t="s">
        <v>10007</v>
      </c>
      <c r="X693" t="s">
        <v>5859</v>
      </c>
      <c r="Y693" t="s">
        <v>10008</v>
      </c>
      <c r="Z693" t="s">
        <v>9405</v>
      </c>
      <c r="AA693" t="s">
        <v>10009</v>
      </c>
      <c r="AB693" t="s">
        <v>10010</v>
      </c>
      <c r="AC693" t="s">
        <v>10011</v>
      </c>
      <c r="AD693" t="s">
        <v>10012</v>
      </c>
      <c r="AE693" t="s">
        <v>10013</v>
      </c>
      <c r="AF693" t="s">
        <v>74</v>
      </c>
      <c r="AG693">
        <v>28</v>
      </c>
      <c r="AH693">
        <v>30</v>
      </c>
      <c r="AI693">
        <v>30</v>
      </c>
      <c r="AJ693">
        <v>0</v>
      </c>
      <c r="AK693">
        <v>0</v>
      </c>
      <c r="AL693" t="s">
        <v>991</v>
      </c>
      <c r="AM693" t="s">
        <v>486</v>
      </c>
      <c r="AN693" t="s">
        <v>992</v>
      </c>
      <c r="AO693" t="s">
        <v>10014</v>
      </c>
      <c r="AP693" t="s">
        <v>10015</v>
      </c>
      <c r="AQ693" t="s">
        <v>74</v>
      </c>
      <c r="AR693" t="s">
        <v>10016</v>
      </c>
      <c r="AS693" t="s">
        <v>10017</v>
      </c>
      <c r="AT693" t="s">
        <v>725</v>
      </c>
      <c r="AU693">
        <v>2017</v>
      </c>
      <c r="AV693">
        <v>104</v>
      </c>
      <c r="AW693">
        <v>2</v>
      </c>
      <c r="AX693" t="s">
        <v>74</v>
      </c>
      <c r="AY693" t="s">
        <v>74</v>
      </c>
      <c r="AZ693" t="s">
        <v>74</v>
      </c>
      <c r="BA693" t="s">
        <v>74</v>
      </c>
      <c r="BB693">
        <v>404</v>
      </c>
      <c r="BC693">
        <v>411</v>
      </c>
      <c r="BD693" t="s">
        <v>74</v>
      </c>
      <c r="BE693" t="s">
        <v>10018</v>
      </c>
      <c r="BF693" t="str">
        <f>HYPERLINK("http://dx.doi.org/10.1016/j.athoracsur.2017.02.034","http://dx.doi.org/10.1016/j.athoracsur.2017.02.034")</f>
        <v>http://dx.doi.org/10.1016/j.athoracsur.2017.02.034</v>
      </c>
      <c r="BG693" t="s">
        <v>74</v>
      </c>
      <c r="BH693" t="s">
        <v>74</v>
      </c>
      <c r="BI693">
        <v>8</v>
      </c>
      <c r="BJ693" t="s">
        <v>495</v>
      </c>
      <c r="BK693" t="s">
        <v>101</v>
      </c>
      <c r="BL693" t="s">
        <v>496</v>
      </c>
      <c r="BM693" t="s">
        <v>10019</v>
      </c>
      <c r="BN693">
        <v>28527964</v>
      </c>
      <c r="BO693" t="s">
        <v>74</v>
      </c>
      <c r="BP693" t="s">
        <v>74</v>
      </c>
      <c r="BQ693" t="s">
        <v>74</v>
      </c>
      <c r="BR693" t="s">
        <v>104</v>
      </c>
      <c r="BS693" t="s">
        <v>10020</v>
      </c>
      <c r="BT693" t="str">
        <f>HYPERLINK("https%3A%2F%2Fwww.webofscience.com%2Fwos%2Fwoscc%2Ffull-record%2FWOS:000406781200035","View Full Record in Web of Science")</f>
        <v>View Full Record in Web of Science</v>
      </c>
    </row>
    <row r="694" spans="1:72" x14ac:dyDescent="0.25">
      <c r="A694" t="s">
        <v>72</v>
      </c>
      <c r="B694" t="s">
        <v>9895</v>
      </c>
      <c r="C694" t="s">
        <v>74</v>
      </c>
      <c r="D694" t="s">
        <v>74</v>
      </c>
      <c r="E694" t="s">
        <v>74</v>
      </c>
      <c r="F694" t="s">
        <v>10021</v>
      </c>
      <c r="G694" t="s">
        <v>74</v>
      </c>
      <c r="H694" t="s">
        <v>74</v>
      </c>
      <c r="I694" t="s">
        <v>10022</v>
      </c>
      <c r="J694" t="s">
        <v>1068</v>
      </c>
      <c r="K694" t="s">
        <v>74</v>
      </c>
      <c r="L694" t="s">
        <v>74</v>
      </c>
      <c r="M694" t="s">
        <v>78</v>
      </c>
      <c r="N694" t="s">
        <v>52</v>
      </c>
      <c r="O694" t="s">
        <v>74</v>
      </c>
      <c r="P694" t="s">
        <v>74</v>
      </c>
      <c r="Q694" t="s">
        <v>74</v>
      </c>
      <c r="R694" t="s">
        <v>74</v>
      </c>
      <c r="S694" t="s">
        <v>74</v>
      </c>
      <c r="T694" t="s">
        <v>74</v>
      </c>
      <c r="U694" t="s">
        <v>74</v>
      </c>
      <c r="V694" t="s">
        <v>74</v>
      </c>
      <c r="W694" t="s">
        <v>10023</v>
      </c>
      <c r="X694" t="s">
        <v>2967</v>
      </c>
      <c r="Y694" t="s">
        <v>74</v>
      </c>
      <c r="Z694" t="s">
        <v>74</v>
      </c>
      <c r="AA694" t="s">
        <v>10024</v>
      </c>
      <c r="AB694" t="s">
        <v>74</v>
      </c>
      <c r="AC694" t="s">
        <v>74</v>
      </c>
      <c r="AD694" t="s">
        <v>74</v>
      </c>
      <c r="AE694" t="s">
        <v>74</v>
      </c>
      <c r="AF694" t="s">
        <v>74</v>
      </c>
      <c r="AG694">
        <v>0</v>
      </c>
      <c r="AH694">
        <v>0</v>
      </c>
      <c r="AI694">
        <v>0</v>
      </c>
      <c r="AJ694">
        <v>0</v>
      </c>
      <c r="AK694">
        <v>0</v>
      </c>
      <c r="AL694" t="s">
        <v>1073</v>
      </c>
      <c r="AM694" t="s">
        <v>1074</v>
      </c>
      <c r="AN694" t="s">
        <v>1075</v>
      </c>
      <c r="AO694" t="s">
        <v>1076</v>
      </c>
      <c r="AP694" t="s">
        <v>1077</v>
      </c>
      <c r="AQ694" t="s">
        <v>74</v>
      </c>
      <c r="AR694" t="s">
        <v>1078</v>
      </c>
      <c r="AS694" t="s">
        <v>1079</v>
      </c>
      <c r="AT694" t="s">
        <v>725</v>
      </c>
      <c r="AU694">
        <v>2017</v>
      </c>
      <c r="AV694">
        <v>38</v>
      </c>
      <c r="AW694" t="s">
        <v>74</v>
      </c>
      <c r="AX694" t="s">
        <v>74</v>
      </c>
      <c r="AY694">
        <v>1</v>
      </c>
      <c r="AZ694" t="s">
        <v>74</v>
      </c>
      <c r="BA694" t="s">
        <v>10025</v>
      </c>
      <c r="BB694">
        <v>835</v>
      </c>
      <c r="BC694">
        <v>835</v>
      </c>
      <c r="BD694" t="s">
        <v>74</v>
      </c>
      <c r="BE694" t="s">
        <v>74</v>
      </c>
      <c r="BF694" t="s">
        <v>74</v>
      </c>
      <c r="BG694" t="s">
        <v>74</v>
      </c>
      <c r="BH694" t="s">
        <v>74</v>
      </c>
      <c r="BI694">
        <v>1</v>
      </c>
      <c r="BJ694" t="s">
        <v>132</v>
      </c>
      <c r="BK694" t="s">
        <v>101</v>
      </c>
      <c r="BL694" t="s">
        <v>133</v>
      </c>
      <c r="BM694" t="s">
        <v>9989</v>
      </c>
      <c r="BN694" t="s">
        <v>74</v>
      </c>
      <c r="BO694" t="s">
        <v>74</v>
      </c>
      <c r="BP694" t="s">
        <v>74</v>
      </c>
      <c r="BQ694" t="s">
        <v>74</v>
      </c>
      <c r="BR694" t="s">
        <v>104</v>
      </c>
      <c r="BS694" t="s">
        <v>10026</v>
      </c>
      <c r="BT694" t="str">
        <f>HYPERLINK("https%3A%2F%2Fwww.webofscience.com%2Fwos%2Fwoscc%2Ffull-record%2FWOS:000440509303274","View Full Record in Web of Science")</f>
        <v>View Full Record in Web of Science</v>
      </c>
    </row>
    <row r="695" spans="1:72" x14ac:dyDescent="0.25">
      <c r="A695" t="s">
        <v>72</v>
      </c>
      <c r="B695" t="s">
        <v>10027</v>
      </c>
      <c r="C695" t="s">
        <v>74</v>
      </c>
      <c r="D695" t="s">
        <v>74</v>
      </c>
      <c r="E695" t="s">
        <v>74</v>
      </c>
      <c r="F695" t="s">
        <v>10028</v>
      </c>
      <c r="G695" t="s">
        <v>74</v>
      </c>
      <c r="H695" t="s">
        <v>74</v>
      </c>
      <c r="I695" t="s">
        <v>10029</v>
      </c>
      <c r="J695" t="s">
        <v>10030</v>
      </c>
      <c r="K695" t="s">
        <v>74</v>
      </c>
      <c r="L695" t="s">
        <v>74</v>
      </c>
      <c r="M695" t="s">
        <v>78</v>
      </c>
      <c r="N695" t="s">
        <v>140</v>
      </c>
      <c r="O695" t="s">
        <v>74</v>
      </c>
      <c r="P695" t="s">
        <v>74</v>
      </c>
      <c r="Q695" t="s">
        <v>74</v>
      </c>
      <c r="R695" t="s">
        <v>74</v>
      </c>
      <c r="S695" t="s">
        <v>74</v>
      </c>
      <c r="T695" t="s">
        <v>74</v>
      </c>
      <c r="U695" t="s">
        <v>10031</v>
      </c>
      <c r="V695" t="s">
        <v>74</v>
      </c>
      <c r="W695" t="s">
        <v>10032</v>
      </c>
      <c r="X695" t="s">
        <v>10033</v>
      </c>
      <c r="Y695" t="s">
        <v>10034</v>
      </c>
      <c r="Z695" t="s">
        <v>10035</v>
      </c>
      <c r="AA695" t="s">
        <v>10036</v>
      </c>
      <c r="AB695" t="s">
        <v>10037</v>
      </c>
      <c r="AC695" t="s">
        <v>74</v>
      </c>
      <c r="AD695" t="s">
        <v>74</v>
      </c>
      <c r="AE695" t="s">
        <v>74</v>
      </c>
      <c r="AF695" t="s">
        <v>74</v>
      </c>
      <c r="AG695">
        <v>15</v>
      </c>
      <c r="AH695">
        <v>3</v>
      </c>
      <c r="AI695">
        <v>3</v>
      </c>
      <c r="AJ695">
        <v>0</v>
      </c>
      <c r="AK695">
        <v>0</v>
      </c>
      <c r="AL695" t="s">
        <v>10038</v>
      </c>
      <c r="AM695" t="s">
        <v>201</v>
      </c>
      <c r="AN695" t="s">
        <v>10039</v>
      </c>
      <c r="AO695" t="s">
        <v>10040</v>
      </c>
      <c r="AP695" t="s">
        <v>74</v>
      </c>
      <c r="AQ695" t="s">
        <v>74</v>
      </c>
      <c r="AR695" t="s">
        <v>10041</v>
      </c>
      <c r="AS695" t="s">
        <v>10042</v>
      </c>
      <c r="AT695" t="s">
        <v>725</v>
      </c>
      <c r="AU695">
        <v>2017</v>
      </c>
      <c r="AV695">
        <v>45</v>
      </c>
      <c r="AW695" t="s">
        <v>74</v>
      </c>
      <c r="AX695" t="s">
        <v>74</v>
      </c>
      <c r="AY695" t="s">
        <v>74</v>
      </c>
      <c r="AZ695" t="s">
        <v>74</v>
      </c>
      <c r="BA695" t="s">
        <v>74</v>
      </c>
      <c r="BB695">
        <v>11</v>
      </c>
      <c r="BC695">
        <v>12</v>
      </c>
      <c r="BD695" t="s">
        <v>74</v>
      </c>
      <c r="BE695" t="s">
        <v>10043</v>
      </c>
      <c r="BF695" t="str">
        <f>HYPERLINK("http://dx.doi.org/10.1016/j.pupt.2017.03.017","http://dx.doi.org/10.1016/j.pupt.2017.03.017")</f>
        <v>http://dx.doi.org/10.1016/j.pupt.2017.03.017</v>
      </c>
      <c r="BG695" t="s">
        <v>74</v>
      </c>
      <c r="BH695" t="s">
        <v>74</v>
      </c>
      <c r="BI695">
        <v>2</v>
      </c>
      <c r="BJ695" t="s">
        <v>10044</v>
      </c>
      <c r="BK695" t="s">
        <v>101</v>
      </c>
      <c r="BL695" t="s">
        <v>10044</v>
      </c>
      <c r="BM695" t="s">
        <v>10045</v>
      </c>
      <c r="BN695">
        <v>28389260</v>
      </c>
      <c r="BO695" t="s">
        <v>74</v>
      </c>
      <c r="BP695" t="s">
        <v>74</v>
      </c>
      <c r="BQ695" t="s">
        <v>74</v>
      </c>
      <c r="BR695" t="s">
        <v>104</v>
      </c>
      <c r="BS695" t="s">
        <v>10046</v>
      </c>
      <c r="BT695" t="str">
        <f>HYPERLINK("https%3A%2F%2Fwww.webofscience.com%2Fwos%2Fwoscc%2Ffull-record%2FWOS:000407665000002","View Full Record in Web of Science")</f>
        <v>View Full Record in Web of Science</v>
      </c>
    </row>
    <row r="696" spans="1:72" x14ac:dyDescent="0.25">
      <c r="A696" t="s">
        <v>72</v>
      </c>
      <c r="B696" t="s">
        <v>10047</v>
      </c>
      <c r="C696" t="s">
        <v>74</v>
      </c>
      <c r="D696" t="s">
        <v>74</v>
      </c>
      <c r="E696" t="s">
        <v>74</v>
      </c>
      <c r="F696" t="s">
        <v>10048</v>
      </c>
      <c r="G696" t="s">
        <v>74</v>
      </c>
      <c r="H696" t="s">
        <v>74</v>
      </c>
      <c r="I696" t="s">
        <v>10049</v>
      </c>
      <c r="J696" t="s">
        <v>216</v>
      </c>
      <c r="K696" t="s">
        <v>74</v>
      </c>
      <c r="L696" t="s">
        <v>74</v>
      </c>
      <c r="M696" t="s">
        <v>78</v>
      </c>
      <c r="N696" t="s">
        <v>79</v>
      </c>
      <c r="O696" t="s">
        <v>74</v>
      </c>
      <c r="P696" t="s">
        <v>74</v>
      </c>
      <c r="Q696" t="s">
        <v>74</v>
      </c>
      <c r="R696" t="s">
        <v>74</v>
      </c>
      <c r="S696" t="s">
        <v>74</v>
      </c>
      <c r="T696" t="s">
        <v>74</v>
      </c>
      <c r="U696" t="s">
        <v>10050</v>
      </c>
      <c r="V696" t="s">
        <v>10051</v>
      </c>
      <c r="W696" t="s">
        <v>10052</v>
      </c>
      <c r="X696" t="s">
        <v>10053</v>
      </c>
      <c r="Y696" t="s">
        <v>10054</v>
      </c>
      <c r="Z696" t="s">
        <v>331</v>
      </c>
      <c r="AA696" t="s">
        <v>10055</v>
      </c>
      <c r="AB696" t="s">
        <v>10056</v>
      </c>
      <c r="AC696" t="s">
        <v>10057</v>
      </c>
      <c r="AD696" t="s">
        <v>10057</v>
      </c>
      <c r="AE696" t="s">
        <v>10058</v>
      </c>
      <c r="AF696" t="s">
        <v>74</v>
      </c>
      <c r="AG696">
        <v>36</v>
      </c>
      <c r="AH696">
        <v>94</v>
      </c>
      <c r="AI696">
        <v>98</v>
      </c>
      <c r="AJ696">
        <v>0</v>
      </c>
      <c r="AK696">
        <v>6</v>
      </c>
      <c r="AL696" t="s">
        <v>219</v>
      </c>
      <c r="AM696" t="s">
        <v>220</v>
      </c>
      <c r="AN696" t="s">
        <v>221</v>
      </c>
      <c r="AO696" t="s">
        <v>222</v>
      </c>
      <c r="AP696" t="s">
        <v>223</v>
      </c>
      <c r="AQ696" t="s">
        <v>74</v>
      </c>
      <c r="AR696" t="s">
        <v>224</v>
      </c>
      <c r="AS696" t="s">
        <v>225</v>
      </c>
      <c r="AT696" t="s">
        <v>806</v>
      </c>
      <c r="AU696">
        <v>2017</v>
      </c>
      <c r="AV696">
        <v>50</v>
      </c>
      <c r="AW696">
        <v>1</v>
      </c>
      <c r="AX696" t="s">
        <v>74</v>
      </c>
      <c r="AY696" t="s">
        <v>74</v>
      </c>
      <c r="AZ696" t="s">
        <v>74</v>
      </c>
      <c r="BA696" t="s">
        <v>74</v>
      </c>
      <c r="BB696" t="s">
        <v>74</v>
      </c>
      <c r="BC696" t="s">
        <v>74</v>
      </c>
      <c r="BD696">
        <v>1700217</v>
      </c>
      <c r="BE696" t="s">
        <v>10059</v>
      </c>
      <c r="BF696" t="str">
        <f>HYPERLINK("http://dx.doi.org/10.1183/13993003.00217-2017","http://dx.doi.org/10.1183/13993003.00217-2017")</f>
        <v>http://dx.doi.org/10.1183/13993003.00217-2017</v>
      </c>
      <c r="BG696" t="s">
        <v>74</v>
      </c>
      <c r="BH696" t="s">
        <v>74</v>
      </c>
      <c r="BI696">
        <v>11</v>
      </c>
      <c r="BJ696" t="s">
        <v>228</v>
      </c>
      <c r="BK696" t="s">
        <v>101</v>
      </c>
      <c r="BL696" t="s">
        <v>228</v>
      </c>
      <c r="BM696" t="s">
        <v>10060</v>
      </c>
      <c r="BN696">
        <v>28751413</v>
      </c>
      <c r="BO696" t="s">
        <v>1194</v>
      </c>
      <c r="BP696" t="s">
        <v>74</v>
      </c>
      <c r="BQ696" t="s">
        <v>74</v>
      </c>
      <c r="BR696" t="s">
        <v>104</v>
      </c>
      <c r="BS696" t="s">
        <v>10061</v>
      </c>
      <c r="BT696" t="str">
        <f>HYPERLINK("https%3A%2F%2Fwww.webofscience.com%2Fwos%2Fwoscc%2Ffull-record%2FWOS:000406879200023","View Full Record in Web of Science")</f>
        <v>View Full Record in Web of Science</v>
      </c>
    </row>
    <row r="697" spans="1:72" x14ac:dyDescent="0.25">
      <c r="A697" t="s">
        <v>72</v>
      </c>
      <c r="B697" t="s">
        <v>10062</v>
      </c>
      <c r="C697" t="s">
        <v>74</v>
      </c>
      <c r="D697" t="s">
        <v>74</v>
      </c>
      <c r="E697" t="s">
        <v>74</v>
      </c>
      <c r="F697" t="s">
        <v>10063</v>
      </c>
      <c r="G697" t="s">
        <v>74</v>
      </c>
      <c r="H697" t="s">
        <v>74</v>
      </c>
      <c r="I697" t="s">
        <v>10064</v>
      </c>
      <c r="J697" t="s">
        <v>388</v>
      </c>
      <c r="K697" t="s">
        <v>74</v>
      </c>
      <c r="L697" t="s">
        <v>74</v>
      </c>
      <c r="M697" t="s">
        <v>78</v>
      </c>
      <c r="N697" t="s">
        <v>140</v>
      </c>
      <c r="O697" t="s">
        <v>74</v>
      </c>
      <c r="P697" t="s">
        <v>74</v>
      </c>
      <c r="Q697" t="s">
        <v>74</v>
      </c>
      <c r="R697" t="s">
        <v>74</v>
      </c>
      <c r="S697" t="s">
        <v>74</v>
      </c>
      <c r="T697" t="s">
        <v>74</v>
      </c>
      <c r="U697" t="s">
        <v>10065</v>
      </c>
      <c r="V697" t="s">
        <v>74</v>
      </c>
      <c r="W697" t="s">
        <v>10066</v>
      </c>
      <c r="X697" t="s">
        <v>10067</v>
      </c>
      <c r="Y697" t="s">
        <v>10068</v>
      </c>
      <c r="Z697" t="s">
        <v>10069</v>
      </c>
      <c r="AA697" t="s">
        <v>10070</v>
      </c>
      <c r="AB697" t="s">
        <v>10071</v>
      </c>
      <c r="AC697" t="s">
        <v>10072</v>
      </c>
      <c r="AD697" t="s">
        <v>10073</v>
      </c>
      <c r="AE697" t="s">
        <v>10074</v>
      </c>
      <c r="AF697" t="s">
        <v>74</v>
      </c>
      <c r="AG697">
        <v>10</v>
      </c>
      <c r="AH697">
        <v>14</v>
      </c>
      <c r="AI697">
        <v>14</v>
      </c>
      <c r="AJ697">
        <v>0</v>
      </c>
      <c r="AK697">
        <v>3</v>
      </c>
      <c r="AL697" t="s">
        <v>397</v>
      </c>
      <c r="AM697" t="s">
        <v>1074</v>
      </c>
      <c r="AN697" t="s">
        <v>4444</v>
      </c>
      <c r="AO697" t="s">
        <v>400</v>
      </c>
      <c r="AP697" t="s">
        <v>74</v>
      </c>
      <c r="AQ697" t="s">
        <v>74</v>
      </c>
      <c r="AR697" t="s">
        <v>401</v>
      </c>
      <c r="AS697" t="s">
        <v>402</v>
      </c>
      <c r="AT697" t="s">
        <v>2097</v>
      </c>
      <c r="AU697">
        <v>2017</v>
      </c>
      <c r="AV697">
        <v>5</v>
      </c>
      <c r="AW697">
        <v>5</v>
      </c>
      <c r="AX697" t="s">
        <v>74</v>
      </c>
      <c r="AY697" t="s">
        <v>74</v>
      </c>
      <c r="AZ697" t="s">
        <v>74</v>
      </c>
      <c r="BA697" t="s">
        <v>74</v>
      </c>
      <c r="BB697">
        <v>376</v>
      </c>
      <c r="BC697">
        <v>378</v>
      </c>
      <c r="BD697" t="s">
        <v>74</v>
      </c>
      <c r="BE697" t="s">
        <v>10075</v>
      </c>
      <c r="BF697" t="str">
        <f>HYPERLINK("http://dx.doi.org/10.1016/S2213-2600(17)30124-8","http://dx.doi.org/10.1016/S2213-2600(17)30124-8")</f>
        <v>http://dx.doi.org/10.1016/S2213-2600(17)30124-8</v>
      </c>
      <c r="BG697" t="s">
        <v>74</v>
      </c>
      <c r="BH697" t="s">
        <v>74</v>
      </c>
      <c r="BI697">
        <v>4</v>
      </c>
      <c r="BJ697" t="s">
        <v>341</v>
      </c>
      <c r="BK697" t="s">
        <v>101</v>
      </c>
      <c r="BL697" t="s">
        <v>342</v>
      </c>
      <c r="BM697" t="s">
        <v>10076</v>
      </c>
      <c r="BN697">
        <v>28463176</v>
      </c>
      <c r="BO697" t="s">
        <v>612</v>
      </c>
      <c r="BP697" t="s">
        <v>74</v>
      </c>
      <c r="BQ697" t="s">
        <v>74</v>
      </c>
      <c r="BR697" t="s">
        <v>104</v>
      </c>
      <c r="BS697" t="s">
        <v>10077</v>
      </c>
      <c r="BT697" t="str">
        <f>HYPERLINK("https%3A%2F%2Fwww.webofscience.com%2Fwos%2Fwoscc%2Ffull-record%2FWOS:000402090600015","View Full Record in Web of Science")</f>
        <v>View Full Record in Web of Science</v>
      </c>
    </row>
    <row r="698" spans="1:72" x14ac:dyDescent="0.25">
      <c r="A698" t="s">
        <v>72</v>
      </c>
      <c r="B698" t="s">
        <v>10078</v>
      </c>
      <c r="C698" t="s">
        <v>74</v>
      </c>
      <c r="D698" t="s">
        <v>74</v>
      </c>
      <c r="E698" t="s">
        <v>74</v>
      </c>
      <c r="F698" t="s">
        <v>10079</v>
      </c>
      <c r="G698" t="s">
        <v>74</v>
      </c>
      <c r="H698" t="s">
        <v>10080</v>
      </c>
      <c r="I698" t="s">
        <v>10081</v>
      </c>
      <c r="J698" t="s">
        <v>216</v>
      </c>
      <c r="K698" t="s">
        <v>74</v>
      </c>
      <c r="L698" t="s">
        <v>74</v>
      </c>
      <c r="M698" t="s">
        <v>78</v>
      </c>
      <c r="N698" t="s">
        <v>140</v>
      </c>
      <c r="O698" t="s">
        <v>74</v>
      </c>
      <c r="P698" t="s">
        <v>74</v>
      </c>
      <c r="Q698" t="s">
        <v>74</v>
      </c>
      <c r="R698" t="s">
        <v>74</v>
      </c>
      <c r="S698" t="s">
        <v>74</v>
      </c>
      <c r="T698" t="s">
        <v>74</v>
      </c>
      <c r="U698" t="s">
        <v>10082</v>
      </c>
      <c r="V698" t="s">
        <v>74</v>
      </c>
      <c r="W698" t="s">
        <v>10083</v>
      </c>
      <c r="X698" t="s">
        <v>10084</v>
      </c>
      <c r="Y698" t="s">
        <v>10085</v>
      </c>
      <c r="Z698" t="s">
        <v>10086</v>
      </c>
      <c r="AA698" t="s">
        <v>10087</v>
      </c>
      <c r="AB698" t="s">
        <v>10088</v>
      </c>
      <c r="AC698" t="s">
        <v>10089</v>
      </c>
      <c r="AD698" t="s">
        <v>10090</v>
      </c>
      <c r="AE698" t="s">
        <v>10091</v>
      </c>
      <c r="AF698" t="s">
        <v>74</v>
      </c>
      <c r="AG698">
        <v>26</v>
      </c>
      <c r="AH698">
        <v>139</v>
      </c>
      <c r="AI698">
        <v>151</v>
      </c>
      <c r="AJ698">
        <v>0</v>
      </c>
      <c r="AK698">
        <v>7</v>
      </c>
      <c r="AL698" t="s">
        <v>219</v>
      </c>
      <c r="AM698" t="s">
        <v>220</v>
      </c>
      <c r="AN698" t="s">
        <v>221</v>
      </c>
      <c r="AO698" t="s">
        <v>222</v>
      </c>
      <c r="AP698" t="s">
        <v>223</v>
      </c>
      <c r="AQ698" t="s">
        <v>74</v>
      </c>
      <c r="AR698" t="s">
        <v>224</v>
      </c>
      <c r="AS698" t="s">
        <v>225</v>
      </c>
      <c r="AT698" t="s">
        <v>2097</v>
      </c>
      <c r="AU698">
        <v>2017</v>
      </c>
      <c r="AV698">
        <v>49</v>
      </c>
      <c r="AW698">
        <v>5</v>
      </c>
      <c r="AX698" t="s">
        <v>74</v>
      </c>
      <c r="AY698" t="s">
        <v>74</v>
      </c>
      <c r="AZ698" t="s">
        <v>74</v>
      </c>
      <c r="BA698" t="s">
        <v>74</v>
      </c>
      <c r="BB698" t="s">
        <v>74</v>
      </c>
      <c r="BC698" t="s">
        <v>74</v>
      </c>
      <c r="BD698">
        <v>1700634</v>
      </c>
      <c r="BE698" t="s">
        <v>10092</v>
      </c>
      <c r="BF698" t="str">
        <f>HYPERLINK("http://dx.doi.org/10.1183/13993003.00634-2017","http://dx.doi.org/10.1183/13993003.00634-2017")</f>
        <v>http://dx.doi.org/10.1183/13993003.00634-2017</v>
      </c>
      <c r="BG698" t="s">
        <v>74</v>
      </c>
      <c r="BH698" t="s">
        <v>74</v>
      </c>
      <c r="BI698">
        <v>6</v>
      </c>
      <c r="BJ698" t="s">
        <v>228</v>
      </c>
      <c r="BK698" t="s">
        <v>101</v>
      </c>
      <c r="BL698" t="s">
        <v>228</v>
      </c>
      <c r="BM698" t="s">
        <v>10093</v>
      </c>
      <c r="BN698">
        <v>28461308</v>
      </c>
      <c r="BO698" t="s">
        <v>1194</v>
      </c>
      <c r="BP698" t="s">
        <v>74</v>
      </c>
      <c r="BQ698" t="s">
        <v>74</v>
      </c>
      <c r="BR698" t="s">
        <v>104</v>
      </c>
      <c r="BS698" t="s">
        <v>10094</v>
      </c>
      <c r="BT698" t="str">
        <f>HYPERLINK("https%3A%2F%2Fwww.webofscience.com%2Fwos%2Fwoscc%2Ffull-record%2FWOS:000401788800053","View Full Record in Web of Science")</f>
        <v>View Full Record in Web of Science</v>
      </c>
    </row>
    <row r="699" spans="1:72" x14ac:dyDescent="0.25">
      <c r="A699" t="s">
        <v>72</v>
      </c>
      <c r="B699" t="s">
        <v>10095</v>
      </c>
      <c r="C699" t="s">
        <v>74</v>
      </c>
      <c r="D699" t="s">
        <v>74</v>
      </c>
      <c r="E699" t="s">
        <v>74</v>
      </c>
      <c r="F699" t="s">
        <v>10096</v>
      </c>
      <c r="G699" t="s">
        <v>74</v>
      </c>
      <c r="H699" t="s">
        <v>74</v>
      </c>
      <c r="I699" t="s">
        <v>10097</v>
      </c>
      <c r="J699" t="s">
        <v>983</v>
      </c>
      <c r="K699" t="s">
        <v>74</v>
      </c>
      <c r="L699" t="s">
        <v>74</v>
      </c>
      <c r="M699" t="s">
        <v>78</v>
      </c>
      <c r="N699" t="s">
        <v>79</v>
      </c>
      <c r="O699" t="s">
        <v>74</v>
      </c>
      <c r="P699" t="s">
        <v>74</v>
      </c>
      <c r="Q699" t="s">
        <v>74</v>
      </c>
      <c r="R699" t="s">
        <v>74</v>
      </c>
      <c r="S699" t="s">
        <v>74</v>
      </c>
      <c r="T699" t="s">
        <v>10098</v>
      </c>
      <c r="U699" t="s">
        <v>10099</v>
      </c>
      <c r="V699" t="s">
        <v>10100</v>
      </c>
      <c r="W699" t="s">
        <v>10101</v>
      </c>
      <c r="X699" t="s">
        <v>10102</v>
      </c>
      <c r="Y699" t="s">
        <v>10103</v>
      </c>
      <c r="Z699" t="s">
        <v>10104</v>
      </c>
      <c r="AA699" t="s">
        <v>10105</v>
      </c>
      <c r="AB699" t="s">
        <v>10106</v>
      </c>
      <c r="AC699" t="s">
        <v>10107</v>
      </c>
      <c r="AD699" t="s">
        <v>10108</v>
      </c>
      <c r="AE699" t="s">
        <v>10109</v>
      </c>
      <c r="AF699" t="s">
        <v>74</v>
      </c>
      <c r="AG699">
        <v>29</v>
      </c>
      <c r="AH699">
        <v>22</v>
      </c>
      <c r="AI699">
        <v>22</v>
      </c>
      <c r="AJ699">
        <v>0</v>
      </c>
      <c r="AK699">
        <v>2</v>
      </c>
      <c r="AL699" t="s">
        <v>991</v>
      </c>
      <c r="AM699" t="s">
        <v>486</v>
      </c>
      <c r="AN699" t="s">
        <v>992</v>
      </c>
      <c r="AO699" t="s">
        <v>993</v>
      </c>
      <c r="AP699" t="s">
        <v>994</v>
      </c>
      <c r="AQ699" t="s">
        <v>74</v>
      </c>
      <c r="AR699" t="s">
        <v>995</v>
      </c>
      <c r="AS699" t="s">
        <v>996</v>
      </c>
      <c r="AT699" t="s">
        <v>2097</v>
      </c>
      <c r="AU699">
        <v>2017</v>
      </c>
      <c r="AV699">
        <v>36</v>
      </c>
      <c r="AW699">
        <v>5</v>
      </c>
      <c r="AX699" t="s">
        <v>74</v>
      </c>
      <c r="AY699" t="s">
        <v>74</v>
      </c>
      <c r="AZ699" t="s">
        <v>74</v>
      </c>
      <c r="BA699" t="s">
        <v>74</v>
      </c>
      <c r="BB699">
        <v>509</v>
      </c>
      <c r="BC699">
        <v>519</v>
      </c>
      <c r="BD699" t="s">
        <v>74</v>
      </c>
      <c r="BE699" t="s">
        <v>10110</v>
      </c>
      <c r="BF699" t="str">
        <f>HYPERLINK("http://dx.doi.org/10.1016/j.healun.2016.12.012","http://dx.doi.org/10.1016/j.healun.2016.12.012")</f>
        <v>http://dx.doi.org/10.1016/j.healun.2016.12.012</v>
      </c>
      <c r="BG699" t="s">
        <v>74</v>
      </c>
      <c r="BH699" t="s">
        <v>74</v>
      </c>
      <c r="BI699">
        <v>11</v>
      </c>
      <c r="BJ699" t="s">
        <v>1000</v>
      </c>
      <c r="BK699" t="s">
        <v>101</v>
      </c>
      <c r="BL699" t="s">
        <v>1001</v>
      </c>
      <c r="BM699" t="s">
        <v>10111</v>
      </c>
      <c r="BN699">
        <v>28190787</v>
      </c>
      <c r="BO699" t="s">
        <v>470</v>
      </c>
      <c r="BP699" t="s">
        <v>74</v>
      </c>
      <c r="BQ699" t="s">
        <v>74</v>
      </c>
      <c r="BR699" t="s">
        <v>104</v>
      </c>
      <c r="BS699" t="s">
        <v>10112</v>
      </c>
      <c r="BT699" t="str">
        <f>HYPERLINK("https%3A%2F%2Fwww.webofscience.com%2Fwos%2Fwoscc%2Ffull-record%2FWOS:000400633600006","View Full Record in Web of Science")</f>
        <v>View Full Record in Web of Science</v>
      </c>
    </row>
    <row r="700" spans="1:72" x14ac:dyDescent="0.25">
      <c r="A700" t="s">
        <v>72</v>
      </c>
      <c r="B700" t="s">
        <v>10113</v>
      </c>
      <c r="C700" t="s">
        <v>74</v>
      </c>
      <c r="D700" t="s">
        <v>74</v>
      </c>
      <c r="E700" t="s">
        <v>74</v>
      </c>
      <c r="F700" t="s">
        <v>10114</v>
      </c>
      <c r="G700" t="s">
        <v>74</v>
      </c>
      <c r="H700" t="s">
        <v>74</v>
      </c>
      <c r="I700" t="s">
        <v>10115</v>
      </c>
      <c r="J700" t="s">
        <v>6822</v>
      </c>
      <c r="K700" t="s">
        <v>74</v>
      </c>
      <c r="L700" t="s">
        <v>74</v>
      </c>
      <c r="M700" t="s">
        <v>78</v>
      </c>
      <c r="N700" t="s">
        <v>79</v>
      </c>
      <c r="O700" t="s">
        <v>74</v>
      </c>
      <c r="P700" t="s">
        <v>74</v>
      </c>
      <c r="Q700" t="s">
        <v>74</v>
      </c>
      <c r="R700" t="s">
        <v>74</v>
      </c>
      <c r="S700" t="s">
        <v>74</v>
      </c>
      <c r="T700" t="s">
        <v>10116</v>
      </c>
      <c r="U700" t="s">
        <v>10117</v>
      </c>
      <c r="V700" t="s">
        <v>10118</v>
      </c>
      <c r="W700" t="s">
        <v>10119</v>
      </c>
      <c r="X700" t="s">
        <v>10120</v>
      </c>
      <c r="Y700" t="s">
        <v>10121</v>
      </c>
      <c r="Z700" t="s">
        <v>10122</v>
      </c>
      <c r="AA700" t="s">
        <v>10123</v>
      </c>
      <c r="AB700" t="s">
        <v>10124</v>
      </c>
      <c r="AC700" t="s">
        <v>74</v>
      </c>
      <c r="AD700" t="s">
        <v>74</v>
      </c>
      <c r="AE700" t="s">
        <v>74</v>
      </c>
      <c r="AF700" t="s">
        <v>74</v>
      </c>
      <c r="AG700">
        <v>27</v>
      </c>
      <c r="AH700">
        <v>32</v>
      </c>
      <c r="AI700">
        <v>33</v>
      </c>
      <c r="AJ700">
        <v>0</v>
      </c>
      <c r="AK700">
        <v>1</v>
      </c>
      <c r="AL700" t="s">
        <v>882</v>
      </c>
      <c r="AM700" t="s">
        <v>883</v>
      </c>
      <c r="AN700" t="s">
        <v>884</v>
      </c>
      <c r="AO700" t="s">
        <v>6834</v>
      </c>
      <c r="AP700" t="s">
        <v>6835</v>
      </c>
      <c r="AQ700" t="s">
        <v>74</v>
      </c>
      <c r="AR700" t="s">
        <v>6836</v>
      </c>
      <c r="AS700" t="s">
        <v>6837</v>
      </c>
      <c r="AT700" t="s">
        <v>2097</v>
      </c>
      <c r="AU700">
        <v>2017</v>
      </c>
      <c r="AV700">
        <v>110</v>
      </c>
      <c r="AW700">
        <v>5</v>
      </c>
      <c r="AX700" t="s">
        <v>74</v>
      </c>
      <c r="AY700" t="s">
        <v>74</v>
      </c>
      <c r="AZ700" t="s">
        <v>74</v>
      </c>
      <c r="BA700" t="s">
        <v>74</v>
      </c>
      <c r="BB700">
        <v>303</v>
      </c>
      <c r="BC700">
        <v>316</v>
      </c>
      <c r="BD700" t="s">
        <v>74</v>
      </c>
      <c r="BE700" t="s">
        <v>10125</v>
      </c>
      <c r="BF700" t="str">
        <f>HYPERLINK("http://dx.doi.org/10.1016/j.acvd.2017.01.006","http://dx.doi.org/10.1016/j.acvd.2017.01.006")</f>
        <v>http://dx.doi.org/10.1016/j.acvd.2017.01.006</v>
      </c>
      <c r="BG700" t="s">
        <v>74</v>
      </c>
      <c r="BH700" t="s">
        <v>74</v>
      </c>
      <c r="BI700">
        <v>14</v>
      </c>
      <c r="BJ700" t="s">
        <v>132</v>
      </c>
      <c r="BK700" t="s">
        <v>101</v>
      </c>
      <c r="BL700" t="s">
        <v>133</v>
      </c>
      <c r="BM700" t="s">
        <v>10126</v>
      </c>
      <c r="BN700">
        <v>28286190</v>
      </c>
      <c r="BO700" t="s">
        <v>2854</v>
      </c>
      <c r="BP700" t="s">
        <v>74</v>
      </c>
      <c r="BQ700" t="s">
        <v>74</v>
      </c>
      <c r="BR700" t="s">
        <v>104</v>
      </c>
      <c r="BS700" t="s">
        <v>10127</v>
      </c>
      <c r="BT700" t="str">
        <f>HYPERLINK("https%3A%2F%2Fwww.webofscience.com%2Fwos%2Fwoscc%2Ffull-record%2FWOS:000405135200005","View Full Record in Web of Science")</f>
        <v>View Full Record in Web of Science</v>
      </c>
    </row>
    <row r="701" spans="1:72" x14ac:dyDescent="0.25">
      <c r="A701" t="s">
        <v>72</v>
      </c>
      <c r="B701" t="s">
        <v>10128</v>
      </c>
      <c r="C701" t="s">
        <v>74</v>
      </c>
      <c r="D701" t="s">
        <v>74</v>
      </c>
      <c r="E701" t="s">
        <v>74</v>
      </c>
      <c r="F701" t="s">
        <v>10129</v>
      </c>
      <c r="G701" t="s">
        <v>74</v>
      </c>
      <c r="H701" t="s">
        <v>74</v>
      </c>
      <c r="I701" t="s">
        <v>10130</v>
      </c>
      <c r="J701" t="s">
        <v>388</v>
      </c>
      <c r="K701" t="s">
        <v>74</v>
      </c>
      <c r="L701" t="s">
        <v>74</v>
      </c>
      <c r="M701" t="s">
        <v>78</v>
      </c>
      <c r="N701" t="s">
        <v>460</v>
      </c>
      <c r="O701" t="s">
        <v>74</v>
      </c>
      <c r="P701" t="s">
        <v>74</v>
      </c>
      <c r="Q701" t="s">
        <v>74</v>
      </c>
      <c r="R701" t="s">
        <v>74</v>
      </c>
      <c r="S701" t="s">
        <v>74</v>
      </c>
      <c r="T701" t="s">
        <v>74</v>
      </c>
      <c r="U701" t="s">
        <v>10131</v>
      </c>
      <c r="V701" t="s">
        <v>74</v>
      </c>
      <c r="W701" t="s">
        <v>10132</v>
      </c>
      <c r="X701" t="s">
        <v>10133</v>
      </c>
      <c r="Y701" t="s">
        <v>10134</v>
      </c>
      <c r="Z701" t="s">
        <v>331</v>
      </c>
      <c r="AA701" t="s">
        <v>1549</v>
      </c>
      <c r="AB701" t="s">
        <v>6346</v>
      </c>
      <c r="AC701" t="s">
        <v>74</v>
      </c>
      <c r="AD701" t="s">
        <v>74</v>
      </c>
      <c r="AE701" t="s">
        <v>74</v>
      </c>
      <c r="AF701" t="s">
        <v>74</v>
      </c>
      <c r="AG701">
        <v>6</v>
      </c>
      <c r="AH701">
        <v>5</v>
      </c>
      <c r="AI701">
        <v>6</v>
      </c>
      <c r="AJ701">
        <v>0</v>
      </c>
      <c r="AK701">
        <v>2</v>
      </c>
      <c r="AL701" t="s">
        <v>397</v>
      </c>
      <c r="AM701" t="s">
        <v>1074</v>
      </c>
      <c r="AN701" t="s">
        <v>4444</v>
      </c>
      <c r="AO701" t="s">
        <v>400</v>
      </c>
      <c r="AP701" t="s">
        <v>74</v>
      </c>
      <c r="AQ701" t="s">
        <v>74</v>
      </c>
      <c r="AR701" t="s">
        <v>401</v>
      </c>
      <c r="AS701" t="s">
        <v>402</v>
      </c>
      <c r="AT701" t="s">
        <v>2097</v>
      </c>
      <c r="AU701">
        <v>2017</v>
      </c>
      <c r="AV701">
        <v>5</v>
      </c>
      <c r="AW701">
        <v>5</v>
      </c>
      <c r="AX701" t="s">
        <v>74</v>
      </c>
      <c r="AY701" t="s">
        <v>74</v>
      </c>
      <c r="AZ701" t="s">
        <v>74</v>
      </c>
      <c r="BA701" t="s">
        <v>74</v>
      </c>
      <c r="BB701" t="s">
        <v>10135</v>
      </c>
      <c r="BC701" t="s">
        <v>10135</v>
      </c>
      <c r="BD701" t="s">
        <v>74</v>
      </c>
      <c r="BE701" t="s">
        <v>10136</v>
      </c>
      <c r="BF701" t="str">
        <f>HYPERLINK("http://dx.doi.org/10.1016/S2213-2600(17)30128-5","http://dx.doi.org/10.1016/S2213-2600(17)30128-5")</f>
        <v>http://dx.doi.org/10.1016/S2213-2600(17)30128-5</v>
      </c>
      <c r="BG701" t="s">
        <v>74</v>
      </c>
      <c r="BH701" t="s">
        <v>74</v>
      </c>
      <c r="BI701">
        <v>1</v>
      </c>
      <c r="BJ701" t="s">
        <v>341</v>
      </c>
      <c r="BK701" t="s">
        <v>101</v>
      </c>
      <c r="BL701" t="s">
        <v>342</v>
      </c>
      <c r="BM701" t="s">
        <v>10076</v>
      </c>
      <c r="BN701">
        <v>28463181</v>
      </c>
      <c r="BO701" t="s">
        <v>1194</v>
      </c>
      <c r="BP701" t="s">
        <v>74</v>
      </c>
      <c r="BQ701" t="s">
        <v>74</v>
      </c>
      <c r="BR701" t="s">
        <v>104</v>
      </c>
      <c r="BS701" t="s">
        <v>10137</v>
      </c>
      <c r="BT701" t="str">
        <f>HYPERLINK("https%3A%2F%2Fwww.webofscience.com%2Fwos%2Fwoscc%2Ffull-record%2FWOS:000402090600004","View Full Record in Web of Science")</f>
        <v>View Full Record in Web of Science</v>
      </c>
    </row>
    <row r="702" spans="1:72" x14ac:dyDescent="0.25">
      <c r="A702" t="s">
        <v>72</v>
      </c>
      <c r="B702" t="s">
        <v>10138</v>
      </c>
      <c r="C702" t="s">
        <v>74</v>
      </c>
      <c r="D702" t="s">
        <v>74</v>
      </c>
      <c r="E702" t="s">
        <v>74</v>
      </c>
      <c r="F702" t="s">
        <v>10139</v>
      </c>
      <c r="G702" t="s">
        <v>74</v>
      </c>
      <c r="H702" t="s">
        <v>74</v>
      </c>
      <c r="I702" t="s">
        <v>10140</v>
      </c>
      <c r="J702" t="s">
        <v>10141</v>
      </c>
      <c r="K702" t="s">
        <v>74</v>
      </c>
      <c r="L702" t="s">
        <v>74</v>
      </c>
      <c r="M702" t="s">
        <v>78</v>
      </c>
      <c r="N702" t="s">
        <v>79</v>
      </c>
      <c r="O702" t="s">
        <v>74</v>
      </c>
      <c r="P702" t="s">
        <v>74</v>
      </c>
      <c r="Q702" t="s">
        <v>74</v>
      </c>
      <c r="R702" t="s">
        <v>74</v>
      </c>
      <c r="S702" t="s">
        <v>74</v>
      </c>
      <c r="T702" t="s">
        <v>74</v>
      </c>
      <c r="U702" t="s">
        <v>10142</v>
      </c>
      <c r="V702" t="s">
        <v>10143</v>
      </c>
      <c r="W702" t="s">
        <v>10144</v>
      </c>
      <c r="X702" t="s">
        <v>10145</v>
      </c>
      <c r="Y702" t="s">
        <v>8292</v>
      </c>
      <c r="Z702" t="s">
        <v>86</v>
      </c>
      <c r="AA702" t="s">
        <v>10146</v>
      </c>
      <c r="AB702" t="s">
        <v>10147</v>
      </c>
      <c r="AC702" t="s">
        <v>10148</v>
      </c>
      <c r="AD702" t="s">
        <v>10148</v>
      </c>
      <c r="AE702" t="s">
        <v>10149</v>
      </c>
      <c r="AF702" t="s">
        <v>74</v>
      </c>
      <c r="AG702">
        <v>32</v>
      </c>
      <c r="AH702">
        <v>66</v>
      </c>
      <c r="AI702">
        <v>67</v>
      </c>
      <c r="AJ702">
        <v>0</v>
      </c>
      <c r="AK702">
        <v>4</v>
      </c>
      <c r="AL702" t="s">
        <v>169</v>
      </c>
      <c r="AM702" t="s">
        <v>170</v>
      </c>
      <c r="AN702" t="s">
        <v>171</v>
      </c>
      <c r="AO702" t="s">
        <v>10150</v>
      </c>
      <c r="AP702" t="s">
        <v>10151</v>
      </c>
      <c r="AQ702" t="s">
        <v>74</v>
      </c>
      <c r="AR702" t="s">
        <v>10141</v>
      </c>
      <c r="AS702" t="s">
        <v>10152</v>
      </c>
      <c r="AT702" t="s">
        <v>2097</v>
      </c>
      <c r="AU702">
        <v>2017</v>
      </c>
      <c r="AV702">
        <v>65</v>
      </c>
      <c r="AW702">
        <v>5</v>
      </c>
      <c r="AX702" t="s">
        <v>74</v>
      </c>
      <c r="AY702" t="s">
        <v>74</v>
      </c>
      <c r="AZ702" t="s">
        <v>74</v>
      </c>
      <c r="BA702" t="s">
        <v>74</v>
      </c>
      <c r="BB702">
        <v>1683</v>
      </c>
      <c r="BC702">
        <v>1692</v>
      </c>
      <c r="BD702" t="s">
        <v>74</v>
      </c>
      <c r="BE702" t="s">
        <v>10153</v>
      </c>
      <c r="BF702" t="str">
        <f>HYPERLINK("http://dx.doi.org/10.1002/hep.28990","http://dx.doi.org/10.1002/hep.28990")</f>
        <v>http://dx.doi.org/10.1002/hep.28990</v>
      </c>
      <c r="BG702" t="s">
        <v>74</v>
      </c>
      <c r="BH702" t="s">
        <v>74</v>
      </c>
      <c r="BI702">
        <v>10</v>
      </c>
      <c r="BJ702" t="s">
        <v>100</v>
      </c>
      <c r="BK702" t="s">
        <v>101</v>
      </c>
      <c r="BL702" t="s">
        <v>100</v>
      </c>
      <c r="BM702" t="s">
        <v>10154</v>
      </c>
      <c r="BN702">
        <v>27997987</v>
      </c>
      <c r="BO702" t="s">
        <v>1194</v>
      </c>
      <c r="BP702" t="s">
        <v>74</v>
      </c>
      <c r="BQ702" t="s">
        <v>74</v>
      </c>
      <c r="BR702" t="s">
        <v>104</v>
      </c>
      <c r="BS702" t="s">
        <v>10155</v>
      </c>
      <c r="BT702" t="str">
        <f>HYPERLINK("https%3A%2F%2Fwww.webofscience.com%2Fwos%2Fwoscc%2Ffull-record%2FWOS:000399459800020","View Full Record in Web of Science")</f>
        <v>View Full Record in Web of Science</v>
      </c>
    </row>
    <row r="703" spans="1:72" x14ac:dyDescent="0.25">
      <c r="A703" t="s">
        <v>72</v>
      </c>
      <c r="B703" t="s">
        <v>10156</v>
      </c>
      <c r="C703" t="s">
        <v>74</v>
      </c>
      <c r="D703" t="s">
        <v>74</v>
      </c>
      <c r="E703" t="s">
        <v>74</v>
      </c>
      <c r="F703" t="s">
        <v>10157</v>
      </c>
      <c r="G703" t="s">
        <v>74</v>
      </c>
      <c r="H703" t="s">
        <v>74</v>
      </c>
      <c r="I703" t="s">
        <v>10158</v>
      </c>
      <c r="J703" t="s">
        <v>564</v>
      </c>
      <c r="K703" t="s">
        <v>74</v>
      </c>
      <c r="L703" t="s">
        <v>74</v>
      </c>
      <c r="M703" t="s">
        <v>78</v>
      </c>
      <c r="N703" t="s">
        <v>140</v>
      </c>
      <c r="O703" t="s">
        <v>74</v>
      </c>
      <c r="P703" t="s">
        <v>74</v>
      </c>
      <c r="Q703" t="s">
        <v>74</v>
      </c>
      <c r="R703" t="s">
        <v>74</v>
      </c>
      <c r="S703" t="s">
        <v>74</v>
      </c>
      <c r="T703" t="s">
        <v>74</v>
      </c>
      <c r="U703" t="s">
        <v>10159</v>
      </c>
      <c r="V703" t="s">
        <v>74</v>
      </c>
      <c r="W703" t="s">
        <v>10160</v>
      </c>
      <c r="X703" t="s">
        <v>10161</v>
      </c>
      <c r="Y703" t="s">
        <v>10162</v>
      </c>
      <c r="Z703" t="s">
        <v>377</v>
      </c>
      <c r="AA703" t="s">
        <v>144</v>
      </c>
      <c r="AB703" t="s">
        <v>9572</v>
      </c>
      <c r="AC703" t="s">
        <v>10163</v>
      </c>
      <c r="AD703" t="s">
        <v>10164</v>
      </c>
      <c r="AE703" t="s">
        <v>10165</v>
      </c>
      <c r="AF703" t="s">
        <v>74</v>
      </c>
      <c r="AG703">
        <v>10</v>
      </c>
      <c r="AH703">
        <v>1</v>
      </c>
      <c r="AI703">
        <v>1</v>
      </c>
      <c r="AJ703">
        <v>0</v>
      </c>
      <c r="AK703">
        <v>4</v>
      </c>
      <c r="AL703" t="s">
        <v>10166</v>
      </c>
      <c r="AM703" t="s">
        <v>571</v>
      </c>
      <c r="AN703" t="s">
        <v>10167</v>
      </c>
      <c r="AO703" t="s">
        <v>573</v>
      </c>
      <c r="AP703" t="s">
        <v>574</v>
      </c>
      <c r="AQ703" t="s">
        <v>74</v>
      </c>
      <c r="AR703" t="s">
        <v>575</v>
      </c>
      <c r="AS703" t="s">
        <v>576</v>
      </c>
      <c r="AT703" t="s">
        <v>2097</v>
      </c>
      <c r="AU703">
        <v>2017</v>
      </c>
      <c r="AV703">
        <v>53</v>
      </c>
      <c r="AW703">
        <v>5</v>
      </c>
      <c r="AX703" t="s">
        <v>74</v>
      </c>
      <c r="AY703" t="s">
        <v>74</v>
      </c>
      <c r="AZ703" t="s">
        <v>74</v>
      </c>
      <c r="BA703" t="s">
        <v>74</v>
      </c>
      <c r="BB703">
        <v>235</v>
      </c>
      <c r="BC703">
        <v>236</v>
      </c>
      <c r="BD703" t="s">
        <v>74</v>
      </c>
      <c r="BE703" t="s">
        <v>10168</v>
      </c>
      <c r="BF703" t="str">
        <f>HYPERLINK("http://dx.doi.org/10.1016/j.arbres.2017.01.016","http://dx.doi.org/10.1016/j.arbres.2017.01.016")</f>
        <v>http://dx.doi.org/10.1016/j.arbres.2017.01.016</v>
      </c>
      <c r="BG703" t="s">
        <v>74</v>
      </c>
      <c r="BH703" t="s">
        <v>74</v>
      </c>
      <c r="BI703">
        <v>2</v>
      </c>
      <c r="BJ703" t="s">
        <v>228</v>
      </c>
      <c r="BK703" t="s">
        <v>101</v>
      </c>
      <c r="BL703" t="s">
        <v>228</v>
      </c>
      <c r="BM703" t="s">
        <v>10169</v>
      </c>
      <c r="BN703">
        <v>28314631</v>
      </c>
      <c r="BO703" t="s">
        <v>74</v>
      </c>
      <c r="BP703" t="s">
        <v>74</v>
      </c>
      <c r="BQ703" t="s">
        <v>74</v>
      </c>
      <c r="BR703" t="s">
        <v>104</v>
      </c>
      <c r="BS703" t="s">
        <v>10170</v>
      </c>
      <c r="BT703" t="str">
        <f>HYPERLINK("https%3A%2F%2Fwww.webofscience.com%2Fwos%2Fwoscc%2Ffull-record%2FWOS:000401496700004","View Full Record in Web of Science")</f>
        <v>View Full Record in Web of Science</v>
      </c>
    </row>
    <row r="704" spans="1:72" x14ac:dyDescent="0.25">
      <c r="A704" t="s">
        <v>72</v>
      </c>
      <c r="B704" t="s">
        <v>10171</v>
      </c>
      <c r="C704" t="s">
        <v>74</v>
      </c>
      <c r="D704" t="s">
        <v>74</v>
      </c>
      <c r="E704" t="s">
        <v>74</v>
      </c>
      <c r="F704" t="s">
        <v>10172</v>
      </c>
      <c r="G704" t="s">
        <v>74</v>
      </c>
      <c r="H704" t="s">
        <v>74</v>
      </c>
      <c r="I704" t="s">
        <v>10173</v>
      </c>
      <c r="J704" t="s">
        <v>2257</v>
      </c>
      <c r="K704" t="s">
        <v>74</v>
      </c>
      <c r="L704" t="s">
        <v>74</v>
      </c>
      <c r="M704" t="s">
        <v>1349</v>
      </c>
      <c r="N704" t="s">
        <v>79</v>
      </c>
      <c r="O704" t="s">
        <v>74</v>
      </c>
      <c r="P704" t="s">
        <v>74</v>
      </c>
      <c r="Q704" t="s">
        <v>74</v>
      </c>
      <c r="R704" t="s">
        <v>74</v>
      </c>
      <c r="S704" t="s">
        <v>74</v>
      </c>
      <c r="T704" t="s">
        <v>10174</v>
      </c>
      <c r="U704" t="s">
        <v>10175</v>
      </c>
      <c r="V704" t="s">
        <v>10176</v>
      </c>
      <c r="W704" t="s">
        <v>10177</v>
      </c>
      <c r="X704" t="s">
        <v>10178</v>
      </c>
      <c r="Y704" t="s">
        <v>10179</v>
      </c>
      <c r="Z704" t="s">
        <v>10180</v>
      </c>
      <c r="AA704" t="s">
        <v>10181</v>
      </c>
      <c r="AB704" t="s">
        <v>6346</v>
      </c>
      <c r="AC704" t="s">
        <v>74</v>
      </c>
      <c r="AD704" t="s">
        <v>74</v>
      </c>
      <c r="AE704" t="s">
        <v>74</v>
      </c>
      <c r="AF704" t="s">
        <v>74</v>
      </c>
      <c r="AG704">
        <v>66</v>
      </c>
      <c r="AH704">
        <v>0</v>
      </c>
      <c r="AI704">
        <v>0</v>
      </c>
      <c r="AJ704">
        <v>0</v>
      </c>
      <c r="AK704">
        <v>2</v>
      </c>
      <c r="AL704" t="s">
        <v>2262</v>
      </c>
      <c r="AM704" t="s">
        <v>2263</v>
      </c>
      <c r="AN704" t="s">
        <v>2264</v>
      </c>
      <c r="AO704" t="s">
        <v>2265</v>
      </c>
      <c r="AP704" t="s">
        <v>74</v>
      </c>
      <c r="AQ704" t="s">
        <v>74</v>
      </c>
      <c r="AR704" t="s">
        <v>2267</v>
      </c>
      <c r="AS704" t="s">
        <v>2268</v>
      </c>
      <c r="AT704" t="s">
        <v>10182</v>
      </c>
      <c r="AU704">
        <v>2017</v>
      </c>
      <c r="AV704">
        <v>201</v>
      </c>
      <c r="AW704" t="s">
        <v>10183</v>
      </c>
      <c r="AX704" t="s">
        <v>74</v>
      </c>
      <c r="AY704" t="s">
        <v>74</v>
      </c>
      <c r="AZ704" t="s">
        <v>74</v>
      </c>
      <c r="BA704" t="s">
        <v>74</v>
      </c>
      <c r="BB704">
        <v>879</v>
      </c>
      <c r="BC704">
        <v>893</v>
      </c>
      <c r="BD704" t="s">
        <v>74</v>
      </c>
      <c r="BE704" t="s">
        <v>10184</v>
      </c>
      <c r="BF704" t="str">
        <f>HYPERLINK("http://dx.doi.org/10.1016/S0001-4079(19)30470-4","http://dx.doi.org/10.1016/S0001-4079(19)30470-4")</f>
        <v>http://dx.doi.org/10.1016/S0001-4079(19)30470-4</v>
      </c>
      <c r="BG704" t="s">
        <v>74</v>
      </c>
      <c r="BH704" t="s">
        <v>74</v>
      </c>
      <c r="BI704">
        <v>15</v>
      </c>
      <c r="BJ704" t="s">
        <v>1152</v>
      </c>
      <c r="BK704" t="s">
        <v>101</v>
      </c>
      <c r="BL704" t="s">
        <v>1153</v>
      </c>
      <c r="BM704" t="s">
        <v>10185</v>
      </c>
      <c r="BN704" t="s">
        <v>74</v>
      </c>
      <c r="BO704" t="s">
        <v>1194</v>
      </c>
      <c r="BP704" t="s">
        <v>74</v>
      </c>
      <c r="BQ704" t="s">
        <v>74</v>
      </c>
      <c r="BR704" t="s">
        <v>104</v>
      </c>
      <c r="BS704" t="s">
        <v>10186</v>
      </c>
      <c r="BT704" t="str">
        <f>HYPERLINK("https%3A%2F%2Fwww.webofscience.com%2Fwos%2Fwoscc%2Ffull-record%2FWOS:000434372600038","View Full Record in Web of Science")</f>
        <v>View Full Record in Web of Science</v>
      </c>
    </row>
    <row r="705" spans="1:72" x14ac:dyDescent="0.25">
      <c r="A705" t="s">
        <v>72</v>
      </c>
      <c r="B705" t="s">
        <v>10187</v>
      </c>
      <c r="C705" t="s">
        <v>74</v>
      </c>
      <c r="D705" t="s">
        <v>74</v>
      </c>
      <c r="E705" t="s">
        <v>74</v>
      </c>
      <c r="F705" t="s">
        <v>10188</v>
      </c>
      <c r="G705" t="s">
        <v>74</v>
      </c>
      <c r="H705" t="s">
        <v>74</v>
      </c>
      <c r="I705" t="s">
        <v>10189</v>
      </c>
      <c r="J705" t="s">
        <v>983</v>
      </c>
      <c r="K705" t="s">
        <v>74</v>
      </c>
      <c r="L705" t="s">
        <v>74</v>
      </c>
      <c r="M705" t="s">
        <v>78</v>
      </c>
      <c r="N705" t="s">
        <v>79</v>
      </c>
      <c r="O705" t="s">
        <v>74</v>
      </c>
      <c r="P705" t="s">
        <v>74</v>
      </c>
      <c r="Q705" t="s">
        <v>74</v>
      </c>
      <c r="R705" t="s">
        <v>74</v>
      </c>
      <c r="S705" t="s">
        <v>74</v>
      </c>
      <c r="T705" t="s">
        <v>10190</v>
      </c>
      <c r="U705" t="s">
        <v>10191</v>
      </c>
      <c r="V705" t="s">
        <v>10192</v>
      </c>
      <c r="W705" t="s">
        <v>10193</v>
      </c>
      <c r="X705" t="s">
        <v>10194</v>
      </c>
      <c r="Y705" t="s">
        <v>10195</v>
      </c>
      <c r="Z705" t="s">
        <v>10122</v>
      </c>
      <c r="AA705" t="s">
        <v>10196</v>
      </c>
      <c r="AB705" t="s">
        <v>10197</v>
      </c>
      <c r="AC705" t="s">
        <v>10198</v>
      </c>
      <c r="AD705" t="s">
        <v>10199</v>
      </c>
      <c r="AE705" t="s">
        <v>10200</v>
      </c>
      <c r="AF705" t="s">
        <v>74</v>
      </c>
      <c r="AG705">
        <v>28</v>
      </c>
      <c r="AH705">
        <v>19</v>
      </c>
      <c r="AI705">
        <v>19</v>
      </c>
      <c r="AJ705">
        <v>0</v>
      </c>
      <c r="AK705">
        <v>6</v>
      </c>
      <c r="AL705" t="s">
        <v>991</v>
      </c>
      <c r="AM705" t="s">
        <v>486</v>
      </c>
      <c r="AN705" t="s">
        <v>992</v>
      </c>
      <c r="AO705" t="s">
        <v>993</v>
      </c>
      <c r="AP705" t="s">
        <v>994</v>
      </c>
      <c r="AQ705" t="s">
        <v>74</v>
      </c>
      <c r="AR705" t="s">
        <v>995</v>
      </c>
      <c r="AS705" t="s">
        <v>996</v>
      </c>
      <c r="AT705" t="s">
        <v>997</v>
      </c>
      <c r="AU705">
        <v>2017</v>
      </c>
      <c r="AV705">
        <v>36</v>
      </c>
      <c r="AW705">
        <v>4</v>
      </c>
      <c r="AX705" t="s">
        <v>74</v>
      </c>
      <c r="AY705" t="s">
        <v>74</v>
      </c>
      <c r="AZ705" t="s">
        <v>74</v>
      </c>
      <c r="BA705" t="s">
        <v>74</v>
      </c>
      <c r="BB705">
        <v>386</v>
      </c>
      <c r="BC705">
        <v>398</v>
      </c>
      <c r="BD705" t="s">
        <v>74</v>
      </c>
      <c r="BE705" t="s">
        <v>10201</v>
      </c>
      <c r="BF705" t="str">
        <f>HYPERLINK("http://dx.doi.org/10.1016/j.healun.2016.10.006","http://dx.doi.org/10.1016/j.healun.2016.10.006")</f>
        <v>http://dx.doi.org/10.1016/j.healun.2016.10.006</v>
      </c>
      <c r="BG705" t="s">
        <v>74</v>
      </c>
      <c r="BH705" t="s">
        <v>74</v>
      </c>
      <c r="BI705">
        <v>13</v>
      </c>
      <c r="BJ705" t="s">
        <v>1000</v>
      </c>
      <c r="BK705" t="s">
        <v>101</v>
      </c>
      <c r="BL705" t="s">
        <v>1001</v>
      </c>
      <c r="BM705" t="s">
        <v>10202</v>
      </c>
      <c r="BN705">
        <v>27866929</v>
      </c>
      <c r="BO705" t="s">
        <v>1194</v>
      </c>
      <c r="BP705" t="s">
        <v>74</v>
      </c>
      <c r="BQ705" t="s">
        <v>74</v>
      </c>
      <c r="BR705" t="s">
        <v>104</v>
      </c>
      <c r="BS705" t="s">
        <v>10203</v>
      </c>
      <c r="BT705" t="str">
        <f>HYPERLINK("https%3A%2F%2Fwww.webofscience.com%2Fwos%2Fwoscc%2Ffull-record%2FWOS:000398141700005","View Full Record in Web of Science")</f>
        <v>View Full Record in Web of Science</v>
      </c>
    </row>
    <row r="706" spans="1:72" x14ac:dyDescent="0.25">
      <c r="A706" t="s">
        <v>72</v>
      </c>
      <c r="B706" t="s">
        <v>8689</v>
      </c>
      <c r="C706" t="s">
        <v>74</v>
      </c>
      <c r="D706" t="s">
        <v>74</v>
      </c>
      <c r="E706" t="s">
        <v>74</v>
      </c>
      <c r="F706" t="s">
        <v>10204</v>
      </c>
      <c r="G706" t="s">
        <v>74</v>
      </c>
      <c r="H706" t="s">
        <v>74</v>
      </c>
      <c r="I706" t="s">
        <v>10205</v>
      </c>
      <c r="J706" t="s">
        <v>1924</v>
      </c>
      <c r="K706" t="s">
        <v>74</v>
      </c>
      <c r="L706" t="s">
        <v>74</v>
      </c>
      <c r="M706" t="s">
        <v>78</v>
      </c>
      <c r="N706" t="s">
        <v>52</v>
      </c>
      <c r="O706" t="s">
        <v>74</v>
      </c>
      <c r="P706" t="s">
        <v>74</v>
      </c>
      <c r="Q706" t="s">
        <v>74</v>
      </c>
      <c r="R706" t="s">
        <v>74</v>
      </c>
      <c r="S706" t="s">
        <v>74</v>
      </c>
      <c r="T706" t="s">
        <v>74</v>
      </c>
      <c r="U706" t="s">
        <v>74</v>
      </c>
      <c r="V706" t="s">
        <v>74</v>
      </c>
      <c r="W706" t="s">
        <v>10206</v>
      </c>
      <c r="X706" t="s">
        <v>10207</v>
      </c>
      <c r="Y706" t="s">
        <v>74</v>
      </c>
      <c r="Z706" t="s">
        <v>74</v>
      </c>
      <c r="AA706" t="s">
        <v>10208</v>
      </c>
      <c r="AB706" t="s">
        <v>74</v>
      </c>
      <c r="AC706" t="s">
        <v>74</v>
      </c>
      <c r="AD706" t="s">
        <v>74</v>
      </c>
      <c r="AE706" t="s">
        <v>74</v>
      </c>
      <c r="AF706" t="s">
        <v>74</v>
      </c>
      <c r="AG706">
        <v>0</v>
      </c>
      <c r="AH706">
        <v>0</v>
      </c>
      <c r="AI706">
        <v>0</v>
      </c>
      <c r="AJ706">
        <v>0</v>
      </c>
      <c r="AK706">
        <v>2</v>
      </c>
      <c r="AL706" t="s">
        <v>169</v>
      </c>
      <c r="AM706" t="s">
        <v>170</v>
      </c>
      <c r="AN706" t="s">
        <v>171</v>
      </c>
      <c r="AO706" t="s">
        <v>1929</v>
      </c>
      <c r="AP706" t="s">
        <v>1930</v>
      </c>
      <c r="AQ706" t="s">
        <v>74</v>
      </c>
      <c r="AR706" t="s">
        <v>1931</v>
      </c>
      <c r="AS706" t="s">
        <v>1932</v>
      </c>
      <c r="AT706" t="s">
        <v>997</v>
      </c>
      <c r="AU706">
        <v>2017</v>
      </c>
      <c r="AV706">
        <v>31</v>
      </c>
      <c r="AW706" t="s">
        <v>74</v>
      </c>
      <c r="AX706" t="s">
        <v>74</v>
      </c>
      <c r="AY706">
        <v>1</v>
      </c>
      <c r="AZ706" t="s">
        <v>1080</v>
      </c>
      <c r="BA706" t="s">
        <v>10209</v>
      </c>
      <c r="BB706">
        <v>10</v>
      </c>
      <c r="BC706">
        <v>10</v>
      </c>
      <c r="BD706" t="s">
        <v>74</v>
      </c>
      <c r="BE706" t="s">
        <v>74</v>
      </c>
      <c r="BF706" t="s">
        <v>74</v>
      </c>
      <c r="BG706" t="s">
        <v>74</v>
      </c>
      <c r="BH706" t="s">
        <v>74</v>
      </c>
      <c r="BI706">
        <v>1</v>
      </c>
      <c r="BJ706" t="s">
        <v>1477</v>
      </c>
      <c r="BK706" t="s">
        <v>101</v>
      </c>
      <c r="BL706" t="s">
        <v>1477</v>
      </c>
      <c r="BM706" t="s">
        <v>10210</v>
      </c>
      <c r="BN706" t="s">
        <v>74</v>
      </c>
      <c r="BO706" t="s">
        <v>74</v>
      </c>
      <c r="BP706" t="s">
        <v>74</v>
      </c>
      <c r="BQ706" t="s">
        <v>74</v>
      </c>
      <c r="BR706" t="s">
        <v>104</v>
      </c>
      <c r="BS706" t="s">
        <v>10211</v>
      </c>
      <c r="BT706" t="str">
        <f>HYPERLINK("https%3A%2F%2Fwww.webofscience.com%2Fwos%2Fwoscc%2Ffull-record%2FWOS:000398082700025","View Full Record in Web of Science")</f>
        <v>View Full Record in Web of Science</v>
      </c>
    </row>
    <row r="707" spans="1:72" x14ac:dyDescent="0.25">
      <c r="A707" t="s">
        <v>72</v>
      </c>
      <c r="B707" t="s">
        <v>10212</v>
      </c>
      <c r="C707" t="s">
        <v>74</v>
      </c>
      <c r="D707" t="s">
        <v>74</v>
      </c>
      <c r="E707" t="s">
        <v>74</v>
      </c>
      <c r="F707" t="s">
        <v>10213</v>
      </c>
      <c r="G707" t="s">
        <v>74</v>
      </c>
      <c r="H707" t="s">
        <v>74</v>
      </c>
      <c r="I707" t="s">
        <v>10214</v>
      </c>
      <c r="J707" t="s">
        <v>10215</v>
      </c>
      <c r="K707" t="s">
        <v>74</v>
      </c>
      <c r="L707" t="s">
        <v>74</v>
      </c>
      <c r="M707" t="s">
        <v>78</v>
      </c>
      <c r="N707" t="s">
        <v>79</v>
      </c>
      <c r="O707" t="s">
        <v>74</v>
      </c>
      <c r="P707" t="s">
        <v>74</v>
      </c>
      <c r="Q707" t="s">
        <v>74</v>
      </c>
      <c r="R707" t="s">
        <v>74</v>
      </c>
      <c r="S707" t="s">
        <v>74</v>
      </c>
      <c r="T707" t="s">
        <v>10216</v>
      </c>
      <c r="U707" t="s">
        <v>10217</v>
      </c>
      <c r="V707" t="s">
        <v>10218</v>
      </c>
      <c r="W707" t="s">
        <v>10219</v>
      </c>
      <c r="X707" t="s">
        <v>10220</v>
      </c>
      <c r="Y707" t="s">
        <v>10221</v>
      </c>
      <c r="Z707" t="s">
        <v>756</v>
      </c>
      <c r="AA707" t="s">
        <v>10222</v>
      </c>
      <c r="AB707" t="s">
        <v>10223</v>
      </c>
      <c r="AC707" t="s">
        <v>10224</v>
      </c>
      <c r="AD707" t="s">
        <v>10225</v>
      </c>
      <c r="AE707" t="s">
        <v>10226</v>
      </c>
      <c r="AF707" t="s">
        <v>74</v>
      </c>
      <c r="AG707">
        <v>59</v>
      </c>
      <c r="AH707">
        <v>49</v>
      </c>
      <c r="AI707">
        <v>50</v>
      </c>
      <c r="AJ707">
        <v>2</v>
      </c>
      <c r="AK707">
        <v>8</v>
      </c>
      <c r="AL707" t="s">
        <v>122</v>
      </c>
      <c r="AM707" t="s">
        <v>123</v>
      </c>
      <c r="AN707" t="s">
        <v>124</v>
      </c>
      <c r="AO707" t="s">
        <v>10227</v>
      </c>
      <c r="AP707" t="s">
        <v>10228</v>
      </c>
      <c r="AQ707" t="s">
        <v>74</v>
      </c>
      <c r="AR707" t="s">
        <v>10229</v>
      </c>
      <c r="AS707" t="s">
        <v>10230</v>
      </c>
      <c r="AT707" t="s">
        <v>997</v>
      </c>
      <c r="AU707">
        <v>2017</v>
      </c>
      <c r="AV707">
        <v>10</v>
      </c>
      <c r="AW707">
        <v>4</v>
      </c>
      <c r="AX707" t="s">
        <v>74</v>
      </c>
      <c r="AY707" t="s">
        <v>74</v>
      </c>
      <c r="AZ707" t="s">
        <v>74</v>
      </c>
      <c r="BA707" t="s">
        <v>74</v>
      </c>
      <c r="BB707" t="s">
        <v>74</v>
      </c>
      <c r="BC707" t="s">
        <v>74</v>
      </c>
      <c r="BD707" t="s">
        <v>10231</v>
      </c>
      <c r="BE707" t="s">
        <v>10232</v>
      </c>
      <c r="BF707" t="str">
        <f>HYPERLINK("http://dx.doi.org/10.1161/CIRCHEARTFAILURE.116.003703","http://dx.doi.org/10.1161/CIRCHEARTFAILURE.116.003703")</f>
        <v>http://dx.doi.org/10.1161/CIRCHEARTFAILURE.116.003703</v>
      </c>
      <c r="BG707" t="s">
        <v>74</v>
      </c>
      <c r="BH707" t="s">
        <v>74</v>
      </c>
      <c r="BI707">
        <v>7</v>
      </c>
      <c r="BJ707" t="s">
        <v>132</v>
      </c>
      <c r="BK707" t="s">
        <v>101</v>
      </c>
      <c r="BL707" t="s">
        <v>133</v>
      </c>
      <c r="BM707" t="s">
        <v>10233</v>
      </c>
      <c r="BN707">
        <v>28364092</v>
      </c>
      <c r="BO707" t="s">
        <v>1194</v>
      </c>
      <c r="BP707" t="s">
        <v>74</v>
      </c>
      <c r="BQ707" t="s">
        <v>74</v>
      </c>
      <c r="BR707" t="s">
        <v>104</v>
      </c>
      <c r="BS707" t="s">
        <v>10234</v>
      </c>
      <c r="BT707" t="str">
        <f>HYPERLINK("https%3A%2F%2Fwww.webofscience.com%2Fwos%2Fwoscc%2Ffull-record%2FWOS:000426415500006","View Full Record in Web of Science")</f>
        <v>View Full Record in Web of Science</v>
      </c>
    </row>
    <row r="708" spans="1:72" x14ac:dyDescent="0.25">
      <c r="A708" t="s">
        <v>72</v>
      </c>
      <c r="B708" t="s">
        <v>10235</v>
      </c>
      <c r="C708" t="s">
        <v>74</v>
      </c>
      <c r="D708" t="s">
        <v>74</v>
      </c>
      <c r="E708" t="s">
        <v>74</v>
      </c>
      <c r="F708" t="s">
        <v>10236</v>
      </c>
      <c r="G708" t="s">
        <v>74</v>
      </c>
      <c r="H708" t="s">
        <v>74</v>
      </c>
      <c r="I708" t="s">
        <v>10237</v>
      </c>
      <c r="J708" t="s">
        <v>637</v>
      </c>
      <c r="K708" t="s">
        <v>74</v>
      </c>
      <c r="L708" t="s">
        <v>74</v>
      </c>
      <c r="M708" t="s">
        <v>78</v>
      </c>
      <c r="N708" t="s">
        <v>79</v>
      </c>
      <c r="O708" t="s">
        <v>74</v>
      </c>
      <c r="P708" t="s">
        <v>74</v>
      </c>
      <c r="Q708" t="s">
        <v>74</v>
      </c>
      <c r="R708" t="s">
        <v>74</v>
      </c>
      <c r="S708" t="s">
        <v>74</v>
      </c>
      <c r="T708" t="s">
        <v>74</v>
      </c>
      <c r="U708" t="s">
        <v>10238</v>
      </c>
      <c r="V708" t="s">
        <v>74</v>
      </c>
      <c r="W708" t="s">
        <v>10239</v>
      </c>
      <c r="X708" t="s">
        <v>10240</v>
      </c>
      <c r="Y708" t="s">
        <v>10241</v>
      </c>
      <c r="Z708" t="s">
        <v>10242</v>
      </c>
      <c r="AA708" t="s">
        <v>10243</v>
      </c>
      <c r="AB708" t="s">
        <v>10244</v>
      </c>
      <c r="AC708" t="s">
        <v>10245</v>
      </c>
      <c r="AD708" t="s">
        <v>8029</v>
      </c>
      <c r="AE708" t="s">
        <v>74</v>
      </c>
      <c r="AF708" t="s">
        <v>74</v>
      </c>
      <c r="AG708">
        <v>125</v>
      </c>
      <c r="AH708">
        <v>118</v>
      </c>
      <c r="AI708">
        <v>124</v>
      </c>
      <c r="AJ708">
        <v>1</v>
      </c>
      <c r="AK708">
        <v>12</v>
      </c>
      <c r="AL708" t="s">
        <v>649</v>
      </c>
      <c r="AM708" t="s">
        <v>486</v>
      </c>
      <c r="AN708" t="s">
        <v>650</v>
      </c>
      <c r="AO708" t="s">
        <v>651</v>
      </c>
      <c r="AP708" t="s">
        <v>652</v>
      </c>
      <c r="AQ708" t="s">
        <v>74</v>
      </c>
      <c r="AR708" t="s">
        <v>653</v>
      </c>
      <c r="AS708" t="s">
        <v>654</v>
      </c>
      <c r="AT708" t="s">
        <v>1097</v>
      </c>
      <c r="AU708">
        <v>2017</v>
      </c>
      <c r="AV708">
        <v>195</v>
      </c>
      <c r="AW708">
        <v>5</v>
      </c>
      <c r="AX708" t="s">
        <v>74</v>
      </c>
      <c r="AY708" t="s">
        <v>74</v>
      </c>
      <c r="AZ708" t="s">
        <v>74</v>
      </c>
      <c r="BA708" t="s">
        <v>74</v>
      </c>
      <c r="BB708">
        <v>583</v>
      </c>
      <c r="BC708">
        <v>595</v>
      </c>
      <c r="BD708" t="s">
        <v>74</v>
      </c>
      <c r="BE708" t="s">
        <v>10246</v>
      </c>
      <c r="BF708" t="str">
        <f>HYPERLINK("http://dx.doi.org/10.1164/rccm.201607-1515PP","http://dx.doi.org/10.1164/rccm.201607-1515PP")</f>
        <v>http://dx.doi.org/10.1164/rccm.201607-1515PP</v>
      </c>
      <c r="BG708" t="s">
        <v>74</v>
      </c>
      <c r="BH708" t="s">
        <v>74</v>
      </c>
      <c r="BI708">
        <v>13</v>
      </c>
      <c r="BJ708" t="s">
        <v>341</v>
      </c>
      <c r="BK708" t="s">
        <v>101</v>
      </c>
      <c r="BL708" t="s">
        <v>342</v>
      </c>
      <c r="BM708" t="s">
        <v>10247</v>
      </c>
      <c r="BN708">
        <v>27649290</v>
      </c>
      <c r="BO708" t="s">
        <v>103</v>
      </c>
      <c r="BP708" t="s">
        <v>74</v>
      </c>
      <c r="BQ708" t="s">
        <v>74</v>
      </c>
      <c r="BR708" t="s">
        <v>104</v>
      </c>
      <c r="BS708" t="s">
        <v>10248</v>
      </c>
      <c r="BT708" t="str">
        <f>HYPERLINK("https%3A%2F%2Fwww.webofscience.com%2Fwos%2Fwoscc%2Ffull-record%2FWOS:000395357400008","View Full Record in Web of Science")</f>
        <v>View Full Record in Web of Science</v>
      </c>
    </row>
    <row r="709" spans="1:72" x14ac:dyDescent="0.25">
      <c r="A709" t="s">
        <v>72</v>
      </c>
      <c r="B709" t="s">
        <v>10249</v>
      </c>
      <c r="C709" t="s">
        <v>74</v>
      </c>
      <c r="D709" t="s">
        <v>74</v>
      </c>
      <c r="E709" t="s">
        <v>74</v>
      </c>
      <c r="F709" t="s">
        <v>10250</v>
      </c>
      <c r="G709" t="s">
        <v>74</v>
      </c>
      <c r="H709" t="s">
        <v>74</v>
      </c>
      <c r="I709" t="s">
        <v>10251</v>
      </c>
      <c r="J709" t="s">
        <v>2398</v>
      </c>
      <c r="K709" t="s">
        <v>74</v>
      </c>
      <c r="L709" t="s">
        <v>74</v>
      </c>
      <c r="M709" t="s">
        <v>78</v>
      </c>
      <c r="N709" t="s">
        <v>52</v>
      </c>
      <c r="O709" t="s">
        <v>74</v>
      </c>
      <c r="P709" t="s">
        <v>74</v>
      </c>
      <c r="Q709" t="s">
        <v>74</v>
      </c>
      <c r="R709" t="s">
        <v>74</v>
      </c>
      <c r="S709" t="s">
        <v>74</v>
      </c>
      <c r="T709" t="s">
        <v>74</v>
      </c>
      <c r="U709" t="s">
        <v>74</v>
      </c>
      <c r="V709" t="s">
        <v>74</v>
      </c>
      <c r="W709" t="s">
        <v>10252</v>
      </c>
      <c r="X709" t="s">
        <v>10253</v>
      </c>
      <c r="Y709" t="s">
        <v>74</v>
      </c>
      <c r="Z709" t="s">
        <v>74</v>
      </c>
      <c r="AA709" t="s">
        <v>10254</v>
      </c>
      <c r="AB709" t="s">
        <v>10255</v>
      </c>
      <c r="AC709" t="s">
        <v>74</v>
      </c>
      <c r="AD709" t="s">
        <v>74</v>
      </c>
      <c r="AE709" t="s">
        <v>74</v>
      </c>
      <c r="AF709" t="s">
        <v>74</v>
      </c>
      <c r="AG709">
        <v>0</v>
      </c>
      <c r="AH709">
        <v>0</v>
      </c>
      <c r="AI709">
        <v>0</v>
      </c>
      <c r="AJ709">
        <v>0</v>
      </c>
      <c r="AK709">
        <v>0</v>
      </c>
      <c r="AL709" t="s">
        <v>169</v>
      </c>
      <c r="AM709" t="s">
        <v>170</v>
      </c>
      <c r="AN709" t="s">
        <v>171</v>
      </c>
      <c r="AO709" t="s">
        <v>2403</v>
      </c>
      <c r="AP709" t="s">
        <v>2404</v>
      </c>
      <c r="AQ709" t="s">
        <v>74</v>
      </c>
      <c r="AR709" t="s">
        <v>2398</v>
      </c>
      <c r="AS709" t="s">
        <v>2405</v>
      </c>
      <c r="AT709" t="s">
        <v>98</v>
      </c>
      <c r="AU709">
        <v>2017</v>
      </c>
      <c r="AV709">
        <v>22</v>
      </c>
      <c r="AW709" t="s">
        <v>74</v>
      </c>
      <c r="AX709" t="s">
        <v>74</v>
      </c>
      <c r="AY709">
        <v>2</v>
      </c>
      <c r="AZ709" t="s">
        <v>1080</v>
      </c>
      <c r="BA709" t="s">
        <v>10256</v>
      </c>
      <c r="BB709">
        <v>31</v>
      </c>
      <c r="BC709">
        <v>31</v>
      </c>
      <c r="BD709" t="s">
        <v>74</v>
      </c>
      <c r="BE709" t="s">
        <v>74</v>
      </c>
      <c r="BF709" t="s">
        <v>74</v>
      </c>
      <c r="BG709" t="s">
        <v>74</v>
      </c>
      <c r="BH709" t="s">
        <v>74</v>
      </c>
      <c r="BI709">
        <v>1</v>
      </c>
      <c r="BJ709" t="s">
        <v>228</v>
      </c>
      <c r="BK709" t="s">
        <v>101</v>
      </c>
      <c r="BL709" t="s">
        <v>228</v>
      </c>
      <c r="BM709" t="s">
        <v>10257</v>
      </c>
      <c r="BN709" t="s">
        <v>74</v>
      </c>
      <c r="BO709" t="s">
        <v>74</v>
      </c>
      <c r="BP709" t="s">
        <v>74</v>
      </c>
      <c r="BQ709" t="s">
        <v>74</v>
      </c>
      <c r="BR709" t="s">
        <v>104</v>
      </c>
      <c r="BS709" t="s">
        <v>10258</v>
      </c>
      <c r="BT709" t="str">
        <f>HYPERLINK("https%3A%2F%2Fwww.webofscience.com%2Fwos%2Fwoscc%2Ffull-record%2FWOS:000396791000054","View Full Record in Web of Science")</f>
        <v>View Full Record in Web of Science</v>
      </c>
    </row>
    <row r="710" spans="1:72" x14ac:dyDescent="0.25">
      <c r="A710" t="s">
        <v>72</v>
      </c>
      <c r="B710" t="s">
        <v>10259</v>
      </c>
      <c r="C710" t="s">
        <v>74</v>
      </c>
      <c r="D710" t="s">
        <v>74</v>
      </c>
      <c r="E710" t="s">
        <v>74</v>
      </c>
      <c r="F710" t="s">
        <v>10260</v>
      </c>
      <c r="G710" t="s">
        <v>74</v>
      </c>
      <c r="H710" t="s">
        <v>74</v>
      </c>
      <c r="I710" t="s">
        <v>10261</v>
      </c>
      <c r="J710" t="s">
        <v>2398</v>
      </c>
      <c r="K710" t="s">
        <v>74</v>
      </c>
      <c r="L710" t="s">
        <v>74</v>
      </c>
      <c r="M710" t="s">
        <v>78</v>
      </c>
      <c r="N710" t="s">
        <v>52</v>
      </c>
      <c r="O710" t="s">
        <v>74</v>
      </c>
      <c r="P710" t="s">
        <v>74</v>
      </c>
      <c r="Q710" t="s">
        <v>74</v>
      </c>
      <c r="R710" t="s">
        <v>74</v>
      </c>
      <c r="S710" t="s">
        <v>74</v>
      </c>
      <c r="T710" t="s">
        <v>74</v>
      </c>
      <c r="U710" t="s">
        <v>74</v>
      </c>
      <c r="V710" t="s">
        <v>74</v>
      </c>
      <c r="W710" t="s">
        <v>10262</v>
      </c>
      <c r="X710" t="s">
        <v>10263</v>
      </c>
      <c r="Y710" t="s">
        <v>74</v>
      </c>
      <c r="Z710" t="s">
        <v>74</v>
      </c>
      <c r="AA710" t="s">
        <v>144</v>
      </c>
      <c r="AB710" t="s">
        <v>74</v>
      </c>
      <c r="AC710" t="s">
        <v>10264</v>
      </c>
      <c r="AD710" t="s">
        <v>10265</v>
      </c>
      <c r="AE710" t="s">
        <v>10266</v>
      </c>
      <c r="AF710" t="s">
        <v>74</v>
      </c>
      <c r="AG710">
        <v>0</v>
      </c>
      <c r="AH710">
        <v>0</v>
      </c>
      <c r="AI710">
        <v>0</v>
      </c>
      <c r="AJ710">
        <v>0</v>
      </c>
      <c r="AK710">
        <v>0</v>
      </c>
      <c r="AL710" t="s">
        <v>169</v>
      </c>
      <c r="AM710" t="s">
        <v>170</v>
      </c>
      <c r="AN710" t="s">
        <v>171</v>
      </c>
      <c r="AO710" t="s">
        <v>2403</v>
      </c>
      <c r="AP710" t="s">
        <v>2404</v>
      </c>
      <c r="AQ710" t="s">
        <v>74</v>
      </c>
      <c r="AR710" t="s">
        <v>2398</v>
      </c>
      <c r="AS710" t="s">
        <v>2405</v>
      </c>
      <c r="AT710" t="s">
        <v>98</v>
      </c>
      <c r="AU710">
        <v>2017</v>
      </c>
      <c r="AV710">
        <v>22</v>
      </c>
      <c r="AW710" t="s">
        <v>74</v>
      </c>
      <c r="AX710" t="s">
        <v>74</v>
      </c>
      <c r="AY710">
        <v>2</v>
      </c>
      <c r="AZ710" t="s">
        <v>1080</v>
      </c>
      <c r="BA710" t="s">
        <v>10267</v>
      </c>
      <c r="BB710">
        <v>52</v>
      </c>
      <c r="BC710">
        <v>52</v>
      </c>
      <c r="BD710" t="s">
        <v>74</v>
      </c>
      <c r="BE710" t="s">
        <v>74</v>
      </c>
      <c r="BF710" t="s">
        <v>74</v>
      </c>
      <c r="BG710" t="s">
        <v>74</v>
      </c>
      <c r="BH710" t="s">
        <v>74</v>
      </c>
      <c r="BI710">
        <v>1</v>
      </c>
      <c r="BJ710" t="s">
        <v>228</v>
      </c>
      <c r="BK710" t="s">
        <v>101</v>
      </c>
      <c r="BL710" t="s">
        <v>228</v>
      </c>
      <c r="BM710" t="s">
        <v>10257</v>
      </c>
      <c r="BN710" t="s">
        <v>74</v>
      </c>
      <c r="BO710" t="s">
        <v>74</v>
      </c>
      <c r="BP710" t="s">
        <v>74</v>
      </c>
      <c r="BQ710" t="s">
        <v>74</v>
      </c>
      <c r="BR710" t="s">
        <v>104</v>
      </c>
      <c r="BS710" t="s">
        <v>10268</v>
      </c>
      <c r="BT710" t="str">
        <f>HYPERLINK("https%3A%2F%2Fwww.webofscience.com%2Fwos%2Fwoscc%2Ffull-record%2FWOS:000396791000093","View Full Record in Web of Science")</f>
        <v>View Full Record in Web of Science</v>
      </c>
    </row>
    <row r="711" spans="1:72" x14ac:dyDescent="0.25">
      <c r="A711" t="s">
        <v>72</v>
      </c>
      <c r="B711" t="s">
        <v>10269</v>
      </c>
      <c r="C711" t="s">
        <v>74</v>
      </c>
      <c r="D711" t="s">
        <v>74</v>
      </c>
      <c r="E711" t="s">
        <v>74</v>
      </c>
      <c r="F711" t="s">
        <v>10270</v>
      </c>
      <c r="G711" t="s">
        <v>74</v>
      </c>
      <c r="H711" t="s">
        <v>74</v>
      </c>
      <c r="I711" t="s">
        <v>10271</v>
      </c>
      <c r="J711" t="s">
        <v>833</v>
      </c>
      <c r="K711" t="s">
        <v>74</v>
      </c>
      <c r="L711" t="s">
        <v>74</v>
      </c>
      <c r="M711" t="s">
        <v>78</v>
      </c>
      <c r="N711" t="s">
        <v>460</v>
      </c>
      <c r="O711" t="s">
        <v>74</v>
      </c>
      <c r="P711" t="s">
        <v>74</v>
      </c>
      <c r="Q711" t="s">
        <v>74</v>
      </c>
      <c r="R711" t="s">
        <v>74</v>
      </c>
      <c r="S711" t="s">
        <v>74</v>
      </c>
      <c r="T711" t="s">
        <v>74</v>
      </c>
      <c r="U711" t="s">
        <v>10272</v>
      </c>
      <c r="V711" t="s">
        <v>74</v>
      </c>
      <c r="W711" t="s">
        <v>10273</v>
      </c>
      <c r="X711" t="s">
        <v>10274</v>
      </c>
      <c r="Y711" t="s">
        <v>10275</v>
      </c>
      <c r="Z711" t="s">
        <v>74</v>
      </c>
      <c r="AA711" t="s">
        <v>10276</v>
      </c>
      <c r="AB711" t="s">
        <v>10277</v>
      </c>
      <c r="AC711" t="s">
        <v>10278</v>
      </c>
      <c r="AD711" t="s">
        <v>10279</v>
      </c>
      <c r="AE711" t="s">
        <v>10280</v>
      </c>
      <c r="AF711" t="s">
        <v>74</v>
      </c>
      <c r="AG711">
        <v>21</v>
      </c>
      <c r="AH711">
        <v>39</v>
      </c>
      <c r="AI711">
        <v>39</v>
      </c>
      <c r="AJ711">
        <v>0</v>
      </c>
      <c r="AK711">
        <v>8</v>
      </c>
      <c r="AL711" t="s">
        <v>649</v>
      </c>
      <c r="AM711" t="s">
        <v>486</v>
      </c>
      <c r="AN711" t="s">
        <v>650</v>
      </c>
      <c r="AO711" t="s">
        <v>844</v>
      </c>
      <c r="AP711" t="s">
        <v>845</v>
      </c>
      <c r="AQ711" t="s">
        <v>74</v>
      </c>
      <c r="AR711" t="s">
        <v>846</v>
      </c>
      <c r="AS711" t="s">
        <v>847</v>
      </c>
      <c r="AT711" t="s">
        <v>98</v>
      </c>
      <c r="AU711">
        <v>2017</v>
      </c>
      <c r="AV711">
        <v>56</v>
      </c>
      <c r="AW711">
        <v>3</v>
      </c>
      <c r="AX711" t="s">
        <v>74</v>
      </c>
      <c r="AY711" t="s">
        <v>74</v>
      </c>
      <c r="AZ711" t="s">
        <v>74</v>
      </c>
      <c r="BA711" t="s">
        <v>74</v>
      </c>
      <c r="BB711">
        <v>402</v>
      </c>
      <c r="BC711">
        <v>405</v>
      </c>
      <c r="BD711" t="s">
        <v>74</v>
      </c>
      <c r="BE711" t="s">
        <v>74</v>
      </c>
      <c r="BF711" t="s">
        <v>74</v>
      </c>
      <c r="BG711" t="s">
        <v>74</v>
      </c>
      <c r="BH711" t="s">
        <v>74</v>
      </c>
      <c r="BI711">
        <v>4</v>
      </c>
      <c r="BJ711" t="s">
        <v>849</v>
      </c>
      <c r="BK711" t="s">
        <v>101</v>
      </c>
      <c r="BL711" t="s">
        <v>849</v>
      </c>
      <c r="BM711" t="s">
        <v>10281</v>
      </c>
      <c r="BN711">
        <v>28248132</v>
      </c>
      <c r="BO711" t="s">
        <v>74</v>
      </c>
      <c r="BP711" t="s">
        <v>74</v>
      </c>
      <c r="BQ711" t="s">
        <v>74</v>
      </c>
      <c r="BR711" t="s">
        <v>104</v>
      </c>
      <c r="BS711" t="s">
        <v>10282</v>
      </c>
      <c r="BT711" t="str">
        <f>HYPERLINK("https%3A%2F%2Fwww.webofscience.com%2Fwos%2Fwoscc%2Ffull-record%2FWOS:000398808300017","View Full Record in Web of Science")</f>
        <v>View Full Record in Web of Science</v>
      </c>
    </row>
    <row r="712" spans="1:72" x14ac:dyDescent="0.25">
      <c r="A712" t="s">
        <v>72</v>
      </c>
      <c r="B712" t="s">
        <v>10283</v>
      </c>
      <c r="C712" t="s">
        <v>74</v>
      </c>
      <c r="D712" t="s">
        <v>74</v>
      </c>
      <c r="E712" t="s">
        <v>74</v>
      </c>
      <c r="F712" t="s">
        <v>10284</v>
      </c>
      <c r="G712" t="s">
        <v>74</v>
      </c>
      <c r="H712" t="s">
        <v>74</v>
      </c>
      <c r="I712" t="s">
        <v>10285</v>
      </c>
      <c r="J712" t="s">
        <v>5479</v>
      </c>
      <c r="K712" t="s">
        <v>74</v>
      </c>
      <c r="L712" t="s">
        <v>74</v>
      </c>
      <c r="M712" t="s">
        <v>78</v>
      </c>
      <c r="N712" t="s">
        <v>217</v>
      </c>
      <c r="O712" t="s">
        <v>74</v>
      </c>
      <c r="P712" t="s">
        <v>74</v>
      </c>
      <c r="Q712" t="s">
        <v>74</v>
      </c>
      <c r="R712" t="s">
        <v>74</v>
      </c>
      <c r="S712" t="s">
        <v>74</v>
      </c>
      <c r="T712" t="s">
        <v>74</v>
      </c>
      <c r="U712" t="s">
        <v>74</v>
      </c>
      <c r="V712" t="s">
        <v>74</v>
      </c>
      <c r="W712" t="s">
        <v>10286</v>
      </c>
      <c r="X712" t="s">
        <v>10287</v>
      </c>
      <c r="Y712" t="s">
        <v>10288</v>
      </c>
      <c r="Z712" t="s">
        <v>4563</v>
      </c>
      <c r="AA712" t="s">
        <v>10289</v>
      </c>
      <c r="AB712" t="s">
        <v>10290</v>
      </c>
      <c r="AC712" t="s">
        <v>10291</v>
      </c>
      <c r="AD712" t="s">
        <v>10292</v>
      </c>
      <c r="AE712" t="s">
        <v>74</v>
      </c>
      <c r="AF712" t="s">
        <v>74</v>
      </c>
      <c r="AG712">
        <v>1</v>
      </c>
      <c r="AH712">
        <v>2</v>
      </c>
      <c r="AI712">
        <v>2</v>
      </c>
      <c r="AJ712">
        <v>0</v>
      </c>
      <c r="AK712">
        <v>48</v>
      </c>
      <c r="AL712" t="s">
        <v>1854</v>
      </c>
      <c r="AM712" t="s">
        <v>201</v>
      </c>
      <c r="AN712" t="s">
        <v>1855</v>
      </c>
      <c r="AO712" t="s">
        <v>74</v>
      </c>
      <c r="AP712" t="s">
        <v>5490</v>
      </c>
      <c r="AQ712" t="s">
        <v>74</v>
      </c>
      <c r="AR712" t="s">
        <v>5491</v>
      </c>
      <c r="AS712" t="s">
        <v>5492</v>
      </c>
      <c r="AT712" t="s">
        <v>10293</v>
      </c>
      <c r="AU712">
        <v>2017</v>
      </c>
      <c r="AV712">
        <v>7</v>
      </c>
      <c r="AW712" t="s">
        <v>74</v>
      </c>
      <c r="AX712" t="s">
        <v>74</v>
      </c>
      <c r="AY712" t="s">
        <v>74</v>
      </c>
      <c r="AZ712" t="s">
        <v>74</v>
      </c>
      <c r="BA712" t="s">
        <v>74</v>
      </c>
      <c r="BB712" t="s">
        <v>74</v>
      </c>
      <c r="BC712" t="s">
        <v>74</v>
      </c>
      <c r="BD712">
        <v>5</v>
      </c>
      <c r="BE712" t="s">
        <v>10294</v>
      </c>
      <c r="BF712" t="str">
        <f>HYPERLINK("http://dx.doi.org/10.1186/s13601-016-0135-6","http://dx.doi.org/10.1186/s13601-016-0135-6")</f>
        <v>http://dx.doi.org/10.1186/s13601-016-0135-6</v>
      </c>
      <c r="BG712" t="s">
        <v>74</v>
      </c>
      <c r="BH712" t="s">
        <v>74</v>
      </c>
      <c r="BI712">
        <v>5</v>
      </c>
      <c r="BJ712" t="s">
        <v>601</v>
      </c>
      <c r="BK712" t="s">
        <v>101</v>
      </c>
      <c r="BL712" t="s">
        <v>601</v>
      </c>
      <c r="BM712" t="s">
        <v>10295</v>
      </c>
      <c r="BN712">
        <v>28239450</v>
      </c>
      <c r="BO712" t="s">
        <v>10296</v>
      </c>
      <c r="BP712" t="s">
        <v>74</v>
      </c>
      <c r="BQ712" t="s">
        <v>74</v>
      </c>
      <c r="BR712" t="s">
        <v>104</v>
      </c>
      <c r="BS712" t="s">
        <v>10297</v>
      </c>
      <c r="BT712" t="str">
        <f>HYPERLINK("https%3A%2F%2Fwww.webofscience.com%2Fwos%2Fwoscc%2Ffull-record%2FWOS:000396073300001","View Full Record in Web of Science")</f>
        <v>View Full Record in Web of Science</v>
      </c>
    </row>
    <row r="713" spans="1:72" x14ac:dyDescent="0.25">
      <c r="A713" t="s">
        <v>72</v>
      </c>
      <c r="B713" t="s">
        <v>10298</v>
      </c>
      <c r="C713" t="s">
        <v>74</v>
      </c>
      <c r="D713" t="s">
        <v>74</v>
      </c>
      <c r="E713" t="s">
        <v>74</v>
      </c>
      <c r="F713" t="s">
        <v>10299</v>
      </c>
      <c r="G713" t="s">
        <v>74</v>
      </c>
      <c r="H713" t="s">
        <v>74</v>
      </c>
      <c r="I713" t="s">
        <v>10300</v>
      </c>
      <c r="J713" t="s">
        <v>10301</v>
      </c>
      <c r="K713" t="s">
        <v>74</v>
      </c>
      <c r="L713" t="s">
        <v>74</v>
      </c>
      <c r="M713" t="s">
        <v>78</v>
      </c>
      <c r="N713" t="s">
        <v>79</v>
      </c>
      <c r="O713" t="s">
        <v>74</v>
      </c>
      <c r="P713" t="s">
        <v>74</v>
      </c>
      <c r="Q713" t="s">
        <v>74</v>
      </c>
      <c r="R713" t="s">
        <v>74</v>
      </c>
      <c r="S713" t="s">
        <v>74</v>
      </c>
      <c r="T713" t="s">
        <v>74</v>
      </c>
      <c r="U713" t="s">
        <v>10302</v>
      </c>
      <c r="V713" t="s">
        <v>10303</v>
      </c>
      <c r="W713" t="s">
        <v>10304</v>
      </c>
      <c r="X713" t="s">
        <v>10305</v>
      </c>
      <c r="Y713" t="s">
        <v>10306</v>
      </c>
      <c r="Z713" t="s">
        <v>10307</v>
      </c>
      <c r="AA713" t="s">
        <v>218</v>
      </c>
      <c r="AB713" t="s">
        <v>10308</v>
      </c>
      <c r="AC713" t="s">
        <v>10309</v>
      </c>
      <c r="AD713" t="s">
        <v>10309</v>
      </c>
      <c r="AE713" t="s">
        <v>10310</v>
      </c>
      <c r="AF713" t="s">
        <v>74</v>
      </c>
      <c r="AG713">
        <v>55</v>
      </c>
      <c r="AH713">
        <v>43</v>
      </c>
      <c r="AI713">
        <v>54</v>
      </c>
      <c r="AJ713">
        <v>0</v>
      </c>
      <c r="AK713">
        <v>15</v>
      </c>
      <c r="AL713" t="s">
        <v>10311</v>
      </c>
      <c r="AM713" t="s">
        <v>7882</v>
      </c>
      <c r="AN713" t="s">
        <v>10312</v>
      </c>
      <c r="AO713" t="s">
        <v>10313</v>
      </c>
      <c r="AP713" t="s">
        <v>10314</v>
      </c>
      <c r="AQ713" t="s">
        <v>74</v>
      </c>
      <c r="AR713" t="s">
        <v>10315</v>
      </c>
      <c r="AS713" t="s">
        <v>10316</v>
      </c>
      <c r="AT713" t="s">
        <v>2573</v>
      </c>
      <c r="AU713">
        <v>2017</v>
      </c>
      <c r="AV713">
        <v>360</v>
      </c>
      <c r="AW713">
        <v>2</v>
      </c>
      <c r="AX713" t="s">
        <v>74</v>
      </c>
      <c r="AY713" t="s">
        <v>74</v>
      </c>
      <c r="AZ713" t="s">
        <v>74</v>
      </c>
      <c r="BA713" t="s">
        <v>74</v>
      </c>
      <c r="BB713">
        <v>267</v>
      </c>
      <c r="BC713">
        <v>279</v>
      </c>
      <c r="BD713" t="s">
        <v>74</v>
      </c>
      <c r="BE713" t="s">
        <v>10317</v>
      </c>
      <c r="BF713" t="str">
        <f>HYPERLINK("http://dx.doi.org/10.1124/jpet.116.237933","http://dx.doi.org/10.1124/jpet.116.237933")</f>
        <v>http://dx.doi.org/10.1124/jpet.116.237933</v>
      </c>
      <c r="BG713" t="s">
        <v>74</v>
      </c>
      <c r="BH713" t="s">
        <v>74</v>
      </c>
      <c r="BI713">
        <v>13</v>
      </c>
      <c r="BJ713" t="s">
        <v>1477</v>
      </c>
      <c r="BK713" t="s">
        <v>101</v>
      </c>
      <c r="BL713" t="s">
        <v>1477</v>
      </c>
      <c r="BM713" t="s">
        <v>10318</v>
      </c>
      <c r="BN713">
        <v>27927914</v>
      </c>
      <c r="BO713" t="s">
        <v>74</v>
      </c>
      <c r="BP713" t="s">
        <v>74</v>
      </c>
      <c r="BQ713" t="s">
        <v>74</v>
      </c>
      <c r="BR713" t="s">
        <v>104</v>
      </c>
      <c r="BS713" t="s">
        <v>10319</v>
      </c>
      <c r="BT713" t="str">
        <f>HYPERLINK("https%3A%2F%2Fwww.webofscience.com%2Fwos%2Fwoscc%2Ffull-record%2FWOS:000393344900003","View Full Record in Web of Science")</f>
        <v>View Full Record in Web of Science</v>
      </c>
    </row>
    <row r="714" spans="1:72" x14ac:dyDescent="0.25">
      <c r="A714" t="s">
        <v>72</v>
      </c>
      <c r="B714" t="s">
        <v>10320</v>
      </c>
      <c r="C714" t="s">
        <v>74</v>
      </c>
      <c r="D714" t="s">
        <v>74</v>
      </c>
      <c r="E714" t="s">
        <v>74</v>
      </c>
      <c r="F714" t="s">
        <v>10321</v>
      </c>
      <c r="G714" t="s">
        <v>74</v>
      </c>
      <c r="H714" t="s">
        <v>74</v>
      </c>
      <c r="I714" t="s">
        <v>10322</v>
      </c>
      <c r="J714" t="s">
        <v>324</v>
      </c>
      <c r="K714" t="s">
        <v>74</v>
      </c>
      <c r="L714" t="s">
        <v>74</v>
      </c>
      <c r="M714" t="s">
        <v>78</v>
      </c>
      <c r="N714" t="s">
        <v>79</v>
      </c>
      <c r="O714" t="s">
        <v>74</v>
      </c>
      <c r="P714" t="s">
        <v>74</v>
      </c>
      <c r="Q714" t="s">
        <v>74</v>
      </c>
      <c r="R714" t="s">
        <v>74</v>
      </c>
      <c r="S714" t="s">
        <v>74</v>
      </c>
      <c r="T714" t="s">
        <v>10323</v>
      </c>
      <c r="U714" t="s">
        <v>10324</v>
      </c>
      <c r="V714" t="s">
        <v>10325</v>
      </c>
      <c r="W714" t="s">
        <v>10326</v>
      </c>
      <c r="X714" t="s">
        <v>10327</v>
      </c>
      <c r="Y714" t="s">
        <v>10328</v>
      </c>
      <c r="Z714" t="s">
        <v>10329</v>
      </c>
      <c r="AA714" t="s">
        <v>10330</v>
      </c>
      <c r="AB714" t="s">
        <v>10331</v>
      </c>
      <c r="AC714" t="s">
        <v>10332</v>
      </c>
      <c r="AD714" t="s">
        <v>10332</v>
      </c>
      <c r="AE714" t="s">
        <v>10333</v>
      </c>
      <c r="AF714" t="s">
        <v>74</v>
      </c>
      <c r="AG714">
        <v>93</v>
      </c>
      <c r="AH714">
        <v>66</v>
      </c>
      <c r="AI714">
        <v>72</v>
      </c>
      <c r="AJ714">
        <v>2</v>
      </c>
      <c r="AK714">
        <v>11</v>
      </c>
      <c r="AL714" t="s">
        <v>92</v>
      </c>
      <c r="AM714" t="s">
        <v>93</v>
      </c>
      <c r="AN714" t="s">
        <v>94</v>
      </c>
      <c r="AO714" t="s">
        <v>337</v>
      </c>
      <c r="AP714" t="s">
        <v>338</v>
      </c>
      <c r="AQ714" t="s">
        <v>74</v>
      </c>
      <c r="AR714" t="s">
        <v>324</v>
      </c>
      <c r="AS714" t="s">
        <v>339</v>
      </c>
      <c r="AT714" t="s">
        <v>129</v>
      </c>
      <c r="AU714">
        <v>2017</v>
      </c>
      <c r="AV714">
        <v>151</v>
      </c>
      <c r="AW714">
        <v>2</v>
      </c>
      <c r="AX714" t="s">
        <v>74</v>
      </c>
      <c r="AY714" t="s">
        <v>74</v>
      </c>
      <c r="AZ714" t="s">
        <v>74</v>
      </c>
      <c r="BA714" t="s">
        <v>74</v>
      </c>
      <c r="BB714">
        <v>468</v>
      </c>
      <c r="BC714">
        <v>480</v>
      </c>
      <c r="BD714" t="s">
        <v>74</v>
      </c>
      <c r="BE714" t="s">
        <v>10334</v>
      </c>
      <c r="BF714" t="str">
        <f>HYPERLINK("http://dx.doi.org/10.1016/j.chest.2016.05.024","http://dx.doi.org/10.1016/j.chest.2016.05.024")</f>
        <v>http://dx.doi.org/10.1016/j.chest.2016.05.024</v>
      </c>
      <c r="BG714" t="s">
        <v>74</v>
      </c>
      <c r="BH714" t="s">
        <v>74</v>
      </c>
      <c r="BI714">
        <v>13</v>
      </c>
      <c r="BJ714" t="s">
        <v>341</v>
      </c>
      <c r="BK714" t="s">
        <v>101</v>
      </c>
      <c r="BL714" t="s">
        <v>342</v>
      </c>
      <c r="BM714" t="s">
        <v>10335</v>
      </c>
      <c r="BN714">
        <v>27263466</v>
      </c>
      <c r="BO714" t="s">
        <v>612</v>
      </c>
      <c r="BP714" t="s">
        <v>74</v>
      </c>
      <c r="BQ714" t="s">
        <v>74</v>
      </c>
      <c r="BR714" t="s">
        <v>104</v>
      </c>
      <c r="BS714" t="s">
        <v>10336</v>
      </c>
      <c r="BT714" t="str">
        <f>HYPERLINK("https%3A%2F%2Fwww.webofscience.com%2Fwos%2Fwoscc%2Ffull-record%2FWOS:000397155000035","View Full Record in Web of Science")</f>
        <v>View Full Record in Web of Science</v>
      </c>
    </row>
    <row r="715" spans="1:72" x14ac:dyDescent="0.25">
      <c r="A715" t="s">
        <v>72</v>
      </c>
      <c r="B715" t="s">
        <v>10337</v>
      </c>
      <c r="C715" t="s">
        <v>74</v>
      </c>
      <c r="D715" t="s">
        <v>74</v>
      </c>
      <c r="E715" t="s">
        <v>74</v>
      </c>
      <c r="F715" t="s">
        <v>10338</v>
      </c>
      <c r="G715" t="s">
        <v>74</v>
      </c>
      <c r="H715" t="s">
        <v>74</v>
      </c>
      <c r="I715" t="s">
        <v>10339</v>
      </c>
      <c r="J715" t="s">
        <v>10340</v>
      </c>
      <c r="K715" t="s">
        <v>74</v>
      </c>
      <c r="L715" t="s">
        <v>74</v>
      </c>
      <c r="M715" t="s">
        <v>78</v>
      </c>
      <c r="N715" t="s">
        <v>299</v>
      </c>
      <c r="O715" t="s">
        <v>74</v>
      </c>
      <c r="P715" t="s">
        <v>74</v>
      </c>
      <c r="Q715" t="s">
        <v>74</v>
      </c>
      <c r="R715" t="s">
        <v>74</v>
      </c>
      <c r="S715" t="s">
        <v>74</v>
      </c>
      <c r="T715" t="s">
        <v>10341</v>
      </c>
      <c r="U715" t="s">
        <v>10342</v>
      </c>
      <c r="V715" t="s">
        <v>10343</v>
      </c>
      <c r="W715" t="s">
        <v>10344</v>
      </c>
      <c r="X715" t="s">
        <v>10345</v>
      </c>
      <c r="Y715" t="s">
        <v>8921</v>
      </c>
      <c r="Z715" t="s">
        <v>276</v>
      </c>
      <c r="AA715" t="s">
        <v>10346</v>
      </c>
      <c r="AB715" t="s">
        <v>10347</v>
      </c>
      <c r="AC715" t="s">
        <v>74</v>
      </c>
      <c r="AD715" t="s">
        <v>74</v>
      </c>
      <c r="AE715" t="s">
        <v>74</v>
      </c>
      <c r="AF715" t="s">
        <v>74</v>
      </c>
      <c r="AG715">
        <v>145</v>
      </c>
      <c r="AH715">
        <v>37</v>
      </c>
      <c r="AI715">
        <v>38</v>
      </c>
      <c r="AJ715">
        <v>0</v>
      </c>
      <c r="AK715">
        <v>12</v>
      </c>
      <c r="AL715" t="s">
        <v>148</v>
      </c>
      <c r="AM715" t="s">
        <v>149</v>
      </c>
      <c r="AN715" t="s">
        <v>150</v>
      </c>
      <c r="AO715" t="s">
        <v>10348</v>
      </c>
      <c r="AP715" t="s">
        <v>10349</v>
      </c>
      <c r="AQ715" t="s">
        <v>74</v>
      </c>
      <c r="AR715" t="s">
        <v>10350</v>
      </c>
      <c r="AS715" t="s">
        <v>10351</v>
      </c>
      <c r="AT715" t="s">
        <v>129</v>
      </c>
      <c r="AU715">
        <v>2017</v>
      </c>
      <c r="AV715">
        <v>21</v>
      </c>
      <c r="AW715">
        <v>2</v>
      </c>
      <c r="AX715" t="s">
        <v>74</v>
      </c>
      <c r="AY715" t="s">
        <v>74</v>
      </c>
      <c r="AZ715" t="s">
        <v>74</v>
      </c>
      <c r="BA715" t="s">
        <v>74</v>
      </c>
      <c r="BB715">
        <v>181</v>
      </c>
      <c r="BC715">
        <v>190</v>
      </c>
      <c r="BD715" t="s">
        <v>74</v>
      </c>
      <c r="BE715" t="s">
        <v>10352</v>
      </c>
      <c r="BF715" t="str">
        <f>HYPERLINK("http://dx.doi.org/10.1080/14728222.2017.1275567","http://dx.doi.org/10.1080/14728222.2017.1275567")</f>
        <v>http://dx.doi.org/10.1080/14728222.2017.1275567</v>
      </c>
      <c r="BG715" t="s">
        <v>74</v>
      </c>
      <c r="BH715" t="s">
        <v>74</v>
      </c>
      <c r="BI715">
        <v>10</v>
      </c>
      <c r="BJ715" t="s">
        <v>1477</v>
      </c>
      <c r="BK715" t="s">
        <v>101</v>
      </c>
      <c r="BL715" t="s">
        <v>1477</v>
      </c>
      <c r="BM715" t="s">
        <v>10353</v>
      </c>
      <c r="BN715">
        <v>28001443</v>
      </c>
      <c r="BO715" t="s">
        <v>74</v>
      </c>
      <c r="BP715" t="s">
        <v>74</v>
      </c>
      <c r="BQ715" t="s">
        <v>74</v>
      </c>
      <c r="BR715" t="s">
        <v>104</v>
      </c>
      <c r="BS715" t="s">
        <v>10354</v>
      </c>
      <c r="BT715" t="str">
        <f>HYPERLINK("https%3A%2F%2Fwww.webofscience.com%2Fwos%2Fwoscc%2Ffull-record%2FWOS:000393758600007","View Full Record in Web of Science")</f>
        <v>View Full Record in Web of Science</v>
      </c>
    </row>
    <row r="716" spans="1:72" x14ac:dyDescent="0.25">
      <c r="A716" t="s">
        <v>72</v>
      </c>
      <c r="B716" t="s">
        <v>10355</v>
      </c>
      <c r="C716" t="s">
        <v>74</v>
      </c>
      <c r="D716" t="s">
        <v>74</v>
      </c>
      <c r="E716" t="s">
        <v>74</v>
      </c>
      <c r="F716" t="s">
        <v>10356</v>
      </c>
      <c r="G716" t="s">
        <v>74</v>
      </c>
      <c r="H716" t="s">
        <v>74</v>
      </c>
      <c r="I716" t="s">
        <v>10357</v>
      </c>
      <c r="J716" t="s">
        <v>2580</v>
      </c>
      <c r="K716" t="s">
        <v>74</v>
      </c>
      <c r="L716" t="s">
        <v>74</v>
      </c>
      <c r="M716" t="s">
        <v>78</v>
      </c>
      <c r="N716" t="s">
        <v>79</v>
      </c>
      <c r="O716" t="s">
        <v>74</v>
      </c>
      <c r="P716" t="s">
        <v>74</v>
      </c>
      <c r="Q716" t="s">
        <v>74</v>
      </c>
      <c r="R716" t="s">
        <v>74</v>
      </c>
      <c r="S716" t="s">
        <v>74</v>
      </c>
      <c r="T716" t="s">
        <v>74</v>
      </c>
      <c r="U716" t="s">
        <v>10358</v>
      </c>
      <c r="V716" t="s">
        <v>10359</v>
      </c>
      <c r="W716" t="s">
        <v>10360</v>
      </c>
      <c r="X716" t="s">
        <v>10361</v>
      </c>
      <c r="Y716" t="s">
        <v>10362</v>
      </c>
      <c r="Z716" t="s">
        <v>10363</v>
      </c>
      <c r="AA716" t="s">
        <v>10364</v>
      </c>
      <c r="AB716" t="s">
        <v>10365</v>
      </c>
      <c r="AC716" t="s">
        <v>10366</v>
      </c>
      <c r="AD716" t="s">
        <v>10366</v>
      </c>
      <c r="AE716" t="s">
        <v>10367</v>
      </c>
      <c r="AF716" t="s">
        <v>74</v>
      </c>
      <c r="AG716">
        <v>19</v>
      </c>
      <c r="AH716">
        <v>108</v>
      </c>
      <c r="AI716">
        <v>120</v>
      </c>
      <c r="AJ716">
        <v>0</v>
      </c>
      <c r="AK716">
        <v>13</v>
      </c>
      <c r="AL716" t="s">
        <v>2590</v>
      </c>
      <c r="AM716" t="s">
        <v>201</v>
      </c>
      <c r="AN716" t="s">
        <v>2591</v>
      </c>
      <c r="AO716" t="s">
        <v>2592</v>
      </c>
      <c r="AP716" t="s">
        <v>2593</v>
      </c>
      <c r="AQ716" t="s">
        <v>74</v>
      </c>
      <c r="AR716" t="s">
        <v>2594</v>
      </c>
      <c r="AS716" t="s">
        <v>2595</v>
      </c>
      <c r="AT716" t="s">
        <v>129</v>
      </c>
      <c r="AU716">
        <v>2017</v>
      </c>
      <c r="AV716">
        <v>76</v>
      </c>
      <c r="AW716">
        <v>2</v>
      </c>
      <c r="AX716" t="s">
        <v>74</v>
      </c>
      <c r="AY716" t="s">
        <v>74</v>
      </c>
      <c r="AZ716" t="s">
        <v>74</v>
      </c>
      <c r="BA716" t="s">
        <v>74</v>
      </c>
      <c r="BB716">
        <v>422</v>
      </c>
      <c r="BC716">
        <v>426</v>
      </c>
      <c r="BD716" t="s">
        <v>74</v>
      </c>
      <c r="BE716" t="s">
        <v>10368</v>
      </c>
      <c r="BF716" t="str">
        <f>HYPERLINK("http://dx.doi.org/10.1136/annrheumdis-2015-209087","http://dx.doi.org/10.1136/annrheumdis-2015-209087")</f>
        <v>http://dx.doi.org/10.1136/annrheumdis-2015-209087</v>
      </c>
      <c r="BG716" t="s">
        <v>74</v>
      </c>
      <c r="BH716" t="s">
        <v>74</v>
      </c>
      <c r="BI716">
        <v>5</v>
      </c>
      <c r="BJ716" t="s">
        <v>2369</v>
      </c>
      <c r="BK716" t="s">
        <v>101</v>
      </c>
      <c r="BL716" t="s">
        <v>2369</v>
      </c>
      <c r="BM716" t="s">
        <v>10369</v>
      </c>
      <c r="BN716">
        <v>27457511</v>
      </c>
      <c r="BO716" t="s">
        <v>3318</v>
      </c>
      <c r="BP716" t="s">
        <v>74</v>
      </c>
      <c r="BQ716" t="s">
        <v>74</v>
      </c>
      <c r="BR716" t="s">
        <v>104</v>
      </c>
      <c r="BS716" t="s">
        <v>10370</v>
      </c>
      <c r="BT716" t="str">
        <f>HYPERLINK("https%3A%2F%2Fwww.webofscience.com%2Fwos%2Fwoscc%2Ffull-record%2FWOS:000392426900016","View Full Record in Web of Science")</f>
        <v>View Full Record in Web of Science</v>
      </c>
    </row>
    <row r="717" spans="1:72" x14ac:dyDescent="0.25">
      <c r="A717" t="s">
        <v>72</v>
      </c>
      <c r="B717" t="s">
        <v>10371</v>
      </c>
      <c r="C717" t="s">
        <v>74</v>
      </c>
      <c r="D717" t="s">
        <v>74</v>
      </c>
      <c r="E717" t="s">
        <v>74</v>
      </c>
      <c r="F717" t="s">
        <v>10372</v>
      </c>
      <c r="G717" t="s">
        <v>74</v>
      </c>
      <c r="H717" t="s">
        <v>74</v>
      </c>
      <c r="I717" t="s">
        <v>10373</v>
      </c>
      <c r="J717" t="s">
        <v>216</v>
      </c>
      <c r="K717" t="s">
        <v>74</v>
      </c>
      <c r="L717" t="s">
        <v>74</v>
      </c>
      <c r="M717" t="s">
        <v>78</v>
      </c>
      <c r="N717" t="s">
        <v>140</v>
      </c>
      <c r="O717" t="s">
        <v>74</v>
      </c>
      <c r="P717" t="s">
        <v>74</v>
      </c>
      <c r="Q717" t="s">
        <v>74</v>
      </c>
      <c r="R717" t="s">
        <v>74</v>
      </c>
      <c r="S717" t="s">
        <v>74</v>
      </c>
      <c r="T717" t="s">
        <v>74</v>
      </c>
      <c r="U717" t="s">
        <v>10374</v>
      </c>
      <c r="V717" t="s">
        <v>74</v>
      </c>
      <c r="W717" t="s">
        <v>10375</v>
      </c>
      <c r="X717" t="s">
        <v>10376</v>
      </c>
      <c r="Y717" t="s">
        <v>10377</v>
      </c>
      <c r="Z717" t="s">
        <v>377</v>
      </c>
      <c r="AA717" t="s">
        <v>144</v>
      </c>
      <c r="AB717" t="s">
        <v>257</v>
      </c>
      <c r="AC717" t="s">
        <v>74</v>
      </c>
      <c r="AD717" t="s">
        <v>74</v>
      </c>
      <c r="AE717" t="s">
        <v>74</v>
      </c>
      <c r="AF717" t="s">
        <v>74</v>
      </c>
      <c r="AG717">
        <v>51</v>
      </c>
      <c r="AH717">
        <v>28</v>
      </c>
      <c r="AI717">
        <v>28</v>
      </c>
      <c r="AJ717">
        <v>0</v>
      </c>
      <c r="AK717">
        <v>7</v>
      </c>
      <c r="AL717" t="s">
        <v>219</v>
      </c>
      <c r="AM717" t="s">
        <v>220</v>
      </c>
      <c r="AN717" t="s">
        <v>221</v>
      </c>
      <c r="AO717" t="s">
        <v>222</v>
      </c>
      <c r="AP717" t="s">
        <v>223</v>
      </c>
      <c r="AQ717" t="s">
        <v>74</v>
      </c>
      <c r="AR717" t="s">
        <v>224</v>
      </c>
      <c r="AS717" t="s">
        <v>225</v>
      </c>
      <c r="AT717" t="s">
        <v>129</v>
      </c>
      <c r="AU717">
        <v>2017</v>
      </c>
      <c r="AV717">
        <v>49</v>
      </c>
      <c r="AW717">
        <v>2</v>
      </c>
      <c r="AX717" t="s">
        <v>74</v>
      </c>
      <c r="AY717" t="s">
        <v>74</v>
      </c>
      <c r="AZ717" t="s">
        <v>74</v>
      </c>
      <c r="BA717" t="s">
        <v>74</v>
      </c>
      <c r="BB717" t="s">
        <v>74</v>
      </c>
      <c r="BC717" t="s">
        <v>74</v>
      </c>
      <c r="BD717">
        <v>1700085</v>
      </c>
      <c r="BE717" t="s">
        <v>10378</v>
      </c>
      <c r="BF717" t="str">
        <f>HYPERLINK("http://dx.doi.org/10.1183/13993003.00085-2017","http://dx.doi.org/10.1183/13993003.00085-2017")</f>
        <v>http://dx.doi.org/10.1183/13993003.00085-2017</v>
      </c>
      <c r="BG717" t="s">
        <v>74</v>
      </c>
      <c r="BH717" t="s">
        <v>74</v>
      </c>
      <c r="BI717">
        <v>5</v>
      </c>
      <c r="BJ717" t="s">
        <v>228</v>
      </c>
      <c r="BK717" t="s">
        <v>101</v>
      </c>
      <c r="BL717" t="s">
        <v>228</v>
      </c>
      <c r="BM717" t="s">
        <v>10379</v>
      </c>
      <c r="BN717">
        <v>28232421</v>
      </c>
      <c r="BO717" t="s">
        <v>74</v>
      </c>
      <c r="BP717" t="s">
        <v>74</v>
      </c>
      <c r="BQ717" t="s">
        <v>74</v>
      </c>
      <c r="BR717" t="s">
        <v>104</v>
      </c>
      <c r="BS717" t="s">
        <v>10380</v>
      </c>
      <c r="BT717" t="str">
        <f>HYPERLINK("https%3A%2F%2Fwww.webofscience.com%2Fwos%2Fwoscc%2Ffull-record%2FWOS:000397858100049","View Full Record in Web of Science")</f>
        <v>View Full Record in Web of Science</v>
      </c>
    </row>
    <row r="718" spans="1:72" x14ac:dyDescent="0.25">
      <c r="A718" t="s">
        <v>72</v>
      </c>
      <c r="B718" t="s">
        <v>10381</v>
      </c>
      <c r="C718" t="s">
        <v>74</v>
      </c>
      <c r="D718" t="s">
        <v>74</v>
      </c>
      <c r="E718" t="s">
        <v>74</v>
      </c>
      <c r="F718" t="s">
        <v>10382</v>
      </c>
      <c r="G718" t="s">
        <v>74</v>
      </c>
      <c r="H718" t="s">
        <v>74</v>
      </c>
      <c r="I718" t="s">
        <v>10383</v>
      </c>
      <c r="J718" t="s">
        <v>10384</v>
      </c>
      <c r="K718" t="s">
        <v>74</v>
      </c>
      <c r="L718" t="s">
        <v>74</v>
      </c>
      <c r="M718" t="s">
        <v>1349</v>
      </c>
      <c r="N718" t="s">
        <v>460</v>
      </c>
      <c r="O718" t="s">
        <v>74</v>
      </c>
      <c r="P718" t="s">
        <v>74</v>
      </c>
      <c r="Q718" t="s">
        <v>74</v>
      </c>
      <c r="R718" t="s">
        <v>74</v>
      </c>
      <c r="S718" t="s">
        <v>74</v>
      </c>
      <c r="T718" t="s">
        <v>74</v>
      </c>
      <c r="U718" t="s">
        <v>10385</v>
      </c>
      <c r="V718" t="s">
        <v>74</v>
      </c>
      <c r="W718" t="s">
        <v>10386</v>
      </c>
      <c r="X718" t="s">
        <v>10387</v>
      </c>
      <c r="Y718" t="s">
        <v>10388</v>
      </c>
      <c r="Z718" t="s">
        <v>331</v>
      </c>
      <c r="AA718" t="s">
        <v>1549</v>
      </c>
      <c r="AB718" t="s">
        <v>10389</v>
      </c>
      <c r="AC718" t="s">
        <v>74</v>
      </c>
      <c r="AD718" t="s">
        <v>74</v>
      </c>
      <c r="AE718" t="s">
        <v>74</v>
      </c>
      <c r="AF718" t="s">
        <v>74</v>
      </c>
      <c r="AG718">
        <v>9</v>
      </c>
      <c r="AH718">
        <v>1</v>
      </c>
      <c r="AI718">
        <v>1</v>
      </c>
      <c r="AJ718">
        <v>0</v>
      </c>
      <c r="AK718">
        <v>0</v>
      </c>
      <c r="AL718" t="s">
        <v>10390</v>
      </c>
      <c r="AM718" t="s">
        <v>10391</v>
      </c>
      <c r="AN718" t="s">
        <v>10392</v>
      </c>
      <c r="AO718" t="s">
        <v>10393</v>
      </c>
      <c r="AP718" t="s">
        <v>10394</v>
      </c>
      <c r="AQ718" t="s">
        <v>74</v>
      </c>
      <c r="AR718" t="s">
        <v>10395</v>
      </c>
      <c r="AS718" t="s">
        <v>10396</v>
      </c>
      <c r="AT718" t="s">
        <v>129</v>
      </c>
      <c r="AU718">
        <v>2017</v>
      </c>
      <c r="AV718">
        <v>104</v>
      </c>
      <c r="AW718">
        <v>2</v>
      </c>
      <c r="AX718" t="s">
        <v>74</v>
      </c>
      <c r="AY718" t="s">
        <v>74</v>
      </c>
      <c r="AZ718" t="s">
        <v>74</v>
      </c>
      <c r="BA718" t="s">
        <v>74</v>
      </c>
      <c r="BB718">
        <v>202</v>
      </c>
      <c r="BC718">
        <v>204</v>
      </c>
      <c r="BD718" t="s">
        <v>74</v>
      </c>
      <c r="BE718" t="s">
        <v>10397</v>
      </c>
      <c r="BF718" t="str">
        <f>HYPERLINK("http://dx.doi.org/10.1016/j.bulcan.2016.10.012","http://dx.doi.org/10.1016/j.bulcan.2016.10.012")</f>
        <v>http://dx.doi.org/10.1016/j.bulcan.2016.10.012</v>
      </c>
      <c r="BG718" t="s">
        <v>74</v>
      </c>
      <c r="BH718" t="s">
        <v>74</v>
      </c>
      <c r="BI718">
        <v>3</v>
      </c>
      <c r="BJ718" t="s">
        <v>6005</v>
      </c>
      <c r="BK718" t="s">
        <v>101</v>
      </c>
      <c r="BL718" t="s">
        <v>6005</v>
      </c>
      <c r="BM718" t="s">
        <v>10398</v>
      </c>
      <c r="BN718">
        <v>27884394</v>
      </c>
      <c r="BO718" t="s">
        <v>74</v>
      </c>
      <c r="BP718" t="s">
        <v>74</v>
      </c>
      <c r="BQ718" t="s">
        <v>74</v>
      </c>
      <c r="BR718" t="s">
        <v>104</v>
      </c>
      <c r="BS718" t="s">
        <v>10399</v>
      </c>
      <c r="BT718" t="str">
        <f>HYPERLINK("https%3A%2F%2Fwww.webofscience.com%2Fwos%2Fwoscc%2Ffull-record%2FWOS:000397270200014","View Full Record in Web of Science")</f>
        <v>View Full Record in Web of Science</v>
      </c>
    </row>
    <row r="719" spans="1:72" x14ac:dyDescent="0.25">
      <c r="A719" t="s">
        <v>72</v>
      </c>
      <c r="B719" t="s">
        <v>10400</v>
      </c>
      <c r="C719" t="s">
        <v>74</v>
      </c>
      <c r="D719" t="s">
        <v>74</v>
      </c>
      <c r="E719" t="s">
        <v>74</v>
      </c>
      <c r="F719" t="s">
        <v>10401</v>
      </c>
      <c r="G719" t="s">
        <v>74</v>
      </c>
      <c r="H719" t="s">
        <v>74</v>
      </c>
      <c r="I719" t="s">
        <v>10402</v>
      </c>
      <c r="J719" t="s">
        <v>388</v>
      </c>
      <c r="K719" t="s">
        <v>74</v>
      </c>
      <c r="L719" t="s">
        <v>74</v>
      </c>
      <c r="M719" t="s">
        <v>78</v>
      </c>
      <c r="N719" t="s">
        <v>79</v>
      </c>
      <c r="O719" t="s">
        <v>74</v>
      </c>
      <c r="P719" t="s">
        <v>74</v>
      </c>
      <c r="Q719" t="s">
        <v>74</v>
      </c>
      <c r="R719" t="s">
        <v>74</v>
      </c>
      <c r="S719" t="s">
        <v>74</v>
      </c>
      <c r="T719" t="s">
        <v>74</v>
      </c>
      <c r="U719" t="s">
        <v>10403</v>
      </c>
      <c r="V719" t="s">
        <v>10404</v>
      </c>
      <c r="W719" t="s">
        <v>10405</v>
      </c>
      <c r="X719" t="s">
        <v>10406</v>
      </c>
      <c r="Y719" t="s">
        <v>10407</v>
      </c>
      <c r="Z719" t="s">
        <v>377</v>
      </c>
      <c r="AA719" t="s">
        <v>10408</v>
      </c>
      <c r="AB719" t="s">
        <v>10409</v>
      </c>
      <c r="AC719" t="s">
        <v>10410</v>
      </c>
      <c r="AD719" t="s">
        <v>10411</v>
      </c>
      <c r="AE719" t="s">
        <v>10412</v>
      </c>
      <c r="AF719" t="s">
        <v>74</v>
      </c>
      <c r="AG719">
        <v>34</v>
      </c>
      <c r="AH719">
        <v>122</v>
      </c>
      <c r="AI719">
        <v>128</v>
      </c>
      <c r="AJ719">
        <v>0</v>
      </c>
      <c r="AK719">
        <v>9</v>
      </c>
      <c r="AL719" t="s">
        <v>397</v>
      </c>
      <c r="AM719" t="s">
        <v>1074</v>
      </c>
      <c r="AN719" t="s">
        <v>4444</v>
      </c>
      <c r="AO719" t="s">
        <v>400</v>
      </c>
      <c r="AP719" t="s">
        <v>74</v>
      </c>
      <c r="AQ719" t="s">
        <v>74</v>
      </c>
      <c r="AR719" t="s">
        <v>401</v>
      </c>
      <c r="AS719" t="s">
        <v>402</v>
      </c>
      <c r="AT719" t="s">
        <v>129</v>
      </c>
      <c r="AU719">
        <v>2017</v>
      </c>
      <c r="AV719">
        <v>5</v>
      </c>
      <c r="AW719">
        <v>2</v>
      </c>
      <c r="AX719" t="s">
        <v>74</v>
      </c>
      <c r="AY719" t="s">
        <v>74</v>
      </c>
      <c r="AZ719" t="s">
        <v>74</v>
      </c>
      <c r="BA719" t="s">
        <v>74</v>
      </c>
      <c r="BB719">
        <v>125</v>
      </c>
      <c r="BC719">
        <v>134</v>
      </c>
      <c r="BD719" t="s">
        <v>74</v>
      </c>
      <c r="BE719" t="s">
        <v>10413</v>
      </c>
      <c r="BF719" t="str">
        <f>HYPERLINK("http://dx.doi.org/10.1016/S2213-2600(16)30438-6","http://dx.doi.org/10.1016/S2213-2600(16)30438-6")</f>
        <v>http://dx.doi.org/10.1016/S2213-2600(16)30438-6</v>
      </c>
      <c r="BG719" t="s">
        <v>74</v>
      </c>
      <c r="BH719" t="s">
        <v>74</v>
      </c>
      <c r="BI719">
        <v>10</v>
      </c>
      <c r="BJ719" t="s">
        <v>341</v>
      </c>
      <c r="BK719" t="s">
        <v>101</v>
      </c>
      <c r="BL719" t="s">
        <v>342</v>
      </c>
      <c r="BM719" t="s">
        <v>10414</v>
      </c>
      <c r="BN719">
        <v>28087362</v>
      </c>
      <c r="BO719" t="s">
        <v>74</v>
      </c>
      <c r="BP719" t="s">
        <v>74</v>
      </c>
      <c r="BQ719" t="s">
        <v>74</v>
      </c>
      <c r="BR719" t="s">
        <v>104</v>
      </c>
      <c r="BS719" t="s">
        <v>10415</v>
      </c>
      <c r="BT719" t="str">
        <f>HYPERLINK("https%3A%2F%2Fwww.webofscience.com%2Fwos%2Fwoscc%2Ffull-record%2FWOS:000396349100024","View Full Record in Web of Science")</f>
        <v>View Full Record in Web of Science</v>
      </c>
    </row>
    <row r="720" spans="1:72" x14ac:dyDescent="0.25">
      <c r="A720" t="s">
        <v>72</v>
      </c>
      <c r="B720" t="s">
        <v>10416</v>
      </c>
      <c r="C720" t="s">
        <v>74</v>
      </c>
      <c r="D720" t="s">
        <v>74</v>
      </c>
      <c r="E720" t="s">
        <v>74</v>
      </c>
      <c r="F720" t="s">
        <v>10417</v>
      </c>
      <c r="G720" t="s">
        <v>74</v>
      </c>
      <c r="H720" t="s">
        <v>74</v>
      </c>
      <c r="I720" t="s">
        <v>10418</v>
      </c>
      <c r="J720" t="s">
        <v>216</v>
      </c>
      <c r="K720" t="s">
        <v>74</v>
      </c>
      <c r="L720" t="s">
        <v>74</v>
      </c>
      <c r="M720" t="s">
        <v>78</v>
      </c>
      <c r="N720" t="s">
        <v>299</v>
      </c>
      <c r="O720" t="s">
        <v>74</v>
      </c>
      <c r="P720" t="s">
        <v>74</v>
      </c>
      <c r="Q720" t="s">
        <v>74</v>
      </c>
      <c r="R720" t="s">
        <v>74</v>
      </c>
      <c r="S720" t="s">
        <v>74</v>
      </c>
      <c r="T720" t="s">
        <v>74</v>
      </c>
      <c r="U720" t="s">
        <v>10419</v>
      </c>
      <c r="V720" t="s">
        <v>10420</v>
      </c>
      <c r="W720" t="s">
        <v>10421</v>
      </c>
      <c r="X720" t="s">
        <v>10422</v>
      </c>
      <c r="Y720" t="s">
        <v>10423</v>
      </c>
      <c r="Z720" t="s">
        <v>10424</v>
      </c>
      <c r="AA720" t="s">
        <v>10425</v>
      </c>
      <c r="AB720" t="s">
        <v>10426</v>
      </c>
      <c r="AC720" t="s">
        <v>10427</v>
      </c>
      <c r="AD720" t="s">
        <v>10427</v>
      </c>
      <c r="AE720" t="s">
        <v>10428</v>
      </c>
      <c r="AF720" t="s">
        <v>74</v>
      </c>
      <c r="AG720">
        <v>86</v>
      </c>
      <c r="AH720">
        <v>35</v>
      </c>
      <c r="AI720">
        <v>35</v>
      </c>
      <c r="AJ720">
        <v>2</v>
      </c>
      <c r="AK720">
        <v>44</v>
      </c>
      <c r="AL720" t="s">
        <v>219</v>
      </c>
      <c r="AM720" t="s">
        <v>220</v>
      </c>
      <c r="AN720" t="s">
        <v>221</v>
      </c>
      <c r="AO720" t="s">
        <v>222</v>
      </c>
      <c r="AP720" t="s">
        <v>223</v>
      </c>
      <c r="AQ720" t="s">
        <v>74</v>
      </c>
      <c r="AR720" t="s">
        <v>224</v>
      </c>
      <c r="AS720" t="s">
        <v>225</v>
      </c>
      <c r="AT720" t="s">
        <v>129</v>
      </c>
      <c r="AU720">
        <v>2017</v>
      </c>
      <c r="AV720">
        <v>49</v>
      </c>
      <c r="AW720">
        <v>2</v>
      </c>
      <c r="AX720" t="s">
        <v>74</v>
      </c>
      <c r="AY720" t="s">
        <v>74</v>
      </c>
      <c r="AZ720" t="s">
        <v>74</v>
      </c>
      <c r="BA720" t="s">
        <v>74</v>
      </c>
      <c r="BB720" t="s">
        <v>74</v>
      </c>
      <c r="BC720" t="s">
        <v>74</v>
      </c>
      <c r="BD720">
        <v>1601897</v>
      </c>
      <c r="BE720" t="s">
        <v>10429</v>
      </c>
      <c r="BF720" t="str">
        <f>HYPERLINK("http://dx.doi.org/10.1183/13993003.01897-2016","http://dx.doi.org/10.1183/13993003.01897-2016")</f>
        <v>http://dx.doi.org/10.1183/13993003.01897-2016</v>
      </c>
      <c r="BG720" t="s">
        <v>74</v>
      </c>
      <c r="BH720" t="s">
        <v>74</v>
      </c>
      <c r="BI720">
        <v>9</v>
      </c>
      <c r="BJ720" t="s">
        <v>228</v>
      </c>
      <c r="BK720" t="s">
        <v>101</v>
      </c>
      <c r="BL720" t="s">
        <v>228</v>
      </c>
      <c r="BM720" t="s">
        <v>10379</v>
      </c>
      <c r="BN720">
        <v>28232412</v>
      </c>
      <c r="BO720" t="s">
        <v>1194</v>
      </c>
      <c r="BP720" t="s">
        <v>74</v>
      </c>
      <c r="BQ720" t="s">
        <v>74</v>
      </c>
      <c r="BR720" t="s">
        <v>104</v>
      </c>
      <c r="BS720" t="s">
        <v>10430</v>
      </c>
      <c r="BT720" t="str">
        <f>HYPERLINK("https%3A%2F%2Fwww.webofscience.com%2Fwos%2Fwoscc%2Ffull-record%2FWOS:000397858100027","View Full Record in Web of Science")</f>
        <v>View Full Record in Web of Science</v>
      </c>
    </row>
    <row r="721" spans="1:72" x14ac:dyDescent="0.25">
      <c r="A721" t="s">
        <v>72</v>
      </c>
      <c r="B721" t="s">
        <v>10431</v>
      </c>
      <c r="C721" t="s">
        <v>74</v>
      </c>
      <c r="D721" t="s">
        <v>74</v>
      </c>
      <c r="E721" t="s">
        <v>74</v>
      </c>
      <c r="F721" t="s">
        <v>10432</v>
      </c>
      <c r="G721" t="s">
        <v>74</v>
      </c>
      <c r="H721" t="s">
        <v>74</v>
      </c>
      <c r="I721" t="s">
        <v>10433</v>
      </c>
      <c r="J721" t="s">
        <v>7729</v>
      </c>
      <c r="K721" t="s">
        <v>74</v>
      </c>
      <c r="L721" t="s">
        <v>74</v>
      </c>
      <c r="M721" t="s">
        <v>78</v>
      </c>
      <c r="N721" t="s">
        <v>299</v>
      </c>
      <c r="O721" t="s">
        <v>74</v>
      </c>
      <c r="P721" t="s">
        <v>74</v>
      </c>
      <c r="Q721" t="s">
        <v>74</v>
      </c>
      <c r="R721" t="s">
        <v>74</v>
      </c>
      <c r="S721" t="s">
        <v>74</v>
      </c>
      <c r="T721" t="s">
        <v>74</v>
      </c>
      <c r="U721" t="s">
        <v>10434</v>
      </c>
      <c r="V721" t="s">
        <v>10435</v>
      </c>
      <c r="W721" t="s">
        <v>10436</v>
      </c>
      <c r="X721" t="s">
        <v>10437</v>
      </c>
      <c r="Y721" t="s">
        <v>10438</v>
      </c>
      <c r="Z721" t="s">
        <v>10439</v>
      </c>
      <c r="AA721" t="s">
        <v>10440</v>
      </c>
      <c r="AB721" t="s">
        <v>10441</v>
      </c>
      <c r="AC721" t="s">
        <v>74</v>
      </c>
      <c r="AD721" t="s">
        <v>74</v>
      </c>
      <c r="AE721" t="s">
        <v>74</v>
      </c>
      <c r="AF721" t="s">
        <v>74</v>
      </c>
      <c r="AG721">
        <v>177</v>
      </c>
      <c r="AH721">
        <v>288</v>
      </c>
      <c r="AI721">
        <v>307</v>
      </c>
      <c r="AJ721">
        <v>0</v>
      </c>
      <c r="AK721">
        <v>30</v>
      </c>
      <c r="AL721" t="s">
        <v>169</v>
      </c>
      <c r="AM721" t="s">
        <v>170</v>
      </c>
      <c r="AN721" t="s">
        <v>171</v>
      </c>
      <c r="AO721" t="s">
        <v>7738</v>
      </c>
      <c r="AP721" t="s">
        <v>7739</v>
      </c>
      <c r="AQ721" t="s">
        <v>74</v>
      </c>
      <c r="AR721" t="s">
        <v>7740</v>
      </c>
      <c r="AS721" t="s">
        <v>7741</v>
      </c>
      <c r="AT721" t="s">
        <v>129</v>
      </c>
      <c r="AU721">
        <v>2017</v>
      </c>
      <c r="AV721">
        <v>47</v>
      </c>
      <c r="AW721">
        <v>2</v>
      </c>
      <c r="AX721" t="s">
        <v>74</v>
      </c>
      <c r="AY721" t="s">
        <v>74</v>
      </c>
      <c r="AZ721" t="s">
        <v>74</v>
      </c>
      <c r="BA721" t="s">
        <v>74</v>
      </c>
      <c r="BB721">
        <v>161</v>
      </c>
      <c r="BC721">
        <v>175</v>
      </c>
      <c r="BD721" t="s">
        <v>74</v>
      </c>
      <c r="BE721" t="s">
        <v>10442</v>
      </c>
      <c r="BF721" t="str">
        <f>HYPERLINK("http://dx.doi.org/10.1111/cea.12880","http://dx.doi.org/10.1111/cea.12880")</f>
        <v>http://dx.doi.org/10.1111/cea.12880</v>
      </c>
      <c r="BG721" t="s">
        <v>74</v>
      </c>
      <c r="BH721" t="s">
        <v>74</v>
      </c>
      <c r="BI721">
        <v>15</v>
      </c>
      <c r="BJ721" t="s">
        <v>3085</v>
      </c>
      <c r="BK721" t="s">
        <v>101</v>
      </c>
      <c r="BL721" t="s">
        <v>3085</v>
      </c>
      <c r="BM721" t="s">
        <v>10443</v>
      </c>
      <c r="BN721">
        <v>28036144</v>
      </c>
      <c r="BO721" t="s">
        <v>161</v>
      </c>
      <c r="BP721" t="s">
        <v>74</v>
      </c>
      <c r="BQ721" t="s">
        <v>74</v>
      </c>
      <c r="BR721" t="s">
        <v>104</v>
      </c>
      <c r="BS721" t="s">
        <v>10444</v>
      </c>
      <c r="BT721" t="str">
        <f>HYPERLINK("https%3A%2F%2Fwww.webofscience.com%2Fwos%2Fwoscc%2Ffull-record%2FWOS:000396912300003","View Full Record in Web of Science")</f>
        <v>View Full Record in Web of Science</v>
      </c>
    </row>
    <row r="722" spans="1:72" x14ac:dyDescent="0.25">
      <c r="A722" t="s">
        <v>72</v>
      </c>
      <c r="B722" t="s">
        <v>10445</v>
      </c>
      <c r="C722" t="s">
        <v>74</v>
      </c>
      <c r="D722" t="s">
        <v>74</v>
      </c>
      <c r="E722" t="s">
        <v>74</v>
      </c>
      <c r="F722" t="s">
        <v>10446</v>
      </c>
      <c r="G722" t="s">
        <v>74</v>
      </c>
      <c r="H722" t="s">
        <v>74</v>
      </c>
      <c r="I722" t="s">
        <v>10447</v>
      </c>
      <c r="J722" t="s">
        <v>10448</v>
      </c>
      <c r="K722" t="s">
        <v>74</v>
      </c>
      <c r="L722" t="s">
        <v>74</v>
      </c>
      <c r="M722" t="s">
        <v>78</v>
      </c>
      <c r="N722" t="s">
        <v>79</v>
      </c>
      <c r="O722" t="s">
        <v>74</v>
      </c>
      <c r="P722" t="s">
        <v>74</v>
      </c>
      <c r="Q722" t="s">
        <v>74</v>
      </c>
      <c r="R722" t="s">
        <v>74</v>
      </c>
      <c r="S722" t="s">
        <v>74</v>
      </c>
      <c r="T722" t="s">
        <v>10449</v>
      </c>
      <c r="U722" t="s">
        <v>10450</v>
      </c>
      <c r="V722" t="s">
        <v>10451</v>
      </c>
      <c r="W722" t="s">
        <v>10452</v>
      </c>
      <c r="X722" t="s">
        <v>10453</v>
      </c>
      <c r="Y722" t="s">
        <v>10454</v>
      </c>
      <c r="Z722" t="s">
        <v>10455</v>
      </c>
      <c r="AA722" t="s">
        <v>10456</v>
      </c>
      <c r="AB722" t="s">
        <v>10457</v>
      </c>
      <c r="AC722" t="s">
        <v>74</v>
      </c>
      <c r="AD722" t="s">
        <v>74</v>
      </c>
      <c r="AE722" t="s">
        <v>74</v>
      </c>
      <c r="AF722" t="s">
        <v>74</v>
      </c>
      <c r="AG722">
        <v>30</v>
      </c>
      <c r="AH722">
        <v>22</v>
      </c>
      <c r="AI722">
        <v>22</v>
      </c>
      <c r="AJ722">
        <v>0</v>
      </c>
      <c r="AK722">
        <v>1</v>
      </c>
      <c r="AL722" t="s">
        <v>10458</v>
      </c>
      <c r="AM722" t="s">
        <v>123</v>
      </c>
      <c r="AN722" t="s">
        <v>10459</v>
      </c>
      <c r="AO722" t="s">
        <v>10460</v>
      </c>
      <c r="AP722" t="s">
        <v>10461</v>
      </c>
      <c r="AQ722" t="s">
        <v>74</v>
      </c>
      <c r="AR722" t="s">
        <v>10462</v>
      </c>
      <c r="AS722" t="s">
        <v>10463</v>
      </c>
      <c r="AT722" t="s">
        <v>176</v>
      </c>
      <c r="AU722">
        <v>2017</v>
      </c>
      <c r="AV722">
        <v>23</v>
      </c>
      <c r="AW722">
        <v>1</v>
      </c>
      <c r="AX722" t="s">
        <v>74</v>
      </c>
      <c r="AY722" t="s">
        <v>74</v>
      </c>
      <c r="AZ722" t="s">
        <v>74</v>
      </c>
      <c r="BA722" t="s">
        <v>74</v>
      </c>
      <c r="BB722">
        <v>29</v>
      </c>
      <c r="BC722">
        <v>35</v>
      </c>
      <c r="BD722" t="s">
        <v>74</v>
      </c>
      <c r="BE722" t="s">
        <v>10464</v>
      </c>
      <c r="BF722" t="str">
        <f>HYPERLINK("http://dx.doi.org/10.1016/j.cardfail.2016.10.002","http://dx.doi.org/10.1016/j.cardfail.2016.10.002")</f>
        <v>http://dx.doi.org/10.1016/j.cardfail.2016.10.002</v>
      </c>
      <c r="BG722" t="s">
        <v>74</v>
      </c>
      <c r="BH722" t="s">
        <v>74</v>
      </c>
      <c r="BI722">
        <v>7</v>
      </c>
      <c r="BJ722" t="s">
        <v>132</v>
      </c>
      <c r="BK722" t="s">
        <v>101</v>
      </c>
      <c r="BL722" t="s">
        <v>133</v>
      </c>
      <c r="BM722" t="s">
        <v>10465</v>
      </c>
      <c r="BN722">
        <v>27742455</v>
      </c>
      <c r="BO722" t="s">
        <v>74</v>
      </c>
      <c r="BP722" t="s">
        <v>74</v>
      </c>
      <c r="BQ722" t="s">
        <v>74</v>
      </c>
      <c r="BR722" t="s">
        <v>104</v>
      </c>
      <c r="BS722" t="s">
        <v>10466</v>
      </c>
      <c r="BT722" t="str">
        <f>HYPERLINK("https%3A%2F%2Fwww.webofscience.com%2Fwos%2Fwoscc%2Ffull-record%2FWOS:000392041800006","View Full Record in Web of Science")</f>
        <v>View Full Record in Web of Science</v>
      </c>
    </row>
    <row r="723" spans="1:72" x14ac:dyDescent="0.25">
      <c r="A723" t="s">
        <v>72</v>
      </c>
      <c r="B723" t="s">
        <v>9737</v>
      </c>
      <c r="C723" t="s">
        <v>74</v>
      </c>
      <c r="D723" t="s">
        <v>74</v>
      </c>
      <c r="E723" t="s">
        <v>74</v>
      </c>
      <c r="F723" t="s">
        <v>10467</v>
      </c>
      <c r="G723" t="s">
        <v>74</v>
      </c>
      <c r="H723" t="s">
        <v>74</v>
      </c>
      <c r="I723" t="s">
        <v>10468</v>
      </c>
      <c r="J723" t="s">
        <v>637</v>
      </c>
      <c r="K723" t="s">
        <v>74</v>
      </c>
      <c r="L723" t="s">
        <v>74</v>
      </c>
      <c r="M723" t="s">
        <v>78</v>
      </c>
      <c r="N723" t="s">
        <v>52</v>
      </c>
      <c r="O723" t="s">
        <v>2003</v>
      </c>
      <c r="P723" t="s">
        <v>10469</v>
      </c>
      <c r="Q723" t="s">
        <v>2005</v>
      </c>
      <c r="R723" t="s">
        <v>2006</v>
      </c>
      <c r="S723" t="s">
        <v>74</v>
      </c>
      <c r="T723" t="s">
        <v>74</v>
      </c>
      <c r="U723" t="s">
        <v>74</v>
      </c>
      <c r="V723" t="s">
        <v>74</v>
      </c>
      <c r="W723" t="s">
        <v>10470</v>
      </c>
      <c r="X723" t="s">
        <v>10471</v>
      </c>
      <c r="Y723" t="s">
        <v>74</v>
      </c>
      <c r="Z723" t="s">
        <v>74</v>
      </c>
      <c r="AA723" t="s">
        <v>10472</v>
      </c>
      <c r="AB723" t="s">
        <v>74</v>
      </c>
      <c r="AC723" t="s">
        <v>74</v>
      </c>
      <c r="AD723" t="s">
        <v>74</v>
      </c>
      <c r="AE723" t="s">
        <v>74</v>
      </c>
      <c r="AF723" t="s">
        <v>74</v>
      </c>
      <c r="AG723">
        <v>0</v>
      </c>
      <c r="AH723">
        <v>0</v>
      </c>
      <c r="AI723">
        <v>0</v>
      </c>
      <c r="AJ723">
        <v>0</v>
      </c>
      <c r="AK723">
        <v>0</v>
      </c>
      <c r="AL723" t="s">
        <v>649</v>
      </c>
      <c r="AM723" t="s">
        <v>486</v>
      </c>
      <c r="AN723" t="s">
        <v>650</v>
      </c>
      <c r="AO723" t="s">
        <v>651</v>
      </c>
      <c r="AP723" t="s">
        <v>652</v>
      </c>
      <c r="AQ723" t="s">
        <v>74</v>
      </c>
      <c r="AR723" t="s">
        <v>653</v>
      </c>
      <c r="AS723" t="s">
        <v>654</v>
      </c>
      <c r="AT723" t="s">
        <v>74</v>
      </c>
      <c r="AU723">
        <v>2017</v>
      </c>
      <c r="AV723">
        <v>195</v>
      </c>
      <c r="AW723" t="s">
        <v>74</v>
      </c>
      <c r="AX723" t="s">
        <v>74</v>
      </c>
      <c r="AY723" t="s">
        <v>74</v>
      </c>
      <c r="AZ723" t="s">
        <v>74</v>
      </c>
      <c r="BA723" t="s">
        <v>10473</v>
      </c>
      <c r="BB723" t="s">
        <v>74</v>
      </c>
      <c r="BC723" t="s">
        <v>74</v>
      </c>
      <c r="BD723" t="s">
        <v>74</v>
      </c>
      <c r="BE723" t="s">
        <v>74</v>
      </c>
      <c r="BF723" t="s">
        <v>74</v>
      </c>
      <c r="BG723" t="s">
        <v>74</v>
      </c>
      <c r="BH723" t="s">
        <v>74</v>
      </c>
      <c r="BI723">
        <v>1</v>
      </c>
      <c r="BJ723" t="s">
        <v>341</v>
      </c>
      <c r="BK723" t="s">
        <v>512</v>
      </c>
      <c r="BL723" t="s">
        <v>342</v>
      </c>
      <c r="BM723" t="s">
        <v>10474</v>
      </c>
      <c r="BN723" t="s">
        <v>74</v>
      </c>
      <c r="BO723" t="s">
        <v>74</v>
      </c>
      <c r="BP723" t="s">
        <v>74</v>
      </c>
      <c r="BQ723" t="s">
        <v>74</v>
      </c>
      <c r="BR723" t="s">
        <v>104</v>
      </c>
      <c r="BS723" t="s">
        <v>10475</v>
      </c>
      <c r="BT723" t="str">
        <f>HYPERLINK("https%3A%2F%2Fwww.webofscience.com%2Fwos%2Fwoscc%2Ffull-record%2FWOS:000400372503696","View Full Record in Web of Science")</f>
        <v>View Full Record in Web of Science</v>
      </c>
    </row>
    <row r="724" spans="1:72" x14ac:dyDescent="0.25">
      <c r="A724" t="s">
        <v>72</v>
      </c>
      <c r="B724" t="s">
        <v>10476</v>
      </c>
      <c r="C724" t="s">
        <v>74</v>
      </c>
      <c r="D724" t="s">
        <v>74</v>
      </c>
      <c r="E724" t="s">
        <v>74</v>
      </c>
      <c r="F724" t="s">
        <v>10477</v>
      </c>
      <c r="G724" t="s">
        <v>74</v>
      </c>
      <c r="H724" t="s">
        <v>74</v>
      </c>
      <c r="I724" t="s">
        <v>10478</v>
      </c>
      <c r="J724" t="s">
        <v>637</v>
      </c>
      <c r="K724" t="s">
        <v>74</v>
      </c>
      <c r="L724" t="s">
        <v>74</v>
      </c>
      <c r="M724" t="s">
        <v>78</v>
      </c>
      <c r="N724" t="s">
        <v>52</v>
      </c>
      <c r="O724" t="s">
        <v>2003</v>
      </c>
      <c r="P724" t="s">
        <v>10469</v>
      </c>
      <c r="Q724" t="s">
        <v>2005</v>
      </c>
      <c r="R724" t="s">
        <v>2006</v>
      </c>
      <c r="S724" t="s">
        <v>74</v>
      </c>
      <c r="T724" t="s">
        <v>74</v>
      </c>
      <c r="U724" t="s">
        <v>74</v>
      </c>
      <c r="V724" t="s">
        <v>74</v>
      </c>
      <c r="W724" t="s">
        <v>10479</v>
      </c>
      <c r="X724" t="s">
        <v>10480</v>
      </c>
      <c r="Y724" t="s">
        <v>74</v>
      </c>
      <c r="Z724" t="s">
        <v>508</v>
      </c>
      <c r="AA724" t="s">
        <v>10481</v>
      </c>
      <c r="AB724" t="s">
        <v>9750</v>
      </c>
      <c r="AC724" t="s">
        <v>74</v>
      </c>
      <c r="AD724" t="s">
        <v>74</v>
      </c>
      <c r="AE724" t="s">
        <v>74</v>
      </c>
      <c r="AF724" t="s">
        <v>74</v>
      </c>
      <c r="AG724">
        <v>0</v>
      </c>
      <c r="AH724">
        <v>1</v>
      </c>
      <c r="AI724">
        <v>1</v>
      </c>
      <c r="AJ724">
        <v>0</v>
      </c>
      <c r="AK724">
        <v>0</v>
      </c>
      <c r="AL724" t="s">
        <v>649</v>
      </c>
      <c r="AM724" t="s">
        <v>486</v>
      </c>
      <c r="AN724" t="s">
        <v>650</v>
      </c>
      <c r="AO724" t="s">
        <v>651</v>
      </c>
      <c r="AP724" t="s">
        <v>652</v>
      </c>
      <c r="AQ724" t="s">
        <v>74</v>
      </c>
      <c r="AR724" t="s">
        <v>653</v>
      </c>
      <c r="AS724" t="s">
        <v>654</v>
      </c>
      <c r="AT724" t="s">
        <v>74</v>
      </c>
      <c r="AU724">
        <v>2017</v>
      </c>
      <c r="AV724">
        <v>195</v>
      </c>
      <c r="AW724" t="s">
        <v>74</v>
      </c>
      <c r="AX724" t="s">
        <v>74</v>
      </c>
      <c r="AY724" t="s">
        <v>74</v>
      </c>
      <c r="AZ724" t="s">
        <v>74</v>
      </c>
      <c r="BA724" t="s">
        <v>10482</v>
      </c>
      <c r="BB724" t="s">
        <v>74</v>
      </c>
      <c r="BC724" t="s">
        <v>74</v>
      </c>
      <c r="BD724" t="s">
        <v>74</v>
      </c>
      <c r="BE724" t="s">
        <v>74</v>
      </c>
      <c r="BF724" t="s">
        <v>74</v>
      </c>
      <c r="BG724" t="s">
        <v>74</v>
      </c>
      <c r="BH724" t="s">
        <v>74</v>
      </c>
      <c r="BI724">
        <v>2</v>
      </c>
      <c r="BJ724" t="s">
        <v>341</v>
      </c>
      <c r="BK724" t="s">
        <v>512</v>
      </c>
      <c r="BL724" t="s">
        <v>342</v>
      </c>
      <c r="BM724" t="s">
        <v>10474</v>
      </c>
      <c r="BN724" t="s">
        <v>74</v>
      </c>
      <c r="BO724" t="s">
        <v>74</v>
      </c>
      <c r="BP724" t="s">
        <v>74</v>
      </c>
      <c r="BQ724" t="s">
        <v>74</v>
      </c>
      <c r="BR724" t="s">
        <v>104</v>
      </c>
      <c r="BS724" t="s">
        <v>10483</v>
      </c>
      <c r="BT724" t="str">
        <f>HYPERLINK("https%3A%2F%2Fwww.webofscience.com%2Fwos%2Fwoscc%2Ffull-record%2FWOS:000400372500043","View Full Record in Web of Science")</f>
        <v>View Full Record in Web of Science</v>
      </c>
    </row>
    <row r="725" spans="1:72" x14ac:dyDescent="0.25">
      <c r="A725" t="s">
        <v>72</v>
      </c>
      <c r="B725" t="s">
        <v>10484</v>
      </c>
      <c r="C725" t="s">
        <v>74</v>
      </c>
      <c r="D725" t="s">
        <v>74</v>
      </c>
      <c r="E725" t="s">
        <v>74</v>
      </c>
      <c r="F725" t="s">
        <v>10485</v>
      </c>
      <c r="G725" t="s">
        <v>74</v>
      </c>
      <c r="H725" t="s">
        <v>74</v>
      </c>
      <c r="I725" t="s">
        <v>10486</v>
      </c>
      <c r="J725" t="s">
        <v>10487</v>
      </c>
      <c r="K725" t="s">
        <v>74</v>
      </c>
      <c r="L725" t="s">
        <v>74</v>
      </c>
      <c r="M725" t="s">
        <v>78</v>
      </c>
      <c r="N725" t="s">
        <v>79</v>
      </c>
      <c r="O725" t="s">
        <v>74</v>
      </c>
      <c r="P725" t="s">
        <v>74</v>
      </c>
      <c r="Q725" t="s">
        <v>74</v>
      </c>
      <c r="R725" t="s">
        <v>74</v>
      </c>
      <c r="S725" t="s">
        <v>74</v>
      </c>
      <c r="T725" t="s">
        <v>10488</v>
      </c>
      <c r="U725" t="s">
        <v>10489</v>
      </c>
      <c r="V725" t="s">
        <v>10490</v>
      </c>
      <c r="W725" t="s">
        <v>10491</v>
      </c>
      <c r="X725" t="s">
        <v>10492</v>
      </c>
      <c r="Y725" t="s">
        <v>10493</v>
      </c>
      <c r="Z725" t="s">
        <v>4563</v>
      </c>
      <c r="AA725" t="s">
        <v>10494</v>
      </c>
      <c r="AB725" t="s">
        <v>10495</v>
      </c>
      <c r="AC725" t="s">
        <v>10496</v>
      </c>
      <c r="AD725" t="s">
        <v>5907</v>
      </c>
      <c r="AE725" t="s">
        <v>74</v>
      </c>
      <c r="AF725" t="s">
        <v>74</v>
      </c>
      <c r="AG725">
        <v>59</v>
      </c>
      <c r="AH725">
        <v>46</v>
      </c>
      <c r="AI725">
        <v>49</v>
      </c>
      <c r="AJ725">
        <v>5</v>
      </c>
      <c r="AK725">
        <v>84</v>
      </c>
      <c r="AL725" t="s">
        <v>10497</v>
      </c>
      <c r="AM725" t="s">
        <v>883</v>
      </c>
      <c r="AN725" t="s">
        <v>10498</v>
      </c>
      <c r="AO725" t="s">
        <v>10499</v>
      </c>
      <c r="AP725" t="s">
        <v>10500</v>
      </c>
      <c r="AQ725" t="s">
        <v>74</v>
      </c>
      <c r="AR725" t="s">
        <v>10501</v>
      </c>
      <c r="AS725" t="s">
        <v>10502</v>
      </c>
      <c r="AT725" t="s">
        <v>176</v>
      </c>
      <c r="AU725">
        <v>2017</v>
      </c>
      <c r="AV725">
        <v>21</v>
      </c>
      <c r="AW725">
        <v>1</v>
      </c>
      <c r="AX725" t="s">
        <v>74</v>
      </c>
      <c r="AY725" t="s">
        <v>74</v>
      </c>
      <c r="AZ725" t="s">
        <v>74</v>
      </c>
      <c r="BA725" t="s">
        <v>74</v>
      </c>
      <c r="BB725">
        <v>92</v>
      </c>
      <c r="BC725">
        <v>104</v>
      </c>
      <c r="BD725" t="s">
        <v>74</v>
      </c>
      <c r="BE725" t="s">
        <v>10503</v>
      </c>
      <c r="BF725" t="str">
        <f>HYPERLINK("http://dx.doi.org/10.1007/s12603-016-0803-1","http://dx.doi.org/10.1007/s12603-016-0803-1")</f>
        <v>http://dx.doi.org/10.1007/s12603-016-0803-1</v>
      </c>
      <c r="BG725" t="s">
        <v>74</v>
      </c>
      <c r="BH725" t="s">
        <v>74</v>
      </c>
      <c r="BI725">
        <v>13</v>
      </c>
      <c r="BJ725" t="s">
        <v>10504</v>
      </c>
      <c r="BK725" t="s">
        <v>2614</v>
      </c>
      <c r="BL725" t="s">
        <v>10504</v>
      </c>
      <c r="BM725" t="s">
        <v>10505</v>
      </c>
      <c r="BN725">
        <v>27999855</v>
      </c>
      <c r="BO725" t="s">
        <v>2552</v>
      </c>
      <c r="BP725" t="s">
        <v>74</v>
      </c>
      <c r="BQ725" t="s">
        <v>74</v>
      </c>
      <c r="BR725" t="s">
        <v>104</v>
      </c>
      <c r="BS725" t="s">
        <v>10506</v>
      </c>
      <c r="BT725" t="str">
        <f>HYPERLINK("https%3A%2F%2Fwww.webofscience.com%2Fwos%2Fwoscc%2Ffull-record%2FWOS:000394347000013","View Full Record in Web of Science")</f>
        <v>View Full Record in Web of Science</v>
      </c>
    </row>
    <row r="726" spans="1:72" x14ac:dyDescent="0.25">
      <c r="A726" t="s">
        <v>72</v>
      </c>
      <c r="B726" t="s">
        <v>8805</v>
      </c>
      <c r="C726" t="s">
        <v>74</v>
      </c>
      <c r="D726" t="s">
        <v>74</v>
      </c>
      <c r="E726" t="s">
        <v>74</v>
      </c>
      <c r="F726" t="s">
        <v>10507</v>
      </c>
      <c r="G726" t="s">
        <v>74</v>
      </c>
      <c r="H726" t="s">
        <v>74</v>
      </c>
      <c r="I726" t="s">
        <v>10508</v>
      </c>
      <c r="J726" t="s">
        <v>637</v>
      </c>
      <c r="K726" t="s">
        <v>74</v>
      </c>
      <c r="L726" t="s">
        <v>74</v>
      </c>
      <c r="M726" t="s">
        <v>78</v>
      </c>
      <c r="N726" t="s">
        <v>52</v>
      </c>
      <c r="O726" t="s">
        <v>2003</v>
      </c>
      <c r="P726" t="s">
        <v>10469</v>
      </c>
      <c r="Q726" t="s">
        <v>2005</v>
      </c>
      <c r="R726" t="s">
        <v>2006</v>
      </c>
      <c r="S726" t="s">
        <v>74</v>
      </c>
      <c r="T726" t="s">
        <v>74</v>
      </c>
      <c r="U726" t="s">
        <v>74</v>
      </c>
      <c r="V726" t="s">
        <v>74</v>
      </c>
      <c r="W726" t="s">
        <v>10509</v>
      </c>
      <c r="X726" t="s">
        <v>10510</v>
      </c>
      <c r="Y726" t="s">
        <v>74</v>
      </c>
      <c r="Z726" t="s">
        <v>74</v>
      </c>
      <c r="AA726" t="s">
        <v>10511</v>
      </c>
      <c r="AB726" t="s">
        <v>74</v>
      </c>
      <c r="AC726" t="s">
        <v>859</v>
      </c>
      <c r="AD726" t="s">
        <v>860</v>
      </c>
      <c r="AE726" t="s">
        <v>10512</v>
      </c>
      <c r="AF726" t="s">
        <v>74</v>
      </c>
      <c r="AG726">
        <v>1</v>
      </c>
      <c r="AH726">
        <v>1</v>
      </c>
      <c r="AI726">
        <v>1</v>
      </c>
      <c r="AJ726">
        <v>0</v>
      </c>
      <c r="AK726">
        <v>0</v>
      </c>
      <c r="AL726" t="s">
        <v>649</v>
      </c>
      <c r="AM726" t="s">
        <v>486</v>
      </c>
      <c r="AN726" t="s">
        <v>650</v>
      </c>
      <c r="AO726" t="s">
        <v>651</v>
      </c>
      <c r="AP726" t="s">
        <v>652</v>
      </c>
      <c r="AQ726" t="s">
        <v>74</v>
      </c>
      <c r="AR726" t="s">
        <v>653</v>
      </c>
      <c r="AS726" t="s">
        <v>654</v>
      </c>
      <c r="AT726" t="s">
        <v>74</v>
      </c>
      <c r="AU726">
        <v>2017</v>
      </c>
      <c r="AV726">
        <v>195</v>
      </c>
      <c r="AW726" t="s">
        <v>74</v>
      </c>
      <c r="AX726" t="s">
        <v>74</v>
      </c>
      <c r="AY726" t="s">
        <v>74</v>
      </c>
      <c r="AZ726" t="s">
        <v>74</v>
      </c>
      <c r="BA726" t="s">
        <v>10513</v>
      </c>
      <c r="BB726" t="s">
        <v>74</v>
      </c>
      <c r="BC726" t="s">
        <v>74</v>
      </c>
      <c r="BD726" t="s">
        <v>74</v>
      </c>
      <c r="BE726" t="s">
        <v>74</v>
      </c>
      <c r="BF726" t="s">
        <v>74</v>
      </c>
      <c r="BG726" t="s">
        <v>74</v>
      </c>
      <c r="BH726" t="s">
        <v>74</v>
      </c>
      <c r="BI726">
        <v>2</v>
      </c>
      <c r="BJ726" t="s">
        <v>341</v>
      </c>
      <c r="BK726" t="s">
        <v>512</v>
      </c>
      <c r="BL726" t="s">
        <v>342</v>
      </c>
      <c r="BM726" t="s">
        <v>10474</v>
      </c>
      <c r="BN726" t="s">
        <v>74</v>
      </c>
      <c r="BO726" t="s">
        <v>74</v>
      </c>
      <c r="BP726" t="s">
        <v>74</v>
      </c>
      <c r="BQ726" t="s">
        <v>74</v>
      </c>
      <c r="BR726" t="s">
        <v>104</v>
      </c>
      <c r="BS726" t="s">
        <v>10514</v>
      </c>
      <c r="BT726" t="str">
        <f>HYPERLINK("https%3A%2F%2Fwww.webofscience.com%2Fwos%2Fwoscc%2Ffull-record%2FWOS:000400372504743","View Full Record in Web of Science")</f>
        <v>View Full Record in Web of Science</v>
      </c>
    </row>
    <row r="727" spans="1:72" x14ac:dyDescent="0.25">
      <c r="A727" t="s">
        <v>72</v>
      </c>
      <c r="B727" t="s">
        <v>10515</v>
      </c>
      <c r="C727" t="s">
        <v>74</v>
      </c>
      <c r="D727" t="s">
        <v>74</v>
      </c>
      <c r="E727" t="s">
        <v>74</v>
      </c>
      <c r="F727" t="s">
        <v>10516</v>
      </c>
      <c r="G727" t="s">
        <v>74</v>
      </c>
      <c r="H727" t="s">
        <v>10517</v>
      </c>
      <c r="I727" t="s">
        <v>10518</v>
      </c>
      <c r="J727" t="s">
        <v>10519</v>
      </c>
      <c r="K727" t="s">
        <v>74</v>
      </c>
      <c r="L727" t="s">
        <v>74</v>
      </c>
      <c r="M727" t="s">
        <v>78</v>
      </c>
      <c r="N727" t="s">
        <v>299</v>
      </c>
      <c r="O727" t="s">
        <v>74</v>
      </c>
      <c r="P727" t="s">
        <v>74</v>
      </c>
      <c r="Q727" t="s">
        <v>74</v>
      </c>
      <c r="R727" t="s">
        <v>74</v>
      </c>
      <c r="S727" t="s">
        <v>74</v>
      </c>
      <c r="T727" t="s">
        <v>10520</v>
      </c>
      <c r="U727" t="s">
        <v>10521</v>
      </c>
      <c r="V727" t="s">
        <v>10522</v>
      </c>
      <c r="W727" t="s">
        <v>10523</v>
      </c>
      <c r="X727" t="s">
        <v>10524</v>
      </c>
      <c r="Y727" t="s">
        <v>74</v>
      </c>
      <c r="Z727" t="s">
        <v>1917</v>
      </c>
      <c r="AA727" t="s">
        <v>10525</v>
      </c>
      <c r="AB727" t="s">
        <v>10526</v>
      </c>
      <c r="AC727" t="s">
        <v>10527</v>
      </c>
      <c r="AD727" t="s">
        <v>243</v>
      </c>
      <c r="AE727" t="s">
        <v>10528</v>
      </c>
      <c r="AF727" t="s">
        <v>74</v>
      </c>
      <c r="AG727">
        <v>21</v>
      </c>
      <c r="AH727">
        <v>129</v>
      </c>
      <c r="AI727">
        <v>137</v>
      </c>
      <c r="AJ727">
        <v>0</v>
      </c>
      <c r="AK727">
        <v>14</v>
      </c>
      <c r="AL727" t="s">
        <v>7467</v>
      </c>
      <c r="AM727" t="s">
        <v>93</v>
      </c>
      <c r="AN727" t="s">
        <v>7468</v>
      </c>
      <c r="AO727" t="s">
        <v>10529</v>
      </c>
      <c r="AP727" t="s">
        <v>10530</v>
      </c>
      <c r="AQ727" t="s">
        <v>74</v>
      </c>
      <c r="AR727" t="s">
        <v>10531</v>
      </c>
      <c r="AS727" t="s">
        <v>10532</v>
      </c>
      <c r="AT727" t="s">
        <v>176</v>
      </c>
      <c r="AU727">
        <v>2017</v>
      </c>
      <c r="AV727">
        <v>16</v>
      </c>
      <c r="AW727">
        <v>1</v>
      </c>
      <c r="AX727" t="s">
        <v>74</v>
      </c>
      <c r="AY727" t="s">
        <v>74</v>
      </c>
      <c r="AZ727" t="s">
        <v>74</v>
      </c>
      <c r="BA727" t="s">
        <v>74</v>
      </c>
      <c r="BB727">
        <v>1</v>
      </c>
      <c r="BC727">
        <v>9</v>
      </c>
      <c r="BD727" t="s">
        <v>74</v>
      </c>
      <c r="BE727" t="s">
        <v>10533</v>
      </c>
      <c r="BF727" t="str">
        <f>HYPERLINK("http://dx.doi.org/10.1016/j.autrev.2016.09.018","http://dx.doi.org/10.1016/j.autrev.2016.09.018")</f>
        <v>http://dx.doi.org/10.1016/j.autrev.2016.09.018</v>
      </c>
      <c r="BG727" t="s">
        <v>74</v>
      </c>
      <c r="BH727" t="s">
        <v>74</v>
      </c>
      <c r="BI727">
        <v>9</v>
      </c>
      <c r="BJ727" t="s">
        <v>159</v>
      </c>
      <c r="BK727" t="s">
        <v>101</v>
      </c>
      <c r="BL727" t="s">
        <v>159</v>
      </c>
      <c r="BM727" t="s">
        <v>10534</v>
      </c>
      <c r="BN727">
        <v>27671089</v>
      </c>
      <c r="BO727" t="s">
        <v>74</v>
      </c>
      <c r="BP727" t="s">
        <v>74</v>
      </c>
      <c r="BQ727" t="s">
        <v>74</v>
      </c>
      <c r="BR727" t="s">
        <v>104</v>
      </c>
      <c r="BS727" t="s">
        <v>10535</v>
      </c>
      <c r="BT727" t="str">
        <f>HYPERLINK("https%3A%2F%2Fwww.webofscience.com%2Fwos%2Fwoscc%2Ffull-record%2FWOS:000392679500001","View Full Record in Web of Science")</f>
        <v>View Full Record in Web of Science</v>
      </c>
    </row>
    <row r="728" spans="1:72" x14ac:dyDescent="0.25">
      <c r="A728" t="s">
        <v>72</v>
      </c>
      <c r="B728" t="s">
        <v>10536</v>
      </c>
      <c r="C728" t="s">
        <v>74</v>
      </c>
      <c r="D728" t="s">
        <v>74</v>
      </c>
      <c r="E728" t="s">
        <v>74</v>
      </c>
      <c r="F728" t="s">
        <v>10537</v>
      </c>
      <c r="G728" t="s">
        <v>74</v>
      </c>
      <c r="H728" t="s">
        <v>74</v>
      </c>
      <c r="I728" t="s">
        <v>10538</v>
      </c>
      <c r="J728" t="s">
        <v>10539</v>
      </c>
      <c r="K728" t="s">
        <v>74</v>
      </c>
      <c r="L728" t="s">
        <v>74</v>
      </c>
      <c r="M728" t="s">
        <v>78</v>
      </c>
      <c r="N728" t="s">
        <v>79</v>
      </c>
      <c r="O728" t="s">
        <v>74</v>
      </c>
      <c r="P728" t="s">
        <v>74</v>
      </c>
      <c r="Q728" t="s">
        <v>74</v>
      </c>
      <c r="R728" t="s">
        <v>74</v>
      </c>
      <c r="S728" t="s">
        <v>74</v>
      </c>
      <c r="T728" t="s">
        <v>10540</v>
      </c>
      <c r="U728" t="s">
        <v>10541</v>
      </c>
      <c r="V728" t="s">
        <v>10542</v>
      </c>
      <c r="W728" t="s">
        <v>10543</v>
      </c>
      <c r="X728" t="s">
        <v>10544</v>
      </c>
      <c r="Y728" t="s">
        <v>10545</v>
      </c>
      <c r="Z728" t="s">
        <v>10546</v>
      </c>
      <c r="AA728" t="s">
        <v>10547</v>
      </c>
      <c r="AB728" t="s">
        <v>10548</v>
      </c>
      <c r="AC728" t="s">
        <v>10549</v>
      </c>
      <c r="AD728" t="s">
        <v>10550</v>
      </c>
      <c r="AE728" t="s">
        <v>10551</v>
      </c>
      <c r="AF728" t="s">
        <v>74</v>
      </c>
      <c r="AG728">
        <v>18</v>
      </c>
      <c r="AH728">
        <v>1</v>
      </c>
      <c r="AI728">
        <v>1</v>
      </c>
      <c r="AJ728">
        <v>0</v>
      </c>
      <c r="AK728">
        <v>0</v>
      </c>
      <c r="AL728" t="s">
        <v>148</v>
      </c>
      <c r="AM728" t="s">
        <v>149</v>
      </c>
      <c r="AN728" t="s">
        <v>150</v>
      </c>
      <c r="AO728" t="s">
        <v>10552</v>
      </c>
      <c r="AP728" t="s">
        <v>10553</v>
      </c>
      <c r="AQ728" t="s">
        <v>74</v>
      </c>
      <c r="AR728" t="s">
        <v>10554</v>
      </c>
      <c r="AS728" t="s">
        <v>10555</v>
      </c>
      <c r="AT728" t="s">
        <v>74</v>
      </c>
      <c r="AU728">
        <v>2017</v>
      </c>
      <c r="AV728">
        <v>58</v>
      </c>
      <c r="AW728">
        <v>12</v>
      </c>
      <c r="AX728" t="s">
        <v>74</v>
      </c>
      <c r="AY728" t="s">
        <v>74</v>
      </c>
      <c r="AZ728" t="s">
        <v>74</v>
      </c>
      <c r="BA728" t="s">
        <v>74</v>
      </c>
      <c r="BB728">
        <v>2875</v>
      </c>
      <c r="BC728">
        <v>2879</v>
      </c>
      <c r="BD728" t="s">
        <v>74</v>
      </c>
      <c r="BE728" t="s">
        <v>10556</v>
      </c>
      <c r="BF728" t="str">
        <f>HYPERLINK("http://dx.doi.org/10.1080/10428194.2017.1330468","http://dx.doi.org/10.1080/10428194.2017.1330468")</f>
        <v>http://dx.doi.org/10.1080/10428194.2017.1330468</v>
      </c>
      <c r="BG728" t="s">
        <v>74</v>
      </c>
      <c r="BH728" t="s">
        <v>74</v>
      </c>
      <c r="BI728">
        <v>5</v>
      </c>
      <c r="BJ728" t="s">
        <v>10557</v>
      </c>
      <c r="BK728" t="s">
        <v>101</v>
      </c>
      <c r="BL728" t="s">
        <v>10557</v>
      </c>
      <c r="BM728" t="s">
        <v>10558</v>
      </c>
      <c r="BN728">
        <v>28593791</v>
      </c>
      <c r="BO728" t="s">
        <v>74</v>
      </c>
      <c r="BP728" t="s">
        <v>74</v>
      </c>
      <c r="BQ728" t="s">
        <v>74</v>
      </c>
      <c r="BR728" t="s">
        <v>104</v>
      </c>
      <c r="BS728" t="s">
        <v>10559</v>
      </c>
      <c r="BT728" t="str">
        <f>HYPERLINK("https%3A%2F%2Fwww.webofscience.com%2Fwos%2Fwoscc%2Ffull-record%2FWOS:000406290000013","View Full Record in Web of Science")</f>
        <v>View Full Record in Web of Science</v>
      </c>
    </row>
    <row r="729" spans="1:72" x14ac:dyDescent="0.25">
      <c r="A729" t="s">
        <v>72</v>
      </c>
      <c r="B729" t="s">
        <v>10560</v>
      </c>
      <c r="C729" t="s">
        <v>74</v>
      </c>
      <c r="D729" t="s">
        <v>74</v>
      </c>
      <c r="E729" t="s">
        <v>74</v>
      </c>
      <c r="F729" t="s">
        <v>10561</v>
      </c>
      <c r="G729" t="s">
        <v>74</v>
      </c>
      <c r="H729" t="s">
        <v>74</v>
      </c>
      <c r="I729" t="s">
        <v>10562</v>
      </c>
      <c r="J729" t="s">
        <v>637</v>
      </c>
      <c r="K729" t="s">
        <v>74</v>
      </c>
      <c r="L729" t="s">
        <v>74</v>
      </c>
      <c r="M729" t="s">
        <v>78</v>
      </c>
      <c r="N729" t="s">
        <v>52</v>
      </c>
      <c r="O729" t="s">
        <v>2003</v>
      </c>
      <c r="P729" t="s">
        <v>10469</v>
      </c>
      <c r="Q729" t="s">
        <v>2005</v>
      </c>
      <c r="R729" t="s">
        <v>2006</v>
      </c>
      <c r="S729" t="s">
        <v>74</v>
      </c>
      <c r="T729" t="s">
        <v>74</v>
      </c>
      <c r="U729" t="s">
        <v>74</v>
      </c>
      <c r="V729" t="s">
        <v>74</v>
      </c>
      <c r="W729" t="s">
        <v>10563</v>
      </c>
      <c r="X729" t="s">
        <v>10564</v>
      </c>
      <c r="Y729" t="s">
        <v>74</v>
      </c>
      <c r="Z729" t="s">
        <v>1296</v>
      </c>
      <c r="AA729" t="s">
        <v>10565</v>
      </c>
      <c r="AB729" t="s">
        <v>74</v>
      </c>
      <c r="AC729" t="s">
        <v>74</v>
      </c>
      <c r="AD729" t="s">
        <v>74</v>
      </c>
      <c r="AE729" t="s">
        <v>74</v>
      </c>
      <c r="AF729" t="s">
        <v>74</v>
      </c>
      <c r="AG729">
        <v>0</v>
      </c>
      <c r="AH729">
        <v>0</v>
      </c>
      <c r="AI729">
        <v>0</v>
      </c>
      <c r="AJ729">
        <v>0</v>
      </c>
      <c r="AK729">
        <v>1</v>
      </c>
      <c r="AL729" t="s">
        <v>649</v>
      </c>
      <c r="AM729" t="s">
        <v>486</v>
      </c>
      <c r="AN729" t="s">
        <v>650</v>
      </c>
      <c r="AO729" t="s">
        <v>651</v>
      </c>
      <c r="AP729" t="s">
        <v>652</v>
      </c>
      <c r="AQ729" t="s">
        <v>74</v>
      </c>
      <c r="AR729" t="s">
        <v>653</v>
      </c>
      <c r="AS729" t="s">
        <v>654</v>
      </c>
      <c r="AT729" t="s">
        <v>74</v>
      </c>
      <c r="AU729">
        <v>2017</v>
      </c>
      <c r="AV729">
        <v>195</v>
      </c>
      <c r="AW729" t="s">
        <v>74</v>
      </c>
      <c r="AX729" t="s">
        <v>74</v>
      </c>
      <c r="AY729" t="s">
        <v>74</v>
      </c>
      <c r="AZ729" t="s">
        <v>74</v>
      </c>
      <c r="BA729" t="s">
        <v>10566</v>
      </c>
      <c r="BB729" t="s">
        <v>74</v>
      </c>
      <c r="BC729" t="s">
        <v>74</v>
      </c>
      <c r="BD729" t="s">
        <v>74</v>
      </c>
      <c r="BE729" t="s">
        <v>74</v>
      </c>
      <c r="BF729" t="s">
        <v>74</v>
      </c>
      <c r="BG729" t="s">
        <v>74</v>
      </c>
      <c r="BH729" t="s">
        <v>74</v>
      </c>
      <c r="BI729">
        <v>1</v>
      </c>
      <c r="BJ729" t="s">
        <v>341</v>
      </c>
      <c r="BK729" t="s">
        <v>512</v>
      </c>
      <c r="BL729" t="s">
        <v>342</v>
      </c>
      <c r="BM729" t="s">
        <v>10474</v>
      </c>
      <c r="BN729" t="s">
        <v>74</v>
      </c>
      <c r="BO729" t="s">
        <v>74</v>
      </c>
      <c r="BP729" t="s">
        <v>74</v>
      </c>
      <c r="BQ729" t="s">
        <v>74</v>
      </c>
      <c r="BR729" t="s">
        <v>104</v>
      </c>
      <c r="BS729" t="s">
        <v>10567</v>
      </c>
      <c r="BT729" t="str">
        <f>HYPERLINK("https%3A%2F%2Fwww.webofscience.com%2Fwos%2Fwoscc%2Ffull-record%2FWOS:000400372501407","View Full Record in Web of Science")</f>
        <v>View Full Record in Web of Science</v>
      </c>
    </row>
    <row r="730" spans="1:72" x14ac:dyDescent="0.25">
      <c r="A730" t="s">
        <v>72</v>
      </c>
      <c r="B730" t="s">
        <v>10568</v>
      </c>
      <c r="C730" t="s">
        <v>74</v>
      </c>
      <c r="D730" t="s">
        <v>74</v>
      </c>
      <c r="E730" t="s">
        <v>74</v>
      </c>
      <c r="F730" t="s">
        <v>10569</v>
      </c>
      <c r="G730" t="s">
        <v>74</v>
      </c>
      <c r="H730" t="s">
        <v>74</v>
      </c>
      <c r="I730" t="s">
        <v>10570</v>
      </c>
      <c r="J730" t="s">
        <v>637</v>
      </c>
      <c r="K730" t="s">
        <v>74</v>
      </c>
      <c r="L730" t="s">
        <v>74</v>
      </c>
      <c r="M730" t="s">
        <v>78</v>
      </c>
      <c r="N730" t="s">
        <v>52</v>
      </c>
      <c r="O730" t="s">
        <v>2003</v>
      </c>
      <c r="P730" t="s">
        <v>10469</v>
      </c>
      <c r="Q730" t="s">
        <v>2005</v>
      </c>
      <c r="R730" t="s">
        <v>2006</v>
      </c>
      <c r="S730" t="s">
        <v>74</v>
      </c>
      <c r="T730" t="s">
        <v>74</v>
      </c>
      <c r="U730" t="s">
        <v>74</v>
      </c>
      <c r="V730" t="s">
        <v>74</v>
      </c>
      <c r="W730" t="s">
        <v>10571</v>
      </c>
      <c r="X730" t="s">
        <v>10572</v>
      </c>
      <c r="Y730" t="s">
        <v>74</v>
      </c>
      <c r="Z730" t="s">
        <v>10573</v>
      </c>
      <c r="AA730" t="s">
        <v>2792</v>
      </c>
      <c r="AB730" t="s">
        <v>74</v>
      </c>
      <c r="AC730" t="s">
        <v>10574</v>
      </c>
      <c r="AD730" t="s">
        <v>10575</v>
      </c>
      <c r="AE730" t="s">
        <v>10576</v>
      </c>
      <c r="AF730" t="s">
        <v>74</v>
      </c>
      <c r="AG730">
        <v>0</v>
      </c>
      <c r="AH730">
        <v>2</v>
      </c>
      <c r="AI730">
        <v>2</v>
      </c>
      <c r="AJ730">
        <v>0</v>
      </c>
      <c r="AK730">
        <v>0</v>
      </c>
      <c r="AL730" t="s">
        <v>649</v>
      </c>
      <c r="AM730" t="s">
        <v>486</v>
      </c>
      <c r="AN730" t="s">
        <v>650</v>
      </c>
      <c r="AO730" t="s">
        <v>651</v>
      </c>
      <c r="AP730" t="s">
        <v>652</v>
      </c>
      <c r="AQ730" t="s">
        <v>74</v>
      </c>
      <c r="AR730" t="s">
        <v>653</v>
      </c>
      <c r="AS730" t="s">
        <v>654</v>
      </c>
      <c r="AT730" t="s">
        <v>74</v>
      </c>
      <c r="AU730">
        <v>2017</v>
      </c>
      <c r="AV730">
        <v>195</v>
      </c>
      <c r="AW730" t="s">
        <v>74</v>
      </c>
      <c r="AX730" t="s">
        <v>74</v>
      </c>
      <c r="AY730" t="s">
        <v>74</v>
      </c>
      <c r="AZ730" t="s">
        <v>74</v>
      </c>
      <c r="BA730" t="s">
        <v>10577</v>
      </c>
      <c r="BB730" t="s">
        <v>74</v>
      </c>
      <c r="BC730" t="s">
        <v>74</v>
      </c>
      <c r="BD730" t="s">
        <v>74</v>
      </c>
      <c r="BE730" t="s">
        <v>74</v>
      </c>
      <c r="BF730" t="s">
        <v>74</v>
      </c>
      <c r="BG730" t="s">
        <v>74</v>
      </c>
      <c r="BH730" t="s">
        <v>74</v>
      </c>
      <c r="BI730">
        <v>1</v>
      </c>
      <c r="BJ730" t="s">
        <v>341</v>
      </c>
      <c r="BK730" t="s">
        <v>512</v>
      </c>
      <c r="BL730" t="s">
        <v>342</v>
      </c>
      <c r="BM730" t="s">
        <v>10474</v>
      </c>
      <c r="BN730" t="s">
        <v>74</v>
      </c>
      <c r="BO730" t="s">
        <v>74</v>
      </c>
      <c r="BP730" t="s">
        <v>74</v>
      </c>
      <c r="BQ730" t="s">
        <v>74</v>
      </c>
      <c r="BR730" t="s">
        <v>104</v>
      </c>
      <c r="BS730" t="s">
        <v>10578</v>
      </c>
      <c r="BT730" t="str">
        <f>HYPERLINK("https%3A%2F%2Fwww.webofscience.com%2Fwos%2Fwoscc%2Ffull-record%2FWOS:000400372504327","View Full Record in Web of Science")</f>
        <v>View Full Record in Web of Science</v>
      </c>
    </row>
    <row r="731" spans="1:72" x14ac:dyDescent="0.25">
      <c r="A731" t="s">
        <v>72</v>
      </c>
      <c r="B731" t="s">
        <v>10579</v>
      </c>
      <c r="C731" t="s">
        <v>74</v>
      </c>
      <c r="D731" t="s">
        <v>74</v>
      </c>
      <c r="E731" t="s">
        <v>74</v>
      </c>
      <c r="F731" t="s">
        <v>10580</v>
      </c>
      <c r="G731" t="s">
        <v>74</v>
      </c>
      <c r="H731" t="s">
        <v>74</v>
      </c>
      <c r="I731" t="s">
        <v>10581</v>
      </c>
      <c r="J731" t="s">
        <v>216</v>
      </c>
      <c r="K731" t="s">
        <v>74</v>
      </c>
      <c r="L731" t="s">
        <v>74</v>
      </c>
      <c r="M731" t="s">
        <v>78</v>
      </c>
      <c r="N731" t="s">
        <v>140</v>
      </c>
      <c r="O731" t="s">
        <v>74</v>
      </c>
      <c r="P731" t="s">
        <v>74</v>
      </c>
      <c r="Q731" t="s">
        <v>74</v>
      </c>
      <c r="R731" t="s">
        <v>74</v>
      </c>
      <c r="S731" t="s">
        <v>74</v>
      </c>
      <c r="T731" t="s">
        <v>74</v>
      </c>
      <c r="U731" t="s">
        <v>10582</v>
      </c>
      <c r="V731" t="s">
        <v>74</v>
      </c>
      <c r="W731" t="s">
        <v>10583</v>
      </c>
      <c r="X731" t="s">
        <v>10584</v>
      </c>
      <c r="Y731" t="s">
        <v>10585</v>
      </c>
      <c r="Z731" t="s">
        <v>3402</v>
      </c>
      <c r="AA731" t="s">
        <v>10586</v>
      </c>
      <c r="AB731" t="s">
        <v>10587</v>
      </c>
      <c r="AC731" t="s">
        <v>74</v>
      </c>
      <c r="AD731" t="s">
        <v>74</v>
      </c>
      <c r="AE731" t="s">
        <v>74</v>
      </c>
      <c r="AF731" t="s">
        <v>74</v>
      </c>
      <c r="AG731">
        <v>11</v>
      </c>
      <c r="AH731">
        <v>1</v>
      </c>
      <c r="AI731">
        <v>1</v>
      </c>
      <c r="AJ731">
        <v>0</v>
      </c>
      <c r="AK731">
        <v>0</v>
      </c>
      <c r="AL731" t="s">
        <v>219</v>
      </c>
      <c r="AM731" t="s">
        <v>220</v>
      </c>
      <c r="AN731" t="s">
        <v>221</v>
      </c>
      <c r="AO731" t="s">
        <v>222</v>
      </c>
      <c r="AP731" t="s">
        <v>223</v>
      </c>
      <c r="AQ731" t="s">
        <v>74</v>
      </c>
      <c r="AR731" t="s">
        <v>224</v>
      </c>
      <c r="AS731" t="s">
        <v>225</v>
      </c>
      <c r="AT731" t="s">
        <v>176</v>
      </c>
      <c r="AU731">
        <v>2017</v>
      </c>
      <c r="AV731">
        <v>49</v>
      </c>
      <c r="AW731">
        <v>1</v>
      </c>
      <c r="AX731" t="s">
        <v>74</v>
      </c>
      <c r="AY731" t="s">
        <v>74</v>
      </c>
      <c r="AZ731" t="s">
        <v>74</v>
      </c>
      <c r="BA731" t="s">
        <v>74</v>
      </c>
      <c r="BB731" t="s">
        <v>74</v>
      </c>
      <c r="BC731" t="s">
        <v>74</v>
      </c>
      <c r="BD731">
        <v>1602393</v>
      </c>
      <c r="BE731" t="s">
        <v>10588</v>
      </c>
      <c r="BF731" t="str">
        <f>HYPERLINK("http://dx.doi.org/10.1183/13993003.02393-2016","http://dx.doi.org/10.1183/13993003.02393-2016")</f>
        <v>http://dx.doi.org/10.1183/13993003.02393-2016</v>
      </c>
      <c r="BG731" t="s">
        <v>74</v>
      </c>
      <c r="BH731" t="s">
        <v>74</v>
      </c>
      <c r="BI731">
        <v>3</v>
      </c>
      <c r="BJ731" t="s">
        <v>228</v>
      </c>
      <c r="BK731" t="s">
        <v>101</v>
      </c>
      <c r="BL731" t="s">
        <v>228</v>
      </c>
      <c r="BM731" t="s">
        <v>10589</v>
      </c>
      <c r="BN731">
        <v>28049182</v>
      </c>
      <c r="BO731" t="s">
        <v>161</v>
      </c>
      <c r="BP731" t="s">
        <v>74</v>
      </c>
      <c r="BQ731" t="s">
        <v>74</v>
      </c>
      <c r="BR731" t="s">
        <v>104</v>
      </c>
      <c r="BS731" t="s">
        <v>10590</v>
      </c>
      <c r="BT731" t="str">
        <f>HYPERLINK("https%3A%2F%2Fwww.webofscience.com%2Fwos%2Fwoscc%2Ffull-record%2FWOS:000397423500075","View Full Record in Web of Science")</f>
        <v>View Full Record in Web of Science</v>
      </c>
    </row>
    <row r="732" spans="1:72" x14ac:dyDescent="0.25">
      <c r="A732" t="s">
        <v>72</v>
      </c>
      <c r="B732" t="s">
        <v>10591</v>
      </c>
      <c r="C732" t="s">
        <v>74</v>
      </c>
      <c r="D732" t="s">
        <v>74</v>
      </c>
      <c r="E732" t="s">
        <v>74</v>
      </c>
      <c r="F732" t="s">
        <v>10592</v>
      </c>
      <c r="G732" t="s">
        <v>74</v>
      </c>
      <c r="H732" t="s">
        <v>74</v>
      </c>
      <c r="I732" t="s">
        <v>10593</v>
      </c>
      <c r="J732" t="s">
        <v>637</v>
      </c>
      <c r="K732" t="s">
        <v>74</v>
      </c>
      <c r="L732" t="s">
        <v>74</v>
      </c>
      <c r="M732" t="s">
        <v>78</v>
      </c>
      <c r="N732" t="s">
        <v>52</v>
      </c>
      <c r="O732" t="s">
        <v>2003</v>
      </c>
      <c r="P732" t="s">
        <v>10469</v>
      </c>
      <c r="Q732" t="s">
        <v>2005</v>
      </c>
      <c r="R732" t="s">
        <v>2006</v>
      </c>
      <c r="S732" t="s">
        <v>74</v>
      </c>
      <c r="T732" t="s">
        <v>74</v>
      </c>
      <c r="U732" t="s">
        <v>74</v>
      </c>
      <c r="V732" t="s">
        <v>74</v>
      </c>
      <c r="W732" t="s">
        <v>10594</v>
      </c>
      <c r="X732" t="s">
        <v>10595</v>
      </c>
      <c r="Y732" t="s">
        <v>74</v>
      </c>
      <c r="Z732" t="s">
        <v>10596</v>
      </c>
      <c r="AA732" t="s">
        <v>10597</v>
      </c>
      <c r="AB732" t="s">
        <v>10598</v>
      </c>
      <c r="AC732" t="s">
        <v>74</v>
      </c>
      <c r="AD732" t="s">
        <v>74</v>
      </c>
      <c r="AE732" t="s">
        <v>74</v>
      </c>
      <c r="AF732" t="s">
        <v>74</v>
      </c>
      <c r="AG732">
        <v>0</v>
      </c>
      <c r="AH732">
        <v>0</v>
      </c>
      <c r="AI732">
        <v>0</v>
      </c>
      <c r="AJ732">
        <v>0</v>
      </c>
      <c r="AK732">
        <v>0</v>
      </c>
      <c r="AL732" t="s">
        <v>649</v>
      </c>
      <c r="AM732" t="s">
        <v>486</v>
      </c>
      <c r="AN732" t="s">
        <v>650</v>
      </c>
      <c r="AO732" t="s">
        <v>651</v>
      </c>
      <c r="AP732" t="s">
        <v>652</v>
      </c>
      <c r="AQ732" t="s">
        <v>74</v>
      </c>
      <c r="AR732" t="s">
        <v>653</v>
      </c>
      <c r="AS732" t="s">
        <v>654</v>
      </c>
      <c r="AT732" t="s">
        <v>74</v>
      </c>
      <c r="AU732">
        <v>2017</v>
      </c>
      <c r="AV732">
        <v>195</v>
      </c>
      <c r="AW732" t="s">
        <v>74</v>
      </c>
      <c r="AX732" t="s">
        <v>74</v>
      </c>
      <c r="AY732" t="s">
        <v>74</v>
      </c>
      <c r="AZ732" t="s">
        <v>74</v>
      </c>
      <c r="BA732" t="s">
        <v>10599</v>
      </c>
      <c r="BB732" t="s">
        <v>74</v>
      </c>
      <c r="BC732" t="s">
        <v>74</v>
      </c>
      <c r="BD732" t="s">
        <v>74</v>
      </c>
      <c r="BE732" t="s">
        <v>74</v>
      </c>
      <c r="BF732" t="s">
        <v>74</v>
      </c>
      <c r="BG732" t="s">
        <v>74</v>
      </c>
      <c r="BH732" t="s">
        <v>74</v>
      </c>
      <c r="BI732">
        <v>1</v>
      </c>
      <c r="BJ732" t="s">
        <v>341</v>
      </c>
      <c r="BK732" t="s">
        <v>512</v>
      </c>
      <c r="BL732" t="s">
        <v>342</v>
      </c>
      <c r="BM732" t="s">
        <v>10474</v>
      </c>
      <c r="BN732" t="s">
        <v>74</v>
      </c>
      <c r="BO732" t="s">
        <v>74</v>
      </c>
      <c r="BP732" t="s">
        <v>74</v>
      </c>
      <c r="BQ732" t="s">
        <v>74</v>
      </c>
      <c r="BR732" t="s">
        <v>104</v>
      </c>
      <c r="BS732" t="s">
        <v>10600</v>
      </c>
      <c r="BT732" t="str">
        <f>HYPERLINK("https%3A%2F%2Fwww.webofscience.com%2Fwos%2Fwoscc%2Ffull-record%2FWOS:000400372500244","View Full Record in Web of Science")</f>
        <v>View Full Record in Web of Science</v>
      </c>
    </row>
    <row r="733" spans="1:72" x14ac:dyDescent="0.25">
      <c r="A733" t="s">
        <v>72</v>
      </c>
      <c r="B733" t="s">
        <v>10601</v>
      </c>
      <c r="C733" t="s">
        <v>74</v>
      </c>
      <c r="D733" t="s">
        <v>74</v>
      </c>
      <c r="E733" t="s">
        <v>74</v>
      </c>
      <c r="F733" t="s">
        <v>10602</v>
      </c>
      <c r="G733" t="s">
        <v>74</v>
      </c>
      <c r="H733" t="s">
        <v>74</v>
      </c>
      <c r="I733" t="s">
        <v>10603</v>
      </c>
      <c r="J733" t="s">
        <v>637</v>
      </c>
      <c r="K733" t="s">
        <v>74</v>
      </c>
      <c r="L733" t="s">
        <v>74</v>
      </c>
      <c r="M733" t="s">
        <v>78</v>
      </c>
      <c r="N733" t="s">
        <v>52</v>
      </c>
      <c r="O733" t="s">
        <v>2003</v>
      </c>
      <c r="P733" t="s">
        <v>10469</v>
      </c>
      <c r="Q733" t="s">
        <v>2005</v>
      </c>
      <c r="R733" t="s">
        <v>2006</v>
      </c>
      <c r="S733" t="s">
        <v>74</v>
      </c>
      <c r="T733" t="s">
        <v>74</v>
      </c>
      <c r="U733" t="s">
        <v>74</v>
      </c>
      <c r="V733" t="s">
        <v>74</v>
      </c>
      <c r="W733" t="s">
        <v>10604</v>
      </c>
      <c r="X733" t="s">
        <v>10605</v>
      </c>
      <c r="Y733" t="s">
        <v>74</v>
      </c>
      <c r="Z733" t="s">
        <v>74</v>
      </c>
      <c r="AA733" t="s">
        <v>10606</v>
      </c>
      <c r="AB733" t="s">
        <v>10607</v>
      </c>
      <c r="AC733" t="s">
        <v>10608</v>
      </c>
      <c r="AD733" t="s">
        <v>10608</v>
      </c>
      <c r="AE733" t="s">
        <v>10609</v>
      </c>
      <c r="AF733" t="s">
        <v>74</v>
      </c>
      <c r="AG733">
        <v>0</v>
      </c>
      <c r="AH733">
        <v>2</v>
      </c>
      <c r="AI733">
        <v>2</v>
      </c>
      <c r="AJ733">
        <v>0</v>
      </c>
      <c r="AK733">
        <v>1</v>
      </c>
      <c r="AL733" t="s">
        <v>649</v>
      </c>
      <c r="AM733" t="s">
        <v>486</v>
      </c>
      <c r="AN733" t="s">
        <v>650</v>
      </c>
      <c r="AO733" t="s">
        <v>651</v>
      </c>
      <c r="AP733" t="s">
        <v>652</v>
      </c>
      <c r="AQ733" t="s">
        <v>74</v>
      </c>
      <c r="AR733" t="s">
        <v>653</v>
      </c>
      <c r="AS733" t="s">
        <v>654</v>
      </c>
      <c r="AT733" t="s">
        <v>74</v>
      </c>
      <c r="AU733">
        <v>2017</v>
      </c>
      <c r="AV733">
        <v>195</v>
      </c>
      <c r="AW733" t="s">
        <v>74</v>
      </c>
      <c r="AX733" t="s">
        <v>74</v>
      </c>
      <c r="AY733" t="s">
        <v>74</v>
      </c>
      <c r="AZ733" t="s">
        <v>74</v>
      </c>
      <c r="BA733" t="s">
        <v>10610</v>
      </c>
      <c r="BB733" t="s">
        <v>74</v>
      </c>
      <c r="BC733" t="s">
        <v>74</v>
      </c>
      <c r="BD733" t="s">
        <v>74</v>
      </c>
      <c r="BE733" t="s">
        <v>74</v>
      </c>
      <c r="BF733" t="s">
        <v>74</v>
      </c>
      <c r="BG733" t="s">
        <v>74</v>
      </c>
      <c r="BH733" t="s">
        <v>74</v>
      </c>
      <c r="BI733">
        <v>1</v>
      </c>
      <c r="BJ733" t="s">
        <v>341</v>
      </c>
      <c r="BK733" t="s">
        <v>512</v>
      </c>
      <c r="BL733" t="s">
        <v>342</v>
      </c>
      <c r="BM733" t="s">
        <v>10474</v>
      </c>
      <c r="BN733" t="s">
        <v>74</v>
      </c>
      <c r="BO733" t="s">
        <v>74</v>
      </c>
      <c r="BP733" t="s">
        <v>74</v>
      </c>
      <c r="BQ733" t="s">
        <v>74</v>
      </c>
      <c r="BR733" t="s">
        <v>104</v>
      </c>
      <c r="BS733" t="s">
        <v>10611</v>
      </c>
      <c r="BT733" t="str">
        <f>HYPERLINK("https%3A%2F%2Fwww.webofscience.com%2Fwos%2Fwoscc%2Ffull-record%2FWOS:000400372501462","View Full Record in Web of Science")</f>
        <v>View Full Record in Web of Science</v>
      </c>
    </row>
    <row r="734" spans="1:72" x14ac:dyDescent="0.25">
      <c r="A734" t="s">
        <v>72</v>
      </c>
      <c r="B734" t="s">
        <v>10612</v>
      </c>
      <c r="C734" t="s">
        <v>74</v>
      </c>
      <c r="D734" t="s">
        <v>74</v>
      </c>
      <c r="E734" t="s">
        <v>74</v>
      </c>
      <c r="F734" t="s">
        <v>10613</v>
      </c>
      <c r="G734" t="s">
        <v>74</v>
      </c>
      <c r="H734" t="s">
        <v>74</v>
      </c>
      <c r="I734" t="s">
        <v>10614</v>
      </c>
      <c r="J734" t="s">
        <v>637</v>
      </c>
      <c r="K734" t="s">
        <v>74</v>
      </c>
      <c r="L734" t="s">
        <v>74</v>
      </c>
      <c r="M734" t="s">
        <v>78</v>
      </c>
      <c r="N734" t="s">
        <v>52</v>
      </c>
      <c r="O734" t="s">
        <v>2003</v>
      </c>
      <c r="P734" t="s">
        <v>10469</v>
      </c>
      <c r="Q734" t="s">
        <v>2005</v>
      </c>
      <c r="R734" t="s">
        <v>2006</v>
      </c>
      <c r="S734" t="s">
        <v>74</v>
      </c>
      <c r="T734" t="s">
        <v>74</v>
      </c>
      <c r="U734" t="s">
        <v>74</v>
      </c>
      <c r="V734" t="s">
        <v>74</v>
      </c>
      <c r="W734" t="s">
        <v>10615</v>
      </c>
      <c r="X734" t="s">
        <v>10616</v>
      </c>
      <c r="Y734" t="s">
        <v>74</v>
      </c>
      <c r="Z734" t="s">
        <v>10617</v>
      </c>
      <c r="AA734" t="s">
        <v>10618</v>
      </c>
      <c r="AB734" t="s">
        <v>5709</v>
      </c>
      <c r="AC734" t="s">
        <v>74</v>
      </c>
      <c r="AD734" t="s">
        <v>74</v>
      </c>
      <c r="AE734" t="s">
        <v>74</v>
      </c>
      <c r="AF734" t="s">
        <v>74</v>
      </c>
      <c r="AG734">
        <v>0</v>
      </c>
      <c r="AH734">
        <v>0</v>
      </c>
      <c r="AI734">
        <v>0</v>
      </c>
      <c r="AJ734">
        <v>0</v>
      </c>
      <c r="AK734">
        <v>0</v>
      </c>
      <c r="AL734" t="s">
        <v>649</v>
      </c>
      <c r="AM734" t="s">
        <v>486</v>
      </c>
      <c r="AN734" t="s">
        <v>650</v>
      </c>
      <c r="AO734" t="s">
        <v>651</v>
      </c>
      <c r="AP734" t="s">
        <v>652</v>
      </c>
      <c r="AQ734" t="s">
        <v>74</v>
      </c>
      <c r="AR734" t="s">
        <v>653</v>
      </c>
      <c r="AS734" t="s">
        <v>654</v>
      </c>
      <c r="AT734" t="s">
        <v>74</v>
      </c>
      <c r="AU734">
        <v>2017</v>
      </c>
      <c r="AV734">
        <v>195</v>
      </c>
      <c r="AW734" t="s">
        <v>74</v>
      </c>
      <c r="AX734" t="s">
        <v>74</v>
      </c>
      <c r="AY734" t="s">
        <v>74</v>
      </c>
      <c r="AZ734" t="s">
        <v>74</v>
      </c>
      <c r="BA734" t="s">
        <v>10619</v>
      </c>
      <c r="BB734" t="s">
        <v>74</v>
      </c>
      <c r="BC734" t="s">
        <v>74</v>
      </c>
      <c r="BD734" t="s">
        <v>74</v>
      </c>
      <c r="BE734" t="s">
        <v>74</v>
      </c>
      <c r="BF734" t="s">
        <v>74</v>
      </c>
      <c r="BG734" t="s">
        <v>74</v>
      </c>
      <c r="BH734" t="s">
        <v>74</v>
      </c>
      <c r="BI734">
        <v>1</v>
      </c>
      <c r="BJ734" t="s">
        <v>341</v>
      </c>
      <c r="BK734" t="s">
        <v>512</v>
      </c>
      <c r="BL734" t="s">
        <v>342</v>
      </c>
      <c r="BM734" t="s">
        <v>10474</v>
      </c>
      <c r="BN734" t="s">
        <v>74</v>
      </c>
      <c r="BO734" t="s">
        <v>74</v>
      </c>
      <c r="BP734" t="s">
        <v>74</v>
      </c>
      <c r="BQ734" t="s">
        <v>74</v>
      </c>
      <c r="BR734" t="s">
        <v>104</v>
      </c>
      <c r="BS734" t="s">
        <v>10620</v>
      </c>
      <c r="BT734" t="str">
        <f>HYPERLINK("https%3A%2F%2Fwww.webofscience.com%2Fwos%2Fwoscc%2Ffull-record%2FWOS:000400372507130","View Full Record in Web of Science")</f>
        <v>View Full Record in Web of Science</v>
      </c>
    </row>
    <row r="735" spans="1:72" x14ac:dyDescent="0.25">
      <c r="A735" t="s">
        <v>72</v>
      </c>
      <c r="B735" t="s">
        <v>10621</v>
      </c>
      <c r="C735" t="s">
        <v>74</v>
      </c>
      <c r="D735" t="s">
        <v>74</v>
      </c>
      <c r="E735" t="s">
        <v>74</v>
      </c>
      <c r="F735" t="s">
        <v>10622</v>
      </c>
      <c r="G735" t="s">
        <v>74</v>
      </c>
      <c r="H735" t="s">
        <v>74</v>
      </c>
      <c r="I735" t="s">
        <v>10623</v>
      </c>
      <c r="J735" t="s">
        <v>2398</v>
      </c>
      <c r="K735" t="s">
        <v>74</v>
      </c>
      <c r="L735" t="s">
        <v>74</v>
      </c>
      <c r="M735" t="s">
        <v>78</v>
      </c>
      <c r="N735" t="s">
        <v>79</v>
      </c>
      <c r="O735" t="s">
        <v>74</v>
      </c>
      <c r="P735" t="s">
        <v>74</v>
      </c>
      <c r="Q735" t="s">
        <v>74</v>
      </c>
      <c r="R735" t="s">
        <v>74</v>
      </c>
      <c r="S735" t="s">
        <v>74</v>
      </c>
      <c r="T735" t="s">
        <v>10624</v>
      </c>
      <c r="U735" t="s">
        <v>10625</v>
      </c>
      <c r="V735" t="s">
        <v>10626</v>
      </c>
      <c r="W735" t="s">
        <v>10627</v>
      </c>
      <c r="X735" t="s">
        <v>10628</v>
      </c>
      <c r="Y735" t="s">
        <v>10629</v>
      </c>
      <c r="Z735" t="s">
        <v>1614</v>
      </c>
      <c r="AA735" t="s">
        <v>5413</v>
      </c>
      <c r="AB735" t="s">
        <v>5414</v>
      </c>
      <c r="AC735" t="s">
        <v>10630</v>
      </c>
      <c r="AD735" t="s">
        <v>10631</v>
      </c>
      <c r="AE735" t="s">
        <v>74</v>
      </c>
      <c r="AF735" t="s">
        <v>74</v>
      </c>
      <c r="AG735">
        <v>33</v>
      </c>
      <c r="AH735">
        <v>43</v>
      </c>
      <c r="AI735">
        <v>45</v>
      </c>
      <c r="AJ735">
        <v>0</v>
      </c>
      <c r="AK735">
        <v>22</v>
      </c>
      <c r="AL735" t="s">
        <v>169</v>
      </c>
      <c r="AM735" t="s">
        <v>170</v>
      </c>
      <c r="AN735" t="s">
        <v>171</v>
      </c>
      <c r="AO735" t="s">
        <v>2403</v>
      </c>
      <c r="AP735" t="s">
        <v>2404</v>
      </c>
      <c r="AQ735" t="s">
        <v>74</v>
      </c>
      <c r="AR735" t="s">
        <v>2398</v>
      </c>
      <c r="AS735" t="s">
        <v>2405</v>
      </c>
      <c r="AT735" t="s">
        <v>176</v>
      </c>
      <c r="AU735">
        <v>2017</v>
      </c>
      <c r="AV735">
        <v>22</v>
      </c>
      <c r="AW735">
        <v>1</v>
      </c>
      <c r="AX735" t="s">
        <v>74</v>
      </c>
      <c r="AY735" t="s">
        <v>74</v>
      </c>
      <c r="AZ735" t="s">
        <v>74</v>
      </c>
      <c r="BA735" t="s">
        <v>74</v>
      </c>
      <c r="BB735">
        <v>157</v>
      </c>
      <c r="BC735">
        <v>164</v>
      </c>
      <c r="BD735" t="s">
        <v>74</v>
      </c>
      <c r="BE735" t="s">
        <v>10632</v>
      </c>
      <c r="BF735" t="str">
        <f>HYPERLINK("http://dx.doi.org/10.1111/resp.12872","http://dx.doi.org/10.1111/resp.12872")</f>
        <v>http://dx.doi.org/10.1111/resp.12872</v>
      </c>
      <c r="BG735" t="s">
        <v>74</v>
      </c>
      <c r="BH735" t="s">
        <v>74</v>
      </c>
      <c r="BI735">
        <v>8</v>
      </c>
      <c r="BJ735" t="s">
        <v>228</v>
      </c>
      <c r="BK735" t="s">
        <v>101</v>
      </c>
      <c r="BL735" t="s">
        <v>228</v>
      </c>
      <c r="BM735" t="s">
        <v>10633</v>
      </c>
      <c r="BN735">
        <v>27539364</v>
      </c>
      <c r="BO735" t="s">
        <v>246</v>
      </c>
      <c r="BP735" t="s">
        <v>74</v>
      </c>
      <c r="BQ735" t="s">
        <v>74</v>
      </c>
      <c r="BR735" t="s">
        <v>104</v>
      </c>
      <c r="BS735" t="s">
        <v>10634</v>
      </c>
      <c r="BT735" t="str">
        <f>HYPERLINK("https%3A%2F%2Fwww.webofscience.com%2Fwos%2Fwoscc%2Ffull-record%2FWOS:000390681400024","View Full Record in Web of Science")</f>
        <v>View Full Record in Web of Science</v>
      </c>
    </row>
    <row r="736" spans="1:72" x14ac:dyDescent="0.25">
      <c r="A736" t="s">
        <v>72</v>
      </c>
      <c r="B736" t="s">
        <v>10635</v>
      </c>
      <c r="C736" t="s">
        <v>74</v>
      </c>
      <c r="D736" t="s">
        <v>74</v>
      </c>
      <c r="E736" t="s">
        <v>74</v>
      </c>
      <c r="F736" t="s">
        <v>10636</v>
      </c>
      <c r="G736" t="s">
        <v>74</v>
      </c>
      <c r="H736" t="s">
        <v>74</v>
      </c>
      <c r="I736" t="s">
        <v>10637</v>
      </c>
      <c r="J736" t="s">
        <v>10638</v>
      </c>
      <c r="K736" t="s">
        <v>74</v>
      </c>
      <c r="L736" t="s">
        <v>74</v>
      </c>
      <c r="M736" t="s">
        <v>78</v>
      </c>
      <c r="N736" t="s">
        <v>79</v>
      </c>
      <c r="O736" t="s">
        <v>74</v>
      </c>
      <c r="P736" t="s">
        <v>74</v>
      </c>
      <c r="Q736" t="s">
        <v>74</v>
      </c>
      <c r="R736" t="s">
        <v>74</v>
      </c>
      <c r="S736" t="s">
        <v>74</v>
      </c>
      <c r="T736" t="s">
        <v>10639</v>
      </c>
      <c r="U736" t="s">
        <v>10640</v>
      </c>
      <c r="V736" t="s">
        <v>10641</v>
      </c>
      <c r="W736" t="s">
        <v>10642</v>
      </c>
      <c r="X736" t="s">
        <v>10643</v>
      </c>
      <c r="Y736" t="s">
        <v>10644</v>
      </c>
      <c r="Z736" t="s">
        <v>10645</v>
      </c>
      <c r="AA736" t="s">
        <v>10646</v>
      </c>
      <c r="AB736" t="s">
        <v>10647</v>
      </c>
      <c r="AC736" t="s">
        <v>10648</v>
      </c>
      <c r="AD736" t="s">
        <v>10649</v>
      </c>
      <c r="AE736" t="s">
        <v>10650</v>
      </c>
      <c r="AF736" t="s">
        <v>74</v>
      </c>
      <c r="AG736">
        <v>72</v>
      </c>
      <c r="AH736">
        <v>369</v>
      </c>
      <c r="AI736">
        <v>429</v>
      </c>
      <c r="AJ736">
        <v>26</v>
      </c>
      <c r="AK736">
        <v>350</v>
      </c>
      <c r="AL736" t="s">
        <v>6081</v>
      </c>
      <c r="AM736" t="s">
        <v>1212</v>
      </c>
      <c r="AN736" t="s">
        <v>6082</v>
      </c>
      <c r="AO736" t="s">
        <v>10651</v>
      </c>
      <c r="AP736" t="s">
        <v>10652</v>
      </c>
      <c r="AQ736" t="s">
        <v>74</v>
      </c>
      <c r="AR736" t="s">
        <v>10638</v>
      </c>
      <c r="AS736" t="s">
        <v>10653</v>
      </c>
      <c r="AT736" t="s">
        <v>176</v>
      </c>
      <c r="AU736">
        <v>2017</v>
      </c>
      <c r="AV736">
        <v>11</v>
      </c>
      <c r="AW736">
        <v>1</v>
      </c>
      <c r="AX736" t="s">
        <v>74</v>
      </c>
      <c r="AY736" t="s">
        <v>74</v>
      </c>
      <c r="AZ736" t="s">
        <v>74</v>
      </c>
      <c r="BA736" t="s">
        <v>74</v>
      </c>
      <c r="BB736">
        <v>112</v>
      </c>
      <c r="BC736">
        <v>125</v>
      </c>
      <c r="BD736" t="s">
        <v>74</v>
      </c>
      <c r="BE736" t="s">
        <v>10654</v>
      </c>
      <c r="BF736" t="str">
        <f>HYPERLINK("http://dx.doi.org/10.1021/acsnano.6b04930","http://dx.doi.org/10.1021/acsnano.6b04930")</f>
        <v>http://dx.doi.org/10.1021/acsnano.6b04930</v>
      </c>
      <c r="BG736" t="s">
        <v>74</v>
      </c>
      <c r="BH736" t="s">
        <v>74</v>
      </c>
      <c r="BI736">
        <v>14</v>
      </c>
      <c r="BJ736" t="s">
        <v>10655</v>
      </c>
      <c r="BK736" t="s">
        <v>101</v>
      </c>
      <c r="BL736" t="s">
        <v>10656</v>
      </c>
      <c r="BM736" t="s">
        <v>10657</v>
      </c>
      <c r="BN736">
        <v>28000444</v>
      </c>
      <c r="BO736" t="s">
        <v>2517</v>
      </c>
      <c r="BP736" t="s">
        <v>1155</v>
      </c>
      <c r="BQ736" t="s">
        <v>1156</v>
      </c>
      <c r="BR736" t="s">
        <v>104</v>
      </c>
      <c r="BS736" t="s">
        <v>10658</v>
      </c>
      <c r="BT736" t="str">
        <f>HYPERLINK("https%3A%2F%2Fwww.webofscience.com%2Fwos%2Fwoscc%2Ffull-record%2FWOS:000392886500011","View Full Record in Web of Science")</f>
        <v>View Full Record in Web of Science</v>
      </c>
    </row>
    <row r="737" spans="1:72" x14ac:dyDescent="0.25">
      <c r="A737" t="s">
        <v>72</v>
      </c>
      <c r="B737" t="s">
        <v>10659</v>
      </c>
      <c r="C737" t="s">
        <v>74</v>
      </c>
      <c r="D737" t="s">
        <v>74</v>
      </c>
      <c r="E737" t="s">
        <v>74</v>
      </c>
      <c r="F737" t="s">
        <v>10660</v>
      </c>
      <c r="G737" t="s">
        <v>74</v>
      </c>
      <c r="H737" t="s">
        <v>74</v>
      </c>
      <c r="I737" t="s">
        <v>10661</v>
      </c>
      <c r="J737" t="s">
        <v>637</v>
      </c>
      <c r="K737" t="s">
        <v>74</v>
      </c>
      <c r="L737" t="s">
        <v>74</v>
      </c>
      <c r="M737" t="s">
        <v>78</v>
      </c>
      <c r="N737" t="s">
        <v>52</v>
      </c>
      <c r="O737" t="s">
        <v>2003</v>
      </c>
      <c r="P737" t="s">
        <v>10469</v>
      </c>
      <c r="Q737" t="s">
        <v>2005</v>
      </c>
      <c r="R737" t="s">
        <v>2006</v>
      </c>
      <c r="S737" t="s">
        <v>74</v>
      </c>
      <c r="T737" t="s">
        <v>74</v>
      </c>
      <c r="U737" t="s">
        <v>74</v>
      </c>
      <c r="V737" t="s">
        <v>74</v>
      </c>
      <c r="W737" t="s">
        <v>10662</v>
      </c>
      <c r="X737" t="s">
        <v>10663</v>
      </c>
      <c r="Y737" t="s">
        <v>74</v>
      </c>
      <c r="Z737" t="s">
        <v>10664</v>
      </c>
      <c r="AA737" t="s">
        <v>10665</v>
      </c>
      <c r="AB737" t="s">
        <v>9470</v>
      </c>
      <c r="AC737" t="s">
        <v>74</v>
      </c>
      <c r="AD737" t="s">
        <v>74</v>
      </c>
      <c r="AE737" t="s">
        <v>74</v>
      </c>
      <c r="AF737" t="s">
        <v>74</v>
      </c>
      <c r="AG737">
        <v>0</v>
      </c>
      <c r="AH737">
        <v>0</v>
      </c>
      <c r="AI737">
        <v>0</v>
      </c>
      <c r="AJ737">
        <v>0</v>
      </c>
      <c r="AK737">
        <v>1</v>
      </c>
      <c r="AL737" t="s">
        <v>649</v>
      </c>
      <c r="AM737" t="s">
        <v>486</v>
      </c>
      <c r="AN737" t="s">
        <v>650</v>
      </c>
      <c r="AO737" t="s">
        <v>651</v>
      </c>
      <c r="AP737" t="s">
        <v>652</v>
      </c>
      <c r="AQ737" t="s">
        <v>74</v>
      </c>
      <c r="AR737" t="s">
        <v>653</v>
      </c>
      <c r="AS737" t="s">
        <v>654</v>
      </c>
      <c r="AT737" t="s">
        <v>74</v>
      </c>
      <c r="AU737">
        <v>2017</v>
      </c>
      <c r="AV737">
        <v>195</v>
      </c>
      <c r="AW737" t="s">
        <v>74</v>
      </c>
      <c r="AX737" t="s">
        <v>74</v>
      </c>
      <c r="AY737" t="s">
        <v>74</v>
      </c>
      <c r="AZ737" t="s">
        <v>74</v>
      </c>
      <c r="BA737" t="s">
        <v>10666</v>
      </c>
      <c r="BB737" t="s">
        <v>74</v>
      </c>
      <c r="BC737" t="s">
        <v>74</v>
      </c>
      <c r="BD737" t="s">
        <v>74</v>
      </c>
      <c r="BE737" t="s">
        <v>74</v>
      </c>
      <c r="BF737" t="s">
        <v>74</v>
      </c>
      <c r="BG737" t="s">
        <v>74</v>
      </c>
      <c r="BH737" t="s">
        <v>74</v>
      </c>
      <c r="BI737">
        <v>1</v>
      </c>
      <c r="BJ737" t="s">
        <v>341</v>
      </c>
      <c r="BK737" t="s">
        <v>512</v>
      </c>
      <c r="BL737" t="s">
        <v>342</v>
      </c>
      <c r="BM737" t="s">
        <v>10474</v>
      </c>
      <c r="BN737" t="s">
        <v>74</v>
      </c>
      <c r="BO737" t="s">
        <v>74</v>
      </c>
      <c r="BP737" t="s">
        <v>74</v>
      </c>
      <c r="BQ737" t="s">
        <v>74</v>
      </c>
      <c r="BR737" t="s">
        <v>104</v>
      </c>
      <c r="BS737" t="s">
        <v>10667</v>
      </c>
      <c r="BT737" t="str">
        <f>HYPERLINK("https%3A%2F%2Fwww.webofscience.com%2Fwos%2Fwoscc%2Ffull-record%2FWOS:000400372507577","View Full Record in Web of Science")</f>
        <v>View Full Record in Web of Science</v>
      </c>
    </row>
    <row r="738" spans="1:72" x14ac:dyDescent="0.25">
      <c r="A738" t="s">
        <v>72</v>
      </c>
      <c r="B738" t="s">
        <v>10668</v>
      </c>
      <c r="C738" t="s">
        <v>74</v>
      </c>
      <c r="D738" t="s">
        <v>74</v>
      </c>
      <c r="E738" t="s">
        <v>74</v>
      </c>
      <c r="F738" t="s">
        <v>10669</v>
      </c>
      <c r="G738" t="s">
        <v>74</v>
      </c>
      <c r="H738" t="s">
        <v>74</v>
      </c>
      <c r="I738" t="s">
        <v>10670</v>
      </c>
      <c r="J738" t="s">
        <v>637</v>
      </c>
      <c r="K738" t="s">
        <v>74</v>
      </c>
      <c r="L738" t="s">
        <v>74</v>
      </c>
      <c r="M738" t="s">
        <v>78</v>
      </c>
      <c r="N738" t="s">
        <v>52</v>
      </c>
      <c r="O738" t="s">
        <v>2003</v>
      </c>
      <c r="P738" t="s">
        <v>10469</v>
      </c>
      <c r="Q738" t="s">
        <v>2005</v>
      </c>
      <c r="R738" t="s">
        <v>2006</v>
      </c>
      <c r="S738" t="s">
        <v>74</v>
      </c>
      <c r="T738" t="s">
        <v>74</v>
      </c>
      <c r="U738" t="s">
        <v>74</v>
      </c>
      <c r="V738" t="s">
        <v>74</v>
      </c>
      <c r="W738" t="s">
        <v>10671</v>
      </c>
      <c r="X738" t="s">
        <v>10672</v>
      </c>
      <c r="Y738" t="s">
        <v>74</v>
      </c>
      <c r="Z738" t="s">
        <v>10673</v>
      </c>
      <c r="AA738" t="s">
        <v>10674</v>
      </c>
      <c r="AB738" t="s">
        <v>5709</v>
      </c>
      <c r="AC738" t="s">
        <v>10675</v>
      </c>
      <c r="AD738" t="s">
        <v>10675</v>
      </c>
      <c r="AE738" t="s">
        <v>10676</v>
      </c>
      <c r="AF738" t="s">
        <v>74</v>
      </c>
      <c r="AG738">
        <v>0</v>
      </c>
      <c r="AH738">
        <v>0</v>
      </c>
      <c r="AI738">
        <v>0</v>
      </c>
      <c r="AJ738">
        <v>0</v>
      </c>
      <c r="AK738">
        <v>0</v>
      </c>
      <c r="AL738" t="s">
        <v>649</v>
      </c>
      <c r="AM738" t="s">
        <v>486</v>
      </c>
      <c r="AN738" t="s">
        <v>650</v>
      </c>
      <c r="AO738" t="s">
        <v>651</v>
      </c>
      <c r="AP738" t="s">
        <v>652</v>
      </c>
      <c r="AQ738" t="s">
        <v>74</v>
      </c>
      <c r="AR738" t="s">
        <v>653</v>
      </c>
      <c r="AS738" t="s">
        <v>654</v>
      </c>
      <c r="AT738" t="s">
        <v>74</v>
      </c>
      <c r="AU738">
        <v>2017</v>
      </c>
      <c r="AV738">
        <v>195</v>
      </c>
      <c r="AW738" t="s">
        <v>74</v>
      </c>
      <c r="AX738" t="s">
        <v>74</v>
      </c>
      <c r="AY738" t="s">
        <v>74</v>
      </c>
      <c r="AZ738" t="s">
        <v>74</v>
      </c>
      <c r="BA738" t="s">
        <v>10677</v>
      </c>
      <c r="BB738" t="s">
        <v>74</v>
      </c>
      <c r="BC738" t="s">
        <v>74</v>
      </c>
      <c r="BD738" t="s">
        <v>74</v>
      </c>
      <c r="BE738" t="s">
        <v>74</v>
      </c>
      <c r="BF738" t="s">
        <v>74</v>
      </c>
      <c r="BG738" t="s">
        <v>74</v>
      </c>
      <c r="BH738" t="s">
        <v>74</v>
      </c>
      <c r="BI738">
        <v>1</v>
      </c>
      <c r="BJ738" t="s">
        <v>341</v>
      </c>
      <c r="BK738" t="s">
        <v>512</v>
      </c>
      <c r="BL738" t="s">
        <v>342</v>
      </c>
      <c r="BM738" t="s">
        <v>10474</v>
      </c>
      <c r="BN738" t="s">
        <v>74</v>
      </c>
      <c r="BO738" t="s">
        <v>74</v>
      </c>
      <c r="BP738" t="s">
        <v>74</v>
      </c>
      <c r="BQ738" t="s">
        <v>74</v>
      </c>
      <c r="BR738" t="s">
        <v>104</v>
      </c>
      <c r="BS738" t="s">
        <v>10678</v>
      </c>
      <c r="BT738" t="str">
        <f>HYPERLINK("https%3A%2F%2Fwww.webofscience.com%2Fwos%2Fwoscc%2Ffull-record%2FWOS:000400372501418","View Full Record in Web of Science")</f>
        <v>View Full Record in Web of Science</v>
      </c>
    </row>
    <row r="739" spans="1:72" x14ac:dyDescent="0.25">
      <c r="A739" t="s">
        <v>72</v>
      </c>
      <c r="B739" t="s">
        <v>10679</v>
      </c>
      <c r="C739" t="s">
        <v>74</v>
      </c>
      <c r="D739" t="s">
        <v>74</v>
      </c>
      <c r="E739" t="s">
        <v>74</v>
      </c>
      <c r="F739" t="s">
        <v>10680</v>
      </c>
      <c r="G739" t="s">
        <v>74</v>
      </c>
      <c r="H739" t="s">
        <v>74</v>
      </c>
      <c r="I739" t="s">
        <v>10681</v>
      </c>
      <c r="J739" t="s">
        <v>5959</v>
      </c>
      <c r="K739" t="s">
        <v>74</v>
      </c>
      <c r="L739" t="s">
        <v>74</v>
      </c>
      <c r="M739" t="s">
        <v>78</v>
      </c>
      <c r="N739" t="s">
        <v>299</v>
      </c>
      <c r="O739" t="s">
        <v>74</v>
      </c>
      <c r="P739" t="s">
        <v>74</v>
      </c>
      <c r="Q739" t="s">
        <v>74</v>
      </c>
      <c r="R739" t="s">
        <v>74</v>
      </c>
      <c r="S739" t="s">
        <v>74</v>
      </c>
      <c r="T739" t="s">
        <v>10682</v>
      </c>
      <c r="U739" t="s">
        <v>10683</v>
      </c>
      <c r="V739" t="s">
        <v>10684</v>
      </c>
      <c r="W739" t="s">
        <v>10685</v>
      </c>
      <c r="X739" t="s">
        <v>10686</v>
      </c>
      <c r="Y739" t="s">
        <v>10687</v>
      </c>
      <c r="Z739" t="s">
        <v>10688</v>
      </c>
      <c r="AA739" t="s">
        <v>144</v>
      </c>
      <c r="AB739" t="s">
        <v>257</v>
      </c>
      <c r="AC739" t="s">
        <v>74</v>
      </c>
      <c r="AD739" t="s">
        <v>74</v>
      </c>
      <c r="AE739" t="s">
        <v>74</v>
      </c>
      <c r="AF739" t="s">
        <v>74</v>
      </c>
      <c r="AG739">
        <v>48</v>
      </c>
      <c r="AH739">
        <v>11</v>
      </c>
      <c r="AI739">
        <v>12</v>
      </c>
      <c r="AJ739">
        <v>1</v>
      </c>
      <c r="AK739">
        <v>13</v>
      </c>
      <c r="AL739" t="s">
        <v>122</v>
      </c>
      <c r="AM739" t="s">
        <v>123</v>
      </c>
      <c r="AN739" t="s">
        <v>124</v>
      </c>
      <c r="AO739" t="s">
        <v>5967</v>
      </c>
      <c r="AP739" t="s">
        <v>5968</v>
      </c>
      <c r="AQ739" t="s">
        <v>74</v>
      </c>
      <c r="AR739" t="s">
        <v>5969</v>
      </c>
      <c r="AS739" t="s">
        <v>5970</v>
      </c>
      <c r="AT739" t="s">
        <v>176</v>
      </c>
      <c r="AU739">
        <v>2017</v>
      </c>
      <c r="AV739">
        <v>23</v>
      </c>
      <c r="AW739">
        <v>1</v>
      </c>
      <c r="AX739" t="s">
        <v>74</v>
      </c>
      <c r="AY739" t="s">
        <v>74</v>
      </c>
      <c r="AZ739" t="s">
        <v>74</v>
      </c>
      <c r="BA739" t="s">
        <v>74</v>
      </c>
      <c r="BB739">
        <v>56</v>
      </c>
      <c r="BC739">
        <v>61</v>
      </c>
      <c r="BD739" t="s">
        <v>74</v>
      </c>
      <c r="BE739" t="s">
        <v>10689</v>
      </c>
      <c r="BF739" t="str">
        <f>HYPERLINK("http://dx.doi.org/10.1097/MCP.0000000000000340","http://dx.doi.org/10.1097/MCP.0000000000000340")</f>
        <v>http://dx.doi.org/10.1097/MCP.0000000000000340</v>
      </c>
      <c r="BG739" t="s">
        <v>74</v>
      </c>
      <c r="BH739" t="s">
        <v>74</v>
      </c>
      <c r="BI739">
        <v>6</v>
      </c>
      <c r="BJ739" t="s">
        <v>228</v>
      </c>
      <c r="BK739" t="s">
        <v>101</v>
      </c>
      <c r="BL739" t="s">
        <v>228</v>
      </c>
      <c r="BM739" t="s">
        <v>10690</v>
      </c>
      <c r="BN739">
        <v>27798419</v>
      </c>
      <c r="BO739" t="s">
        <v>74</v>
      </c>
      <c r="BP739" t="s">
        <v>74</v>
      </c>
      <c r="BQ739" t="s">
        <v>74</v>
      </c>
      <c r="BR739" t="s">
        <v>104</v>
      </c>
      <c r="BS739" t="s">
        <v>10691</v>
      </c>
      <c r="BT739" t="str">
        <f>HYPERLINK("https%3A%2F%2Fwww.webofscience.com%2Fwos%2Fwoscc%2Ffull-record%2FWOS:000390239200009","View Full Record in Web of Science")</f>
        <v>View Full Record in Web of Science</v>
      </c>
    </row>
    <row r="740" spans="1:72" x14ac:dyDescent="0.25">
      <c r="A740" t="s">
        <v>72</v>
      </c>
      <c r="B740" t="s">
        <v>10692</v>
      </c>
      <c r="C740" t="s">
        <v>74</v>
      </c>
      <c r="D740" t="s">
        <v>74</v>
      </c>
      <c r="E740" t="s">
        <v>74</v>
      </c>
      <c r="F740" t="s">
        <v>10693</v>
      </c>
      <c r="G740" t="s">
        <v>74</v>
      </c>
      <c r="H740" t="s">
        <v>74</v>
      </c>
      <c r="I740" t="s">
        <v>10694</v>
      </c>
      <c r="J740" t="s">
        <v>637</v>
      </c>
      <c r="K740" t="s">
        <v>74</v>
      </c>
      <c r="L740" t="s">
        <v>74</v>
      </c>
      <c r="M740" t="s">
        <v>78</v>
      </c>
      <c r="N740" t="s">
        <v>52</v>
      </c>
      <c r="O740" t="s">
        <v>2003</v>
      </c>
      <c r="P740" t="s">
        <v>10469</v>
      </c>
      <c r="Q740" t="s">
        <v>2005</v>
      </c>
      <c r="R740" t="s">
        <v>2006</v>
      </c>
      <c r="S740" t="s">
        <v>74</v>
      </c>
      <c r="T740" t="s">
        <v>74</v>
      </c>
      <c r="U740" t="s">
        <v>74</v>
      </c>
      <c r="V740" t="s">
        <v>74</v>
      </c>
      <c r="W740" t="s">
        <v>10695</v>
      </c>
      <c r="X740" t="s">
        <v>5842</v>
      </c>
      <c r="Y740" t="s">
        <v>74</v>
      </c>
      <c r="Z740" t="s">
        <v>10696</v>
      </c>
      <c r="AA740" t="s">
        <v>10697</v>
      </c>
      <c r="AB740" t="s">
        <v>5709</v>
      </c>
      <c r="AC740" t="s">
        <v>74</v>
      </c>
      <c r="AD740" t="s">
        <v>74</v>
      </c>
      <c r="AE740" t="s">
        <v>74</v>
      </c>
      <c r="AF740" t="s">
        <v>74</v>
      </c>
      <c r="AG740">
        <v>0</v>
      </c>
      <c r="AH740">
        <v>0</v>
      </c>
      <c r="AI740">
        <v>0</v>
      </c>
      <c r="AJ740">
        <v>0</v>
      </c>
      <c r="AK740">
        <v>1</v>
      </c>
      <c r="AL740" t="s">
        <v>649</v>
      </c>
      <c r="AM740" t="s">
        <v>486</v>
      </c>
      <c r="AN740" t="s">
        <v>650</v>
      </c>
      <c r="AO740" t="s">
        <v>651</v>
      </c>
      <c r="AP740" t="s">
        <v>652</v>
      </c>
      <c r="AQ740" t="s">
        <v>74</v>
      </c>
      <c r="AR740" t="s">
        <v>653</v>
      </c>
      <c r="AS740" t="s">
        <v>654</v>
      </c>
      <c r="AT740" t="s">
        <v>74</v>
      </c>
      <c r="AU740">
        <v>2017</v>
      </c>
      <c r="AV740">
        <v>195</v>
      </c>
      <c r="AW740" t="s">
        <v>74</v>
      </c>
      <c r="AX740" t="s">
        <v>74</v>
      </c>
      <c r="AY740" t="s">
        <v>74</v>
      </c>
      <c r="AZ740" t="s">
        <v>74</v>
      </c>
      <c r="BA740" t="s">
        <v>10698</v>
      </c>
      <c r="BB740" t="s">
        <v>74</v>
      </c>
      <c r="BC740" t="s">
        <v>74</v>
      </c>
      <c r="BD740" t="s">
        <v>74</v>
      </c>
      <c r="BE740" t="s">
        <v>74</v>
      </c>
      <c r="BF740" t="s">
        <v>74</v>
      </c>
      <c r="BG740" t="s">
        <v>74</v>
      </c>
      <c r="BH740" t="s">
        <v>74</v>
      </c>
      <c r="BI740">
        <v>1</v>
      </c>
      <c r="BJ740" t="s">
        <v>341</v>
      </c>
      <c r="BK740" t="s">
        <v>512</v>
      </c>
      <c r="BL740" t="s">
        <v>342</v>
      </c>
      <c r="BM740" t="s">
        <v>10474</v>
      </c>
      <c r="BN740" t="s">
        <v>74</v>
      </c>
      <c r="BO740" t="s">
        <v>74</v>
      </c>
      <c r="BP740" t="s">
        <v>74</v>
      </c>
      <c r="BQ740" t="s">
        <v>74</v>
      </c>
      <c r="BR740" t="s">
        <v>104</v>
      </c>
      <c r="BS740" t="s">
        <v>10699</v>
      </c>
      <c r="BT740" t="str">
        <f>HYPERLINK("https%3A%2F%2Fwww.webofscience.com%2Fwos%2Fwoscc%2Ffull-record%2FWOS:000400372507136","View Full Record in Web of Science")</f>
        <v>View Full Record in Web of Science</v>
      </c>
    </row>
    <row r="741" spans="1:72" x14ac:dyDescent="0.25">
      <c r="A741" t="s">
        <v>72</v>
      </c>
      <c r="B741" t="s">
        <v>10700</v>
      </c>
      <c r="C741" t="s">
        <v>74</v>
      </c>
      <c r="D741" t="s">
        <v>74</v>
      </c>
      <c r="E741" t="s">
        <v>74</v>
      </c>
      <c r="F741" t="s">
        <v>10701</v>
      </c>
      <c r="G741" t="s">
        <v>74</v>
      </c>
      <c r="H741" t="s">
        <v>74</v>
      </c>
      <c r="I741" t="s">
        <v>10702</v>
      </c>
      <c r="J741" t="s">
        <v>637</v>
      </c>
      <c r="K741" t="s">
        <v>74</v>
      </c>
      <c r="L741" t="s">
        <v>74</v>
      </c>
      <c r="M741" t="s">
        <v>78</v>
      </c>
      <c r="N741" t="s">
        <v>52</v>
      </c>
      <c r="O741" t="s">
        <v>2003</v>
      </c>
      <c r="P741" t="s">
        <v>10469</v>
      </c>
      <c r="Q741" t="s">
        <v>2005</v>
      </c>
      <c r="R741" t="s">
        <v>2006</v>
      </c>
      <c r="S741" t="s">
        <v>74</v>
      </c>
      <c r="T741" t="s">
        <v>74</v>
      </c>
      <c r="U741" t="s">
        <v>74</v>
      </c>
      <c r="V741" t="s">
        <v>74</v>
      </c>
      <c r="W741" t="s">
        <v>10703</v>
      </c>
      <c r="X741" t="s">
        <v>10704</v>
      </c>
      <c r="Y741" t="s">
        <v>74</v>
      </c>
      <c r="Z741" t="s">
        <v>74</v>
      </c>
      <c r="AA741" t="s">
        <v>10705</v>
      </c>
      <c r="AB741" t="s">
        <v>5709</v>
      </c>
      <c r="AC741" t="s">
        <v>10706</v>
      </c>
      <c r="AD741" t="s">
        <v>10707</v>
      </c>
      <c r="AE741" t="s">
        <v>10708</v>
      </c>
      <c r="AF741" t="s">
        <v>74</v>
      </c>
      <c r="AG741">
        <v>0</v>
      </c>
      <c r="AH741">
        <v>0</v>
      </c>
      <c r="AI741">
        <v>0</v>
      </c>
      <c r="AJ741">
        <v>0</v>
      </c>
      <c r="AK741">
        <v>0</v>
      </c>
      <c r="AL741" t="s">
        <v>649</v>
      </c>
      <c r="AM741" t="s">
        <v>486</v>
      </c>
      <c r="AN741" t="s">
        <v>650</v>
      </c>
      <c r="AO741" t="s">
        <v>651</v>
      </c>
      <c r="AP741" t="s">
        <v>652</v>
      </c>
      <c r="AQ741" t="s">
        <v>74</v>
      </c>
      <c r="AR741" t="s">
        <v>653</v>
      </c>
      <c r="AS741" t="s">
        <v>654</v>
      </c>
      <c r="AT741" t="s">
        <v>74</v>
      </c>
      <c r="AU741">
        <v>2017</v>
      </c>
      <c r="AV741">
        <v>195</v>
      </c>
      <c r="AW741" t="s">
        <v>74</v>
      </c>
      <c r="AX741" t="s">
        <v>74</v>
      </c>
      <c r="AY741" t="s">
        <v>74</v>
      </c>
      <c r="AZ741" t="s">
        <v>74</v>
      </c>
      <c r="BA741" t="s">
        <v>10709</v>
      </c>
      <c r="BB741" t="s">
        <v>74</v>
      </c>
      <c r="BC741" t="s">
        <v>74</v>
      </c>
      <c r="BD741" t="s">
        <v>74</v>
      </c>
      <c r="BE741" t="s">
        <v>74</v>
      </c>
      <c r="BF741" t="s">
        <v>74</v>
      </c>
      <c r="BG741" t="s">
        <v>74</v>
      </c>
      <c r="BH741" t="s">
        <v>74</v>
      </c>
      <c r="BI741">
        <v>2</v>
      </c>
      <c r="BJ741" t="s">
        <v>341</v>
      </c>
      <c r="BK741" t="s">
        <v>512</v>
      </c>
      <c r="BL741" t="s">
        <v>342</v>
      </c>
      <c r="BM741" t="s">
        <v>10474</v>
      </c>
      <c r="BN741" t="s">
        <v>74</v>
      </c>
      <c r="BO741" t="s">
        <v>74</v>
      </c>
      <c r="BP741" t="s">
        <v>74</v>
      </c>
      <c r="BQ741" t="s">
        <v>74</v>
      </c>
      <c r="BR741" t="s">
        <v>104</v>
      </c>
      <c r="BS741" t="s">
        <v>10710</v>
      </c>
      <c r="BT741" t="str">
        <f>HYPERLINK("https%3A%2F%2Fwww.webofscience.com%2Fwos%2Fwoscc%2Ffull-record%2FWOS:000400372504376","View Full Record in Web of Science")</f>
        <v>View Full Record in Web of Science</v>
      </c>
    </row>
    <row r="742" spans="1:72" x14ac:dyDescent="0.25">
      <c r="A742" t="s">
        <v>72</v>
      </c>
      <c r="B742" t="s">
        <v>10711</v>
      </c>
      <c r="C742" t="s">
        <v>74</v>
      </c>
      <c r="D742" t="s">
        <v>74</v>
      </c>
      <c r="E742" t="s">
        <v>74</v>
      </c>
      <c r="F742" t="s">
        <v>10712</v>
      </c>
      <c r="G742" t="s">
        <v>74</v>
      </c>
      <c r="H742" t="s">
        <v>74</v>
      </c>
      <c r="I742" t="s">
        <v>10713</v>
      </c>
      <c r="J742" t="s">
        <v>5479</v>
      </c>
      <c r="K742" t="s">
        <v>74</v>
      </c>
      <c r="L742" t="s">
        <v>74</v>
      </c>
      <c r="M742" t="s">
        <v>78</v>
      </c>
      <c r="N742" t="s">
        <v>299</v>
      </c>
      <c r="O742" t="s">
        <v>74</v>
      </c>
      <c r="P742" t="s">
        <v>74</v>
      </c>
      <c r="Q742" t="s">
        <v>74</v>
      </c>
      <c r="R742" t="s">
        <v>74</v>
      </c>
      <c r="S742" t="s">
        <v>74</v>
      </c>
      <c r="T742" t="s">
        <v>10714</v>
      </c>
      <c r="U742" t="s">
        <v>10715</v>
      </c>
      <c r="V742" t="s">
        <v>10716</v>
      </c>
      <c r="W742" t="s">
        <v>10717</v>
      </c>
      <c r="X742" t="s">
        <v>10718</v>
      </c>
      <c r="Y742" t="s">
        <v>10719</v>
      </c>
      <c r="Z742" t="s">
        <v>4563</v>
      </c>
      <c r="AA742" t="s">
        <v>10720</v>
      </c>
      <c r="AB742" t="s">
        <v>10721</v>
      </c>
      <c r="AC742" t="s">
        <v>10722</v>
      </c>
      <c r="AD742" t="s">
        <v>10723</v>
      </c>
      <c r="AE742" t="s">
        <v>10724</v>
      </c>
      <c r="AF742" t="s">
        <v>74</v>
      </c>
      <c r="AG742">
        <v>84</v>
      </c>
      <c r="AH742">
        <v>98</v>
      </c>
      <c r="AI742">
        <v>107</v>
      </c>
      <c r="AJ742">
        <v>0</v>
      </c>
      <c r="AK742">
        <v>139</v>
      </c>
      <c r="AL742" t="s">
        <v>169</v>
      </c>
      <c r="AM742" t="s">
        <v>170</v>
      </c>
      <c r="AN742" t="s">
        <v>171</v>
      </c>
      <c r="AO742" t="s">
        <v>74</v>
      </c>
      <c r="AP742" t="s">
        <v>5490</v>
      </c>
      <c r="AQ742" t="s">
        <v>74</v>
      </c>
      <c r="AR742" t="s">
        <v>5491</v>
      </c>
      <c r="AS742" t="s">
        <v>5492</v>
      </c>
      <c r="AT742" t="s">
        <v>10725</v>
      </c>
      <c r="AU742">
        <v>2016</v>
      </c>
      <c r="AV742">
        <v>6</v>
      </c>
      <c r="AW742" t="s">
        <v>74</v>
      </c>
      <c r="AX742" t="s">
        <v>74</v>
      </c>
      <c r="AY742" t="s">
        <v>74</v>
      </c>
      <c r="AZ742" t="s">
        <v>74</v>
      </c>
      <c r="BA742" t="s">
        <v>74</v>
      </c>
      <c r="BB742" t="s">
        <v>74</v>
      </c>
      <c r="BC742" t="s">
        <v>74</v>
      </c>
      <c r="BD742">
        <v>47</v>
      </c>
      <c r="BE742" t="s">
        <v>10726</v>
      </c>
      <c r="BF742" t="str">
        <f>HYPERLINK("http://dx.doi.org/10.1186/s13601-016-0137-4","http://dx.doi.org/10.1186/s13601-016-0137-4")</f>
        <v>http://dx.doi.org/10.1186/s13601-016-0137-4</v>
      </c>
      <c r="BG742" t="s">
        <v>74</v>
      </c>
      <c r="BH742" t="s">
        <v>74</v>
      </c>
      <c r="BI742">
        <v>14</v>
      </c>
      <c r="BJ742" t="s">
        <v>601</v>
      </c>
      <c r="BK742" t="s">
        <v>101</v>
      </c>
      <c r="BL742" t="s">
        <v>601</v>
      </c>
      <c r="BM742" t="s">
        <v>10727</v>
      </c>
      <c r="BN742">
        <v>28050247</v>
      </c>
      <c r="BO742" t="s">
        <v>10728</v>
      </c>
      <c r="BP742" t="s">
        <v>74</v>
      </c>
      <c r="BQ742" t="s">
        <v>74</v>
      </c>
      <c r="BR742" t="s">
        <v>104</v>
      </c>
      <c r="BS742" t="s">
        <v>10729</v>
      </c>
      <c r="BT742" t="str">
        <f>HYPERLINK("https%3A%2F%2Fwww.webofscience.com%2Fwos%2Fwoscc%2Ffull-record%2FWOS:000396071500001","View Full Record in Web of Science")</f>
        <v>View Full Record in Web of Science</v>
      </c>
    </row>
    <row r="743" spans="1:72" x14ac:dyDescent="0.25">
      <c r="A743" t="s">
        <v>72</v>
      </c>
      <c r="B743" t="s">
        <v>10730</v>
      </c>
      <c r="C743" t="s">
        <v>74</v>
      </c>
      <c r="D743" t="s">
        <v>74</v>
      </c>
      <c r="E743" t="s">
        <v>74</v>
      </c>
      <c r="F743" t="s">
        <v>10731</v>
      </c>
      <c r="G743" t="s">
        <v>74</v>
      </c>
      <c r="H743" t="s">
        <v>74</v>
      </c>
      <c r="I743" t="s">
        <v>10732</v>
      </c>
      <c r="J743" t="s">
        <v>216</v>
      </c>
      <c r="K743" t="s">
        <v>74</v>
      </c>
      <c r="L743" t="s">
        <v>74</v>
      </c>
      <c r="M743" t="s">
        <v>78</v>
      </c>
      <c r="N743" t="s">
        <v>140</v>
      </c>
      <c r="O743" t="s">
        <v>74</v>
      </c>
      <c r="P743" t="s">
        <v>74</v>
      </c>
      <c r="Q743" t="s">
        <v>74</v>
      </c>
      <c r="R743" t="s">
        <v>74</v>
      </c>
      <c r="S743" t="s">
        <v>74</v>
      </c>
      <c r="T743" t="s">
        <v>74</v>
      </c>
      <c r="U743" t="s">
        <v>10733</v>
      </c>
      <c r="V743" t="s">
        <v>74</v>
      </c>
      <c r="W743" t="s">
        <v>10734</v>
      </c>
      <c r="X743" t="s">
        <v>8782</v>
      </c>
      <c r="Y743" t="s">
        <v>10735</v>
      </c>
      <c r="Z743" t="s">
        <v>10736</v>
      </c>
      <c r="AA743" t="s">
        <v>10737</v>
      </c>
      <c r="AB743" t="s">
        <v>10738</v>
      </c>
      <c r="AC743" t="s">
        <v>74</v>
      </c>
      <c r="AD743" t="s">
        <v>74</v>
      </c>
      <c r="AE743" t="s">
        <v>74</v>
      </c>
      <c r="AF743" t="s">
        <v>74</v>
      </c>
      <c r="AG743">
        <v>23</v>
      </c>
      <c r="AH743">
        <v>3</v>
      </c>
      <c r="AI743">
        <v>4</v>
      </c>
      <c r="AJ743">
        <v>0</v>
      </c>
      <c r="AK743">
        <v>1</v>
      </c>
      <c r="AL743" t="s">
        <v>219</v>
      </c>
      <c r="AM743" t="s">
        <v>220</v>
      </c>
      <c r="AN743" t="s">
        <v>221</v>
      </c>
      <c r="AO743" t="s">
        <v>222</v>
      </c>
      <c r="AP743" t="s">
        <v>223</v>
      </c>
      <c r="AQ743" t="s">
        <v>74</v>
      </c>
      <c r="AR743" t="s">
        <v>224</v>
      </c>
      <c r="AS743" t="s">
        <v>225</v>
      </c>
      <c r="AT743" t="s">
        <v>226</v>
      </c>
      <c r="AU743">
        <v>2016</v>
      </c>
      <c r="AV743">
        <v>48</v>
      </c>
      <c r="AW743">
        <v>6</v>
      </c>
      <c r="AX743" t="s">
        <v>74</v>
      </c>
      <c r="AY743" t="s">
        <v>74</v>
      </c>
      <c r="AZ743" t="s">
        <v>74</v>
      </c>
      <c r="BA743" t="s">
        <v>74</v>
      </c>
      <c r="BB743">
        <v>1538</v>
      </c>
      <c r="BC743">
        <v>1540</v>
      </c>
      <c r="BD743" t="s">
        <v>74</v>
      </c>
      <c r="BE743" t="s">
        <v>10739</v>
      </c>
      <c r="BF743" t="str">
        <f>HYPERLINK("http://dx.doi.org/10.1183/13993003.01797-2016","http://dx.doi.org/10.1183/13993003.01797-2016")</f>
        <v>http://dx.doi.org/10.1183/13993003.01797-2016</v>
      </c>
      <c r="BG743" t="s">
        <v>74</v>
      </c>
      <c r="BH743" t="s">
        <v>74</v>
      </c>
      <c r="BI743">
        <v>3</v>
      </c>
      <c r="BJ743" t="s">
        <v>228</v>
      </c>
      <c r="BK743" t="s">
        <v>101</v>
      </c>
      <c r="BL743" t="s">
        <v>228</v>
      </c>
      <c r="BM743" t="s">
        <v>10740</v>
      </c>
      <c r="BN743">
        <v>27903682</v>
      </c>
      <c r="BO743" t="s">
        <v>74</v>
      </c>
      <c r="BP743" t="s">
        <v>74</v>
      </c>
      <c r="BQ743" t="s">
        <v>74</v>
      </c>
      <c r="BR743" t="s">
        <v>104</v>
      </c>
      <c r="BS743" t="s">
        <v>10741</v>
      </c>
      <c r="BT743" t="str">
        <f>HYPERLINK("https%3A%2F%2Fwww.webofscience.com%2Fwos%2Fwoscc%2Ffull-record%2FWOS:000392462500002","View Full Record in Web of Science")</f>
        <v>View Full Record in Web of Science</v>
      </c>
    </row>
    <row r="744" spans="1:72" x14ac:dyDescent="0.25">
      <c r="A744" t="s">
        <v>72</v>
      </c>
      <c r="B744" t="s">
        <v>10742</v>
      </c>
      <c r="C744" t="s">
        <v>74</v>
      </c>
      <c r="D744" t="s">
        <v>74</v>
      </c>
      <c r="E744" t="s">
        <v>74</v>
      </c>
      <c r="F744" t="s">
        <v>10743</v>
      </c>
      <c r="G744" t="s">
        <v>74</v>
      </c>
      <c r="H744" t="s">
        <v>74</v>
      </c>
      <c r="I744" t="s">
        <v>10744</v>
      </c>
      <c r="J744" t="s">
        <v>216</v>
      </c>
      <c r="K744" t="s">
        <v>74</v>
      </c>
      <c r="L744" t="s">
        <v>74</v>
      </c>
      <c r="M744" t="s">
        <v>78</v>
      </c>
      <c r="N744" t="s">
        <v>79</v>
      </c>
      <c r="O744" t="s">
        <v>74</v>
      </c>
      <c r="P744" t="s">
        <v>74</v>
      </c>
      <c r="Q744" t="s">
        <v>74</v>
      </c>
      <c r="R744" t="s">
        <v>74</v>
      </c>
      <c r="S744" t="s">
        <v>74</v>
      </c>
      <c r="T744" t="s">
        <v>74</v>
      </c>
      <c r="U744" t="s">
        <v>10745</v>
      </c>
      <c r="V744" t="s">
        <v>10746</v>
      </c>
      <c r="W744" t="s">
        <v>10747</v>
      </c>
      <c r="X744" t="s">
        <v>10748</v>
      </c>
      <c r="Y744" t="s">
        <v>10749</v>
      </c>
      <c r="Z744" t="s">
        <v>8881</v>
      </c>
      <c r="AA744" t="s">
        <v>10750</v>
      </c>
      <c r="AB744" t="s">
        <v>10751</v>
      </c>
      <c r="AC744" t="s">
        <v>10752</v>
      </c>
      <c r="AD744" t="s">
        <v>10753</v>
      </c>
      <c r="AE744" t="s">
        <v>10754</v>
      </c>
      <c r="AF744" t="s">
        <v>74</v>
      </c>
      <c r="AG744">
        <v>38</v>
      </c>
      <c r="AH744">
        <v>68</v>
      </c>
      <c r="AI744">
        <v>72</v>
      </c>
      <c r="AJ744">
        <v>0</v>
      </c>
      <c r="AK744">
        <v>8</v>
      </c>
      <c r="AL744" t="s">
        <v>219</v>
      </c>
      <c r="AM744" t="s">
        <v>220</v>
      </c>
      <c r="AN744" t="s">
        <v>221</v>
      </c>
      <c r="AO744" t="s">
        <v>222</v>
      </c>
      <c r="AP744" t="s">
        <v>223</v>
      </c>
      <c r="AQ744" t="s">
        <v>74</v>
      </c>
      <c r="AR744" t="s">
        <v>224</v>
      </c>
      <c r="AS744" t="s">
        <v>225</v>
      </c>
      <c r="AT744" t="s">
        <v>226</v>
      </c>
      <c r="AU744">
        <v>2016</v>
      </c>
      <c r="AV744">
        <v>48</v>
      </c>
      <c r="AW744">
        <v>6</v>
      </c>
      <c r="AX744" t="s">
        <v>74</v>
      </c>
      <c r="AY744" t="s">
        <v>74</v>
      </c>
      <c r="AZ744" t="s">
        <v>74</v>
      </c>
      <c r="BA744" t="s">
        <v>74</v>
      </c>
      <c r="BB744">
        <v>1668</v>
      </c>
      <c r="BC744">
        <v>1681</v>
      </c>
      <c r="BD744" t="s">
        <v>74</v>
      </c>
      <c r="BE744" t="s">
        <v>10755</v>
      </c>
      <c r="BF744" t="str">
        <f>HYPERLINK("http://dx.doi.org/10.1183/13993003.00464-2016","http://dx.doi.org/10.1183/13993003.00464-2016")</f>
        <v>http://dx.doi.org/10.1183/13993003.00464-2016</v>
      </c>
      <c r="BG744" t="s">
        <v>74</v>
      </c>
      <c r="BH744" t="s">
        <v>74</v>
      </c>
      <c r="BI744">
        <v>14</v>
      </c>
      <c r="BJ744" t="s">
        <v>228</v>
      </c>
      <c r="BK744" t="s">
        <v>101</v>
      </c>
      <c r="BL744" t="s">
        <v>228</v>
      </c>
      <c r="BM744" t="s">
        <v>10740</v>
      </c>
      <c r="BN744">
        <v>27811071</v>
      </c>
      <c r="BO744" t="s">
        <v>1194</v>
      </c>
      <c r="BP744" t="s">
        <v>74</v>
      </c>
      <c r="BQ744" t="s">
        <v>74</v>
      </c>
      <c r="BR744" t="s">
        <v>104</v>
      </c>
      <c r="BS744" t="s">
        <v>10756</v>
      </c>
      <c r="BT744" t="str">
        <f>HYPERLINK("https%3A%2F%2Fwww.webofscience.com%2Fwos%2Fwoscc%2Ffull-record%2FWOS:000392462500020","View Full Record in Web of Science")</f>
        <v>View Full Record in Web of Science</v>
      </c>
    </row>
    <row r="745" spans="1:72" x14ac:dyDescent="0.25">
      <c r="A745" t="s">
        <v>72</v>
      </c>
      <c r="B745" t="s">
        <v>10757</v>
      </c>
      <c r="C745" t="s">
        <v>74</v>
      </c>
      <c r="D745" t="s">
        <v>74</v>
      </c>
      <c r="E745" t="s">
        <v>74</v>
      </c>
      <c r="F745" t="s">
        <v>10758</v>
      </c>
      <c r="G745" t="s">
        <v>74</v>
      </c>
      <c r="H745" t="s">
        <v>74</v>
      </c>
      <c r="I745" t="s">
        <v>10759</v>
      </c>
      <c r="J745" t="s">
        <v>216</v>
      </c>
      <c r="K745" t="s">
        <v>74</v>
      </c>
      <c r="L745" t="s">
        <v>74</v>
      </c>
      <c r="M745" t="s">
        <v>78</v>
      </c>
      <c r="N745" t="s">
        <v>140</v>
      </c>
      <c r="O745" t="s">
        <v>74</v>
      </c>
      <c r="P745" t="s">
        <v>74</v>
      </c>
      <c r="Q745" t="s">
        <v>74</v>
      </c>
      <c r="R745" t="s">
        <v>74</v>
      </c>
      <c r="S745" t="s">
        <v>74</v>
      </c>
      <c r="T745" t="s">
        <v>74</v>
      </c>
      <c r="U745" t="s">
        <v>10760</v>
      </c>
      <c r="V745" t="s">
        <v>74</v>
      </c>
      <c r="W745" t="s">
        <v>10761</v>
      </c>
      <c r="X745" t="s">
        <v>10762</v>
      </c>
      <c r="Y745" t="s">
        <v>10763</v>
      </c>
      <c r="Z745" t="s">
        <v>10764</v>
      </c>
      <c r="AA745" t="s">
        <v>780</v>
      </c>
      <c r="AB745" t="s">
        <v>10765</v>
      </c>
      <c r="AC745" t="s">
        <v>74</v>
      </c>
      <c r="AD745" t="s">
        <v>74</v>
      </c>
      <c r="AE745" t="s">
        <v>74</v>
      </c>
      <c r="AF745" t="s">
        <v>74</v>
      </c>
      <c r="AG745">
        <v>30</v>
      </c>
      <c r="AH745">
        <v>3</v>
      </c>
      <c r="AI745">
        <v>3</v>
      </c>
      <c r="AJ745">
        <v>0</v>
      </c>
      <c r="AK745">
        <v>2</v>
      </c>
      <c r="AL745" t="s">
        <v>219</v>
      </c>
      <c r="AM745" t="s">
        <v>220</v>
      </c>
      <c r="AN745" t="s">
        <v>221</v>
      </c>
      <c r="AO745" t="s">
        <v>222</v>
      </c>
      <c r="AP745" t="s">
        <v>223</v>
      </c>
      <c r="AQ745" t="s">
        <v>74</v>
      </c>
      <c r="AR745" t="s">
        <v>224</v>
      </c>
      <c r="AS745" t="s">
        <v>225</v>
      </c>
      <c r="AT745" t="s">
        <v>226</v>
      </c>
      <c r="AU745">
        <v>2016</v>
      </c>
      <c r="AV745">
        <v>48</v>
      </c>
      <c r="AW745">
        <v>6</v>
      </c>
      <c r="AX745" t="s">
        <v>74</v>
      </c>
      <c r="AY745" t="s">
        <v>74</v>
      </c>
      <c r="AZ745" t="s">
        <v>74</v>
      </c>
      <c r="BA745" t="s">
        <v>74</v>
      </c>
      <c r="BB745">
        <v>1549</v>
      </c>
      <c r="BC745">
        <v>1552</v>
      </c>
      <c r="BD745" t="s">
        <v>74</v>
      </c>
      <c r="BE745" t="s">
        <v>10766</v>
      </c>
      <c r="BF745" t="str">
        <f>HYPERLINK("http://dx.doi.org/10.1183/13993003.01809-2016","http://dx.doi.org/10.1183/13993003.01809-2016")</f>
        <v>http://dx.doi.org/10.1183/13993003.01809-2016</v>
      </c>
      <c r="BG745" t="s">
        <v>74</v>
      </c>
      <c r="BH745" t="s">
        <v>74</v>
      </c>
      <c r="BI745">
        <v>4</v>
      </c>
      <c r="BJ745" t="s">
        <v>228</v>
      </c>
      <c r="BK745" t="s">
        <v>101</v>
      </c>
      <c r="BL745" t="s">
        <v>228</v>
      </c>
      <c r="BM745" t="s">
        <v>10740</v>
      </c>
      <c r="BN745">
        <v>27903685</v>
      </c>
      <c r="BO745" t="s">
        <v>1194</v>
      </c>
      <c r="BP745" t="s">
        <v>74</v>
      </c>
      <c r="BQ745" t="s">
        <v>74</v>
      </c>
      <c r="BR745" t="s">
        <v>104</v>
      </c>
      <c r="BS745" t="s">
        <v>10767</v>
      </c>
      <c r="BT745" t="str">
        <f>HYPERLINK("https%3A%2F%2Fwww.webofscience.com%2Fwos%2Fwoscc%2Ffull-record%2FWOS:000392462500005","View Full Record in Web of Science")</f>
        <v>View Full Record in Web of Science</v>
      </c>
    </row>
    <row r="746" spans="1:72" x14ac:dyDescent="0.25">
      <c r="A746" t="s">
        <v>72</v>
      </c>
      <c r="B746" t="s">
        <v>10768</v>
      </c>
      <c r="C746" t="s">
        <v>74</v>
      </c>
      <c r="D746" t="s">
        <v>74</v>
      </c>
      <c r="E746" t="s">
        <v>74</v>
      </c>
      <c r="F746" t="s">
        <v>10769</v>
      </c>
      <c r="G746" t="s">
        <v>74</v>
      </c>
      <c r="H746" t="s">
        <v>74</v>
      </c>
      <c r="I746" t="s">
        <v>9084</v>
      </c>
      <c r="J746" t="s">
        <v>814</v>
      </c>
      <c r="K746" t="s">
        <v>74</v>
      </c>
      <c r="L746" t="s">
        <v>74</v>
      </c>
      <c r="M746" t="s">
        <v>78</v>
      </c>
      <c r="N746" t="s">
        <v>299</v>
      </c>
      <c r="O746" t="s">
        <v>74</v>
      </c>
      <c r="P746" t="s">
        <v>74</v>
      </c>
      <c r="Q746" t="s">
        <v>74</v>
      </c>
      <c r="R746" t="s">
        <v>74</v>
      </c>
      <c r="S746" t="s">
        <v>74</v>
      </c>
      <c r="T746" t="s">
        <v>74</v>
      </c>
      <c r="U746" t="s">
        <v>10770</v>
      </c>
      <c r="V746" t="s">
        <v>10771</v>
      </c>
      <c r="W746" t="s">
        <v>10772</v>
      </c>
      <c r="X746" t="s">
        <v>10773</v>
      </c>
      <c r="Y746" t="s">
        <v>10774</v>
      </c>
      <c r="Z746" t="s">
        <v>10775</v>
      </c>
      <c r="AA746" t="s">
        <v>144</v>
      </c>
      <c r="AB746" t="s">
        <v>257</v>
      </c>
      <c r="AC746" t="s">
        <v>7006</v>
      </c>
      <c r="AD746" t="s">
        <v>7006</v>
      </c>
      <c r="AE746" t="s">
        <v>10776</v>
      </c>
      <c r="AF746" t="s">
        <v>74</v>
      </c>
      <c r="AG746">
        <v>52</v>
      </c>
      <c r="AH746">
        <v>39</v>
      </c>
      <c r="AI746">
        <v>40</v>
      </c>
      <c r="AJ746">
        <v>0</v>
      </c>
      <c r="AK746">
        <v>8</v>
      </c>
      <c r="AL746" t="s">
        <v>219</v>
      </c>
      <c r="AM746" t="s">
        <v>220</v>
      </c>
      <c r="AN746" t="s">
        <v>221</v>
      </c>
      <c r="AO746" t="s">
        <v>823</v>
      </c>
      <c r="AP746" t="s">
        <v>824</v>
      </c>
      <c r="AQ746" t="s">
        <v>74</v>
      </c>
      <c r="AR746" t="s">
        <v>825</v>
      </c>
      <c r="AS746" t="s">
        <v>826</v>
      </c>
      <c r="AT746" t="s">
        <v>2689</v>
      </c>
      <c r="AU746">
        <v>2016</v>
      </c>
      <c r="AV746">
        <v>25</v>
      </c>
      <c r="AW746">
        <v>142</v>
      </c>
      <c r="AX746" t="s">
        <v>74</v>
      </c>
      <c r="AY746" t="s">
        <v>74</v>
      </c>
      <c r="AZ746" t="s">
        <v>74</v>
      </c>
      <c r="BA746" t="s">
        <v>74</v>
      </c>
      <c r="BB746">
        <v>390</v>
      </c>
      <c r="BC746">
        <v>398</v>
      </c>
      <c r="BD746" t="s">
        <v>74</v>
      </c>
      <c r="BE746" t="s">
        <v>10777</v>
      </c>
      <c r="BF746" t="str">
        <f>HYPERLINK("http://dx.doi.org/10.1183/16000617.0077-2016","http://dx.doi.org/10.1183/16000617.0077-2016")</f>
        <v>http://dx.doi.org/10.1183/16000617.0077-2016</v>
      </c>
      <c r="BG746" t="s">
        <v>74</v>
      </c>
      <c r="BH746" t="s">
        <v>74</v>
      </c>
      <c r="BI746">
        <v>9</v>
      </c>
      <c r="BJ746" t="s">
        <v>228</v>
      </c>
      <c r="BK746" t="s">
        <v>101</v>
      </c>
      <c r="BL746" t="s">
        <v>228</v>
      </c>
      <c r="BM746" t="s">
        <v>10778</v>
      </c>
      <c r="BN746">
        <v>27903661</v>
      </c>
      <c r="BO746" t="s">
        <v>809</v>
      </c>
      <c r="BP746" t="s">
        <v>74</v>
      </c>
      <c r="BQ746" t="s">
        <v>74</v>
      </c>
      <c r="BR746" t="s">
        <v>104</v>
      </c>
      <c r="BS746" t="s">
        <v>10779</v>
      </c>
      <c r="BT746" t="str">
        <f>HYPERLINK("https%3A%2F%2Fwww.webofscience.com%2Fwos%2Fwoscc%2Ffull-record%2FWOS:000390916700005","View Full Record in Web of Science")</f>
        <v>View Full Record in Web of Science</v>
      </c>
    </row>
    <row r="747" spans="1:72" x14ac:dyDescent="0.25">
      <c r="A747" t="s">
        <v>72</v>
      </c>
      <c r="B747" t="s">
        <v>10780</v>
      </c>
      <c r="C747" t="s">
        <v>74</v>
      </c>
      <c r="D747" t="s">
        <v>74</v>
      </c>
      <c r="E747" t="s">
        <v>74</v>
      </c>
      <c r="F747" t="s">
        <v>10781</v>
      </c>
      <c r="G747" t="s">
        <v>74</v>
      </c>
      <c r="H747" t="s">
        <v>74</v>
      </c>
      <c r="I747" t="s">
        <v>10782</v>
      </c>
      <c r="J747" t="s">
        <v>637</v>
      </c>
      <c r="K747" t="s">
        <v>74</v>
      </c>
      <c r="L747" t="s">
        <v>74</v>
      </c>
      <c r="M747" t="s">
        <v>78</v>
      </c>
      <c r="N747" t="s">
        <v>79</v>
      </c>
      <c r="O747" t="s">
        <v>74</v>
      </c>
      <c r="P747" t="s">
        <v>74</v>
      </c>
      <c r="Q747" t="s">
        <v>74</v>
      </c>
      <c r="R747" t="s">
        <v>74</v>
      </c>
      <c r="S747" t="s">
        <v>74</v>
      </c>
      <c r="T747" t="s">
        <v>10783</v>
      </c>
      <c r="U747" t="s">
        <v>10784</v>
      </c>
      <c r="V747" t="s">
        <v>10785</v>
      </c>
      <c r="W747" t="s">
        <v>10786</v>
      </c>
      <c r="X747" t="s">
        <v>10787</v>
      </c>
      <c r="Y747" t="s">
        <v>10241</v>
      </c>
      <c r="Z747" t="s">
        <v>10242</v>
      </c>
      <c r="AA747" t="s">
        <v>10788</v>
      </c>
      <c r="AB747" t="s">
        <v>10789</v>
      </c>
      <c r="AC747" t="s">
        <v>10790</v>
      </c>
      <c r="AD747" t="s">
        <v>10791</v>
      </c>
      <c r="AE747" t="s">
        <v>10792</v>
      </c>
      <c r="AF747" t="s">
        <v>74</v>
      </c>
      <c r="AG747">
        <v>43</v>
      </c>
      <c r="AH747">
        <v>89</v>
      </c>
      <c r="AI747">
        <v>93</v>
      </c>
      <c r="AJ747">
        <v>2</v>
      </c>
      <c r="AK747">
        <v>9</v>
      </c>
      <c r="AL747" t="s">
        <v>649</v>
      </c>
      <c r="AM747" t="s">
        <v>486</v>
      </c>
      <c r="AN747" t="s">
        <v>650</v>
      </c>
      <c r="AO747" t="s">
        <v>651</v>
      </c>
      <c r="AP747" t="s">
        <v>652</v>
      </c>
      <c r="AQ747" t="s">
        <v>74</v>
      </c>
      <c r="AR747" t="s">
        <v>653</v>
      </c>
      <c r="AS747" t="s">
        <v>654</v>
      </c>
      <c r="AT747" t="s">
        <v>10793</v>
      </c>
      <c r="AU747">
        <v>2016</v>
      </c>
      <c r="AV747">
        <v>194</v>
      </c>
      <c r="AW747">
        <v>10</v>
      </c>
      <c r="AX747" t="s">
        <v>74</v>
      </c>
      <c r="AY747" t="s">
        <v>74</v>
      </c>
      <c r="AZ747" t="s">
        <v>74</v>
      </c>
      <c r="BA747" t="s">
        <v>74</v>
      </c>
      <c r="BB747">
        <v>1273</v>
      </c>
      <c r="BC747">
        <v>1285</v>
      </c>
      <c r="BD747" t="s">
        <v>74</v>
      </c>
      <c r="BE747" t="s">
        <v>10794</v>
      </c>
      <c r="BF747" t="str">
        <f>HYPERLINK("http://dx.doi.org/10.1164/rccm.201512-2380OC","http://dx.doi.org/10.1164/rccm.201512-2380OC")</f>
        <v>http://dx.doi.org/10.1164/rccm.201512-2380OC</v>
      </c>
      <c r="BG747" t="s">
        <v>74</v>
      </c>
      <c r="BH747" t="s">
        <v>74</v>
      </c>
      <c r="BI747">
        <v>13</v>
      </c>
      <c r="BJ747" t="s">
        <v>341</v>
      </c>
      <c r="BK747" t="s">
        <v>101</v>
      </c>
      <c r="BL747" t="s">
        <v>342</v>
      </c>
      <c r="BM747" t="s">
        <v>10795</v>
      </c>
      <c r="BN747">
        <v>27149112</v>
      </c>
      <c r="BO747" t="s">
        <v>74</v>
      </c>
      <c r="BP747" t="s">
        <v>74</v>
      </c>
      <c r="BQ747" t="s">
        <v>74</v>
      </c>
      <c r="BR747" t="s">
        <v>104</v>
      </c>
      <c r="BS747" t="s">
        <v>10796</v>
      </c>
      <c r="BT747" t="str">
        <f>HYPERLINK("https%3A%2F%2Fwww.webofscience.com%2Fwos%2Fwoscc%2Ffull-record%2FWOS:000388250800016","View Full Record in Web of Science")</f>
        <v>View Full Record in Web of Science</v>
      </c>
    </row>
    <row r="748" spans="1:72" x14ac:dyDescent="0.25">
      <c r="A748" t="s">
        <v>72</v>
      </c>
      <c r="B748" t="s">
        <v>10797</v>
      </c>
      <c r="C748" t="s">
        <v>74</v>
      </c>
      <c r="D748" t="s">
        <v>74</v>
      </c>
      <c r="E748" t="s">
        <v>74</v>
      </c>
      <c r="F748" t="s">
        <v>10798</v>
      </c>
      <c r="G748" t="s">
        <v>74</v>
      </c>
      <c r="H748" t="s">
        <v>74</v>
      </c>
      <c r="I748" t="s">
        <v>10799</v>
      </c>
      <c r="J748" t="s">
        <v>251</v>
      </c>
      <c r="K748" t="s">
        <v>74</v>
      </c>
      <c r="L748" t="s">
        <v>74</v>
      </c>
      <c r="M748" t="s">
        <v>78</v>
      </c>
      <c r="N748" t="s">
        <v>52</v>
      </c>
      <c r="O748" t="s">
        <v>2710</v>
      </c>
      <c r="P748" t="s">
        <v>10800</v>
      </c>
      <c r="Q748" t="s">
        <v>10801</v>
      </c>
      <c r="R748" t="s">
        <v>1376</v>
      </c>
      <c r="S748" t="s">
        <v>74</v>
      </c>
      <c r="T748" t="s">
        <v>5891</v>
      </c>
      <c r="U748" t="s">
        <v>74</v>
      </c>
      <c r="V748" t="s">
        <v>74</v>
      </c>
      <c r="W748" t="s">
        <v>74</v>
      </c>
      <c r="X748" t="s">
        <v>74</v>
      </c>
      <c r="Y748" t="s">
        <v>74</v>
      </c>
      <c r="Z748" t="s">
        <v>74</v>
      </c>
      <c r="AA748" t="s">
        <v>10802</v>
      </c>
      <c r="AB748" t="s">
        <v>10803</v>
      </c>
      <c r="AC748" t="s">
        <v>74</v>
      </c>
      <c r="AD748" t="s">
        <v>74</v>
      </c>
      <c r="AE748" t="s">
        <v>74</v>
      </c>
      <c r="AF748" t="s">
        <v>74</v>
      </c>
      <c r="AG748">
        <v>0</v>
      </c>
      <c r="AH748">
        <v>0</v>
      </c>
      <c r="AI748">
        <v>0</v>
      </c>
      <c r="AJ748">
        <v>0</v>
      </c>
      <c r="AK748">
        <v>0</v>
      </c>
      <c r="AL748" t="s">
        <v>122</v>
      </c>
      <c r="AM748" t="s">
        <v>123</v>
      </c>
      <c r="AN748" t="s">
        <v>124</v>
      </c>
      <c r="AO748" t="s">
        <v>258</v>
      </c>
      <c r="AP748" t="s">
        <v>259</v>
      </c>
      <c r="AQ748" t="s">
        <v>74</v>
      </c>
      <c r="AR748" t="s">
        <v>251</v>
      </c>
      <c r="AS748" t="s">
        <v>260</v>
      </c>
      <c r="AT748" t="s">
        <v>10804</v>
      </c>
      <c r="AU748">
        <v>2016</v>
      </c>
      <c r="AV748">
        <v>134</v>
      </c>
      <c r="AW748" t="s">
        <v>74</v>
      </c>
      <c r="AX748" t="s">
        <v>74</v>
      </c>
      <c r="AY748">
        <v>1</v>
      </c>
      <c r="AZ748" t="s">
        <v>74</v>
      </c>
      <c r="BA748">
        <v>14413</v>
      </c>
      <c r="BB748" t="s">
        <v>74</v>
      </c>
      <c r="BC748" t="s">
        <v>74</v>
      </c>
      <c r="BD748" t="s">
        <v>74</v>
      </c>
      <c r="BE748" t="s">
        <v>74</v>
      </c>
      <c r="BF748" t="s">
        <v>74</v>
      </c>
      <c r="BG748" t="s">
        <v>74</v>
      </c>
      <c r="BH748" t="s">
        <v>74</v>
      </c>
      <c r="BI748">
        <v>3</v>
      </c>
      <c r="BJ748" t="s">
        <v>263</v>
      </c>
      <c r="BK748" t="s">
        <v>512</v>
      </c>
      <c r="BL748" t="s">
        <v>133</v>
      </c>
      <c r="BM748" t="s">
        <v>10805</v>
      </c>
      <c r="BN748" t="s">
        <v>74</v>
      </c>
      <c r="BO748" t="s">
        <v>74</v>
      </c>
      <c r="BP748" t="s">
        <v>74</v>
      </c>
      <c r="BQ748" t="s">
        <v>74</v>
      </c>
      <c r="BR748" t="s">
        <v>104</v>
      </c>
      <c r="BS748" t="s">
        <v>10806</v>
      </c>
      <c r="BT748" t="str">
        <f>HYPERLINK("https%3A%2F%2Fwww.webofscience.com%2Fwos%2Fwoscc%2Ffull-record%2FWOS:000396815306046","View Full Record in Web of Science")</f>
        <v>View Full Record in Web of Science</v>
      </c>
    </row>
    <row r="749" spans="1:72" x14ac:dyDescent="0.25">
      <c r="A749" t="s">
        <v>72</v>
      </c>
      <c r="B749" t="s">
        <v>10807</v>
      </c>
      <c r="C749" t="s">
        <v>74</v>
      </c>
      <c r="D749" t="s">
        <v>74</v>
      </c>
      <c r="E749" t="s">
        <v>74</v>
      </c>
      <c r="F749" t="s">
        <v>10808</v>
      </c>
      <c r="G749" t="s">
        <v>74</v>
      </c>
      <c r="H749" t="s">
        <v>10809</v>
      </c>
      <c r="I749" t="s">
        <v>10810</v>
      </c>
      <c r="J749" t="s">
        <v>216</v>
      </c>
      <c r="K749" t="s">
        <v>74</v>
      </c>
      <c r="L749" t="s">
        <v>74</v>
      </c>
      <c r="M749" t="s">
        <v>78</v>
      </c>
      <c r="N749" t="s">
        <v>79</v>
      </c>
      <c r="O749" t="s">
        <v>74</v>
      </c>
      <c r="P749" t="s">
        <v>74</v>
      </c>
      <c r="Q749" t="s">
        <v>74</v>
      </c>
      <c r="R749" t="s">
        <v>74</v>
      </c>
      <c r="S749" t="s">
        <v>74</v>
      </c>
      <c r="T749" t="s">
        <v>74</v>
      </c>
      <c r="U749" t="s">
        <v>10811</v>
      </c>
      <c r="V749" t="s">
        <v>10812</v>
      </c>
      <c r="W749" t="s">
        <v>10813</v>
      </c>
      <c r="X749" t="s">
        <v>10814</v>
      </c>
      <c r="Y749" t="s">
        <v>10815</v>
      </c>
      <c r="Z749" t="s">
        <v>1917</v>
      </c>
      <c r="AA749" t="s">
        <v>10816</v>
      </c>
      <c r="AB749" t="s">
        <v>10817</v>
      </c>
      <c r="AC749" t="s">
        <v>74</v>
      </c>
      <c r="AD749" t="s">
        <v>74</v>
      </c>
      <c r="AE749" t="s">
        <v>74</v>
      </c>
      <c r="AF749" t="s">
        <v>74</v>
      </c>
      <c r="AG749">
        <v>32</v>
      </c>
      <c r="AH749">
        <v>105</v>
      </c>
      <c r="AI749">
        <v>115</v>
      </c>
      <c r="AJ749">
        <v>1</v>
      </c>
      <c r="AK749">
        <v>14</v>
      </c>
      <c r="AL749" t="s">
        <v>219</v>
      </c>
      <c r="AM749" t="s">
        <v>220</v>
      </c>
      <c r="AN749" t="s">
        <v>221</v>
      </c>
      <c r="AO749" t="s">
        <v>222</v>
      </c>
      <c r="AP749" t="s">
        <v>223</v>
      </c>
      <c r="AQ749" t="s">
        <v>74</v>
      </c>
      <c r="AR749" t="s">
        <v>224</v>
      </c>
      <c r="AS749" t="s">
        <v>225</v>
      </c>
      <c r="AT749" t="s">
        <v>315</v>
      </c>
      <c r="AU749">
        <v>2016</v>
      </c>
      <c r="AV749">
        <v>48</v>
      </c>
      <c r="AW749">
        <v>5</v>
      </c>
      <c r="AX749" t="s">
        <v>74</v>
      </c>
      <c r="AY749" t="s">
        <v>74</v>
      </c>
      <c r="AZ749" t="s">
        <v>74</v>
      </c>
      <c r="BA749" t="s">
        <v>74</v>
      </c>
      <c r="BB749">
        <v>1429</v>
      </c>
      <c r="BC749">
        <v>1441</v>
      </c>
      <c r="BD749" t="s">
        <v>74</v>
      </c>
      <c r="BE749" t="s">
        <v>10818</v>
      </c>
      <c r="BF749" t="str">
        <f>HYPERLINK("http://dx.doi.org/10.1183/13993003.00097-2016","http://dx.doi.org/10.1183/13993003.00097-2016")</f>
        <v>http://dx.doi.org/10.1183/13993003.00097-2016</v>
      </c>
      <c r="BG749" t="s">
        <v>74</v>
      </c>
      <c r="BH749" t="s">
        <v>74</v>
      </c>
      <c r="BI749">
        <v>13</v>
      </c>
      <c r="BJ749" t="s">
        <v>228</v>
      </c>
      <c r="BK749" t="s">
        <v>101</v>
      </c>
      <c r="BL749" t="s">
        <v>228</v>
      </c>
      <c r="BM749" t="s">
        <v>10819</v>
      </c>
      <c r="BN749">
        <v>27587545</v>
      </c>
      <c r="BO749" t="s">
        <v>3737</v>
      </c>
      <c r="BP749" t="s">
        <v>74</v>
      </c>
      <c r="BQ749" t="s">
        <v>74</v>
      </c>
      <c r="BR749" t="s">
        <v>104</v>
      </c>
      <c r="BS749" t="s">
        <v>10820</v>
      </c>
      <c r="BT749" t="str">
        <f>HYPERLINK("https%3A%2F%2Fwww.webofscience.com%2Fwos%2Fwoscc%2Ffull-record%2FWOS:000390973800022","View Full Record in Web of Science")</f>
        <v>View Full Record in Web of Science</v>
      </c>
    </row>
    <row r="750" spans="1:72" x14ac:dyDescent="0.25">
      <c r="A750" t="s">
        <v>72</v>
      </c>
      <c r="B750" t="s">
        <v>10821</v>
      </c>
      <c r="C750" t="s">
        <v>74</v>
      </c>
      <c r="D750" t="s">
        <v>74</v>
      </c>
      <c r="E750" t="s">
        <v>74</v>
      </c>
      <c r="F750" t="s">
        <v>10822</v>
      </c>
      <c r="G750" t="s">
        <v>74</v>
      </c>
      <c r="H750" t="s">
        <v>74</v>
      </c>
      <c r="I750" t="s">
        <v>10823</v>
      </c>
      <c r="J750" t="s">
        <v>1529</v>
      </c>
      <c r="K750" t="s">
        <v>74</v>
      </c>
      <c r="L750" t="s">
        <v>74</v>
      </c>
      <c r="M750" t="s">
        <v>1349</v>
      </c>
      <c r="N750" t="s">
        <v>79</v>
      </c>
      <c r="O750" t="s">
        <v>74</v>
      </c>
      <c r="P750" t="s">
        <v>74</v>
      </c>
      <c r="Q750" t="s">
        <v>74</v>
      </c>
      <c r="R750" t="s">
        <v>74</v>
      </c>
      <c r="S750" t="s">
        <v>74</v>
      </c>
      <c r="T750" t="s">
        <v>74</v>
      </c>
      <c r="U750" t="s">
        <v>10824</v>
      </c>
      <c r="V750" t="s">
        <v>10825</v>
      </c>
      <c r="W750" t="s">
        <v>10826</v>
      </c>
      <c r="X750" t="s">
        <v>10827</v>
      </c>
      <c r="Y750" t="s">
        <v>10828</v>
      </c>
      <c r="Z750" t="s">
        <v>10829</v>
      </c>
      <c r="AA750" t="s">
        <v>10830</v>
      </c>
      <c r="AB750" t="s">
        <v>10831</v>
      </c>
      <c r="AC750" t="s">
        <v>74</v>
      </c>
      <c r="AD750" t="s">
        <v>74</v>
      </c>
      <c r="AE750" t="s">
        <v>74</v>
      </c>
      <c r="AF750" t="s">
        <v>74</v>
      </c>
      <c r="AG750">
        <v>173</v>
      </c>
      <c r="AH750">
        <v>5</v>
      </c>
      <c r="AI750">
        <v>5</v>
      </c>
      <c r="AJ750">
        <v>2</v>
      </c>
      <c r="AK750">
        <v>15</v>
      </c>
      <c r="AL750" t="s">
        <v>1358</v>
      </c>
      <c r="AM750" t="s">
        <v>1359</v>
      </c>
      <c r="AN750" t="s">
        <v>1360</v>
      </c>
      <c r="AO750" t="s">
        <v>1533</v>
      </c>
      <c r="AP750" t="s">
        <v>1534</v>
      </c>
      <c r="AQ750" t="s">
        <v>74</v>
      </c>
      <c r="AR750" t="s">
        <v>1535</v>
      </c>
      <c r="AS750" t="s">
        <v>1536</v>
      </c>
      <c r="AT750" t="s">
        <v>315</v>
      </c>
      <c r="AU750">
        <v>2016</v>
      </c>
      <c r="AV750">
        <v>45</v>
      </c>
      <c r="AW750">
        <v>11</v>
      </c>
      <c r="AX750" t="s">
        <v>74</v>
      </c>
      <c r="AY750" t="s">
        <v>74</v>
      </c>
      <c r="AZ750" t="s">
        <v>74</v>
      </c>
      <c r="BA750" t="s">
        <v>74</v>
      </c>
      <c r="BB750">
        <v>1005</v>
      </c>
      <c r="BC750">
        <v>1018</v>
      </c>
      <c r="BD750" t="s">
        <v>74</v>
      </c>
      <c r="BE750" t="s">
        <v>10832</v>
      </c>
      <c r="BF750" t="str">
        <f>HYPERLINK("http://dx.doi.org/10.1016/j.lpm.2016.01.019","http://dx.doi.org/10.1016/j.lpm.2016.01.019")</f>
        <v>http://dx.doi.org/10.1016/j.lpm.2016.01.019</v>
      </c>
      <c r="BG750" t="s">
        <v>74</v>
      </c>
      <c r="BH750" t="s">
        <v>74</v>
      </c>
      <c r="BI750">
        <v>14</v>
      </c>
      <c r="BJ750" t="s">
        <v>1152</v>
      </c>
      <c r="BK750" t="s">
        <v>101</v>
      </c>
      <c r="BL750" t="s">
        <v>1153</v>
      </c>
      <c r="BM750" t="s">
        <v>10833</v>
      </c>
      <c r="BN750">
        <v>27039335</v>
      </c>
      <c r="BO750" t="s">
        <v>74</v>
      </c>
      <c r="BP750" t="s">
        <v>74</v>
      </c>
      <c r="BQ750" t="s">
        <v>74</v>
      </c>
      <c r="BR750" t="s">
        <v>104</v>
      </c>
      <c r="BS750" t="s">
        <v>10834</v>
      </c>
      <c r="BT750" t="str">
        <f>HYPERLINK("https%3A%2F%2Fwww.webofscience.com%2Fwos%2Fwoscc%2Ffull-record%2FWOS:000388400500008","View Full Record in Web of Science")</f>
        <v>View Full Record in Web of Science</v>
      </c>
    </row>
    <row r="751" spans="1:72" x14ac:dyDescent="0.25">
      <c r="A751" t="s">
        <v>72</v>
      </c>
      <c r="B751" t="s">
        <v>10835</v>
      </c>
      <c r="C751" t="s">
        <v>74</v>
      </c>
      <c r="D751" t="s">
        <v>74</v>
      </c>
      <c r="E751" t="s">
        <v>74</v>
      </c>
      <c r="F751" t="s">
        <v>10836</v>
      </c>
      <c r="G751" t="s">
        <v>74</v>
      </c>
      <c r="H751" t="s">
        <v>74</v>
      </c>
      <c r="I751" t="s">
        <v>10837</v>
      </c>
      <c r="J751" t="s">
        <v>1529</v>
      </c>
      <c r="K751" t="s">
        <v>74</v>
      </c>
      <c r="L751" t="s">
        <v>74</v>
      </c>
      <c r="M751" t="s">
        <v>1349</v>
      </c>
      <c r="N751" t="s">
        <v>140</v>
      </c>
      <c r="O751" t="s">
        <v>74</v>
      </c>
      <c r="P751" t="s">
        <v>74</v>
      </c>
      <c r="Q751" t="s">
        <v>74</v>
      </c>
      <c r="R751" t="s">
        <v>74</v>
      </c>
      <c r="S751" t="s">
        <v>74</v>
      </c>
      <c r="T751" t="s">
        <v>74</v>
      </c>
      <c r="U751" t="s">
        <v>10838</v>
      </c>
      <c r="V751" t="s">
        <v>74</v>
      </c>
      <c r="W751" t="s">
        <v>10839</v>
      </c>
      <c r="X751" t="s">
        <v>10840</v>
      </c>
      <c r="Y751" t="s">
        <v>7557</v>
      </c>
      <c r="Z751" t="s">
        <v>377</v>
      </c>
      <c r="AA751" t="s">
        <v>144</v>
      </c>
      <c r="AB751" t="s">
        <v>257</v>
      </c>
      <c r="AC751" t="s">
        <v>74</v>
      </c>
      <c r="AD751" t="s">
        <v>74</v>
      </c>
      <c r="AE751" t="s">
        <v>74</v>
      </c>
      <c r="AF751" t="s">
        <v>74</v>
      </c>
      <c r="AG751">
        <v>46</v>
      </c>
      <c r="AH751">
        <v>0</v>
      </c>
      <c r="AI751">
        <v>0</v>
      </c>
      <c r="AJ751">
        <v>0</v>
      </c>
      <c r="AK751">
        <v>3</v>
      </c>
      <c r="AL751" t="s">
        <v>1358</v>
      </c>
      <c r="AM751" t="s">
        <v>1359</v>
      </c>
      <c r="AN751" t="s">
        <v>1360</v>
      </c>
      <c r="AO751" t="s">
        <v>1533</v>
      </c>
      <c r="AP751" t="s">
        <v>1534</v>
      </c>
      <c r="AQ751" t="s">
        <v>74</v>
      </c>
      <c r="AR751" t="s">
        <v>1535</v>
      </c>
      <c r="AS751" t="s">
        <v>1536</v>
      </c>
      <c r="AT751" t="s">
        <v>315</v>
      </c>
      <c r="AU751">
        <v>2016</v>
      </c>
      <c r="AV751">
        <v>45</v>
      </c>
      <c r="AW751">
        <v>11</v>
      </c>
      <c r="AX751" t="s">
        <v>74</v>
      </c>
      <c r="AY751" t="s">
        <v>74</v>
      </c>
      <c r="AZ751" t="s">
        <v>74</v>
      </c>
      <c r="BA751" t="s">
        <v>74</v>
      </c>
      <c r="BB751">
        <v>1002</v>
      </c>
      <c r="BC751">
        <v>1004</v>
      </c>
      <c r="BD751" t="s">
        <v>74</v>
      </c>
      <c r="BE751" t="s">
        <v>10841</v>
      </c>
      <c r="BF751" t="str">
        <f>HYPERLINK("http://dx.doi.org/10.1016/j.lpm.2016.10.012","http://dx.doi.org/10.1016/j.lpm.2016.10.012")</f>
        <v>http://dx.doi.org/10.1016/j.lpm.2016.10.012</v>
      </c>
      <c r="BG751" t="s">
        <v>74</v>
      </c>
      <c r="BH751" t="s">
        <v>74</v>
      </c>
      <c r="BI751">
        <v>3</v>
      </c>
      <c r="BJ751" t="s">
        <v>1152</v>
      </c>
      <c r="BK751" t="s">
        <v>101</v>
      </c>
      <c r="BL751" t="s">
        <v>1153</v>
      </c>
      <c r="BM751" t="s">
        <v>10833</v>
      </c>
      <c r="BN751">
        <v>27871425</v>
      </c>
      <c r="BO751" t="s">
        <v>74</v>
      </c>
      <c r="BP751" t="s">
        <v>74</v>
      </c>
      <c r="BQ751" t="s">
        <v>74</v>
      </c>
      <c r="BR751" t="s">
        <v>104</v>
      </c>
      <c r="BS751" t="s">
        <v>10842</v>
      </c>
      <c r="BT751" t="str">
        <f>HYPERLINK("https%3A%2F%2Fwww.webofscience.com%2Fwos%2Fwoscc%2Ffull-record%2FWOS:000388400500007","View Full Record in Web of Science")</f>
        <v>View Full Record in Web of Science</v>
      </c>
    </row>
    <row r="752" spans="1:72" x14ac:dyDescent="0.25">
      <c r="A752" t="s">
        <v>72</v>
      </c>
      <c r="B752" t="s">
        <v>10843</v>
      </c>
      <c r="C752" t="s">
        <v>74</v>
      </c>
      <c r="D752" t="s">
        <v>74</v>
      </c>
      <c r="E752" t="s">
        <v>74</v>
      </c>
      <c r="F752" t="s">
        <v>10844</v>
      </c>
      <c r="G752" t="s">
        <v>74</v>
      </c>
      <c r="H752" t="s">
        <v>74</v>
      </c>
      <c r="I752" t="s">
        <v>10845</v>
      </c>
      <c r="J752" t="s">
        <v>216</v>
      </c>
      <c r="K752" t="s">
        <v>74</v>
      </c>
      <c r="L752" t="s">
        <v>74</v>
      </c>
      <c r="M752" t="s">
        <v>78</v>
      </c>
      <c r="N752" t="s">
        <v>460</v>
      </c>
      <c r="O752" t="s">
        <v>74</v>
      </c>
      <c r="P752" t="s">
        <v>74</v>
      </c>
      <c r="Q752" t="s">
        <v>74</v>
      </c>
      <c r="R752" t="s">
        <v>74</v>
      </c>
      <c r="S752" t="s">
        <v>74</v>
      </c>
      <c r="T752" t="s">
        <v>74</v>
      </c>
      <c r="U752" t="s">
        <v>10846</v>
      </c>
      <c r="V752" t="s">
        <v>74</v>
      </c>
      <c r="W752" t="s">
        <v>10847</v>
      </c>
      <c r="X752" t="s">
        <v>10848</v>
      </c>
      <c r="Y752" t="s">
        <v>9997</v>
      </c>
      <c r="Z752" t="s">
        <v>331</v>
      </c>
      <c r="AA752" t="s">
        <v>10849</v>
      </c>
      <c r="AB752" t="s">
        <v>10850</v>
      </c>
      <c r="AC752" t="s">
        <v>74</v>
      </c>
      <c r="AD752" t="s">
        <v>74</v>
      </c>
      <c r="AE752" t="s">
        <v>74</v>
      </c>
      <c r="AF752" t="s">
        <v>74</v>
      </c>
      <c r="AG752">
        <v>15</v>
      </c>
      <c r="AH752">
        <v>42</v>
      </c>
      <c r="AI752">
        <v>43</v>
      </c>
      <c r="AJ752">
        <v>0</v>
      </c>
      <c r="AK752">
        <v>6</v>
      </c>
      <c r="AL752" t="s">
        <v>219</v>
      </c>
      <c r="AM752" t="s">
        <v>220</v>
      </c>
      <c r="AN752" t="s">
        <v>221</v>
      </c>
      <c r="AO752" t="s">
        <v>222</v>
      </c>
      <c r="AP752" t="s">
        <v>223</v>
      </c>
      <c r="AQ752" t="s">
        <v>74</v>
      </c>
      <c r="AR752" t="s">
        <v>224</v>
      </c>
      <c r="AS752" t="s">
        <v>225</v>
      </c>
      <c r="AT752" t="s">
        <v>315</v>
      </c>
      <c r="AU752">
        <v>2016</v>
      </c>
      <c r="AV752">
        <v>48</v>
      </c>
      <c r="AW752">
        <v>5</v>
      </c>
      <c r="AX752" t="s">
        <v>74</v>
      </c>
      <c r="AY752" t="s">
        <v>74</v>
      </c>
      <c r="AZ752" t="s">
        <v>74</v>
      </c>
      <c r="BA752" t="s">
        <v>74</v>
      </c>
      <c r="BB752">
        <v>1517</v>
      </c>
      <c r="BC752">
        <v>1519</v>
      </c>
      <c r="BD752" t="s">
        <v>74</v>
      </c>
      <c r="BE752" t="s">
        <v>10851</v>
      </c>
      <c r="BF752" t="str">
        <f>HYPERLINK("http://dx.doi.org/10.1183/13993003.01410-2016","http://dx.doi.org/10.1183/13993003.01410-2016")</f>
        <v>http://dx.doi.org/10.1183/13993003.01410-2016</v>
      </c>
      <c r="BG752" t="s">
        <v>74</v>
      </c>
      <c r="BH752" t="s">
        <v>74</v>
      </c>
      <c r="BI752">
        <v>3</v>
      </c>
      <c r="BJ752" t="s">
        <v>228</v>
      </c>
      <c r="BK752" t="s">
        <v>101</v>
      </c>
      <c r="BL752" t="s">
        <v>228</v>
      </c>
      <c r="BM752" t="s">
        <v>10819</v>
      </c>
      <c r="BN752">
        <v>27799395</v>
      </c>
      <c r="BO752" t="s">
        <v>1194</v>
      </c>
      <c r="BP752" t="s">
        <v>74</v>
      </c>
      <c r="BQ752" t="s">
        <v>74</v>
      </c>
      <c r="BR752" t="s">
        <v>104</v>
      </c>
      <c r="BS752" t="s">
        <v>10852</v>
      </c>
      <c r="BT752" t="str">
        <f>HYPERLINK("https%3A%2F%2Fwww.webofscience.com%2Fwos%2Fwoscc%2Ffull-record%2FWOS:000390973800036","View Full Record in Web of Science")</f>
        <v>View Full Record in Web of Science</v>
      </c>
    </row>
    <row r="753" spans="1:72" x14ac:dyDescent="0.25">
      <c r="A753" t="s">
        <v>72</v>
      </c>
      <c r="B753" t="s">
        <v>10853</v>
      </c>
      <c r="C753" t="s">
        <v>74</v>
      </c>
      <c r="D753" t="s">
        <v>74</v>
      </c>
      <c r="E753" t="s">
        <v>74</v>
      </c>
      <c r="F753" t="s">
        <v>10854</v>
      </c>
      <c r="G753" t="s">
        <v>74</v>
      </c>
      <c r="H753" t="s">
        <v>74</v>
      </c>
      <c r="I753" t="s">
        <v>10855</v>
      </c>
      <c r="J753" t="s">
        <v>1529</v>
      </c>
      <c r="K753" t="s">
        <v>74</v>
      </c>
      <c r="L753" t="s">
        <v>74</v>
      </c>
      <c r="M753" t="s">
        <v>1349</v>
      </c>
      <c r="N753" t="s">
        <v>79</v>
      </c>
      <c r="O753" t="s">
        <v>74</v>
      </c>
      <c r="P753" t="s">
        <v>74</v>
      </c>
      <c r="Q753" t="s">
        <v>74</v>
      </c>
      <c r="R753" t="s">
        <v>74</v>
      </c>
      <c r="S753" t="s">
        <v>74</v>
      </c>
      <c r="T753" t="s">
        <v>74</v>
      </c>
      <c r="U753" t="s">
        <v>10856</v>
      </c>
      <c r="V753" t="s">
        <v>10857</v>
      </c>
      <c r="W753" t="s">
        <v>10858</v>
      </c>
      <c r="X753" t="s">
        <v>10859</v>
      </c>
      <c r="Y753" t="s">
        <v>10860</v>
      </c>
      <c r="Z753" t="s">
        <v>10861</v>
      </c>
      <c r="AA753" t="s">
        <v>144</v>
      </c>
      <c r="AB753" t="s">
        <v>257</v>
      </c>
      <c r="AC753" t="s">
        <v>74</v>
      </c>
      <c r="AD753" t="s">
        <v>74</v>
      </c>
      <c r="AE753" t="s">
        <v>74</v>
      </c>
      <c r="AF753" t="s">
        <v>74</v>
      </c>
      <c r="AG753">
        <v>87</v>
      </c>
      <c r="AH753">
        <v>2</v>
      </c>
      <c r="AI753">
        <v>2</v>
      </c>
      <c r="AJ753">
        <v>0</v>
      </c>
      <c r="AK753">
        <v>4</v>
      </c>
      <c r="AL753" t="s">
        <v>1358</v>
      </c>
      <c r="AM753" t="s">
        <v>1359</v>
      </c>
      <c r="AN753" t="s">
        <v>1360</v>
      </c>
      <c r="AO753" t="s">
        <v>1533</v>
      </c>
      <c r="AP753" t="s">
        <v>1534</v>
      </c>
      <c r="AQ753" t="s">
        <v>74</v>
      </c>
      <c r="AR753" t="s">
        <v>1535</v>
      </c>
      <c r="AS753" t="s">
        <v>1536</v>
      </c>
      <c r="AT753" t="s">
        <v>315</v>
      </c>
      <c r="AU753">
        <v>2016</v>
      </c>
      <c r="AV753">
        <v>45</v>
      </c>
      <c r="AW753">
        <v>11</v>
      </c>
      <c r="AX753" t="s">
        <v>74</v>
      </c>
      <c r="AY753" t="s">
        <v>74</v>
      </c>
      <c r="AZ753" t="s">
        <v>74</v>
      </c>
      <c r="BA753" t="s">
        <v>74</v>
      </c>
      <c r="BB753">
        <v>1043</v>
      </c>
      <c r="BC753">
        <v>1055</v>
      </c>
      <c r="BD753" t="s">
        <v>74</v>
      </c>
      <c r="BE753" t="s">
        <v>10862</v>
      </c>
      <c r="BF753" t="str">
        <f>HYPERLINK("http://dx.doi.org/10.1016/j.lpm.2016.09.012","http://dx.doi.org/10.1016/j.lpm.2016.09.012")</f>
        <v>http://dx.doi.org/10.1016/j.lpm.2016.09.012</v>
      </c>
      <c r="BG753" t="s">
        <v>74</v>
      </c>
      <c r="BH753" t="s">
        <v>74</v>
      </c>
      <c r="BI753">
        <v>13</v>
      </c>
      <c r="BJ753" t="s">
        <v>1152</v>
      </c>
      <c r="BK753" t="s">
        <v>101</v>
      </c>
      <c r="BL753" t="s">
        <v>1153</v>
      </c>
      <c r="BM753" t="s">
        <v>10833</v>
      </c>
      <c r="BN753">
        <v>27836376</v>
      </c>
      <c r="BO753" t="s">
        <v>74</v>
      </c>
      <c r="BP753" t="s">
        <v>74</v>
      </c>
      <c r="BQ753" t="s">
        <v>74</v>
      </c>
      <c r="BR753" t="s">
        <v>104</v>
      </c>
      <c r="BS753" t="s">
        <v>10863</v>
      </c>
      <c r="BT753" t="str">
        <f>HYPERLINK("https%3A%2F%2Fwww.webofscience.com%2Fwos%2Fwoscc%2Ffull-record%2FWOS:000388400500011","View Full Record in Web of Science")</f>
        <v>View Full Record in Web of Science</v>
      </c>
    </row>
    <row r="754" spans="1:72" x14ac:dyDescent="0.25">
      <c r="A754" t="s">
        <v>72</v>
      </c>
      <c r="B754" t="s">
        <v>10864</v>
      </c>
      <c r="C754" t="s">
        <v>74</v>
      </c>
      <c r="D754" t="s">
        <v>74</v>
      </c>
      <c r="E754" t="s">
        <v>74</v>
      </c>
      <c r="F754" t="s">
        <v>10865</v>
      </c>
      <c r="G754" t="s">
        <v>74</v>
      </c>
      <c r="H754" t="s">
        <v>74</v>
      </c>
      <c r="I754" t="s">
        <v>10866</v>
      </c>
      <c r="J754" t="s">
        <v>1348</v>
      </c>
      <c r="K754" t="s">
        <v>74</v>
      </c>
      <c r="L754" t="s">
        <v>74</v>
      </c>
      <c r="M754" t="s">
        <v>1349</v>
      </c>
      <c r="N754" t="s">
        <v>140</v>
      </c>
      <c r="O754" t="s">
        <v>74</v>
      </c>
      <c r="P754" t="s">
        <v>74</v>
      </c>
      <c r="Q754" t="s">
        <v>74</v>
      </c>
      <c r="R754" t="s">
        <v>74</v>
      </c>
      <c r="S754" t="s">
        <v>74</v>
      </c>
      <c r="T754" t="s">
        <v>74</v>
      </c>
      <c r="U754" t="s">
        <v>10867</v>
      </c>
      <c r="V754" t="s">
        <v>74</v>
      </c>
      <c r="W754" t="s">
        <v>10868</v>
      </c>
      <c r="X754" t="s">
        <v>10869</v>
      </c>
      <c r="Y754" t="s">
        <v>10870</v>
      </c>
      <c r="Z754" t="s">
        <v>331</v>
      </c>
      <c r="AA754" t="s">
        <v>10871</v>
      </c>
      <c r="AB754" t="s">
        <v>10872</v>
      </c>
      <c r="AC754" t="s">
        <v>74</v>
      </c>
      <c r="AD754" t="s">
        <v>74</v>
      </c>
      <c r="AE754" t="s">
        <v>74</v>
      </c>
      <c r="AF754" t="s">
        <v>74</v>
      </c>
      <c r="AG754">
        <v>13</v>
      </c>
      <c r="AH754">
        <v>0</v>
      </c>
      <c r="AI754">
        <v>0</v>
      </c>
      <c r="AJ754">
        <v>0</v>
      </c>
      <c r="AK754">
        <v>0</v>
      </c>
      <c r="AL754" t="s">
        <v>1358</v>
      </c>
      <c r="AM754" t="s">
        <v>1359</v>
      </c>
      <c r="AN754" t="s">
        <v>1360</v>
      </c>
      <c r="AO754" t="s">
        <v>1361</v>
      </c>
      <c r="AP754" t="s">
        <v>1362</v>
      </c>
      <c r="AQ754" t="s">
        <v>74</v>
      </c>
      <c r="AR754" t="s">
        <v>1363</v>
      </c>
      <c r="AS754" t="s">
        <v>1364</v>
      </c>
      <c r="AT754" t="s">
        <v>420</v>
      </c>
      <c r="AU754">
        <v>2016</v>
      </c>
      <c r="AV754">
        <v>33</v>
      </c>
      <c r="AW754">
        <v>8</v>
      </c>
      <c r="AX754" t="s">
        <v>74</v>
      </c>
      <c r="AY754" t="s">
        <v>74</v>
      </c>
      <c r="AZ754" t="s">
        <v>74</v>
      </c>
      <c r="BA754" t="s">
        <v>74</v>
      </c>
      <c r="BB754">
        <v>652</v>
      </c>
      <c r="BC754">
        <v>653</v>
      </c>
      <c r="BD754" t="s">
        <v>74</v>
      </c>
      <c r="BE754" t="s">
        <v>10873</v>
      </c>
      <c r="BF754" t="str">
        <f>HYPERLINK("http://dx.doi.org/10.1016/j.rmr.2016.03.008","http://dx.doi.org/10.1016/j.rmr.2016.03.008")</f>
        <v>http://dx.doi.org/10.1016/j.rmr.2016.03.008</v>
      </c>
      <c r="BG754" t="s">
        <v>74</v>
      </c>
      <c r="BH754" t="s">
        <v>74</v>
      </c>
      <c r="BI754">
        <v>2</v>
      </c>
      <c r="BJ754" t="s">
        <v>228</v>
      </c>
      <c r="BK754" t="s">
        <v>101</v>
      </c>
      <c r="BL754" t="s">
        <v>228</v>
      </c>
      <c r="BM754" t="s">
        <v>10874</v>
      </c>
      <c r="BN754">
        <v>27157065</v>
      </c>
      <c r="BO754" t="s">
        <v>74</v>
      </c>
      <c r="BP754" t="s">
        <v>74</v>
      </c>
      <c r="BQ754" t="s">
        <v>74</v>
      </c>
      <c r="BR754" t="s">
        <v>104</v>
      </c>
      <c r="BS754" t="s">
        <v>10875</v>
      </c>
      <c r="BT754" t="str">
        <f>HYPERLINK("https%3A%2F%2Fwww.webofscience.com%2Fwos%2Fwoscc%2Ffull-record%2FWOS:000389136800003","View Full Record in Web of Science")</f>
        <v>View Full Record in Web of Science</v>
      </c>
    </row>
    <row r="755" spans="1:72" x14ac:dyDescent="0.25">
      <c r="A755" t="s">
        <v>72</v>
      </c>
      <c r="B755" t="s">
        <v>10876</v>
      </c>
      <c r="C755" t="s">
        <v>74</v>
      </c>
      <c r="D755" t="s">
        <v>74</v>
      </c>
      <c r="E755" t="s">
        <v>74</v>
      </c>
      <c r="F755" t="s">
        <v>10877</v>
      </c>
      <c r="G755" t="s">
        <v>74</v>
      </c>
      <c r="H755" t="s">
        <v>10878</v>
      </c>
      <c r="I755" t="s">
        <v>10879</v>
      </c>
      <c r="J755" t="s">
        <v>4322</v>
      </c>
      <c r="K755" t="s">
        <v>74</v>
      </c>
      <c r="L755" t="s">
        <v>74</v>
      </c>
      <c r="M755" t="s">
        <v>78</v>
      </c>
      <c r="N755" t="s">
        <v>52</v>
      </c>
      <c r="O755" t="s">
        <v>10880</v>
      </c>
      <c r="P755" t="s">
        <v>10881</v>
      </c>
      <c r="Q755" t="s">
        <v>2005</v>
      </c>
      <c r="R755" t="s">
        <v>10882</v>
      </c>
      <c r="S755" t="s">
        <v>74</v>
      </c>
      <c r="T755" t="s">
        <v>74</v>
      </c>
      <c r="U755" t="s">
        <v>74</v>
      </c>
      <c r="V755" t="s">
        <v>74</v>
      </c>
      <c r="W755" t="s">
        <v>10883</v>
      </c>
      <c r="X755" t="s">
        <v>10884</v>
      </c>
      <c r="Y755" t="s">
        <v>74</v>
      </c>
      <c r="Z755" t="s">
        <v>74</v>
      </c>
      <c r="AA755" t="s">
        <v>10885</v>
      </c>
      <c r="AB755" t="s">
        <v>10886</v>
      </c>
      <c r="AC755" t="s">
        <v>74</v>
      </c>
      <c r="AD755" t="s">
        <v>74</v>
      </c>
      <c r="AE755" t="s">
        <v>74</v>
      </c>
      <c r="AF755" t="s">
        <v>74</v>
      </c>
      <c r="AG755">
        <v>0</v>
      </c>
      <c r="AH755">
        <v>0</v>
      </c>
      <c r="AI755">
        <v>0</v>
      </c>
      <c r="AJ755">
        <v>0</v>
      </c>
      <c r="AK755">
        <v>1</v>
      </c>
      <c r="AL755" t="s">
        <v>169</v>
      </c>
      <c r="AM755" t="s">
        <v>170</v>
      </c>
      <c r="AN755" t="s">
        <v>171</v>
      </c>
      <c r="AO755" t="s">
        <v>4329</v>
      </c>
      <c r="AP755" t="s">
        <v>4330</v>
      </c>
      <c r="AQ755" t="s">
        <v>74</v>
      </c>
      <c r="AR755" t="s">
        <v>4331</v>
      </c>
      <c r="AS755" t="s">
        <v>4332</v>
      </c>
      <c r="AT755" t="s">
        <v>420</v>
      </c>
      <c r="AU755">
        <v>2016</v>
      </c>
      <c r="AV755">
        <v>68</v>
      </c>
      <c r="AW755" t="s">
        <v>74</v>
      </c>
      <c r="AX755" t="s">
        <v>74</v>
      </c>
      <c r="AY755">
        <v>10</v>
      </c>
      <c r="AZ755" t="s">
        <v>74</v>
      </c>
      <c r="BA755">
        <v>1932</v>
      </c>
      <c r="BB755" t="s">
        <v>74</v>
      </c>
      <c r="BC755" t="s">
        <v>74</v>
      </c>
      <c r="BD755" t="s">
        <v>74</v>
      </c>
      <c r="BE755" t="s">
        <v>74</v>
      </c>
      <c r="BF755" t="s">
        <v>74</v>
      </c>
      <c r="BG755" t="s">
        <v>74</v>
      </c>
      <c r="BH755" t="s">
        <v>74</v>
      </c>
      <c r="BI755">
        <v>2</v>
      </c>
      <c r="BJ755" t="s">
        <v>2369</v>
      </c>
      <c r="BK755" t="s">
        <v>512</v>
      </c>
      <c r="BL755" t="s">
        <v>2369</v>
      </c>
      <c r="BM755" t="s">
        <v>10887</v>
      </c>
      <c r="BN755" t="s">
        <v>74</v>
      </c>
      <c r="BO755" t="s">
        <v>74</v>
      </c>
      <c r="BP755" t="s">
        <v>74</v>
      </c>
      <c r="BQ755" t="s">
        <v>74</v>
      </c>
      <c r="BR755" t="s">
        <v>104</v>
      </c>
      <c r="BS755" t="s">
        <v>10888</v>
      </c>
      <c r="BT755" t="str">
        <f>HYPERLINK("https%3A%2F%2Fwww.webofscience.com%2Fwos%2Fwoscc%2Ffull-record%2FWOS:000417143403111","View Full Record in Web of Science")</f>
        <v>View Full Record in Web of Science</v>
      </c>
    </row>
    <row r="756" spans="1:72" x14ac:dyDescent="0.25">
      <c r="A756" t="s">
        <v>72</v>
      </c>
      <c r="B756" t="s">
        <v>10889</v>
      </c>
      <c r="C756" t="s">
        <v>74</v>
      </c>
      <c r="D756" t="s">
        <v>74</v>
      </c>
      <c r="E756" t="s">
        <v>74</v>
      </c>
      <c r="F756" t="s">
        <v>10890</v>
      </c>
      <c r="G756" t="s">
        <v>74</v>
      </c>
      <c r="H756" t="s">
        <v>74</v>
      </c>
      <c r="I756" t="s">
        <v>10891</v>
      </c>
      <c r="J756" t="s">
        <v>10892</v>
      </c>
      <c r="K756" t="s">
        <v>74</v>
      </c>
      <c r="L756" t="s">
        <v>74</v>
      </c>
      <c r="M756" t="s">
        <v>78</v>
      </c>
      <c r="N756" t="s">
        <v>79</v>
      </c>
      <c r="O756" t="s">
        <v>74</v>
      </c>
      <c r="P756" t="s">
        <v>74</v>
      </c>
      <c r="Q756" t="s">
        <v>74</v>
      </c>
      <c r="R756" t="s">
        <v>74</v>
      </c>
      <c r="S756" t="s">
        <v>74</v>
      </c>
      <c r="T756" t="s">
        <v>10893</v>
      </c>
      <c r="U756" t="s">
        <v>10894</v>
      </c>
      <c r="V756" t="s">
        <v>10895</v>
      </c>
      <c r="W756" t="s">
        <v>10896</v>
      </c>
      <c r="X756" t="s">
        <v>10897</v>
      </c>
      <c r="Y756" t="s">
        <v>10898</v>
      </c>
      <c r="Z756" t="s">
        <v>10899</v>
      </c>
      <c r="AA756" t="s">
        <v>10900</v>
      </c>
      <c r="AB756" t="s">
        <v>10901</v>
      </c>
      <c r="AC756" t="s">
        <v>10902</v>
      </c>
      <c r="AD756" t="s">
        <v>10902</v>
      </c>
      <c r="AE756" t="s">
        <v>10903</v>
      </c>
      <c r="AF756" t="s">
        <v>74</v>
      </c>
      <c r="AG756">
        <v>34</v>
      </c>
      <c r="AH756">
        <v>26</v>
      </c>
      <c r="AI756">
        <v>29</v>
      </c>
      <c r="AJ756">
        <v>1</v>
      </c>
      <c r="AK756">
        <v>16</v>
      </c>
      <c r="AL756" t="s">
        <v>10904</v>
      </c>
      <c r="AM756" t="s">
        <v>170</v>
      </c>
      <c r="AN756" t="s">
        <v>171</v>
      </c>
      <c r="AO756" t="s">
        <v>10905</v>
      </c>
      <c r="AP756" t="s">
        <v>10906</v>
      </c>
      <c r="AQ756" t="s">
        <v>74</v>
      </c>
      <c r="AR756" t="s">
        <v>10892</v>
      </c>
      <c r="AS756" t="s">
        <v>10907</v>
      </c>
      <c r="AT756" t="s">
        <v>420</v>
      </c>
      <c r="AU756">
        <v>2016</v>
      </c>
      <c r="AV756">
        <v>16</v>
      </c>
      <c r="AW756">
        <v>20</v>
      </c>
      <c r="AX756" t="s">
        <v>74</v>
      </c>
      <c r="AY756" t="s">
        <v>74</v>
      </c>
      <c r="AZ756" t="s">
        <v>74</v>
      </c>
      <c r="BA756" t="s">
        <v>74</v>
      </c>
      <c r="BB756">
        <v>2637</v>
      </c>
      <c r="BC756">
        <v>2649</v>
      </c>
      <c r="BD756" t="s">
        <v>74</v>
      </c>
      <c r="BE756" t="s">
        <v>10908</v>
      </c>
      <c r="BF756" t="str">
        <f>HYPERLINK("http://dx.doi.org/10.1002/pmic.201500006","http://dx.doi.org/10.1002/pmic.201500006")</f>
        <v>http://dx.doi.org/10.1002/pmic.201500006</v>
      </c>
      <c r="BG756" t="s">
        <v>74</v>
      </c>
      <c r="BH756" t="s">
        <v>74</v>
      </c>
      <c r="BI756">
        <v>13</v>
      </c>
      <c r="BJ756" t="s">
        <v>10909</v>
      </c>
      <c r="BK756" t="s">
        <v>101</v>
      </c>
      <c r="BL756" t="s">
        <v>2660</v>
      </c>
      <c r="BM756" t="s">
        <v>10910</v>
      </c>
      <c r="BN756">
        <v>27458111</v>
      </c>
      <c r="BO756" t="s">
        <v>74</v>
      </c>
      <c r="BP756" t="s">
        <v>74</v>
      </c>
      <c r="BQ756" t="s">
        <v>74</v>
      </c>
      <c r="BR756" t="s">
        <v>104</v>
      </c>
      <c r="BS756" t="s">
        <v>10911</v>
      </c>
      <c r="BT756" t="str">
        <f>HYPERLINK("https%3A%2F%2Fwww.webofscience.com%2Fwos%2Fwoscc%2Ffull-record%2FWOS:000387167700005","View Full Record in Web of Science")</f>
        <v>View Full Record in Web of Science</v>
      </c>
    </row>
    <row r="757" spans="1:72" x14ac:dyDescent="0.25">
      <c r="A757" t="s">
        <v>72</v>
      </c>
      <c r="B757" t="s">
        <v>10912</v>
      </c>
      <c r="C757" t="s">
        <v>74</v>
      </c>
      <c r="D757" t="s">
        <v>74</v>
      </c>
      <c r="E757" t="s">
        <v>74</v>
      </c>
      <c r="F757" t="s">
        <v>10913</v>
      </c>
      <c r="G757" t="s">
        <v>74</v>
      </c>
      <c r="H757" t="s">
        <v>74</v>
      </c>
      <c r="I757" t="s">
        <v>10914</v>
      </c>
      <c r="J757" t="s">
        <v>216</v>
      </c>
      <c r="K757" t="s">
        <v>74</v>
      </c>
      <c r="L757" t="s">
        <v>74</v>
      </c>
      <c r="M757" t="s">
        <v>78</v>
      </c>
      <c r="N757" t="s">
        <v>52</v>
      </c>
      <c r="O757" t="s">
        <v>74</v>
      </c>
      <c r="P757" t="s">
        <v>74</v>
      </c>
      <c r="Q757" t="s">
        <v>74</v>
      </c>
      <c r="R757" t="s">
        <v>74</v>
      </c>
      <c r="S757" t="s">
        <v>74</v>
      </c>
      <c r="T757" t="s">
        <v>10915</v>
      </c>
      <c r="U757" t="s">
        <v>74</v>
      </c>
      <c r="V757" t="s">
        <v>74</v>
      </c>
      <c r="W757" t="s">
        <v>74</v>
      </c>
      <c r="X757" t="s">
        <v>74</v>
      </c>
      <c r="Y757" t="s">
        <v>74</v>
      </c>
      <c r="Z757" t="s">
        <v>74</v>
      </c>
      <c r="AA757" t="s">
        <v>10916</v>
      </c>
      <c r="AB757" t="s">
        <v>5709</v>
      </c>
      <c r="AC757" t="s">
        <v>74</v>
      </c>
      <c r="AD757" t="s">
        <v>74</v>
      </c>
      <c r="AE757" t="s">
        <v>74</v>
      </c>
      <c r="AF757" t="s">
        <v>74</v>
      </c>
      <c r="AG757">
        <v>0</v>
      </c>
      <c r="AH757">
        <v>1</v>
      </c>
      <c r="AI757">
        <v>1</v>
      </c>
      <c r="AJ757">
        <v>0</v>
      </c>
      <c r="AK757">
        <v>0</v>
      </c>
      <c r="AL757" t="s">
        <v>219</v>
      </c>
      <c r="AM757" t="s">
        <v>220</v>
      </c>
      <c r="AN757" t="s">
        <v>221</v>
      </c>
      <c r="AO757" t="s">
        <v>222</v>
      </c>
      <c r="AP757" t="s">
        <v>223</v>
      </c>
      <c r="AQ757" t="s">
        <v>74</v>
      </c>
      <c r="AR757" t="s">
        <v>224</v>
      </c>
      <c r="AS757" t="s">
        <v>225</v>
      </c>
      <c r="AT757" t="s">
        <v>529</v>
      </c>
      <c r="AU757">
        <v>2016</v>
      </c>
      <c r="AV757">
        <v>48</v>
      </c>
      <c r="AW757" t="s">
        <v>74</v>
      </c>
      <c r="AX757" t="s">
        <v>74</v>
      </c>
      <c r="AY757">
        <v>60</v>
      </c>
      <c r="AZ757" t="s">
        <v>74</v>
      </c>
      <c r="BA757" t="s">
        <v>10917</v>
      </c>
      <c r="BB757" t="s">
        <v>74</v>
      </c>
      <c r="BC757" t="s">
        <v>74</v>
      </c>
      <c r="BD757" t="s">
        <v>74</v>
      </c>
      <c r="BE757" t="s">
        <v>10918</v>
      </c>
      <c r="BF757" t="str">
        <f>HYPERLINK("http://dx.doi.org/10.1183/13993003.congress-2016.OA3006","http://dx.doi.org/10.1183/13993003.congress-2016.OA3006")</f>
        <v>http://dx.doi.org/10.1183/13993003.congress-2016.OA3006</v>
      </c>
      <c r="BG757" t="s">
        <v>74</v>
      </c>
      <c r="BH757" t="s">
        <v>74</v>
      </c>
      <c r="BI757">
        <v>2</v>
      </c>
      <c r="BJ757" t="s">
        <v>228</v>
      </c>
      <c r="BK757" t="s">
        <v>101</v>
      </c>
      <c r="BL757" t="s">
        <v>228</v>
      </c>
      <c r="BM757" t="s">
        <v>10919</v>
      </c>
      <c r="BN757" t="s">
        <v>74</v>
      </c>
      <c r="BO757" t="s">
        <v>74</v>
      </c>
      <c r="BP757" t="s">
        <v>74</v>
      </c>
      <c r="BQ757" t="s">
        <v>74</v>
      </c>
      <c r="BR757" t="s">
        <v>104</v>
      </c>
      <c r="BS757" t="s">
        <v>10920</v>
      </c>
      <c r="BT757" t="str">
        <f>HYPERLINK("https%3A%2F%2Fwww.webofscience.com%2Fwos%2Fwoscc%2Ffull-record%2FWOS:000443059700266","View Full Record in Web of Science")</f>
        <v>View Full Record in Web of Science</v>
      </c>
    </row>
    <row r="758" spans="1:72" x14ac:dyDescent="0.25">
      <c r="A758" t="s">
        <v>72</v>
      </c>
      <c r="B758" t="s">
        <v>10921</v>
      </c>
      <c r="C758" t="s">
        <v>74</v>
      </c>
      <c r="D758" t="s">
        <v>74</v>
      </c>
      <c r="E758" t="s">
        <v>74</v>
      </c>
      <c r="F758" t="s">
        <v>10922</v>
      </c>
      <c r="G758" t="s">
        <v>74</v>
      </c>
      <c r="H758" t="s">
        <v>74</v>
      </c>
      <c r="I758" t="s">
        <v>10923</v>
      </c>
      <c r="J758" t="s">
        <v>216</v>
      </c>
      <c r="K758" t="s">
        <v>74</v>
      </c>
      <c r="L758" t="s">
        <v>74</v>
      </c>
      <c r="M758" t="s">
        <v>78</v>
      </c>
      <c r="N758" t="s">
        <v>52</v>
      </c>
      <c r="O758" t="s">
        <v>74</v>
      </c>
      <c r="P758" t="s">
        <v>74</v>
      </c>
      <c r="Q758" t="s">
        <v>74</v>
      </c>
      <c r="R758" t="s">
        <v>74</v>
      </c>
      <c r="S758" t="s">
        <v>74</v>
      </c>
      <c r="T758" t="s">
        <v>10924</v>
      </c>
      <c r="U758" t="s">
        <v>74</v>
      </c>
      <c r="V758" t="s">
        <v>74</v>
      </c>
      <c r="W758" t="s">
        <v>74</v>
      </c>
      <c r="X758" t="s">
        <v>74</v>
      </c>
      <c r="Y758" t="s">
        <v>74</v>
      </c>
      <c r="Z758" t="s">
        <v>74</v>
      </c>
      <c r="AA758" t="s">
        <v>10925</v>
      </c>
      <c r="AB758" t="s">
        <v>5709</v>
      </c>
      <c r="AC758" t="s">
        <v>74</v>
      </c>
      <c r="AD758" t="s">
        <v>74</v>
      </c>
      <c r="AE758" t="s">
        <v>74</v>
      </c>
      <c r="AF758" t="s">
        <v>74</v>
      </c>
      <c r="AG758">
        <v>0</v>
      </c>
      <c r="AH758">
        <v>0</v>
      </c>
      <c r="AI758">
        <v>0</v>
      </c>
      <c r="AJ758">
        <v>0</v>
      </c>
      <c r="AK758">
        <v>0</v>
      </c>
      <c r="AL758" t="s">
        <v>219</v>
      </c>
      <c r="AM758" t="s">
        <v>220</v>
      </c>
      <c r="AN758" t="s">
        <v>221</v>
      </c>
      <c r="AO758" t="s">
        <v>222</v>
      </c>
      <c r="AP758" t="s">
        <v>223</v>
      </c>
      <c r="AQ758" t="s">
        <v>74</v>
      </c>
      <c r="AR758" t="s">
        <v>224</v>
      </c>
      <c r="AS758" t="s">
        <v>225</v>
      </c>
      <c r="AT758" t="s">
        <v>529</v>
      </c>
      <c r="AU758">
        <v>2016</v>
      </c>
      <c r="AV758">
        <v>48</v>
      </c>
      <c r="AW758" t="s">
        <v>74</v>
      </c>
      <c r="AX758" t="s">
        <v>74</v>
      </c>
      <c r="AY758">
        <v>60</v>
      </c>
      <c r="AZ758" t="s">
        <v>74</v>
      </c>
      <c r="BA758" t="s">
        <v>10926</v>
      </c>
      <c r="BB758" t="s">
        <v>74</v>
      </c>
      <c r="BC758" t="s">
        <v>74</v>
      </c>
      <c r="BD758" t="s">
        <v>74</v>
      </c>
      <c r="BE758" t="s">
        <v>10927</v>
      </c>
      <c r="BF758" t="str">
        <f>HYPERLINK("http://dx.doi.org/10.1183/13993003.congress-2016.OA3007","http://dx.doi.org/10.1183/13993003.congress-2016.OA3007")</f>
        <v>http://dx.doi.org/10.1183/13993003.congress-2016.OA3007</v>
      </c>
      <c r="BG758" t="s">
        <v>74</v>
      </c>
      <c r="BH758" t="s">
        <v>74</v>
      </c>
      <c r="BI758">
        <v>2</v>
      </c>
      <c r="BJ758" t="s">
        <v>228</v>
      </c>
      <c r="BK758" t="s">
        <v>101</v>
      </c>
      <c r="BL758" t="s">
        <v>228</v>
      </c>
      <c r="BM758" t="s">
        <v>10919</v>
      </c>
      <c r="BN758" t="s">
        <v>74</v>
      </c>
      <c r="BO758" t="s">
        <v>74</v>
      </c>
      <c r="BP758" t="s">
        <v>74</v>
      </c>
      <c r="BQ758" t="s">
        <v>74</v>
      </c>
      <c r="BR758" t="s">
        <v>104</v>
      </c>
      <c r="BS758" t="s">
        <v>10928</v>
      </c>
      <c r="BT758" t="str">
        <f>HYPERLINK("https%3A%2F%2Fwww.webofscience.com%2Fwos%2Fwoscc%2Ffull-record%2FWOS:000443059700267","View Full Record in Web of Science")</f>
        <v>View Full Record in Web of Science</v>
      </c>
    </row>
    <row r="759" spans="1:72" x14ac:dyDescent="0.25">
      <c r="A759" t="s">
        <v>72</v>
      </c>
      <c r="B759" t="s">
        <v>10929</v>
      </c>
      <c r="C759" t="s">
        <v>74</v>
      </c>
      <c r="D759" t="s">
        <v>74</v>
      </c>
      <c r="E759" t="s">
        <v>74</v>
      </c>
      <c r="F759" t="s">
        <v>10930</v>
      </c>
      <c r="G759" t="s">
        <v>74</v>
      </c>
      <c r="H759" t="s">
        <v>74</v>
      </c>
      <c r="I759" t="s">
        <v>10931</v>
      </c>
      <c r="J759" t="s">
        <v>216</v>
      </c>
      <c r="K759" t="s">
        <v>74</v>
      </c>
      <c r="L759" t="s">
        <v>74</v>
      </c>
      <c r="M759" t="s">
        <v>78</v>
      </c>
      <c r="N759" t="s">
        <v>52</v>
      </c>
      <c r="O759" t="s">
        <v>74</v>
      </c>
      <c r="P759" t="s">
        <v>74</v>
      </c>
      <c r="Q759" t="s">
        <v>74</v>
      </c>
      <c r="R759" t="s">
        <v>74</v>
      </c>
      <c r="S759" t="s">
        <v>74</v>
      </c>
      <c r="T759" t="s">
        <v>10932</v>
      </c>
      <c r="U759" t="s">
        <v>74</v>
      </c>
      <c r="V759" t="s">
        <v>74</v>
      </c>
      <c r="W759" t="s">
        <v>74</v>
      </c>
      <c r="X759" t="s">
        <v>74</v>
      </c>
      <c r="Y759" t="s">
        <v>74</v>
      </c>
      <c r="Z759" t="s">
        <v>74</v>
      </c>
      <c r="AA759" t="s">
        <v>10933</v>
      </c>
      <c r="AB759" t="s">
        <v>2958</v>
      </c>
      <c r="AC759" t="s">
        <v>74</v>
      </c>
      <c r="AD759" t="s">
        <v>74</v>
      </c>
      <c r="AE759" t="s">
        <v>74</v>
      </c>
      <c r="AF759" t="s">
        <v>74</v>
      </c>
      <c r="AG759">
        <v>0</v>
      </c>
      <c r="AH759">
        <v>0</v>
      </c>
      <c r="AI759">
        <v>0</v>
      </c>
      <c r="AJ759">
        <v>0</v>
      </c>
      <c r="AK759">
        <v>1</v>
      </c>
      <c r="AL759" t="s">
        <v>219</v>
      </c>
      <c r="AM759" t="s">
        <v>220</v>
      </c>
      <c r="AN759" t="s">
        <v>221</v>
      </c>
      <c r="AO759" t="s">
        <v>222</v>
      </c>
      <c r="AP759" t="s">
        <v>223</v>
      </c>
      <c r="AQ759" t="s">
        <v>74</v>
      </c>
      <c r="AR759" t="s">
        <v>224</v>
      </c>
      <c r="AS759" t="s">
        <v>225</v>
      </c>
      <c r="AT759" t="s">
        <v>529</v>
      </c>
      <c r="AU759">
        <v>2016</v>
      </c>
      <c r="AV759">
        <v>48</v>
      </c>
      <c r="AW759" t="s">
        <v>74</v>
      </c>
      <c r="AX759" t="s">
        <v>74</v>
      </c>
      <c r="AY759">
        <v>60</v>
      </c>
      <c r="AZ759" t="s">
        <v>74</v>
      </c>
      <c r="BA759" t="s">
        <v>10934</v>
      </c>
      <c r="BB759" t="s">
        <v>74</v>
      </c>
      <c r="BC759" t="s">
        <v>74</v>
      </c>
      <c r="BD759" t="s">
        <v>74</v>
      </c>
      <c r="BE759" t="s">
        <v>10935</v>
      </c>
      <c r="BF759" t="str">
        <f>HYPERLINK("http://dx.doi.org/10.1183/13993003.congress-PA2475","http://dx.doi.org/10.1183/13993003.congress-PA2475")</f>
        <v>http://dx.doi.org/10.1183/13993003.congress-PA2475</v>
      </c>
      <c r="BG759" t="s">
        <v>74</v>
      </c>
      <c r="BH759" t="s">
        <v>74</v>
      </c>
      <c r="BI759">
        <v>2</v>
      </c>
      <c r="BJ759" t="s">
        <v>228</v>
      </c>
      <c r="BK759" t="s">
        <v>101</v>
      </c>
      <c r="BL759" t="s">
        <v>228</v>
      </c>
      <c r="BM759" t="s">
        <v>10919</v>
      </c>
      <c r="BN759" t="s">
        <v>74</v>
      </c>
      <c r="BO759" t="s">
        <v>74</v>
      </c>
      <c r="BP759" t="s">
        <v>74</v>
      </c>
      <c r="BQ759" t="s">
        <v>74</v>
      </c>
      <c r="BR759" t="s">
        <v>104</v>
      </c>
      <c r="BS759" t="s">
        <v>10936</v>
      </c>
      <c r="BT759" t="str">
        <f>HYPERLINK("https%3A%2F%2Fwww.webofscience.com%2Fwos%2Fwoscc%2Ffull-record%2FWOS:000443059703370","View Full Record in Web of Science")</f>
        <v>View Full Record in Web of Science</v>
      </c>
    </row>
    <row r="760" spans="1:72" x14ac:dyDescent="0.25">
      <c r="A760" t="s">
        <v>72</v>
      </c>
      <c r="B760" t="s">
        <v>10937</v>
      </c>
      <c r="C760" t="s">
        <v>74</v>
      </c>
      <c r="D760" t="s">
        <v>74</v>
      </c>
      <c r="E760" t="s">
        <v>74</v>
      </c>
      <c r="F760" t="s">
        <v>10938</v>
      </c>
      <c r="G760" t="s">
        <v>74</v>
      </c>
      <c r="H760" t="s">
        <v>74</v>
      </c>
      <c r="I760" t="s">
        <v>10939</v>
      </c>
      <c r="J760" t="s">
        <v>216</v>
      </c>
      <c r="K760" t="s">
        <v>74</v>
      </c>
      <c r="L760" t="s">
        <v>74</v>
      </c>
      <c r="M760" t="s">
        <v>78</v>
      </c>
      <c r="N760" t="s">
        <v>52</v>
      </c>
      <c r="O760" t="s">
        <v>74</v>
      </c>
      <c r="P760" t="s">
        <v>74</v>
      </c>
      <c r="Q760" t="s">
        <v>74</v>
      </c>
      <c r="R760" t="s">
        <v>74</v>
      </c>
      <c r="S760" t="s">
        <v>74</v>
      </c>
      <c r="T760" t="s">
        <v>10940</v>
      </c>
      <c r="U760" t="s">
        <v>74</v>
      </c>
      <c r="V760" t="s">
        <v>74</v>
      </c>
      <c r="W760" t="s">
        <v>74</v>
      </c>
      <c r="X760" t="s">
        <v>74</v>
      </c>
      <c r="Y760" t="s">
        <v>74</v>
      </c>
      <c r="Z760" t="s">
        <v>74</v>
      </c>
      <c r="AA760" t="s">
        <v>10941</v>
      </c>
      <c r="AB760" t="s">
        <v>1489</v>
      </c>
      <c r="AC760" t="s">
        <v>74</v>
      </c>
      <c r="AD760" t="s">
        <v>74</v>
      </c>
      <c r="AE760" t="s">
        <v>74</v>
      </c>
      <c r="AF760" t="s">
        <v>74</v>
      </c>
      <c r="AG760">
        <v>0</v>
      </c>
      <c r="AH760">
        <v>1</v>
      </c>
      <c r="AI760">
        <v>1</v>
      </c>
      <c r="AJ760">
        <v>0</v>
      </c>
      <c r="AK760">
        <v>1</v>
      </c>
      <c r="AL760" t="s">
        <v>219</v>
      </c>
      <c r="AM760" t="s">
        <v>220</v>
      </c>
      <c r="AN760" t="s">
        <v>221</v>
      </c>
      <c r="AO760" t="s">
        <v>222</v>
      </c>
      <c r="AP760" t="s">
        <v>223</v>
      </c>
      <c r="AQ760" t="s">
        <v>74</v>
      </c>
      <c r="AR760" t="s">
        <v>224</v>
      </c>
      <c r="AS760" t="s">
        <v>225</v>
      </c>
      <c r="AT760" t="s">
        <v>529</v>
      </c>
      <c r="AU760">
        <v>2016</v>
      </c>
      <c r="AV760">
        <v>48</v>
      </c>
      <c r="AW760" t="s">
        <v>74</v>
      </c>
      <c r="AX760" t="s">
        <v>74</v>
      </c>
      <c r="AY760">
        <v>60</v>
      </c>
      <c r="AZ760" t="s">
        <v>74</v>
      </c>
      <c r="BA760" t="s">
        <v>10942</v>
      </c>
      <c r="BB760" t="s">
        <v>74</v>
      </c>
      <c r="BC760" t="s">
        <v>74</v>
      </c>
      <c r="BD760" t="s">
        <v>74</v>
      </c>
      <c r="BE760" t="s">
        <v>10943</v>
      </c>
      <c r="BF760" t="str">
        <f>HYPERLINK("http://dx.doi.org/10.1183/13993003.congress-PA2408","http://dx.doi.org/10.1183/13993003.congress-PA2408")</f>
        <v>http://dx.doi.org/10.1183/13993003.congress-PA2408</v>
      </c>
      <c r="BG760" t="s">
        <v>74</v>
      </c>
      <c r="BH760" t="s">
        <v>74</v>
      </c>
      <c r="BI760">
        <v>2</v>
      </c>
      <c r="BJ760" t="s">
        <v>228</v>
      </c>
      <c r="BK760" t="s">
        <v>101</v>
      </c>
      <c r="BL760" t="s">
        <v>228</v>
      </c>
      <c r="BM760" t="s">
        <v>10919</v>
      </c>
      <c r="BN760" t="s">
        <v>74</v>
      </c>
      <c r="BO760" t="s">
        <v>74</v>
      </c>
      <c r="BP760" t="s">
        <v>74</v>
      </c>
      <c r="BQ760" t="s">
        <v>74</v>
      </c>
      <c r="BR760" t="s">
        <v>104</v>
      </c>
      <c r="BS760" t="s">
        <v>10944</v>
      </c>
      <c r="BT760" t="str">
        <f>HYPERLINK("https%3A%2F%2Fwww.webofscience.com%2Fwos%2Fwoscc%2Ffull-record%2FWOS:000443059703307","View Full Record in Web of Science")</f>
        <v>View Full Record in Web of Science</v>
      </c>
    </row>
    <row r="761" spans="1:72" x14ac:dyDescent="0.25">
      <c r="A761" t="s">
        <v>72</v>
      </c>
      <c r="B761" t="s">
        <v>10945</v>
      </c>
      <c r="C761" t="s">
        <v>74</v>
      </c>
      <c r="D761" t="s">
        <v>74</v>
      </c>
      <c r="E761" t="s">
        <v>74</v>
      </c>
      <c r="F761" t="s">
        <v>10946</v>
      </c>
      <c r="G761" t="s">
        <v>74</v>
      </c>
      <c r="H761" t="s">
        <v>74</v>
      </c>
      <c r="I761" t="s">
        <v>10947</v>
      </c>
      <c r="J761" t="s">
        <v>8916</v>
      </c>
      <c r="K761" t="s">
        <v>74</v>
      </c>
      <c r="L761" t="s">
        <v>74</v>
      </c>
      <c r="M761" t="s">
        <v>78</v>
      </c>
      <c r="N761" t="s">
        <v>79</v>
      </c>
      <c r="O761" t="s">
        <v>74</v>
      </c>
      <c r="P761" t="s">
        <v>74</v>
      </c>
      <c r="Q761" t="s">
        <v>74</v>
      </c>
      <c r="R761" t="s">
        <v>74</v>
      </c>
      <c r="S761" t="s">
        <v>74</v>
      </c>
      <c r="T761" t="s">
        <v>74</v>
      </c>
      <c r="U761" t="s">
        <v>10948</v>
      </c>
      <c r="V761" t="s">
        <v>10949</v>
      </c>
      <c r="W761" t="s">
        <v>10950</v>
      </c>
      <c r="X761" t="s">
        <v>10951</v>
      </c>
      <c r="Y761" t="s">
        <v>10952</v>
      </c>
      <c r="Z761" t="s">
        <v>276</v>
      </c>
      <c r="AA761" t="s">
        <v>10953</v>
      </c>
      <c r="AB761" t="s">
        <v>10954</v>
      </c>
      <c r="AC761" t="s">
        <v>10955</v>
      </c>
      <c r="AD761" t="s">
        <v>10956</v>
      </c>
      <c r="AE761" t="s">
        <v>10957</v>
      </c>
      <c r="AF761" t="s">
        <v>74</v>
      </c>
      <c r="AG761">
        <v>45</v>
      </c>
      <c r="AH761">
        <v>193</v>
      </c>
      <c r="AI761">
        <v>205</v>
      </c>
      <c r="AJ761">
        <v>0</v>
      </c>
      <c r="AK761">
        <v>29</v>
      </c>
      <c r="AL761" t="s">
        <v>7942</v>
      </c>
      <c r="AM761" t="s">
        <v>7943</v>
      </c>
      <c r="AN761" t="s">
        <v>7944</v>
      </c>
      <c r="AO761" t="s">
        <v>8927</v>
      </c>
      <c r="AP761" t="s">
        <v>8928</v>
      </c>
      <c r="AQ761" t="s">
        <v>74</v>
      </c>
      <c r="AR761" t="s">
        <v>8929</v>
      </c>
      <c r="AS761" t="s">
        <v>8930</v>
      </c>
      <c r="AT761" t="s">
        <v>492</v>
      </c>
      <c r="AU761">
        <v>2016</v>
      </c>
      <c r="AV761">
        <v>126</v>
      </c>
      <c r="AW761">
        <v>9</v>
      </c>
      <c r="AX761" t="s">
        <v>74</v>
      </c>
      <c r="AY761" t="s">
        <v>74</v>
      </c>
      <c r="AZ761" t="s">
        <v>74</v>
      </c>
      <c r="BA761" t="s">
        <v>74</v>
      </c>
      <c r="BB761">
        <v>3207</v>
      </c>
      <c r="BC761">
        <v>3218</v>
      </c>
      <c r="BD761" t="s">
        <v>74</v>
      </c>
      <c r="BE761" t="s">
        <v>10958</v>
      </c>
      <c r="BF761" t="str">
        <f>HYPERLINK("http://dx.doi.org/10.1172/JCI86249","http://dx.doi.org/10.1172/JCI86249")</f>
        <v>http://dx.doi.org/10.1172/JCI86249</v>
      </c>
      <c r="BG761" t="s">
        <v>74</v>
      </c>
      <c r="BH761" t="s">
        <v>74</v>
      </c>
      <c r="BI761">
        <v>12</v>
      </c>
      <c r="BJ761" t="s">
        <v>2122</v>
      </c>
      <c r="BK761" t="s">
        <v>101</v>
      </c>
      <c r="BL761" t="s">
        <v>2123</v>
      </c>
      <c r="BM761" t="s">
        <v>10959</v>
      </c>
      <c r="BN761">
        <v>27482885</v>
      </c>
      <c r="BO761" t="s">
        <v>2517</v>
      </c>
      <c r="BP761" t="s">
        <v>74</v>
      </c>
      <c r="BQ761" t="s">
        <v>74</v>
      </c>
      <c r="BR761" t="s">
        <v>104</v>
      </c>
      <c r="BS761" t="s">
        <v>10960</v>
      </c>
      <c r="BT761" t="str">
        <f>HYPERLINK("https%3A%2F%2Fwww.webofscience.com%2Fwos%2Fwoscc%2Ffull-record%2FWOS:000382513400008","View Full Record in Web of Science")</f>
        <v>View Full Record in Web of Science</v>
      </c>
    </row>
    <row r="762" spans="1:72" x14ac:dyDescent="0.25">
      <c r="A762" t="s">
        <v>72</v>
      </c>
      <c r="B762" t="s">
        <v>10961</v>
      </c>
      <c r="C762" t="s">
        <v>74</v>
      </c>
      <c r="D762" t="s">
        <v>74</v>
      </c>
      <c r="E762" t="s">
        <v>74</v>
      </c>
      <c r="F762" t="s">
        <v>10962</v>
      </c>
      <c r="G762" t="s">
        <v>74</v>
      </c>
      <c r="H762" t="s">
        <v>74</v>
      </c>
      <c r="I762" t="s">
        <v>10963</v>
      </c>
      <c r="J762" t="s">
        <v>216</v>
      </c>
      <c r="K762" t="s">
        <v>74</v>
      </c>
      <c r="L762" t="s">
        <v>74</v>
      </c>
      <c r="M762" t="s">
        <v>78</v>
      </c>
      <c r="N762" t="s">
        <v>52</v>
      </c>
      <c r="O762" t="s">
        <v>74</v>
      </c>
      <c r="P762" t="s">
        <v>74</v>
      </c>
      <c r="Q762" t="s">
        <v>74</v>
      </c>
      <c r="R762" t="s">
        <v>74</v>
      </c>
      <c r="S762" t="s">
        <v>74</v>
      </c>
      <c r="T762" t="s">
        <v>10964</v>
      </c>
      <c r="U762" t="s">
        <v>74</v>
      </c>
      <c r="V762" t="s">
        <v>74</v>
      </c>
      <c r="W762" t="s">
        <v>74</v>
      </c>
      <c r="X762" t="s">
        <v>74</v>
      </c>
      <c r="Y762" t="s">
        <v>74</v>
      </c>
      <c r="Z762" t="s">
        <v>74</v>
      </c>
      <c r="AA762" t="s">
        <v>10965</v>
      </c>
      <c r="AB762" t="s">
        <v>5709</v>
      </c>
      <c r="AC762" t="s">
        <v>74</v>
      </c>
      <c r="AD762" t="s">
        <v>74</v>
      </c>
      <c r="AE762" t="s">
        <v>74</v>
      </c>
      <c r="AF762" t="s">
        <v>74</v>
      </c>
      <c r="AG762">
        <v>0</v>
      </c>
      <c r="AH762">
        <v>0</v>
      </c>
      <c r="AI762">
        <v>0</v>
      </c>
      <c r="AJ762">
        <v>0</v>
      </c>
      <c r="AK762">
        <v>2</v>
      </c>
      <c r="AL762" t="s">
        <v>219</v>
      </c>
      <c r="AM762" t="s">
        <v>220</v>
      </c>
      <c r="AN762" t="s">
        <v>221</v>
      </c>
      <c r="AO762" t="s">
        <v>222</v>
      </c>
      <c r="AP762" t="s">
        <v>223</v>
      </c>
      <c r="AQ762" t="s">
        <v>74</v>
      </c>
      <c r="AR762" t="s">
        <v>224</v>
      </c>
      <c r="AS762" t="s">
        <v>225</v>
      </c>
      <c r="AT762" t="s">
        <v>529</v>
      </c>
      <c r="AU762">
        <v>2016</v>
      </c>
      <c r="AV762">
        <v>48</v>
      </c>
      <c r="AW762" t="s">
        <v>74</v>
      </c>
      <c r="AX762" t="s">
        <v>74</v>
      </c>
      <c r="AY762">
        <v>60</v>
      </c>
      <c r="AZ762" t="s">
        <v>74</v>
      </c>
      <c r="BA762" t="s">
        <v>10966</v>
      </c>
      <c r="BB762" t="s">
        <v>74</v>
      </c>
      <c r="BC762" t="s">
        <v>74</v>
      </c>
      <c r="BD762" t="s">
        <v>74</v>
      </c>
      <c r="BE762" t="s">
        <v>10967</v>
      </c>
      <c r="BF762" t="str">
        <f>HYPERLINK("http://dx.doi.org/10.1183/13993003.congress-2016.OA260","http://dx.doi.org/10.1183/13993003.congress-2016.OA260")</f>
        <v>http://dx.doi.org/10.1183/13993003.congress-2016.OA260</v>
      </c>
      <c r="BG762" t="s">
        <v>74</v>
      </c>
      <c r="BH762" t="s">
        <v>74</v>
      </c>
      <c r="BI762">
        <v>2</v>
      </c>
      <c r="BJ762" t="s">
        <v>228</v>
      </c>
      <c r="BK762" t="s">
        <v>101</v>
      </c>
      <c r="BL762" t="s">
        <v>228</v>
      </c>
      <c r="BM762" t="s">
        <v>10919</v>
      </c>
      <c r="BN762" t="s">
        <v>74</v>
      </c>
      <c r="BO762" t="s">
        <v>74</v>
      </c>
      <c r="BP762" t="s">
        <v>74</v>
      </c>
      <c r="BQ762" t="s">
        <v>74</v>
      </c>
      <c r="BR762" t="s">
        <v>104</v>
      </c>
      <c r="BS762" t="s">
        <v>10968</v>
      </c>
      <c r="BT762" t="str">
        <f>HYPERLINK("https%3A%2F%2Fwww.webofscience.com%2Fwos%2Fwoscc%2Ffull-record%2FWOS:000443059700020","View Full Record in Web of Science")</f>
        <v>View Full Record in Web of Science</v>
      </c>
    </row>
    <row r="763" spans="1:72" x14ac:dyDescent="0.25">
      <c r="A763" t="s">
        <v>72</v>
      </c>
      <c r="B763" t="s">
        <v>10969</v>
      </c>
      <c r="C763" t="s">
        <v>74</v>
      </c>
      <c r="D763" t="s">
        <v>74</v>
      </c>
      <c r="E763" t="s">
        <v>74</v>
      </c>
      <c r="F763" t="s">
        <v>10970</v>
      </c>
      <c r="G763" t="s">
        <v>74</v>
      </c>
      <c r="H763" t="s">
        <v>74</v>
      </c>
      <c r="I763" t="s">
        <v>1226</v>
      </c>
      <c r="J763" t="s">
        <v>5959</v>
      </c>
      <c r="K763" t="s">
        <v>74</v>
      </c>
      <c r="L763" t="s">
        <v>74</v>
      </c>
      <c r="M763" t="s">
        <v>78</v>
      </c>
      <c r="N763" t="s">
        <v>140</v>
      </c>
      <c r="O763" t="s">
        <v>74</v>
      </c>
      <c r="P763" t="s">
        <v>74</v>
      </c>
      <c r="Q763" t="s">
        <v>74</v>
      </c>
      <c r="R763" t="s">
        <v>74</v>
      </c>
      <c r="S763" t="s">
        <v>74</v>
      </c>
      <c r="T763" t="s">
        <v>74</v>
      </c>
      <c r="U763" t="s">
        <v>74</v>
      </c>
      <c r="V763" t="s">
        <v>74</v>
      </c>
      <c r="W763" t="s">
        <v>10971</v>
      </c>
      <c r="X763" t="s">
        <v>10972</v>
      </c>
      <c r="Y763" t="s">
        <v>7557</v>
      </c>
      <c r="Z763" t="s">
        <v>377</v>
      </c>
      <c r="AA763" t="s">
        <v>144</v>
      </c>
      <c r="AB763" t="s">
        <v>257</v>
      </c>
      <c r="AC763" t="s">
        <v>74</v>
      </c>
      <c r="AD763" t="s">
        <v>74</v>
      </c>
      <c r="AE763" t="s">
        <v>74</v>
      </c>
      <c r="AF763" t="s">
        <v>74</v>
      </c>
      <c r="AG763">
        <v>1</v>
      </c>
      <c r="AH763">
        <v>2</v>
      </c>
      <c r="AI763">
        <v>2</v>
      </c>
      <c r="AJ763">
        <v>0</v>
      </c>
      <c r="AK763">
        <v>6</v>
      </c>
      <c r="AL763" t="s">
        <v>122</v>
      </c>
      <c r="AM763" t="s">
        <v>123</v>
      </c>
      <c r="AN763" t="s">
        <v>124</v>
      </c>
      <c r="AO763" t="s">
        <v>5967</v>
      </c>
      <c r="AP763" t="s">
        <v>5968</v>
      </c>
      <c r="AQ763" t="s">
        <v>74</v>
      </c>
      <c r="AR763" t="s">
        <v>5969</v>
      </c>
      <c r="AS763" t="s">
        <v>5970</v>
      </c>
      <c r="AT763" t="s">
        <v>492</v>
      </c>
      <c r="AU763">
        <v>2016</v>
      </c>
      <c r="AV763">
        <v>22</v>
      </c>
      <c r="AW763">
        <v>5</v>
      </c>
      <c r="AX763" t="s">
        <v>74</v>
      </c>
      <c r="AY763" t="s">
        <v>74</v>
      </c>
      <c r="AZ763" t="s">
        <v>74</v>
      </c>
      <c r="BA763" t="s">
        <v>74</v>
      </c>
      <c r="BB763">
        <v>399</v>
      </c>
      <c r="BC763">
        <v>399</v>
      </c>
      <c r="BD763" t="s">
        <v>74</v>
      </c>
      <c r="BE763" t="s">
        <v>10973</v>
      </c>
      <c r="BF763" t="str">
        <f>HYPERLINK("http://dx.doi.org/10.1097/MCP.0000000000000309","http://dx.doi.org/10.1097/MCP.0000000000000309")</f>
        <v>http://dx.doi.org/10.1097/MCP.0000000000000309</v>
      </c>
      <c r="BG763" t="s">
        <v>74</v>
      </c>
      <c r="BH763" t="s">
        <v>74</v>
      </c>
      <c r="BI763">
        <v>1</v>
      </c>
      <c r="BJ763" t="s">
        <v>228</v>
      </c>
      <c r="BK763" t="s">
        <v>101</v>
      </c>
      <c r="BL763" t="s">
        <v>228</v>
      </c>
      <c r="BM763" t="s">
        <v>10974</v>
      </c>
      <c r="BN763">
        <v>27428648</v>
      </c>
      <c r="BO763" t="s">
        <v>74</v>
      </c>
      <c r="BP763" t="s">
        <v>74</v>
      </c>
      <c r="BQ763" t="s">
        <v>74</v>
      </c>
      <c r="BR763" t="s">
        <v>104</v>
      </c>
      <c r="BS763" t="s">
        <v>10975</v>
      </c>
      <c r="BT763" t="str">
        <f>HYPERLINK("https%3A%2F%2Fwww.webofscience.com%2Fwos%2Fwoscc%2Ffull-record%2FWOS:000380807100001","View Full Record in Web of Science")</f>
        <v>View Full Record in Web of Science</v>
      </c>
    </row>
    <row r="764" spans="1:72" x14ac:dyDescent="0.25">
      <c r="A764" t="s">
        <v>72</v>
      </c>
      <c r="B764" t="s">
        <v>10976</v>
      </c>
      <c r="C764" t="s">
        <v>74</v>
      </c>
      <c r="D764" t="s">
        <v>74</v>
      </c>
      <c r="E764" t="s">
        <v>74</v>
      </c>
      <c r="F764" t="s">
        <v>10977</v>
      </c>
      <c r="G764" t="s">
        <v>74</v>
      </c>
      <c r="H764" t="s">
        <v>74</v>
      </c>
      <c r="I764" t="s">
        <v>10978</v>
      </c>
      <c r="J764" t="s">
        <v>216</v>
      </c>
      <c r="K764" t="s">
        <v>74</v>
      </c>
      <c r="L764" t="s">
        <v>74</v>
      </c>
      <c r="M764" t="s">
        <v>78</v>
      </c>
      <c r="N764" t="s">
        <v>52</v>
      </c>
      <c r="O764" t="s">
        <v>74</v>
      </c>
      <c r="P764" t="s">
        <v>74</v>
      </c>
      <c r="Q764" t="s">
        <v>74</v>
      </c>
      <c r="R764" t="s">
        <v>74</v>
      </c>
      <c r="S764" t="s">
        <v>74</v>
      </c>
      <c r="T764" t="s">
        <v>10940</v>
      </c>
      <c r="U764" t="s">
        <v>74</v>
      </c>
      <c r="V764" t="s">
        <v>74</v>
      </c>
      <c r="W764" t="s">
        <v>74</v>
      </c>
      <c r="X764" t="s">
        <v>74</v>
      </c>
      <c r="Y764" t="s">
        <v>74</v>
      </c>
      <c r="Z764" t="s">
        <v>74</v>
      </c>
      <c r="AA764" t="s">
        <v>10979</v>
      </c>
      <c r="AB764" t="s">
        <v>74</v>
      </c>
      <c r="AC764" t="s">
        <v>74</v>
      </c>
      <c r="AD764" t="s">
        <v>74</v>
      </c>
      <c r="AE764" t="s">
        <v>74</v>
      </c>
      <c r="AF764" t="s">
        <v>74</v>
      </c>
      <c r="AG764">
        <v>0</v>
      </c>
      <c r="AH764">
        <v>3</v>
      </c>
      <c r="AI764">
        <v>3</v>
      </c>
      <c r="AJ764">
        <v>0</v>
      </c>
      <c r="AK764">
        <v>0</v>
      </c>
      <c r="AL764" t="s">
        <v>219</v>
      </c>
      <c r="AM764" t="s">
        <v>220</v>
      </c>
      <c r="AN764" t="s">
        <v>221</v>
      </c>
      <c r="AO764" t="s">
        <v>222</v>
      </c>
      <c r="AP764" t="s">
        <v>223</v>
      </c>
      <c r="AQ764" t="s">
        <v>74</v>
      </c>
      <c r="AR764" t="s">
        <v>224</v>
      </c>
      <c r="AS764" t="s">
        <v>225</v>
      </c>
      <c r="AT764" t="s">
        <v>529</v>
      </c>
      <c r="AU764">
        <v>2016</v>
      </c>
      <c r="AV764">
        <v>48</v>
      </c>
      <c r="AW764" t="s">
        <v>74</v>
      </c>
      <c r="AX764" t="s">
        <v>74</v>
      </c>
      <c r="AY764">
        <v>60</v>
      </c>
      <c r="AZ764" t="s">
        <v>74</v>
      </c>
      <c r="BA764" t="s">
        <v>10980</v>
      </c>
      <c r="BB764" t="s">
        <v>74</v>
      </c>
      <c r="BC764" t="s">
        <v>74</v>
      </c>
      <c r="BD764" t="s">
        <v>74</v>
      </c>
      <c r="BE764" t="s">
        <v>10981</v>
      </c>
      <c r="BF764" t="str">
        <f>HYPERLINK("http://dx.doi.org/10.1183/13993003.congress-PA2401","http://dx.doi.org/10.1183/13993003.congress-PA2401")</f>
        <v>http://dx.doi.org/10.1183/13993003.congress-PA2401</v>
      </c>
      <c r="BG764" t="s">
        <v>74</v>
      </c>
      <c r="BH764" t="s">
        <v>74</v>
      </c>
      <c r="BI764">
        <v>2</v>
      </c>
      <c r="BJ764" t="s">
        <v>228</v>
      </c>
      <c r="BK764" t="s">
        <v>101</v>
      </c>
      <c r="BL764" t="s">
        <v>228</v>
      </c>
      <c r="BM764" t="s">
        <v>10919</v>
      </c>
      <c r="BN764" t="s">
        <v>74</v>
      </c>
      <c r="BO764" t="s">
        <v>74</v>
      </c>
      <c r="BP764" t="s">
        <v>74</v>
      </c>
      <c r="BQ764" t="s">
        <v>74</v>
      </c>
      <c r="BR764" t="s">
        <v>104</v>
      </c>
      <c r="BS764" t="s">
        <v>10982</v>
      </c>
      <c r="BT764" t="str">
        <f>HYPERLINK("https%3A%2F%2Fwww.webofscience.com%2Fwos%2Fwoscc%2Ffull-record%2FWOS:000443059703300","View Full Record in Web of Science")</f>
        <v>View Full Record in Web of Science</v>
      </c>
    </row>
    <row r="765" spans="1:72" x14ac:dyDescent="0.25">
      <c r="A765" t="s">
        <v>72</v>
      </c>
      <c r="B765" t="s">
        <v>10983</v>
      </c>
      <c r="C765" t="s">
        <v>74</v>
      </c>
      <c r="D765" t="s">
        <v>74</v>
      </c>
      <c r="E765" t="s">
        <v>74</v>
      </c>
      <c r="F765" t="s">
        <v>10984</v>
      </c>
      <c r="G765" t="s">
        <v>74</v>
      </c>
      <c r="H765" t="s">
        <v>74</v>
      </c>
      <c r="I765" t="s">
        <v>10985</v>
      </c>
      <c r="J765" t="s">
        <v>216</v>
      </c>
      <c r="K765" t="s">
        <v>74</v>
      </c>
      <c r="L765" t="s">
        <v>74</v>
      </c>
      <c r="M765" t="s">
        <v>78</v>
      </c>
      <c r="N765" t="s">
        <v>52</v>
      </c>
      <c r="O765" t="s">
        <v>74</v>
      </c>
      <c r="P765" t="s">
        <v>74</v>
      </c>
      <c r="Q765" t="s">
        <v>74</v>
      </c>
      <c r="R765" t="s">
        <v>74</v>
      </c>
      <c r="S765" t="s">
        <v>74</v>
      </c>
      <c r="T765" t="s">
        <v>10986</v>
      </c>
      <c r="U765" t="s">
        <v>74</v>
      </c>
      <c r="V765" t="s">
        <v>74</v>
      </c>
      <c r="W765" t="s">
        <v>74</v>
      </c>
      <c r="X765" t="s">
        <v>74</v>
      </c>
      <c r="Y765" t="s">
        <v>74</v>
      </c>
      <c r="Z765" t="s">
        <v>74</v>
      </c>
      <c r="AA765" t="s">
        <v>10987</v>
      </c>
      <c r="AB765" t="s">
        <v>5709</v>
      </c>
      <c r="AC765" t="s">
        <v>74</v>
      </c>
      <c r="AD765" t="s">
        <v>74</v>
      </c>
      <c r="AE765" t="s">
        <v>74</v>
      </c>
      <c r="AF765" t="s">
        <v>74</v>
      </c>
      <c r="AG765">
        <v>0</v>
      </c>
      <c r="AH765">
        <v>0</v>
      </c>
      <c r="AI765">
        <v>0</v>
      </c>
      <c r="AJ765">
        <v>0</v>
      </c>
      <c r="AK765">
        <v>1</v>
      </c>
      <c r="AL765" t="s">
        <v>219</v>
      </c>
      <c r="AM765" t="s">
        <v>220</v>
      </c>
      <c r="AN765" t="s">
        <v>221</v>
      </c>
      <c r="AO765" t="s">
        <v>222</v>
      </c>
      <c r="AP765" t="s">
        <v>223</v>
      </c>
      <c r="AQ765" t="s">
        <v>74</v>
      </c>
      <c r="AR765" t="s">
        <v>224</v>
      </c>
      <c r="AS765" t="s">
        <v>225</v>
      </c>
      <c r="AT765" t="s">
        <v>529</v>
      </c>
      <c r="AU765">
        <v>2016</v>
      </c>
      <c r="AV765">
        <v>48</v>
      </c>
      <c r="AW765" t="s">
        <v>74</v>
      </c>
      <c r="AX765" t="s">
        <v>74</v>
      </c>
      <c r="AY765">
        <v>60</v>
      </c>
      <c r="AZ765" t="s">
        <v>74</v>
      </c>
      <c r="BA765" t="s">
        <v>10988</v>
      </c>
      <c r="BB765" t="s">
        <v>74</v>
      </c>
      <c r="BC765" t="s">
        <v>74</v>
      </c>
      <c r="BD765" t="s">
        <v>74</v>
      </c>
      <c r="BE765" t="s">
        <v>10989</v>
      </c>
      <c r="BF765" t="str">
        <f>HYPERLINK("http://dx.doi.org/10.1183/13993003.congress-2016.PA5096","http://dx.doi.org/10.1183/13993003.congress-2016.PA5096")</f>
        <v>http://dx.doi.org/10.1183/13993003.congress-2016.PA5096</v>
      </c>
      <c r="BG765" t="s">
        <v>74</v>
      </c>
      <c r="BH765" t="s">
        <v>74</v>
      </c>
      <c r="BI765">
        <v>2</v>
      </c>
      <c r="BJ765" t="s">
        <v>228</v>
      </c>
      <c r="BK765" t="s">
        <v>101</v>
      </c>
      <c r="BL765" t="s">
        <v>228</v>
      </c>
      <c r="BM765" t="s">
        <v>10919</v>
      </c>
      <c r="BN765" t="s">
        <v>74</v>
      </c>
      <c r="BO765" t="s">
        <v>74</v>
      </c>
      <c r="BP765" t="s">
        <v>74</v>
      </c>
      <c r="BQ765" t="s">
        <v>74</v>
      </c>
      <c r="BR765" t="s">
        <v>104</v>
      </c>
      <c r="BS765" t="s">
        <v>10990</v>
      </c>
      <c r="BT765" t="str">
        <f>HYPERLINK("https%3A%2F%2Fwww.webofscience.com%2Fwos%2Fwoscc%2Ffull-record%2FWOS:000443059706344","View Full Record in Web of Science")</f>
        <v>View Full Record in Web of Science</v>
      </c>
    </row>
    <row r="766" spans="1:72" x14ac:dyDescent="0.25">
      <c r="A766" t="s">
        <v>72</v>
      </c>
      <c r="B766" t="s">
        <v>10991</v>
      </c>
      <c r="C766" t="s">
        <v>74</v>
      </c>
      <c r="D766" t="s">
        <v>74</v>
      </c>
      <c r="E766" t="s">
        <v>74</v>
      </c>
      <c r="F766" t="s">
        <v>10992</v>
      </c>
      <c r="G766" t="s">
        <v>74</v>
      </c>
      <c r="H766" t="s">
        <v>74</v>
      </c>
      <c r="I766" t="s">
        <v>10993</v>
      </c>
      <c r="J766" t="s">
        <v>216</v>
      </c>
      <c r="K766" t="s">
        <v>74</v>
      </c>
      <c r="L766" t="s">
        <v>74</v>
      </c>
      <c r="M766" t="s">
        <v>78</v>
      </c>
      <c r="N766" t="s">
        <v>52</v>
      </c>
      <c r="O766" t="s">
        <v>74</v>
      </c>
      <c r="P766" t="s">
        <v>74</v>
      </c>
      <c r="Q766" t="s">
        <v>74</v>
      </c>
      <c r="R766" t="s">
        <v>74</v>
      </c>
      <c r="S766" t="s">
        <v>74</v>
      </c>
      <c r="T766" t="s">
        <v>5821</v>
      </c>
      <c r="U766" t="s">
        <v>74</v>
      </c>
      <c r="V766" t="s">
        <v>74</v>
      </c>
      <c r="W766" t="s">
        <v>74</v>
      </c>
      <c r="X766" t="s">
        <v>74</v>
      </c>
      <c r="Y766" t="s">
        <v>74</v>
      </c>
      <c r="Z766" t="s">
        <v>74</v>
      </c>
      <c r="AA766" t="s">
        <v>10994</v>
      </c>
      <c r="AB766" t="s">
        <v>5709</v>
      </c>
      <c r="AC766" t="s">
        <v>74</v>
      </c>
      <c r="AD766" t="s">
        <v>74</v>
      </c>
      <c r="AE766" t="s">
        <v>74</v>
      </c>
      <c r="AF766" t="s">
        <v>74</v>
      </c>
      <c r="AG766">
        <v>0</v>
      </c>
      <c r="AH766">
        <v>2</v>
      </c>
      <c r="AI766">
        <v>2</v>
      </c>
      <c r="AJ766">
        <v>0</v>
      </c>
      <c r="AK766">
        <v>0</v>
      </c>
      <c r="AL766" t="s">
        <v>219</v>
      </c>
      <c r="AM766" t="s">
        <v>220</v>
      </c>
      <c r="AN766" t="s">
        <v>221</v>
      </c>
      <c r="AO766" t="s">
        <v>222</v>
      </c>
      <c r="AP766" t="s">
        <v>223</v>
      </c>
      <c r="AQ766" t="s">
        <v>74</v>
      </c>
      <c r="AR766" t="s">
        <v>224</v>
      </c>
      <c r="AS766" t="s">
        <v>225</v>
      </c>
      <c r="AT766" t="s">
        <v>529</v>
      </c>
      <c r="AU766">
        <v>2016</v>
      </c>
      <c r="AV766">
        <v>48</v>
      </c>
      <c r="AW766" t="s">
        <v>74</v>
      </c>
      <c r="AX766" t="s">
        <v>74</v>
      </c>
      <c r="AY766">
        <v>60</v>
      </c>
      <c r="AZ766" t="s">
        <v>74</v>
      </c>
      <c r="BA766" t="s">
        <v>10995</v>
      </c>
      <c r="BB766" t="s">
        <v>74</v>
      </c>
      <c r="BC766" t="s">
        <v>74</v>
      </c>
      <c r="BD766" t="s">
        <v>74</v>
      </c>
      <c r="BE766" t="s">
        <v>10996</v>
      </c>
      <c r="BF766" t="str">
        <f>HYPERLINK("http://dx.doi.org/10.1183/13993003.congress-2016.OA257","http://dx.doi.org/10.1183/13993003.congress-2016.OA257")</f>
        <v>http://dx.doi.org/10.1183/13993003.congress-2016.OA257</v>
      </c>
      <c r="BG766" t="s">
        <v>74</v>
      </c>
      <c r="BH766" t="s">
        <v>74</v>
      </c>
      <c r="BI766">
        <v>2</v>
      </c>
      <c r="BJ766" t="s">
        <v>228</v>
      </c>
      <c r="BK766" t="s">
        <v>101</v>
      </c>
      <c r="BL766" t="s">
        <v>228</v>
      </c>
      <c r="BM766" t="s">
        <v>10919</v>
      </c>
      <c r="BN766" t="s">
        <v>74</v>
      </c>
      <c r="BO766" t="s">
        <v>74</v>
      </c>
      <c r="BP766" t="s">
        <v>74</v>
      </c>
      <c r="BQ766" t="s">
        <v>74</v>
      </c>
      <c r="BR766" t="s">
        <v>104</v>
      </c>
      <c r="BS766" t="s">
        <v>10997</v>
      </c>
      <c r="BT766" t="str">
        <f>HYPERLINK("https%3A%2F%2Fwww.webofscience.com%2Fwos%2Fwoscc%2Ffull-record%2FWOS:000443059700017","View Full Record in Web of Science")</f>
        <v>View Full Record in Web of Science</v>
      </c>
    </row>
    <row r="767" spans="1:72" x14ac:dyDescent="0.25">
      <c r="A767" t="s">
        <v>72</v>
      </c>
      <c r="B767" t="s">
        <v>10998</v>
      </c>
      <c r="C767" t="s">
        <v>74</v>
      </c>
      <c r="D767" t="s">
        <v>74</v>
      </c>
      <c r="E767" t="s">
        <v>74</v>
      </c>
      <c r="F767" t="s">
        <v>10999</v>
      </c>
      <c r="G767" t="s">
        <v>74</v>
      </c>
      <c r="H767" t="s">
        <v>74</v>
      </c>
      <c r="I767" t="s">
        <v>11000</v>
      </c>
      <c r="J767" t="s">
        <v>216</v>
      </c>
      <c r="K767" t="s">
        <v>74</v>
      </c>
      <c r="L767" t="s">
        <v>74</v>
      </c>
      <c r="M767" t="s">
        <v>78</v>
      </c>
      <c r="N767" t="s">
        <v>52</v>
      </c>
      <c r="O767" t="s">
        <v>74</v>
      </c>
      <c r="P767" t="s">
        <v>74</v>
      </c>
      <c r="Q767" t="s">
        <v>74</v>
      </c>
      <c r="R767" t="s">
        <v>74</v>
      </c>
      <c r="S767" t="s">
        <v>74</v>
      </c>
      <c r="T767" t="s">
        <v>74</v>
      </c>
      <c r="U767" t="s">
        <v>74</v>
      </c>
      <c r="V767" t="s">
        <v>74</v>
      </c>
      <c r="W767" t="s">
        <v>74</v>
      </c>
      <c r="X767" t="s">
        <v>74</v>
      </c>
      <c r="Y767" t="s">
        <v>74</v>
      </c>
      <c r="Z767" t="s">
        <v>74</v>
      </c>
      <c r="AA767" t="s">
        <v>6813</v>
      </c>
      <c r="AB767" t="s">
        <v>2958</v>
      </c>
      <c r="AC767" t="s">
        <v>74</v>
      </c>
      <c r="AD767" t="s">
        <v>74</v>
      </c>
      <c r="AE767" t="s">
        <v>74</v>
      </c>
      <c r="AF767" t="s">
        <v>74</v>
      </c>
      <c r="AG767">
        <v>0</v>
      </c>
      <c r="AH767">
        <v>0</v>
      </c>
      <c r="AI767">
        <v>0</v>
      </c>
      <c r="AJ767">
        <v>0</v>
      </c>
      <c r="AK767">
        <v>1</v>
      </c>
      <c r="AL767" t="s">
        <v>219</v>
      </c>
      <c r="AM767" t="s">
        <v>220</v>
      </c>
      <c r="AN767" t="s">
        <v>221</v>
      </c>
      <c r="AO767" t="s">
        <v>222</v>
      </c>
      <c r="AP767" t="s">
        <v>223</v>
      </c>
      <c r="AQ767" t="s">
        <v>74</v>
      </c>
      <c r="AR767" t="s">
        <v>224</v>
      </c>
      <c r="AS767" t="s">
        <v>225</v>
      </c>
      <c r="AT767" t="s">
        <v>529</v>
      </c>
      <c r="AU767">
        <v>2016</v>
      </c>
      <c r="AV767">
        <v>48</v>
      </c>
      <c r="AW767" t="s">
        <v>74</v>
      </c>
      <c r="AX767" t="s">
        <v>74</v>
      </c>
      <c r="AY767">
        <v>60</v>
      </c>
      <c r="AZ767" t="s">
        <v>74</v>
      </c>
      <c r="BA767" t="s">
        <v>11001</v>
      </c>
      <c r="BB767" t="s">
        <v>74</v>
      </c>
      <c r="BC767" t="s">
        <v>74</v>
      </c>
      <c r="BD767" t="s">
        <v>74</v>
      </c>
      <c r="BE767" t="s">
        <v>11002</v>
      </c>
      <c r="BF767" t="str">
        <f>HYPERLINK("http://dx.doi.org/10.1183/13993003.congress-2016.PP221","http://dx.doi.org/10.1183/13993003.congress-2016.PP221")</f>
        <v>http://dx.doi.org/10.1183/13993003.congress-2016.PP221</v>
      </c>
      <c r="BG767" t="s">
        <v>74</v>
      </c>
      <c r="BH767" t="s">
        <v>74</v>
      </c>
      <c r="BI767">
        <v>2</v>
      </c>
      <c r="BJ767" t="s">
        <v>228</v>
      </c>
      <c r="BK767" t="s">
        <v>101</v>
      </c>
      <c r="BL767" t="s">
        <v>228</v>
      </c>
      <c r="BM767" t="s">
        <v>10919</v>
      </c>
      <c r="BN767" t="s">
        <v>74</v>
      </c>
      <c r="BO767" t="s">
        <v>74</v>
      </c>
      <c r="BP767" t="s">
        <v>74</v>
      </c>
      <c r="BQ767" t="s">
        <v>74</v>
      </c>
      <c r="BR767" t="s">
        <v>104</v>
      </c>
      <c r="BS767" t="s">
        <v>11003</v>
      </c>
      <c r="BT767" t="str">
        <f>HYPERLINK("https%3A%2F%2Fwww.webofscience.com%2Fwos%2Fwoscc%2Ffull-record%2FWOS:000443059706411","View Full Record in Web of Science")</f>
        <v>View Full Record in Web of Science</v>
      </c>
    </row>
    <row r="768" spans="1:72" x14ac:dyDescent="0.25">
      <c r="A768" t="s">
        <v>72</v>
      </c>
      <c r="B768" t="s">
        <v>11004</v>
      </c>
      <c r="C768" t="s">
        <v>74</v>
      </c>
      <c r="D768" t="s">
        <v>74</v>
      </c>
      <c r="E768" t="s">
        <v>74</v>
      </c>
      <c r="F768" t="s">
        <v>11005</v>
      </c>
      <c r="G768" t="s">
        <v>74</v>
      </c>
      <c r="H768" t="s">
        <v>74</v>
      </c>
      <c r="I768" t="s">
        <v>10947</v>
      </c>
      <c r="J768" t="s">
        <v>216</v>
      </c>
      <c r="K768" t="s">
        <v>74</v>
      </c>
      <c r="L768" t="s">
        <v>74</v>
      </c>
      <c r="M768" t="s">
        <v>78</v>
      </c>
      <c r="N768" t="s">
        <v>52</v>
      </c>
      <c r="O768" t="s">
        <v>74</v>
      </c>
      <c r="P768" t="s">
        <v>74</v>
      </c>
      <c r="Q768" t="s">
        <v>74</v>
      </c>
      <c r="R768" t="s">
        <v>74</v>
      </c>
      <c r="S768" t="s">
        <v>74</v>
      </c>
      <c r="T768" t="s">
        <v>11006</v>
      </c>
      <c r="U768" t="s">
        <v>74</v>
      </c>
      <c r="V768" t="s">
        <v>74</v>
      </c>
      <c r="W768" t="s">
        <v>74</v>
      </c>
      <c r="X768" t="s">
        <v>74</v>
      </c>
      <c r="Y768" t="s">
        <v>74</v>
      </c>
      <c r="Z768" t="s">
        <v>74</v>
      </c>
      <c r="AA768" t="s">
        <v>11007</v>
      </c>
      <c r="AB768" t="s">
        <v>74</v>
      </c>
      <c r="AC768" t="s">
        <v>74</v>
      </c>
      <c r="AD768" t="s">
        <v>74</v>
      </c>
      <c r="AE768" t="s">
        <v>74</v>
      </c>
      <c r="AF768" t="s">
        <v>74</v>
      </c>
      <c r="AG768">
        <v>0</v>
      </c>
      <c r="AH768">
        <v>1</v>
      </c>
      <c r="AI768">
        <v>1</v>
      </c>
      <c r="AJ768">
        <v>0</v>
      </c>
      <c r="AK768">
        <v>3</v>
      </c>
      <c r="AL768" t="s">
        <v>219</v>
      </c>
      <c r="AM768" t="s">
        <v>220</v>
      </c>
      <c r="AN768" t="s">
        <v>221</v>
      </c>
      <c r="AO768" t="s">
        <v>222</v>
      </c>
      <c r="AP768" t="s">
        <v>223</v>
      </c>
      <c r="AQ768" t="s">
        <v>74</v>
      </c>
      <c r="AR768" t="s">
        <v>224</v>
      </c>
      <c r="AS768" t="s">
        <v>225</v>
      </c>
      <c r="AT768" t="s">
        <v>529</v>
      </c>
      <c r="AU768">
        <v>2016</v>
      </c>
      <c r="AV768">
        <v>48</v>
      </c>
      <c r="AW768" t="s">
        <v>74</v>
      </c>
      <c r="AX768" t="s">
        <v>74</v>
      </c>
      <c r="AY768">
        <v>60</v>
      </c>
      <c r="AZ768" t="s">
        <v>74</v>
      </c>
      <c r="BA768" t="s">
        <v>11008</v>
      </c>
      <c r="BB768" t="s">
        <v>74</v>
      </c>
      <c r="BC768" t="s">
        <v>74</v>
      </c>
      <c r="BD768" t="s">
        <v>74</v>
      </c>
      <c r="BE768" t="s">
        <v>11009</v>
      </c>
      <c r="BF768" t="str">
        <f>HYPERLINK("http://dx.doi.org/10.1183/13993003.congress-2016.OA262","http://dx.doi.org/10.1183/13993003.congress-2016.OA262")</f>
        <v>http://dx.doi.org/10.1183/13993003.congress-2016.OA262</v>
      </c>
      <c r="BG768" t="s">
        <v>74</v>
      </c>
      <c r="BH768" t="s">
        <v>74</v>
      </c>
      <c r="BI768">
        <v>1</v>
      </c>
      <c r="BJ768" t="s">
        <v>228</v>
      </c>
      <c r="BK768" t="s">
        <v>101</v>
      </c>
      <c r="BL768" t="s">
        <v>228</v>
      </c>
      <c r="BM768" t="s">
        <v>10919</v>
      </c>
      <c r="BN768" t="s">
        <v>74</v>
      </c>
      <c r="BO768" t="s">
        <v>74</v>
      </c>
      <c r="BP768" t="s">
        <v>74</v>
      </c>
      <c r="BQ768" t="s">
        <v>74</v>
      </c>
      <c r="BR768" t="s">
        <v>104</v>
      </c>
      <c r="BS768" t="s">
        <v>11010</v>
      </c>
      <c r="BT768" t="str">
        <f>HYPERLINK("https%3A%2F%2Fwww.webofscience.com%2Fwos%2Fwoscc%2Ffull-record%2FWOS:000443059700022","View Full Record in Web of Science")</f>
        <v>View Full Record in Web of Science</v>
      </c>
    </row>
    <row r="769" spans="1:72" x14ac:dyDescent="0.25">
      <c r="A769" t="s">
        <v>72</v>
      </c>
      <c r="B769" t="s">
        <v>11011</v>
      </c>
      <c r="C769" t="s">
        <v>74</v>
      </c>
      <c r="D769" t="s">
        <v>74</v>
      </c>
      <c r="E769" t="s">
        <v>74</v>
      </c>
      <c r="F769" t="s">
        <v>11012</v>
      </c>
      <c r="G769" t="s">
        <v>74</v>
      </c>
      <c r="H769" t="s">
        <v>74</v>
      </c>
      <c r="I769" t="s">
        <v>11013</v>
      </c>
      <c r="J769" t="s">
        <v>216</v>
      </c>
      <c r="K769" t="s">
        <v>74</v>
      </c>
      <c r="L769" t="s">
        <v>74</v>
      </c>
      <c r="M769" t="s">
        <v>78</v>
      </c>
      <c r="N769" t="s">
        <v>52</v>
      </c>
      <c r="O769" t="s">
        <v>74</v>
      </c>
      <c r="P769" t="s">
        <v>74</v>
      </c>
      <c r="Q769" t="s">
        <v>74</v>
      </c>
      <c r="R769" t="s">
        <v>74</v>
      </c>
      <c r="S769" t="s">
        <v>74</v>
      </c>
      <c r="T769" t="s">
        <v>11014</v>
      </c>
      <c r="U769" t="s">
        <v>74</v>
      </c>
      <c r="V769" t="s">
        <v>74</v>
      </c>
      <c r="W769" t="s">
        <v>74</v>
      </c>
      <c r="X769" t="s">
        <v>74</v>
      </c>
      <c r="Y769" t="s">
        <v>74</v>
      </c>
      <c r="Z769" t="s">
        <v>74</v>
      </c>
      <c r="AA769" t="s">
        <v>11015</v>
      </c>
      <c r="AB769" t="s">
        <v>11016</v>
      </c>
      <c r="AC769" t="s">
        <v>74</v>
      </c>
      <c r="AD769" t="s">
        <v>74</v>
      </c>
      <c r="AE769" t="s">
        <v>74</v>
      </c>
      <c r="AF769" t="s">
        <v>74</v>
      </c>
      <c r="AG769">
        <v>0</v>
      </c>
      <c r="AH769">
        <v>0</v>
      </c>
      <c r="AI769">
        <v>0</v>
      </c>
      <c r="AJ769">
        <v>0</v>
      </c>
      <c r="AK769">
        <v>0</v>
      </c>
      <c r="AL769" t="s">
        <v>219</v>
      </c>
      <c r="AM769" t="s">
        <v>220</v>
      </c>
      <c r="AN769" t="s">
        <v>221</v>
      </c>
      <c r="AO769" t="s">
        <v>222</v>
      </c>
      <c r="AP769" t="s">
        <v>223</v>
      </c>
      <c r="AQ769" t="s">
        <v>74</v>
      </c>
      <c r="AR769" t="s">
        <v>224</v>
      </c>
      <c r="AS769" t="s">
        <v>225</v>
      </c>
      <c r="AT769" t="s">
        <v>529</v>
      </c>
      <c r="AU769">
        <v>2016</v>
      </c>
      <c r="AV769">
        <v>48</v>
      </c>
      <c r="AW769" t="s">
        <v>74</v>
      </c>
      <c r="AX769" t="s">
        <v>74</v>
      </c>
      <c r="AY769">
        <v>60</v>
      </c>
      <c r="AZ769" t="s">
        <v>74</v>
      </c>
      <c r="BA769" t="s">
        <v>11017</v>
      </c>
      <c r="BB769" t="s">
        <v>74</v>
      </c>
      <c r="BC769" t="s">
        <v>74</v>
      </c>
      <c r="BD769" t="s">
        <v>74</v>
      </c>
      <c r="BE769" t="s">
        <v>11018</v>
      </c>
      <c r="BF769" t="str">
        <f>HYPERLINK("http://dx.doi.org/10.1183/13993003.congress-2016.PA5094","http://dx.doi.org/10.1183/13993003.congress-2016.PA5094")</f>
        <v>http://dx.doi.org/10.1183/13993003.congress-2016.PA5094</v>
      </c>
      <c r="BG769" t="s">
        <v>74</v>
      </c>
      <c r="BH769" t="s">
        <v>74</v>
      </c>
      <c r="BI769">
        <v>2</v>
      </c>
      <c r="BJ769" t="s">
        <v>228</v>
      </c>
      <c r="BK769" t="s">
        <v>101</v>
      </c>
      <c r="BL769" t="s">
        <v>228</v>
      </c>
      <c r="BM769" t="s">
        <v>10919</v>
      </c>
      <c r="BN769" t="s">
        <v>74</v>
      </c>
      <c r="BO769" t="s">
        <v>74</v>
      </c>
      <c r="BP769" t="s">
        <v>74</v>
      </c>
      <c r="BQ769" t="s">
        <v>74</v>
      </c>
      <c r="BR769" t="s">
        <v>104</v>
      </c>
      <c r="BS769" t="s">
        <v>11019</v>
      </c>
      <c r="BT769" t="str">
        <f>HYPERLINK("https%3A%2F%2Fwww.webofscience.com%2Fwos%2Fwoscc%2Ffull-record%2FWOS:000443059706342","View Full Record in Web of Science")</f>
        <v>View Full Record in Web of Science</v>
      </c>
    </row>
    <row r="770" spans="1:72" x14ac:dyDescent="0.25">
      <c r="A770" t="s">
        <v>72</v>
      </c>
      <c r="B770" t="s">
        <v>11020</v>
      </c>
      <c r="C770" t="s">
        <v>74</v>
      </c>
      <c r="D770" t="s">
        <v>74</v>
      </c>
      <c r="E770" t="s">
        <v>74</v>
      </c>
      <c r="F770" t="s">
        <v>11021</v>
      </c>
      <c r="G770" t="s">
        <v>74</v>
      </c>
      <c r="H770" t="s">
        <v>74</v>
      </c>
      <c r="I770" t="s">
        <v>11022</v>
      </c>
      <c r="J770" t="s">
        <v>216</v>
      </c>
      <c r="K770" t="s">
        <v>74</v>
      </c>
      <c r="L770" t="s">
        <v>74</v>
      </c>
      <c r="M770" t="s">
        <v>78</v>
      </c>
      <c r="N770" t="s">
        <v>52</v>
      </c>
      <c r="O770" t="s">
        <v>74</v>
      </c>
      <c r="P770" t="s">
        <v>74</v>
      </c>
      <c r="Q770" t="s">
        <v>74</v>
      </c>
      <c r="R770" t="s">
        <v>74</v>
      </c>
      <c r="S770" t="s">
        <v>74</v>
      </c>
      <c r="T770" t="s">
        <v>11023</v>
      </c>
      <c r="U770" t="s">
        <v>74</v>
      </c>
      <c r="V770" t="s">
        <v>74</v>
      </c>
      <c r="W770" t="s">
        <v>74</v>
      </c>
      <c r="X770" t="s">
        <v>74</v>
      </c>
      <c r="Y770" t="s">
        <v>74</v>
      </c>
      <c r="Z770" t="s">
        <v>74</v>
      </c>
      <c r="AA770" t="s">
        <v>11024</v>
      </c>
      <c r="AB770" t="s">
        <v>5709</v>
      </c>
      <c r="AC770" t="s">
        <v>74</v>
      </c>
      <c r="AD770" t="s">
        <v>74</v>
      </c>
      <c r="AE770" t="s">
        <v>74</v>
      </c>
      <c r="AF770" t="s">
        <v>74</v>
      </c>
      <c r="AG770">
        <v>0</v>
      </c>
      <c r="AH770">
        <v>0</v>
      </c>
      <c r="AI770">
        <v>0</v>
      </c>
      <c r="AJ770">
        <v>0</v>
      </c>
      <c r="AK770">
        <v>0</v>
      </c>
      <c r="AL770" t="s">
        <v>219</v>
      </c>
      <c r="AM770" t="s">
        <v>220</v>
      </c>
      <c r="AN770" t="s">
        <v>221</v>
      </c>
      <c r="AO770" t="s">
        <v>222</v>
      </c>
      <c r="AP770" t="s">
        <v>223</v>
      </c>
      <c r="AQ770" t="s">
        <v>74</v>
      </c>
      <c r="AR770" t="s">
        <v>224</v>
      </c>
      <c r="AS770" t="s">
        <v>225</v>
      </c>
      <c r="AT770" t="s">
        <v>529</v>
      </c>
      <c r="AU770">
        <v>2016</v>
      </c>
      <c r="AV770">
        <v>48</v>
      </c>
      <c r="AW770" t="s">
        <v>74</v>
      </c>
      <c r="AX770" t="s">
        <v>74</v>
      </c>
      <c r="AY770">
        <v>60</v>
      </c>
      <c r="AZ770" t="s">
        <v>74</v>
      </c>
      <c r="BA770" t="s">
        <v>11025</v>
      </c>
      <c r="BB770" t="s">
        <v>74</v>
      </c>
      <c r="BC770" t="s">
        <v>74</v>
      </c>
      <c r="BD770" t="s">
        <v>74</v>
      </c>
      <c r="BE770" t="s">
        <v>11026</v>
      </c>
      <c r="BF770" t="str">
        <f>HYPERLINK("http://dx.doi.org/10.1183/13993003.congress-2016.OA259","http://dx.doi.org/10.1183/13993003.congress-2016.OA259")</f>
        <v>http://dx.doi.org/10.1183/13993003.congress-2016.OA259</v>
      </c>
      <c r="BG770" t="s">
        <v>74</v>
      </c>
      <c r="BH770" t="s">
        <v>74</v>
      </c>
      <c r="BI770">
        <v>2</v>
      </c>
      <c r="BJ770" t="s">
        <v>228</v>
      </c>
      <c r="BK770" t="s">
        <v>101</v>
      </c>
      <c r="BL770" t="s">
        <v>228</v>
      </c>
      <c r="BM770" t="s">
        <v>10919</v>
      </c>
      <c r="BN770" t="s">
        <v>74</v>
      </c>
      <c r="BO770" t="s">
        <v>74</v>
      </c>
      <c r="BP770" t="s">
        <v>74</v>
      </c>
      <c r="BQ770" t="s">
        <v>74</v>
      </c>
      <c r="BR770" t="s">
        <v>104</v>
      </c>
      <c r="BS770" t="s">
        <v>11027</v>
      </c>
      <c r="BT770" t="str">
        <f>HYPERLINK("https%3A%2F%2Fwww.webofscience.com%2Fwos%2Fwoscc%2Ffull-record%2FWOS:000443059700019","View Full Record in Web of Science")</f>
        <v>View Full Record in Web of Science</v>
      </c>
    </row>
    <row r="771" spans="1:72" x14ac:dyDescent="0.25">
      <c r="A771" t="s">
        <v>72</v>
      </c>
      <c r="B771" t="s">
        <v>11028</v>
      </c>
      <c r="C771" t="s">
        <v>74</v>
      </c>
      <c r="D771" t="s">
        <v>74</v>
      </c>
      <c r="E771" t="s">
        <v>74</v>
      </c>
      <c r="F771" t="s">
        <v>11029</v>
      </c>
      <c r="G771" t="s">
        <v>74</v>
      </c>
      <c r="H771" t="s">
        <v>74</v>
      </c>
      <c r="I771" t="s">
        <v>11030</v>
      </c>
      <c r="J771" t="s">
        <v>11031</v>
      </c>
      <c r="K771" t="s">
        <v>74</v>
      </c>
      <c r="L771" t="s">
        <v>74</v>
      </c>
      <c r="M771" t="s">
        <v>78</v>
      </c>
      <c r="N771" t="s">
        <v>79</v>
      </c>
      <c r="O771" t="s">
        <v>74</v>
      </c>
      <c r="P771" t="s">
        <v>74</v>
      </c>
      <c r="Q771" t="s">
        <v>74</v>
      </c>
      <c r="R771" t="s">
        <v>74</v>
      </c>
      <c r="S771" t="s">
        <v>74</v>
      </c>
      <c r="T771" t="s">
        <v>11032</v>
      </c>
      <c r="U771" t="s">
        <v>11033</v>
      </c>
      <c r="V771" t="s">
        <v>11034</v>
      </c>
      <c r="W771" t="s">
        <v>11035</v>
      </c>
      <c r="X771" t="s">
        <v>11036</v>
      </c>
      <c r="Y771" t="s">
        <v>11037</v>
      </c>
      <c r="Z771" t="s">
        <v>6542</v>
      </c>
      <c r="AA771" t="s">
        <v>11038</v>
      </c>
      <c r="AB771" t="s">
        <v>11039</v>
      </c>
      <c r="AC771" t="s">
        <v>74</v>
      </c>
      <c r="AD771" t="s">
        <v>74</v>
      </c>
      <c r="AE771" t="s">
        <v>74</v>
      </c>
      <c r="AF771" t="s">
        <v>74</v>
      </c>
      <c r="AG771">
        <v>38</v>
      </c>
      <c r="AH771">
        <v>44</v>
      </c>
      <c r="AI771">
        <v>45</v>
      </c>
      <c r="AJ771">
        <v>0</v>
      </c>
      <c r="AK771">
        <v>9</v>
      </c>
      <c r="AL771" t="s">
        <v>122</v>
      </c>
      <c r="AM771" t="s">
        <v>123</v>
      </c>
      <c r="AN771" t="s">
        <v>124</v>
      </c>
      <c r="AO771" t="s">
        <v>11040</v>
      </c>
      <c r="AP771" t="s">
        <v>11041</v>
      </c>
      <c r="AQ771" t="s">
        <v>74</v>
      </c>
      <c r="AR771" t="s">
        <v>11031</v>
      </c>
      <c r="AS771" t="s">
        <v>11042</v>
      </c>
      <c r="AT771" t="s">
        <v>492</v>
      </c>
      <c r="AU771">
        <v>2016</v>
      </c>
      <c r="AV771">
        <v>95</v>
      </c>
      <c r="AW771">
        <v>39</v>
      </c>
      <c r="AX771" t="s">
        <v>74</v>
      </c>
      <c r="AY771" t="s">
        <v>74</v>
      </c>
      <c r="AZ771" t="s">
        <v>74</v>
      </c>
      <c r="BA771" t="s">
        <v>74</v>
      </c>
      <c r="BB771" t="s">
        <v>74</v>
      </c>
      <c r="BC771" t="s">
        <v>74</v>
      </c>
      <c r="BD771" t="s">
        <v>11043</v>
      </c>
      <c r="BE771" t="s">
        <v>11044</v>
      </c>
      <c r="BF771" t="str">
        <f>HYPERLINK("http://dx.doi.org/10.1097/MD.0000000000004911","http://dx.doi.org/10.1097/MD.0000000000004911")</f>
        <v>http://dx.doi.org/10.1097/MD.0000000000004911</v>
      </c>
      <c r="BG771" t="s">
        <v>74</v>
      </c>
      <c r="BH771" t="s">
        <v>74</v>
      </c>
      <c r="BI771">
        <v>11</v>
      </c>
      <c r="BJ771" t="s">
        <v>1152</v>
      </c>
      <c r="BK771" t="s">
        <v>101</v>
      </c>
      <c r="BL771" t="s">
        <v>1153</v>
      </c>
      <c r="BM771" t="s">
        <v>11045</v>
      </c>
      <c r="BN771">
        <v>27684828</v>
      </c>
      <c r="BO771" t="s">
        <v>1665</v>
      </c>
      <c r="BP771" t="s">
        <v>74</v>
      </c>
      <c r="BQ771" t="s">
        <v>74</v>
      </c>
      <c r="BR771" t="s">
        <v>104</v>
      </c>
      <c r="BS771" t="s">
        <v>11046</v>
      </c>
      <c r="BT771" t="str">
        <f>HYPERLINK("https%3A%2F%2Fwww.webofscience.com%2Fwos%2Fwoscc%2Ffull-record%2FWOS:000385541400038","View Full Record in Web of Science")</f>
        <v>View Full Record in Web of Science</v>
      </c>
    </row>
    <row r="772" spans="1:72" x14ac:dyDescent="0.25">
      <c r="A772" t="s">
        <v>72</v>
      </c>
      <c r="B772" t="s">
        <v>11047</v>
      </c>
      <c r="C772" t="s">
        <v>74</v>
      </c>
      <c r="D772" t="s">
        <v>74</v>
      </c>
      <c r="E772" t="s">
        <v>74</v>
      </c>
      <c r="F772" t="s">
        <v>11048</v>
      </c>
      <c r="G772" t="s">
        <v>74</v>
      </c>
      <c r="H772" t="s">
        <v>74</v>
      </c>
      <c r="I772" t="s">
        <v>11049</v>
      </c>
      <c r="J772" t="s">
        <v>5959</v>
      </c>
      <c r="K772" t="s">
        <v>74</v>
      </c>
      <c r="L772" t="s">
        <v>74</v>
      </c>
      <c r="M772" t="s">
        <v>78</v>
      </c>
      <c r="N772" t="s">
        <v>299</v>
      </c>
      <c r="O772" t="s">
        <v>74</v>
      </c>
      <c r="P772" t="s">
        <v>74</v>
      </c>
      <c r="Q772" t="s">
        <v>74</v>
      </c>
      <c r="R772" t="s">
        <v>74</v>
      </c>
      <c r="S772" t="s">
        <v>74</v>
      </c>
      <c r="T772" t="s">
        <v>11050</v>
      </c>
      <c r="U772" t="s">
        <v>11051</v>
      </c>
      <c r="V772" t="s">
        <v>11052</v>
      </c>
      <c r="W772" t="s">
        <v>11053</v>
      </c>
      <c r="X772" t="s">
        <v>11054</v>
      </c>
      <c r="Y772" t="s">
        <v>11055</v>
      </c>
      <c r="Z772" t="s">
        <v>9405</v>
      </c>
      <c r="AA772" t="s">
        <v>11056</v>
      </c>
      <c r="AB772" t="s">
        <v>11057</v>
      </c>
      <c r="AC772" t="s">
        <v>74</v>
      </c>
      <c r="AD772" t="s">
        <v>74</v>
      </c>
      <c r="AE772" t="s">
        <v>74</v>
      </c>
      <c r="AF772" t="s">
        <v>74</v>
      </c>
      <c r="AG772">
        <v>30</v>
      </c>
      <c r="AH772">
        <v>25</v>
      </c>
      <c r="AI772">
        <v>26</v>
      </c>
      <c r="AJ772">
        <v>0</v>
      </c>
      <c r="AK772">
        <v>10</v>
      </c>
      <c r="AL772" t="s">
        <v>122</v>
      </c>
      <c r="AM772" t="s">
        <v>123</v>
      </c>
      <c r="AN772" t="s">
        <v>124</v>
      </c>
      <c r="AO772" t="s">
        <v>5967</v>
      </c>
      <c r="AP772" t="s">
        <v>5968</v>
      </c>
      <c r="AQ772" t="s">
        <v>74</v>
      </c>
      <c r="AR772" t="s">
        <v>5969</v>
      </c>
      <c r="AS772" t="s">
        <v>5970</v>
      </c>
      <c r="AT772" t="s">
        <v>492</v>
      </c>
      <c r="AU772">
        <v>2016</v>
      </c>
      <c r="AV772">
        <v>22</v>
      </c>
      <c r="AW772">
        <v>5</v>
      </c>
      <c r="AX772" t="s">
        <v>74</v>
      </c>
      <c r="AY772" t="s">
        <v>74</v>
      </c>
      <c r="AZ772" t="s">
        <v>74</v>
      </c>
      <c r="BA772" t="s">
        <v>74</v>
      </c>
      <c r="BB772">
        <v>415</v>
      </c>
      <c r="BC772">
        <v>420</v>
      </c>
      <c r="BD772" t="s">
        <v>74</v>
      </c>
      <c r="BE772" t="s">
        <v>11058</v>
      </c>
      <c r="BF772" t="str">
        <f>HYPERLINK("http://dx.doi.org/10.1097/MCP.0000000000000307","http://dx.doi.org/10.1097/MCP.0000000000000307")</f>
        <v>http://dx.doi.org/10.1097/MCP.0000000000000307</v>
      </c>
      <c r="BG772" t="s">
        <v>74</v>
      </c>
      <c r="BH772" t="s">
        <v>74</v>
      </c>
      <c r="BI772">
        <v>6</v>
      </c>
      <c r="BJ772" t="s">
        <v>228</v>
      </c>
      <c r="BK772" t="s">
        <v>101</v>
      </c>
      <c r="BL772" t="s">
        <v>228</v>
      </c>
      <c r="BM772" t="s">
        <v>10974</v>
      </c>
      <c r="BN772">
        <v>27387101</v>
      </c>
      <c r="BO772" t="s">
        <v>74</v>
      </c>
      <c r="BP772" t="s">
        <v>74</v>
      </c>
      <c r="BQ772" t="s">
        <v>74</v>
      </c>
      <c r="BR772" t="s">
        <v>104</v>
      </c>
      <c r="BS772" t="s">
        <v>11059</v>
      </c>
      <c r="BT772" t="str">
        <f>HYPERLINK("https%3A%2F%2Fwww.webofscience.com%2Fwos%2Fwoscc%2Ffull-record%2FWOS:000380807100004","View Full Record in Web of Science")</f>
        <v>View Full Record in Web of Science</v>
      </c>
    </row>
    <row r="773" spans="1:72" x14ac:dyDescent="0.25">
      <c r="A773" t="s">
        <v>72</v>
      </c>
      <c r="B773" t="s">
        <v>11060</v>
      </c>
      <c r="C773" t="s">
        <v>74</v>
      </c>
      <c r="D773" t="s">
        <v>74</v>
      </c>
      <c r="E773" t="s">
        <v>74</v>
      </c>
      <c r="F773" t="s">
        <v>11061</v>
      </c>
      <c r="G773" t="s">
        <v>74</v>
      </c>
      <c r="H773" t="s">
        <v>74</v>
      </c>
      <c r="I773" t="s">
        <v>11062</v>
      </c>
      <c r="J773" t="s">
        <v>216</v>
      </c>
      <c r="K773" t="s">
        <v>74</v>
      </c>
      <c r="L773" t="s">
        <v>74</v>
      </c>
      <c r="M773" t="s">
        <v>78</v>
      </c>
      <c r="N773" t="s">
        <v>52</v>
      </c>
      <c r="O773" t="s">
        <v>74</v>
      </c>
      <c r="P773" t="s">
        <v>74</v>
      </c>
      <c r="Q773" t="s">
        <v>74</v>
      </c>
      <c r="R773" t="s">
        <v>74</v>
      </c>
      <c r="S773" t="s">
        <v>74</v>
      </c>
      <c r="T773" t="s">
        <v>11063</v>
      </c>
      <c r="U773" t="s">
        <v>74</v>
      </c>
      <c r="V773" t="s">
        <v>74</v>
      </c>
      <c r="W773" t="s">
        <v>74</v>
      </c>
      <c r="X773" t="s">
        <v>74</v>
      </c>
      <c r="Y773" t="s">
        <v>74</v>
      </c>
      <c r="Z773" t="s">
        <v>74</v>
      </c>
      <c r="AA773" t="s">
        <v>144</v>
      </c>
      <c r="AB773" t="s">
        <v>74</v>
      </c>
      <c r="AC773" t="s">
        <v>74</v>
      </c>
      <c r="AD773" t="s">
        <v>74</v>
      </c>
      <c r="AE773" t="s">
        <v>74</v>
      </c>
      <c r="AF773" t="s">
        <v>74</v>
      </c>
      <c r="AG773">
        <v>0</v>
      </c>
      <c r="AH773">
        <v>0</v>
      </c>
      <c r="AI773">
        <v>0</v>
      </c>
      <c r="AJ773">
        <v>0</v>
      </c>
      <c r="AK773">
        <v>3</v>
      </c>
      <c r="AL773" t="s">
        <v>219</v>
      </c>
      <c r="AM773" t="s">
        <v>220</v>
      </c>
      <c r="AN773" t="s">
        <v>221</v>
      </c>
      <c r="AO773" t="s">
        <v>222</v>
      </c>
      <c r="AP773" t="s">
        <v>223</v>
      </c>
      <c r="AQ773" t="s">
        <v>74</v>
      </c>
      <c r="AR773" t="s">
        <v>224</v>
      </c>
      <c r="AS773" t="s">
        <v>225</v>
      </c>
      <c r="AT773" t="s">
        <v>529</v>
      </c>
      <c r="AU773">
        <v>2016</v>
      </c>
      <c r="AV773">
        <v>48</v>
      </c>
      <c r="AW773" t="s">
        <v>74</v>
      </c>
      <c r="AX773" t="s">
        <v>74</v>
      </c>
      <c r="AY773">
        <v>60</v>
      </c>
      <c r="AZ773" t="s">
        <v>74</v>
      </c>
      <c r="BA773" t="s">
        <v>11064</v>
      </c>
      <c r="BB773" t="s">
        <v>74</v>
      </c>
      <c r="BC773" t="s">
        <v>74</v>
      </c>
      <c r="BD773" t="s">
        <v>74</v>
      </c>
      <c r="BE773" t="s">
        <v>11065</v>
      </c>
      <c r="BF773" t="str">
        <f>HYPERLINK("http://dx.doi.org/10.1183/13993003.congress-2016.OA261","http://dx.doi.org/10.1183/13993003.congress-2016.OA261")</f>
        <v>http://dx.doi.org/10.1183/13993003.congress-2016.OA261</v>
      </c>
      <c r="BG773" t="s">
        <v>74</v>
      </c>
      <c r="BH773" t="s">
        <v>74</v>
      </c>
      <c r="BI773">
        <v>2</v>
      </c>
      <c r="BJ773" t="s">
        <v>228</v>
      </c>
      <c r="BK773" t="s">
        <v>101</v>
      </c>
      <c r="BL773" t="s">
        <v>228</v>
      </c>
      <c r="BM773" t="s">
        <v>10919</v>
      </c>
      <c r="BN773" t="s">
        <v>74</v>
      </c>
      <c r="BO773" t="s">
        <v>74</v>
      </c>
      <c r="BP773" t="s">
        <v>74</v>
      </c>
      <c r="BQ773" t="s">
        <v>74</v>
      </c>
      <c r="BR773" t="s">
        <v>104</v>
      </c>
      <c r="BS773" t="s">
        <v>11066</v>
      </c>
      <c r="BT773" t="str">
        <f>HYPERLINK("https%3A%2F%2Fwww.webofscience.com%2Fwos%2Fwoscc%2Ffull-record%2FWOS:000443059700021","View Full Record in Web of Science")</f>
        <v>View Full Record in Web of Science</v>
      </c>
    </row>
    <row r="774" spans="1:72" x14ac:dyDescent="0.25">
      <c r="A774" t="s">
        <v>72</v>
      </c>
      <c r="B774" t="s">
        <v>11067</v>
      </c>
      <c r="C774" t="s">
        <v>74</v>
      </c>
      <c r="D774" t="s">
        <v>74</v>
      </c>
      <c r="E774" t="s">
        <v>74</v>
      </c>
      <c r="F774" t="s">
        <v>11068</v>
      </c>
      <c r="G774" t="s">
        <v>74</v>
      </c>
      <c r="H774" t="s">
        <v>74</v>
      </c>
      <c r="I774" t="s">
        <v>11069</v>
      </c>
      <c r="J774" t="s">
        <v>216</v>
      </c>
      <c r="K774" t="s">
        <v>74</v>
      </c>
      <c r="L774" t="s">
        <v>74</v>
      </c>
      <c r="M774" t="s">
        <v>78</v>
      </c>
      <c r="N774" t="s">
        <v>52</v>
      </c>
      <c r="O774" t="s">
        <v>74</v>
      </c>
      <c r="P774" t="s">
        <v>74</v>
      </c>
      <c r="Q774" t="s">
        <v>74</v>
      </c>
      <c r="R774" t="s">
        <v>74</v>
      </c>
      <c r="S774" t="s">
        <v>74</v>
      </c>
      <c r="T774" t="s">
        <v>11070</v>
      </c>
      <c r="U774" t="s">
        <v>74</v>
      </c>
      <c r="V774" t="s">
        <v>74</v>
      </c>
      <c r="W774" t="s">
        <v>74</v>
      </c>
      <c r="X774" t="s">
        <v>74</v>
      </c>
      <c r="Y774" t="s">
        <v>74</v>
      </c>
      <c r="Z774" t="s">
        <v>74</v>
      </c>
      <c r="AA774" t="s">
        <v>11071</v>
      </c>
      <c r="AB774" t="s">
        <v>74</v>
      </c>
      <c r="AC774" t="s">
        <v>74</v>
      </c>
      <c r="AD774" t="s">
        <v>74</v>
      </c>
      <c r="AE774" t="s">
        <v>74</v>
      </c>
      <c r="AF774" t="s">
        <v>74</v>
      </c>
      <c r="AG774">
        <v>0</v>
      </c>
      <c r="AH774">
        <v>0</v>
      </c>
      <c r="AI774">
        <v>0</v>
      </c>
      <c r="AJ774">
        <v>0</v>
      </c>
      <c r="AK774">
        <v>5</v>
      </c>
      <c r="AL774" t="s">
        <v>219</v>
      </c>
      <c r="AM774" t="s">
        <v>220</v>
      </c>
      <c r="AN774" t="s">
        <v>221</v>
      </c>
      <c r="AO774" t="s">
        <v>222</v>
      </c>
      <c r="AP774" t="s">
        <v>223</v>
      </c>
      <c r="AQ774" t="s">
        <v>74</v>
      </c>
      <c r="AR774" t="s">
        <v>224</v>
      </c>
      <c r="AS774" t="s">
        <v>225</v>
      </c>
      <c r="AT774" t="s">
        <v>529</v>
      </c>
      <c r="AU774">
        <v>2016</v>
      </c>
      <c r="AV774">
        <v>48</v>
      </c>
      <c r="AW774" t="s">
        <v>74</v>
      </c>
      <c r="AX774" t="s">
        <v>74</v>
      </c>
      <c r="AY774">
        <v>60</v>
      </c>
      <c r="AZ774" t="s">
        <v>74</v>
      </c>
      <c r="BA774" t="s">
        <v>11072</v>
      </c>
      <c r="BB774" t="s">
        <v>74</v>
      </c>
      <c r="BC774" t="s">
        <v>74</v>
      </c>
      <c r="BD774" t="s">
        <v>74</v>
      </c>
      <c r="BE774" t="s">
        <v>11073</v>
      </c>
      <c r="BF774" t="str">
        <f>HYPERLINK("http://dx.doi.org/10.1183/13993003.congress-2016.PA5102","http://dx.doi.org/10.1183/13993003.congress-2016.PA5102")</f>
        <v>http://dx.doi.org/10.1183/13993003.congress-2016.PA5102</v>
      </c>
      <c r="BG774" t="s">
        <v>74</v>
      </c>
      <c r="BH774" t="s">
        <v>74</v>
      </c>
      <c r="BI774">
        <v>2</v>
      </c>
      <c r="BJ774" t="s">
        <v>228</v>
      </c>
      <c r="BK774" t="s">
        <v>101</v>
      </c>
      <c r="BL774" t="s">
        <v>228</v>
      </c>
      <c r="BM774" t="s">
        <v>10919</v>
      </c>
      <c r="BN774" t="s">
        <v>74</v>
      </c>
      <c r="BO774" t="s">
        <v>74</v>
      </c>
      <c r="BP774" t="s">
        <v>74</v>
      </c>
      <c r="BQ774" t="s">
        <v>74</v>
      </c>
      <c r="BR774" t="s">
        <v>104</v>
      </c>
      <c r="BS774" t="s">
        <v>11074</v>
      </c>
      <c r="BT774" t="str">
        <f>HYPERLINK("https%3A%2F%2Fwww.webofscience.com%2Fwos%2Fwoscc%2Ffull-record%2FWOS:000443059706350","View Full Record in Web of Science")</f>
        <v>View Full Record in Web of Science</v>
      </c>
    </row>
    <row r="775" spans="1:72" x14ac:dyDescent="0.25">
      <c r="A775" t="s">
        <v>72</v>
      </c>
      <c r="B775" t="s">
        <v>11075</v>
      </c>
      <c r="C775" t="s">
        <v>74</v>
      </c>
      <c r="D775" t="s">
        <v>74</v>
      </c>
      <c r="E775" t="s">
        <v>74</v>
      </c>
      <c r="F775" t="s">
        <v>11076</v>
      </c>
      <c r="G775" t="s">
        <v>74</v>
      </c>
      <c r="H775" t="s">
        <v>74</v>
      </c>
      <c r="I775" t="s">
        <v>11077</v>
      </c>
      <c r="J775" t="s">
        <v>11078</v>
      </c>
      <c r="K775" t="s">
        <v>74</v>
      </c>
      <c r="L775" t="s">
        <v>74</v>
      </c>
      <c r="M775" t="s">
        <v>78</v>
      </c>
      <c r="N775" t="s">
        <v>79</v>
      </c>
      <c r="O775" t="s">
        <v>74</v>
      </c>
      <c r="P775" t="s">
        <v>74</v>
      </c>
      <c r="Q775" t="s">
        <v>74</v>
      </c>
      <c r="R775" t="s">
        <v>74</v>
      </c>
      <c r="S775" t="s">
        <v>74</v>
      </c>
      <c r="T775" t="s">
        <v>11079</v>
      </c>
      <c r="U775" t="s">
        <v>11080</v>
      </c>
      <c r="V775" t="s">
        <v>11081</v>
      </c>
      <c r="W775" t="s">
        <v>11082</v>
      </c>
      <c r="X775" t="s">
        <v>11083</v>
      </c>
      <c r="Y775" t="s">
        <v>11084</v>
      </c>
      <c r="Z775" t="s">
        <v>11085</v>
      </c>
      <c r="AA775" t="s">
        <v>11086</v>
      </c>
      <c r="AB775" t="s">
        <v>11087</v>
      </c>
      <c r="AC775" t="s">
        <v>11088</v>
      </c>
      <c r="AD775" t="s">
        <v>11088</v>
      </c>
      <c r="AE775" t="s">
        <v>11089</v>
      </c>
      <c r="AF775" t="s">
        <v>74</v>
      </c>
      <c r="AG775">
        <v>27</v>
      </c>
      <c r="AH775">
        <v>10</v>
      </c>
      <c r="AI775">
        <v>10</v>
      </c>
      <c r="AJ775">
        <v>0</v>
      </c>
      <c r="AK775">
        <v>14</v>
      </c>
      <c r="AL775" t="s">
        <v>11090</v>
      </c>
      <c r="AM775" t="s">
        <v>11091</v>
      </c>
      <c r="AN775" t="s">
        <v>11092</v>
      </c>
      <c r="AO775" t="s">
        <v>11093</v>
      </c>
      <c r="AP775" t="s">
        <v>11094</v>
      </c>
      <c r="AQ775" t="s">
        <v>74</v>
      </c>
      <c r="AR775" t="s">
        <v>11095</v>
      </c>
      <c r="AS775" t="s">
        <v>11096</v>
      </c>
      <c r="AT775" t="s">
        <v>6124</v>
      </c>
      <c r="AU775">
        <v>2016</v>
      </c>
      <c r="AV775">
        <v>217</v>
      </c>
      <c r="AW775" t="s">
        <v>74</v>
      </c>
      <c r="AX775" t="s">
        <v>74</v>
      </c>
      <c r="AY775" t="s">
        <v>74</v>
      </c>
      <c r="AZ775" t="s">
        <v>74</v>
      </c>
      <c r="BA775" t="s">
        <v>74</v>
      </c>
      <c r="BB775">
        <v>12</v>
      </c>
      <c r="BC775">
        <v>15</v>
      </c>
      <c r="BD775" t="s">
        <v>74</v>
      </c>
      <c r="BE775" t="s">
        <v>11097</v>
      </c>
      <c r="BF775" t="str">
        <f>HYPERLINK("http://dx.doi.org/10.1016/j.ijcard.2016.04.161","http://dx.doi.org/10.1016/j.ijcard.2016.04.161")</f>
        <v>http://dx.doi.org/10.1016/j.ijcard.2016.04.161</v>
      </c>
      <c r="BG775" t="s">
        <v>74</v>
      </c>
      <c r="BH775" t="s">
        <v>74</v>
      </c>
      <c r="BI775">
        <v>4</v>
      </c>
      <c r="BJ775" t="s">
        <v>132</v>
      </c>
      <c r="BK775" t="s">
        <v>101</v>
      </c>
      <c r="BL775" t="s">
        <v>133</v>
      </c>
      <c r="BM775" t="s">
        <v>11098</v>
      </c>
      <c r="BN775">
        <v>27174592</v>
      </c>
      <c r="BO775" t="s">
        <v>74</v>
      </c>
      <c r="BP775" t="s">
        <v>74</v>
      </c>
      <c r="BQ775" t="s">
        <v>74</v>
      </c>
      <c r="BR775" t="s">
        <v>104</v>
      </c>
      <c r="BS775" t="s">
        <v>11099</v>
      </c>
      <c r="BT775" t="str">
        <f>HYPERLINK("https%3A%2F%2Fwww.webofscience.com%2Fwos%2Fwoscc%2Ffull-record%2FWOS:000377832700003","View Full Record in Web of Science")</f>
        <v>View Full Record in Web of Science</v>
      </c>
    </row>
    <row r="776" spans="1:72" x14ac:dyDescent="0.25">
      <c r="A776" t="s">
        <v>72</v>
      </c>
      <c r="B776" t="s">
        <v>11100</v>
      </c>
      <c r="C776" t="s">
        <v>74</v>
      </c>
      <c r="D776" t="s">
        <v>74</v>
      </c>
      <c r="E776" t="s">
        <v>74</v>
      </c>
      <c r="F776" t="s">
        <v>11101</v>
      </c>
      <c r="G776" t="s">
        <v>74</v>
      </c>
      <c r="H776" t="s">
        <v>74</v>
      </c>
      <c r="I776" t="s">
        <v>11102</v>
      </c>
      <c r="J776" t="s">
        <v>216</v>
      </c>
      <c r="K776" t="s">
        <v>74</v>
      </c>
      <c r="L776" t="s">
        <v>74</v>
      </c>
      <c r="M776" t="s">
        <v>78</v>
      </c>
      <c r="N776" t="s">
        <v>140</v>
      </c>
      <c r="O776" t="s">
        <v>74</v>
      </c>
      <c r="P776" t="s">
        <v>74</v>
      </c>
      <c r="Q776" t="s">
        <v>74</v>
      </c>
      <c r="R776" t="s">
        <v>74</v>
      </c>
      <c r="S776" t="s">
        <v>74</v>
      </c>
      <c r="T776" t="s">
        <v>74</v>
      </c>
      <c r="U776" t="s">
        <v>11103</v>
      </c>
      <c r="V776" t="s">
        <v>74</v>
      </c>
      <c r="W776" t="s">
        <v>11104</v>
      </c>
      <c r="X776" t="s">
        <v>11105</v>
      </c>
      <c r="Y776" t="s">
        <v>11106</v>
      </c>
      <c r="Z776" t="s">
        <v>4563</v>
      </c>
      <c r="AA776" t="s">
        <v>11107</v>
      </c>
      <c r="AB776" t="s">
        <v>11108</v>
      </c>
      <c r="AC776" t="s">
        <v>74</v>
      </c>
      <c r="AD776" t="s">
        <v>74</v>
      </c>
      <c r="AE776" t="s">
        <v>74</v>
      </c>
      <c r="AF776" t="s">
        <v>74</v>
      </c>
      <c r="AG776">
        <v>69</v>
      </c>
      <c r="AH776">
        <v>19</v>
      </c>
      <c r="AI776">
        <v>19</v>
      </c>
      <c r="AJ776">
        <v>0</v>
      </c>
      <c r="AK776">
        <v>6</v>
      </c>
      <c r="AL776" t="s">
        <v>219</v>
      </c>
      <c r="AM776" t="s">
        <v>220</v>
      </c>
      <c r="AN776" t="s">
        <v>221</v>
      </c>
      <c r="AO776" t="s">
        <v>222</v>
      </c>
      <c r="AP776" t="s">
        <v>223</v>
      </c>
      <c r="AQ776" t="s">
        <v>74</v>
      </c>
      <c r="AR776" t="s">
        <v>224</v>
      </c>
      <c r="AS776" t="s">
        <v>225</v>
      </c>
      <c r="AT776" t="s">
        <v>725</v>
      </c>
      <c r="AU776">
        <v>2016</v>
      </c>
      <c r="AV776">
        <v>48</v>
      </c>
      <c r="AW776">
        <v>2</v>
      </c>
      <c r="AX776" t="s">
        <v>74</v>
      </c>
      <c r="AY776" t="s">
        <v>74</v>
      </c>
      <c r="AZ776" t="s">
        <v>74</v>
      </c>
      <c r="BA776" t="s">
        <v>74</v>
      </c>
      <c r="BB776">
        <v>315</v>
      </c>
      <c r="BC776">
        <v>319</v>
      </c>
      <c r="BD776" t="s">
        <v>74</v>
      </c>
      <c r="BE776" t="s">
        <v>11109</v>
      </c>
      <c r="BF776" t="str">
        <f>HYPERLINK("http://dx.doi.org/10.1183/13993003.00633-2016","http://dx.doi.org/10.1183/13993003.00633-2016")</f>
        <v>http://dx.doi.org/10.1183/13993003.00633-2016</v>
      </c>
      <c r="BG776" t="s">
        <v>74</v>
      </c>
      <c r="BH776" t="s">
        <v>74</v>
      </c>
      <c r="BI776">
        <v>5</v>
      </c>
      <c r="BJ776" t="s">
        <v>228</v>
      </c>
      <c r="BK776" t="s">
        <v>101</v>
      </c>
      <c r="BL776" t="s">
        <v>228</v>
      </c>
      <c r="BM776" t="s">
        <v>11110</v>
      </c>
      <c r="BN776">
        <v>27478189</v>
      </c>
      <c r="BO776" t="s">
        <v>7357</v>
      </c>
      <c r="BP776" t="s">
        <v>74</v>
      </c>
      <c r="BQ776" t="s">
        <v>74</v>
      </c>
      <c r="BR776" t="s">
        <v>104</v>
      </c>
      <c r="BS776" t="s">
        <v>11111</v>
      </c>
      <c r="BT776" t="str">
        <f>HYPERLINK("https%3A%2F%2Fwww.webofscience.com%2Fwos%2Fwoscc%2Ffull-record%2FWOS:000385957400009","View Full Record in Web of Science")</f>
        <v>View Full Record in Web of Science</v>
      </c>
    </row>
    <row r="777" spans="1:72" x14ac:dyDescent="0.25">
      <c r="A777" t="s">
        <v>72</v>
      </c>
      <c r="B777" t="s">
        <v>11112</v>
      </c>
      <c r="C777" t="s">
        <v>74</v>
      </c>
      <c r="D777" t="s">
        <v>74</v>
      </c>
      <c r="E777" t="s">
        <v>74</v>
      </c>
      <c r="F777" t="s">
        <v>11113</v>
      </c>
      <c r="G777" t="s">
        <v>74</v>
      </c>
      <c r="H777" t="s">
        <v>74</v>
      </c>
      <c r="I777" t="s">
        <v>11114</v>
      </c>
      <c r="J777" t="s">
        <v>2580</v>
      </c>
      <c r="K777" t="s">
        <v>74</v>
      </c>
      <c r="L777" t="s">
        <v>74</v>
      </c>
      <c r="M777" t="s">
        <v>78</v>
      </c>
      <c r="N777" t="s">
        <v>79</v>
      </c>
      <c r="O777" t="s">
        <v>74</v>
      </c>
      <c r="P777" t="s">
        <v>74</v>
      </c>
      <c r="Q777" t="s">
        <v>74</v>
      </c>
      <c r="R777" t="s">
        <v>74</v>
      </c>
      <c r="S777" t="s">
        <v>74</v>
      </c>
      <c r="T777" t="s">
        <v>74</v>
      </c>
      <c r="U777" t="s">
        <v>11115</v>
      </c>
      <c r="V777" t="s">
        <v>11116</v>
      </c>
      <c r="W777" t="s">
        <v>11117</v>
      </c>
      <c r="X777" t="s">
        <v>11118</v>
      </c>
      <c r="Y777" t="s">
        <v>11119</v>
      </c>
      <c r="Z777" t="s">
        <v>9852</v>
      </c>
      <c r="AA777" t="s">
        <v>11120</v>
      </c>
      <c r="AB777" t="s">
        <v>11121</v>
      </c>
      <c r="AC777" t="s">
        <v>11122</v>
      </c>
      <c r="AD777" t="s">
        <v>6860</v>
      </c>
      <c r="AE777" t="s">
        <v>11123</v>
      </c>
      <c r="AF777" t="s">
        <v>74</v>
      </c>
      <c r="AG777">
        <v>46</v>
      </c>
      <c r="AH777">
        <v>17</v>
      </c>
      <c r="AI777">
        <v>17</v>
      </c>
      <c r="AJ777">
        <v>0</v>
      </c>
      <c r="AK777">
        <v>8</v>
      </c>
      <c r="AL777" t="s">
        <v>2590</v>
      </c>
      <c r="AM777" t="s">
        <v>201</v>
      </c>
      <c r="AN777" t="s">
        <v>2591</v>
      </c>
      <c r="AO777" t="s">
        <v>2592</v>
      </c>
      <c r="AP777" t="s">
        <v>2593</v>
      </c>
      <c r="AQ777" t="s">
        <v>74</v>
      </c>
      <c r="AR777" t="s">
        <v>2594</v>
      </c>
      <c r="AS777" t="s">
        <v>2595</v>
      </c>
      <c r="AT777" t="s">
        <v>725</v>
      </c>
      <c r="AU777">
        <v>2016</v>
      </c>
      <c r="AV777">
        <v>75</v>
      </c>
      <c r="AW777">
        <v>8</v>
      </c>
      <c r="AX777" t="s">
        <v>74</v>
      </c>
      <c r="AY777" t="s">
        <v>74</v>
      </c>
      <c r="AZ777" t="s">
        <v>74</v>
      </c>
      <c r="BA777" t="s">
        <v>74</v>
      </c>
      <c r="BB777">
        <v>1457</v>
      </c>
      <c r="BC777">
        <v>1465</v>
      </c>
      <c r="BD777" t="s">
        <v>74</v>
      </c>
      <c r="BE777" t="s">
        <v>11124</v>
      </c>
      <c r="BF777" t="str">
        <f>HYPERLINK("http://dx.doi.org/10.1136/annrheumdis-2015-207336","http://dx.doi.org/10.1136/annrheumdis-2015-207336")</f>
        <v>http://dx.doi.org/10.1136/annrheumdis-2015-207336</v>
      </c>
      <c r="BG777" t="s">
        <v>74</v>
      </c>
      <c r="BH777" t="s">
        <v>74</v>
      </c>
      <c r="BI777">
        <v>9</v>
      </c>
      <c r="BJ777" t="s">
        <v>2369</v>
      </c>
      <c r="BK777" t="s">
        <v>101</v>
      </c>
      <c r="BL777" t="s">
        <v>2369</v>
      </c>
      <c r="BM777" t="s">
        <v>11125</v>
      </c>
      <c r="BN777">
        <v>26324844</v>
      </c>
      <c r="BO777" t="s">
        <v>74</v>
      </c>
      <c r="BP777" t="s">
        <v>74</v>
      </c>
      <c r="BQ777" t="s">
        <v>74</v>
      </c>
      <c r="BR777" t="s">
        <v>104</v>
      </c>
      <c r="BS777" t="s">
        <v>11126</v>
      </c>
      <c r="BT777" t="str">
        <f>HYPERLINK("https%3A%2F%2Fwww.webofscience.com%2Fwos%2Fwoscc%2Ffull-record%2FWOS:000379741100017","View Full Record in Web of Science")</f>
        <v>View Full Record in Web of Science</v>
      </c>
    </row>
    <row r="778" spans="1:72" x14ac:dyDescent="0.25">
      <c r="A778" t="s">
        <v>72</v>
      </c>
      <c r="B778" t="s">
        <v>11127</v>
      </c>
      <c r="C778" t="s">
        <v>74</v>
      </c>
      <c r="D778" t="s">
        <v>74</v>
      </c>
      <c r="E778" t="s">
        <v>74</v>
      </c>
      <c r="F778" t="s">
        <v>11128</v>
      </c>
      <c r="G778" t="s">
        <v>74</v>
      </c>
      <c r="H778" t="s">
        <v>74</v>
      </c>
      <c r="I778" t="s">
        <v>11129</v>
      </c>
      <c r="J778" t="s">
        <v>5479</v>
      </c>
      <c r="K778" t="s">
        <v>74</v>
      </c>
      <c r="L778" t="s">
        <v>74</v>
      </c>
      <c r="M778" t="s">
        <v>78</v>
      </c>
      <c r="N778" t="s">
        <v>299</v>
      </c>
      <c r="O778" t="s">
        <v>74</v>
      </c>
      <c r="P778" t="s">
        <v>74</v>
      </c>
      <c r="Q778" t="s">
        <v>74</v>
      </c>
      <c r="R778" t="s">
        <v>74</v>
      </c>
      <c r="S778" t="s">
        <v>74</v>
      </c>
      <c r="T778" t="s">
        <v>11130</v>
      </c>
      <c r="U778" t="s">
        <v>11131</v>
      </c>
      <c r="V778" t="s">
        <v>11132</v>
      </c>
      <c r="W778" t="s">
        <v>11133</v>
      </c>
      <c r="X778" t="s">
        <v>11134</v>
      </c>
      <c r="Y778" t="s">
        <v>11135</v>
      </c>
      <c r="Z778" t="s">
        <v>4563</v>
      </c>
      <c r="AA778" t="s">
        <v>11136</v>
      </c>
      <c r="AB778" t="s">
        <v>11137</v>
      </c>
      <c r="AC778" t="s">
        <v>74</v>
      </c>
      <c r="AD778" t="s">
        <v>74</v>
      </c>
      <c r="AE778" t="s">
        <v>74</v>
      </c>
      <c r="AF778" t="s">
        <v>74</v>
      </c>
      <c r="AG778">
        <v>99</v>
      </c>
      <c r="AH778">
        <v>51</v>
      </c>
      <c r="AI778">
        <v>53</v>
      </c>
      <c r="AJ778">
        <v>1</v>
      </c>
      <c r="AK778">
        <v>70</v>
      </c>
      <c r="AL778" t="s">
        <v>169</v>
      </c>
      <c r="AM778" t="s">
        <v>170</v>
      </c>
      <c r="AN778" t="s">
        <v>171</v>
      </c>
      <c r="AO778" t="s">
        <v>74</v>
      </c>
      <c r="AP778" t="s">
        <v>5490</v>
      </c>
      <c r="AQ778" t="s">
        <v>74</v>
      </c>
      <c r="AR778" t="s">
        <v>5491</v>
      </c>
      <c r="AS778" t="s">
        <v>5492</v>
      </c>
      <c r="AT778" t="s">
        <v>1859</v>
      </c>
      <c r="AU778">
        <v>2016</v>
      </c>
      <c r="AV778">
        <v>6</v>
      </c>
      <c r="AW778" t="s">
        <v>74</v>
      </c>
      <c r="AX778" t="s">
        <v>74</v>
      </c>
      <c r="AY778" t="s">
        <v>74</v>
      </c>
      <c r="AZ778" t="s">
        <v>74</v>
      </c>
      <c r="BA778" t="s">
        <v>74</v>
      </c>
      <c r="BB778" t="s">
        <v>74</v>
      </c>
      <c r="BC778" t="s">
        <v>74</v>
      </c>
      <c r="BD778">
        <v>29</v>
      </c>
      <c r="BE778" t="s">
        <v>11138</v>
      </c>
      <c r="BF778" t="str">
        <f>HYPERLINK("http://dx.doi.org/10.1186/s13601-016-0116-9","http://dx.doi.org/10.1186/s13601-016-0116-9")</f>
        <v>http://dx.doi.org/10.1186/s13601-016-0116-9</v>
      </c>
      <c r="BG778" t="s">
        <v>74</v>
      </c>
      <c r="BH778" t="s">
        <v>74</v>
      </c>
      <c r="BI778">
        <v>18</v>
      </c>
      <c r="BJ778" t="s">
        <v>601</v>
      </c>
      <c r="BK778" t="s">
        <v>101</v>
      </c>
      <c r="BL778" t="s">
        <v>601</v>
      </c>
      <c r="BM778" t="s">
        <v>11139</v>
      </c>
      <c r="BN778">
        <v>27478588</v>
      </c>
      <c r="BO778" t="s">
        <v>1418</v>
      </c>
      <c r="BP778" t="s">
        <v>74</v>
      </c>
      <c r="BQ778" t="s">
        <v>74</v>
      </c>
      <c r="BR778" t="s">
        <v>104</v>
      </c>
      <c r="BS778" t="s">
        <v>11140</v>
      </c>
      <c r="BT778" t="str">
        <f>HYPERLINK("https%3A%2F%2Fwww.webofscience.com%2Fwos%2Fwoscc%2Ffull-record%2FWOS:000390119300001","View Full Record in Web of Science")</f>
        <v>View Full Record in Web of Science</v>
      </c>
    </row>
    <row r="779" spans="1:72" x14ac:dyDescent="0.25">
      <c r="A779" t="s">
        <v>72</v>
      </c>
      <c r="B779" t="s">
        <v>11141</v>
      </c>
      <c r="C779" t="s">
        <v>74</v>
      </c>
      <c r="D779" t="s">
        <v>74</v>
      </c>
      <c r="E779" t="s">
        <v>74</v>
      </c>
      <c r="F779" t="s">
        <v>11142</v>
      </c>
      <c r="G779" t="s">
        <v>74</v>
      </c>
      <c r="H779" t="s">
        <v>74</v>
      </c>
      <c r="I779" t="s">
        <v>11143</v>
      </c>
      <c r="J779" t="s">
        <v>216</v>
      </c>
      <c r="K779" t="s">
        <v>74</v>
      </c>
      <c r="L779" t="s">
        <v>74</v>
      </c>
      <c r="M779" t="s">
        <v>78</v>
      </c>
      <c r="N779" t="s">
        <v>460</v>
      </c>
      <c r="O779" t="s">
        <v>74</v>
      </c>
      <c r="P779" t="s">
        <v>74</v>
      </c>
      <c r="Q779" t="s">
        <v>74</v>
      </c>
      <c r="R779" t="s">
        <v>74</v>
      </c>
      <c r="S779" t="s">
        <v>74</v>
      </c>
      <c r="T779" t="s">
        <v>74</v>
      </c>
      <c r="U779" t="s">
        <v>11144</v>
      </c>
      <c r="V779" t="s">
        <v>74</v>
      </c>
      <c r="W779" t="s">
        <v>11145</v>
      </c>
      <c r="X779" t="s">
        <v>11146</v>
      </c>
      <c r="Y779" t="s">
        <v>11147</v>
      </c>
      <c r="Z779" t="s">
        <v>10764</v>
      </c>
      <c r="AA779" t="s">
        <v>11148</v>
      </c>
      <c r="AB779" t="s">
        <v>11149</v>
      </c>
      <c r="AC779" t="s">
        <v>74</v>
      </c>
      <c r="AD779" t="s">
        <v>74</v>
      </c>
      <c r="AE779" t="s">
        <v>74</v>
      </c>
      <c r="AF779" t="s">
        <v>74</v>
      </c>
      <c r="AG779">
        <v>12</v>
      </c>
      <c r="AH779">
        <v>26</v>
      </c>
      <c r="AI779">
        <v>27</v>
      </c>
      <c r="AJ779">
        <v>0</v>
      </c>
      <c r="AK779">
        <v>1</v>
      </c>
      <c r="AL779" t="s">
        <v>219</v>
      </c>
      <c r="AM779" t="s">
        <v>220</v>
      </c>
      <c r="AN779" t="s">
        <v>221</v>
      </c>
      <c r="AO779" t="s">
        <v>222</v>
      </c>
      <c r="AP779" t="s">
        <v>223</v>
      </c>
      <c r="AQ779" t="s">
        <v>74</v>
      </c>
      <c r="AR779" t="s">
        <v>224</v>
      </c>
      <c r="AS779" t="s">
        <v>225</v>
      </c>
      <c r="AT779" t="s">
        <v>785</v>
      </c>
      <c r="AU779">
        <v>2016</v>
      </c>
      <c r="AV779">
        <v>48</v>
      </c>
      <c r="AW779">
        <v>1</v>
      </c>
      <c r="AX779" t="s">
        <v>74</v>
      </c>
      <c r="AY779" t="s">
        <v>74</v>
      </c>
      <c r="AZ779" t="s">
        <v>74</v>
      </c>
      <c r="BA779" t="s">
        <v>74</v>
      </c>
      <c r="BB779">
        <v>254</v>
      </c>
      <c r="BC779">
        <v>257</v>
      </c>
      <c r="BD779" t="s">
        <v>74</v>
      </c>
      <c r="BE779" t="s">
        <v>11150</v>
      </c>
      <c r="BF779" t="str">
        <f>HYPERLINK("http://dx.doi.org/10.1183/13993003.01678-2015","http://dx.doi.org/10.1183/13993003.01678-2015")</f>
        <v>http://dx.doi.org/10.1183/13993003.01678-2015</v>
      </c>
      <c r="BG779" t="s">
        <v>74</v>
      </c>
      <c r="BH779" t="s">
        <v>74</v>
      </c>
      <c r="BI779">
        <v>5</v>
      </c>
      <c r="BJ779" t="s">
        <v>228</v>
      </c>
      <c r="BK779" t="s">
        <v>101</v>
      </c>
      <c r="BL779" t="s">
        <v>228</v>
      </c>
      <c r="BM779" t="s">
        <v>11151</v>
      </c>
      <c r="BN779">
        <v>27030680</v>
      </c>
      <c r="BO779" t="s">
        <v>1194</v>
      </c>
      <c r="BP779" t="s">
        <v>74</v>
      </c>
      <c r="BQ779" t="s">
        <v>74</v>
      </c>
      <c r="BR779" t="s">
        <v>104</v>
      </c>
      <c r="BS779" t="s">
        <v>11152</v>
      </c>
      <c r="BT779" t="str">
        <f>HYPERLINK("https%3A%2F%2Fwww.webofscience.com%2Fwos%2Fwoscc%2Ffull-record%2FWOS:000385956800034","View Full Record in Web of Science")</f>
        <v>View Full Record in Web of Science</v>
      </c>
    </row>
    <row r="780" spans="1:72" x14ac:dyDescent="0.25">
      <c r="A780" t="s">
        <v>72</v>
      </c>
      <c r="B780" t="s">
        <v>11153</v>
      </c>
      <c r="C780" t="s">
        <v>74</v>
      </c>
      <c r="D780" t="s">
        <v>74</v>
      </c>
      <c r="E780" t="s">
        <v>74</v>
      </c>
      <c r="F780" t="s">
        <v>11154</v>
      </c>
      <c r="G780" t="s">
        <v>74</v>
      </c>
      <c r="H780" t="s">
        <v>74</v>
      </c>
      <c r="I780" t="s">
        <v>11155</v>
      </c>
      <c r="J780" t="s">
        <v>324</v>
      </c>
      <c r="K780" t="s">
        <v>74</v>
      </c>
      <c r="L780" t="s">
        <v>74</v>
      </c>
      <c r="M780" t="s">
        <v>78</v>
      </c>
      <c r="N780" t="s">
        <v>460</v>
      </c>
      <c r="O780" t="s">
        <v>74</v>
      </c>
      <c r="P780" t="s">
        <v>74</v>
      </c>
      <c r="Q780" t="s">
        <v>74</v>
      </c>
      <c r="R780" t="s">
        <v>74</v>
      </c>
      <c r="S780" t="s">
        <v>74</v>
      </c>
      <c r="T780" t="s">
        <v>74</v>
      </c>
      <c r="U780" t="s">
        <v>74</v>
      </c>
      <c r="V780" t="s">
        <v>74</v>
      </c>
      <c r="W780" t="s">
        <v>11156</v>
      </c>
      <c r="X780" t="s">
        <v>11157</v>
      </c>
      <c r="Y780" t="s">
        <v>11158</v>
      </c>
      <c r="Z780" t="s">
        <v>86</v>
      </c>
      <c r="AA780" t="s">
        <v>11159</v>
      </c>
      <c r="AB780" t="s">
        <v>11160</v>
      </c>
      <c r="AC780" t="s">
        <v>74</v>
      </c>
      <c r="AD780" t="s">
        <v>74</v>
      </c>
      <c r="AE780" t="s">
        <v>74</v>
      </c>
      <c r="AF780" t="s">
        <v>74</v>
      </c>
      <c r="AG780">
        <v>4</v>
      </c>
      <c r="AH780">
        <v>13</v>
      </c>
      <c r="AI780">
        <v>13</v>
      </c>
      <c r="AJ780">
        <v>0</v>
      </c>
      <c r="AK780">
        <v>2</v>
      </c>
      <c r="AL780" t="s">
        <v>11161</v>
      </c>
      <c r="AM780" t="s">
        <v>11162</v>
      </c>
      <c r="AN780" t="s">
        <v>11163</v>
      </c>
      <c r="AO780" t="s">
        <v>337</v>
      </c>
      <c r="AP780" t="s">
        <v>74</v>
      </c>
      <c r="AQ780" t="s">
        <v>74</v>
      </c>
      <c r="AR780" t="s">
        <v>324</v>
      </c>
      <c r="AS780" t="s">
        <v>339</v>
      </c>
      <c r="AT780" t="s">
        <v>785</v>
      </c>
      <c r="AU780">
        <v>2016</v>
      </c>
      <c r="AV780">
        <v>150</v>
      </c>
      <c r="AW780">
        <v>1</v>
      </c>
      <c r="AX780" t="s">
        <v>74</v>
      </c>
      <c r="AY780" t="s">
        <v>74</v>
      </c>
      <c r="AZ780" t="s">
        <v>74</v>
      </c>
      <c r="BA780" t="s">
        <v>74</v>
      </c>
      <c r="BB780">
        <v>256</v>
      </c>
      <c r="BC780">
        <v>258</v>
      </c>
      <c r="BD780" t="s">
        <v>74</v>
      </c>
      <c r="BE780" t="s">
        <v>11164</v>
      </c>
      <c r="BF780" t="str">
        <f>HYPERLINK("http://dx.doi.org/10.1016/j.chest.2016.04.031","http://dx.doi.org/10.1016/j.chest.2016.04.031")</f>
        <v>http://dx.doi.org/10.1016/j.chest.2016.04.031</v>
      </c>
      <c r="BG780" t="s">
        <v>74</v>
      </c>
      <c r="BH780" t="s">
        <v>74</v>
      </c>
      <c r="BI780">
        <v>3</v>
      </c>
      <c r="BJ780" t="s">
        <v>341</v>
      </c>
      <c r="BK780" t="s">
        <v>101</v>
      </c>
      <c r="BL780" t="s">
        <v>342</v>
      </c>
      <c r="BM780" t="s">
        <v>11165</v>
      </c>
      <c r="BN780">
        <v>27396788</v>
      </c>
      <c r="BO780" t="s">
        <v>1194</v>
      </c>
      <c r="BP780" t="s">
        <v>74</v>
      </c>
      <c r="BQ780" t="s">
        <v>74</v>
      </c>
      <c r="BR780" t="s">
        <v>104</v>
      </c>
      <c r="BS780" t="s">
        <v>11166</v>
      </c>
      <c r="BT780" t="str">
        <f>HYPERLINK("https%3A%2F%2Fwww.webofscience.com%2Fwos%2Fwoscc%2Ffull-record%2FWOS:000379220000044","View Full Record in Web of Science")</f>
        <v>View Full Record in Web of Science</v>
      </c>
    </row>
    <row r="781" spans="1:72" x14ac:dyDescent="0.25">
      <c r="A781" t="s">
        <v>72</v>
      </c>
      <c r="B781" t="s">
        <v>11167</v>
      </c>
      <c r="C781" t="s">
        <v>74</v>
      </c>
      <c r="D781" t="s">
        <v>74</v>
      </c>
      <c r="E781" t="s">
        <v>74</v>
      </c>
      <c r="F781" t="s">
        <v>11168</v>
      </c>
      <c r="G781" t="s">
        <v>74</v>
      </c>
      <c r="H781" t="s">
        <v>74</v>
      </c>
      <c r="I781" t="s">
        <v>11169</v>
      </c>
      <c r="J781" t="s">
        <v>166</v>
      </c>
      <c r="K781" t="s">
        <v>74</v>
      </c>
      <c r="L781" t="s">
        <v>74</v>
      </c>
      <c r="M781" t="s">
        <v>78</v>
      </c>
      <c r="N781" t="s">
        <v>52</v>
      </c>
      <c r="O781" t="s">
        <v>74</v>
      </c>
      <c r="P781" t="s">
        <v>74</v>
      </c>
      <c r="Q781" t="s">
        <v>74</v>
      </c>
      <c r="R781" t="s">
        <v>74</v>
      </c>
      <c r="S781" t="s">
        <v>74</v>
      </c>
      <c r="T781" t="s">
        <v>74</v>
      </c>
      <c r="U781" t="s">
        <v>74</v>
      </c>
      <c r="V781" t="s">
        <v>74</v>
      </c>
      <c r="W781" t="s">
        <v>11170</v>
      </c>
      <c r="X781" t="s">
        <v>11171</v>
      </c>
      <c r="Y781" t="s">
        <v>74</v>
      </c>
      <c r="Z781" t="s">
        <v>74</v>
      </c>
      <c r="AA781" t="s">
        <v>11172</v>
      </c>
      <c r="AB781" t="s">
        <v>10598</v>
      </c>
      <c r="AC781" t="s">
        <v>74</v>
      </c>
      <c r="AD781" t="s">
        <v>74</v>
      </c>
      <c r="AE781" t="s">
        <v>74</v>
      </c>
      <c r="AF781" t="s">
        <v>74</v>
      </c>
      <c r="AG781">
        <v>0</v>
      </c>
      <c r="AH781">
        <v>0</v>
      </c>
      <c r="AI781">
        <v>0</v>
      </c>
      <c r="AJ781">
        <v>0</v>
      </c>
      <c r="AK781">
        <v>0</v>
      </c>
      <c r="AL781" t="s">
        <v>10904</v>
      </c>
      <c r="AM781" t="s">
        <v>170</v>
      </c>
      <c r="AN781" t="s">
        <v>171</v>
      </c>
      <c r="AO781" t="s">
        <v>172</v>
      </c>
      <c r="AP781" t="s">
        <v>173</v>
      </c>
      <c r="AQ781" t="s">
        <v>74</v>
      </c>
      <c r="AR781" t="s">
        <v>174</v>
      </c>
      <c r="AS781" t="s">
        <v>175</v>
      </c>
      <c r="AT781" t="s">
        <v>1060</v>
      </c>
      <c r="AU781">
        <v>2016</v>
      </c>
      <c r="AV781">
        <v>217</v>
      </c>
      <c r="AW781" t="s">
        <v>74</v>
      </c>
      <c r="AX781" t="s">
        <v>74</v>
      </c>
      <c r="AY781">
        <v>708</v>
      </c>
      <c r="AZ781" t="s">
        <v>1080</v>
      </c>
      <c r="BA781" t="s">
        <v>11173</v>
      </c>
      <c r="BB781">
        <v>127</v>
      </c>
      <c r="BC781">
        <v>127</v>
      </c>
      <c r="BD781" t="s">
        <v>74</v>
      </c>
      <c r="BE781" t="s">
        <v>74</v>
      </c>
      <c r="BF781" t="s">
        <v>74</v>
      </c>
      <c r="BG781" t="s">
        <v>74</v>
      </c>
      <c r="BH781" t="s">
        <v>74</v>
      </c>
      <c r="BI781">
        <v>1</v>
      </c>
      <c r="BJ781" t="s">
        <v>177</v>
      </c>
      <c r="BK781" t="s">
        <v>101</v>
      </c>
      <c r="BL781" t="s">
        <v>177</v>
      </c>
      <c r="BM781" t="s">
        <v>11174</v>
      </c>
      <c r="BN781" t="s">
        <v>74</v>
      </c>
      <c r="BO781" t="s">
        <v>74</v>
      </c>
      <c r="BP781" t="s">
        <v>74</v>
      </c>
      <c r="BQ781" t="s">
        <v>74</v>
      </c>
      <c r="BR781" t="s">
        <v>104</v>
      </c>
      <c r="BS781" t="s">
        <v>11175</v>
      </c>
      <c r="BT781" t="str">
        <f>HYPERLINK("https%3A%2F%2Fwww.webofscience.com%2Fwos%2Fwoscc%2Ffull-record%2FWOS:000379514000292","View Full Record in Web of Science")</f>
        <v>View Full Record in Web of Science</v>
      </c>
    </row>
    <row r="782" spans="1:72" x14ac:dyDescent="0.25">
      <c r="A782" t="s">
        <v>72</v>
      </c>
      <c r="B782" t="s">
        <v>11176</v>
      </c>
      <c r="C782" t="s">
        <v>74</v>
      </c>
      <c r="D782" t="s">
        <v>74</v>
      </c>
      <c r="E782" t="s">
        <v>74</v>
      </c>
      <c r="F782" t="s">
        <v>11177</v>
      </c>
      <c r="G782" t="s">
        <v>74</v>
      </c>
      <c r="H782" t="s">
        <v>74</v>
      </c>
      <c r="I782" t="s">
        <v>11178</v>
      </c>
      <c r="J782" t="s">
        <v>324</v>
      </c>
      <c r="K782" t="s">
        <v>74</v>
      </c>
      <c r="L782" t="s">
        <v>74</v>
      </c>
      <c r="M782" t="s">
        <v>78</v>
      </c>
      <c r="N782" t="s">
        <v>79</v>
      </c>
      <c r="O782" t="s">
        <v>74</v>
      </c>
      <c r="P782" t="s">
        <v>74</v>
      </c>
      <c r="Q782" t="s">
        <v>74</v>
      </c>
      <c r="R782" t="s">
        <v>74</v>
      </c>
      <c r="S782" t="s">
        <v>74</v>
      </c>
      <c r="T782" t="s">
        <v>11179</v>
      </c>
      <c r="U782" t="s">
        <v>11180</v>
      </c>
      <c r="V782" t="s">
        <v>11181</v>
      </c>
      <c r="W782" t="s">
        <v>11182</v>
      </c>
      <c r="X782" t="s">
        <v>11183</v>
      </c>
      <c r="Y782" t="s">
        <v>6194</v>
      </c>
      <c r="Z782" t="s">
        <v>1296</v>
      </c>
      <c r="AA782" t="s">
        <v>11184</v>
      </c>
      <c r="AB782" t="s">
        <v>11185</v>
      </c>
      <c r="AC782" t="s">
        <v>11186</v>
      </c>
      <c r="AD782" t="s">
        <v>11187</v>
      </c>
      <c r="AE782" t="s">
        <v>11188</v>
      </c>
      <c r="AF782" t="s">
        <v>74</v>
      </c>
      <c r="AG782">
        <v>52</v>
      </c>
      <c r="AH782">
        <v>64</v>
      </c>
      <c r="AI782">
        <v>67</v>
      </c>
      <c r="AJ782">
        <v>1</v>
      </c>
      <c r="AK782">
        <v>12</v>
      </c>
      <c r="AL782" t="s">
        <v>92</v>
      </c>
      <c r="AM782" t="s">
        <v>93</v>
      </c>
      <c r="AN782" t="s">
        <v>94</v>
      </c>
      <c r="AO782" t="s">
        <v>337</v>
      </c>
      <c r="AP782" t="s">
        <v>338</v>
      </c>
      <c r="AQ782" t="s">
        <v>74</v>
      </c>
      <c r="AR782" t="s">
        <v>324</v>
      </c>
      <c r="AS782" t="s">
        <v>339</v>
      </c>
      <c r="AT782" t="s">
        <v>1060</v>
      </c>
      <c r="AU782">
        <v>2016</v>
      </c>
      <c r="AV782">
        <v>149</v>
      </c>
      <c r="AW782">
        <v>6</v>
      </c>
      <c r="AX782" t="s">
        <v>74</v>
      </c>
      <c r="AY782" t="s">
        <v>74</v>
      </c>
      <c r="AZ782" t="s">
        <v>74</v>
      </c>
      <c r="BA782" t="s">
        <v>74</v>
      </c>
      <c r="BB782">
        <v>1482</v>
      </c>
      <c r="BC782">
        <v>1493</v>
      </c>
      <c r="BD782" t="s">
        <v>74</v>
      </c>
      <c r="BE782" t="s">
        <v>11189</v>
      </c>
      <c r="BF782" t="str">
        <f>HYPERLINK("http://dx.doi.org/10.1016/j.chest.2016.01.004","http://dx.doi.org/10.1016/j.chest.2016.01.004")</f>
        <v>http://dx.doi.org/10.1016/j.chest.2016.01.004</v>
      </c>
      <c r="BG782" t="s">
        <v>74</v>
      </c>
      <c r="BH782" t="s">
        <v>74</v>
      </c>
      <c r="BI782">
        <v>12</v>
      </c>
      <c r="BJ782" t="s">
        <v>341</v>
      </c>
      <c r="BK782" t="s">
        <v>101</v>
      </c>
      <c r="BL782" t="s">
        <v>342</v>
      </c>
      <c r="BM782" t="s">
        <v>11190</v>
      </c>
      <c r="BN782">
        <v>26836928</v>
      </c>
      <c r="BO782" t="s">
        <v>74</v>
      </c>
      <c r="BP782" t="s">
        <v>74</v>
      </c>
      <c r="BQ782" t="s">
        <v>74</v>
      </c>
      <c r="BR782" t="s">
        <v>104</v>
      </c>
      <c r="BS782" t="s">
        <v>11191</v>
      </c>
      <c r="BT782" t="str">
        <f>HYPERLINK("https%3A%2F%2Fwww.webofscience.com%2Fwos%2Fwoscc%2Ffull-record%2FWOS:000377296000030","View Full Record in Web of Science")</f>
        <v>View Full Record in Web of Science</v>
      </c>
    </row>
    <row r="783" spans="1:72" x14ac:dyDescent="0.25">
      <c r="A783" t="s">
        <v>72</v>
      </c>
      <c r="B783" t="s">
        <v>11192</v>
      </c>
      <c r="C783" t="s">
        <v>74</v>
      </c>
      <c r="D783" t="s">
        <v>74</v>
      </c>
      <c r="E783" t="s">
        <v>74</v>
      </c>
      <c r="F783" t="s">
        <v>11193</v>
      </c>
      <c r="G783" t="s">
        <v>74</v>
      </c>
      <c r="H783" t="s">
        <v>74</v>
      </c>
      <c r="I783" t="s">
        <v>11194</v>
      </c>
      <c r="J783" t="s">
        <v>1348</v>
      </c>
      <c r="K783" t="s">
        <v>74</v>
      </c>
      <c r="L783" t="s">
        <v>74</v>
      </c>
      <c r="M783" t="s">
        <v>78</v>
      </c>
      <c r="N783" t="s">
        <v>299</v>
      </c>
      <c r="O783" t="s">
        <v>74</v>
      </c>
      <c r="P783" t="s">
        <v>74</v>
      </c>
      <c r="Q783" t="s">
        <v>74</v>
      </c>
      <c r="R783" t="s">
        <v>74</v>
      </c>
      <c r="S783" t="s">
        <v>74</v>
      </c>
      <c r="T783" t="s">
        <v>11195</v>
      </c>
      <c r="U783" t="s">
        <v>11196</v>
      </c>
      <c r="V783" t="s">
        <v>11197</v>
      </c>
      <c r="W783" t="s">
        <v>11198</v>
      </c>
      <c r="X783" t="s">
        <v>11199</v>
      </c>
      <c r="Y783" t="s">
        <v>11200</v>
      </c>
      <c r="Z783" t="s">
        <v>331</v>
      </c>
      <c r="AA783" t="s">
        <v>11201</v>
      </c>
      <c r="AB783" t="s">
        <v>11202</v>
      </c>
      <c r="AC783" t="s">
        <v>74</v>
      </c>
      <c r="AD783" t="s">
        <v>74</v>
      </c>
      <c r="AE783" t="s">
        <v>74</v>
      </c>
      <c r="AF783" t="s">
        <v>74</v>
      </c>
      <c r="AG783">
        <v>49</v>
      </c>
      <c r="AH783">
        <v>8</v>
      </c>
      <c r="AI783">
        <v>9</v>
      </c>
      <c r="AJ783">
        <v>0</v>
      </c>
      <c r="AK783">
        <v>5</v>
      </c>
      <c r="AL783" t="s">
        <v>1358</v>
      </c>
      <c r="AM783" t="s">
        <v>1359</v>
      </c>
      <c r="AN783" t="s">
        <v>1360</v>
      </c>
      <c r="AO783" t="s">
        <v>1361</v>
      </c>
      <c r="AP783" t="s">
        <v>1362</v>
      </c>
      <c r="AQ783" t="s">
        <v>74</v>
      </c>
      <c r="AR783" t="s">
        <v>1363</v>
      </c>
      <c r="AS783" t="s">
        <v>1364</v>
      </c>
      <c r="AT783" t="s">
        <v>1060</v>
      </c>
      <c r="AU783">
        <v>2016</v>
      </c>
      <c r="AV783">
        <v>33</v>
      </c>
      <c r="AW783">
        <v>6</v>
      </c>
      <c r="AX783" t="s">
        <v>74</v>
      </c>
      <c r="AY783" t="s">
        <v>74</v>
      </c>
      <c r="AZ783" t="s">
        <v>74</v>
      </c>
      <c r="BA783" t="s">
        <v>74</v>
      </c>
      <c r="BB783">
        <v>460</v>
      </c>
      <c r="BC783">
        <v>473</v>
      </c>
      <c r="BD783" t="s">
        <v>74</v>
      </c>
      <c r="BE783" t="s">
        <v>11203</v>
      </c>
      <c r="BF783" t="str">
        <f>HYPERLINK("http://dx.doi.org/10.1016/j.rmr.2014.09.010","http://dx.doi.org/10.1016/j.rmr.2014.09.010")</f>
        <v>http://dx.doi.org/10.1016/j.rmr.2014.09.010</v>
      </c>
      <c r="BG783" t="s">
        <v>74</v>
      </c>
      <c r="BH783" t="s">
        <v>74</v>
      </c>
      <c r="BI783">
        <v>14</v>
      </c>
      <c r="BJ783" t="s">
        <v>228</v>
      </c>
      <c r="BK783" t="s">
        <v>101</v>
      </c>
      <c r="BL783" t="s">
        <v>228</v>
      </c>
      <c r="BM783" t="s">
        <v>11204</v>
      </c>
      <c r="BN783">
        <v>26868668</v>
      </c>
      <c r="BO783" t="s">
        <v>74</v>
      </c>
      <c r="BP783" t="s">
        <v>74</v>
      </c>
      <c r="BQ783" t="s">
        <v>74</v>
      </c>
      <c r="BR783" t="s">
        <v>104</v>
      </c>
      <c r="BS783" t="s">
        <v>11205</v>
      </c>
      <c r="BT783" t="str">
        <f>HYPERLINK("https%3A%2F%2Fwww.webofscience.com%2Fwos%2Fwoscc%2Ffull-record%2FWOS:000381768300005","View Full Record in Web of Science")</f>
        <v>View Full Record in Web of Science</v>
      </c>
    </row>
    <row r="784" spans="1:72" x14ac:dyDescent="0.25">
      <c r="A784" t="s">
        <v>72</v>
      </c>
      <c r="B784" t="s">
        <v>11206</v>
      </c>
      <c r="C784" t="s">
        <v>74</v>
      </c>
      <c r="D784" t="s">
        <v>74</v>
      </c>
      <c r="E784" t="s">
        <v>74</v>
      </c>
      <c r="F784" t="s">
        <v>11207</v>
      </c>
      <c r="G784" t="s">
        <v>74</v>
      </c>
      <c r="H784" t="s">
        <v>74</v>
      </c>
      <c r="I784" t="s">
        <v>11208</v>
      </c>
      <c r="J784" t="s">
        <v>2580</v>
      </c>
      <c r="K784" t="s">
        <v>74</v>
      </c>
      <c r="L784" t="s">
        <v>74</v>
      </c>
      <c r="M784" t="s">
        <v>78</v>
      </c>
      <c r="N784" t="s">
        <v>52</v>
      </c>
      <c r="O784" t="s">
        <v>4801</v>
      </c>
      <c r="P784" t="s">
        <v>11209</v>
      </c>
      <c r="Q784" t="s">
        <v>6981</v>
      </c>
      <c r="R784" t="s">
        <v>74</v>
      </c>
      <c r="S784" t="s">
        <v>74</v>
      </c>
      <c r="T784" t="s">
        <v>74</v>
      </c>
      <c r="U784" t="s">
        <v>74</v>
      </c>
      <c r="V784" t="s">
        <v>74</v>
      </c>
      <c r="W784" t="s">
        <v>11210</v>
      </c>
      <c r="X784" t="s">
        <v>11211</v>
      </c>
      <c r="Y784" t="s">
        <v>74</v>
      </c>
      <c r="Z784" t="s">
        <v>74</v>
      </c>
      <c r="AA784" t="s">
        <v>11212</v>
      </c>
      <c r="AB784" t="s">
        <v>11213</v>
      </c>
      <c r="AC784" t="s">
        <v>74</v>
      </c>
      <c r="AD784" t="s">
        <v>74</v>
      </c>
      <c r="AE784" t="s">
        <v>74</v>
      </c>
      <c r="AF784" t="s">
        <v>74</v>
      </c>
      <c r="AG784">
        <v>0</v>
      </c>
      <c r="AH784">
        <v>0</v>
      </c>
      <c r="AI784">
        <v>0</v>
      </c>
      <c r="AJ784">
        <v>0</v>
      </c>
      <c r="AK784">
        <v>1</v>
      </c>
      <c r="AL784" t="s">
        <v>2590</v>
      </c>
      <c r="AM784" t="s">
        <v>201</v>
      </c>
      <c r="AN784" t="s">
        <v>2591</v>
      </c>
      <c r="AO784" t="s">
        <v>2592</v>
      </c>
      <c r="AP784" t="s">
        <v>2593</v>
      </c>
      <c r="AQ784" t="s">
        <v>74</v>
      </c>
      <c r="AR784" t="s">
        <v>2594</v>
      </c>
      <c r="AS784" t="s">
        <v>2595</v>
      </c>
      <c r="AT784" t="s">
        <v>1060</v>
      </c>
      <c r="AU784">
        <v>2016</v>
      </c>
      <c r="AV784">
        <v>75</v>
      </c>
      <c r="AW784" t="s">
        <v>74</v>
      </c>
      <c r="AX784" t="s">
        <v>74</v>
      </c>
      <c r="AY784">
        <v>2</v>
      </c>
      <c r="AZ784" t="s">
        <v>74</v>
      </c>
      <c r="BA784" t="s">
        <v>11214</v>
      </c>
      <c r="BB784">
        <v>543</v>
      </c>
      <c r="BC784">
        <v>543</v>
      </c>
      <c r="BD784" t="s">
        <v>74</v>
      </c>
      <c r="BE784" t="s">
        <v>11215</v>
      </c>
      <c r="BF784" t="str">
        <f>HYPERLINK("http://dx.doi.org/10.1136/annrheumdis-2016-eular.1810","http://dx.doi.org/10.1136/annrheumdis-2016-eular.1810")</f>
        <v>http://dx.doi.org/10.1136/annrheumdis-2016-eular.1810</v>
      </c>
      <c r="BG784" t="s">
        <v>74</v>
      </c>
      <c r="BH784" t="s">
        <v>74</v>
      </c>
      <c r="BI784">
        <v>1</v>
      </c>
      <c r="BJ784" t="s">
        <v>2369</v>
      </c>
      <c r="BK784" t="s">
        <v>512</v>
      </c>
      <c r="BL784" t="s">
        <v>2369</v>
      </c>
      <c r="BM784" t="s">
        <v>11216</v>
      </c>
      <c r="BN784" t="s">
        <v>74</v>
      </c>
      <c r="BO784" t="s">
        <v>74</v>
      </c>
      <c r="BP784" t="s">
        <v>74</v>
      </c>
      <c r="BQ784" t="s">
        <v>74</v>
      </c>
      <c r="BR784" t="s">
        <v>104</v>
      </c>
      <c r="BS784" t="s">
        <v>11217</v>
      </c>
      <c r="BT784" t="str">
        <f>HYPERLINK("https%3A%2F%2Fwww.webofscience.com%2Fwos%2Fwoscc%2Ffull-record%2FWOS:000401523102402","View Full Record in Web of Science")</f>
        <v>View Full Record in Web of Science</v>
      </c>
    </row>
    <row r="785" spans="1:72" x14ac:dyDescent="0.25">
      <c r="A785" t="s">
        <v>72</v>
      </c>
      <c r="B785" t="s">
        <v>11218</v>
      </c>
      <c r="C785" t="s">
        <v>74</v>
      </c>
      <c r="D785" t="s">
        <v>74</v>
      </c>
      <c r="E785" t="s">
        <v>74</v>
      </c>
      <c r="F785" t="s">
        <v>11219</v>
      </c>
      <c r="G785" t="s">
        <v>74</v>
      </c>
      <c r="H785" t="s">
        <v>74</v>
      </c>
      <c r="I785" t="s">
        <v>11220</v>
      </c>
      <c r="J785" t="s">
        <v>216</v>
      </c>
      <c r="K785" t="s">
        <v>74</v>
      </c>
      <c r="L785" t="s">
        <v>74</v>
      </c>
      <c r="M785" t="s">
        <v>78</v>
      </c>
      <c r="N785" t="s">
        <v>79</v>
      </c>
      <c r="O785" t="s">
        <v>74</v>
      </c>
      <c r="P785" t="s">
        <v>74</v>
      </c>
      <c r="Q785" t="s">
        <v>74</v>
      </c>
      <c r="R785" t="s">
        <v>74</v>
      </c>
      <c r="S785" t="s">
        <v>74</v>
      </c>
      <c r="T785" t="s">
        <v>74</v>
      </c>
      <c r="U785" t="s">
        <v>11221</v>
      </c>
      <c r="V785" t="s">
        <v>11222</v>
      </c>
      <c r="W785" t="s">
        <v>11223</v>
      </c>
      <c r="X785" t="s">
        <v>11224</v>
      </c>
      <c r="Y785" t="s">
        <v>8323</v>
      </c>
      <c r="Z785" t="s">
        <v>8324</v>
      </c>
      <c r="AA785" t="s">
        <v>11225</v>
      </c>
      <c r="AB785" t="s">
        <v>11226</v>
      </c>
      <c r="AC785" t="s">
        <v>6317</v>
      </c>
      <c r="AD785" t="s">
        <v>6317</v>
      </c>
      <c r="AE785" t="s">
        <v>11227</v>
      </c>
      <c r="AF785" t="s">
        <v>74</v>
      </c>
      <c r="AG785">
        <v>36</v>
      </c>
      <c r="AH785">
        <v>117</v>
      </c>
      <c r="AI785">
        <v>122</v>
      </c>
      <c r="AJ785">
        <v>0</v>
      </c>
      <c r="AK785">
        <v>13</v>
      </c>
      <c r="AL785" t="s">
        <v>219</v>
      </c>
      <c r="AM785" t="s">
        <v>220</v>
      </c>
      <c r="AN785" t="s">
        <v>221</v>
      </c>
      <c r="AO785" t="s">
        <v>222</v>
      </c>
      <c r="AP785" t="s">
        <v>223</v>
      </c>
      <c r="AQ785" t="s">
        <v>74</v>
      </c>
      <c r="AR785" t="s">
        <v>224</v>
      </c>
      <c r="AS785" t="s">
        <v>225</v>
      </c>
      <c r="AT785" t="s">
        <v>1060</v>
      </c>
      <c r="AU785">
        <v>2016</v>
      </c>
      <c r="AV785">
        <v>47</v>
      </c>
      <c r="AW785">
        <v>6</v>
      </c>
      <c r="AX785" t="s">
        <v>74</v>
      </c>
      <c r="AY785" t="s">
        <v>74</v>
      </c>
      <c r="AZ785" t="s">
        <v>74</v>
      </c>
      <c r="BA785" t="s">
        <v>74</v>
      </c>
      <c r="BB785">
        <v>1727</v>
      </c>
      <c r="BC785">
        <v>1736</v>
      </c>
      <c r="BD785" t="s">
        <v>74</v>
      </c>
      <c r="BE785" t="s">
        <v>11228</v>
      </c>
      <c r="BF785" t="str">
        <f>HYPERLINK("http://dx.doi.org/10.1183/13993003.02043-2015","http://dx.doi.org/10.1183/13993003.02043-2015")</f>
        <v>http://dx.doi.org/10.1183/13993003.02043-2015</v>
      </c>
      <c r="BG785" t="s">
        <v>74</v>
      </c>
      <c r="BH785" t="s">
        <v>74</v>
      </c>
      <c r="BI785">
        <v>10</v>
      </c>
      <c r="BJ785" t="s">
        <v>228</v>
      </c>
      <c r="BK785" t="s">
        <v>101</v>
      </c>
      <c r="BL785" t="s">
        <v>228</v>
      </c>
      <c r="BM785" t="s">
        <v>11229</v>
      </c>
      <c r="BN785">
        <v>26989105</v>
      </c>
      <c r="BO785" t="s">
        <v>2854</v>
      </c>
      <c r="BP785" t="s">
        <v>74</v>
      </c>
      <c r="BQ785" t="s">
        <v>74</v>
      </c>
      <c r="BR785" t="s">
        <v>104</v>
      </c>
      <c r="BS785" t="s">
        <v>11230</v>
      </c>
      <c r="BT785" t="str">
        <f>HYPERLINK("https%3A%2F%2Fwww.webofscience.com%2Fwos%2Fwoscc%2Ffull-record%2FWOS:000385956200020","View Full Record in Web of Science")</f>
        <v>View Full Record in Web of Science</v>
      </c>
    </row>
    <row r="786" spans="1:72" x14ac:dyDescent="0.25">
      <c r="A786" t="s">
        <v>72</v>
      </c>
      <c r="B786" t="s">
        <v>11231</v>
      </c>
      <c r="C786" t="s">
        <v>74</v>
      </c>
      <c r="D786" t="s">
        <v>74</v>
      </c>
      <c r="E786" t="s">
        <v>74</v>
      </c>
      <c r="F786" t="s">
        <v>11232</v>
      </c>
      <c r="G786" t="s">
        <v>74</v>
      </c>
      <c r="H786" t="s">
        <v>74</v>
      </c>
      <c r="I786" t="s">
        <v>11233</v>
      </c>
      <c r="J786" t="s">
        <v>251</v>
      </c>
      <c r="K786" t="s">
        <v>74</v>
      </c>
      <c r="L786" t="s">
        <v>74</v>
      </c>
      <c r="M786" t="s">
        <v>78</v>
      </c>
      <c r="N786" t="s">
        <v>217</v>
      </c>
      <c r="O786" t="s">
        <v>74</v>
      </c>
      <c r="P786" t="s">
        <v>74</v>
      </c>
      <c r="Q786" t="s">
        <v>74</v>
      </c>
      <c r="R786" t="s">
        <v>74</v>
      </c>
      <c r="S786" t="s">
        <v>74</v>
      </c>
      <c r="T786" t="s">
        <v>74</v>
      </c>
      <c r="U786" t="s">
        <v>74</v>
      </c>
      <c r="V786" t="s">
        <v>74</v>
      </c>
      <c r="W786" t="s">
        <v>11234</v>
      </c>
      <c r="X786" t="s">
        <v>11235</v>
      </c>
      <c r="Y786" t="s">
        <v>11236</v>
      </c>
      <c r="Z786" t="s">
        <v>74</v>
      </c>
      <c r="AA786" t="s">
        <v>11237</v>
      </c>
      <c r="AB786" t="s">
        <v>11238</v>
      </c>
      <c r="AC786" t="s">
        <v>74</v>
      </c>
      <c r="AD786" t="s">
        <v>74</v>
      </c>
      <c r="AE786" t="s">
        <v>74</v>
      </c>
      <c r="AF786" t="s">
        <v>74</v>
      </c>
      <c r="AG786">
        <v>1</v>
      </c>
      <c r="AH786">
        <v>0</v>
      </c>
      <c r="AI786">
        <v>0</v>
      </c>
      <c r="AJ786">
        <v>0</v>
      </c>
      <c r="AK786">
        <v>2</v>
      </c>
      <c r="AL786" t="s">
        <v>122</v>
      </c>
      <c r="AM786" t="s">
        <v>123</v>
      </c>
      <c r="AN786" t="s">
        <v>124</v>
      </c>
      <c r="AO786" t="s">
        <v>258</v>
      </c>
      <c r="AP786" t="s">
        <v>259</v>
      </c>
      <c r="AQ786" t="s">
        <v>74</v>
      </c>
      <c r="AR786" t="s">
        <v>251</v>
      </c>
      <c r="AS786" t="s">
        <v>260</v>
      </c>
      <c r="AT786" t="s">
        <v>11239</v>
      </c>
      <c r="AU786">
        <v>2016</v>
      </c>
      <c r="AV786">
        <v>133</v>
      </c>
      <c r="AW786">
        <v>19</v>
      </c>
      <c r="AX786" t="s">
        <v>74</v>
      </c>
      <c r="AY786" t="s">
        <v>74</v>
      </c>
      <c r="AZ786" t="s">
        <v>74</v>
      </c>
      <c r="BA786" t="s">
        <v>74</v>
      </c>
      <c r="BB786" t="s">
        <v>11240</v>
      </c>
      <c r="BC786" t="s">
        <v>11241</v>
      </c>
      <c r="BD786" t="s">
        <v>74</v>
      </c>
      <c r="BE786" t="s">
        <v>11242</v>
      </c>
      <c r="BF786" t="str">
        <f>HYPERLINK("http://dx.doi.org/10.1161/CIR.0000000000000425","http://dx.doi.org/10.1161/CIR.0000000000000425")</f>
        <v>http://dx.doi.org/10.1161/CIR.0000000000000425</v>
      </c>
      <c r="BG786" t="s">
        <v>74</v>
      </c>
      <c r="BH786" t="s">
        <v>74</v>
      </c>
      <c r="BI786">
        <v>2</v>
      </c>
      <c r="BJ786" t="s">
        <v>263</v>
      </c>
      <c r="BK786" t="s">
        <v>101</v>
      </c>
      <c r="BL786" t="s">
        <v>133</v>
      </c>
      <c r="BM786" t="s">
        <v>11243</v>
      </c>
      <c r="BN786" t="s">
        <v>74</v>
      </c>
      <c r="BO786" t="s">
        <v>1194</v>
      </c>
      <c r="BP786" t="s">
        <v>74</v>
      </c>
      <c r="BQ786" t="s">
        <v>74</v>
      </c>
      <c r="BR786" t="s">
        <v>104</v>
      </c>
      <c r="BS786" t="s">
        <v>11244</v>
      </c>
      <c r="BT786" t="str">
        <f>HYPERLINK("https%3A%2F%2Fwww.webofscience.com%2Fwos%2Fwoscc%2Ffull-record%2FWOS:000376083800004","View Full Record in Web of Science")</f>
        <v>View Full Record in Web of Science</v>
      </c>
    </row>
    <row r="787" spans="1:72" x14ac:dyDescent="0.25">
      <c r="A787" t="s">
        <v>72</v>
      </c>
      <c r="B787" t="s">
        <v>11245</v>
      </c>
      <c r="C787" t="s">
        <v>74</v>
      </c>
      <c r="D787" t="s">
        <v>74</v>
      </c>
      <c r="E787" t="s">
        <v>74</v>
      </c>
      <c r="F787" t="s">
        <v>11246</v>
      </c>
      <c r="G787" t="s">
        <v>74</v>
      </c>
      <c r="H787" t="s">
        <v>74</v>
      </c>
      <c r="I787" t="s">
        <v>11247</v>
      </c>
      <c r="J787" t="s">
        <v>251</v>
      </c>
      <c r="K787" t="s">
        <v>74</v>
      </c>
      <c r="L787" t="s">
        <v>74</v>
      </c>
      <c r="M787" t="s">
        <v>78</v>
      </c>
      <c r="N787" t="s">
        <v>79</v>
      </c>
      <c r="O787" t="s">
        <v>74</v>
      </c>
      <c r="P787" t="s">
        <v>74</v>
      </c>
      <c r="Q787" t="s">
        <v>74</v>
      </c>
      <c r="R787" t="s">
        <v>74</v>
      </c>
      <c r="S787" t="s">
        <v>74</v>
      </c>
      <c r="T787" t="s">
        <v>11248</v>
      </c>
      <c r="U787" t="s">
        <v>11249</v>
      </c>
      <c r="V787" t="s">
        <v>11250</v>
      </c>
      <c r="W787" t="s">
        <v>11251</v>
      </c>
      <c r="X787" t="s">
        <v>11252</v>
      </c>
      <c r="Y787" t="s">
        <v>11253</v>
      </c>
      <c r="Z787" t="s">
        <v>11254</v>
      </c>
      <c r="AA787" t="s">
        <v>11255</v>
      </c>
      <c r="AB787" t="s">
        <v>11256</v>
      </c>
      <c r="AC787" t="s">
        <v>11257</v>
      </c>
      <c r="AD787" t="s">
        <v>11258</v>
      </c>
      <c r="AE787" t="s">
        <v>11259</v>
      </c>
      <c r="AF787" t="s">
        <v>74</v>
      </c>
      <c r="AG787">
        <v>38</v>
      </c>
      <c r="AH787">
        <v>78</v>
      </c>
      <c r="AI787">
        <v>78</v>
      </c>
      <c r="AJ787">
        <v>0</v>
      </c>
      <c r="AK787">
        <v>14</v>
      </c>
      <c r="AL787" t="s">
        <v>122</v>
      </c>
      <c r="AM787" t="s">
        <v>123</v>
      </c>
      <c r="AN787" t="s">
        <v>124</v>
      </c>
      <c r="AO787" t="s">
        <v>258</v>
      </c>
      <c r="AP787" t="s">
        <v>259</v>
      </c>
      <c r="AQ787" t="s">
        <v>74</v>
      </c>
      <c r="AR787" t="s">
        <v>251</v>
      </c>
      <c r="AS787" t="s">
        <v>260</v>
      </c>
      <c r="AT787" t="s">
        <v>11260</v>
      </c>
      <c r="AU787">
        <v>2016</v>
      </c>
      <c r="AV787">
        <v>133</v>
      </c>
      <c r="AW787">
        <v>18</v>
      </c>
      <c r="AX787" t="s">
        <v>74</v>
      </c>
      <c r="AY787" t="s">
        <v>74</v>
      </c>
      <c r="AZ787" t="s">
        <v>74</v>
      </c>
      <c r="BA787" t="s">
        <v>74</v>
      </c>
      <c r="BB787">
        <v>1747</v>
      </c>
      <c r="BC787" t="s">
        <v>3083</v>
      </c>
      <c r="BD787" t="s">
        <v>74</v>
      </c>
      <c r="BE787" t="s">
        <v>11261</v>
      </c>
      <c r="BF787" t="str">
        <f>HYPERLINK("http://dx.doi.org/10.1161/CIRCULATIONAHA.115.020696","http://dx.doi.org/10.1161/CIRCULATIONAHA.115.020696")</f>
        <v>http://dx.doi.org/10.1161/CIRCULATIONAHA.115.020696</v>
      </c>
      <c r="BG787" t="s">
        <v>74</v>
      </c>
      <c r="BH787" t="s">
        <v>74</v>
      </c>
      <c r="BI787">
        <v>18</v>
      </c>
      <c r="BJ787" t="s">
        <v>263</v>
      </c>
      <c r="BK787" t="s">
        <v>101</v>
      </c>
      <c r="BL787" t="s">
        <v>133</v>
      </c>
      <c r="BM787" t="s">
        <v>11262</v>
      </c>
      <c r="BN787">
        <v>26984938</v>
      </c>
      <c r="BO787" t="s">
        <v>74</v>
      </c>
      <c r="BP787" t="s">
        <v>74</v>
      </c>
      <c r="BQ787" t="s">
        <v>74</v>
      </c>
      <c r="BR787" t="s">
        <v>104</v>
      </c>
      <c r="BS787" t="s">
        <v>11263</v>
      </c>
      <c r="BT787" t="str">
        <f>HYPERLINK("https%3A%2F%2Fwww.webofscience.com%2Fwos%2Fwoscc%2Ffull-record%2FWOS:000375604400005","View Full Record in Web of Science")</f>
        <v>View Full Record in Web of Science</v>
      </c>
    </row>
    <row r="788" spans="1:72" x14ac:dyDescent="0.25">
      <c r="A788" t="s">
        <v>72</v>
      </c>
      <c r="B788" t="s">
        <v>11264</v>
      </c>
      <c r="C788" t="s">
        <v>74</v>
      </c>
      <c r="D788" t="s">
        <v>74</v>
      </c>
      <c r="E788" t="s">
        <v>74</v>
      </c>
      <c r="F788" t="s">
        <v>11265</v>
      </c>
      <c r="G788" t="s">
        <v>74</v>
      </c>
      <c r="H788" t="s">
        <v>74</v>
      </c>
      <c r="I788" t="s">
        <v>11266</v>
      </c>
      <c r="J788" t="s">
        <v>2130</v>
      </c>
      <c r="K788" t="s">
        <v>74</v>
      </c>
      <c r="L788" t="s">
        <v>74</v>
      </c>
      <c r="M788" t="s">
        <v>78</v>
      </c>
      <c r="N788" t="s">
        <v>52</v>
      </c>
      <c r="O788" t="s">
        <v>74</v>
      </c>
      <c r="P788" t="s">
        <v>74</v>
      </c>
      <c r="Q788" t="s">
        <v>74</v>
      </c>
      <c r="R788" t="s">
        <v>74</v>
      </c>
      <c r="S788" t="s">
        <v>74</v>
      </c>
      <c r="T788" t="s">
        <v>74</v>
      </c>
      <c r="U788" t="s">
        <v>74</v>
      </c>
      <c r="V788" t="s">
        <v>74</v>
      </c>
      <c r="W788" t="s">
        <v>11267</v>
      </c>
      <c r="X788" t="s">
        <v>11268</v>
      </c>
      <c r="Y788" t="s">
        <v>74</v>
      </c>
      <c r="Z788" t="s">
        <v>74</v>
      </c>
      <c r="AA788" t="s">
        <v>11269</v>
      </c>
      <c r="AB788" t="s">
        <v>7098</v>
      </c>
      <c r="AC788" t="s">
        <v>74</v>
      </c>
      <c r="AD788" t="s">
        <v>74</v>
      </c>
      <c r="AE788" t="s">
        <v>74</v>
      </c>
      <c r="AF788" t="s">
        <v>74</v>
      </c>
      <c r="AG788">
        <v>0</v>
      </c>
      <c r="AH788">
        <v>0</v>
      </c>
      <c r="AI788">
        <v>0</v>
      </c>
      <c r="AJ788">
        <v>0</v>
      </c>
      <c r="AK788">
        <v>0</v>
      </c>
      <c r="AL788" t="s">
        <v>10904</v>
      </c>
      <c r="AM788" t="s">
        <v>170</v>
      </c>
      <c r="AN788" t="s">
        <v>171</v>
      </c>
      <c r="AO788" t="s">
        <v>2139</v>
      </c>
      <c r="AP788" t="s">
        <v>2140</v>
      </c>
      <c r="AQ788" t="s">
        <v>74</v>
      </c>
      <c r="AR788" t="s">
        <v>2141</v>
      </c>
      <c r="AS788" t="s">
        <v>2142</v>
      </c>
      <c r="AT788" t="s">
        <v>2097</v>
      </c>
      <c r="AU788">
        <v>2016</v>
      </c>
      <c r="AV788">
        <v>18</v>
      </c>
      <c r="AW788" t="s">
        <v>74</v>
      </c>
      <c r="AX788" t="s">
        <v>74</v>
      </c>
      <c r="AY788">
        <v>1</v>
      </c>
      <c r="AZ788" t="s">
        <v>1080</v>
      </c>
      <c r="BA788">
        <v>1412</v>
      </c>
      <c r="BB788">
        <v>318</v>
      </c>
      <c r="BC788">
        <v>319</v>
      </c>
      <c r="BD788" t="s">
        <v>74</v>
      </c>
      <c r="BE788" t="s">
        <v>74</v>
      </c>
      <c r="BF788" t="s">
        <v>74</v>
      </c>
      <c r="BG788" t="s">
        <v>74</v>
      </c>
      <c r="BH788" t="s">
        <v>74</v>
      </c>
      <c r="BI788">
        <v>2</v>
      </c>
      <c r="BJ788" t="s">
        <v>132</v>
      </c>
      <c r="BK788" t="s">
        <v>101</v>
      </c>
      <c r="BL788" t="s">
        <v>133</v>
      </c>
      <c r="BM788" t="s">
        <v>11270</v>
      </c>
      <c r="BN788" t="s">
        <v>74</v>
      </c>
      <c r="BO788" t="s">
        <v>74</v>
      </c>
      <c r="BP788" t="s">
        <v>74</v>
      </c>
      <c r="BQ788" t="s">
        <v>74</v>
      </c>
      <c r="BR788" t="s">
        <v>104</v>
      </c>
      <c r="BS788" t="s">
        <v>11271</v>
      </c>
      <c r="BT788" t="str">
        <f>HYPERLINK("https%3A%2F%2Fwww.webofscience.com%2Fwos%2Fwoscc%2Ffull-record%2FWOS:000377107503034","View Full Record in Web of Science")</f>
        <v>View Full Record in Web of Science</v>
      </c>
    </row>
    <row r="789" spans="1:72" x14ac:dyDescent="0.25">
      <c r="A789" t="s">
        <v>72</v>
      </c>
      <c r="B789" t="s">
        <v>11272</v>
      </c>
      <c r="C789" t="s">
        <v>74</v>
      </c>
      <c r="D789" t="s">
        <v>74</v>
      </c>
      <c r="E789" t="s">
        <v>74</v>
      </c>
      <c r="F789" t="s">
        <v>11273</v>
      </c>
      <c r="G789" t="s">
        <v>74</v>
      </c>
      <c r="H789" t="s">
        <v>74</v>
      </c>
      <c r="I789" t="s">
        <v>11274</v>
      </c>
      <c r="J789" t="s">
        <v>388</v>
      </c>
      <c r="K789" t="s">
        <v>74</v>
      </c>
      <c r="L789" t="s">
        <v>74</v>
      </c>
      <c r="M789" t="s">
        <v>78</v>
      </c>
      <c r="N789" t="s">
        <v>79</v>
      </c>
      <c r="O789" t="s">
        <v>74</v>
      </c>
      <c r="P789" t="s">
        <v>74</v>
      </c>
      <c r="Q789" t="s">
        <v>74</v>
      </c>
      <c r="R789" t="s">
        <v>74</v>
      </c>
      <c r="S789" t="s">
        <v>74</v>
      </c>
      <c r="T789" t="s">
        <v>74</v>
      </c>
      <c r="U789" t="s">
        <v>11275</v>
      </c>
      <c r="V789" t="s">
        <v>11276</v>
      </c>
      <c r="W789" t="s">
        <v>11277</v>
      </c>
      <c r="X789" t="s">
        <v>11278</v>
      </c>
      <c r="Y789" t="s">
        <v>11279</v>
      </c>
      <c r="Z789" t="s">
        <v>6182</v>
      </c>
      <c r="AA789" t="s">
        <v>11280</v>
      </c>
      <c r="AB789" t="s">
        <v>11281</v>
      </c>
      <c r="AC789" t="s">
        <v>10608</v>
      </c>
      <c r="AD789" t="s">
        <v>10608</v>
      </c>
      <c r="AE789" t="s">
        <v>11282</v>
      </c>
      <c r="AF789" t="s">
        <v>74</v>
      </c>
      <c r="AG789">
        <v>35</v>
      </c>
      <c r="AH789">
        <v>87</v>
      </c>
      <c r="AI789">
        <v>93</v>
      </c>
      <c r="AJ789">
        <v>1</v>
      </c>
      <c r="AK789">
        <v>8</v>
      </c>
      <c r="AL789" t="s">
        <v>397</v>
      </c>
      <c r="AM789" t="s">
        <v>1074</v>
      </c>
      <c r="AN789" t="s">
        <v>4444</v>
      </c>
      <c r="AO789" t="s">
        <v>400</v>
      </c>
      <c r="AP789" t="s">
        <v>74</v>
      </c>
      <c r="AQ789" t="s">
        <v>74</v>
      </c>
      <c r="AR789" t="s">
        <v>401</v>
      </c>
      <c r="AS789" t="s">
        <v>402</v>
      </c>
      <c r="AT789" t="s">
        <v>2097</v>
      </c>
      <c r="AU789">
        <v>2016</v>
      </c>
      <c r="AV789">
        <v>4</v>
      </c>
      <c r="AW789">
        <v>5</v>
      </c>
      <c r="AX789" t="s">
        <v>74</v>
      </c>
      <c r="AY789" t="s">
        <v>74</v>
      </c>
      <c r="AZ789" t="s">
        <v>74</v>
      </c>
      <c r="BA789" t="s">
        <v>74</v>
      </c>
      <c r="BB789">
        <v>361</v>
      </c>
      <c r="BC789">
        <v>371</v>
      </c>
      <c r="BD789" t="s">
        <v>74</v>
      </c>
      <c r="BE789" t="s">
        <v>11283</v>
      </c>
      <c r="BF789" t="str">
        <f>HYPERLINK("http://dx.doi.org/10.1016/S2213-2600(16)30019-4","http://dx.doi.org/10.1016/S2213-2600(16)30019-4")</f>
        <v>http://dx.doi.org/10.1016/S2213-2600(16)30019-4</v>
      </c>
      <c r="BG789" t="s">
        <v>74</v>
      </c>
      <c r="BH789" t="s">
        <v>74</v>
      </c>
      <c r="BI789">
        <v>11</v>
      </c>
      <c r="BJ789" t="s">
        <v>341</v>
      </c>
      <c r="BK789" t="s">
        <v>101</v>
      </c>
      <c r="BL789" t="s">
        <v>342</v>
      </c>
      <c r="BM789" t="s">
        <v>11284</v>
      </c>
      <c r="BN789">
        <v>27067479</v>
      </c>
      <c r="BO789" t="s">
        <v>74</v>
      </c>
      <c r="BP789" t="s">
        <v>74</v>
      </c>
      <c r="BQ789" t="s">
        <v>74</v>
      </c>
      <c r="BR789" t="s">
        <v>104</v>
      </c>
      <c r="BS789" t="s">
        <v>11285</v>
      </c>
      <c r="BT789" t="str">
        <f>HYPERLINK("https%3A%2F%2Fwww.webofscience.com%2Fwos%2Fwoscc%2Ffull-record%2FWOS:000375145800022","View Full Record in Web of Science")</f>
        <v>View Full Record in Web of Science</v>
      </c>
    </row>
    <row r="790" spans="1:72" x14ac:dyDescent="0.25">
      <c r="A790" t="s">
        <v>72</v>
      </c>
      <c r="B790" t="s">
        <v>11286</v>
      </c>
      <c r="C790" t="s">
        <v>74</v>
      </c>
      <c r="D790" t="s">
        <v>74</v>
      </c>
      <c r="E790" t="s">
        <v>74</v>
      </c>
      <c r="F790" t="s">
        <v>11287</v>
      </c>
      <c r="G790" t="s">
        <v>74</v>
      </c>
      <c r="H790" t="s">
        <v>74</v>
      </c>
      <c r="I790" t="s">
        <v>11288</v>
      </c>
      <c r="J790" t="s">
        <v>983</v>
      </c>
      <c r="K790" t="s">
        <v>74</v>
      </c>
      <c r="L790" t="s">
        <v>74</v>
      </c>
      <c r="M790" t="s">
        <v>78</v>
      </c>
      <c r="N790" t="s">
        <v>79</v>
      </c>
      <c r="O790" t="s">
        <v>74</v>
      </c>
      <c r="P790" t="s">
        <v>74</v>
      </c>
      <c r="Q790" t="s">
        <v>74</v>
      </c>
      <c r="R790" t="s">
        <v>74</v>
      </c>
      <c r="S790" t="s">
        <v>74</v>
      </c>
      <c r="T790" t="s">
        <v>11289</v>
      </c>
      <c r="U790" t="s">
        <v>11290</v>
      </c>
      <c r="V790" t="s">
        <v>11291</v>
      </c>
      <c r="W790" t="s">
        <v>11292</v>
      </c>
      <c r="X790" t="s">
        <v>11293</v>
      </c>
      <c r="Y790" t="s">
        <v>11294</v>
      </c>
      <c r="Z790" t="s">
        <v>11295</v>
      </c>
      <c r="AA790" t="s">
        <v>11296</v>
      </c>
      <c r="AB790" t="s">
        <v>11297</v>
      </c>
      <c r="AC790" t="s">
        <v>74</v>
      </c>
      <c r="AD790" t="s">
        <v>74</v>
      </c>
      <c r="AE790" t="s">
        <v>74</v>
      </c>
      <c r="AF790" t="s">
        <v>74</v>
      </c>
      <c r="AG790">
        <v>34</v>
      </c>
      <c r="AH790">
        <v>11</v>
      </c>
      <c r="AI790">
        <v>13</v>
      </c>
      <c r="AJ790">
        <v>0</v>
      </c>
      <c r="AK790">
        <v>5</v>
      </c>
      <c r="AL790" t="s">
        <v>991</v>
      </c>
      <c r="AM790" t="s">
        <v>486</v>
      </c>
      <c r="AN790" t="s">
        <v>992</v>
      </c>
      <c r="AO790" t="s">
        <v>993</v>
      </c>
      <c r="AP790" t="s">
        <v>994</v>
      </c>
      <c r="AQ790" t="s">
        <v>74</v>
      </c>
      <c r="AR790" t="s">
        <v>995</v>
      </c>
      <c r="AS790" t="s">
        <v>996</v>
      </c>
      <c r="AT790" t="s">
        <v>2097</v>
      </c>
      <c r="AU790">
        <v>2016</v>
      </c>
      <c r="AV790">
        <v>35</v>
      </c>
      <c r="AW790">
        <v>5</v>
      </c>
      <c r="AX790" t="s">
        <v>74</v>
      </c>
      <c r="AY790" t="s">
        <v>74</v>
      </c>
      <c r="AZ790" t="s">
        <v>74</v>
      </c>
      <c r="BA790" t="s">
        <v>74</v>
      </c>
      <c r="BB790">
        <v>647</v>
      </c>
      <c r="BC790">
        <v>656</v>
      </c>
      <c r="BD790" t="s">
        <v>74</v>
      </c>
      <c r="BE790" t="s">
        <v>11298</v>
      </c>
      <c r="BF790" t="str">
        <f>HYPERLINK("http://dx.doi.org/10.1016/j.healun.2015.12.022","http://dx.doi.org/10.1016/j.healun.2015.12.022")</f>
        <v>http://dx.doi.org/10.1016/j.healun.2015.12.022</v>
      </c>
      <c r="BG790" t="s">
        <v>74</v>
      </c>
      <c r="BH790" t="s">
        <v>74</v>
      </c>
      <c r="BI790">
        <v>10</v>
      </c>
      <c r="BJ790" t="s">
        <v>1000</v>
      </c>
      <c r="BK790" t="s">
        <v>101</v>
      </c>
      <c r="BL790" t="s">
        <v>1001</v>
      </c>
      <c r="BM790" t="s">
        <v>11299</v>
      </c>
      <c r="BN790">
        <v>26987595</v>
      </c>
      <c r="BO790" t="s">
        <v>74</v>
      </c>
      <c r="BP790" t="s">
        <v>74</v>
      </c>
      <c r="BQ790" t="s">
        <v>74</v>
      </c>
      <c r="BR790" t="s">
        <v>104</v>
      </c>
      <c r="BS790" t="s">
        <v>11300</v>
      </c>
      <c r="BT790" t="str">
        <f>HYPERLINK("https%3A%2F%2Fwww.webofscience.com%2Fwos%2Fwoscc%2Ffull-record%2FWOS:000376951900016","View Full Record in Web of Science")</f>
        <v>View Full Record in Web of Science</v>
      </c>
    </row>
    <row r="791" spans="1:72" x14ac:dyDescent="0.25">
      <c r="A791" t="s">
        <v>72</v>
      </c>
      <c r="B791" t="s">
        <v>6284</v>
      </c>
      <c r="C791" t="s">
        <v>74</v>
      </c>
      <c r="D791" t="s">
        <v>74</v>
      </c>
      <c r="E791" t="s">
        <v>74</v>
      </c>
      <c r="F791" t="s">
        <v>6285</v>
      </c>
      <c r="G791" t="s">
        <v>74</v>
      </c>
      <c r="H791" t="s">
        <v>74</v>
      </c>
      <c r="I791" t="s">
        <v>11301</v>
      </c>
      <c r="J791" t="s">
        <v>216</v>
      </c>
      <c r="K791" t="s">
        <v>74</v>
      </c>
      <c r="L791" t="s">
        <v>74</v>
      </c>
      <c r="M791" t="s">
        <v>78</v>
      </c>
      <c r="N791" t="s">
        <v>140</v>
      </c>
      <c r="O791" t="s">
        <v>74</v>
      </c>
      <c r="P791" t="s">
        <v>74</v>
      </c>
      <c r="Q791" t="s">
        <v>74</v>
      </c>
      <c r="R791" t="s">
        <v>74</v>
      </c>
      <c r="S791" t="s">
        <v>74</v>
      </c>
      <c r="T791" t="s">
        <v>74</v>
      </c>
      <c r="U791" t="s">
        <v>11302</v>
      </c>
      <c r="V791" t="s">
        <v>74</v>
      </c>
      <c r="W791" t="s">
        <v>11303</v>
      </c>
      <c r="X791" t="s">
        <v>11304</v>
      </c>
      <c r="Y791" t="s">
        <v>11305</v>
      </c>
      <c r="Z791" t="s">
        <v>9250</v>
      </c>
      <c r="AA791" t="s">
        <v>780</v>
      </c>
      <c r="AB791" t="s">
        <v>11306</v>
      </c>
      <c r="AC791" t="s">
        <v>74</v>
      </c>
      <c r="AD791" t="s">
        <v>74</v>
      </c>
      <c r="AE791" t="s">
        <v>74</v>
      </c>
      <c r="AF791" t="s">
        <v>74</v>
      </c>
      <c r="AG791">
        <v>18</v>
      </c>
      <c r="AH791">
        <v>5</v>
      </c>
      <c r="AI791">
        <v>5</v>
      </c>
      <c r="AJ791">
        <v>0</v>
      </c>
      <c r="AK791">
        <v>3</v>
      </c>
      <c r="AL791" t="s">
        <v>219</v>
      </c>
      <c r="AM791" t="s">
        <v>220</v>
      </c>
      <c r="AN791" t="s">
        <v>221</v>
      </c>
      <c r="AO791" t="s">
        <v>222</v>
      </c>
      <c r="AP791" t="s">
        <v>223</v>
      </c>
      <c r="AQ791" t="s">
        <v>74</v>
      </c>
      <c r="AR791" t="s">
        <v>224</v>
      </c>
      <c r="AS791" t="s">
        <v>225</v>
      </c>
      <c r="AT791" t="s">
        <v>2097</v>
      </c>
      <c r="AU791">
        <v>2016</v>
      </c>
      <c r="AV791">
        <v>47</v>
      </c>
      <c r="AW791">
        <v>5</v>
      </c>
      <c r="AX791" t="s">
        <v>74</v>
      </c>
      <c r="AY791" t="s">
        <v>74</v>
      </c>
      <c r="AZ791" t="s">
        <v>74</v>
      </c>
      <c r="BA791" t="s">
        <v>74</v>
      </c>
      <c r="BB791">
        <v>1334</v>
      </c>
      <c r="BC791">
        <v>1335</v>
      </c>
      <c r="BD791" t="s">
        <v>74</v>
      </c>
      <c r="BE791" t="s">
        <v>11307</v>
      </c>
      <c r="BF791" t="str">
        <f>HYPERLINK("http://dx.doi.org/10.1183/13993003.00390-2016","http://dx.doi.org/10.1183/13993003.00390-2016")</f>
        <v>http://dx.doi.org/10.1183/13993003.00390-2016</v>
      </c>
      <c r="BG791" t="s">
        <v>74</v>
      </c>
      <c r="BH791" t="s">
        <v>74</v>
      </c>
      <c r="BI791">
        <v>2</v>
      </c>
      <c r="BJ791" t="s">
        <v>228</v>
      </c>
      <c r="BK791" t="s">
        <v>101</v>
      </c>
      <c r="BL791" t="s">
        <v>228</v>
      </c>
      <c r="BM791" t="s">
        <v>11308</v>
      </c>
      <c r="BN791">
        <v>27132268</v>
      </c>
      <c r="BO791" t="s">
        <v>2517</v>
      </c>
      <c r="BP791" t="s">
        <v>74</v>
      </c>
      <c r="BQ791" t="s">
        <v>74</v>
      </c>
      <c r="BR791" t="s">
        <v>104</v>
      </c>
      <c r="BS791" t="s">
        <v>11309</v>
      </c>
      <c r="BT791" t="str">
        <f>HYPERLINK("https%3A%2F%2Fwww.webofscience.com%2Fwos%2Fwoscc%2Ffull-record%2FWOS:000385955800012","View Full Record in Web of Science")</f>
        <v>View Full Record in Web of Science</v>
      </c>
    </row>
    <row r="792" spans="1:72" x14ac:dyDescent="0.25">
      <c r="A792" t="s">
        <v>72</v>
      </c>
      <c r="B792" t="s">
        <v>11310</v>
      </c>
      <c r="C792" t="s">
        <v>74</v>
      </c>
      <c r="D792" t="s">
        <v>74</v>
      </c>
      <c r="E792" t="s">
        <v>74</v>
      </c>
      <c r="F792" t="s">
        <v>11311</v>
      </c>
      <c r="G792" t="s">
        <v>74</v>
      </c>
      <c r="H792" t="s">
        <v>74</v>
      </c>
      <c r="I792" t="s">
        <v>11312</v>
      </c>
      <c r="J792" t="s">
        <v>216</v>
      </c>
      <c r="K792" t="s">
        <v>74</v>
      </c>
      <c r="L792" t="s">
        <v>74</v>
      </c>
      <c r="M792" t="s">
        <v>78</v>
      </c>
      <c r="N792" t="s">
        <v>79</v>
      </c>
      <c r="O792" t="s">
        <v>74</v>
      </c>
      <c r="P792" t="s">
        <v>74</v>
      </c>
      <c r="Q792" t="s">
        <v>74</v>
      </c>
      <c r="R792" t="s">
        <v>74</v>
      </c>
      <c r="S792" t="s">
        <v>74</v>
      </c>
      <c r="T792" t="s">
        <v>74</v>
      </c>
      <c r="U792" t="s">
        <v>11313</v>
      </c>
      <c r="V792" t="s">
        <v>11314</v>
      </c>
      <c r="W792" t="s">
        <v>11315</v>
      </c>
      <c r="X792" t="s">
        <v>11316</v>
      </c>
      <c r="Y792" t="s">
        <v>10763</v>
      </c>
      <c r="Z792" t="s">
        <v>10764</v>
      </c>
      <c r="AA792" t="s">
        <v>11317</v>
      </c>
      <c r="AB792" t="s">
        <v>11318</v>
      </c>
      <c r="AC792" t="s">
        <v>74</v>
      </c>
      <c r="AD792" t="s">
        <v>74</v>
      </c>
      <c r="AE792" t="s">
        <v>74</v>
      </c>
      <c r="AF792" t="s">
        <v>74</v>
      </c>
      <c r="AG792">
        <v>29</v>
      </c>
      <c r="AH792">
        <v>44</v>
      </c>
      <c r="AI792">
        <v>44</v>
      </c>
      <c r="AJ792">
        <v>0</v>
      </c>
      <c r="AK792">
        <v>1</v>
      </c>
      <c r="AL792" t="s">
        <v>219</v>
      </c>
      <c r="AM792" t="s">
        <v>220</v>
      </c>
      <c r="AN792" t="s">
        <v>221</v>
      </c>
      <c r="AO792" t="s">
        <v>222</v>
      </c>
      <c r="AP792" t="s">
        <v>223</v>
      </c>
      <c r="AQ792" t="s">
        <v>74</v>
      </c>
      <c r="AR792" t="s">
        <v>224</v>
      </c>
      <c r="AS792" t="s">
        <v>225</v>
      </c>
      <c r="AT792" t="s">
        <v>2097</v>
      </c>
      <c r="AU792">
        <v>2016</v>
      </c>
      <c r="AV792">
        <v>47</v>
      </c>
      <c r="AW792">
        <v>5</v>
      </c>
      <c r="AX792" t="s">
        <v>74</v>
      </c>
      <c r="AY792" t="s">
        <v>74</v>
      </c>
      <c r="AZ792" t="s">
        <v>74</v>
      </c>
      <c r="BA792" t="s">
        <v>74</v>
      </c>
      <c r="BB792">
        <v>1436</v>
      </c>
      <c r="BC792">
        <v>1444</v>
      </c>
      <c r="BD792" t="s">
        <v>74</v>
      </c>
      <c r="BE792" t="s">
        <v>11319</v>
      </c>
      <c r="BF792" t="str">
        <f>HYPERLINK("http://dx.doi.org/10.1183/13993003.01684-2015","http://dx.doi.org/10.1183/13993003.01684-2015")</f>
        <v>http://dx.doi.org/10.1183/13993003.01684-2015</v>
      </c>
      <c r="BG792" t="s">
        <v>74</v>
      </c>
      <c r="BH792" t="s">
        <v>74</v>
      </c>
      <c r="BI792">
        <v>9</v>
      </c>
      <c r="BJ792" t="s">
        <v>228</v>
      </c>
      <c r="BK792" t="s">
        <v>101</v>
      </c>
      <c r="BL792" t="s">
        <v>228</v>
      </c>
      <c r="BM792" t="s">
        <v>11308</v>
      </c>
      <c r="BN792">
        <v>26965292</v>
      </c>
      <c r="BO792" t="s">
        <v>1194</v>
      </c>
      <c r="BP792" t="s">
        <v>74</v>
      </c>
      <c r="BQ792" t="s">
        <v>74</v>
      </c>
      <c r="BR792" t="s">
        <v>104</v>
      </c>
      <c r="BS792" t="s">
        <v>11320</v>
      </c>
      <c r="BT792" t="str">
        <f>HYPERLINK("https%3A%2F%2Fwww.webofscience.com%2Fwos%2Fwoscc%2Ffull-record%2FWOS:000385955800026","View Full Record in Web of Science")</f>
        <v>View Full Record in Web of Science</v>
      </c>
    </row>
    <row r="793" spans="1:72" x14ac:dyDescent="0.25">
      <c r="A793" t="s">
        <v>72</v>
      </c>
      <c r="B793" t="s">
        <v>11321</v>
      </c>
      <c r="C793" t="s">
        <v>74</v>
      </c>
      <c r="D793" t="s">
        <v>74</v>
      </c>
      <c r="E793" t="s">
        <v>74</v>
      </c>
      <c r="F793" t="s">
        <v>11322</v>
      </c>
      <c r="G793" t="s">
        <v>74</v>
      </c>
      <c r="H793" t="s">
        <v>74</v>
      </c>
      <c r="I793" t="s">
        <v>9133</v>
      </c>
      <c r="J793" t="s">
        <v>216</v>
      </c>
      <c r="K793" t="s">
        <v>74</v>
      </c>
      <c r="L793" t="s">
        <v>74</v>
      </c>
      <c r="M793" t="s">
        <v>78</v>
      </c>
      <c r="N793" t="s">
        <v>79</v>
      </c>
      <c r="O793" t="s">
        <v>74</v>
      </c>
      <c r="P793" t="s">
        <v>74</v>
      </c>
      <c r="Q793" t="s">
        <v>74</v>
      </c>
      <c r="R793" t="s">
        <v>74</v>
      </c>
      <c r="S793" t="s">
        <v>74</v>
      </c>
      <c r="T793" t="s">
        <v>74</v>
      </c>
      <c r="U793" t="s">
        <v>11323</v>
      </c>
      <c r="V793" t="s">
        <v>11324</v>
      </c>
      <c r="W793" t="s">
        <v>11325</v>
      </c>
      <c r="X793" t="s">
        <v>11326</v>
      </c>
      <c r="Y793" t="s">
        <v>11327</v>
      </c>
      <c r="Z793" t="s">
        <v>377</v>
      </c>
      <c r="AA793" t="s">
        <v>11328</v>
      </c>
      <c r="AB793" t="s">
        <v>11329</v>
      </c>
      <c r="AC793" t="s">
        <v>74</v>
      </c>
      <c r="AD793" t="s">
        <v>74</v>
      </c>
      <c r="AE793" t="s">
        <v>74</v>
      </c>
      <c r="AF793" t="s">
        <v>74</v>
      </c>
      <c r="AG793">
        <v>109</v>
      </c>
      <c r="AH793">
        <v>211</v>
      </c>
      <c r="AI793">
        <v>222</v>
      </c>
      <c r="AJ793">
        <v>1</v>
      </c>
      <c r="AK793">
        <v>12</v>
      </c>
      <c r="AL793" t="s">
        <v>219</v>
      </c>
      <c r="AM793" t="s">
        <v>220</v>
      </c>
      <c r="AN793" t="s">
        <v>221</v>
      </c>
      <c r="AO793" t="s">
        <v>222</v>
      </c>
      <c r="AP793" t="s">
        <v>223</v>
      </c>
      <c r="AQ793" t="s">
        <v>74</v>
      </c>
      <c r="AR793" t="s">
        <v>224</v>
      </c>
      <c r="AS793" t="s">
        <v>225</v>
      </c>
      <c r="AT793" t="s">
        <v>2097</v>
      </c>
      <c r="AU793">
        <v>2016</v>
      </c>
      <c r="AV793">
        <v>47</v>
      </c>
      <c r="AW793">
        <v>5</v>
      </c>
      <c r="AX793" t="s">
        <v>74</v>
      </c>
      <c r="AY793" t="s">
        <v>74</v>
      </c>
      <c r="AZ793" t="s">
        <v>74</v>
      </c>
      <c r="BA793" t="s">
        <v>74</v>
      </c>
      <c r="BB793">
        <v>1518</v>
      </c>
      <c r="BC793">
        <v>1534</v>
      </c>
      <c r="BD793" t="s">
        <v>74</v>
      </c>
      <c r="BE793" t="s">
        <v>11330</v>
      </c>
      <c r="BF793" t="str">
        <f>HYPERLINK("http://dx.doi.org/10.1183/13993003.00026-2016","http://dx.doi.org/10.1183/13993003.00026-2016")</f>
        <v>http://dx.doi.org/10.1183/13993003.00026-2016</v>
      </c>
      <c r="BG793" t="s">
        <v>74</v>
      </c>
      <c r="BH793" t="s">
        <v>74</v>
      </c>
      <c r="BI793">
        <v>17</v>
      </c>
      <c r="BJ793" t="s">
        <v>228</v>
      </c>
      <c r="BK793" t="s">
        <v>101</v>
      </c>
      <c r="BL793" t="s">
        <v>228</v>
      </c>
      <c r="BM793" t="s">
        <v>11308</v>
      </c>
      <c r="BN793">
        <v>27009171</v>
      </c>
      <c r="BO793" t="s">
        <v>1194</v>
      </c>
      <c r="BP793" t="s">
        <v>74</v>
      </c>
      <c r="BQ793" t="s">
        <v>74</v>
      </c>
      <c r="BR793" t="s">
        <v>104</v>
      </c>
      <c r="BS793" t="s">
        <v>11331</v>
      </c>
      <c r="BT793" t="str">
        <f>HYPERLINK("https%3A%2F%2Fwww.webofscience.com%2Fwos%2Fwoscc%2Ffull-record%2FWOS:000385955800035","View Full Record in Web of Science")</f>
        <v>View Full Record in Web of Science</v>
      </c>
    </row>
    <row r="794" spans="1:72" x14ac:dyDescent="0.25">
      <c r="A794" t="s">
        <v>72</v>
      </c>
      <c r="B794" t="s">
        <v>11332</v>
      </c>
      <c r="C794" t="s">
        <v>74</v>
      </c>
      <c r="D794" t="s">
        <v>74</v>
      </c>
      <c r="E794" t="s">
        <v>74</v>
      </c>
      <c r="F794" t="s">
        <v>11333</v>
      </c>
      <c r="G794" t="s">
        <v>74</v>
      </c>
      <c r="H794" t="s">
        <v>74</v>
      </c>
      <c r="I794" t="s">
        <v>11334</v>
      </c>
      <c r="J794" t="s">
        <v>216</v>
      </c>
      <c r="K794" t="s">
        <v>74</v>
      </c>
      <c r="L794" t="s">
        <v>74</v>
      </c>
      <c r="M794" t="s">
        <v>78</v>
      </c>
      <c r="N794" t="s">
        <v>140</v>
      </c>
      <c r="O794" t="s">
        <v>74</v>
      </c>
      <c r="P794" t="s">
        <v>74</v>
      </c>
      <c r="Q794" t="s">
        <v>74</v>
      </c>
      <c r="R794" t="s">
        <v>74</v>
      </c>
      <c r="S794" t="s">
        <v>74</v>
      </c>
      <c r="T794" t="s">
        <v>74</v>
      </c>
      <c r="U794" t="s">
        <v>11335</v>
      </c>
      <c r="V794" t="s">
        <v>74</v>
      </c>
      <c r="W794" t="s">
        <v>11336</v>
      </c>
      <c r="X794" t="s">
        <v>11337</v>
      </c>
      <c r="Y794" t="s">
        <v>11338</v>
      </c>
      <c r="Z794" t="s">
        <v>11339</v>
      </c>
      <c r="AA794" t="s">
        <v>11340</v>
      </c>
      <c r="AB794" t="s">
        <v>11341</v>
      </c>
      <c r="AC794" t="s">
        <v>74</v>
      </c>
      <c r="AD794" t="s">
        <v>74</v>
      </c>
      <c r="AE794" t="s">
        <v>74</v>
      </c>
      <c r="AF794" t="s">
        <v>74</v>
      </c>
      <c r="AG794">
        <v>12</v>
      </c>
      <c r="AH794">
        <v>8</v>
      </c>
      <c r="AI794">
        <v>8</v>
      </c>
      <c r="AJ794">
        <v>0</v>
      </c>
      <c r="AK794">
        <v>6</v>
      </c>
      <c r="AL794" t="s">
        <v>219</v>
      </c>
      <c r="AM794" t="s">
        <v>220</v>
      </c>
      <c r="AN794" t="s">
        <v>221</v>
      </c>
      <c r="AO794" t="s">
        <v>222</v>
      </c>
      <c r="AP794" t="s">
        <v>223</v>
      </c>
      <c r="AQ794" t="s">
        <v>74</v>
      </c>
      <c r="AR794" t="s">
        <v>224</v>
      </c>
      <c r="AS794" t="s">
        <v>225</v>
      </c>
      <c r="AT794" t="s">
        <v>2097</v>
      </c>
      <c r="AU794">
        <v>2016</v>
      </c>
      <c r="AV794">
        <v>47</v>
      </c>
      <c r="AW794">
        <v>5</v>
      </c>
      <c r="AX794" t="s">
        <v>74</v>
      </c>
      <c r="AY794" t="s">
        <v>74</v>
      </c>
      <c r="AZ794" t="s">
        <v>74</v>
      </c>
      <c r="BA794" t="s">
        <v>74</v>
      </c>
      <c r="BB794">
        <v>1342</v>
      </c>
      <c r="BC794">
        <v>1344</v>
      </c>
      <c r="BD794" t="s">
        <v>74</v>
      </c>
      <c r="BE794" t="s">
        <v>11342</v>
      </c>
      <c r="BF794" t="str">
        <f>HYPERLINK("http://dx.doi.org/10.1183/13993003.00479-2016","http://dx.doi.org/10.1183/13993003.00479-2016")</f>
        <v>http://dx.doi.org/10.1183/13993003.00479-2016</v>
      </c>
      <c r="BG794" t="s">
        <v>74</v>
      </c>
      <c r="BH794" t="s">
        <v>74</v>
      </c>
      <c r="BI794">
        <v>3</v>
      </c>
      <c r="BJ794" t="s">
        <v>228</v>
      </c>
      <c r="BK794" t="s">
        <v>101</v>
      </c>
      <c r="BL794" t="s">
        <v>228</v>
      </c>
      <c r="BM794" t="s">
        <v>11308</v>
      </c>
      <c r="BN794">
        <v>27132270</v>
      </c>
      <c r="BO794" t="s">
        <v>74</v>
      </c>
      <c r="BP794" t="s">
        <v>74</v>
      </c>
      <c r="BQ794" t="s">
        <v>74</v>
      </c>
      <c r="BR794" t="s">
        <v>104</v>
      </c>
      <c r="BS794" t="s">
        <v>11343</v>
      </c>
      <c r="BT794" t="str">
        <f>HYPERLINK("https%3A%2F%2Fwww.webofscience.com%2Fwos%2Fwoscc%2Ffull-record%2FWOS:000385955800014","View Full Record in Web of Science")</f>
        <v>View Full Record in Web of Science</v>
      </c>
    </row>
    <row r="795" spans="1:72" x14ac:dyDescent="0.25">
      <c r="A795" t="s">
        <v>72</v>
      </c>
      <c r="B795" t="s">
        <v>11344</v>
      </c>
      <c r="C795" t="s">
        <v>74</v>
      </c>
      <c r="D795" t="s">
        <v>74</v>
      </c>
      <c r="E795" t="s">
        <v>74</v>
      </c>
      <c r="F795" t="s">
        <v>11345</v>
      </c>
      <c r="G795" t="s">
        <v>74</v>
      </c>
      <c r="H795" t="s">
        <v>74</v>
      </c>
      <c r="I795" t="s">
        <v>11346</v>
      </c>
      <c r="J795" t="s">
        <v>251</v>
      </c>
      <c r="K795" t="s">
        <v>74</v>
      </c>
      <c r="L795" t="s">
        <v>74</v>
      </c>
      <c r="M795" t="s">
        <v>78</v>
      </c>
      <c r="N795" t="s">
        <v>79</v>
      </c>
      <c r="O795" t="s">
        <v>74</v>
      </c>
      <c r="P795" t="s">
        <v>74</v>
      </c>
      <c r="Q795" t="s">
        <v>74</v>
      </c>
      <c r="R795" t="s">
        <v>74</v>
      </c>
      <c r="S795" t="s">
        <v>74</v>
      </c>
      <c r="T795" t="s">
        <v>11347</v>
      </c>
      <c r="U795" t="s">
        <v>11348</v>
      </c>
      <c r="V795" t="s">
        <v>11349</v>
      </c>
      <c r="W795" t="s">
        <v>11350</v>
      </c>
      <c r="X795" t="s">
        <v>11351</v>
      </c>
      <c r="Y795" t="s">
        <v>11352</v>
      </c>
      <c r="Z795" t="s">
        <v>7319</v>
      </c>
      <c r="AA795" t="s">
        <v>11353</v>
      </c>
      <c r="AB795" t="s">
        <v>11354</v>
      </c>
      <c r="AC795" t="s">
        <v>11355</v>
      </c>
      <c r="AD795" t="s">
        <v>11356</v>
      </c>
      <c r="AE795" t="s">
        <v>11357</v>
      </c>
      <c r="AF795" t="s">
        <v>74</v>
      </c>
      <c r="AG795">
        <v>47</v>
      </c>
      <c r="AH795">
        <v>146</v>
      </c>
      <c r="AI795">
        <v>152</v>
      </c>
      <c r="AJ795">
        <v>1</v>
      </c>
      <c r="AK795">
        <v>32</v>
      </c>
      <c r="AL795" t="s">
        <v>122</v>
      </c>
      <c r="AM795" t="s">
        <v>123</v>
      </c>
      <c r="AN795" t="s">
        <v>124</v>
      </c>
      <c r="AO795" t="s">
        <v>258</v>
      </c>
      <c r="AP795" t="s">
        <v>259</v>
      </c>
      <c r="AQ795" t="s">
        <v>74</v>
      </c>
      <c r="AR795" t="s">
        <v>251</v>
      </c>
      <c r="AS795" t="s">
        <v>260</v>
      </c>
      <c r="AT795" t="s">
        <v>3480</v>
      </c>
      <c r="AU795">
        <v>2016</v>
      </c>
      <c r="AV795">
        <v>133</v>
      </c>
      <c r="AW795">
        <v>14</v>
      </c>
      <c r="AX795" t="s">
        <v>74</v>
      </c>
      <c r="AY795" t="s">
        <v>74</v>
      </c>
      <c r="AZ795" t="s">
        <v>74</v>
      </c>
      <c r="BA795" t="s">
        <v>74</v>
      </c>
      <c r="BB795">
        <v>1371</v>
      </c>
      <c r="BC795">
        <v>1385</v>
      </c>
      <c r="BD795" t="s">
        <v>74</v>
      </c>
      <c r="BE795" t="s">
        <v>11358</v>
      </c>
      <c r="BF795" t="str">
        <f>HYPERLINK("http://dx.doi.org/10.1161/CIRCULATIONAHA.115.020951","http://dx.doi.org/10.1161/CIRCULATIONAHA.115.020951")</f>
        <v>http://dx.doi.org/10.1161/CIRCULATIONAHA.115.020951</v>
      </c>
      <c r="BG795" t="s">
        <v>74</v>
      </c>
      <c r="BH795" t="s">
        <v>74</v>
      </c>
      <c r="BI795">
        <v>15</v>
      </c>
      <c r="BJ795" t="s">
        <v>263</v>
      </c>
      <c r="BK795" t="s">
        <v>101</v>
      </c>
      <c r="BL795" t="s">
        <v>133</v>
      </c>
      <c r="BM795" t="s">
        <v>11359</v>
      </c>
      <c r="BN795">
        <v>26912814</v>
      </c>
      <c r="BO795" t="s">
        <v>74</v>
      </c>
      <c r="BP795" t="s">
        <v>74</v>
      </c>
      <c r="BQ795" t="s">
        <v>74</v>
      </c>
      <c r="BR795" t="s">
        <v>104</v>
      </c>
      <c r="BS795" t="s">
        <v>11360</v>
      </c>
      <c r="BT795" t="str">
        <f>HYPERLINK("https%3A%2F%2Fwww.webofscience.com%2Fwos%2Fwoscc%2Ffull-record%2FWOS:000373294700006","View Full Record in Web of Science")</f>
        <v>View Full Record in Web of Science</v>
      </c>
    </row>
    <row r="796" spans="1:72" x14ac:dyDescent="0.25">
      <c r="A796" t="s">
        <v>72</v>
      </c>
      <c r="B796" t="s">
        <v>11361</v>
      </c>
      <c r="C796" t="s">
        <v>74</v>
      </c>
      <c r="D796" t="s">
        <v>74</v>
      </c>
      <c r="E796" t="s">
        <v>74</v>
      </c>
      <c r="F796" t="s">
        <v>11362</v>
      </c>
      <c r="G796" t="s">
        <v>74</v>
      </c>
      <c r="H796" t="s">
        <v>74</v>
      </c>
      <c r="I796" t="s">
        <v>11363</v>
      </c>
      <c r="J796" t="s">
        <v>251</v>
      </c>
      <c r="K796" t="s">
        <v>74</v>
      </c>
      <c r="L796" t="s">
        <v>74</v>
      </c>
      <c r="M796" t="s">
        <v>78</v>
      </c>
      <c r="N796" t="s">
        <v>460</v>
      </c>
      <c r="O796" t="s">
        <v>74</v>
      </c>
      <c r="P796" t="s">
        <v>74</v>
      </c>
      <c r="Q796" t="s">
        <v>74</v>
      </c>
      <c r="R796" t="s">
        <v>74</v>
      </c>
      <c r="S796" t="s">
        <v>74</v>
      </c>
      <c r="T796" t="s">
        <v>74</v>
      </c>
      <c r="U796" t="s">
        <v>74</v>
      </c>
      <c r="V796" t="s">
        <v>74</v>
      </c>
      <c r="W796" t="s">
        <v>11364</v>
      </c>
      <c r="X796" t="s">
        <v>11365</v>
      </c>
      <c r="Y796" t="s">
        <v>11366</v>
      </c>
      <c r="Z796" t="s">
        <v>74</v>
      </c>
      <c r="AA796" t="s">
        <v>11367</v>
      </c>
      <c r="AB796" t="s">
        <v>11368</v>
      </c>
      <c r="AC796" t="s">
        <v>74</v>
      </c>
      <c r="AD796" t="s">
        <v>74</v>
      </c>
      <c r="AE796" t="s">
        <v>74</v>
      </c>
      <c r="AF796" t="s">
        <v>74</v>
      </c>
      <c r="AG796">
        <v>5</v>
      </c>
      <c r="AH796">
        <v>1</v>
      </c>
      <c r="AI796">
        <v>1</v>
      </c>
      <c r="AJ796">
        <v>0</v>
      </c>
      <c r="AK796">
        <v>4</v>
      </c>
      <c r="AL796" t="s">
        <v>122</v>
      </c>
      <c r="AM796" t="s">
        <v>123</v>
      </c>
      <c r="AN796" t="s">
        <v>124</v>
      </c>
      <c r="AO796" t="s">
        <v>258</v>
      </c>
      <c r="AP796" t="s">
        <v>259</v>
      </c>
      <c r="AQ796" t="s">
        <v>74</v>
      </c>
      <c r="AR796" t="s">
        <v>251</v>
      </c>
      <c r="AS796" t="s">
        <v>260</v>
      </c>
      <c r="AT796" t="s">
        <v>3480</v>
      </c>
      <c r="AU796">
        <v>2016</v>
      </c>
      <c r="AV796">
        <v>133</v>
      </c>
      <c r="AW796">
        <v>14</v>
      </c>
      <c r="AX796" t="s">
        <v>74</v>
      </c>
      <c r="AY796" t="s">
        <v>74</v>
      </c>
      <c r="AZ796" t="s">
        <v>74</v>
      </c>
      <c r="BA796" t="s">
        <v>74</v>
      </c>
      <c r="BB796" t="s">
        <v>11369</v>
      </c>
      <c r="BC796" t="s">
        <v>11370</v>
      </c>
      <c r="BD796" t="s">
        <v>74</v>
      </c>
      <c r="BE796" t="s">
        <v>11371</v>
      </c>
      <c r="BF796" t="str">
        <f>HYPERLINK("http://dx.doi.org/10.1161/CIRCULATIONAHA.116.020946","http://dx.doi.org/10.1161/CIRCULATIONAHA.116.020946")</f>
        <v>http://dx.doi.org/10.1161/CIRCULATIONAHA.116.020946</v>
      </c>
      <c r="BG796" t="s">
        <v>74</v>
      </c>
      <c r="BH796" t="s">
        <v>74</v>
      </c>
      <c r="BI796">
        <v>2</v>
      </c>
      <c r="BJ796" t="s">
        <v>263</v>
      </c>
      <c r="BK796" t="s">
        <v>101</v>
      </c>
      <c r="BL796" t="s">
        <v>133</v>
      </c>
      <c r="BM796" t="s">
        <v>11372</v>
      </c>
      <c r="BN796">
        <v>27045136</v>
      </c>
      <c r="BO796" t="s">
        <v>1194</v>
      </c>
      <c r="BP796" t="s">
        <v>74</v>
      </c>
      <c r="BQ796" t="s">
        <v>74</v>
      </c>
      <c r="BR796" t="s">
        <v>104</v>
      </c>
      <c r="BS796" t="s">
        <v>11373</v>
      </c>
      <c r="BT796" t="str">
        <f>HYPERLINK("https%3A%2F%2Fwww.webofscience.com%2Fwos%2Fwoscc%2Ffull-record%2FWOS:000373294800007","View Full Record in Web of Science")</f>
        <v>View Full Record in Web of Science</v>
      </c>
    </row>
    <row r="797" spans="1:72" x14ac:dyDescent="0.25">
      <c r="A797" t="s">
        <v>72</v>
      </c>
      <c r="B797" t="s">
        <v>11374</v>
      </c>
      <c r="C797" t="s">
        <v>74</v>
      </c>
      <c r="D797" t="s">
        <v>74</v>
      </c>
      <c r="E797" t="s">
        <v>74</v>
      </c>
      <c r="F797" t="s">
        <v>11375</v>
      </c>
      <c r="G797" t="s">
        <v>74</v>
      </c>
      <c r="H797" t="s">
        <v>74</v>
      </c>
      <c r="I797" t="s">
        <v>11376</v>
      </c>
      <c r="J797" t="s">
        <v>1924</v>
      </c>
      <c r="K797" t="s">
        <v>74</v>
      </c>
      <c r="L797" t="s">
        <v>74</v>
      </c>
      <c r="M797" t="s">
        <v>78</v>
      </c>
      <c r="N797" t="s">
        <v>52</v>
      </c>
      <c r="O797" t="s">
        <v>74</v>
      </c>
      <c r="P797" t="s">
        <v>74</v>
      </c>
      <c r="Q797" t="s">
        <v>74</v>
      </c>
      <c r="R797" t="s">
        <v>74</v>
      </c>
      <c r="S797" t="s">
        <v>74</v>
      </c>
      <c r="T797" t="s">
        <v>74</v>
      </c>
      <c r="U797" t="s">
        <v>74</v>
      </c>
      <c r="V797" t="s">
        <v>74</v>
      </c>
      <c r="W797" t="s">
        <v>11377</v>
      </c>
      <c r="X797" t="s">
        <v>11378</v>
      </c>
      <c r="Y797" t="s">
        <v>74</v>
      </c>
      <c r="Z797" t="s">
        <v>74</v>
      </c>
      <c r="AA797" t="s">
        <v>144</v>
      </c>
      <c r="AB797" t="s">
        <v>74</v>
      </c>
      <c r="AC797" t="s">
        <v>74</v>
      </c>
      <c r="AD797" t="s">
        <v>74</v>
      </c>
      <c r="AE797" t="s">
        <v>74</v>
      </c>
      <c r="AF797" t="s">
        <v>74</v>
      </c>
      <c r="AG797">
        <v>2</v>
      </c>
      <c r="AH797">
        <v>0</v>
      </c>
      <c r="AI797">
        <v>0</v>
      </c>
      <c r="AJ797">
        <v>0</v>
      </c>
      <c r="AK797">
        <v>1</v>
      </c>
      <c r="AL797" t="s">
        <v>169</v>
      </c>
      <c r="AM797" t="s">
        <v>170</v>
      </c>
      <c r="AN797" t="s">
        <v>171</v>
      </c>
      <c r="AO797" t="s">
        <v>1929</v>
      </c>
      <c r="AP797" t="s">
        <v>1930</v>
      </c>
      <c r="AQ797" t="s">
        <v>74</v>
      </c>
      <c r="AR797" t="s">
        <v>1931</v>
      </c>
      <c r="AS797" t="s">
        <v>1932</v>
      </c>
      <c r="AT797" t="s">
        <v>997</v>
      </c>
      <c r="AU797">
        <v>2016</v>
      </c>
      <c r="AV797">
        <v>30</v>
      </c>
      <c r="AW797" t="s">
        <v>74</v>
      </c>
      <c r="AX797" t="s">
        <v>74</v>
      </c>
      <c r="AY797">
        <v>1</v>
      </c>
      <c r="AZ797" t="s">
        <v>1080</v>
      </c>
      <c r="BA797" t="s">
        <v>11379</v>
      </c>
      <c r="BB797">
        <v>32</v>
      </c>
      <c r="BC797">
        <v>32</v>
      </c>
      <c r="BD797" t="s">
        <v>74</v>
      </c>
      <c r="BE797" t="s">
        <v>74</v>
      </c>
      <c r="BF797" t="s">
        <v>74</v>
      </c>
      <c r="BG797" t="s">
        <v>74</v>
      </c>
      <c r="BH797" t="s">
        <v>74</v>
      </c>
      <c r="BI797">
        <v>1</v>
      </c>
      <c r="BJ797" t="s">
        <v>1477</v>
      </c>
      <c r="BK797" t="s">
        <v>101</v>
      </c>
      <c r="BL797" t="s">
        <v>1477</v>
      </c>
      <c r="BM797" t="s">
        <v>11380</v>
      </c>
      <c r="BN797" t="s">
        <v>74</v>
      </c>
      <c r="BO797" t="s">
        <v>74</v>
      </c>
      <c r="BP797" t="s">
        <v>74</v>
      </c>
      <c r="BQ797" t="s">
        <v>74</v>
      </c>
      <c r="BR797" t="s">
        <v>104</v>
      </c>
      <c r="BS797" t="s">
        <v>11381</v>
      </c>
      <c r="BT797" t="str">
        <f>HYPERLINK("https%3A%2F%2Fwww.webofscience.com%2Fwos%2Fwoscc%2Ffull-record%2FWOS:000373613500115","View Full Record in Web of Science")</f>
        <v>View Full Record in Web of Science</v>
      </c>
    </row>
    <row r="798" spans="1:72" x14ac:dyDescent="0.25">
      <c r="A798" t="s">
        <v>72</v>
      </c>
      <c r="B798" t="s">
        <v>11382</v>
      </c>
      <c r="C798" t="s">
        <v>74</v>
      </c>
      <c r="D798" t="s">
        <v>74</v>
      </c>
      <c r="E798" t="s">
        <v>74</v>
      </c>
      <c r="F798" t="s">
        <v>11383</v>
      </c>
      <c r="G798" t="s">
        <v>74</v>
      </c>
      <c r="H798" t="s">
        <v>74</v>
      </c>
      <c r="I798" t="s">
        <v>11384</v>
      </c>
      <c r="J798" t="s">
        <v>388</v>
      </c>
      <c r="K798" t="s">
        <v>74</v>
      </c>
      <c r="L798" t="s">
        <v>74</v>
      </c>
      <c r="M798" t="s">
        <v>78</v>
      </c>
      <c r="N798" t="s">
        <v>299</v>
      </c>
      <c r="O798" t="s">
        <v>74</v>
      </c>
      <c r="P798" t="s">
        <v>74</v>
      </c>
      <c r="Q798" t="s">
        <v>74</v>
      </c>
      <c r="R798" t="s">
        <v>74</v>
      </c>
      <c r="S798" t="s">
        <v>74</v>
      </c>
      <c r="T798" t="s">
        <v>74</v>
      </c>
      <c r="U798" t="s">
        <v>11385</v>
      </c>
      <c r="V798" t="s">
        <v>11386</v>
      </c>
      <c r="W798" t="s">
        <v>11387</v>
      </c>
      <c r="X798" t="s">
        <v>11388</v>
      </c>
      <c r="Y798" t="s">
        <v>7839</v>
      </c>
      <c r="Z798" t="s">
        <v>1689</v>
      </c>
      <c r="AA798" t="s">
        <v>11389</v>
      </c>
      <c r="AB798" t="s">
        <v>11390</v>
      </c>
      <c r="AC798" t="s">
        <v>11391</v>
      </c>
      <c r="AD798" t="s">
        <v>11392</v>
      </c>
      <c r="AE798" t="s">
        <v>11393</v>
      </c>
      <c r="AF798" t="s">
        <v>74</v>
      </c>
      <c r="AG798">
        <v>181</v>
      </c>
      <c r="AH798">
        <v>604</v>
      </c>
      <c r="AI798">
        <v>666</v>
      </c>
      <c r="AJ798">
        <v>16</v>
      </c>
      <c r="AK798">
        <v>143</v>
      </c>
      <c r="AL798" t="s">
        <v>397</v>
      </c>
      <c r="AM798" t="s">
        <v>1074</v>
      </c>
      <c r="AN798" t="s">
        <v>4444</v>
      </c>
      <c r="AO798" t="s">
        <v>400</v>
      </c>
      <c r="AP798" t="s">
        <v>74</v>
      </c>
      <c r="AQ798" t="s">
        <v>74</v>
      </c>
      <c r="AR798" t="s">
        <v>401</v>
      </c>
      <c r="AS798" t="s">
        <v>402</v>
      </c>
      <c r="AT798" t="s">
        <v>997</v>
      </c>
      <c r="AU798">
        <v>2016</v>
      </c>
      <c r="AV798">
        <v>4</v>
      </c>
      <c r="AW798">
        <v>4</v>
      </c>
      <c r="AX798" t="s">
        <v>74</v>
      </c>
      <c r="AY798" t="s">
        <v>74</v>
      </c>
      <c r="AZ798" t="s">
        <v>74</v>
      </c>
      <c r="BA798" t="s">
        <v>74</v>
      </c>
      <c r="BB798">
        <v>306</v>
      </c>
      <c r="BC798">
        <v>322</v>
      </c>
      <c r="BD798" t="s">
        <v>74</v>
      </c>
      <c r="BE798" t="s">
        <v>11394</v>
      </c>
      <c r="BF798" t="str">
        <f>HYPERLINK("http://dx.doi.org/10.1016/S2213-2600(15)00543-3","http://dx.doi.org/10.1016/S2213-2600(15)00543-3")</f>
        <v>http://dx.doi.org/10.1016/S2213-2600(15)00543-3</v>
      </c>
      <c r="BG798" t="s">
        <v>74</v>
      </c>
      <c r="BH798" t="s">
        <v>74</v>
      </c>
      <c r="BI798">
        <v>17</v>
      </c>
      <c r="BJ798" t="s">
        <v>341</v>
      </c>
      <c r="BK798" t="s">
        <v>101</v>
      </c>
      <c r="BL798" t="s">
        <v>342</v>
      </c>
      <c r="BM798" t="s">
        <v>11395</v>
      </c>
      <c r="BN798">
        <v>26975810</v>
      </c>
      <c r="BO798" t="s">
        <v>74</v>
      </c>
      <c r="BP798" t="s">
        <v>1155</v>
      </c>
      <c r="BQ798" t="s">
        <v>1156</v>
      </c>
      <c r="BR798" t="s">
        <v>104</v>
      </c>
      <c r="BS798" t="s">
        <v>11396</v>
      </c>
      <c r="BT798" t="str">
        <f>HYPERLINK("https%3A%2F%2Fwww.webofscience.com%2Fwos%2Fwoscc%2Ffull-record%2FWOS:000373650800017","View Full Record in Web of Science")</f>
        <v>View Full Record in Web of Science</v>
      </c>
    </row>
    <row r="799" spans="1:72" x14ac:dyDescent="0.25">
      <c r="A799" t="s">
        <v>72</v>
      </c>
      <c r="B799" t="s">
        <v>11397</v>
      </c>
      <c r="C799" t="s">
        <v>74</v>
      </c>
      <c r="D799" t="s">
        <v>74</v>
      </c>
      <c r="E799" t="s">
        <v>74</v>
      </c>
      <c r="F799" t="s">
        <v>11398</v>
      </c>
      <c r="G799" t="s">
        <v>74</v>
      </c>
      <c r="H799" t="s">
        <v>74</v>
      </c>
      <c r="I799" t="s">
        <v>11399</v>
      </c>
      <c r="J799" t="s">
        <v>2398</v>
      </c>
      <c r="K799" t="s">
        <v>74</v>
      </c>
      <c r="L799" t="s">
        <v>74</v>
      </c>
      <c r="M799" t="s">
        <v>78</v>
      </c>
      <c r="N799" t="s">
        <v>52</v>
      </c>
      <c r="O799" t="s">
        <v>74</v>
      </c>
      <c r="P799" t="s">
        <v>74</v>
      </c>
      <c r="Q799" t="s">
        <v>74</v>
      </c>
      <c r="R799" t="s">
        <v>74</v>
      </c>
      <c r="S799" t="s">
        <v>74</v>
      </c>
      <c r="T799" t="s">
        <v>74</v>
      </c>
      <c r="U799" t="s">
        <v>74</v>
      </c>
      <c r="V799" t="s">
        <v>74</v>
      </c>
      <c r="W799" t="s">
        <v>11400</v>
      </c>
      <c r="X799" t="s">
        <v>11401</v>
      </c>
      <c r="Y799" t="s">
        <v>74</v>
      </c>
      <c r="Z799" t="s">
        <v>74</v>
      </c>
      <c r="AA799" t="s">
        <v>11402</v>
      </c>
      <c r="AB799" t="s">
        <v>10255</v>
      </c>
      <c r="AC799" t="s">
        <v>74</v>
      </c>
      <c r="AD799" t="s">
        <v>74</v>
      </c>
      <c r="AE799" t="s">
        <v>74</v>
      </c>
      <c r="AF799" t="s">
        <v>74</v>
      </c>
      <c r="AG799">
        <v>1</v>
      </c>
      <c r="AH799">
        <v>0</v>
      </c>
      <c r="AI799">
        <v>0</v>
      </c>
      <c r="AJ799">
        <v>0</v>
      </c>
      <c r="AK799">
        <v>1</v>
      </c>
      <c r="AL799" t="s">
        <v>10904</v>
      </c>
      <c r="AM799" t="s">
        <v>170</v>
      </c>
      <c r="AN799" t="s">
        <v>171</v>
      </c>
      <c r="AO799" t="s">
        <v>2403</v>
      </c>
      <c r="AP799" t="s">
        <v>2404</v>
      </c>
      <c r="AQ799" t="s">
        <v>74</v>
      </c>
      <c r="AR799" t="s">
        <v>2398</v>
      </c>
      <c r="AS799" t="s">
        <v>2405</v>
      </c>
      <c r="AT799" t="s">
        <v>997</v>
      </c>
      <c r="AU799">
        <v>2016</v>
      </c>
      <c r="AV799">
        <v>21</v>
      </c>
      <c r="AW799" t="s">
        <v>74</v>
      </c>
      <c r="AX799" t="s">
        <v>74</v>
      </c>
      <c r="AY799">
        <v>2</v>
      </c>
      <c r="AZ799" t="s">
        <v>1080</v>
      </c>
      <c r="BA799" t="s">
        <v>11403</v>
      </c>
      <c r="BB799">
        <v>89</v>
      </c>
      <c r="BC799">
        <v>89</v>
      </c>
      <c r="BD799" t="s">
        <v>74</v>
      </c>
      <c r="BE799" t="s">
        <v>74</v>
      </c>
      <c r="BF799" t="s">
        <v>74</v>
      </c>
      <c r="BG799" t="s">
        <v>74</v>
      </c>
      <c r="BH799" t="s">
        <v>74</v>
      </c>
      <c r="BI799">
        <v>1</v>
      </c>
      <c r="BJ799" t="s">
        <v>228</v>
      </c>
      <c r="BK799" t="s">
        <v>101</v>
      </c>
      <c r="BL799" t="s">
        <v>228</v>
      </c>
      <c r="BM799" t="s">
        <v>11404</v>
      </c>
      <c r="BN799" t="s">
        <v>74</v>
      </c>
      <c r="BO799" t="s">
        <v>74</v>
      </c>
      <c r="BP799" t="s">
        <v>74</v>
      </c>
      <c r="BQ799" t="s">
        <v>74</v>
      </c>
      <c r="BR799" t="s">
        <v>104</v>
      </c>
      <c r="BS799" t="s">
        <v>11405</v>
      </c>
      <c r="BT799" t="str">
        <f>HYPERLINK("https%3A%2F%2Fwww.webofscience.com%2Fwos%2Fwoscc%2Ffull-record%2FWOS:000373102400180","View Full Record in Web of Science")</f>
        <v>View Full Record in Web of Science</v>
      </c>
    </row>
    <row r="800" spans="1:72" x14ac:dyDescent="0.25">
      <c r="A800" t="s">
        <v>72</v>
      </c>
      <c r="B800" t="s">
        <v>11406</v>
      </c>
      <c r="C800" t="s">
        <v>74</v>
      </c>
      <c r="D800" t="s">
        <v>74</v>
      </c>
      <c r="E800" t="s">
        <v>74</v>
      </c>
      <c r="F800" t="s">
        <v>11407</v>
      </c>
      <c r="G800" t="s">
        <v>74</v>
      </c>
      <c r="H800" t="s">
        <v>74</v>
      </c>
      <c r="I800" t="s">
        <v>11408</v>
      </c>
      <c r="J800" t="s">
        <v>2398</v>
      </c>
      <c r="K800" t="s">
        <v>74</v>
      </c>
      <c r="L800" t="s">
        <v>74</v>
      </c>
      <c r="M800" t="s">
        <v>78</v>
      </c>
      <c r="N800" t="s">
        <v>52</v>
      </c>
      <c r="O800" t="s">
        <v>74</v>
      </c>
      <c r="P800" t="s">
        <v>74</v>
      </c>
      <c r="Q800" t="s">
        <v>74</v>
      </c>
      <c r="R800" t="s">
        <v>74</v>
      </c>
      <c r="S800" t="s">
        <v>74</v>
      </c>
      <c r="T800" t="s">
        <v>74</v>
      </c>
      <c r="U800" t="s">
        <v>74</v>
      </c>
      <c r="V800" t="s">
        <v>74</v>
      </c>
      <c r="W800" t="s">
        <v>11409</v>
      </c>
      <c r="X800" t="s">
        <v>11410</v>
      </c>
      <c r="Y800" t="s">
        <v>74</v>
      </c>
      <c r="Z800" t="s">
        <v>74</v>
      </c>
      <c r="AA800" t="s">
        <v>11411</v>
      </c>
      <c r="AB800" t="s">
        <v>74</v>
      </c>
      <c r="AC800" t="s">
        <v>74</v>
      </c>
      <c r="AD800" t="s">
        <v>74</v>
      </c>
      <c r="AE800" t="s">
        <v>74</v>
      </c>
      <c r="AF800" t="s">
        <v>74</v>
      </c>
      <c r="AG800">
        <v>0</v>
      </c>
      <c r="AH800">
        <v>0</v>
      </c>
      <c r="AI800">
        <v>0</v>
      </c>
      <c r="AJ800">
        <v>0</v>
      </c>
      <c r="AK800">
        <v>0</v>
      </c>
      <c r="AL800" t="s">
        <v>10904</v>
      </c>
      <c r="AM800" t="s">
        <v>170</v>
      </c>
      <c r="AN800" t="s">
        <v>171</v>
      </c>
      <c r="AO800" t="s">
        <v>2403</v>
      </c>
      <c r="AP800" t="s">
        <v>2404</v>
      </c>
      <c r="AQ800" t="s">
        <v>74</v>
      </c>
      <c r="AR800" t="s">
        <v>2398</v>
      </c>
      <c r="AS800" t="s">
        <v>2405</v>
      </c>
      <c r="AT800" t="s">
        <v>997</v>
      </c>
      <c r="AU800">
        <v>2016</v>
      </c>
      <c r="AV800">
        <v>21</v>
      </c>
      <c r="AW800" t="s">
        <v>74</v>
      </c>
      <c r="AX800" t="s">
        <v>74</v>
      </c>
      <c r="AY800">
        <v>2</v>
      </c>
      <c r="AZ800" t="s">
        <v>1080</v>
      </c>
      <c r="BA800" t="s">
        <v>11412</v>
      </c>
      <c r="BB800">
        <v>149</v>
      </c>
      <c r="BC800">
        <v>149</v>
      </c>
      <c r="BD800" t="s">
        <v>74</v>
      </c>
      <c r="BE800" t="s">
        <v>74</v>
      </c>
      <c r="BF800" t="s">
        <v>74</v>
      </c>
      <c r="BG800" t="s">
        <v>74</v>
      </c>
      <c r="BH800" t="s">
        <v>74</v>
      </c>
      <c r="BI800">
        <v>1</v>
      </c>
      <c r="BJ800" t="s">
        <v>228</v>
      </c>
      <c r="BK800" t="s">
        <v>101</v>
      </c>
      <c r="BL800" t="s">
        <v>228</v>
      </c>
      <c r="BM800" t="s">
        <v>11404</v>
      </c>
      <c r="BN800" t="s">
        <v>74</v>
      </c>
      <c r="BO800" t="s">
        <v>74</v>
      </c>
      <c r="BP800" t="s">
        <v>74</v>
      </c>
      <c r="BQ800" t="s">
        <v>74</v>
      </c>
      <c r="BR800" t="s">
        <v>104</v>
      </c>
      <c r="BS800" t="s">
        <v>11413</v>
      </c>
      <c r="BT800" t="str">
        <f>HYPERLINK("https%3A%2F%2Fwww.webofscience.com%2Fwos%2Fwoscc%2Ffull-record%2FWOS:000373102400321","View Full Record in Web of Science")</f>
        <v>View Full Record in Web of Science</v>
      </c>
    </row>
    <row r="801" spans="1:72" x14ac:dyDescent="0.25">
      <c r="A801" t="s">
        <v>72</v>
      </c>
      <c r="B801" t="s">
        <v>11414</v>
      </c>
      <c r="C801" t="s">
        <v>74</v>
      </c>
      <c r="D801" t="s">
        <v>74</v>
      </c>
      <c r="E801" t="s">
        <v>74</v>
      </c>
      <c r="F801" t="s">
        <v>11415</v>
      </c>
      <c r="G801" t="s">
        <v>74</v>
      </c>
      <c r="H801" t="s">
        <v>74</v>
      </c>
      <c r="I801" t="s">
        <v>11416</v>
      </c>
      <c r="J801" t="s">
        <v>11417</v>
      </c>
      <c r="K801" t="s">
        <v>74</v>
      </c>
      <c r="L801" t="s">
        <v>74</v>
      </c>
      <c r="M801" t="s">
        <v>78</v>
      </c>
      <c r="N801" t="s">
        <v>299</v>
      </c>
      <c r="O801" t="s">
        <v>74</v>
      </c>
      <c r="P801" t="s">
        <v>74</v>
      </c>
      <c r="Q801" t="s">
        <v>74</v>
      </c>
      <c r="R801" t="s">
        <v>74</v>
      </c>
      <c r="S801" t="s">
        <v>74</v>
      </c>
      <c r="T801" t="s">
        <v>74</v>
      </c>
      <c r="U801" t="s">
        <v>11418</v>
      </c>
      <c r="V801" t="s">
        <v>11419</v>
      </c>
      <c r="W801" t="s">
        <v>11420</v>
      </c>
      <c r="X801" t="s">
        <v>11421</v>
      </c>
      <c r="Y801" t="s">
        <v>11422</v>
      </c>
      <c r="Z801" t="s">
        <v>6688</v>
      </c>
      <c r="AA801" t="s">
        <v>11423</v>
      </c>
      <c r="AB801" t="s">
        <v>11424</v>
      </c>
      <c r="AC801" t="s">
        <v>11425</v>
      </c>
      <c r="AD801" t="s">
        <v>11426</v>
      </c>
      <c r="AE801" t="s">
        <v>11427</v>
      </c>
      <c r="AF801" t="s">
        <v>74</v>
      </c>
      <c r="AG801">
        <v>55</v>
      </c>
      <c r="AH801">
        <v>32</v>
      </c>
      <c r="AI801">
        <v>34</v>
      </c>
      <c r="AJ801">
        <v>0</v>
      </c>
      <c r="AK801">
        <v>14</v>
      </c>
      <c r="AL801" t="s">
        <v>11428</v>
      </c>
      <c r="AM801" t="s">
        <v>11429</v>
      </c>
      <c r="AN801" t="s">
        <v>11430</v>
      </c>
      <c r="AO801" t="s">
        <v>11431</v>
      </c>
      <c r="AP801" t="s">
        <v>11432</v>
      </c>
      <c r="AQ801" t="s">
        <v>74</v>
      </c>
      <c r="AR801" t="s">
        <v>11417</v>
      </c>
      <c r="AS801" t="s">
        <v>11433</v>
      </c>
      <c r="AT801" t="s">
        <v>997</v>
      </c>
      <c r="AU801">
        <v>2016</v>
      </c>
      <c r="AV801">
        <v>39</v>
      </c>
      <c r="AW801">
        <v>4</v>
      </c>
      <c r="AX801" t="s">
        <v>74</v>
      </c>
      <c r="AY801" t="s">
        <v>74</v>
      </c>
      <c r="AZ801" t="s">
        <v>74</v>
      </c>
      <c r="BA801" t="s">
        <v>74</v>
      </c>
      <c r="BB801">
        <v>287</v>
      </c>
      <c r="BC801">
        <v>294</v>
      </c>
      <c r="BD801" t="s">
        <v>74</v>
      </c>
      <c r="BE801" t="s">
        <v>11434</v>
      </c>
      <c r="BF801" t="str">
        <f>HYPERLINK("http://dx.doi.org/10.1007/s40264-015-0365-x","http://dx.doi.org/10.1007/s40264-015-0365-x")</f>
        <v>http://dx.doi.org/10.1007/s40264-015-0365-x</v>
      </c>
      <c r="BG801" t="s">
        <v>74</v>
      </c>
      <c r="BH801" t="s">
        <v>74</v>
      </c>
      <c r="BI801">
        <v>8</v>
      </c>
      <c r="BJ801" t="s">
        <v>11435</v>
      </c>
      <c r="BK801" t="s">
        <v>101</v>
      </c>
      <c r="BL801" t="s">
        <v>11435</v>
      </c>
      <c r="BM801" t="s">
        <v>11436</v>
      </c>
      <c r="BN801">
        <v>26748508</v>
      </c>
      <c r="BO801" t="s">
        <v>74</v>
      </c>
      <c r="BP801" t="s">
        <v>74</v>
      </c>
      <c r="BQ801" t="s">
        <v>74</v>
      </c>
      <c r="BR801" t="s">
        <v>104</v>
      </c>
      <c r="BS801" t="s">
        <v>11437</v>
      </c>
      <c r="BT801" t="str">
        <f>HYPERLINK("https%3A%2F%2Fwww.webofscience.com%2Fwos%2Fwoscc%2Ffull-record%2FWOS:000372882800003","View Full Record in Web of Science")</f>
        <v>View Full Record in Web of Science</v>
      </c>
    </row>
    <row r="802" spans="1:72" x14ac:dyDescent="0.25">
      <c r="A802" t="s">
        <v>72</v>
      </c>
      <c r="B802" t="s">
        <v>11438</v>
      </c>
      <c r="C802" t="s">
        <v>74</v>
      </c>
      <c r="D802" t="s">
        <v>74</v>
      </c>
      <c r="E802" t="s">
        <v>74</v>
      </c>
      <c r="F802" t="s">
        <v>11439</v>
      </c>
      <c r="G802" t="s">
        <v>74</v>
      </c>
      <c r="H802" t="s">
        <v>74</v>
      </c>
      <c r="I802" t="s">
        <v>11440</v>
      </c>
      <c r="J802" t="s">
        <v>2761</v>
      </c>
      <c r="K802" t="s">
        <v>74</v>
      </c>
      <c r="L802" t="s">
        <v>74</v>
      </c>
      <c r="M802" t="s">
        <v>78</v>
      </c>
      <c r="N802" t="s">
        <v>79</v>
      </c>
      <c r="O802" t="s">
        <v>74</v>
      </c>
      <c r="P802" t="s">
        <v>74</v>
      </c>
      <c r="Q802" t="s">
        <v>74</v>
      </c>
      <c r="R802" t="s">
        <v>74</v>
      </c>
      <c r="S802" t="s">
        <v>74</v>
      </c>
      <c r="T802" t="s">
        <v>11441</v>
      </c>
      <c r="U802" t="s">
        <v>11442</v>
      </c>
      <c r="V802" t="s">
        <v>11443</v>
      </c>
      <c r="W802" t="s">
        <v>11444</v>
      </c>
      <c r="X802" t="s">
        <v>11445</v>
      </c>
      <c r="Y802" t="s">
        <v>3473</v>
      </c>
      <c r="Z802" t="s">
        <v>11446</v>
      </c>
      <c r="AA802" t="s">
        <v>11447</v>
      </c>
      <c r="AB802" t="s">
        <v>11448</v>
      </c>
      <c r="AC802" t="s">
        <v>11449</v>
      </c>
      <c r="AD802" t="s">
        <v>11450</v>
      </c>
      <c r="AE802" t="s">
        <v>11451</v>
      </c>
      <c r="AF802" t="s">
        <v>74</v>
      </c>
      <c r="AG802">
        <v>45</v>
      </c>
      <c r="AH802">
        <v>36</v>
      </c>
      <c r="AI802">
        <v>39</v>
      </c>
      <c r="AJ802">
        <v>0</v>
      </c>
      <c r="AK802">
        <v>18</v>
      </c>
      <c r="AL802" t="s">
        <v>122</v>
      </c>
      <c r="AM802" t="s">
        <v>123</v>
      </c>
      <c r="AN802" t="s">
        <v>124</v>
      </c>
      <c r="AO802" t="s">
        <v>2773</v>
      </c>
      <c r="AP802" t="s">
        <v>2774</v>
      </c>
      <c r="AQ802" t="s">
        <v>74</v>
      </c>
      <c r="AR802" t="s">
        <v>2775</v>
      </c>
      <c r="AS802" t="s">
        <v>2776</v>
      </c>
      <c r="AT802" t="s">
        <v>11452</v>
      </c>
      <c r="AU802">
        <v>2016</v>
      </c>
      <c r="AV802">
        <v>118</v>
      </c>
      <c r="AW802">
        <v>5</v>
      </c>
      <c r="AX802" t="s">
        <v>74</v>
      </c>
      <c r="AY802" t="s">
        <v>74</v>
      </c>
      <c r="AZ802" t="s">
        <v>74</v>
      </c>
      <c r="BA802" t="s">
        <v>74</v>
      </c>
      <c r="BB802">
        <v>822</v>
      </c>
      <c r="BC802">
        <v>833</v>
      </c>
      <c r="BD802" t="s">
        <v>74</v>
      </c>
      <c r="BE802" t="s">
        <v>11453</v>
      </c>
      <c r="BF802" t="str">
        <f>HYPERLINK("http://dx.doi.org/10.1161/CIRCRESAHA.115.307035","http://dx.doi.org/10.1161/CIRCRESAHA.115.307035")</f>
        <v>http://dx.doi.org/10.1161/CIRCRESAHA.115.307035</v>
      </c>
      <c r="BG802" t="s">
        <v>74</v>
      </c>
      <c r="BH802" t="s">
        <v>74</v>
      </c>
      <c r="BI802">
        <v>12</v>
      </c>
      <c r="BJ802" t="s">
        <v>2781</v>
      </c>
      <c r="BK802" t="s">
        <v>101</v>
      </c>
      <c r="BL802" t="s">
        <v>2782</v>
      </c>
      <c r="BM802" t="s">
        <v>11454</v>
      </c>
      <c r="BN802">
        <v>26838788</v>
      </c>
      <c r="BO802" t="s">
        <v>2854</v>
      </c>
      <c r="BP802" t="s">
        <v>74</v>
      </c>
      <c r="BQ802" t="s">
        <v>74</v>
      </c>
      <c r="BR802" t="s">
        <v>104</v>
      </c>
      <c r="BS802" t="s">
        <v>11455</v>
      </c>
      <c r="BT802" t="str">
        <f>HYPERLINK("https%3A%2F%2Fwww.webofscience.com%2Fwos%2Fwoscc%2Ffull-record%2FWOS:000371747700010","View Full Record in Web of Science")</f>
        <v>View Full Record in Web of Science</v>
      </c>
    </row>
    <row r="803" spans="1:72" x14ac:dyDescent="0.25">
      <c r="A803" t="s">
        <v>72</v>
      </c>
      <c r="B803" t="s">
        <v>11456</v>
      </c>
      <c r="C803" t="s">
        <v>74</v>
      </c>
      <c r="D803" t="s">
        <v>74</v>
      </c>
      <c r="E803" t="s">
        <v>74</v>
      </c>
      <c r="F803" t="s">
        <v>11457</v>
      </c>
      <c r="G803" t="s">
        <v>74</v>
      </c>
      <c r="H803" t="s">
        <v>74</v>
      </c>
      <c r="I803" t="s">
        <v>11458</v>
      </c>
      <c r="J803" t="s">
        <v>814</v>
      </c>
      <c r="K803" t="s">
        <v>74</v>
      </c>
      <c r="L803" t="s">
        <v>74</v>
      </c>
      <c r="M803" t="s">
        <v>78</v>
      </c>
      <c r="N803" t="s">
        <v>460</v>
      </c>
      <c r="O803" t="s">
        <v>74</v>
      </c>
      <c r="P803" t="s">
        <v>74</v>
      </c>
      <c r="Q803" t="s">
        <v>74</v>
      </c>
      <c r="R803" t="s">
        <v>74</v>
      </c>
      <c r="S803" t="s">
        <v>74</v>
      </c>
      <c r="T803" t="s">
        <v>74</v>
      </c>
      <c r="U803" t="s">
        <v>11459</v>
      </c>
      <c r="V803" t="s">
        <v>74</v>
      </c>
      <c r="W803" t="s">
        <v>11460</v>
      </c>
      <c r="X803" t="s">
        <v>11461</v>
      </c>
      <c r="Y803" t="s">
        <v>11462</v>
      </c>
      <c r="Z803" t="s">
        <v>11463</v>
      </c>
      <c r="AA803" t="s">
        <v>11464</v>
      </c>
      <c r="AB803" t="s">
        <v>11465</v>
      </c>
      <c r="AC803" t="s">
        <v>74</v>
      </c>
      <c r="AD803" t="s">
        <v>74</v>
      </c>
      <c r="AE803" t="s">
        <v>74</v>
      </c>
      <c r="AF803" t="s">
        <v>74</v>
      </c>
      <c r="AG803">
        <v>12</v>
      </c>
      <c r="AH803">
        <v>3</v>
      </c>
      <c r="AI803">
        <v>4</v>
      </c>
      <c r="AJ803">
        <v>0</v>
      </c>
      <c r="AK803">
        <v>4</v>
      </c>
      <c r="AL803" t="s">
        <v>219</v>
      </c>
      <c r="AM803" t="s">
        <v>220</v>
      </c>
      <c r="AN803" t="s">
        <v>221</v>
      </c>
      <c r="AO803" t="s">
        <v>823</v>
      </c>
      <c r="AP803" t="s">
        <v>824</v>
      </c>
      <c r="AQ803" t="s">
        <v>74</v>
      </c>
      <c r="AR803" t="s">
        <v>825</v>
      </c>
      <c r="AS803" t="s">
        <v>826</v>
      </c>
      <c r="AT803" t="s">
        <v>1097</v>
      </c>
      <c r="AU803">
        <v>2016</v>
      </c>
      <c r="AV803">
        <v>25</v>
      </c>
      <c r="AW803">
        <v>139</v>
      </c>
      <c r="AX803" t="s">
        <v>74</v>
      </c>
      <c r="AY803" t="s">
        <v>74</v>
      </c>
      <c r="AZ803" t="s">
        <v>74</v>
      </c>
      <c r="BA803" t="s">
        <v>74</v>
      </c>
      <c r="BB803" t="s">
        <v>74</v>
      </c>
      <c r="BC803" t="s">
        <v>74</v>
      </c>
      <c r="BD803" t="s">
        <v>74</v>
      </c>
      <c r="BE803" t="s">
        <v>11466</v>
      </c>
      <c r="BF803" t="str">
        <f>HYPERLINK("http://dx.doi.org/10.1183/16000617.0073-2015","http://dx.doi.org/10.1183/16000617.0073-2015")</f>
        <v>http://dx.doi.org/10.1183/16000617.0073-2015</v>
      </c>
      <c r="BG803" t="s">
        <v>74</v>
      </c>
      <c r="BH803" t="s">
        <v>74</v>
      </c>
      <c r="BI803">
        <v>4</v>
      </c>
      <c r="BJ803" t="s">
        <v>228</v>
      </c>
      <c r="BK803" t="s">
        <v>101</v>
      </c>
      <c r="BL803" t="s">
        <v>228</v>
      </c>
      <c r="BM803" t="s">
        <v>11467</v>
      </c>
      <c r="BN803">
        <v>26929426</v>
      </c>
      <c r="BO803" t="s">
        <v>1665</v>
      </c>
      <c r="BP803" t="s">
        <v>74</v>
      </c>
      <c r="BQ803" t="s">
        <v>74</v>
      </c>
      <c r="BR803" t="s">
        <v>104</v>
      </c>
      <c r="BS803" t="s">
        <v>11468</v>
      </c>
      <c r="BT803" t="str">
        <f>HYPERLINK("https%3A%2F%2Fwww.webofscience.com%2Fwos%2Fwoscc%2Ffull-record%2FWOS:000383678600013","View Full Record in Web of Science")</f>
        <v>View Full Record in Web of Science</v>
      </c>
    </row>
    <row r="804" spans="1:72" x14ac:dyDescent="0.25">
      <c r="A804" t="s">
        <v>72</v>
      </c>
      <c r="B804" t="s">
        <v>11469</v>
      </c>
      <c r="C804" t="s">
        <v>74</v>
      </c>
      <c r="D804" t="s">
        <v>74</v>
      </c>
      <c r="E804" t="s">
        <v>74</v>
      </c>
      <c r="F804" t="s">
        <v>11470</v>
      </c>
      <c r="G804" t="s">
        <v>74</v>
      </c>
      <c r="H804" t="s">
        <v>74</v>
      </c>
      <c r="I804" t="s">
        <v>11471</v>
      </c>
      <c r="J804" t="s">
        <v>216</v>
      </c>
      <c r="K804" t="s">
        <v>74</v>
      </c>
      <c r="L804" t="s">
        <v>74</v>
      </c>
      <c r="M804" t="s">
        <v>78</v>
      </c>
      <c r="N804" t="s">
        <v>79</v>
      </c>
      <c r="O804" t="s">
        <v>74</v>
      </c>
      <c r="P804" t="s">
        <v>74</v>
      </c>
      <c r="Q804" t="s">
        <v>74</v>
      </c>
      <c r="R804" t="s">
        <v>74</v>
      </c>
      <c r="S804" t="s">
        <v>74</v>
      </c>
      <c r="T804" t="s">
        <v>74</v>
      </c>
      <c r="U804" t="s">
        <v>11472</v>
      </c>
      <c r="V804" t="s">
        <v>11473</v>
      </c>
      <c r="W804" t="s">
        <v>11474</v>
      </c>
      <c r="X804" t="s">
        <v>11475</v>
      </c>
      <c r="Y804" t="s">
        <v>11476</v>
      </c>
      <c r="Z804" t="s">
        <v>11477</v>
      </c>
      <c r="AA804" t="s">
        <v>11478</v>
      </c>
      <c r="AB804" t="s">
        <v>11479</v>
      </c>
      <c r="AC804" t="s">
        <v>11480</v>
      </c>
      <c r="AD804" t="s">
        <v>11481</v>
      </c>
      <c r="AE804" t="s">
        <v>11482</v>
      </c>
      <c r="AF804" t="s">
        <v>74</v>
      </c>
      <c r="AG804">
        <v>76</v>
      </c>
      <c r="AH804">
        <v>738</v>
      </c>
      <c r="AI804">
        <v>756</v>
      </c>
      <c r="AJ804">
        <v>3</v>
      </c>
      <c r="AK804">
        <v>93</v>
      </c>
      <c r="AL804" t="s">
        <v>219</v>
      </c>
      <c r="AM804" t="s">
        <v>220</v>
      </c>
      <c r="AN804" t="s">
        <v>221</v>
      </c>
      <c r="AO804" t="s">
        <v>222</v>
      </c>
      <c r="AP804" t="s">
        <v>223</v>
      </c>
      <c r="AQ804" t="s">
        <v>74</v>
      </c>
      <c r="AR804" t="s">
        <v>224</v>
      </c>
      <c r="AS804" t="s">
        <v>225</v>
      </c>
      <c r="AT804" t="s">
        <v>129</v>
      </c>
      <c r="AU804">
        <v>2016</v>
      </c>
      <c r="AV804">
        <v>47</v>
      </c>
      <c r="AW804">
        <v>2</v>
      </c>
      <c r="AX804" t="s">
        <v>74</v>
      </c>
      <c r="AY804" t="s">
        <v>74</v>
      </c>
      <c r="AZ804" t="s">
        <v>74</v>
      </c>
      <c r="BA804" t="s">
        <v>74</v>
      </c>
      <c r="BB804">
        <v>410</v>
      </c>
      <c r="BC804">
        <v>419</v>
      </c>
      <c r="BD804" t="s">
        <v>74</v>
      </c>
      <c r="BE804" t="s">
        <v>11483</v>
      </c>
      <c r="BF804" t="str">
        <f>HYPERLINK("http://dx.doi.org/10.1183/13993003.01359-2015","http://dx.doi.org/10.1183/13993003.01359-2015")</f>
        <v>http://dx.doi.org/10.1183/13993003.01359-2015</v>
      </c>
      <c r="BG804" t="s">
        <v>74</v>
      </c>
      <c r="BH804" t="s">
        <v>74</v>
      </c>
      <c r="BI804">
        <v>10</v>
      </c>
      <c r="BJ804" t="s">
        <v>228</v>
      </c>
      <c r="BK804" t="s">
        <v>101</v>
      </c>
      <c r="BL804" t="s">
        <v>228</v>
      </c>
      <c r="BM804" t="s">
        <v>11484</v>
      </c>
      <c r="BN804">
        <v>26828055</v>
      </c>
      <c r="BO804" t="s">
        <v>1194</v>
      </c>
      <c r="BP804" t="s">
        <v>1155</v>
      </c>
      <c r="BQ804" t="s">
        <v>1156</v>
      </c>
      <c r="BR804" t="s">
        <v>104</v>
      </c>
      <c r="BS804" t="s">
        <v>11485</v>
      </c>
      <c r="BT804" t="str">
        <f>HYPERLINK("https%3A%2F%2Fwww.webofscience.com%2Fwos%2Fwoscc%2Ffull-record%2FWOS:000385286600014","View Full Record in Web of Science")</f>
        <v>View Full Record in Web of Science</v>
      </c>
    </row>
    <row r="805" spans="1:72" x14ac:dyDescent="0.25">
      <c r="A805" t="s">
        <v>72</v>
      </c>
      <c r="B805" t="s">
        <v>11486</v>
      </c>
      <c r="C805" t="s">
        <v>74</v>
      </c>
      <c r="D805" t="s">
        <v>74</v>
      </c>
      <c r="E805" t="s">
        <v>74</v>
      </c>
      <c r="F805" t="s">
        <v>11487</v>
      </c>
      <c r="G805" t="s">
        <v>74</v>
      </c>
      <c r="H805" t="s">
        <v>74</v>
      </c>
      <c r="I805" t="s">
        <v>11488</v>
      </c>
      <c r="J805" t="s">
        <v>388</v>
      </c>
      <c r="K805" t="s">
        <v>74</v>
      </c>
      <c r="L805" t="s">
        <v>74</v>
      </c>
      <c r="M805" t="s">
        <v>78</v>
      </c>
      <c r="N805" t="s">
        <v>79</v>
      </c>
      <c r="O805" t="s">
        <v>74</v>
      </c>
      <c r="P805" t="s">
        <v>74</v>
      </c>
      <c r="Q805" t="s">
        <v>74</v>
      </c>
      <c r="R805" t="s">
        <v>74</v>
      </c>
      <c r="S805" t="s">
        <v>74</v>
      </c>
      <c r="T805" t="s">
        <v>74</v>
      </c>
      <c r="U805" t="s">
        <v>11489</v>
      </c>
      <c r="V805" t="s">
        <v>11490</v>
      </c>
      <c r="W805" t="s">
        <v>11491</v>
      </c>
      <c r="X805" t="s">
        <v>11492</v>
      </c>
      <c r="Y805" t="s">
        <v>11493</v>
      </c>
      <c r="Z805" t="s">
        <v>6672</v>
      </c>
      <c r="AA805" t="s">
        <v>11494</v>
      </c>
      <c r="AB805" t="s">
        <v>11495</v>
      </c>
      <c r="AC805" t="s">
        <v>11496</v>
      </c>
      <c r="AD805" t="s">
        <v>11497</v>
      </c>
      <c r="AE805" t="s">
        <v>11498</v>
      </c>
      <c r="AF805" t="s">
        <v>74</v>
      </c>
      <c r="AG805">
        <v>34</v>
      </c>
      <c r="AH805">
        <v>295</v>
      </c>
      <c r="AI805">
        <v>321</v>
      </c>
      <c r="AJ805">
        <v>2</v>
      </c>
      <c r="AK805">
        <v>38</v>
      </c>
      <c r="AL805" t="s">
        <v>397</v>
      </c>
      <c r="AM805" t="s">
        <v>1074</v>
      </c>
      <c r="AN805" t="s">
        <v>4444</v>
      </c>
      <c r="AO805" t="s">
        <v>400</v>
      </c>
      <c r="AP805" t="s">
        <v>74</v>
      </c>
      <c r="AQ805" t="s">
        <v>74</v>
      </c>
      <c r="AR805" t="s">
        <v>401</v>
      </c>
      <c r="AS805" t="s">
        <v>402</v>
      </c>
      <c r="AT805" t="s">
        <v>129</v>
      </c>
      <c r="AU805">
        <v>2016</v>
      </c>
      <c r="AV805">
        <v>4</v>
      </c>
      <c r="AW805">
        <v>2</v>
      </c>
      <c r="AX805" t="s">
        <v>74</v>
      </c>
      <c r="AY805" t="s">
        <v>74</v>
      </c>
      <c r="AZ805" t="s">
        <v>74</v>
      </c>
      <c r="BA805" t="s">
        <v>74</v>
      </c>
      <c r="BB805">
        <v>129</v>
      </c>
      <c r="BC805">
        <v>137</v>
      </c>
      <c r="BD805" t="s">
        <v>74</v>
      </c>
      <c r="BE805" t="s">
        <v>11499</v>
      </c>
      <c r="BF805" t="str">
        <f>HYPERLINK("http://dx.doi.org/10.1016/S2213-2600(15)00544-5","http://dx.doi.org/10.1016/S2213-2600(15)00544-5")</f>
        <v>http://dx.doi.org/10.1016/S2213-2600(15)00544-5</v>
      </c>
      <c r="BG805" t="s">
        <v>74</v>
      </c>
      <c r="BH805" t="s">
        <v>74</v>
      </c>
      <c r="BI805">
        <v>9</v>
      </c>
      <c r="BJ805" t="s">
        <v>341</v>
      </c>
      <c r="BK805" t="s">
        <v>101</v>
      </c>
      <c r="BL805" t="s">
        <v>342</v>
      </c>
      <c r="BM805" t="s">
        <v>11500</v>
      </c>
      <c r="BN805">
        <v>26795434</v>
      </c>
      <c r="BO805" t="s">
        <v>246</v>
      </c>
      <c r="BP805" t="s">
        <v>1155</v>
      </c>
      <c r="BQ805" t="s">
        <v>1156</v>
      </c>
      <c r="BR805" t="s">
        <v>104</v>
      </c>
      <c r="BS805" t="s">
        <v>11501</v>
      </c>
      <c r="BT805" t="str">
        <f>HYPERLINK("https%3A%2F%2Fwww.webofscience.com%2Fwos%2Fwoscc%2Ffull-record%2FWOS:000370113400020","View Full Record in Web of Science")</f>
        <v>View Full Record in Web of Science</v>
      </c>
    </row>
    <row r="806" spans="1:72" x14ac:dyDescent="0.25">
      <c r="A806" t="s">
        <v>72</v>
      </c>
      <c r="B806" t="s">
        <v>11502</v>
      </c>
      <c r="C806" t="s">
        <v>74</v>
      </c>
      <c r="D806" t="s">
        <v>74</v>
      </c>
      <c r="E806" t="s">
        <v>74</v>
      </c>
      <c r="F806" t="s">
        <v>11503</v>
      </c>
      <c r="G806" t="s">
        <v>74</v>
      </c>
      <c r="H806" t="s">
        <v>74</v>
      </c>
      <c r="I806" t="s">
        <v>11504</v>
      </c>
      <c r="J806" t="s">
        <v>2084</v>
      </c>
      <c r="K806" t="s">
        <v>74</v>
      </c>
      <c r="L806" t="s">
        <v>74</v>
      </c>
      <c r="M806" t="s">
        <v>78</v>
      </c>
      <c r="N806" t="s">
        <v>140</v>
      </c>
      <c r="O806" t="s">
        <v>74</v>
      </c>
      <c r="P806" t="s">
        <v>74</v>
      </c>
      <c r="Q806" t="s">
        <v>74</v>
      </c>
      <c r="R806" t="s">
        <v>74</v>
      </c>
      <c r="S806" t="s">
        <v>74</v>
      </c>
      <c r="T806" t="s">
        <v>74</v>
      </c>
      <c r="U806" t="s">
        <v>74</v>
      </c>
      <c r="V806" t="s">
        <v>74</v>
      </c>
      <c r="W806" t="s">
        <v>74</v>
      </c>
      <c r="X806" t="s">
        <v>74</v>
      </c>
      <c r="Y806" t="s">
        <v>74</v>
      </c>
      <c r="Z806" t="s">
        <v>74</v>
      </c>
      <c r="AA806" t="s">
        <v>11505</v>
      </c>
      <c r="AB806" t="s">
        <v>11506</v>
      </c>
      <c r="AC806" t="s">
        <v>74</v>
      </c>
      <c r="AD806" t="s">
        <v>74</v>
      </c>
      <c r="AE806" t="s">
        <v>74</v>
      </c>
      <c r="AF806" t="s">
        <v>74</v>
      </c>
      <c r="AG806">
        <v>0</v>
      </c>
      <c r="AH806">
        <v>234</v>
      </c>
      <c r="AI806">
        <v>258</v>
      </c>
      <c r="AJ806">
        <v>1</v>
      </c>
      <c r="AK806">
        <v>56</v>
      </c>
      <c r="AL806" t="s">
        <v>2092</v>
      </c>
      <c r="AM806" t="s">
        <v>571</v>
      </c>
      <c r="AN806" t="s">
        <v>2093</v>
      </c>
      <c r="AO806" t="s">
        <v>2094</v>
      </c>
      <c r="AP806" t="s">
        <v>6335</v>
      </c>
      <c r="AQ806" t="s">
        <v>74</v>
      </c>
      <c r="AR806" t="s">
        <v>2095</v>
      </c>
      <c r="AS806" t="s">
        <v>2096</v>
      </c>
      <c r="AT806" t="s">
        <v>129</v>
      </c>
      <c r="AU806">
        <v>2016</v>
      </c>
      <c r="AV806">
        <v>69</v>
      </c>
      <c r="AW806">
        <v>2</v>
      </c>
      <c r="AX806" t="s">
        <v>74</v>
      </c>
      <c r="AY806" t="s">
        <v>74</v>
      </c>
      <c r="AZ806" t="s">
        <v>74</v>
      </c>
      <c r="BA806" t="s">
        <v>74</v>
      </c>
      <c r="BB806">
        <v>177</v>
      </c>
      <c r="BC806">
        <v>177</v>
      </c>
      <c r="BD806" t="s">
        <v>74</v>
      </c>
      <c r="BE806" t="s">
        <v>11507</v>
      </c>
      <c r="BF806" t="str">
        <f>HYPERLINK("http://dx.doi.org/10.1016/j.rec.2016.01.002","http://dx.doi.org/10.1016/j.rec.2016.01.002")</f>
        <v>http://dx.doi.org/10.1016/j.rec.2016.01.002</v>
      </c>
      <c r="BG806" t="s">
        <v>74</v>
      </c>
      <c r="BH806" t="s">
        <v>74</v>
      </c>
      <c r="BI806">
        <v>1</v>
      </c>
      <c r="BJ806" t="s">
        <v>132</v>
      </c>
      <c r="BK806" t="s">
        <v>101</v>
      </c>
      <c r="BL806" t="s">
        <v>133</v>
      </c>
      <c r="BM806" t="s">
        <v>11508</v>
      </c>
      <c r="BN806">
        <v>26837729</v>
      </c>
      <c r="BO806" t="s">
        <v>103</v>
      </c>
      <c r="BP806" t="s">
        <v>74</v>
      </c>
      <c r="BQ806" t="s">
        <v>74</v>
      </c>
      <c r="BR806" t="s">
        <v>104</v>
      </c>
      <c r="BS806" t="s">
        <v>11509</v>
      </c>
      <c r="BT806" t="str">
        <f>HYPERLINK("https%3A%2F%2Fwww.webofscience.com%2Fwos%2Fwoscc%2Ffull-record%2FWOS:000371399800013","View Full Record in Web of Science")</f>
        <v>View Full Record in Web of Science</v>
      </c>
    </row>
    <row r="807" spans="1:72" x14ac:dyDescent="0.25">
      <c r="A807" t="s">
        <v>72</v>
      </c>
      <c r="B807" t="s">
        <v>11510</v>
      </c>
      <c r="C807" t="s">
        <v>74</v>
      </c>
      <c r="D807" t="s">
        <v>74</v>
      </c>
      <c r="E807" t="s">
        <v>74</v>
      </c>
      <c r="F807" t="s">
        <v>11511</v>
      </c>
      <c r="G807" t="s">
        <v>74</v>
      </c>
      <c r="H807" t="s">
        <v>74</v>
      </c>
      <c r="I807" t="s">
        <v>11512</v>
      </c>
      <c r="J807" t="s">
        <v>216</v>
      </c>
      <c r="K807" t="s">
        <v>74</v>
      </c>
      <c r="L807" t="s">
        <v>74</v>
      </c>
      <c r="M807" t="s">
        <v>78</v>
      </c>
      <c r="N807" t="s">
        <v>79</v>
      </c>
      <c r="O807" t="s">
        <v>74</v>
      </c>
      <c r="P807" t="s">
        <v>74</v>
      </c>
      <c r="Q807" t="s">
        <v>74</v>
      </c>
      <c r="R807" t="s">
        <v>74</v>
      </c>
      <c r="S807" t="s">
        <v>74</v>
      </c>
      <c r="T807" t="s">
        <v>74</v>
      </c>
      <c r="U807" t="s">
        <v>11513</v>
      </c>
      <c r="V807" t="s">
        <v>11514</v>
      </c>
      <c r="W807" t="s">
        <v>11515</v>
      </c>
      <c r="X807" t="s">
        <v>11516</v>
      </c>
      <c r="Y807" t="s">
        <v>11517</v>
      </c>
      <c r="Z807" t="s">
        <v>3402</v>
      </c>
      <c r="AA807" t="s">
        <v>11518</v>
      </c>
      <c r="AB807" t="s">
        <v>11519</v>
      </c>
      <c r="AC807" t="s">
        <v>11520</v>
      </c>
      <c r="AD807" t="s">
        <v>11521</v>
      </c>
      <c r="AE807" t="s">
        <v>11522</v>
      </c>
      <c r="AF807" t="s">
        <v>74</v>
      </c>
      <c r="AG807">
        <v>39</v>
      </c>
      <c r="AH807">
        <v>82</v>
      </c>
      <c r="AI807">
        <v>85</v>
      </c>
      <c r="AJ807">
        <v>0</v>
      </c>
      <c r="AK807">
        <v>7</v>
      </c>
      <c r="AL807" t="s">
        <v>219</v>
      </c>
      <c r="AM807" t="s">
        <v>220</v>
      </c>
      <c r="AN807" t="s">
        <v>221</v>
      </c>
      <c r="AO807" t="s">
        <v>222</v>
      </c>
      <c r="AP807" t="s">
        <v>223</v>
      </c>
      <c r="AQ807" t="s">
        <v>74</v>
      </c>
      <c r="AR807" t="s">
        <v>224</v>
      </c>
      <c r="AS807" t="s">
        <v>225</v>
      </c>
      <c r="AT807" t="s">
        <v>129</v>
      </c>
      <c r="AU807">
        <v>2016</v>
      </c>
      <c r="AV807">
        <v>47</v>
      </c>
      <c r="AW807">
        <v>2</v>
      </c>
      <c r="AX807" t="s">
        <v>74</v>
      </c>
      <c r="AY807" t="s">
        <v>74</v>
      </c>
      <c r="AZ807" t="s">
        <v>74</v>
      </c>
      <c r="BA807" t="s">
        <v>74</v>
      </c>
      <c r="BB807">
        <v>541</v>
      </c>
      <c r="BC807">
        <v>552</v>
      </c>
      <c r="BD807" t="s">
        <v>74</v>
      </c>
      <c r="BE807" t="s">
        <v>11523</v>
      </c>
      <c r="BF807" t="str">
        <f>HYPERLINK("http://dx.doi.org/10.1183/13993003.00717-2015","http://dx.doi.org/10.1183/13993003.00717-2015")</f>
        <v>http://dx.doi.org/10.1183/13993003.00717-2015</v>
      </c>
      <c r="BG807" t="s">
        <v>74</v>
      </c>
      <c r="BH807" t="s">
        <v>74</v>
      </c>
      <c r="BI807">
        <v>12</v>
      </c>
      <c r="BJ807" t="s">
        <v>228</v>
      </c>
      <c r="BK807" t="s">
        <v>101</v>
      </c>
      <c r="BL807" t="s">
        <v>228</v>
      </c>
      <c r="BM807" t="s">
        <v>11484</v>
      </c>
      <c r="BN807">
        <v>26699722</v>
      </c>
      <c r="BO807" t="s">
        <v>1194</v>
      </c>
      <c r="BP807" t="s">
        <v>74</v>
      </c>
      <c r="BQ807" t="s">
        <v>74</v>
      </c>
      <c r="BR807" t="s">
        <v>104</v>
      </c>
      <c r="BS807" t="s">
        <v>11524</v>
      </c>
      <c r="BT807" t="str">
        <f>HYPERLINK("https%3A%2F%2Fwww.webofscience.com%2Fwos%2Fwoscc%2Ffull-record%2FWOS:000385286600025","View Full Record in Web of Science")</f>
        <v>View Full Record in Web of Science</v>
      </c>
    </row>
    <row r="808" spans="1:72" x14ac:dyDescent="0.25">
      <c r="A808" t="s">
        <v>72</v>
      </c>
      <c r="B808" t="s">
        <v>11525</v>
      </c>
      <c r="C808" t="s">
        <v>74</v>
      </c>
      <c r="D808" t="s">
        <v>74</v>
      </c>
      <c r="E808" t="s">
        <v>74</v>
      </c>
      <c r="F808" t="s">
        <v>11526</v>
      </c>
      <c r="G808" t="s">
        <v>74</v>
      </c>
      <c r="H808" t="s">
        <v>74</v>
      </c>
      <c r="I808" t="s">
        <v>11527</v>
      </c>
      <c r="J808" t="s">
        <v>324</v>
      </c>
      <c r="K808" t="s">
        <v>74</v>
      </c>
      <c r="L808" t="s">
        <v>74</v>
      </c>
      <c r="M808" t="s">
        <v>78</v>
      </c>
      <c r="N808" t="s">
        <v>79</v>
      </c>
      <c r="O808" t="s">
        <v>74</v>
      </c>
      <c r="P808" t="s">
        <v>74</v>
      </c>
      <c r="Q808" t="s">
        <v>74</v>
      </c>
      <c r="R808" t="s">
        <v>74</v>
      </c>
      <c r="S808" t="s">
        <v>74</v>
      </c>
      <c r="T808" t="s">
        <v>11528</v>
      </c>
      <c r="U808" t="s">
        <v>11529</v>
      </c>
      <c r="V808" t="s">
        <v>11530</v>
      </c>
      <c r="W808" t="s">
        <v>11531</v>
      </c>
      <c r="X808" t="s">
        <v>11532</v>
      </c>
      <c r="Y808" t="s">
        <v>11533</v>
      </c>
      <c r="Z808" t="s">
        <v>10764</v>
      </c>
      <c r="AA808" t="s">
        <v>11534</v>
      </c>
      <c r="AB808" t="s">
        <v>11535</v>
      </c>
      <c r="AC808" t="s">
        <v>11536</v>
      </c>
      <c r="AD808" t="s">
        <v>11536</v>
      </c>
      <c r="AE808" t="s">
        <v>11537</v>
      </c>
      <c r="AF808" t="s">
        <v>74</v>
      </c>
      <c r="AG808">
        <v>29</v>
      </c>
      <c r="AH808">
        <v>54</v>
      </c>
      <c r="AI808">
        <v>56</v>
      </c>
      <c r="AJ808">
        <v>0</v>
      </c>
      <c r="AK808">
        <v>7</v>
      </c>
      <c r="AL808" t="s">
        <v>92</v>
      </c>
      <c r="AM808" t="s">
        <v>93</v>
      </c>
      <c r="AN808" t="s">
        <v>94</v>
      </c>
      <c r="AO808" t="s">
        <v>337</v>
      </c>
      <c r="AP808" t="s">
        <v>338</v>
      </c>
      <c r="AQ808" t="s">
        <v>74</v>
      </c>
      <c r="AR808" t="s">
        <v>324</v>
      </c>
      <c r="AS808" t="s">
        <v>339</v>
      </c>
      <c r="AT808" t="s">
        <v>129</v>
      </c>
      <c r="AU808">
        <v>2016</v>
      </c>
      <c r="AV808">
        <v>149</v>
      </c>
      <c r="AW808">
        <v>2</v>
      </c>
      <c r="AX808" t="s">
        <v>74</v>
      </c>
      <c r="AY808" t="s">
        <v>74</v>
      </c>
      <c r="AZ808" t="s">
        <v>74</v>
      </c>
      <c r="BA808" t="s">
        <v>74</v>
      </c>
      <c r="BB808">
        <v>353</v>
      </c>
      <c r="BC808">
        <v>361</v>
      </c>
      <c r="BD808" t="s">
        <v>74</v>
      </c>
      <c r="BE808" t="s">
        <v>11538</v>
      </c>
      <c r="BF808" t="str">
        <f>HYPERLINK("http://dx.doi.org/10.1378/chest.15-0125","http://dx.doi.org/10.1378/chest.15-0125")</f>
        <v>http://dx.doi.org/10.1378/chest.15-0125</v>
      </c>
      <c r="BG808" t="s">
        <v>74</v>
      </c>
      <c r="BH808" t="s">
        <v>74</v>
      </c>
      <c r="BI808">
        <v>9</v>
      </c>
      <c r="BJ808" t="s">
        <v>341</v>
      </c>
      <c r="BK808" t="s">
        <v>101</v>
      </c>
      <c r="BL808" t="s">
        <v>342</v>
      </c>
      <c r="BM808" t="s">
        <v>11539</v>
      </c>
      <c r="BN808">
        <v>26134583</v>
      </c>
      <c r="BO808" t="s">
        <v>74</v>
      </c>
      <c r="BP808" t="s">
        <v>74</v>
      </c>
      <c r="BQ808" t="s">
        <v>74</v>
      </c>
      <c r="BR808" t="s">
        <v>104</v>
      </c>
      <c r="BS808" t="s">
        <v>11540</v>
      </c>
      <c r="BT808" t="str">
        <f>HYPERLINK("https%3A%2F%2Fwww.webofscience.com%2Fwos%2Fwoscc%2Ffull-record%2FWOS:000369660400018","View Full Record in Web of Science")</f>
        <v>View Full Record in Web of Science</v>
      </c>
    </row>
    <row r="809" spans="1:72" x14ac:dyDescent="0.25">
      <c r="A809" t="s">
        <v>72</v>
      </c>
      <c r="B809" t="s">
        <v>10259</v>
      </c>
      <c r="C809" t="s">
        <v>74</v>
      </c>
      <c r="D809" t="s">
        <v>74</v>
      </c>
      <c r="E809" t="s">
        <v>74</v>
      </c>
      <c r="F809" t="s">
        <v>10260</v>
      </c>
      <c r="G809" t="s">
        <v>74</v>
      </c>
      <c r="H809" t="s">
        <v>74</v>
      </c>
      <c r="I809" t="s">
        <v>11541</v>
      </c>
      <c r="J809" t="s">
        <v>4427</v>
      </c>
      <c r="K809" t="s">
        <v>74</v>
      </c>
      <c r="L809" t="s">
        <v>74</v>
      </c>
      <c r="M809" t="s">
        <v>78</v>
      </c>
      <c r="N809" t="s">
        <v>52</v>
      </c>
      <c r="O809" t="s">
        <v>11542</v>
      </c>
      <c r="P809" t="s">
        <v>11543</v>
      </c>
      <c r="Q809" t="s">
        <v>11544</v>
      </c>
      <c r="R809" t="s">
        <v>11545</v>
      </c>
      <c r="S809" t="s">
        <v>74</v>
      </c>
      <c r="T809" t="s">
        <v>74</v>
      </c>
      <c r="U809" t="s">
        <v>74</v>
      </c>
      <c r="V809" t="s">
        <v>74</v>
      </c>
      <c r="W809" t="s">
        <v>11546</v>
      </c>
      <c r="X809" t="s">
        <v>11547</v>
      </c>
      <c r="Y809" t="s">
        <v>74</v>
      </c>
      <c r="Z809" t="s">
        <v>74</v>
      </c>
      <c r="AA809" t="s">
        <v>144</v>
      </c>
      <c r="AB809" t="s">
        <v>74</v>
      </c>
      <c r="AC809" t="s">
        <v>74</v>
      </c>
      <c r="AD809" t="s">
        <v>74</v>
      </c>
      <c r="AE809" t="s">
        <v>74</v>
      </c>
      <c r="AF809" t="s">
        <v>74</v>
      </c>
      <c r="AG809">
        <v>0</v>
      </c>
      <c r="AH809">
        <v>8</v>
      </c>
      <c r="AI809">
        <v>8</v>
      </c>
      <c r="AJ809">
        <v>1</v>
      </c>
      <c r="AK809">
        <v>4</v>
      </c>
      <c r="AL809" t="s">
        <v>485</v>
      </c>
      <c r="AM809" t="s">
        <v>486</v>
      </c>
      <c r="AN809" t="s">
        <v>487</v>
      </c>
      <c r="AO809" t="s">
        <v>4433</v>
      </c>
      <c r="AP809" t="s">
        <v>4434</v>
      </c>
      <c r="AQ809" t="s">
        <v>74</v>
      </c>
      <c r="AR809" t="s">
        <v>4435</v>
      </c>
      <c r="AS809" t="s">
        <v>4436</v>
      </c>
      <c r="AT809" t="s">
        <v>129</v>
      </c>
      <c r="AU809">
        <v>2016</v>
      </c>
      <c r="AV809">
        <v>137</v>
      </c>
      <c r="AW809">
        <v>2</v>
      </c>
      <c r="AX809" t="s">
        <v>74</v>
      </c>
      <c r="AY809" t="s">
        <v>998</v>
      </c>
      <c r="AZ809" t="s">
        <v>74</v>
      </c>
      <c r="BA809">
        <v>48</v>
      </c>
      <c r="BB809" t="s">
        <v>11548</v>
      </c>
      <c r="BC809" t="s">
        <v>11548</v>
      </c>
      <c r="BD809" t="s">
        <v>74</v>
      </c>
      <c r="BE809" t="s">
        <v>11549</v>
      </c>
      <c r="BF809" t="str">
        <f>HYPERLINK("http://dx.doi.org/10.1016/j.jaci.2015.12.051","http://dx.doi.org/10.1016/j.jaci.2015.12.051")</f>
        <v>http://dx.doi.org/10.1016/j.jaci.2015.12.051</v>
      </c>
      <c r="BG809" t="s">
        <v>74</v>
      </c>
      <c r="BH809" t="s">
        <v>74</v>
      </c>
      <c r="BI809">
        <v>1</v>
      </c>
      <c r="BJ809" t="s">
        <v>3085</v>
      </c>
      <c r="BK809" t="s">
        <v>512</v>
      </c>
      <c r="BL809" t="s">
        <v>3085</v>
      </c>
      <c r="BM809" t="s">
        <v>11550</v>
      </c>
      <c r="BN809" t="s">
        <v>74</v>
      </c>
      <c r="BO809" t="s">
        <v>1194</v>
      </c>
      <c r="BP809" t="s">
        <v>74</v>
      </c>
      <c r="BQ809" t="s">
        <v>74</v>
      </c>
      <c r="BR809" t="s">
        <v>104</v>
      </c>
      <c r="BS809" t="s">
        <v>11551</v>
      </c>
      <c r="BT809" t="str">
        <f>HYPERLINK("https%3A%2F%2Fwww.webofscience.com%2Fwos%2Fwoscc%2Ffull-record%2FWOS:000375005400049","View Full Record in Web of Science")</f>
        <v>View Full Record in Web of Science</v>
      </c>
    </row>
    <row r="810" spans="1:72" x14ac:dyDescent="0.25">
      <c r="A810" t="s">
        <v>72</v>
      </c>
      <c r="B810" t="s">
        <v>11552</v>
      </c>
      <c r="C810" t="s">
        <v>74</v>
      </c>
      <c r="D810" t="s">
        <v>74</v>
      </c>
      <c r="E810" t="s">
        <v>74</v>
      </c>
      <c r="F810" t="s">
        <v>11553</v>
      </c>
      <c r="G810" t="s">
        <v>74</v>
      </c>
      <c r="H810" t="s">
        <v>74</v>
      </c>
      <c r="I810" t="s">
        <v>11554</v>
      </c>
      <c r="J810" t="s">
        <v>1348</v>
      </c>
      <c r="K810" t="s">
        <v>74</v>
      </c>
      <c r="L810" t="s">
        <v>74</v>
      </c>
      <c r="M810" t="s">
        <v>1349</v>
      </c>
      <c r="N810" t="s">
        <v>299</v>
      </c>
      <c r="O810" t="s">
        <v>74</v>
      </c>
      <c r="P810" t="s">
        <v>74</v>
      </c>
      <c r="Q810" t="s">
        <v>74</v>
      </c>
      <c r="R810" t="s">
        <v>74</v>
      </c>
      <c r="S810" t="s">
        <v>74</v>
      </c>
      <c r="T810" t="s">
        <v>11555</v>
      </c>
      <c r="U810" t="s">
        <v>11556</v>
      </c>
      <c r="V810" t="s">
        <v>11557</v>
      </c>
      <c r="W810" t="s">
        <v>11558</v>
      </c>
      <c r="X810" t="s">
        <v>11559</v>
      </c>
      <c r="Y810" t="s">
        <v>11560</v>
      </c>
      <c r="Z810" t="s">
        <v>4700</v>
      </c>
      <c r="AA810" t="s">
        <v>11561</v>
      </c>
      <c r="AB810" t="s">
        <v>257</v>
      </c>
      <c r="AC810" t="s">
        <v>74</v>
      </c>
      <c r="AD810" t="s">
        <v>74</v>
      </c>
      <c r="AE810" t="s">
        <v>74</v>
      </c>
      <c r="AF810" t="s">
        <v>74</v>
      </c>
      <c r="AG810">
        <v>75</v>
      </c>
      <c r="AH810">
        <v>4</v>
      </c>
      <c r="AI810">
        <v>4</v>
      </c>
      <c r="AJ810">
        <v>0</v>
      </c>
      <c r="AK810">
        <v>3</v>
      </c>
      <c r="AL810" t="s">
        <v>1358</v>
      </c>
      <c r="AM810" t="s">
        <v>1359</v>
      </c>
      <c r="AN810" t="s">
        <v>1360</v>
      </c>
      <c r="AO810" t="s">
        <v>1361</v>
      </c>
      <c r="AP810" t="s">
        <v>1362</v>
      </c>
      <c r="AQ810" t="s">
        <v>74</v>
      </c>
      <c r="AR810" t="s">
        <v>1363</v>
      </c>
      <c r="AS810" t="s">
        <v>1364</v>
      </c>
      <c r="AT810" t="s">
        <v>129</v>
      </c>
      <c r="AU810">
        <v>2016</v>
      </c>
      <c r="AV810">
        <v>33</v>
      </c>
      <c r="AW810">
        <v>2</v>
      </c>
      <c r="AX810" t="s">
        <v>74</v>
      </c>
      <c r="AY810" t="s">
        <v>74</v>
      </c>
      <c r="AZ810" t="s">
        <v>74</v>
      </c>
      <c r="BA810" t="s">
        <v>74</v>
      </c>
      <c r="BB810">
        <v>117</v>
      </c>
      <c r="BC810">
        <v>127</v>
      </c>
      <c r="BD810" t="s">
        <v>74</v>
      </c>
      <c r="BE810" t="s">
        <v>11562</v>
      </c>
      <c r="BF810" t="str">
        <f>HYPERLINK("http://dx.doi.org/10.1016/j.rmr.2015.07.008","http://dx.doi.org/10.1016/j.rmr.2015.07.008")</f>
        <v>http://dx.doi.org/10.1016/j.rmr.2015.07.008</v>
      </c>
      <c r="BG810" t="s">
        <v>74</v>
      </c>
      <c r="BH810" t="s">
        <v>74</v>
      </c>
      <c r="BI810">
        <v>11</v>
      </c>
      <c r="BJ810" t="s">
        <v>228</v>
      </c>
      <c r="BK810" t="s">
        <v>101</v>
      </c>
      <c r="BL810" t="s">
        <v>228</v>
      </c>
      <c r="BM810" t="s">
        <v>11563</v>
      </c>
      <c r="BN810">
        <v>26346415</v>
      </c>
      <c r="BO810" t="s">
        <v>74</v>
      </c>
      <c r="BP810" t="s">
        <v>74</v>
      </c>
      <c r="BQ810" t="s">
        <v>74</v>
      </c>
      <c r="BR810" t="s">
        <v>104</v>
      </c>
      <c r="BS810" t="s">
        <v>11564</v>
      </c>
      <c r="BT810" t="str">
        <f>HYPERLINK("https%3A%2F%2Fwww.webofscience.com%2Fwos%2Fwoscc%2Ffull-record%2FWOS:000371909700004","View Full Record in Web of Science")</f>
        <v>View Full Record in Web of Science</v>
      </c>
    </row>
    <row r="811" spans="1:72" x14ac:dyDescent="0.25">
      <c r="A811" t="s">
        <v>72</v>
      </c>
      <c r="B811" t="s">
        <v>11565</v>
      </c>
      <c r="C811" t="s">
        <v>74</v>
      </c>
      <c r="D811" t="s">
        <v>74</v>
      </c>
      <c r="E811" t="s">
        <v>74</v>
      </c>
      <c r="F811" t="s">
        <v>11566</v>
      </c>
      <c r="G811" t="s">
        <v>74</v>
      </c>
      <c r="H811" t="s">
        <v>74</v>
      </c>
      <c r="I811" t="s">
        <v>11567</v>
      </c>
      <c r="J811" t="s">
        <v>637</v>
      </c>
      <c r="K811" t="s">
        <v>74</v>
      </c>
      <c r="L811" t="s">
        <v>74</v>
      </c>
      <c r="M811" t="s">
        <v>78</v>
      </c>
      <c r="N811" t="s">
        <v>52</v>
      </c>
      <c r="O811" t="s">
        <v>2003</v>
      </c>
      <c r="P811" t="s">
        <v>11568</v>
      </c>
      <c r="Q811" t="s">
        <v>3360</v>
      </c>
      <c r="R811" t="s">
        <v>2006</v>
      </c>
      <c r="S811" t="s">
        <v>74</v>
      </c>
      <c r="T811" t="s">
        <v>74</v>
      </c>
      <c r="U811" t="s">
        <v>74</v>
      </c>
      <c r="V811" t="s">
        <v>74</v>
      </c>
      <c r="W811" t="s">
        <v>11569</v>
      </c>
      <c r="X811" t="s">
        <v>11570</v>
      </c>
      <c r="Y811" t="s">
        <v>74</v>
      </c>
      <c r="Z811" t="s">
        <v>74</v>
      </c>
      <c r="AA811" t="s">
        <v>11571</v>
      </c>
      <c r="AB811" t="s">
        <v>11572</v>
      </c>
      <c r="AC811" t="s">
        <v>74</v>
      </c>
      <c r="AD811" t="s">
        <v>74</v>
      </c>
      <c r="AE811" t="s">
        <v>74</v>
      </c>
      <c r="AF811" t="s">
        <v>74</v>
      </c>
      <c r="AG811">
        <v>0</v>
      </c>
      <c r="AH811">
        <v>0</v>
      </c>
      <c r="AI811">
        <v>0</v>
      </c>
      <c r="AJ811">
        <v>0</v>
      </c>
      <c r="AK811">
        <v>1</v>
      </c>
      <c r="AL811" t="s">
        <v>649</v>
      </c>
      <c r="AM811" t="s">
        <v>486</v>
      </c>
      <c r="AN811" t="s">
        <v>650</v>
      </c>
      <c r="AO811" t="s">
        <v>651</v>
      </c>
      <c r="AP811" t="s">
        <v>652</v>
      </c>
      <c r="AQ811" t="s">
        <v>74</v>
      </c>
      <c r="AR811" t="s">
        <v>653</v>
      </c>
      <c r="AS811" t="s">
        <v>654</v>
      </c>
      <c r="AT811" t="s">
        <v>74</v>
      </c>
      <c r="AU811">
        <v>2016</v>
      </c>
      <c r="AV811">
        <v>193</v>
      </c>
      <c r="AW811" t="s">
        <v>74</v>
      </c>
      <c r="AX811" t="s">
        <v>74</v>
      </c>
      <c r="AY811" t="s">
        <v>74</v>
      </c>
      <c r="AZ811" t="s">
        <v>74</v>
      </c>
      <c r="BA811" t="s">
        <v>10482</v>
      </c>
      <c r="BB811" t="s">
        <v>74</v>
      </c>
      <c r="BC811" t="s">
        <v>74</v>
      </c>
      <c r="BD811" t="s">
        <v>74</v>
      </c>
      <c r="BE811" t="s">
        <v>74</v>
      </c>
      <c r="BF811" t="s">
        <v>74</v>
      </c>
      <c r="BG811" t="s">
        <v>74</v>
      </c>
      <c r="BH811" t="s">
        <v>74</v>
      </c>
      <c r="BI811">
        <v>1</v>
      </c>
      <c r="BJ811" t="s">
        <v>341</v>
      </c>
      <c r="BK811" t="s">
        <v>512</v>
      </c>
      <c r="BL811" t="s">
        <v>342</v>
      </c>
      <c r="BM811" t="s">
        <v>11573</v>
      </c>
      <c r="BN811" t="s">
        <v>74</v>
      </c>
      <c r="BO811" t="s">
        <v>74</v>
      </c>
      <c r="BP811" t="s">
        <v>74</v>
      </c>
      <c r="BQ811" t="s">
        <v>74</v>
      </c>
      <c r="BR811" t="s">
        <v>104</v>
      </c>
      <c r="BS811" t="s">
        <v>11574</v>
      </c>
      <c r="BT811" t="str">
        <f>HYPERLINK("https%3A%2F%2Fwww.webofscience.com%2Fwos%2Fwoscc%2Ffull-record%2FWOS:000390749600042","View Full Record in Web of Science")</f>
        <v>View Full Record in Web of Science</v>
      </c>
    </row>
    <row r="812" spans="1:72" x14ac:dyDescent="0.25">
      <c r="A812" t="s">
        <v>72</v>
      </c>
      <c r="B812" t="s">
        <v>11575</v>
      </c>
      <c r="C812" t="s">
        <v>74</v>
      </c>
      <c r="D812" t="s">
        <v>74</v>
      </c>
      <c r="E812" t="s">
        <v>74</v>
      </c>
      <c r="F812" t="s">
        <v>11576</v>
      </c>
      <c r="G812" t="s">
        <v>74</v>
      </c>
      <c r="H812" t="s">
        <v>74</v>
      </c>
      <c r="I812" t="s">
        <v>11577</v>
      </c>
      <c r="J812" t="s">
        <v>637</v>
      </c>
      <c r="K812" t="s">
        <v>74</v>
      </c>
      <c r="L812" t="s">
        <v>74</v>
      </c>
      <c r="M812" t="s">
        <v>78</v>
      </c>
      <c r="N812" t="s">
        <v>52</v>
      </c>
      <c r="O812" t="s">
        <v>2003</v>
      </c>
      <c r="P812" t="s">
        <v>11568</v>
      </c>
      <c r="Q812" t="s">
        <v>3360</v>
      </c>
      <c r="R812" t="s">
        <v>2006</v>
      </c>
      <c r="S812" t="s">
        <v>74</v>
      </c>
      <c r="T812" t="s">
        <v>74</v>
      </c>
      <c r="U812" t="s">
        <v>74</v>
      </c>
      <c r="V812" t="s">
        <v>74</v>
      </c>
      <c r="W812" t="s">
        <v>11578</v>
      </c>
      <c r="X812" t="s">
        <v>11579</v>
      </c>
      <c r="Y812" t="s">
        <v>74</v>
      </c>
      <c r="Z812" t="s">
        <v>74</v>
      </c>
      <c r="AA812" t="s">
        <v>11580</v>
      </c>
      <c r="AB812" t="s">
        <v>5709</v>
      </c>
      <c r="AC812" t="s">
        <v>74</v>
      </c>
      <c r="AD812" t="s">
        <v>74</v>
      </c>
      <c r="AE812" t="s">
        <v>74</v>
      </c>
      <c r="AF812" t="s">
        <v>74</v>
      </c>
      <c r="AG812">
        <v>0</v>
      </c>
      <c r="AH812">
        <v>2</v>
      </c>
      <c r="AI812">
        <v>2</v>
      </c>
      <c r="AJ812">
        <v>0</v>
      </c>
      <c r="AK812">
        <v>0</v>
      </c>
      <c r="AL812" t="s">
        <v>649</v>
      </c>
      <c r="AM812" t="s">
        <v>486</v>
      </c>
      <c r="AN812" t="s">
        <v>650</v>
      </c>
      <c r="AO812" t="s">
        <v>651</v>
      </c>
      <c r="AP812" t="s">
        <v>652</v>
      </c>
      <c r="AQ812" t="s">
        <v>74</v>
      </c>
      <c r="AR812" t="s">
        <v>653</v>
      </c>
      <c r="AS812" t="s">
        <v>654</v>
      </c>
      <c r="AT812" t="s">
        <v>74</v>
      </c>
      <c r="AU812">
        <v>2016</v>
      </c>
      <c r="AV812">
        <v>193</v>
      </c>
      <c r="AW812" t="s">
        <v>74</v>
      </c>
      <c r="AX812" t="s">
        <v>74</v>
      </c>
      <c r="AY812" t="s">
        <v>74</v>
      </c>
      <c r="AZ812" t="s">
        <v>74</v>
      </c>
      <c r="BA812" t="s">
        <v>11581</v>
      </c>
      <c r="BB812" t="s">
        <v>74</v>
      </c>
      <c r="BC812" t="s">
        <v>74</v>
      </c>
      <c r="BD812" t="s">
        <v>74</v>
      </c>
      <c r="BE812" t="s">
        <v>74</v>
      </c>
      <c r="BF812" t="s">
        <v>74</v>
      </c>
      <c r="BG812" t="s">
        <v>74</v>
      </c>
      <c r="BH812" t="s">
        <v>74</v>
      </c>
      <c r="BI812">
        <v>1</v>
      </c>
      <c r="BJ812" t="s">
        <v>341</v>
      </c>
      <c r="BK812" t="s">
        <v>512</v>
      </c>
      <c r="BL812" t="s">
        <v>342</v>
      </c>
      <c r="BM812" t="s">
        <v>11573</v>
      </c>
      <c r="BN812" t="s">
        <v>74</v>
      </c>
      <c r="BO812" t="s">
        <v>74</v>
      </c>
      <c r="BP812" t="s">
        <v>74</v>
      </c>
      <c r="BQ812" t="s">
        <v>74</v>
      </c>
      <c r="BR812" t="s">
        <v>104</v>
      </c>
      <c r="BS812" t="s">
        <v>11582</v>
      </c>
      <c r="BT812" t="str">
        <f>HYPERLINK("https%3A%2F%2Fwww.webofscience.com%2Fwos%2Fwoscc%2Ffull-record%2FWOS:000390749606234","View Full Record in Web of Science")</f>
        <v>View Full Record in Web of Science</v>
      </c>
    </row>
    <row r="813" spans="1:72" x14ac:dyDescent="0.25">
      <c r="A813" t="s">
        <v>72</v>
      </c>
      <c r="B813" t="s">
        <v>11583</v>
      </c>
      <c r="C813" t="s">
        <v>74</v>
      </c>
      <c r="D813" t="s">
        <v>74</v>
      </c>
      <c r="E813" t="s">
        <v>74</v>
      </c>
      <c r="F813" t="s">
        <v>11584</v>
      </c>
      <c r="G813" t="s">
        <v>74</v>
      </c>
      <c r="H813" t="s">
        <v>74</v>
      </c>
      <c r="I813" t="s">
        <v>11585</v>
      </c>
      <c r="J813" t="s">
        <v>1529</v>
      </c>
      <c r="K813" t="s">
        <v>74</v>
      </c>
      <c r="L813" t="s">
        <v>74</v>
      </c>
      <c r="M813" t="s">
        <v>1349</v>
      </c>
      <c r="N813" t="s">
        <v>79</v>
      </c>
      <c r="O813" t="s">
        <v>74</v>
      </c>
      <c r="P813" t="s">
        <v>74</v>
      </c>
      <c r="Q813" t="s">
        <v>74</v>
      </c>
      <c r="R813" t="s">
        <v>74</v>
      </c>
      <c r="S813" t="s">
        <v>74</v>
      </c>
      <c r="T813" t="s">
        <v>74</v>
      </c>
      <c r="U813" t="s">
        <v>11586</v>
      </c>
      <c r="V813" t="s">
        <v>11587</v>
      </c>
      <c r="W813" t="s">
        <v>11588</v>
      </c>
      <c r="X813" t="s">
        <v>11589</v>
      </c>
      <c r="Y813" t="s">
        <v>11590</v>
      </c>
      <c r="Z813" t="s">
        <v>6688</v>
      </c>
      <c r="AA813" t="s">
        <v>9140</v>
      </c>
      <c r="AB813" t="s">
        <v>11591</v>
      </c>
      <c r="AC813" t="s">
        <v>74</v>
      </c>
      <c r="AD813" t="s">
        <v>74</v>
      </c>
      <c r="AE813" t="s">
        <v>74</v>
      </c>
      <c r="AF813" t="s">
        <v>74</v>
      </c>
      <c r="AG813">
        <v>40</v>
      </c>
      <c r="AH813">
        <v>13</v>
      </c>
      <c r="AI813">
        <v>13</v>
      </c>
      <c r="AJ813">
        <v>1</v>
      </c>
      <c r="AK813">
        <v>7</v>
      </c>
      <c r="AL813" t="s">
        <v>1358</v>
      </c>
      <c r="AM813" t="s">
        <v>1359</v>
      </c>
      <c r="AN813" t="s">
        <v>1360</v>
      </c>
      <c r="AO813" t="s">
        <v>1533</v>
      </c>
      <c r="AP813" t="s">
        <v>1534</v>
      </c>
      <c r="AQ813" t="s">
        <v>74</v>
      </c>
      <c r="AR813" t="s">
        <v>1535</v>
      </c>
      <c r="AS813" t="s">
        <v>1536</v>
      </c>
      <c r="AT813" t="s">
        <v>176</v>
      </c>
      <c r="AU813">
        <v>2016</v>
      </c>
      <c r="AV813">
        <v>45</v>
      </c>
      <c r="AW813">
        <v>1</v>
      </c>
      <c r="AX813" t="s">
        <v>74</v>
      </c>
      <c r="AY813" t="s">
        <v>74</v>
      </c>
      <c r="AZ813" t="s">
        <v>74</v>
      </c>
      <c r="BA813" t="s">
        <v>74</v>
      </c>
      <c r="BB813">
        <v>20</v>
      </c>
      <c r="BC813">
        <v>28</v>
      </c>
      <c r="BD813" t="s">
        <v>74</v>
      </c>
      <c r="BE813" t="s">
        <v>11592</v>
      </c>
      <c r="BF813" t="str">
        <f>HYPERLINK("http://dx.doi.org/10.1016/j.lpm.2015.10.001","http://dx.doi.org/10.1016/j.lpm.2015.10.001")</f>
        <v>http://dx.doi.org/10.1016/j.lpm.2015.10.001</v>
      </c>
      <c r="BG813" t="s">
        <v>74</v>
      </c>
      <c r="BH813" t="s">
        <v>74</v>
      </c>
      <c r="BI813">
        <v>9</v>
      </c>
      <c r="BJ813" t="s">
        <v>1152</v>
      </c>
      <c r="BK813" t="s">
        <v>101</v>
      </c>
      <c r="BL813" t="s">
        <v>1153</v>
      </c>
      <c r="BM813" t="s">
        <v>11593</v>
      </c>
      <c r="BN813">
        <v>26547673</v>
      </c>
      <c r="BO813" t="s">
        <v>74</v>
      </c>
      <c r="BP813" t="s">
        <v>74</v>
      </c>
      <c r="BQ813" t="s">
        <v>74</v>
      </c>
      <c r="BR813" t="s">
        <v>104</v>
      </c>
      <c r="BS813" t="s">
        <v>11594</v>
      </c>
      <c r="BT813" t="str">
        <f>HYPERLINK("https%3A%2F%2Fwww.webofscience.com%2Fwos%2Fwoscc%2Ffull-record%2FWOS:000370191200004","View Full Record in Web of Science")</f>
        <v>View Full Record in Web of Science</v>
      </c>
    </row>
    <row r="814" spans="1:72" x14ac:dyDescent="0.25">
      <c r="A814" t="s">
        <v>72</v>
      </c>
      <c r="B814" t="s">
        <v>8787</v>
      </c>
      <c r="C814" t="s">
        <v>74</v>
      </c>
      <c r="D814" t="s">
        <v>74</v>
      </c>
      <c r="E814" t="s">
        <v>74</v>
      </c>
      <c r="F814" t="s">
        <v>11595</v>
      </c>
      <c r="G814" t="s">
        <v>74</v>
      </c>
      <c r="H814" t="s">
        <v>74</v>
      </c>
      <c r="I814" t="s">
        <v>11596</v>
      </c>
      <c r="J814" t="s">
        <v>637</v>
      </c>
      <c r="K814" t="s">
        <v>74</v>
      </c>
      <c r="L814" t="s">
        <v>74</v>
      </c>
      <c r="M814" t="s">
        <v>78</v>
      </c>
      <c r="N814" t="s">
        <v>52</v>
      </c>
      <c r="O814" t="s">
        <v>2003</v>
      </c>
      <c r="P814" t="s">
        <v>11568</v>
      </c>
      <c r="Q814" t="s">
        <v>3360</v>
      </c>
      <c r="R814" t="s">
        <v>2006</v>
      </c>
      <c r="S814" t="s">
        <v>74</v>
      </c>
      <c r="T814" t="s">
        <v>74</v>
      </c>
      <c r="U814" t="s">
        <v>74</v>
      </c>
      <c r="V814" t="s">
        <v>74</v>
      </c>
      <c r="W814" t="s">
        <v>11597</v>
      </c>
      <c r="X814" t="s">
        <v>11598</v>
      </c>
      <c r="Y814" t="s">
        <v>74</v>
      </c>
      <c r="Z814" t="s">
        <v>74</v>
      </c>
      <c r="AA814" t="s">
        <v>8797</v>
      </c>
      <c r="AB814" t="s">
        <v>74</v>
      </c>
      <c r="AC814" t="s">
        <v>74</v>
      </c>
      <c r="AD814" t="s">
        <v>74</v>
      </c>
      <c r="AE814" t="s">
        <v>74</v>
      </c>
      <c r="AF814" t="s">
        <v>74</v>
      </c>
      <c r="AG814">
        <v>0</v>
      </c>
      <c r="AH814">
        <v>0</v>
      </c>
      <c r="AI814">
        <v>0</v>
      </c>
      <c r="AJ814">
        <v>0</v>
      </c>
      <c r="AK814">
        <v>0</v>
      </c>
      <c r="AL814" t="s">
        <v>649</v>
      </c>
      <c r="AM814" t="s">
        <v>486</v>
      </c>
      <c r="AN814" t="s">
        <v>650</v>
      </c>
      <c r="AO814" t="s">
        <v>651</v>
      </c>
      <c r="AP814" t="s">
        <v>652</v>
      </c>
      <c r="AQ814" t="s">
        <v>74</v>
      </c>
      <c r="AR814" t="s">
        <v>653</v>
      </c>
      <c r="AS814" t="s">
        <v>654</v>
      </c>
      <c r="AT814" t="s">
        <v>74</v>
      </c>
      <c r="AU814">
        <v>2016</v>
      </c>
      <c r="AV814">
        <v>193</v>
      </c>
      <c r="AW814" t="s">
        <v>74</v>
      </c>
      <c r="AX814" t="s">
        <v>74</v>
      </c>
      <c r="AY814" t="s">
        <v>74</v>
      </c>
      <c r="AZ814" t="s">
        <v>74</v>
      </c>
      <c r="BA814" t="s">
        <v>11599</v>
      </c>
      <c r="BB814" t="s">
        <v>74</v>
      </c>
      <c r="BC814" t="s">
        <v>74</v>
      </c>
      <c r="BD814" t="s">
        <v>74</v>
      </c>
      <c r="BE814" t="s">
        <v>74</v>
      </c>
      <c r="BF814" t="s">
        <v>74</v>
      </c>
      <c r="BG814" t="s">
        <v>74</v>
      </c>
      <c r="BH814" t="s">
        <v>74</v>
      </c>
      <c r="BI814">
        <v>2</v>
      </c>
      <c r="BJ814" t="s">
        <v>341</v>
      </c>
      <c r="BK814" t="s">
        <v>512</v>
      </c>
      <c r="BL814" t="s">
        <v>342</v>
      </c>
      <c r="BM814" t="s">
        <v>11573</v>
      </c>
      <c r="BN814" t="s">
        <v>74</v>
      </c>
      <c r="BO814" t="s">
        <v>74</v>
      </c>
      <c r="BP814" t="s">
        <v>74</v>
      </c>
      <c r="BQ814" t="s">
        <v>74</v>
      </c>
      <c r="BR814" t="s">
        <v>104</v>
      </c>
      <c r="BS814" t="s">
        <v>11600</v>
      </c>
      <c r="BT814" t="str">
        <f>HYPERLINK("https%3A%2F%2Fwww.webofscience.com%2Fwos%2Fwoscc%2Ffull-record%2FWOS:000390749607293","View Full Record in Web of Science")</f>
        <v>View Full Record in Web of Science</v>
      </c>
    </row>
    <row r="815" spans="1:72" x14ac:dyDescent="0.25">
      <c r="A815" t="s">
        <v>72</v>
      </c>
      <c r="B815" t="s">
        <v>11601</v>
      </c>
      <c r="C815" t="s">
        <v>74</v>
      </c>
      <c r="D815" t="s">
        <v>74</v>
      </c>
      <c r="E815" t="s">
        <v>74</v>
      </c>
      <c r="F815" t="s">
        <v>11602</v>
      </c>
      <c r="G815" t="s">
        <v>74</v>
      </c>
      <c r="H815" t="s">
        <v>74</v>
      </c>
      <c r="I815" t="s">
        <v>11603</v>
      </c>
      <c r="J815" t="s">
        <v>637</v>
      </c>
      <c r="K815" t="s">
        <v>74</v>
      </c>
      <c r="L815" t="s">
        <v>74</v>
      </c>
      <c r="M815" t="s">
        <v>78</v>
      </c>
      <c r="N815" t="s">
        <v>52</v>
      </c>
      <c r="O815" t="s">
        <v>2003</v>
      </c>
      <c r="P815" t="s">
        <v>11568</v>
      </c>
      <c r="Q815" t="s">
        <v>3360</v>
      </c>
      <c r="R815" t="s">
        <v>2006</v>
      </c>
      <c r="S815" t="s">
        <v>74</v>
      </c>
      <c r="T815" t="s">
        <v>74</v>
      </c>
      <c r="U815" t="s">
        <v>74</v>
      </c>
      <c r="V815" t="s">
        <v>74</v>
      </c>
      <c r="W815" t="s">
        <v>11604</v>
      </c>
      <c r="X815" t="s">
        <v>11605</v>
      </c>
      <c r="Y815" t="s">
        <v>74</v>
      </c>
      <c r="Z815" t="s">
        <v>11606</v>
      </c>
      <c r="AA815" t="s">
        <v>11607</v>
      </c>
      <c r="AB815" t="s">
        <v>11608</v>
      </c>
      <c r="AC815" t="s">
        <v>74</v>
      </c>
      <c r="AD815" t="s">
        <v>74</v>
      </c>
      <c r="AE815" t="s">
        <v>74</v>
      </c>
      <c r="AF815" t="s">
        <v>74</v>
      </c>
      <c r="AG815">
        <v>0</v>
      </c>
      <c r="AH815">
        <v>0</v>
      </c>
      <c r="AI815">
        <v>0</v>
      </c>
      <c r="AJ815">
        <v>0</v>
      </c>
      <c r="AK815">
        <v>5</v>
      </c>
      <c r="AL815" t="s">
        <v>649</v>
      </c>
      <c r="AM815" t="s">
        <v>486</v>
      </c>
      <c r="AN815" t="s">
        <v>650</v>
      </c>
      <c r="AO815" t="s">
        <v>651</v>
      </c>
      <c r="AP815" t="s">
        <v>652</v>
      </c>
      <c r="AQ815" t="s">
        <v>74</v>
      </c>
      <c r="AR815" t="s">
        <v>653</v>
      </c>
      <c r="AS815" t="s">
        <v>654</v>
      </c>
      <c r="AT815" t="s">
        <v>74</v>
      </c>
      <c r="AU815">
        <v>2016</v>
      </c>
      <c r="AV815">
        <v>193</v>
      </c>
      <c r="AW815" t="s">
        <v>74</v>
      </c>
      <c r="AX815" t="s">
        <v>74</v>
      </c>
      <c r="AY815" t="s">
        <v>74</v>
      </c>
      <c r="AZ815" t="s">
        <v>74</v>
      </c>
      <c r="BA815" t="s">
        <v>11609</v>
      </c>
      <c r="BB815" t="s">
        <v>74</v>
      </c>
      <c r="BC815" t="s">
        <v>74</v>
      </c>
      <c r="BD815" t="s">
        <v>74</v>
      </c>
      <c r="BE815" t="s">
        <v>74</v>
      </c>
      <c r="BF815" t="s">
        <v>74</v>
      </c>
      <c r="BG815" t="s">
        <v>74</v>
      </c>
      <c r="BH815" t="s">
        <v>74</v>
      </c>
      <c r="BI815">
        <v>1</v>
      </c>
      <c r="BJ815" t="s">
        <v>341</v>
      </c>
      <c r="BK815" t="s">
        <v>512</v>
      </c>
      <c r="BL815" t="s">
        <v>342</v>
      </c>
      <c r="BM815" t="s">
        <v>11573</v>
      </c>
      <c r="BN815" t="s">
        <v>74</v>
      </c>
      <c r="BO815" t="s">
        <v>74</v>
      </c>
      <c r="BP815" t="s">
        <v>74</v>
      </c>
      <c r="BQ815" t="s">
        <v>74</v>
      </c>
      <c r="BR815" t="s">
        <v>104</v>
      </c>
      <c r="BS815" t="s">
        <v>11610</v>
      </c>
      <c r="BT815" t="str">
        <f>HYPERLINK("https%3A%2F%2Fwww.webofscience.com%2Fwos%2Fwoscc%2Ffull-record%2FWOS:000390749602051","View Full Record in Web of Science")</f>
        <v>View Full Record in Web of Science</v>
      </c>
    </row>
    <row r="816" spans="1:72" x14ac:dyDescent="0.25">
      <c r="A816" t="s">
        <v>72</v>
      </c>
      <c r="B816" t="s">
        <v>11502</v>
      </c>
      <c r="C816" t="s">
        <v>74</v>
      </c>
      <c r="D816" t="s">
        <v>74</v>
      </c>
      <c r="E816" t="s">
        <v>74</v>
      </c>
      <c r="F816" t="s">
        <v>11611</v>
      </c>
      <c r="G816" t="s">
        <v>74</v>
      </c>
      <c r="H816" t="s">
        <v>11612</v>
      </c>
      <c r="I816" t="s">
        <v>11613</v>
      </c>
      <c r="J816" t="s">
        <v>1068</v>
      </c>
      <c r="K816" t="s">
        <v>74</v>
      </c>
      <c r="L816" t="s">
        <v>74</v>
      </c>
      <c r="M816" t="s">
        <v>78</v>
      </c>
      <c r="N816" t="s">
        <v>79</v>
      </c>
      <c r="O816" t="s">
        <v>74</v>
      </c>
      <c r="P816" t="s">
        <v>74</v>
      </c>
      <c r="Q816" t="s">
        <v>74</v>
      </c>
      <c r="R816" t="s">
        <v>74</v>
      </c>
      <c r="S816" t="s">
        <v>74</v>
      </c>
      <c r="T816" t="s">
        <v>11614</v>
      </c>
      <c r="U816" t="s">
        <v>11615</v>
      </c>
      <c r="V816" t="s">
        <v>11616</v>
      </c>
      <c r="W816" t="s">
        <v>11617</v>
      </c>
      <c r="X816" t="s">
        <v>11618</v>
      </c>
      <c r="Y816" t="s">
        <v>11619</v>
      </c>
      <c r="Z816" t="s">
        <v>11620</v>
      </c>
      <c r="AA816" t="s">
        <v>11621</v>
      </c>
      <c r="AB816" t="s">
        <v>11622</v>
      </c>
      <c r="AC816" t="s">
        <v>74</v>
      </c>
      <c r="AD816" t="s">
        <v>74</v>
      </c>
      <c r="AE816" t="s">
        <v>74</v>
      </c>
      <c r="AF816" t="s">
        <v>74</v>
      </c>
      <c r="AG816">
        <v>454</v>
      </c>
      <c r="AH816">
        <v>5753</v>
      </c>
      <c r="AI816">
        <v>6289</v>
      </c>
      <c r="AJ816">
        <v>13</v>
      </c>
      <c r="AK816">
        <v>279</v>
      </c>
      <c r="AL816" t="s">
        <v>1073</v>
      </c>
      <c r="AM816" t="s">
        <v>1074</v>
      </c>
      <c r="AN816" t="s">
        <v>1075</v>
      </c>
      <c r="AO816" t="s">
        <v>1076</v>
      </c>
      <c r="AP816" t="s">
        <v>1077</v>
      </c>
      <c r="AQ816" t="s">
        <v>74</v>
      </c>
      <c r="AR816" t="s">
        <v>1078</v>
      </c>
      <c r="AS816" t="s">
        <v>1079</v>
      </c>
      <c r="AT816" t="s">
        <v>1247</v>
      </c>
      <c r="AU816">
        <v>2016</v>
      </c>
      <c r="AV816">
        <v>37</v>
      </c>
      <c r="AW816">
        <v>1</v>
      </c>
      <c r="AX816" t="s">
        <v>74</v>
      </c>
      <c r="AY816" t="s">
        <v>74</v>
      </c>
      <c r="AZ816" t="s">
        <v>1080</v>
      </c>
      <c r="BA816" t="s">
        <v>74</v>
      </c>
      <c r="BB816">
        <v>67</v>
      </c>
      <c r="BC816" t="s">
        <v>3083</v>
      </c>
      <c r="BD816" t="s">
        <v>74</v>
      </c>
      <c r="BE816" t="s">
        <v>11623</v>
      </c>
      <c r="BF816" t="str">
        <f>HYPERLINK("http://dx.doi.org/10.1093/eurheartj/ehv317","http://dx.doi.org/10.1093/eurheartj/ehv317")</f>
        <v>http://dx.doi.org/10.1093/eurheartj/ehv317</v>
      </c>
      <c r="BG816" t="s">
        <v>74</v>
      </c>
      <c r="BH816" t="s">
        <v>74</v>
      </c>
      <c r="BI816">
        <v>58</v>
      </c>
      <c r="BJ816" t="s">
        <v>132</v>
      </c>
      <c r="BK816" t="s">
        <v>101</v>
      </c>
      <c r="BL816" t="s">
        <v>133</v>
      </c>
      <c r="BM816" t="s">
        <v>11624</v>
      </c>
      <c r="BN816">
        <v>26320113</v>
      </c>
      <c r="BO816" t="s">
        <v>2517</v>
      </c>
      <c r="BP816" t="s">
        <v>1155</v>
      </c>
      <c r="BQ816" t="s">
        <v>1156</v>
      </c>
      <c r="BR816" t="s">
        <v>104</v>
      </c>
      <c r="BS816" t="s">
        <v>11625</v>
      </c>
      <c r="BT816" t="str">
        <f>HYPERLINK("https%3A%2F%2Fwww.webofscience.com%2Fwos%2Fwoscc%2Ffull-record%2FWOS:000370974000012","View Full Record in Web of Science")</f>
        <v>View Full Record in Web of Science</v>
      </c>
    </row>
    <row r="817" spans="1:72" x14ac:dyDescent="0.25">
      <c r="A817" t="s">
        <v>72</v>
      </c>
      <c r="B817" t="s">
        <v>11626</v>
      </c>
      <c r="C817" t="s">
        <v>74</v>
      </c>
      <c r="D817" t="s">
        <v>74</v>
      </c>
      <c r="E817" t="s">
        <v>74</v>
      </c>
      <c r="F817" t="s">
        <v>11627</v>
      </c>
      <c r="G817" t="s">
        <v>74</v>
      </c>
      <c r="H817" t="s">
        <v>74</v>
      </c>
      <c r="I817" t="s">
        <v>11628</v>
      </c>
      <c r="J817" t="s">
        <v>637</v>
      </c>
      <c r="K817" t="s">
        <v>74</v>
      </c>
      <c r="L817" t="s">
        <v>74</v>
      </c>
      <c r="M817" t="s">
        <v>78</v>
      </c>
      <c r="N817" t="s">
        <v>52</v>
      </c>
      <c r="O817" t="s">
        <v>2003</v>
      </c>
      <c r="P817" t="s">
        <v>11568</v>
      </c>
      <c r="Q817" t="s">
        <v>3360</v>
      </c>
      <c r="R817" t="s">
        <v>2006</v>
      </c>
      <c r="S817" t="s">
        <v>74</v>
      </c>
      <c r="T817" t="s">
        <v>74</v>
      </c>
      <c r="U817" t="s">
        <v>74</v>
      </c>
      <c r="V817" t="s">
        <v>74</v>
      </c>
      <c r="W817" t="s">
        <v>11629</v>
      </c>
      <c r="X817" t="s">
        <v>11630</v>
      </c>
      <c r="Y817" t="s">
        <v>74</v>
      </c>
      <c r="Z817" t="s">
        <v>74</v>
      </c>
      <c r="AA817" t="s">
        <v>11631</v>
      </c>
      <c r="AB817" t="s">
        <v>1489</v>
      </c>
      <c r="AC817" t="s">
        <v>74</v>
      </c>
      <c r="AD817" t="s">
        <v>74</v>
      </c>
      <c r="AE817" t="s">
        <v>74</v>
      </c>
      <c r="AF817" t="s">
        <v>74</v>
      </c>
      <c r="AG817">
        <v>0</v>
      </c>
      <c r="AH817">
        <v>0</v>
      </c>
      <c r="AI817">
        <v>0</v>
      </c>
      <c r="AJ817">
        <v>0</v>
      </c>
      <c r="AK817">
        <v>2</v>
      </c>
      <c r="AL817" t="s">
        <v>649</v>
      </c>
      <c r="AM817" t="s">
        <v>486</v>
      </c>
      <c r="AN817" t="s">
        <v>650</v>
      </c>
      <c r="AO817" t="s">
        <v>651</v>
      </c>
      <c r="AP817" t="s">
        <v>652</v>
      </c>
      <c r="AQ817" t="s">
        <v>74</v>
      </c>
      <c r="AR817" t="s">
        <v>653</v>
      </c>
      <c r="AS817" t="s">
        <v>654</v>
      </c>
      <c r="AT817" t="s">
        <v>74</v>
      </c>
      <c r="AU817">
        <v>2016</v>
      </c>
      <c r="AV817">
        <v>193</v>
      </c>
      <c r="AW817" t="s">
        <v>74</v>
      </c>
      <c r="AX817" t="s">
        <v>74</v>
      </c>
      <c r="AY817" t="s">
        <v>74</v>
      </c>
      <c r="AZ817" t="s">
        <v>74</v>
      </c>
      <c r="BA817" t="s">
        <v>11632</v>
      </c>
      <c r="BB817" t="s">
        <v>74</v>
      </c>
      <c r="BC817" t="s">
        <v>74</v>
      </c>
      <c r="BD817" t="s">
        <v>74</v>
      </c>
      <c r="BE817" t="s">
        <v>74</v>
      </c>
      <c r="BF817" t="s">
        <v>74</v>
      </c>
      <c r="BG817" t="s">
        <v>74</v>
      </c>
      <c r="BH817" t="s">
        <v>74</v>
      </c>
      <c r="BI817">
        <v>2</v>
      </c>
      <c r="BJ817" t="s">
        <v>341</v>
      </c>
      <c r="BK817" t="s">
        <v>512</v>
      </c>
      <c r="BL817" t="s">
        <v>342</v>
      </c>
      <c r="BM817" t="s">
        <v>11573</v>
      </c>
      <c r="BN817" t="s">
        <v>74</v>
      </c>
      <c r="BO817" t="s">
        <v>74</v>
      </c>
      <c r="BP817" t="s">
        <v>74</v>
      </c>
      <c r="BQ817" t="s">
        <v>74</v>
      </c>
      <c r="BR817" t="s">
        <v>104</v>
      </c>
      <c r="BS817" t="s">
        <v>11633</v>
      </c>
      <c r="BT817" t="str">
        <f>HYPERLINK("https%3A%2F%2Fwww.webofscience.com%2Fwos%2Fwoscc%2Ffull-record%2FWOS:000390749607329","View Full Record in Web of Science")</f>
        <v>View Full Record in Web of Science</v>
      </c>
    </row>
    <row r="818" spans="1:72" x14ac:dyDescent="0.25">
      <c r="A818" t="s">
        <v>72</v>
      </c>
      <c r="B818" t="s">
        <v>11634</v>
      </c>
      <c r="C818" t="s">
        <v>74</v>
      </c>
      <c r="D818" t="s">
        <v>74</v>
      </c>
      <c r="E818" t="s">
        <v>74</v>
      </c>
      <c r="F818" t="s">
        <v>11635</v>
      </c>
      <c r="G818" t="s">
        <v>74</v>
      </c>
      <c r="H818" t="s">
        <v>74</v>
      </c>
      <c r="I818" t="s">
        <v>11636</v>
      </c>
      <c r="J818" t="s">
        <v>637</v>
      </c>
      <c r="K818" t="s">
        <v>74</v>
      </c>
      <c r="L818" t="s">
        <v>74</v>
      </c>
      <c r="M818" t="s">
        <v>78</v>
      </c>
      <c r="N818" t="s">
        <v>52</v>
      </c>
      <c r="O818" t="s">
        <v>2003</v>
      </c>
      <c r="P818" t="s">
        <v>11568</v>
      </c>
      <c r="Q818" t="s">
        <v>3360</v>
      </c>
      <c r="R818" t="s">
        <v>2006</v>
      </c>
      <c r="S818" t="s">
        <v>74</v>
      </c>
      <c r="T818" t="s">
        <v>74</v>
      </c>
      <c r="U818" t="s">
        <v>74</v>
      </c>
      <c r="V818" t="s">
        <v>74</v>
      </c>
      <c r="W818" t="s">
        <v>11637</v>
      </c>
      <c r="X818" t="s">
        <v>11638</v>
      </c>
      <c r="Y818" t="s">
        <v>74</v>
      </c>
      <c r="Z818" t="s">
        <v>10617</v>
      </c>
      <c r="AA818" t="s">
        <v>11639</v>
      </c>
      <c r="AB818" t="s">
        <v>5709</v>
      </c>
      <c r="AC818" t="s">
        <v>74</v>
      </c>
      <c r="AD818" t="s">
        <v>74</v>
      </c>
      <c r="AE818" t="s">
        <v>74</v>
      </c>
      <c r="AF818" t="s">
        <v>74</v>
      </c>
      <c r="AG818">
        <v>0</v>
      </c>
      <c r="AH818">
        <v>0</v>
      </c>
      <c r="AI818">
        <v>0</v>
      </c>
      <c r="AJ818">
        <v>0</v>
      </c>
      <c r="AK818">
        <v>0</v>
      </c>
      <c r="AL818" t="s">
        <v>649</v>
      </c>
      <c r="AM818" t="s">
        <v>486</v>
      </c>
      <c r="AN818" t="s">
        <v>650</v>
      </c>
      <c r="AO818" t="s">
        <v>651</v>
      </c>
      <c r="AP818" t="s">
        <v>652</v>
      </c>
      <c r="AQ818" t="s">
        <v>74</v>
      </c>
      <c r="AR818" t="s">
        <v>653</v>
      </c>
      <c r="AS818" t="s">
        <v>654</v>
      </c>
      <c r="AT818" t="s">
        <v>74</v>
      </c>
      <c r="AU818">
        <v>2016</v>
      </c>
      <c r="AV818">
        <v>193</v>
      </c>
      <c r="AW818" t="s">
        <v>74</v>
      </c>
      <c r="AX818" t="s">
        <v>74</v>
      </c>
      <c r="AY818" t="s">
        <v>74</v>
      </c>
      <c r="AZ818" t="s">
        <v>74</v>
      </c>
      <c r="BA818" t="s">
        <v>11640</v>
      </c>
      <c r="BB818" t="s">
        <v>74</v>
      </c>
      <c r="BC818" t="s">
        <v>74</v>
      </c>
      <c r="BD818" t="s">
        <v>74</v>
      </c>
      <c r="BE818" t="s">
        <v>74</v>
      </c>
      <c r="BF818" t="s">
        <v>74</v>
      </c>
      <c r="BG818" t="s">
        <v>74</v>
      </c>
      <c r="BH818" t="s">
        <v>74</v>
      </c>
      <c r="BI818">
        <v>1</v>
      </c>
      <c r="BJ818" t="s">
        <v>341</v>
      </c>
      <c r="BK818" t="s">
        <v>512</v>
      </c>
      <c r="BL818" t="s">
        <v>342</v>
      </c>
      <c r="BM818" t="s">
        <v>11573</v>
      </c>
      <c r="BN818" t="s">
        <v>74</v>
      </c>
      <c r="BO818" t="s">
        <v>74</v>
      </c>
      <c r="BP818" t="s">
        <v>74</v>
      </c>
      <c r="BQ818" t="s">
        <v>74</v>
      </c>
      <c r="BR818" t="s">
        <v>104</v>
      </c>
      <c r="BS818" t="s">
        <v>11641</v>
      </c>
      <c r="BT818" t="str">
        <f>HYPERLINK("https%3A%2F%2Fwww.webofscience.com%2Fwos%2Fwoscc%2Ffull-record%2FWOS:000390749607308","View Full Record in Web of Science")</f>
        <v>View Full Record in Web of Science</v>
      </c>
    </row>
    <row r="819" spans="1:72" x14ac:dyDescent="0.25">
      <c r="A819" t="s">
        <v>72</v>
      </c>
      <c r="B819" t="s">
        <v>11642</v>
      </c>
      <c r="C819" t="s">
        <v>74</v>
      </c>
      <c r="D819" t="s">
        <v>74</v>
      </c>
      <c r="E819" t="s">
        <v>74</v>
      </c>
      <c r="F819" t="s">
        <v>11643</v>
      </c>
      <c r="G819" t="s">
        <v>74</v>
      </c>
      <c r="H819" t="s">
        <v>74</v>
      </c>
      <c r="I819" t="s">
        <v>11644</v>
      </c>
      <c r="J819" t="s">
        <v>637</v>
      </c>
      <c r="K819" t="s">
        <v>74</v>
      </c>
      <c r="L819" t="s">
        <v>74</v>
      </c>
      <c r="M819" t="s">
        <v>78</v>
      </c>
      <c r="N819" t="s">
        <v>52</v>
      </c>
      <c r="O819" t="s">
        <v>2003</v>
      </c>
      <c r="P819" t="s">
        <v>11568</v>
      </c>
      <c r="Q819" t="s">
        <v>3360</v>
      </c>
      <c r="R819" t="s">
        <v>2006</v>
      </c>
      <c r="S819" t="s">
        <v>74</v>
      </c>
      <c r="T819" t="s">
        <v>74</v>
      </c>
      <c r="U819" t="s">
        <v>74</v>
      </c>
      <c r="V819" t="s">
        <v>74</v>
      </c>
      <c r="W819" t="s">
        <v>11645</v>
      </c>
      <c r="X819" t="s">
        <v>11646</v>
      </c>
      <c r="Y819" t="s">
        <v>74</v>
      </c>
      <c r="Z819" t="s">
        <v>11647</v>
      </c>
      <c r="AA819" t="s">
        <v>11648</v>
      </c>
      <c r="AB819" t="s">
        <v>7224</v>
      </c>
      <c r="AC819" t="s">
        <v>74</v>
      </c>
      <c r="AD819" t="s">
        <v>74</v>
      </c>
      <c r="AE819" t="s">
        <v>74</v>
      </c>
      <c r="AF819" t="s">
        <v>74</v>
      </c>
      <c r="AG819">
        <v>0</v>
      </c>
      <c r="AH819">
        <v>0</v>
      </c>
      <c r="AI819">
        <v>0</v>
      </c>
      <c r="AJ819">
        <v>0</v>
      </c>
      <c r="AK819">
        <v>0</v>
      </c>
      <c r="AL819" t="s">
        <v>649</v>
      </c>
      <c r="AM819" t="s">
        <v>486</v>
      </c>
      <c r="AN819" t="s">
        <v>650</v>
      </c>
      <c r="AO819" t="s">
        <v>651</v>
      </c>
      <c r="AP819" t="s">
        <v>652</v>
      </c>
      <c r="AQ819" t="s">
        <v>74</v>
      </c>
      <c r="AR819" t="s">
        <v>653</v>
      </c>
      <c r="AS819" t="s">
        <v>654</v>
      </c>
      <c r="AT819" t="s">
        <v>74</v>
      </c>
      <c r="AU819">
        <v>2016</v>
      </c>
      <c r="AV819">
        <v>193</v>
      </c>
      <c r="AW819" t="s">
        <v>74</v>
      </c>
      <c r="AX819" t="s">
        <v>74</v>
      </c>
      <c r="AY819" t="s">
        <v>74</v>
      </c>
      <c r="AZ819" t="s">
        <v>74</v>
      </c>
      <c r="BA819" t="s">
        <v>11649</v>
      </c>
      <c r="BB819" t="s">
        <v>74</v>
      </c>
      <c r="BC819" t="s">
        <v>74</v>
      </c>
      <c r="BD819" t="s">
        <v>74</v>
      </c>
      <c r="BE819" t="s">
        <v>74</v>
      </c>
      <c r="BF819" t="s">
        <v>74</v>
      </c>
      <c r="BG819" t="s">
        <v>74</v>
      </c>
      <c r="BH819" t="s">
        <v>74</v>
      </c>
      <c r="BI819">
        <v>1</v>
      </c>
      <c r="BJ819" t="s">
        <v>341</v>
      </c>
      <c r="BK819" t="s">
        <v>512</v>
      </c>
      <c r="BL819" t="s">
        <v>342</v>
      </c>
      <c r="BM819" t="s">
        <v>11573</v>
      </c>
      <c r="BN819" t="s">
        <v>74</v>
      </c>
      <c r="BO819" t="s">
        <v>74</v>
      </c>
      <c r="BP819" t="s">
        <v>74</v>
      </c>
      <c r="BQ819" t="s">
        <v>74</v>
      </c>
      <c r="BR819" t="s">
        <v>104</v>
      </c>
      <c r="BS819" t="s">
        <v>11650</v>
      </c>
      <c r="BT819" t="str">
        <f>HYPERLINK("https%3A%2F%2Fwww.webofscience.com%2Fwos%2Fwoscc%2Ffull-record%2FWOS:000390749607269","View Full Record in Web of Science")</f>
        <v>View Full Record in Web of Science</v>
      </c>
    </row>
    <row r="820" spans="1:72" x14ac:dyDescent="0.25">
      <c r="A820" t="s">
        <v>72</v>
      </c>
      <c r="B820" t="s">
        <v>11651</v>
      </c>
      <c r="C820" t="s">
        <v>74</v>
      </c>
      <c r="D820" t="s">
        <v>74</v>
      </c>
      <c r="E820" t="s">
        <v>74</v>
      </c>
      <c r="F820" t="s">
        <v>11652</v>
      </c>
      <c r="G820" t="s">
        <v>74</v>
      </c>
      <c r="H820" t="s">
        <v>74</v>
      </c>
      <c r="I820" t="s">
        <v>11653</v>
      </c>
      <c r="J820" t="s">
        <v>637</v>
      </c>
      <c r="K820" t="s">
        <v>74</v>
      </c>
      <c r="L820" t="s">
        <v>74</v>
      </c>
      <c r="M820" t="s">
        <v>78</v>
      </c>
      <c r="N820" t="s">
        <v>52</v>
      </c>
      <c r="O820" t="s">
        <v>2003</v>
      </c>
      <c r="P820" t="s">
        <v>11568</v>
      </c>
      <c r="Q820" t="s">
        <v>3360</v>
      </c>
      <c r="R820" t="s">
        <v>2006</v>
      </c>
      <c r="S820" t="s">
        <v>74</v>
      </c>
      <c r="T820" t="s">
        <v>74</v>
      </c>
      <c r="U820" t="s">
        <v>74</v>
      </c>
      <c r="V820" t="s">
        <v>74</v>
      </c>
      <c r="W820" t="s">
        <v>11654</v>
      </c>
      <c r="X820" t="s">
        <v>11655</v>
      </c>
      <c r="Y820" t="s">
        <v>74</v>
      </c>
      <c r="Z820" t="s">
        <v>11656</v>
      </c>
      <c r="AA820" t="s">
        <v>11657</v>
      </c>
      <c r="AB820" t="s">
        <v>9861</v>
      </c>
      <c r="AC820" t="s">
        <v>74</v>
      </c>
      <c r="AD820" t="s">
        <v>74</v>
      </c>
      <c r="AE820" t="s">
        <v>74</v>
      </c>
      <c r="AF820" t="s">
        <v>74</v>
      </c>
      <c r="AG820">
        <v>0</v>
      </c>
      <c r="AH820">
        <v>1</v>
      </c>
      <c r="AI820">
        <v>1</v>
      </c>
      <c r="AJ820">
        <v>0</v>
      </c>
      <c r="AK820">
        <v>0</v>
      </c>
      <c r="AL820" t="s">
        <v>649</v>
      </c>
      <c r="AM820" t="s">
        <v>486</v>
      </c>
      <c r="AN820" t="s">
        <v>650</v>
      </c>
      <c r="AO820" t="s">
        <v>651</v>
      </c>
      <c r="AP820" t="s">
        <v>652</v>
      </c>
      <c r="AQ820" t="s">
        <v>74</v>
      </c>
      <c r="AR820" t="s">
        <v>653</v>
      </c>
      <c r="AS820" t="s">
        <v>654</v>
      </c>
      <c r="AT820" t="s">
        <v>74</v>
      </c>
      <c r="AU820">
        <v>2016</v>
      </c>
      <c r="AV820">
        <v>193</v>
      </c>
      <c r="AW820" t="s">
        <v>74</v>
      </c>
      <c r="AX820" t="s">
        <v>74</v>
      </c>
      <c r="AY820" t="s">
        <v>74</v>
      </c>
      <c r="AZ820" t="s">
        <v>74</v>
      </c>
      <c r="BA820" t="s">
        <v>11658</v>
      </c>
      <c r="BB820" t="s">
        <v>74</v>
      </c>
      <c r="BC820" t="s">
        <v>74</v>
      </c>
      <c r="BD820" t="s">
        <v>74</v>
      </c>
      <c r="BE820" t="s">
        <v>74</v>
      </c>
      <c r="BF820" t="s">
        <v>74</v>
      </c>
      <c r="BG820" t="s">
        <v>74</v>
      </c>
      <c r="BH820" t="s">
        <v>74</v>
      </c>
      <c r="BI820">
        <v>1</v>
      </c>
      <c r="BJ820" t="s">
        <v>341</v>
      </c>
      <c r="BK820" t="s">
        <v>512</v>
      </c>
      <c r="BL820" t="s">
        <v>342</v>
      </c>
      <c r="BM820" t="s">
        <v>11573</v>
      </c>
      <c r="BN820" t="s">
        <v>74</v>
      </c>
      <c r="BO820" t="s">
        <v>74</v>
      </c>
      <c r="BP820" t="s">
        <v>74</v>
      </c>
      <c r="BQ820" t="s">
        <v>74</v>
      </c>
      <c r="BR820" t="s">
        <v>104</v>
      </c>
      <c r="BS820" t="s">
        <v>11659</v>
      </c>
      <c r="BT820" t="str">
        <f>HYPERLINK("https%3A%2F%2Fwww.webofscience.com%2Fwos%2Fwoscc%2Ffull-record%2FWOS:000390749603260","View Full Record in Web of Science")</f>
        <v>View Full Record in Web of Science</v>
      </c>
    </row>
    <row r="821" spans="1:72" x14ac:dyDescent="0.25">
      <c r="A821" t="s">
        <v>72</v>
      </c>
      <c r="B821" t="s">
        <v>11660</v>
      </c>
      <c r="C821" t="s">
        <v>74</v>
      </c>
      <c r="D821" t="s">
        <v>74</v>
      </c>
      <c r="E821" t="s">
        <v>74</v>
      </c>
      <c r="F821" t="s">
        <v>11661</v>
      </c>
      <c r="G821" t="s">
        <v>74</v>
      </c>
      <c r="H821" t="s">
        <v>74</v>
      </c>
      <c r="I821" t="s">
        <v>11662</v>
      </c>
      <c r="J821" t="s">
        <v>1068</v>
      </c>
      <c r="K821" t="s">
        <v>74</v>
      </c>
      <c r="L821" t="s">
        <v>74</v>
      </c>
      <c r="M821" t="s">
        <v>78</v>
      </c>
      <c r="N821" t="s">
        <v>140</v>
      </c>
      <c r="O821" t="s">
        <v>74</v>
      </c>
      <c r="P821" t="s">
        <v>74</v>
      </c>
      <c r="Q821" t="s">
        <v>74</v>
      </c>
      <c r="R821" t="s">
        <v>74</v>
      </c>
      <c r="S821" t="s">
        <v>74</v>
      </c>
      <c r="T821" t="s">
        <v>74</v>
      </c>
      <c r="U821" t="s">
        <v>74</v>
      </c>
      <c r="V821" t="s">
        <v>74</v>
      </c>
      <c r="W821" t="s">
        <v>74</v>
      </c>
      <c r="X821" t="s">
        <v>74</v>
      </c>
      <c r="Y821" t="s">
        <v>74</v>
      </c>
      <c r="Z821" t="s">
        <v>11663</v>
      </c>
      <c r="AA821" t="s">
        <v>144</v>
      </c>
      <c r="AB821" t="s">
        <v>257</v>
      </c>
      <c r="AC821" t="s">
        <v>74</v>
      </c>
      <c r="AD821" t="s">
        <v>74</v>
      </c>
      <c r="AE821" t="s">
        <v>74</v>
      </c>
      <c r="AF821" t="s">
        <v>74</v>
      </c>
      <c r="AG821">
        <v>0</v>
      </c>
      <c r="AH821">
        <v>4</v>
      </c>
      <c r="AI821">
        <v>4</v>
      </c>
      <c r="AJ821">
        <v>0</v>
      </c>
      <c r="AK821">
        <v>1</v>
      </c>
      <c r="AL821" t="s">
        <v>1073</v>
      </c>
      <c r="AM821" t="s">
        <v>1074</v>
      </c>
      <c r="AN821" t="s">
        <v>1075</v>
      </c>
      <c r="AO821" t="s">
        <v>1076</v>
      </c>
      <c r="AP821" t="s">
        <v>1077</v>
      </c>
      <c r="AQ821" t="s">
        <v>74</v>
      </c>
      <c r="AR821" t="s">
        <v>1078</v>
      </c>
      <c r="AS821" t="s">
        <v>1079</v>
      </c>
      <c r="AT821" t="s">
        <v>1247</v>
      </c>
      <c r="AU821">
        <v>2016</v>
      </c>
      <c r="AV821">
        <v>37</v>
      </c>
      <c r="AW821">
        <v>1</v>
      </c>
      <c r="AX821" t="s">
        <v>74</v>
      </c>
      <c r="AY821" t="s">
        <v>74</v>
      </c>
      <c r="AZ821" t="s">
        <v>1080</v>
      </c>
      <c r="BA821" t="s">
        <v>74</v>
      </c>
      <c r="BB821">
        <v>4</v>
      </c>
      <c r="BC821">
        <v>5</v>
      </c>
      <c r="BD821" t="s">
        <v>74</v>
      </c>
      <c r="BE821" t="s">
        <v>11664</v>
      </c>
      <c r="BF821" t="str">
        <f>HYPERLINK("http://dx.doi.org/10.1093/eurheartj/ehv636","http://dx.doi.org/10.1093/eurheartj/ehv636")</f>
        <v>http://dx.doi.org/10.1093/eurheartj/ehv636</v>
      </c>
      <c r="BG821" t="s">
        <v>74</v>
      </c>
      <c r="BH821" t="s">
        <v>74</v>
      </c>
      <c r="BI821">
        <v>2</v>
      </c>
      <c r="BJ821" t="s">
        <v>132</v>
      </c>
      <c r="BK821" t="s">
        <v>101</v>
      </c>
      <c r="BL821" t="s">
        <v>133</v>
      </c>
      <c r="BM821" t="s">
        <v>11624</v>
      </c>
      <c r="BN821">
        <v>26712889</v>
      </c>
      <c r="BO821" t="s">
        <v>1194</v>
      </c>
      <c r="BP821" t="s">
        <v>74</v>
      </c>
      <c r="BQ821" t="s">
        <v>74</v>
      </c>
      <c r="BR821" t="s">
        <v>104</v>
      </c>
      <c r="BS821" t="s">
        <v>11665</v>
      </c>
      <c r="BT821" t="str">
        <f>HYPERLINK("https%3A%2F%2Fwww.webofscience.com%2Fwos%2Fwoscc%2Ffull-record%2FWOS:000370974000002","View Full Record in Web of Science")</f>
        <v>View Full Record in Web of Science</v>
      </c>
    </row>
    <row r="822" spans="1:72" x14ac:dyDescent="0.25">
      <c r="A822" t="s">
        <v>72</v>
      </c>
      <c r="B822" t="s">
        <v>11666</v>
      </c>
      <c r="C822" t="s">
        <v>74</v>
      </c>
      <c r="D822" t="s">
        <v>74</v>
      </c>
      <c r="E822" t="s">
        <v>74</v>
      </c>
      <c r="F822" t="s">
        <v>11667</v>
      </c>
      <c r="G822" t="s">
        <v>74</v>
      </c>
      <c r="H822" t="s">
        <v>74</v>
      </c>
      <c r="I822" t="s">
        <v>11668</v>
      </c>
      <c r="J822" t="s">
        <v>216</v>
      </c>
      <c r="K822" t="s">
        <v>74</v>
      </c>
      <c r="L822" t="s">
        <v>74</v>
      </c>
      <c r="M822" t="s">
        <v>78</v>
      </c>
      <c r="N822" t="s">
        <v>140</v>
      </c>
      <c r="O822" t="s">
        <v>74</v>
      </c>
      <c r="P822" t="s">
        <v>74</v>
      </c>
      <c r="Q822" t="s">
        <v>74</v>
      </c>
      <c r="R822" t="s">
        <v>74</v>
      </c>
      <c r="S822" t="s">
        <v>74</v>
      </c>
      <c r="T822" t="s">
        <v>74</v>
      </c>
      <c r="U822" t="s">
        <v>11669</v>
      </c>
      <c r="V822" t="s">
        <v>74</v>
      </c>
      <c r="W822" t="s">
        <v>11670</v>
      </c>
      <c r="X822" t="s">
        <v>11671</v>
      </c>
      <c r="Y822" t="s">
        <v>10585</v>
      </c>
      <c r="Z822" t="s">
        <v>3402</v>
      </c>
      <c r="AA822" t="s">
        <v>11672</v>
      </c>
      <c r="AB822" t="s">
        <v>11673</v>
      </c>
      <c r="AC822" t="s">
        <v>74</v>
      </c>
      <c r="AD822" t="s">
        <v>74</v>
      </c>
      <c r="AE822" t="s">
        <v>74</v>
      </c>
      <c r="AF822" t="s">
        <v>74</v>
      </c>
      <c r="AG822">
        <v>14</v>
      </c>
      <c r="AH822">
        <v>1</v>
      </c>
      <c r="AI822">
        <v>1</v>
      </c>
      <c r="AJ822">
        <v>0</v>
      </c>
      <c r="AK822">
        <v>9</v>
      </c>
      <c r="AL822" t="s">
        <v>219</v>
      </c>
      <c r="AM822" t="s">
        <v>220</v>
      </c>
      <c r="AN822" t="s">
        <v>221</v>
      </c>
      <c r="AO822" t="s">
        <v>222</v>
      </c>
      <c r="AP822" t="s">
        <v>223</v>
      </c>
      <c r="AQ822" t="s">
        <v>74</v>
      </c>
      <c r="AR822" t="s">
        <v>224</v>
      </c>
      <c r="AS822" t="s">
        <v>225</v>
      </c>
      <c r="AT822" t="s">
        <v>176</v>
      </c>
      <c r="AU822">
        <v>2016</v>
      </c>
      <c r="AV822">
        <v>47</v>
      </c>
      <c r="AW822">
        <v>1</v>
      </c>
      <c r="AX822" t="s">
        <v>74</v>
      </c>
      <c r="AY822" t="s">
        <v>74</v>
      </c>
      <c r="AZ822" t="s">
        <v>74</v>
      </c>
      <c r="BA822" t="s">
        <v>74</v>
      </c>
      <c r="BB822">
        <v>1</v>
      </c>
      <c r="BC822">
        <v>4</v>
      </c>
      <c r="BD822" t="s">
        <v>74</v>
      </c>
      <c r="BE822" t="s">
        <v>11674</v>
      </c>
      <c r="BF822" t="str">
        <f>HYPERLINK("http://dx.doi.org/10.1183/13993003.01942-2015","http://dx.doi.org/10.1183/13993003.01942-2015")</f>
        <v>http://dx.doi.org/10.1183/13993003.01942-2015</v>
      </c>
      <c r="BG822" t="s">
        <v>74</v>
      </c>
      <c r="BH822" t="s">
        <v>74</v>
      </c>
      <c r="BI822">
        <v>4</v>
      </c>
      <c r="BJ822" t="s">
        <v>228</v>
      </c>
      <c r="BK822" t="s">
        <v>101</v>
      </c>
      <c r="BL822" t="s">
        <v>228</v>
      </c>
      <c r="BM822" t="s">
        <v>11675</v>
      </c>
      <c r="BN822">
        <v>26721953</v>
      </c>
      <c r="BO822" t="s">
        <v>1194</v>
      </c>
      <c r="BP822" t="s">
        <v>74</v>
      </c>
      <c r="BQ822" t="s">
        <v>74</v>
      </c>
      <c r="BR822" t="s">
        <v>104</v>
      </c>
      <c r="BS822" t="s">
        <v>11676</v>
      </c>
      <c r="BT822" t="str">
        <f>HYPERLINK("https%3A%2F%2Fwww.webofscience.com%2Fwos%2Fwoscc%2Ffull-record%2FWOS:000367443900001","View Full Record in Web of Science")</f>
        <v>View Full Record in Web of Science</v>
      </c>
    </row>
    <row r="823" spans="1:72" x14ac:dyDescent="0.25">
      <c r="A823" t="s">
        <v>72</v>
      </c>
      <c r="B823" t="s">
        <v>11677</v>
      </c>
      <c r="C823" t="s">
        <v>74</v>
      </c>
      <c r="D823" t="s">
        <v>74</v>
      </c>
      <c r="E823" t="s">
        <v>74</v>
      </c>
      <c r="F823" t="s">
        <v>11678</v>
      </c>
      <c r="G823" t="s">
        <v>74</v>
      </c>
      <c r="H823" t="s">
        <v>74</v>
      </c>
      <c r="I823" t="s">
        <v>11679</v>
      </c>
      <c r="J823" t="s">
        <v>6978</v>
      </c>
      <c r="K823" t="s">
        <v>74</v>
      </c>
      <c r="L823" t="s">
        <v>74</v>
      </c>
      <c r="M823" t="s">
        <v>78</v>
      </c>
      <c r="N823" t="s">
        <v>299</v>
      </c>
      <c r="O823" t="s">
        <v>74</v>
      </c>
      <c r="P823" t="s">
        <v>74</v>
      </c>
      <c r="Q823" t="s">
        <v>74</v>
      </c>
      <c r="R823" t="s">
        <v>74</v>
      </c>
      <c r="S823" t="s">
        <v>74</v>
      </c>
      <c r="T823" t="s">
        <v>74</v>
      </c>
      <c r="U823" t="s">
        <v>11680</v>
      </c>
      <c r="V823" t="s">
        <v>11681</v>
      </c>
      <c r="W823" t="s">
        <v>11682</v>
      </c>
      <c r="X823" t="s">
        <v>11683</v>
      </c>
      <c r="Y823" t="s">
        <v>11684</v>
      </c>
      <c r="Z823" t="s">
        <v>10573</v>
      </c>
      <c r="AA823" t="s">
        <v>8797</v>
      </c>
      <c r="AB823" t="s">
        <v>8798</v>
      </c>
      <c r="AC823" t="s">
        <v>10608</v>
      </c>
      <c r="AD823" t="s">
        <v>10608</v>
      </c>
      <c r="AE823" t="s">
        <v>11685</v>
      </c>
      <c r="AF823" t="s">
        <v>74</v>
      </c>
      <c r="AG823">
        <v>90</v>
      </c>
      <c r="AH823">
        <v>109</v>
      </c>
      <c r="AI823">
        <v>119</v>
      </c>
      <c r="AJ823">
        <v>1</v>
      </c>
      <c r="AK823">
        <v>32</v>
      </c>
      <c r="AL823" t="s">
        <v>2590</v>
      </c>
      <c r="AM823" t="s">
        <v>201</v>
      </c>
      <c r="AN823" t="s">
        <v>2591</v>
      </c>
      <c r="AO823" t="s">
        <v>6985</v>
      </c>
      <c r="AP823" t="s">
        <v>6986</v>
      </c>
      <c r="AQ823" t="s">
        <v>74</v>
      </c>
      <c r="AR823" t="s">
        <v>6978</v>
      </c>
      <c r="AS823" t="s">
        <v>6987</v>
      </c>
      <c r="AT823" t="s">
        <v>176</v>
      </c>
      <c r="AU823">
        <v>2016</v>
      </c>
      <c r="AV823">
        <v>71</v>
      </c>
      <c r="AW823">
        <v>1</v>
      </c>
      <c r="AX823" t="s">
        <v>74</v>
      </c>
      <c r="AY823" t="s">
        <v>74</v>
      </c>
      <c r="AZ823" t="s">
        <v>74</v>
      </c>
      <c r="BA823" t="s">
        <v>74</v>
      </c>
      <c r="BB823">
        <v>73</v>
      </c>
      <c r="BC823">
        <v>83</v>
      </c>
      <c r="BD823" t="s">
        <v>74</v>
      </c>
      <c r="BE823" t="s">
        <v>11686</v>
      </c>
      <c r="BF823" t="str">
        <f>HYPERLINK("http://dx.doi.org/10.1136/thoraxjnl-2015-207170","http://dx.doi.org/10.1136/thoraxjnl-2015-207170")</f>
        <v>http://dx.doi.org/10.1136/thoraxjnl-2015-207170</v>
      </c>
      <c r="BG823" t="s">
        <v>74</v>
      </c>
      <c r="BH823" t="s">
        <v>74</v>
      </c>
      <c r="BI823">
        <v>11</v>
      </c>
      <c r="BJ823" t="s">
        <v>228</v>
      </c>
      <c r="BK823" t="s">
        <v>101</v>
      </c>
      <c r="BL823" t="s">
        <v>228</v>
      </c>
      <c r="BM823" t="s">
        <v>11687</v>
      </c>
      <c r="BN823">
        <v>26219978</v>
      </c>
      <c r="BO823" t="s">
        <v>246</v>
      </c>
      <c r="BP823" t="s">
        <v>74</v>
      </c>
      <c r="BQ823" t="s">
        <v>74</v>
      </c>
      <c r="BR823" t="s">
        <v>104</v>
      </c>
      <c r="BS823" t="s">
        <v>11688</v>
      </c>
      <c r="BT823" t="str">
        <f>HYPERLINK("https%3A%2F%2Fwww.webofscience.com%2Fwos%2Fwoscc%2Ffull-record%2FWOS:000366682100011","View Full Record in Web of Science")</f>
        <v>View Full Record in Web of Science</v>
      </c>
    </row>
    <row r="824" spans="1:72" x14ac:dyDescent="0.25">
      <c r="A824" t="s">
        <v>72</v>
      </c>
      <c r="B824" t="s">
        <v>11689</v>
      </c>
      <c r="C824" t="s">
        <v>74</v>
      </c>
      <c r="D824" t="s">
        <v>74</v>
      </c>
      <c r="E824" t="s">
        <v>74</v>
      </c>
      <c r="F824" t="s">
        <v>11690</v>
      </c>
      <c r="G824" t="s">
        <v>74</v>
      </c>
      <c r="H824" t="s">
        <v>74</v>
      </c>
      <c r="I824" t="s">
        <v>11691</v>
      </c>
      <c r="J824" t="s">
        <v>637</v>
      </c>
      <c r="K824" t="s">
        <v>74</v>
      </c>
      <c r="L824" t="s">
        <v>74</v>
      </c>
      <c r="M824" t="s">
        <v>78</v>
      </c>
      <c r="N824" t="s">
        <v>52</v>
      </c>
      <c r="O824" t="s">
        <v>2003</v>
      </c>
      <c r="P824" t="s">
        <v>11568</v>
      </c>
      <c r="Q824" t="s">
        <v>3360</v>
      </c>
      <c r="R824" t="s">
        <v>2006</v>
      </c>
      <c r="S824" t="s">
        <v>74</v>
      </c>
      <c r="T824" t="s">
        <v>74</v>
      </c>
      <c r="U824" t="s">
        <v>74</v>
      </c>
      <c r="V824" t="s">
        <v>74</v>
      </c>
      <c r="W824" t="s">
        <v>11692</v>
      </c>
      <c r="X824" t="s">
        <v>11693</v>
      </c>
      <c r="Y824" t="s">
        <v>74</v>
      </c>
      <c r="Z824" t="s">
        <v>74</v>
      </c>
      <c r="AA824" t="s">
        <v>11694</v>
      </c>
      <c r="AB824" t="s">
        <v>5709</v>
      </c>
      <c r="AC824" t="s">
        <v>74</v>
      </c>
      <c r="AD824" t="s">
        <v>74</v>
      </c>
      <c r="AE824" t="s">
        <v>74</v>
      </c>
      <c r="AF824" t="s">
        <v>74</v>
      </c>
      <c r="AG824">
        <v>0</v>
      </c>
      <c r="AH824">
        <v>2</v>
      </c>
      <c r="AI824">
        <v>2</v>
      </c>
      <c r="AJ824">
        <v>0</v>
      </c>
      <c r="AK824">
        <v>0</v>
      </c>
      <c r="AL824" t="s">
        <v>649</v>
      </c>
      <c r="AM824" t="s">
        <v>486</v>
      </c>
      <c r="AN824" t="s">
        <v>650</v>
      </c>
      <c r="AO824" t="s">
        <v>651</v>
      </c>
      <c r="AP824" t="s">
        <v>652</v>
      </c>
      <c r="AQ824" t="s">
        <v>74</v>
      </c>
      <c r="AR824" t="s">
        <v>653</v>
      </c>
      <c r="AS824" t="s">
        <v>654</v>
      </c>
      <c r="AT824" t="s">
        <v>74</v>
      </c>
      <c r="AU824">
        <v>2016</v>
      </c>
      <c r="AV824">
        <v>193</v>
      </c>
      <c r="AW824" t="s">
        <v>74</v>
      </c>
      <c r="AX824" t="s">
        <v>74</v>
      </c>
      <c r="AY824" t="s">
        <v>74</v>
      </c>
      <c r="AZ824" t="s">
        <v>74</v>
      </c>
      <c r="BA824" t="s">
        <v>11695</v>
      </c>
      <c r="BB824" t="s">
        <v>74</v>
      </c>
      <c r="BC824" t="s">
        <v>74</v>
      </c>
      <c r="BD824" t="s">
        <v>74</v>
      </c>
      <c r="BE824" t="s">
        <v>74</v>
      </c>
      <c r="BF824" t="s">
        <v>74</v>
      </c>
      <c r="BG824" t="s">
        <v>74</v>
      </c>
      <c r="BH824" t="s">
        <v>74</v>
      </c>
      <c r="BI824">
        <v>1</v>
      </c>
      <c r="BJ824" t="s">
        <v>341</v>
      </c>
      <c r="BK824" t="s">
        <v>512</v>
      </c>
      <c r="BL824" t="s">
        <v>342</v>
      </c>
      <c r="BM824" t="s">
        <v>11573</v>
      </c>
      <c r="BN824" t="s">
        <v>74</v>
      </c>
      <c r="BO824" t="s">
        <v>74</v>
      </c>
      <c r="BP824" t="s">
        <v>74</v>
      </c>
      <c r="BQ824" t="s">
        <v>74</v>
      </c>
      <c r="BR824" t="s">
        <v>104</v>
      </c>
      <c r="BS824" t="s">
        <v>11696</v>
      </c>
      <c r="BT824" t="str">
        <f>HYPERLINK("https%3A%2F%2Fwww.webofscience.com%2Fwos%2Fwoscc%2Ffull-record%2FWOS:000390749602046","View Full Record in Web of Science")</f>
        <v>View Full Record in Web of Science</v>
      </c>
    </row>
    <row r="825" spans="1:72" x14ac:dyDescent="0.25">
      <c r="A825" t="s">
        <v>72</v>
      </c>
      <c r="B825" t="s">
        <v>11697</v>
      </c>
      <c r="C825" t="s">
        <v>74</v>
      </c>
      <c r="D825" t="s">
        <v>74</v>
      </c>
      <c r="E825" t="s">
        <v>74</v>
      </c>
      <c r="F825" t="s">
        <v>11698</v>
      </c>
      <c r="G825" t="s">
        <v>74</v>
      </c>
      <c r="H825" t="s">
        <v>74</v>
      </c>
      <c r="I825" t="s">
        <v>11699</v>
      </c>
      <c r="J825" t="s">
        <v>637</v>
      </c>
      <c r="K825" t="s">
        <v>74</v>
      </c>
      <c r="L825" t="s">
        <v>74</v>
      </c>
      <c r="M825" t="s">
        <v>78</v>
      </c>
      <c r="N825" t="s">
        <v>52</v>
      </c>
      <c r="O825" t="s">
        <v>2003</v>
      </c>
      <c r="P825" t="s">
        <v>11568</v>
      </c>
      <c r="Q825" t="s">
        <v>3360</v>
      </c>
      <c r="R825" t="s">
        <v>2006</v>
      </c>
      <c r="S825" t="s">
        <v>74</v>
      </c>
      <c r="T825" t="s">
        <v>74</v>
      </c>
      <c r="U825" t="s">
        <v>74</v>
      </c>
      <c r="V825" t="s">
        <v>74</v>
      </c>
      <c r="W825" t="s">
        <v>11700</v>
      </c>
      <c r="X825" t="s">
        <v>11701</v>
      </c>
      <c r="Y825" t="s">
        <v>74</v>
      </c>
      <c r="Z825" t="s">
        <v>74</v>
      </c>
      <c r="AA825" t="s">
        <v>11411</v>
      </c>
      <c r="AB825" t="s">
        <v>74</v>
      </c>
      <c r="AC825" t="s">
        <v>74</v>
      </c>
      <c r="AD825" t="s">
        <v>74</v>
      </c>
      <c r="AE825" t="s">
        <v>74</v>
      </c>
      <c r="AF825" t="s">
        <v>74</v>
      </c>
      <c r="AG825">
        <v>0</v>
      </c>
      <c r="AH825">
        <v>0</v>
      </c>
      <c r="AI825">
        <v>0</v>
      </c>
      <c r="AJ825">
        <v>0</v>
      </c>
      <c r="AK825">
        <v>0</v>
      </c>
      <c r="AL825" t="s">
        <v>649</v>
      </c>
      <c r="AM825" t="s">
        <v>486</v>
      </c>
      <c r="AN825" t="s">
        <v>650</v>
      </c>
      <c r="AO825" t="s">
        <v>651</v>
      </c>
      <c r="AP825" t="s">
        <v>652</v>
      </c>
      <c r="AQ825" t="s">
        <v>74</v>
      </c>
      <c r="AR825" t="s">
        <v>653</v>
      </c>
      <c r="AS825" t="s">
        <v>654</v>
      </c>
      <c r="AT825" t="s">
        <v>74</v>
      </c>
      <c r="AU825">
        <v>2016</v>
      </c>
      <c r="AV825">
        <v>193</v>
      </c>
      <c r="AW825" t="s">
        <v>74</v>
      </c>
      <c r="AX825" t="s">
        <v>74</v>
      </c>
      <c r="AY825" t="s">
        <v>74</v>
      </c>
      <c r="AZ825" t="s">
        <v>74</v>
      </c>
      <c r="BA825" t="s">
        <v>11702</v>
      </c>
      <c r="BB825" t="s">
        <v>74</v>
      </c>
      <c r="BC825" t="s">
        <v>74</v>
      </c>
      <c r="BD825" t="s">
        <v>74</v>
      </c>
      <c r="BE825" t="s">
        <v>74</v>
      </c>
      <c r="BF825" t="s">
        <v>74</v>
      </c>
      <c r="BG825" t="s">
        <v>74</v>
      </c>
      <c r="BH825" t="s">
        <v>74</v>
      </c>
      <c r="BI825">
        <v>1</v>
      </c>
      <c r="BJ825" t="s">
        <v>341</v>
      </c>
      <c r="BK825" t="s">
        <v>512</v>
      </c>
      <c r="BL825" t="s">
        <v>342</v>
      </c>
      <c r="BM825" t="s">
        <v>11573</v>
      </c>
      <c r="BN825" t="s">
        <v>74</v>
      </c>
      <c r="BO825" t="s">
        <v>74</v>
      </c>
      <c r="BP825" t="s">
        <v>74</v>
      </c>
      <c r="BQ825" t="s">
        <v>74</v>
      </c>
      <c r="BR825" t="s">
        <v>104</v>
      </c>
      <c r="BS825" t="s">
        <v>11703</v>
      </c>
      <c r="BT825" t="str">
        <f>HYPERLINK("https%3A%2F%2Fwww.webofscience.com%2Fwos%2Fwoscc%2Ffull-record%2FWOS:000390749607270","View Full Record in Web of Science")</f>
        <v>View Full Record in Web of Science</v>
      </c>
    </row>
    <row r="826" spans="1:72" x14ac:dyDescent="0.25">
      <c r="A826" t="s">
        <v>72</v>
      </c>
      <c r="B826" t="s">
        <v>11704</v>
      </c>
      <c r="C826" t="s">
        <v>74</v>
      </c>
      <c r="D826" t="s">
        <v>74</v>
      </c>
      <c r="E826" t="s">
        <v>74</v>
      </c>
      <c r="F826" t="s">
        <v>11705</v>
      </c>
      <c r="G826" t="s">
        <v>74</v>
      </c>
      <c r="H826" t="s">
        <v>74</v>
      </c>
      <c r="I826" t="s">
        <v>11706</v>
      </c>
      <c r="J826" t="s">
        <v>637</v>
      </c>
      <c r="K826" t="s">
        <v>74</v>
      </c>
      <c r="L826" t="s">
        <v>74</v>
      </c>
      <c r="M826" t="s">
        <v>78</v>
      </c>
      <c r="N826" t="s">
        <v>52</v>
      </c>
      <c r="O826" t="s">
        <v>2003</v>
      </c>
      <c r="P826" t="s">
        <v>11568</v>
      </c>
      <c r="Q826" t="s">
        <v>3360</v>
      </c>
      <c r="R826" t="s">
        <v>2006</v>
      </c>
      <c r="S826" t="s">
        <v>74</v>
      </c>
      <c r="T826" t="s">
        <v>74</v>
      </c>
      <c r="U826" t="s">
        <v>74</v>
      </c>
      <c r="V826" t="s">
        <v>74</v>
      </c>
      <c r="W826" t="s">
        <v>11707</v>
      </c>
      <c r="X826" t="s">
        <v>11708</v>
      </c>
      <c r="Y826" t="s">
        <v>74</v>
      </c>
      <c r="Z826" t="s">
        <v>74</v>
      </c>
      <c r="AA826" t="s">
        <v>11709</v>
      </c>
      <c r="AB826" t="s">
        <v>74</v>
      </c>
      <c r="AC826" t="s">
        <v>74</v>
      </c>
      <c r="AD826" t="s">
        <v>74</v>
      </c>
      <c r="AE826" t="s">
        <v>74</v>
      </c>
      <c r="AF826" t="s">
        <v>74</v>
      </c>
      <c r="AG826">
        <v>0</v>
      </c>
      <c r="AH826">
        <v>0</v>
      </c>
      <c r="AI826">
        <v>0</v>
      </c>
      <c r="AJ826">
        <v>0</v>
      </c>
      <c r="AK826">
        <v>0</v>
      </c>
      <c r="AL826" t="s">
        <v>649</v>
      </c>
      <c r="AM826" t="s">
        <v>486</v>
      </c>
      <c r="AN826" t="s">
        <v>650</v>
      </c>
      <c r="AO826" t="s">
        <v>651</v>
      </c>
      <c r="AP826" t="s">
        <v>652</v>
      </c>
      <c r="AQ826" t="s">
        <v>74</v>
      </c>
      <c r="AR826" t="s">
        <v>653</v>
      </c>
      <c r="AS826" t="s">
        <v>654</v>
      </c>
      <c r="AT826" t="s">
        <v>74</v>
      </c>
      <c r="AU826">
        <v>2016</v>
      </c>
      <c r="AV826">
        <v>193</v>
      </c>
      <c r="AW826" t="s">
        <v>74</v>
      </c>
      <c r="AX826" t="s">
        <v>74</v>
      </c>
      <c r="AY826" t="s">
        <v>74</v>
      </c>
      <c r="AZ826" t="s">
        <v>74</v>
      </c>
      <c r="BA826" t="s">
        <v>11710</v>
      </c>
      <c r="BB826" t="s">
        <v>74</v>
      </c>
      <c r="BC826" t="s">
        <v>74</v>
      </c>
      <c r="BD826" t="s">
        <v>74</v>
      </c>
      <c r="BE826" t="s">
        <v>74</v>
      </c>
      <c r="BF826" t="s">
        <v>74</v>
      </c>
      <c r="BG826" t="s">
        <v>74</v>
      </c>
      <c r="BH826" t="s">
        <v>74</v>
      </c>
      <c r="BI826">
        <v>1</v>
      </c>
      <c r="BJ826" t="s">
        <v>341</v>
      </c>
      <c r="BK826" t="s">
        <v>512</v>
      </c>
      <c r="BL826" t="s">
        <v>342</v>
      </c>
      <c r="BM826" t="s">
        <v>11573</v>
      </c>
      <c r="BN826" t="s">
        <v>74</v>
      </c>
      <c r="BO826" t="s">
        <v>74</v>
      </c>
      <c r="BP826" t="s">
        <v>74</v>
      </c>
      <c r="BQ826" t="s">
        <v>74</v>
      </c>
      <c r="BR826" t="s">
        <v>104</v>
      </c>
      <c r="BS826" t="s">
        <v>11711</v>
      </c>
      <c r="BT826" t="str">
        <f>HYPERLINK("https%3A%2F%2Fwww.webofscience.com%2Fwos%2Fwoscc%2Ffull-record%2FWOS:000390749600046","View Full Record in Web of Science")</f>
        <v>View Full Record in Web of Science</v>
      </c>
    </row>
    <row r="827" spans="1:72" x14ac:dyDescent="0.25">
      <c r="A827" t="s">
        <v>72</v>
      </c>
      <c r="B827" t="s">
        <v>11712</v>
      </c>
      <c r="C827" t="s">
        <v>74</v>
      </c>
      <c r="D827" t="s">
        <v>74</v>
      </c>
      <c r="E827" t="s">
        <v>74</v>
      </c>
      <c r="F827" t="s">
        <v>11713</v>
      </c>
      <c r="G827" t="s">
        <v>74</v>
      </c>
      <c r="H827" t="s">
        <v>74</v>
      </c>
      <c r="I827" t="s">
        <v>11714</v>
      </c>
      <c r="J827" t="s">
        <v>8129</v>
      </c>
      <c r="K827" t="s">
        <v>74</v>
      </c>
      <c r="L827" t="s">
        <v>74</v>
      </c>
      <c r="M827" t="s">
        <v>1349</v>
      </c>
      <c r="N827" t="s">
        <v>460</v>
      </c>
      <c r="O827" t="s">
        <v>74</v>
      </c>
      <c r="P827" t="s">
        <v>74</v>
      </c>
      <c r="Q827" t="s">
        <v>74</v>
      </c>
      <c r="R827" t="s">
        <v>74</v>
      </c>
      <c r="S827" t="s">
        <v>74</v>
      </c>
      <c r="T827" t="s">
        <v>74</v>
      </c>
      <c r="U827" t="s">
        <v>11715</v>
      </c>
      <c r="V827" t="s">
        <v>74</v>
      </c>
      <c r="W827" t="s">
        <v>11716</v>
      </c>
      <c r="X827" t="s">
        <v>11717</v>
      </c>
      <c r="Y827" t="s">
        <v>74</v>
      </c>
      <c r="Z827" t="s">
        <v>10035</v>
      </c>
      <c r="AA827" t="s">
        <v>1549</v>
      </c>
      <c r="AB827" t="s">
        <v>3168</v>
      </c>
      <c r="AC827" t="s">
        <v>74</v>
      </c>
      <c r="AD827" t="s">
        <v>74</v>
      </c>
      <c r="AE827" t="s">
        <v>74</v>
      </c>
      <c r="AF827" t="s">
        <v>74</v>
      </c>
      <c r="AG827">
        <v>7</v>
      </c>
      <c r="AH827">
        <v>1</v>
      </c>
      <c r="AI827">
        <v>1</v>
      </c>
      <c r="AJ827">
        <v>0</v>
      </c>
      <c r="AK827">
        <v>2</v>
      </c>
      <c r="AL827" t="s">
        <v>8138</v>
      </c>
      <c r="AM827" t="s">
        <v>8139</v>
      </c>
      <c r="AN827" t="s">
        <v>8140</v>
      </c>
      <c r="AO827" t="s">
        <v>8141</v>
      </c>
      <c r="AP827" t="s">
        <v>74</v>
      </c>
      <c r="AQ827" t="s">
        <v>74</v>
      </c>
      <c r="AR827" t="s">
        <v>8142</v>
      </c>
      <c r="AS827" t="s">
        <v>8143</v>
      </c>
      <c r="AT827" t="s">
        <v>176</v>
      </c>
      <c r="AU827">
        <v>2016</v>
      </c>
      <c r="AV827">
        <v>37</v>
      </c>
      <c r="AW827">
        <v>1</v>
      </c>
      <c r="AX827" t="s">
        <v>74</v>
      </c>
      <c r="AY827" t="s">
        <v>74</v>
      </c>
      <c r="AZ827" t="s">
        <v>74</v>
      </c>
      <c r="BA827" t="s">
        <v>74</v>
      </c>
      <c r="BB827">
        <v>70</v>
      </c>
      <c r="BC827">
        <v>71</v>
      </c>
      <c r="BD827" t="s">
        <v>74</v>
      </c>
      <c r="BE827" t="s">
        <v>11718</v>
      </c>
      <c r="BF827" t="str">
        <f>HYPERLINK("http://dx.doi.org/10.1016/j.revmed.2015.05.012","http://dx.doi.org/10.1016/j.revmed.2015.05.012")</f>
        <v>http://dx.doi.org/10.1016/j.revmed.2015.05.012</v>
      </c>
      <c r="BG827" t="s">
        <v>74</v>
      </c>
      <c r="BH827" t="s">
        <v>74</v>
      </c>
      <c r="BI827">
        <v>2</v>
      </c>
      <c r="BJ827" t="s">
        <v>1152</v>
      </c>
      <c r="BK827" t="s">
        <v>101</v>
      </c>
      <c r="BL827" t="s">
        <v>1153</v>
      </c>
      <c r="BM827" t="s">
        <v>11719</v>
      </c>
      <c r="BN827">
        <v>26094129</v>
      </c>
      <c r="BO827" t="s">
        <v>74</v>
      </c>
      <c r="BP827" t="s">
        <v>74</v>
      </c>
      <c r="BQ827" t="s">
        <v>74</v>
      </c>
      <c r="BR827" t="s">
        <v>104</v>
      </c>
      <c r="BS827" t="s">
        <v>11720</v>
      </c>
      <c r="BT827" t="str">
        <f>HYPERLINK("https%3A%2F%2Fwww.webofscience.com%2Fwos%2Fwoscc%2Ffull-record%2FWOS:000369780000014","View Full Record in Web of Science")</f>
        <v>View Full Record in Web of Science</v>
      </c>
    </row>
    <row r="828" spans="1:72" x14ac:dyDescent="0.25">
      <c r="A828" t="s">
        <v>72</v>
      </c>
      <c r="B828" t="s">
        <v>11721</v>
      </c>
      <c r="C828" t="s">
        <v>74</v>
      </c>
      <c r="D828" t="s">
        <v>74</v>
      </c>
      <c r="E828" t="s">
        <v>74</v>
      </c>
      <c r="F828" t="s">
        <v>11722</v>
      </c>
      <c r="G828" t="s">
        <v>74</v>
      </c>
      <c r="H828" t="s">
        <v>74</v>
      </c>
      <c r="I828" t="s">
        <v>11723</v>
      </c>
      <c r="J828" t="s">
        <v>637</v>
      </c>
      <c r="K828" t="s">
        <v>74</v>
      </c>
      <c r="L828" t="s">
        <v>74</v>
      </c>
      <c r="M828" t="s">
        <v>78</v>
      </c>
      <c r="N828" t="s">
        <v>52</v>
      </c>
      <c r="O828" t="s">
        <v>2003</v>
      </c>
      <c r="P828" t="s">
        <v>11568</v>
      </c>
      <c r="Q828" t="s">
        <v>3360</v>
      </c>
      <c r="R828" t="s">
        <v>2006</v>
      </c>
      <c r="S828" t="s">
        <v>74</v>
      </c>
      <c r="T828" t="s">
        <v>74</v>
      </c>
      <c r="U828" t="s">
        <v>74</v>
      </c>
      <c r="V828" t="s">
        <v>74</v>
      </c>
      <c r="W828" t="s">
        <v>11724</v>
      </c>
      <c r="X828" t="s">
        <v>11725</v>
      </c>
      <c r="Y828" t="s">
        <v>74</v>
      </c>
      <c r="Z828" t="s">
        <v>10424</v>
      </c>
      <c r="AA828" t="s">
        <v>6813</v>
      </c>
      <c r="AB828" t="s">
        <v>2958</v>
      </c>
      <c r="AC828" t="s">
        <v>74</v>
      </c>
      <c r="AD828" t="s">
        <v>74</v>
      </c>
      <c r="AE828" t="s">
        <v>74</v>
      </c>
      <c r="AF828" t="s">
        <v>74</v>
      </c>
      <c r="AG828">
        <v>0</v>
      </c>
      <c r="AH828">
        <v>1</v>
      </c>
      <c r="AI828">
        <v>1</v>
      </c>
      <c r="AJ828">
        <v>0</v>
      </c>
      <c r="AK828">
        <v>0</v>
      </c>
      <c r="AL828" t="s">
        <v>649</v>
      </c>
      <c r="AM828" t="s">
        <v>486</v>
      </c>
      <c r="AN828" t="s">
        <v>650</v>
      </c>
      <c r="AO828" t="s">
        <v>651</v>
      </c>
      <c r="AP828" t="s">
        <v>652</v>
      </c>
      <c r="AQ828" t="s">
        <v>74</v>
      </c>
      <c r="AR828" t="s">
        <v>653</v>
      </c>
      <c r="AS828" t="s">
        <v>654</v>
      </c>
      <c r="AT828" t="s">
        <v>74</v>
      </c>
      <c r="AU828">
        <v>2016</v>
      </c>
      <c r="AV828">
        <v>193</v>
      </c>
      <c r="AW828" t="s">
        <v>74</v>
      </c>
      <c r="AX828" t="s">
        <v>74</v>
      </c>
      <c r="AY828" t="s">
        <v>74</v>
      </c>
      <c r="AZ828" t="s">
        <v>74</v>
      </c>
      <c r="BA828" t="s">
        <v>11726</v>
      </c>
      <c r="BB828" t="s">
        <v>74</v>
      </c>
      <c r="BC828" t="s">
        <v>74</v>
      </c>
      <c r="BD828" t="s">
        <v>74</v>
      </c>
      <c r="BE828" t="s">
        <v>74</v>
      </c>
      <c r="BF828" t="s">
        <v>74</v>
      </c>
      <c r="BG828" t="s">
        <v>74</v>
      </c>
      <c r="BH828" t="s">
        <v>74</v>
      </c>
      <c r="BI828">
        <v>1</v>
      </c>
      <c r="BJ828" t="s">
        <v>341</v>
      </c>
      <c r="BK828" t="s">
        <v>512</v>
      </c>
      <c r="BL828" t="s">
        <v>342</v>
      </c>
      <c r="BM828" t="s">
        <v>11573</v>
      </c>
      <c r="BN828" t="s">
        <v>74</v>
      </c>
      <c r="BO828" t="s">
        <v>74</v>
      </c>
      <c r="BP828" t="s">
        <v>74</v>
      </c>
      <c r="BQ828" t="s">
        <v>74</v>
      </c>
      <c r="BR828" t="s">
        <v>104</v>
      </c>
      <c r="BS828" t="s">
        <v>11727</v>
      </c>
      <c r="BT828" t="str">
        <f>HYPERLINK("https%3A%2F%2Fwww.webofscience.com%2Fwos%2Fwoscc%2Ffull-record%2FWOS:000390749607290","View Full Record in Web of Science")</f>
        <v>View Full Record in Web of Science</v>
      </c>
    </row>
    <row r="829" spans="1:72" x14ac:dyDescent="0.25">
      <c r="A829" t="s">
        <v>72</v>
      </c>
      <c r="B829" t="s">
        <v>11728</v>
      </c>
      <c r="C829" t="s">
        <v>74</v>
      </c>
      <c r="D829" t="s">
        <v>74</v>
      </c>
      <c r="E829" t="s">
        <v>74</v>
      </c>
      <c r="F829" t="s">
        <v>11729</v>
      </c>
      <c r="G829" t="s">
        <v>74</v>
      </c>
      <c r="H829" t="s">
        <v>74</v>
      </c>
      <c r="I829" t="s">
        <v>11730</v>
      </c>
      <c r="J829" t="s">
        <v>637</v>
      </c>
      <c r="K829" t="s">
        <v>74</v>
      </c>
      <c r="L829" t="s">
        <v>74</v>
      </c>
      <c r="M829" t="s">
        <v>78</v>
      </c>
      <c r="N829" t="s">
        <v>52</v>
      </c>
      <c r="O829" t="s">
        <v>2003</v>
      </c>
      <c r="P829" t="s">
        <v>11568</v>
      </c>
      <c r="Q829" t="s">
        <v>3360</v>
      </c>
      <c r="R829" t="s">
        <v>2006</v>
      </c>
      <c r="S829" t="s">
        <v>74</v>
      </c>
      <c r="T829" t="s">
        <v>74</v>
      </c>
      <c r="U829" t="s">
        <v>74</v>
      </c>
      <c r="V829" t="s">
        <v>74</v>
      </c>
      <c r="W829" t="s">
        <v>11731</v>
      </c>
      <c r="X829" t="s">
        <v>11732</v>
      </c>
      <c r="Y829" t="s">
        <v>74</v>
      </c>
      <c r="Z829" t="s">
        <v>10664</v>
      </c>
      <c r="AA829" t="s">
        <v>11733</v>
      </c>
      <c r="AB829" t="s">
        <v>9861</v>
      </c>
      <c r="AC829" t="s">
        <v>74</v>
      </c>
      <c r="AD829" t="s">
        <v>74</v>
      </c>
      <c r="AE829" t="s">
        <v>74</v>
      </c>
      <c r="AF829" t="s">
        <v>74</v>
      </c>
      <c r="AG829">
        <v>0</v>
      </c>
      <c r="AH829">
        <v>0</v>
      </c>
      <c r="AI829">
        <v>0</v>
      </c>
      <c r="AJ829">
        <v>0</v>
      </c>
      <c r="AK829">
        <v>0</v>
      </c>
      <c r="AL829" t="s">
        <v>649</v>
      </c>
      <c r="AM829" t="s">
        <v>486</v>
      </c>
      <c r="AN829" t="s">
        <v>650</v>
      </c>
      <c r="AO829" t="s">
        <v>651</v>
      </c>
      <c r="AP829" t="s">
        <v>652</v>
      </c>
      <c r="AQ829" t="s">
        <v>74</v>
      </c>
      <c r="AR829" t="s">
        <v>653</v>
      </c>
      <c r="AS829" t="s">
        <v>654</v>
      </c>
      <c r="AT829" t="s">
        <v>74</v>
      </c>
      <c r="AU829">
        <v>2016</v>
      </c>
      <c r="AV829">
        <v>193</v>
      </c>
      <c r="AW829" t="s">
        <v>74</v>
      </c>
      <c r="AX829" t="s">
        <v>74</v>
      </c>
      <c r="AY829" t="s">
        <v>74</v>
      </c>
      <c r="AZ829" t="s">
        <v>74</v>
      </c>
      <c r="BA829" t="s">
        <v>11734</v>
      </c>
      <c r="BB829" t="s">
        <v>74</v>
      </c>
      <c r="BC829" t="s">
        <v>74</v>
      </c>
      <c r="BD829" t="s">
        <v>74</v>
      </c>
      <c r="BE829" t="s">
        <v>74</v>
      </c>
      <c r="BF829" t="s">
        <v>74</v>
      </c>
      <c r="BG829" t="s">
        <v>74</v>
      </c>
      <c r="BH829" t="s">
        <v>74</v>
      </c>
      <c r="BI829">
        <v>1</v>
      </c>
      <c r="BJ829" t="s">
        <v>341</v>
      </c>
      <c r="BK829" t="s">
        <v>512</v>
      </c>
      <c r="BL829" t="s">
        <v>342</v>
      </c>
      <c r="BM829" t="s">
        <v>11573</v>
      </c>
      <c r="BN829" t="s">
        <v>74</v>
      </c>
      <c r="BO829" t="s">
        <v>74</v>
      </c>
      <c r="BP829" t="s">
        <v>74</v>
      </c>
      <c r="BQ829" t="s">
        <v>74</v>
      </c>
      <c r="BR829" t="s">
        <v>104</v>
      </c>
      <c r="BS829" t="s">
        <v>11735</v>
      </c>
      <c r="BT829" t="str">
        <f>HYPERLINK("https%3A%2F%2Fwww.webofscience.com%2Fwos%2Fwoscc%2Ffull-record%2FWOS:000390749606092","View Full Record in Web of Science")</f>
        <v>View Full Record in Web of Science</v>
      </c>
    </row>
    <row r="830" spans="1:72" x14ac:dyDescent="0.25">
      <c r="A830" t="s">
        <v>72</v>
      </c>
      <c r="B830" t="s">
        <v>11736</v>
      </c>
      <c r="C830" t="s">
        <v>74</v>
      </c>
      <c r="D830" t="s">
        <v>74</v>
      </c>
      <c r="E830" t="s">
        <v>74</v>
      </c>
      <c r="F830" t="s">
        <v>11737</v>
      </c>
      <c r="G830" t="s">
        <v>74</v>
      </c>
      <c r="H830" t="s">
        <v>74</v>
      </c>
      <c r="I830" t="s">
        <v>11738</v>
      </c>
      <c r="J830" t="s">
        <v>637</v>
      </c>
      <c r="K830" t="s">
        <v>74</v>
      </c>
      <c r="L830" t="s">
        <v>74</v>
      </c>
      <c r="M830" t="s">
        <v>78</v>
      </c>
      <c r="N830" t="s">
        <v>52</v>
      </c>
      <c r="O830" t="s">
        <v>2003</v>
      </c>
      <c r="P830" t="s">
        <v>11568</v>
      </c>
      <c r="Q830" t="s">
        <v>3360</v>
      </c>
      <c r="R830" t="s">
        <v>2006</v>
      </c>
      <c r="S830" t="s">
        <v>74</v>
      </c>
      <c r="T830" t="s">
        <v>74</v>
      </c>
      <c r="U830" t="s">
        <v>74</v>
      </c>
      <c r="V830" t="s">
        <v>74</v>
      </c>
      <c r="W830" t="s">
        <v>11739</v>
      </c>
      <c r="X830" t="s">
        <v>11740</v>
      </c>
      <c r="Y830" t="s">
        <v>74</v>
      </c>
      <c r="Z830" t="s">
        <v>820</v>
      </c>
      <c r="AA830" t="s">
        <v>11741</v>
      </c>
      <c r="AB830" t="s">
        <v>5709</v>
      </c>
      <c r="AC830" t="s">
        <v>74</v>
      </c>
      <c r="AD830" t="s">
        <v>74</v>
      </c>
      <c r="AE830" t="s">
        <v>74</v>
      </c>
      <c r="AF830" t="s">
        <v>74</v>
      </c>
      <c r="AG830">
        <v>0</v>
      </c>
      <c r="AH830">
        <v>0</v>
      </c>
      <c r="AI830">
        <v>0</v>
      </c>
      <c r="AJ830">
        <v>0</v>
      </c>
      <c r="AK830">
        <v>0</v>
      </c>
      <c r="AL830" t="s">
        <v>649</v>
      </c>
      <c r="AM830" t="s">
        <v>486</v>
      </c>
      <c r="AN830" t="s">
        <v>650</v>
      </c>
      <c r="AO830" t="s">
        <v>651</v>
      </c>
      <c r="AP830" t="s">
        <v>652</v>
      </c>
      <c r="AQ830" t="s">
        <v>74</v>
      </c>
      <c r="AR830" t="s">
        <v>653</v>
      </c>
      <c r="AS830" t="s">
        <v>654</v>
      </c>
      <c r="AT830" t="s">
        <v>74</v>
      </c>
      <c r="AU830">
        <v>2016</v>
      </c>
      <c r="AV830">
        <v>193</v>
      </c>
      <c r="AW830" t="s">
        <v>74</v>
      </c>
      <c r="AX830" t="s">
        <v>74</v>
      </c>
      <c r="AY830" t="s">
        <v>74</v>
      </c>
      <c r="AZ830" t="s">
        <v>74</v>
      </c>
      <c r="BA830" t="s">
        <v>11742</v>
      </c>
      <c r="BB830" t="s">
        <v>74</v>
      </c>
      <c r="BC830" t="s">
        <v>74</v>
      </c>
      <c r="BD830" t="s">
        <v>74</v>
      </c>
      <c r="BE830" t="s">
        <v>74</v>
      </c>
      <c r="BF830" t="s">
        <v>74</v>
      </c>
      <c r="BG830" t="s">
        <v>74</v>
      </c>
      <c r="BH830" t="s">
        <v>74</v>
      </c>
      <c r="BI830">
        <v>1</v>
      </c>
      <c r="BJ830" t="s">
        <v>341</v>
      </c>
      <c r="BK830" t="s">
        <v>512</v>
      </c>
      <c r="BL830" t="s">
        <v>342</v>
      </c>
      <c r="BM830" t="s">
        <v>11573</v>
      </c>
      <c r="BN830" t="s">
        <v>74</v>
      </c>
      <c r="BO830" t="s">
        <v>74</v>
      </c>
      <c r="BP830" t="s">
        <v>74</v>
      </c>
      <c r="BQ830" t="s">
        <v>74</v>
      </c>
      <c r="BR830" t="s">
        <v>104</v>
      </c>
      <c r="BS830" t="s">
        <v>11743</v>
      </c>
      <c r="BT830" t="str">
        <f>HYPERLINK("https%3A%2F%2Fwww.webofscience.com%2Fwos%2Fwoscc%2Ffull-record%2FWOS:000390749603369","View Full Record in Web of Science")</f>
        <v>View Full Record in Web of Science</v>
      </c>
    </row>
    <row r="831" spans="1:72" x14ac:dyDescent="0.25">
      <c r="A831" t="s">
        <v>72</v>
      </c>
      <c r="B831" t="s">
        <v>11744</v>
      </c>
      <c r="C831" t="s">
        <v>74</v>
      </c>
      <c r="D831" t="s">
        <v>74</v>
      </c>
      <c r="E831" t="s">
        <v>74</v>
      </c>
      <c r="F831" t="s">
        <v>11745</v>
      </c>
      <c r="G831" t="s">
        <v>74</v>
      </c>
      <c r="H831" t="s">
        <v>74</v>
      </c>
      <c r="I831" t="s">
        <v>11746</v>
      </c>
      <c r="J831" t="s">
        <v>637</v>
      </c>
      <c r="K831" t="s">
        <v>74</v>
      </c>
      <c r="L831" t="s">
        <v>74</v>
      </c>
      <c r="M831" t="s">
        <v>78</v>
      </c>
      <c r="N831" t="s">
        <v>52</v>
      </c>
      <c r="O831" t="s">
        <v>2003</v>
      </c>
      <c r="P831" t="s">
        <v>11568</v>
      </c>
      <c r="Q831" t="s">
        <v>3360</v>
      </c>
      <c r="R831" t="s">
        <v>2006</v>
      </c>
      <c r="S831" t="s">
        <v>74</v>
      </c>
      <c r="T831" t="s">
        <v>74</v>
      </c>
      <c r="U831" t="s">
        <v>74</v>
      </c>
      <c r="V831" t="s">
        <v>74</v>
      </c>
      <c r="W831" t="s">
        <v>11747</v>
      </c>
      <c r="X831" t="s">
        <v>11748</v>
      </c>
      <c r="Y831" t="s">
        <v>74</v>
      </c>
      <c r="Z831" t="s">
        <v>74</v>
      </c>
      <c r="AA831" t="s">
        <v>11749</v>
      </c>
      <c r="AB831" t="s">
        <v>5709</v>
      </c>
      <c r="AC831" t="s">
        <v>74</v>
      </c>
      <c r="AD831" t="s">
        <v>74</v>
      </c>
      <c r="AE831" t="s">
        <v>74</v>
      </c>
      <c r="AF831" t="s">
        <v>74</v>
      </c>
      <c r="AG831">
        <v>0</v>
      </c>
      <c r="AH831">
        <v>0</v>
      </c>
      <c r="AI831">
        <v>0</v>
      </c>
      <c r="AJ831">
        <v>0</v>
      </c>
      <c r="AK831">
        <v>0</v>
      </c>
      <c r="AL831" t="s">
        <v>649</v>
      </c>
      <c r="AM831" t="s">
        <v>486</v>
      </c>
      <c r="AN831" t="s">
        <v>650</v>
      </c>
      <c r="AO831" t="s">
        <v>651</v>
      </c>
      <c r="AP831" t="s">
        <v>652</v>
      </c>
      <c r="AQ831" t="s">
        <v>74</v>
      </c>
      <c r="AR831" t="s">
        <v>653</v>
      </c>
      <c r="AS831" t="s">
        <v>654</v>
      </c>
      <c r="AT831" t="s">
        <v>74</v>
      </c>
      <c r="AU831">
        <v>2016</v>
      </c>
      <c r="AV831">
        <v>193</v>
      </c>
      <c r="AW831" t="s">
        <v>74</v>
      </c>
      <c r="AX831" t="s">
        <v>74</v>
      </c>
      <c r="AY831" t="s">
        <v>74</v>
      </c>
      <c r="AZ831" t="s">
        <v>74</v>
      </c>
      <c r="BA831" t="s">
        <v>11750</v>
      </c>
      <c r="BB831" t="s">
        <v>74</v>
      </c>
      <c r="BC831" t="s">
        <v>74</v>
      </c>
      <c r="BD831" t="s">
        <v>74</v>
      </c>
      <c r="BE831" t="s">
        <v>74</v>
      </c>
      <c r="BF831" t="s">
        <v>74</v>
      </c>
      <c r="BG831" t="s">
        <v>74</v>
      </c>
      <c r="BH831" t="s">
        <v>74</v>
      </c>
      <c r="BI831">
        <v>1</v>
      </c>
      <c r="BJ831" t="s">
        <v>341</v>
      </c>
      <c r="BK831" t="s">
        <v>512</v>
      </c>
      <c r="BL831" t="s">
        <v>342</v>
      </c>
      <c r="BM831" t="s">
        <v>11573</v>
      </c>
      <c r="BN831" t="s">
        <v>74</v>
      </c>
      <c r="BO831" t="s">
        <v>74</v>
      </c>
      <c r="BP831" t="s">
        <v>74</v>
      </c>
      <c r="BQ831" t="s">
        <v>74</v>
      </c>
      <c r="BR831" t="s">
        <v>104</v>
      </c>
      <c r="BS831" t="s">
        <v>11751</v>
      </c>
      <c r="BT831" t="str">
        <f>HYPERLINK("https%3A%2F%2Fwww.webofscience.com%2Fwos%2Fwoscc%2Ffull-record%2FWOS:000390749607446","View Full Record in Web of Science")</f>
        <v>View Full Record in Web of Science</v>
      </c>
    </row>
    <row r="832" spans="1:72" x14ac:dyDescent="0.25">
      <c r="A832" t="s">
        <v>72</v>
      </c>
      <c r="B832" t="s">
        <v>11752</v>
      </c>
      <c r="C832" t="s">
        <v>74</v>
      </c>
      <c r="D832" t="s">
        <v>74</v>
      </c>
      <c r="E832" t="s">
        <v>74</v>
      </c>
      <c r="F832" t="s">
        <v>11753</v>
      </c>
      <c r="G832" t="s">
        <v>74</v>
      </c>
      <c r="H832" t="s">
        <v>74</v>
      </c>
      <c r="I832" t="s">
        <v>11754</v>
      </c>
      <c r="J832" t="s">
        <v>637</v>
      </c>
      <c r="K832" t="s">
        <v>74</v>
      </c>
      <c r="L832" t="s">
        <v>74</v>
      </c>
      <c r="M832" t="s">
        <v>78</v>
      </c>
      <c r="N832" t="s">
        <v>52</v>
      </c>
      <c r="O832" t="s">
        <v>2003</v>
      </c>
      <c r="P832" t="s">
        <v>11568</v>
      </c>
      <c r="Q832" t="s">
        <v>3360</v>
      </c>
      <c r="R832" t="s">
        <v>2006</v>
      </c>
      <c r="S832" t="s">
        <v>74</v>
      </c>
      <c r="T832" t="s">
        <v>74</v>
      </c>
      <c r="U832" t="s">
        <v>74</v>
      </c>
      <c r="V832" t="s">
        <v>74</v>
      </c>
      <c r="W832" t="s">
        <v>11755</v>
      </c>
      <c r="X832" t="s">
        <v>11756</v>
      </c>
      <c r="Y832" t="s">
        <v>74</v>
      </c>
      <c r="Z832" t="s">
        <v>9365</v>
      </c>
      <c r="AA832" t="s">
        <v>11757</v>
      </c>
      <c r="AB832" t="s">
        <v>11758</v>
      </c>
      <c r="AC832" t="s">
        <v>74</v>
      </c>
      <c r="AD832" t="s">
        <v>74</v>
      </c>
      <c r="AE832" t="s">
        <v>74</v>
      </c>
      <c r="AF832" t="s">
        <v>74</v>
      </c>
      <c r="AG832">
        <v>0</v>
      </c>
      <c r="AH832">
        <v>0</v>
      </c>
      <c r="AI832">
        <v>0</v>
      </c>
      <c r="AJ832">
        <v>0</v>
      </c>
      <c r="AK832">
        <v>0</v>
      </c>
      <c r="AL832" t="s">
        <v>649</v>
      </c>
      <c r="AM832" t="s">
        <v>486</v>
      </c>
      <c r="AN832" t="s">
        <v>650</v>
      </c>
      <c r="AO832" t="s">
        <v>651</v>
      </c>
      <c r="AP832" t="s">
        <v>652</v>
      </c>
      <c r="AQ832" t="s">
        <v>74</v>
      </c>
      <c r="AR832" t="s">
        <v>653</v>
      </c>
      <c r="AS832" t="s">
        <v>654</v>
      </c>
      <c r="AT832" t="s">
        <v>74</v>
      </c>
      <c r="AU832">
        <v>2016</v>
      </c>
      <c r="AV832">
        <v>193</v>
      </c>
      <c r="AW832" t="s">
        <v>74</v>
      </c>
      <c r="AX832" t="s">
        <v>74</v>
      </c>
      <c r="AY832" t="s">
        <v>74</v>
      </c>
      <c r="AZ832" t="s">
        <v>74</v>
      </c>
      <c r="BA832" t="s">
        <v>11759</v>
      </c>
      <c r="BB832" t="s">
        <v>74</v>
      </c>
      <c r="BC832" t="s">
        <v>74</v>
      </c>
      <c r="BD832" t="s">
        <v>74</v>
      </c>
      <c r="BE832" t="s">
        <v>74</v>
      </c>
      <c r="BF832" t="s">
        <v>74</v>
      </c>
      <c r="BG832" t="s">
        <v>74</v>
      </c>
      <c r="BH832" t="s">
        <v>74</v>
      </c>
      <c r="BI832">
        <v>1</v>
      </c>
      <c r="BJ832" t="s">
        <v>341</v>
      </c>
      <c r="BK832" t="s">
        <v>512</v>
      </c>
      <c r="BL832" t="s">
        <v>342</v>
      </c>
      <c r="BM832" t="s">
        <v>11573</v>
      </c>
      <c r="BN832" t="s">
        <v>74</v>
      </c>
      <c r="BO832" t="s">
        <v>74</v>
      </c>
      <c r="BP832" t="s">
        <v>74</v>
      </c>
      <c r="BQ832" t="s">
        <v>74</v>
      </c>
      <c r="BR832" t="s">
        <v>104</v>
      </c>
      <c r="BS832" t="s">
        <v>11760</v>
      </c>
      <c r="BT832" t="str">
        <f>HYPERLINK("https%3A%2F%2Fwww.webofscience.com%2Fwos%2Fwoscc%2Ffull-record%2FWOS:000390749602159","View Full Record in Web of Science")</f>
        <v>View Full Record in Web of Science</v>
      </c>
    </row>
    <row r="833" spans="1:72" x14ac:dyDescent="0.25">
      <c r="A833" t="s">
        <v>72</v>
      </c>
      <c r="B833" t="s">
        <v>11761</v>
      </c>
      <c r="C833" t="s">
        <v>74</v>
      </c>
      <c r="D833" t="s">
        <v>74</v>
      </c>
      <c r="E833" t="s">
        <v>74</v>
      </c>
      <c r="F833" t="s">
        <v>11762</v>
      </c>
      <c r="G833" t="s">
        <v>74</v>
      </c>
      <c r="H833" t="s">
        <v>74</v>
      </c>
      <c r="I833" t="s">
        <v>11763</v>
      </c>
      <c r="J833" t="s">
        <v>637</v>
      </c>
      <c r="K833" t="s">
        <v>74</v>
      </c>
      <c r="L833" t="s">
        <v>74</v>
      </c>
      <c r="M833" t="s">
        <v>78</v>
      </c>
      <c r="N833" t="s">
        <v>52</v>
      </c>
      <c r="O833" t="s">
        <v>2003</v>
      </c>
      <c r="P833" t="s">
        <v>11568</v>
      </c>
      <c r="Q833" t="s">
        <v>3360</v>
      </c>
      <c r="R833" t="s">
        <v>2006</v>
      </c>
      <c r="S833" t="s">
        <v>74</v>
      </c>
      <c r="T833" t="s">
        <v>74</v>
      </c>
      <c r="U833" t="s">
        <v>74</v>
      </c>
      <c r="V833" t="s">
        <v>74</v>
      </c>
      <c r="W833" t="s">
        <v>11764</v>
      </c>
      <c r="X833" t="s">
        <v>11765</v>
      </c>
      <c r="Y833" t="s">
        <v>74</v>
      </c>
      <c r="Z833" t="s">
        <v>8324</v>
      </c>
      <c r="AA833" t="s">
        <v>11766</v>
      </c>
      <c r="AB833" t="s">
        <v>5709</v>
      </c>
      <c r="AC833" t="s">
        <v>74</v>
      </c>
      <c r="AD833" t="s">
        <v>74</v>
      </c>
      <c r="AE833" t="s">
        <v>74</v>
      </c>
      <c r="AF833" t="s">
        <v>74</v>
      </c>
      <c r="AG833">
        <v>0</v>
      </c>
      <c r="AH833">
        <v>0</v>
      </c>
      <c r="AI833">
        <v>0</v>
      </c>
      <c r="AJ833">
        <v>0</v>
      </c>
      <c r="AK833">
        <v>0</v>
      </c>
      <c r="AL833" t="s">
        <v>649</v>
      </c>
      <c r="AM833" t="s">
        <v>486</v>
      </c>
      <c r="AN833" t="s">
        <v>650</v>
      </c>
      <c r="AO833" t="s">
        <v>651</v>
      </c>
      <c r="AP833" t="s">
        <v>652</v>
      </c>
      <c r="AQ833" t="s">
        <v>74</v>
      </c>
      <c r="AR833" t="s">
        <v>653</v>
      </c>
      <c r="AS833" t="s">
        <v>654</v>
      </c>
      <c r="AT833" t="s">
        <v>74</v>
      </c>
      <c r="AU833">
        <v>2016</v>
      </c>
      <c r="AV833">
        <v>193</v>
      </c>
      <c r="AW833" t="s">
        <v>74</v>
      </c>
      <c r="AX833" t="s">
        <v>74</v>
      </c>
      <c r="AY833" t="s">
        <v>74</v>
      </c>
      <c r="AZ833" t="s">
        <v>74</v>
      </c>
      <c r="BA833" t="s">
        <v>11767</v>
      </c>
      <c r="BB833" t="s">
        <v>74</v>
      </c>
      <c r="BC833" t="s">
        <v>74</v>
      </c>
      <c r="BD833" t="s">
        <v>74</v>
      </c>
      <c r="BE833" t="s">
        <v>74</v>
      </c>
      <c r="BF833" t="s">
        <v>74</v>
      </c>
      <c r="BG833" t="s">
        <v>74</v>
      </c>
      <c r="BH833" t="s">
        <v>74</v>
      </c>
      <c r="BI833">
        <v>1</v>
      </c>
      <c r="BJ833" t="s">
        <v>341</v>
      </c>
      <c r="BK833" t="s">
        <v>512</v>
      </c>
      <c r="BL833" t="s">
        <v>342</v>
      </c>
      <c r="BM833" t="s">
        <v>11573</v>
      </c>
      <c r="BN833" t="s">
        <v>74</v>
      </c>
      <c r="BO833" t="s">
        <v>74</v>
      </c>
      <c r="BP833" t="s">
        <v>74</v>
      </c>
      <c r="BQ833" t="s">
        <v>74</v>
      </c>
      <c r="BR833" t="s">
        <v>104</v>
      </c>
      <c r="BS833" t="s">
        <v>11768</v>
      </c>
      <c r="BT833" t="str">
        <f>HYPERLINK("https%3A%2F%2Fwww.webofscience.com%2Fwos%2Fwoscc%2Ffull-record%2FWOS:000390749600236","View Full Record in Web of Science")</f>
        <v>View Full Record in Web of Science</v>
      </c>
    </row>
    <row r="834" spans="1:72" x14ac:dyDescent="0.25">
      <c r="A834" t="s">
        <v>72</v>
      </c>
      <c r="B834" t="s">
        <v>11769</v>
      </c>
      <c r="C834" t="s">
        <v>74</v>
      </c>
      <c r="D834" t="s">
        <v>74</v>
      </c>
      <c r="E834" t="s">
        <v>74</v>
      </c>
      <c r="F834" t="s">
        <v>11770</v>
      </c>
      <c r="G834" t="s">
        <v>74</v>
      </c>
      <c r="H834" t="s">
        <v>74</v>
      </c>
      <c r="I834" t="s">
        <v>11771</v>
      </c>
      <c r="J834" t="s">
        <v>11772</v>
      </c>
      <c r="K834" t="s">
        <v>74</v>
      </c>
      <c r="L834" t="s">
        <v>74</v>
      </c>
      <c r="M834" t="s">
        <v>78</v>
      </c>
      <c r="N834" t="s">
        <v>79</v>
      </c>
      <c r="O834" t="s">
        <v>74</v>
      </c>
      <c r="P834" t="s">
        <v>74</v>
      </c>
      <c r="Q834" t="s">
        <v>74</v>
      </c>
      <c r="R834" t="s">
        <v>74</v>
      </c>
      <c r="S834" t="s">
        <v>74</v>
      </c>
      <c r="T834" t="s">
        <v>11773</v>
      </c>
      <c r="U834" t="s">
        <v>11774</v>
      </c>
      <c r="V834" t="s">
        <v>11775</v>
      </c>
      <c r="W834" t="s">
        <v>11776</v>
      </c>
      <c r="X834" t="s">
        <v>11777</v>
      </c>
      <c r="Y834" t="s">
        <v>11778</v>
      </c>
      <c r="Z834" t="s">
        <v>377</v>
      </c>
      <c r="AA834" t="s">
        <v>11779</v>
      </c>
      <c r="AB834" t="s">
        <v>11780</v>
      </c>
      <c r="AC834" t="s">
        <v>74</v>
      </c>
      <c r="AD834" t="s">
        <v>74</v>
      </c>
      <c r="AE834" t="s">
        <v>74</v>
      </c>
      <c r="AF834" t="s">
        <v>74</v>
      </c>
      <c r="AG834">
        <v>95</v>
      </c>
      <c r="AH834">
        <v>37</v>
      </c>
      <c r="AI834">
        <v>40</v>
      </c>
      <c r="AJ834">
        <v>0</v>
      </c>
      <c r="AK834">
        <v>7</v>
      </c>
      <c r="AL834" t="s">
        <v>1781</v>
      </c>
      <c r="AM834" t="s">
        <v>486</v>
      </c>
      <c r="AN834" t="s">
        <v>4357</v>
      </c>
      <c r="AO834" t="s">
        <v>11781</v>
      </c>
      <c r="AP834" t="s">
        <v>11782</v>
      </c>
      <c r="AQ834" t="s">
        <v>74</v>
      </c>
      <c r="AR834" t="s">
        <v>11783</v>
      </c>
      <c r="AS834" t="s">
        <v>11784</v>
      </c>
      <c r="AT834" t="s">
        <v>176</v>
      </c>
      <c r="AU834">
        <v>2016</v>
      </c>
      <c r="AV834">
        <v>18</v>
      </c>
      <c r="AW834">
        <v>2</v>
      </c>
      <c r="AX834" t="s">
        <v>74</v>
      </c>
      <c r="AY834" t="s">
        <v>74</v>
      </c>
      <c r="AZ834" t="s">
        <v>74</v>
      </c>
      <c r="BA834" t="s">
        <v>74</v>
      </c>
      <c r="BB834" t="s">
        <v>74</v>
      </c>
      <c r="BC834" t="s">
        <v>74</v>
      </c>
      <c r="BD834">
        <v>10</v>
      </c>
      <c r="BE834" t="s">
        <v>11785</v>
      </c>
      <c r="BF834" t="str">
        <f>HYPERLINK("http://dx.doi.org/10.1007/s11926-015-0560-x","http://dx.doi.org/10.1007/s11926-015-0560-x")</f>
        <v>http://dx.doi.org/10.1007/s11926-015-0560-x</v>
      </c>
      <c r="BG834" t="s">
        <v>74</v>
      </c>
      <c r="BH834" t="s">
        <v>74</v>
      </c>
      <c r="BI834">
        <v>14</v>
      </c>
      <c r="BJ834" t="s">
        <v>2369</v>
      </c>
      <c r="BK834" t="s">
        <v>101</v>
      </c>
      <c r="BL834" t="s">
        <v>2369</v>
      </c>
      <c r="BM834" t="s">
        <v>11786</v>
      </c>
      <c r="BN834">
        <v>26841964</v>
      </c>
      <c r="BO834" t="s">
        <v>74</v>
      </c>
      <c r="BP834" t="s">
        <v>74</v>
      </c>
      <c r="BQ834" t="s">
        <v>74</v>
      </c>
      <c r="BR834" t="s">
        <v>104</v>
      </c>
      <c r="BS834" t="s">
        <v>11787</v>
      </c>
      <c r="BT834" t="str">
        <f>HYPERLINK("https%3A%2F%2Fwww.webofscience.com%2Fwos%2Fwoscc%2Ffull-record%2FWOS:000370235900004","View Full Record in Web of Science")</f>
        <v>View Full Record in Web of Science</v>
      </c>
    </row>
    <row r="835" spans="1:72" x14ac:dyDescent="0.25">
      <c r="A835" t="s">
        <v>72</v>
      </c>
      <c r="B835" t="s">
        <v>11788</v>
      </c>
      <c r="C835" t="s">
        <v>74</v>
      </c>
      <c r="D835" t="s">
        <v>74</v>
      </c>
      <c r="E835" t="s">
        <v>74</v>
      </c>
      <c r="F835" t="s">
        <v>11789</v>
      </c>
      <c r="G835" t="s">
        <v>74</v>
      </c>
      <c r="H835" t="s">
        <v>74</v>
      </c>
      <c r="I835" t="s">
        <v>11790</v>
      </c>
      <c r="J835" t="s">
        <v>637</v>
      </c>
      <c r="K835" t="s">
        <v>74</v>
      </c>
      <c r="L835" t="s">
        <v>74</v>
      </c>
      <c r="M835" t="s">
        <v>78</v>
      </c>
      <c r="N835" t="s">
        <v>52</v>
      </c>
      <c r="O835" t="s">
        <v>2003</v>
      </c>
      <c r="P835" t="s">
        <v>11568</v>
      </c>
      <c r="Q835" t="s">
        <v>3360</v>
      </c>
      <c r="R835" t="s">
        <v>2006</v>
      </c>
      <c r="S835" t="s">
        <v>74</v>
      </c>
      <c r="T835" t="s">
        <v>74</v>
      </c>
      <c r="U835" t="s">
        <v>74</v>
      </c>
      <c r="V835" t="s">
        <v>74</v>
      </c>
      <c r="W835" t="s">
        <v>11791</v>
      </c>
      <c r="X835" t="s">
        <v>11792</v>
      </c>
      <c r="Y835" t="s">
        <v>74</v>
      </c>
      <c r="Z835" t="s">
        <v>74</v>
      </c>
      <c r="AA835" t="s">
        <v>11793</v>
      </c>
      <c r="AB835" t="s">
        <v>74</v>
      </c>
      <c r="AC835" t="s">
        <v>74</v>
      </c>
      <c r="AD835" t="s">
        <v>74</v>
      </c>
      <c r="AE835" t="s">
        <v>74</v>
      </c>
      <c r="AF835" t="s">
        <v>74</v>
      </c>
      <c r="AG835">
        <v>0</v>
      </c>
      <c r="AH835">
        <v>0</v>
      </c>
      <c r="AI835">
        <v>0</v>
      </c>
      <c r="AJ835">
        <v>0</v>
      </c>
      <c r="AK835">
        <v>0</v>
      </c>
      <c r="AL835" t="s">
        <v>649</v>
      </c>
      <c r="AM835" t="s">
        <v>486</v>
      </c>
      <c r="AN835" t="s">
        <v>650</v>
      </c>
      <c r="AO835" t="s">
        <v>651</v>
      </c>
      <c r="AP835" t="s">
        <v>652</v>
      </c>
      <c r="AQ835" t="s">
        <v>74</v>
      </c>
      <c r="AR835" t="s">
        <v>653</v>
      </c>
      <c r="AS835" t="s">
        <v>654</v>
      </c>
      <c r="AT835" t="s">
        <v>74</v>
      </c>
      <c r="AU835">
        <v>2016</v>
      </c>
      <c r="AV835">
        <v>193</v>
      </c>
      <c r="AW835" t="s">
        <v>74</v>
      </c>
      <c r="AX835" t="s">
        <v>74</v>
      </c>
      <c r="AY835" t="s">
        <v>74</v>
      </c>
      <c r="AZ835" t="s">
        <v>74</v>
      </c>
      <c r="BA835" t="s">
        <v>11794</v>
      </c>
      <c r="BB835" t="s">
        <v>74</v>
      </c>
      <c r="BC835" t="s">
        <v>74</v>
      </c>
      <c r="BD835" t="s">
        <v>74</v>
      </c>
      <c r="BE835" t="s">
        <v>74</v>
      </c>
      <c r="BF835" t="s">
        <v>74</v>
      </c>
      <c r="BG835" t="s">
        <v>74</v>
      </c>
      <c r="BH835" t="s">
        <v>74</v>
      </c>
      <c r="BI835">
        <v>1</v>
      </c>
      <c r="BJ835" t="s">
        <v>341</v>
      </c>
      <c r="BK835" t="s">
        <v>512</v>
      </c>
      <c r="BL835" t="s">
        <v>342</v>
      </c>
      <c r="BM835" t="s">
        <v>11573</v>
      </c>
      <c r="BN835" t="s">
        <v>74</v>
      </c>
      <c r="BO835" t="s">
        <v>74</v>
      </c>
      <c r="BP835" t="s">
        <v>74</v>
      </c>
      <c r="BQ835" t="s">
        <v>74</v>
      </c>
      <c r="BR835" t="s">
        <v>104</v>
      </c>
      <c r="BS835" t="s">
        <v>11795</v>
      </c>
      <c r="BT835" t="str">
        <f>HYPERLINK("https%3A%2F%2Fwww.webofscience.com%2Fwos%2Fwoscc%2Ffull-record%2FWOS:000390749602037","View Full Record in Web of Science")</f>
        <v>View Full Record in Web of Science</v>
      </c>
    </row>
    <row r="836" spans="1:72" x14ac:dyDescent="0.25">
      <c r="A836" t="s">
        <v>72</v>
      </c>
      <c r="B836" t="s">
        <v>11796</v>
      </c>
      <c r="C836" t="s">
        <v>74</v>
      </c>
      <c r="D836" t="s">
        <v>74</v>
      </c>
      <c r="E836" t="s">
        <v>74</v>
      </c>
      <c r="F836" t="s">
        <v>11797</v>
      </c>
      <c r="G836" t="s">
        <v>74</v>
      </c>
      <c r="H836" t="s">
        <v>74</v>
      </c>
      <c r="I836" t="s">
        <v>11798</v>
      </c>
      <c r="J836" t="s">
        <v>637</v>
      </c>
      <c r="K836" t="s">
        <v>74</v>
      </c>
      <c r="L836" t="s">
        <v>74</v>
      </c>
      <c r="M836" t="s">
        <v>78</v>
      </c>
      <c r="N836" t="s">
        <v>52</v>
      </c>
      <c r="O836" t="s">
        <v>2003</v>
      </c>
      <c r="P836" t="s">
        <v>11568</v>
      </c>
      <c r="Q836" t="s">
        <v>3360</v>
      </c>
      <c r="R836" t="s">
        <v>2006</v>
      </c>
      <c r="S836" t="s">
        <v>74</v>
      </c>
      <c r="T836" t="s">
        <v>74</v>
      </c>
      <c r="U836" t="s">
        <v>74</v>
      </c>
      <c r="V836" t="s">
        <v>74</v>
      </c>
      <c r="W836" t="s">
        <v>11799</v>
      </c>
      <c r="X836" t="s">
        <v>11800</v>
      </c>
      <c r="Y836" t="s">
        <v>74</v>
      </c>
      <c r="Z836" t="s">
        <v>11801</v>
      </c>
      <c r="AA836" t="s">
        <v>11802</v>
      </c>
      <c r="AB836" t="s">
        <v>11803</v>
      </c>
      <c r="AC836" t="s">
        <v>74</v>
      </c>
      <c r="AD836" t="s">
        <v>74</v>
      </c>
      <c r="AE836" t="s">
        <v>74</v>
      </c>
      <c r="AF836" t="s">
        <v>74</v>
      </c>
      <c r="AG836">
        <v>0</v>
      </c>
      <c r="AH836">
        <v>0</v>
      </c>
      <c r="AI836">
        <v>0</v>
      </c>
      <c r="AJ836">
        <v>0</v>
      </c>
      <c r="AK836">
        <v>0</v>
      </c>
      <c r="AL836" t="s">
        <v>649</v>
      </c>
      <c r="AM836" t="s">
        <v>486</v>
      </c>
      <c r="AN836" t="s">
        <v>650</v>
      </c>
      <c r="AO836" t="s">
        <v>651</v>
      </c>
      <c r="AP836" t="s">
        <v>652</v>
      </c>
      <c r="AQ836" t="s">
        <v>74</v>
      </c>
      <c r="AR836" t="s">
        <v>653</v>
      </c>
      <c r="AS836" t="s">
        <v>654</v>
      </c>
      <c r="AT836" t="s">
        <v>74</v>
      </c>
      <c r="AU836">
        <v>2016</v>
      </c>
      <c r="AV836">
        <v>193</v>
      </c>
      <c r="AW836" t="s">
        <v>74</v>
      </c>
      <c r="AX836" t="s">
        <v>74</v>
      </c>
      <c r="AY836" t="s">
        <v>74</v>
      </c>
      <c r="AZ836" t="s">
        <v>74</v>
      </c>
      <c r="BA836" t="s">
        <v>11804</v>
      </c>
      <c r="BB836" t="s">
        <v>74</v>
      </c>
      <c r="BC836" t="s">
        <v>74</v>
      </c>
      <c r="BD836" t="s">
        <v>74</v>
      </c>
      <c r="BE836" t="s">
        <v>74</v>
      </c>
      <c r="BF836" t="s">
        <v>74</v>
      </c>
      <c r="BG836" t="s">
        <v>74</v>
      </c>
      <c r="BH836" t="s">
        <v>74</v>
      </c>
      <c r="BI836">
        <v>1</v>
      </c>
      <c r="BJ836" t="s">
        <v>341</v>
      </c>
      <c r="BK836" t="s">
        <v>512</v>
      </c>
      <c r="BL836" t="s">
        <v>342</v>
      </c>
      <c r="BM836" t="s">
        <v>11573</v>
      </c>
      <c r="BN836" t="s">
        <v>74</v>
      </c>
      <c r="BO836" t="s">
        <v>74</v>
      </c>
      <c r="BP836" t="s">
        <v>74</v>
      </c>
      <c r="BQ836" t="s">
        <v>74</v>
      </c>
      <c r="BR836" t="s">
        <v>104</v>
      </c>
      <c r="BS836" t="s">
        <v>11805</v>
      </c>
      <c r="BT836" t="str">
        <f>HYPERLINK("https%3A%2F%2Fwww.webofscience.com%2Fwos%2Fwoscc%2Ffull-record%2FWOS:000390749601425","View Full Record in Web of Science")</f>
        <v>View Full Record in Web of Science</v>
      </c>
    </row>
    <row r="837" spans="1:72" x14ac:dyDescent="0.25">
      <c r="A837" t="s">
        <v>72</v>
      </c>
      <c r="B837" t="s">
        <v>11806</v>
      </c>
      <c r="C837" t="s">
        <v>74</v>
      </c>
      <c r="D837" t="s">
        <v>74</v>
      </c>
      <c r="E837" t="s">
        <v>74</v>
      </c>
      <c r="F837" t="s">
        <v>11807</v>
      </c>
      <c r="G837" t="s">
        <v>74</v>
      </c>
      <c r="H837" t="s">
        <v>74</v>
      </c>
      <c r="I837" t="s">
        <v>11808</v>
      </c>
      <c r="J837" t="s">
        <v>1529</v>
      </c>
      <c r="K837" t="s">
        <v>74</v>
      </c>
      <c r="L837" t="s">
        <v>74</v>
      </c>
      <c r="M837" t="s">
        <v>78</v>
      </c>
      <c r="N837" t="s">
        <v>140</v>
      </c>
      <c r="O837" t="s">
        <v>74</v>
      </c>
      <c r="P837" t="s">
        <v>74</v>
      </c>
      <c r="Q837" t="s">
        <v>74</v>
      </c>
      <c r="R837" t="s">
        <v>74</v>
      </c>
      <c r="S837" t="s">
        <v>74</v>
      </c>
      <c r="T837" t="s">
        <v>74</v>
      </c>
      <c r="U837" t="s">
        <v>11809</v>
      </c>
      <c r="V837" t="s">
        <v>74</v>
      </c>
      <c r="W837" t="s">
        <v>11810</v>
      </c>
      <c r="X837" t="s">
        <v>11811</v>
      </c>
      <c r="Y837" t="s">
        <v>11812</v>
      </c>
      <c r="Z837" t="s">
        <v>11813</v>
      </c>
      <c r="AA837" t="s">
        <v>11814</v>
      </c>
      <c r="AB837" t="s">
        <v>11815</v>
      </c>
      <c r="AC837" t="s">
        <v>74</v>
      </c>
      <c r="AD837" t="s">
        <v>74</v>
      </c>
      <c r="AE837" t="s">
        <v>74</v>
      </c>
      <c r="AF837" t="s">
        <v>74</v>
      </c>
      <c r="AG837">
        <v>47</v>
      </c>
      <c r="AH837">
        <v>1</v>
      </c>
      <c r="AI837">
        <v>1</v>
      </c>
      <c r="AJ837">
        <v>0</v>
      </c>
      <c r="AK837">
        <v>2</v>
      </c>
      <c r="AL837" t="s">
        <v>1358</v>
      </c>
      <c r="AM837" t="s">
        <v>1359</v>
      </c>
      <c r="AN837" t="s">
        <v>1360</v>
      </c>
      <c r="AO837" t="s">
        <v>1533</v>
      </c>
      <c r="AP837" t="s">
        <v>1534</v>
      </c>
      <c r="AQ837" t="s">
        <v>74</v>
      </c>
      <c r="AR837" t="s">
        <v>1535</v>
      </c>
      <c r="AS837" t="s">
        <v>1536</v>
      </c>
      <c r="AT837" t="s">
        <v>226</v>
      </c>
      <c r="AU837">
        <v>2015</v>
      </c>
      <c r="AV837">
        <v>44</v>
      </c>
      <c r="AW837">
        <v>12</v>
      </c>
      <c r="AX837">
        <v>2</v>
      </c>
      <c r="AY837" t="s">
        <v>74</v>
      </c>
      <c r="AZ837" t="s">
        <v>74</v>
      </c>
      <c r="BA837" t="s">
        <v>74</v>
      </c>
      <c r="BB837" t="s">
        <v>11816</v>
      </c>
      <c r="BC837" t="s">
        <v>11817</v>
      </c>
      <c r="BD837" t="s">
        <v>74</v>
      </c>
      <c r="BE837" t="s">
        <v>11818</v>
      </c>
      <c r="BF837" t="str">
        <f>HYPERLINK("http://dx.doi.org/10.1016/j.lpm.2015.10.005","http://dx.doi.org/10.1016/j.lpm.2015.10.005")</f>
        <v>http://dx.doi.org/10.1016/j.lpm.2015.10.005</v>
      </c>
      <c r="BG837" t="s">
        <v>74</v>
      </c>
      <c r="BH837" t="s">
        <v>74</v>
      </c>
      <c r="BI837">
        <v>4</v>
      </c>
      <c r="BJ837" t="s">
        <v>1152</v>
      </c>
      <c r="BK837" t="s">
        <v>101</v>
      </c>
      <c r="BL837" t="s">
        <v>1153</v>
      </c>
      <c r="BM837" t="s">
        <v>11819</v>
      </c>
      <c r="BN837">
        <v>26547677</v>
      </c>
      <c r="BO837" t="s">
        <v>74</v>
      </c>
      <c r="BP837" t="s">
        <v>74</v>
      </c>
      <c r="BQ837" t="s">
        <v>74</v>
      </c>
      <c r="BR837" t="s">
        <v>104</v>
      </c>
      <c r="BS837" t="s">
        <v>11820</v>
      </c>
      <c r="BT837" t="str">
        <f>HYPERLINK("https%3A%2F%2Fwww.webofscience.com%2Fwos%2Fwoscc%2Ffull-record%2FWOS:000370190300001","View Full Record in Web of Science")</f>
        <v>View Full Record in Web of Science</v>
      </c>
    </row>
    <row r="838" spans="1:72" x14ac:dyDescent="0.25">
      <c r="A838" t="s">
        <v>72</v>
      </c>
      <c r="B838" t="s">
        <v>11821</v>
      </c>
      <c r="C838" t="s">
        <v>74</v>
      </c>
      <c r="D838" t="s">
        <v>74</v>
      </c>
      <c r="E838" t="s">
        <v>74</v>
      </c>
      <c r="F838" t="s">
        <v>11822</v>
      </c>
      <c r="G838" t="s">
        <v>74</v>
      </c>
      <c r="H838" t="s">
        <v>74</v>
      </c>
      <c r="I838" t="s">
        <v>11823</v>
      </c>
      <c r="J838" t="s">
        <v>216</v>
      </c>
      <c r="K838" t="s">
        <v>74</v>
      </c>
      <c r="L838" t="s">
        <v>74</v>
      </c>
      <c r="M838" t="s">
        <v>78</v>
      </c>
      <c r="N838" t="s">
        <v>217</v>
      </c>
      <c r="O838" t="s">
        <v>74</v>
      </c>
      <c r="P838" t="s">
        <v>74</v>
      </c>
      <c r="Q838" t="s">
        <v>74</v>
      </c>
      <c r="R838" t="s">
        <v>74</v>
      </c>
      <c r="S838" t="s">
        <v>74</v>
      </c>
      <c r="T838" t="s">
        <v>74</v>
      </c>
      <c r="U838" t="s">
        <v>74</v>
      </c>
      <c r="V838" t="s">
        <v>74</v>
      </c>
      <c r="W838" t="s">
        <v>74</v>
      </c>
      <c r="X838" t="s">
        <v>74</v>
      </c>
      <c r="Y838" t="s">
        <v>74</v>
      </c>
      <c r="Z838" t="s">
        <v>74</v>
      </c>
      <c r="AA838" t="s">
        <v>11824</v>
      </c>
      <c r="AB838" t="s">
        <v>74</v>
      </c>
      <c r="AC838" t="s">
        <v>74</v>
      </c>
      <c r="AD838" t="s">
        <v>74</v>
      </c>
      <c r="AE838" t="s">
        <v>74</v>
      </c>
      <c r="AF838" t="s">
        <v>74</v>
      </c>
      <c r="AG838">
        <v>1</v>
      </c>
      <c r="AH838">
        <v>0</v>
      </c>
      <c r="AI838">
        <v>0</v>
      </c>
      <c r="AJ838">
        <v>0</v>
      </c>
      <c r="AK838">
        <v>3</v>
      </c>
      <c r="AL838" t="s">
        <v>219</v>
      </c>
      <c r="AM838" t="s">
        <v>220</v>
      </c>
      <c r="AN838" t="s">
        <v>221</v>
      </c>
      <c r="AO838" t="s">
        <v>222</v>
      </c>
      <c r="AP838" t="s">
        <v>223</v>
      </c>
      <c r="AQ838" t="s">
        <v>74</v>
      </c>
      <c r="AR838" t="s">
        <v>224</v>
      </c>
      <c r="AS838" t="s">
        <v>225</v>
      </c>
      <c r="AT838" t="s">
        <v>226</v>
      </c>
      <c r="AU838">
        <v>2015</v>
      </c>
      <c r="AV838">
        <v>46</v>
      </c>
      <c r="AW838">
        <v>6</v>
      </c>
      <c r="AX838" t="s">
        <v>74</v>
      </c>
      <c r="AY838" t="s">
        <v>74</v>
      </c>
      <c r="AZ838" t="s">
        <v>74</v>
      </c>
      <c r="BA838" t="s">
        <v>74</v>
      </c>
      <c r="BB838">
        <v>1854</v>
      </c>
      <c r="BC838">
        <v>1854</v>
      </c>
      <c r="BD838" t="s">
        <v>74</v>
      </c>
      <c r="BE838" t="s">
        <v>11825</v>
      </c>
      <c r="BF838" t="str">
        <f>HYPERLINK("http://dx.doi.org/10.1183/13993003.51084-2015","http://dx.doi.org/10.1183/13993003.51084-2015")</f>
        <v>http://dx.doi.org/10.1183/13993003.51084-2015</v>
      </c>
      <c r="BG838" t="s">
        <v>74</v>
      </c>
      <c r="BH838" t="s">
        <v>74</v>
      </c>
      <c r="BI838">
        <v>1</v>
      </c>
      <c r="BJ838" t="s">
        <v>228</v>
      </c>
      <c r="BK838" t="s">
        <v>101</v>
      </c>
      <c r="BL838" t="s">
        <v>228</v>
      </c>
      <c r="BM838" t="s">
        <v>11826</v>
      </c>
      <c r="BN838" t="s">
        <v>74</v>
      </c>
      <c r="BO838" t="s">
        <v>1194</v>
      </c>
      <c r="BP838" t="s">
        <v>74</v>
      </c>
      <c r="BQ838" t="s">
        <v>74</v>
      </c>
      <c r="BR838" t="s">
        <v>104</v>
      </c>
      <c r="BS838" t="s">
        <v>11827</v>
      </c>
      <c r="BT838" t="str">
        <f>HYPERLINK("https%3A%2F%2Fwww.webofscience.com%2Fwos%2Fwoscc%2Ffull-record%2FWOS:000366948700055","View Full Record in Web of Science")</f>
        <v>View Full Record in Web of Science</v>
      </c>
    </row>
    <row r="839" spans="1:72" x14ac:dyDescent="0.25">
      <c r="A839" t="s">
        <v>72</v>
      </c>
      <c r="B839" t="s">
        <v>11828</v>
      </c>
      <c r="C839" t="s">
        <v>74</v>
      </c>
      <c r="D839" t="s">
        <v>74</v>
      </c>
      <c r="E839" t="s">
        <v>74</v>
      </c>
      <c r="F839" t="s">
        <v>11829</v>
      </c>
      <c r="G839" t="s">
        <v>74</v>
      </c>
      <c r="H839" t="s">
        <v>74</v>
      </c>
      <c r="I839" t="s">
        <v>11830</v>
      </c>
      <c r="J839" t="s">
        <v>11831</v>
      </c>
      <c r="K839" t="s">
        <v>74</v>
      </c>
      <c r="L839" t="s">
        <v>74</v>
      </c>
      <c r="M839" t="s">
        <v>78</v>
      </c>
      <c r="N839" t="s">
        <v>79</v>
      </c>
      <c r="O839" t="s">
        <v>74</v>
      </c>
      <c r="P839" t="s">
        <v>74</v>
      </c>
      <c r="Q839" t="s">
        <v>74</v>
      </c>
      <c r="R839" t="s">
        <v>74</v>
      </c>
      <c r="S839" t="s">
        <v>74</v>
      </c>
      <c r="T839" t="s">
        <v>74</v>
      </c>
      <c r="U839" t="s">
        <v>11832</v>
      </c>
      <c r="V839" t="s">
        <v>11833</v>
      </c>
      <c r="W839" t="s">
        <v>11834</v>
      </c>
      <c r="X839" t="s">
        <v>11835</v>
      </c>
      <c r="Y839" t="s">
        <v>11836</v>
      </c>
      <c r="Z839" t="s">
        <v>74</v>
      </c>
      <c r="AA839" t="s">
        <v>11837</v>
      </c>
      <c r="AB839" t="s">
        <v>11838</v>
      </c>
      <c r="AC839" t="s">
        <v>74</v>
      </c>
      <c r="AD839" t="s">
        <v>74</v>
      </c>
      <c r="AE839" t="s">
        <v>74</v>
      </c>
      <c r="AF839" t="s">
        <v>74</v>
      </c>
      <c r="AG839">
        <v>30</v>
      </c>
      <c r="AH839">
        <v>8</v>
      </c>
      <c r="AI839">
        <v>9</v>
      </c>
      <c r="AJ839">
        <v>0</v>
      </c>
      <c r="AK839">
        <v>4</v>
      </c>
      <c r="AL839" t="s">
        <v>991</v>
      </c>
      <c r="AM839" t="s">
        <v>486</v>
      </c>
      <c r="AN839" t="s">
        <v>992</v>
      </c>
      <c r="AO839" t="s">
        <v>11839</v>
      </c>
      <c r="AP839" t="s">
        <v>11840</v>
      </c>
      <c r="AQ839" t="s">
        <v>74</v>
      </c>
      <c r="AR839" t="s">
        <v>11841</v>
      </c>
      <c r="AS839" t="s">
        <v>11842</v>
      </c>
      <c r="AT839" t="s">
        <v>226</v>
      </c>
      <c r="AU839">
        <v>2015</v>
      </c>
      <c r="AV839">
        <v>31</v>
      </c>
      <c r="AW839">
        <v>12</v>
      </c>
      <c r="AX839" t="s">
        <v>74</v>
      </c>
      <c r="AY839" t="s">
        <v>74</v>
      </c>
      <c r="AZ839" t="s">
        <v>74</v>
      </c>
      <c r="BA839" t="s">
        <v>74</v>
      </c>
      <c r="BB839">
        <v>1469</v>
      </c>
      <c r="BC839">
        <v>1476</v>
      </c>
      <c r="BD839" t="s">
        <v>74</v>
      </c>
      <c r="BE839" t="s">
        <v>11843</v>
      </c>
      <c r="BF839" t="str">
        <f>HYPERLINK("http://dx.doi.org/10.1016/j.cjca.2015.04.014","http://dx.doi.org/10.1016/j.cjca.2015.04.014")</f>
        <v>http://dx.doi.org/10.1016/j.cjca.2015.04.014</v>
      </c>
      <c r="BG839" t="s">
        <v>74</v>
      </c>
      <c r="BH839" t="s">
        <v>74</v>
      </c>
      <c r="BI839">
        <v>8</v>
      </c>
      <c r="BJ839" t="s">
        <v>132</v>
      </c>
      <c r="BK839" t="s">
        <v>101</v>
      </c>
      <c r="BL839" t="s">
        <v>133</v>
      </c>
      <c r="BM839" t="s">
        <v>11844</v>
      </c>
      <c r="BN839">
        <v>26239005</v>
      </c>
      <c r="BO839" t="s">
        <v>74</v>
      </c>
      <c r="BP839" t="s">
        <v>74</v>
      </c>
      <c r="BQ839" t="s">
        <v>74</v>
      </c>
      <c r="BR839" t="s">
        <v>104</v>
      </c>
      <c r="BS839" t="s">
        <v>11845</v>
      </c>
      <c r="BT839" t="str">
        <f>HYPERLINK("https%3A%2F%2Fwww.webofscience.com%2Fwos%2Fwoscc%2Ffull-record%2FWOS:000365334300010","View Full Record in Web of Science")</f>
        <v>View Full Record in Web of Science</v>
      </c>
    </row>
    <row r="840" spans="1:72" x14ac:dyDescent="0.25">
      <c r="A840" t="s">
        <v>72</v>
      </c>
      <c r="B840" t="s">
        <v>11502</v>
      </c>
      <c r="C840" t="s">
        <v>74</v>
      </c>
      <c r="D840" t="s">
        <v>74</v>
      </c>
      <c r="E840" t="s">
        <v>74</v>
      </c>
      <c r="F840" t="s">
        <v>11503</v>
      </c>
      <c r="G840" t="s">
        <v>74</v>
      </c>
      <c r="H840" t="s">
        <v>74</v>
      </c>
      <c r="I840" t="s">
        <v>11846</v>
      </c>
      <c r="J840" t="s">
        <v>216</v>
      </c>
      <c r="K840" t="s">
        <v>74</v>
      </c>
      <c r="L840" t="s">
        <v>74</v>
      </c>
      <c r="M840" t="s">
        <v>78</v>
      </c>
      <c r="N840" t="s">
        <v>217</v>
      </c>
      <c r="O840" t="s">
        <v>74</v>
      </c>
      <c r="P840" t="s">
        <v>74</v>
      </c>
      <c r="Q840" t="s">
        <v>74</v>
      </c>
      <c r="R840" t="s">
        <v>74</v>
      </c>
      <c r="S840" t="s">
        <v>74</v>
      </c>
      <c r="T840" t="s">
        <v>74</v>
      </c>
      <c r="U840" t="s">
        <v>74</v>
      </c>
      <c r="V840" t="s">
        <v>74</v>
      </c>
      <c r="W840" t="s">
        <v>74</v>
      </c>
      <c r="X840" t="s">
        <v>74</v>
      </c>
      <c r="Y840" t="s">
        <v>74</v>
      </c>
      <c r="Z840" t="s">
        <v>74</v>
      </c>
      <c r="AA840" t="s">
        <v>11847</v>
      </c>
      <c r="AB840" t="s">
        <v>1489</v>
      </c>
      <c r="AC840" t="s">
        <v>74</v>
      </c>
      <c r="AD840" t="s">
        <v>74</v>
      </c>
      <c r="AE840" t="s">
        <v>74</v>
      </c>
      <c r="AF840" t="s">
        <v>74</v>
      </c>
      <c r="AG840">
        <v>1</v>
      </c>
      <c r="AH840">
        <v>52</v>
      </c>
      <c r="AI840">
        <v>54</v>
      </c>
      <c r="AJ840">
        <v>1</v>
      </c>
      <c r="AK840">
        <v>26</v>
      </c>
      <c r="AL840" t="s">
        <v>219</v>
      </c>
      <c r="AM840" t="s">
        <v>220</v>
      </c>
      <c r="AN840" t="s">
        <v>221</v>
      </c>
      <c r="AO840" t="s">
        <v>222</v>
      </c>
      <c r="AP840" t="s">
        <v>223</v>
      </c>
      <c r="AQ840" t="s">
        <v>74</v>
      </c>
      <c r="AR840" t="s">
        <v>224</v>
      </c>
      <c r="AS840" t="s">
        <v>225</v>
      </c>
      <c r="AT840" t="s">
        <v>226</v>
      </c>
      <c r="AU840">
        <v>2015</v>
      </c>
      <c r="AV840">
        <v>46</v>
      </c>
      <c r="AW840">
        <v>6</v>
      </c>
      <c r="AX840" t="s">
        <v>74</v>
      </c>
      <c r="AY840" t="s">
        <v>74</v>
      </c>
      <c r="AZ840" t="s">
        <v>74</v>
      </c>
      <c r="BA840" t="s">
        <v>74</v>
      </c>
      <c r="BB840">
        <v>1855</v>
      </c>
      <c r="BC840">
        <v>1856</v>
      </c>
      <c r="BD840" t="s">
        <v>74</v>
      </c>
      <c r="BE840" t="s">
        <v>11848</v>
      </c>
      <c r="BF840" t="str">
        <f>HYPERLINK("http://dx.doi.org/10.1183/13993003.51032-2015","http://dx.doi.org/10.1183/13993003.51032-2015")</f>
        <v>http://dx.doi.org/10.1183/13993003.51032-2015</v>
      </c>
      <c r="BG840" t="s">
        <v>74</v>
      </c>
      <c r="BH840" t="s">
        <v>74</v>
      </c>
      <c r="BI840">
        <v>2</v>
      </c>
      <c r="BJ840" t="s">
        <v>228</v>
      </c>
      <c r="BK840" t="s">
        <v>101</v>
      </c>
      <c r="BL840" t="s">
        <v>228</v>
      </c>
      <c r="BM840" t="s">
        <v>11826</v>
      </c>
      <c r="BN840" t="s">
        <v>74</v>
      </c>
      <c r="BO840" t="s">
        <v>74</v>
      </c>
      <c r="BP840" t="s">
        <v>74</v>
      </c>
      <c r="BQ840" t="s">
        <v>74</v>
      </c>
      <c r="BR840" t="s">
        <v>104</v>
      </c>
      <c r="BS840" t="s">
        <v>11849</v>
      </c>
      <c r="BT840" t="str">
        <f>HYPERLINK("https%3A%2F%2Fwww.webofscience.com%2Fwos%2Fwoscc%2Ffull-record%2FWOS:000366948700056","View Full Record in Web of Science")</f>
        <v>View Full Record in Web of Science</v>
      </c>
    </row>
    <row r="841" spans="1:72" x14ac:dyDescent="0.25">
      <c r="A841" t="s">
        <v>72</v>
      </c>
      <c r="B841" t="s">
        <v>11850</v>
      </c>
      <c r="C841" t="s">
        <v>74</v>
      </c>
      <c r="D841" t="s">
        <v>74</v>
      </c>
      <c r="E841" t="s">
        <v>74</v>
      </c>
      <c r="F841" t="s">
        <v>11851</v>
      </c>
      <c r="G841" t="s">
        <v>74</v>
      </c>
      <c r="H841" t="s">
        <v>74</v>
      </c>
      <c r="I841" t="s">
        <v>11852</v>
      </c>
      <c r="J841" t="s">
        <v>11853</v>
      </c>
      <c r="K841" t="s">
        <v>74</v>
      </c>
      <c r="L841" t="s">
        <v>74</v>
      </c>
      <c r="M841" t="s">
        <v>78</v>
      </c>
      <c r="N841" t="s">
        <v>299</v>
      </c>
      <c r="O841" t="s">
        <v>74</v>
      </c>
      <c r="P841" t="s">
        <v>74</v>
      </c>
      <c r="Q841" t="s">
        <v>74</v>
      </c>
      <c r="R841" t="s">
        <v>74</v>
      </c>
      <c r="S841" t="s">
        <v>74</v>
      </c>
      <c r="T841" t="s">
        <v>11854</v>
      </c>
      <c r="U841" t="s">
        <v>11855</v>
      </c>
      <c r="V841" t="s">
        <v>11856</v>
      </c>
      <c r="W841" t="s">
        <v>11857</v>
      </c>
      <c r="X841" t="s">
        <v>11858</v>
      </c>
      <c r="Y841" t="s">
        <v>11859</v>
      </c>
      <c r="Z841" t="s">
        <v>11860</v>
      </c>
      <c r="AA841" t="s">
        <v>11861</v>
      </c>
      <c r="AB841" t="s">
        <v>11862</v>
      </c>
      <c r="AC841" t="s">
        <v>11863</v>
      </c>
      <c r="AD841" t="s">
        <v>11864</v>
      </c>
      <c r="AE841" t="s">
        <v>11865</v>
      </c>
      <c r="AF841" t="s">
        <v>74</v>
      </c>
      <c r="AG841">
        <v>101</v>
      </c>
      <c r="AH841">
        <v>178</v>
      </c>
      <c r="AI841">
        <v>186</v>
      </c>
      <c r="AJ841">
        <v>0</v>
      </c>
      <c r="AK841">
        <v>39</v>
      </c>
      <c r="AL841" t="s">
        <v>169</v>
      </c>
      <c r="AM841" t="s">
        <v>170</v>
      </c>
      <c r="AN841" t="s">
        <v>171</v>
      </c>
      <c r="AO841" t="s">
        <v>11866</v>
      </c>
      <c r="AP841" t="s">
        <v>11867</v>
      </c>
      <c r="AQ841" t="s">
        <v>74</v>
      </c>
      <c r="AR841" t="s">
        <v>11868</v>
      </c>
      <c r="AS841" t="s">
        <v>11869</v>
      </c>
      <c r="AT841" t="s">
        <v>226</v>
      </c>
      <c r="AU841">
        <v>2015</v>
      </c>
      <c r="AV841">
        <v>36</v>
      </c>
      <c r="AW841">
        <v>12</v>
      </c>
      <c r="AX841" t="s">
        <v>74</v>
      </c>
      <c r="AY841" t="s">
        <v>74</v>
      </c>
      <c r="AZ841" t="s">
        <v>74</v>
      </c>
      <c r="BA841" t="s">
        <v>74</v>
      </c>
      <c r="BB841">
        <v>1113</v>
      </c>
      <c r="BC841">
        <v>1127</v>
      </c>
      <c r="BD841" t="s">
        <v>74</v>
      </c>
      <c r="BE841" t="s">
        <v>11870</v>
      </c>
      <c r="BF841" t="str">
        <f>HYPERLINK("http://dx.doi.org/10.1002/humu.22904","http://dx.doi.org/10.1002/humu.22904")</f>
        <v>http://dx.doi.org/10.1002/humu.22904</v>
      </c>
      <c r="BG841" t="s">
        <v>74</v>
      </c>
      <c r="BH841" t="s">
        <v>74</v>
      </c>
      <c r="BI841">
        <v>15</v>
      </c>
      <c r="BJ841" t="s">
        <v>4407</v>
      </c>
      <c r="BK841" t="s">
        <v>101</v>
      </c>
      <c r="BL841" t="s">
        <v>4407</v>
      </c>
      <c r="BM841" t="s">
        <v>11871</v>
      </c>
      <c r="BN841">
        <v>26387786</v>
      </c>
      <c r="BO841" t="s">
        <v>4589</v>
      </c>
      <c r="BP841" t="s">
        <v>74</v>
      </c>
      <c r="BQ841" t="s">
        <v>74</v>
      </c>
      <c r="BR841" t="s">
        <v>104</v>
      </c>
      <c r="BS841" t="s">
        <v>11872</v>
      </c>
      <c r="BT841" t="str">
        <f>HYPERLINK("https%3A%2F%2Fwww.webofscience.com%2Fwos%2Fwoscc%2Ffull-record%2FWOS:000364788500001","View Full Record in Web of Science")</f>
        <v>View Full Record in Web of Science</v>
      </c>
    </row>
    <row r="842" spans="1:72" x14ac:dyDescent="0.25">
      <c r="A842" t="s">
        <v>72</v>
      </c>
      <c r="B842" t="s">
        <v>11873</v>
      </c>
      <c r="C842" t="s">
        <v>74</v>
      </c>
      <c r="D842" t="s">
        <v>74</v>
      </c>
      <c r="E842" t="s">
        <v>74</v>
      </c>
      <c r="F842" t="s">
        <v>11874</v>
      </c>
      <c r="G842" t="s">
        <v>74</v>
      </c>
      <c r="H842" t="s">
        <v>74</v>
      </c>
      <c r="I842" t="s">
        <v>11875</v>
      </c>
      <c r="J842" t="s">
        <v>216</v>
      </c>
      <c r="K842" t="s">
        <v>74</v>
      </c>
      <c r="L842" t="s">
        <v>74</v>
      </c>
      <c r="M842" t="s">
        <v>78</v>
      </c>
      <c r="N842" t="s">
        <v>79</v>
      </c>
      <c r="O842" t="s">
        <v>74</v>
      </c>
      <c r="P842" t="s">
        <v>74</v>
      </c>
      <c r="Q842" t="s">
        <v>74</v>
      </c>
      <c r="R842" t="s">
        <v>74</v>
      </c>
      <c r="S842" t="s">
        <v>74</v>
      </c>
      <c r="T842" t="s">
        <v>74</v>
      </c>
      <c r="U842" t="s">
        <v>11876</v>
      </c>
      <c r="V842" t="s">
        <v>11877</v>
      </c>
      <c r="W842" t="s">
        <v>11878</v>
      </c>
      <c r="X842" t="s">
        <v>11879</v>
      </c>
      <c r="Y842" t="s">
        <v>11880</v>
      </c>
      <c r="Z842" t="s">
        <v>10035</v>
      </c>
      <c r="AA842" t="s">
        <v>11881</v>
      </c>
      <c r="AB842" t="s">
        <v>11882</v>
      </c>
      <c r="AC842" t="s">
        <v>74</v>
      </c>
      <c r="AD842" t="s">
        <v>74</v>
      </c>
      <c r="AE842" t="s">
        <v>74</v>
      </c>
      <c r="AF842" t="s">
        <v>74</v>
      </c>
      <c r="AG842">
        <v>37</v>
      </c>
      <c r="AH842">
        <v>82</v>
      </c>
      <c r="AI842">
        <v>87</v>
      </c>
      <c r="AJ842">
        <v>0</v>
      </c>
      <c r="AK842">
        <v>5</v>
      </c>
      <c r="AL842" t="s">
        <v>219</v>
      </c>
      <c r="AM842" t="s">
        <v>220</v>
      </c>
      <c r="AN842" t="s">
        <v>221</v>
      </c>
      <c r="AO842" t="s">
        <v>222</v>
      </c>
      <c r="AP842" t="s">
        <v>223</v>
      </c>
      <c r="AQ842" t="s">
        <v>74</v>
      </c>
      <c r="AR842" t="s">
        <v>224</v>
      </c>
      <c r="AS842" t="s">
        <v>225</v>
      </c>
      <c r="AT842" t="s">
        <v>226</v>
      </c>
      <c r="AU842">
        <v>2015</v>
      </c>
      <c r="AV842">
        <v>46</v>
      </c>
      <c r="AW842">
        <v>6</v>
      </c>
      <c r="AX842" t="s">
        <v>74</v>
      </c>
      <c r="AY842" t="s">
        <v>74</v>
      </c>
      <c r="AZ842" t="s">
        <v>74</v>
      </c>
      <c r="BA842" t="s">
        <v>74</v>
      </c>
      <c r="BB842">
        <v>1721</v>
      </c>
      <c r="BC842">
        <v>1731</v>
      </c>
      <c r="BD842" t="s">
        <v>74</v>
      </c>
      <c r="BE842" t="s">
        <v>11883</v>
      </c>
      <c r="BF842" t="str">
        <f>HYPERLINK("http://dx.doi.org/10.1183/13993003.00814-2015","http://dx.doi.org/10.1183/13993003.00814-2015")</f>
        <v>http://dx.doi.org/10.1183/13993003.00814-2015</v>
      </c>
      <c r="BG842" t="s">
        <v>74</v>
      </c>
      <c r="BH842" t="s">
        <v>74</v>
      </c>
      <c r="BI842">
        <v>11</v>
      </c>
      <c r="BJ842" t="s">
        <v>228</v>
      </c>
      <c r="BK842" t="s">
        <v>101</v>
      </c>
      <c r="BL842" t="s">
        <v>228</v>
      </c>
      <c r="BM842" t="s">
        <v>11826</v>
      </c>
      <c r="BN842">
        <v>26541523</v>
      </c>
      <c r="BO842" t="s">
        <v>1194</v>
      </c>
      <c r="BP842" t="s">
        <v>74</v>
      </c>
      <c r="BQ842" t="s">
        <v>74</v>
      </c>
      <c r="BR842" t="s">
        <v>104</v>
      </c>
      <c r="BS842" t="s">
        <v>11884</v>
      </c>
      <c r="BT842" t="str">
        <f>HYPERLINK("https%3A%2F%2Fwww.webofscience.com%2Fwos%2Fwoscc%2Ffull-record%2FWOS:000366948700026","View Full Record in Web of Science")</f>
        <v>View Full Record in Web of Science</v>
      </c>
    </row>
    <row r="843" spans="1:72" x14ac:dyDescent="0.25">
      <c r="A843" t="s">
        <v>72</v>
      </c>
      <c r="B843" t="s">
        <v>11885</v>
      </c>
      <c r="C843" t="s">
        <v>74</v>
      </c>
      <c r="D843" t="s">
        <v>74</v>
      </c>
      <c r="E843" t="s">
        <v>74</v>
      </c>
      <c r="F843" t="s">
        <v>11886</v>
      </c>
      <c r="G843" t="s">
        <v>74</v>
      </c>
      <c r="H843" t="s">
        <v>74</v>
      </c>
      <c r="I843" t="s">
        <v>11887</v>
      </c>
      <c r="J843" t="s">
        <v>1529</v>
      </c>
      <c r="K843" t="s">
        <v>74</v>
      </c>
      <c r="L843" t="s">
        <v>74</v>
      </c>
      <c r="M843" t="s">
        <v>78</v>
      </c>
      <c r="N843" t="s">
        <v>299</v>
      </c>
      <c r="O843" t="s">
        <v>74</v>
      </c>
      <c r="P843" t="s">
        <v>74</v>
      </c>
      <c r="Q843" t="s">
        <v>74</v>
      </c>
      <c r="R843" t="s">
        <v>74</v>
      </c>
      <c r="S843" t="s">
        <v>74</v>
      </c>
      <c r="T843" t="s">
        <v>74</v>
      </c>
      <c r="U843" t="s">
        <v>11888</v>
      </c>
      <c r="V843" t="s">
        <v>11889</v>
      </c>
      <c r="W843" t="s">
        <v>11890</v>
      </c>
      <c r="X843" t="s">
        <v>11891</v>
      </c>
      <c r="Y843" t="s">
        <v>11892</v>
      </c>
      <c r="Z843" t="s">
        <v>2894</v>
      </c>
      <c r="AA843" t="s">
        <v>11893</v>
      </c>
      <c r="AB843" t="s">
        <v>11894</v>
      </c>
      <c r="AC843" t="s">
        <v>10011</v>
      </c>
      <c r="AD843" t="s">
        <v>10012</v>
      </c>
      <c r="AE843" t="s">
        <v>11895</v>
      </c>
      <c r="AF843" t="s">
        <v>74</v>
      </c>
      <c r="AG843">
        <v>56</v>
      </c>
      <c r="AH843">
        <v>23</v>
      </c>
      <c r="AI843">
        <v>24</v>
      </c>
      <c r="AJ843">
        <v>0</v>
      </c>
      <c r="AK843">
        <v>9</v>
      </c>
      <c r="AL843" t="s">
        <v>1358</v>
      </c>
      <c r="AM843" t="s">
        <v>1359</v>
      </c>
      <c r="AN843" t="s">
        <v>1360</v>
      </c>
      <c r="AO843" t="s">
        <v>1533</v>
      </c>
      <c r="AP843" t="s">
        <v>1534</v>
      </c>
      <c r="AQ843" t="s">
        <v>74</v>
      </c>
      <c r="AR843" t="s">
        <v>1535</v>
      </c>
      <c r="AS843" t="s">
        <v>1536</v>
      </c>
      <c r="AT843" t="s">
        <v>226</v>
      </c>
      <c r="AU843">
        <v>2015</v>
      </c>
      <c r="AV843">
        <v>44</v>
      </c>
      <c r="AW843">
        <v>12</v>
      </c>
      <c r="AX843">
        <v>2</v>
      </c>
      <c r="AY843" t="s">
        <v>74</v>
      </c>
      <c r="AZ843" t="s">
        <v>74</v>
      </c>
      <c r="BA843" t="s">
        <v>74</v>
      </c>
      <c r="BB843" t="s">
        <v>11896</v>
      </c>
      <c r="BC843" t="s">
        <v>11897</v>
      </c>
      <c r="BD843" t="s">
        <v>74</v>
      </c>
      <c r="BE843" t="s">
        <v>11898</v>
      </c>
      <c r="BF843" t="str">
        <f>HYPERLINK("http://dx.doi.org/10.1016/j.lpm.2015.10.010","http://dx.doi.org/10.1016/j.lpm.2015.10.010")</f>
        <v>http://dx.doi.org/10.1016/j.lpm.2015.10.010</v>
      </c>
      <c r="BG843" t="s">
        <v>74</v>
      </c>
      <c r="BH843" t="s">
        <v>74</v>
      </c>
      <c r="BI843">
        <v>8</v>
      </c>
      <c r="BJ843" t="s">
        <v>1152</v>
      </c>
      <c r="BK843" t="s">
        <v>101</v>
      </c>
      <c r="BL843" t="s">
        <v>1153</v>
      </c>
      <c r="BM843" t="s">
        <v>11819</v>
      </c>
      <c r="BN843">
        <v>26585271</v>
      </c>
      <c r="BO843" t="s">
        <v>74</v>
      </c>
      <c r="BP843" t="s">
        <v>74</v>
      </c>
      <c r="BQ843" t="s">
        <v>74</v>
      </c>
      <c r="BR843" t="s">
        <v>104</v>
      </c>
      <c r="BS843" t="s">
        <v>11899</v>
      </c>
      <c r="BT843" t="str">
        <f>HYPERLINK("https%3A%2F%2Fwww.webofscience.com%2Fwos%2Fwoscc%2Ffull-record%2FWOS:000370190300006","View Full Record in Web of Science")</f>
        <v>View Full Record in Web of Science</v>
      </c>
    </row>
    <row r="844" spans="1:72" x14ac:dyDescent="0.25">
      <c r="A844" t="s">
        <v>72</v>
      </c>
      <c r="B844" t="s">
        <v>11900</v>
      </c>
      <c r="C844" t="s">
        <v>74</v>
      </c>
      <c r="D844" t="s">
        <v>74</v>
      </c>
      <c r="E844" t="s">
        <v>74</v>
      </c>
      <c r="F844" t="s">
        <v>11901</v>
      </c>
      <c r="G844" t="s">
        <v>74</v>
      </c>
      <c r="H844" t="s">
        <v>74</v>
      </c>
      <c r="I844" t="s">
        <v>11902</v>
      </c>
      <c r="J844" t="s">
        <v>216</v>
      </c>
      <c r="K844" t="s">
        <v>74</v>
      </c>
      <c r="L844" t="s">
        <v>74</v>
      </c>
      <c r="M844" t="s">
        <v>78</v>
      </c>
      <c r="N844" t="s">
        <v>460</v>
      </c>
      <c r="O844" t="s">
        <v>74</v>
      </c>
      <c r="P844" t="s">
        <v>74</v>
      </c>
      <c r="Q844" t="s">
        <v>74</v>
      </c>
      <c r="R844" t="s">
        <v>74</v>
      </c>
      <c r="S844" t="s">
        <v>74</v>
      </c>
      <c r="T844" t="s">
        <v>74</v>
      </c>
      <c r="U844" t="s">
        <v>11903</v>
      </c>
      <c r="V844" t="s">
        <v>74</v>
      </c>
      <c r="W844" t="s">
        <v>11904</v>
      </c>
      <c r="X844" t="s">
        <v>11905</v>
      </c>
      <c r="Y844" t="s">
        <v>11158</v>
      </c>
      <c r="Z844" t="s">
        <v>9405</v>
      </c>
      <c r="AA844" t="s">
        <v>11906</v>
      </c>
      <c r="AB844" t="s">
        <v>11907</v>
      </c>
      <c r="AC844" t="s">
        <v>74</v>
      </c>
      <c r="AD844" t="s">
        <v>74</v>
      </c>
      <c r="AE844" t="s">
        <v>74</v>
      </c>
      <c r="AF844" t="s">
        <v>74</v>
      </c>
      <c r="AG844">
        <v>13</v>
      </c>
      <c r="AH844">
        <v>10</v>
      </c>
      <c r="AI844">
        <v>11</v>
      </c>
      <c r="AJ844">
        <v>0</v>
      </c>
      <c r="AK844">
        <v>3</v>
      </c>
      <c r="AL844" t="s">
        <v>219</v>
      </c>
      <c r="AM844" t="s">
        <v>220</v>
      </c>
      <c r="AN844" t="s">
        <v>221</v>
      </c>
      <c r="AO844" t="s">
        <v>222</v>
      </c>
      <c r="AP844" t="s">
        <v>223</v>
      </c>
      <c r="AQ844" t="s">
        <v>74</v>
      </c>
      <c r="AR844" t="s">
        <v>224</v>
      </c>
      <c r="AS844" t="s">
        <v>225</v>
      </c>
      <c r="AT844" t="s">
        <v>226</v>
      </c>
      <c r="AU844">
        <v>2015</v>
      </c>
      <c r="AV844">
        <v>46</v>
      </c>
      <c r="AW844">
        <v>6</v>
      </c>
      <c r="AX844" t="s">
        <v>74</v>
      </c>
      <c r="AY844" t="s">
        <v>74</v>
      </c>
      <c r="AZ844" t="s">
        <v>74</v>
      </c>
      <c r="BA844" t="s">
        <v>74</v>
      </c>
      <c r="BB844">
        <v>1851</v>
      </c>
      <c r="BC844">
        <v>1853</v>
      </c>
      <c r="BD844" t="s">
        <v>74</v>
      </c>
      <c r="BE844" t="s">
        <v>11908</v>
      </c>
      <c r="BF844" t="str">
        <f>HYPERLINK("http://dx.doi.org/10.1183/13993003.01376-2015","http://dx.doi.org/10.1183/13993003.01376-2015")</f>
        <v>http://dx.doi.org/10.1183/13993003.01376-2015</v>
      </c>
      <c r="BG844" t="s">
        <v>74</v>
      </c>
      <c r="BH844" t="s">
        <v>74</v>
      </c>
      <c r="BI844">
        <v>3</v>
      </c>
      <c r="BJ844" t="s">
        <v>228</v>
      </c>
      <c r="BK844" t="s">
        <v>101</v>
      </c>
      <c r="BL844" t="s">
        <v>228</v>
      </c>
      <c r="BM844" t="s">
        <v>11826</v>
      </c>
      <c r="BN844">
        <v>26621896</v>
      </c>
      <c r="BO844" t="s">
        <v>1194</v>
      </c>
      <c r="BP844" t="s">
        <v>74</v>
      </c>
      <c r="BQ844" t="s">
        <v>74</v>
      </c>
      <c r="BR844" t="s">
        <v>104</v>
      </c>
      <c r="BS844" t="s">
        <v>11909</v>
      </c>
      <c r="BT844" t="str">
        <f>HYPERLINK("https%3A%2F%2Fwww.webofscience.com%2Fwos%2Fwoscc%2Ffull-record%2FWOS:000366948700053","View Full Record in Web of Science")</f>
        <v>View Full Record in Web of Science</v>
      </c>
    </row>
    <row r="845" spans="1:72" x14ac:dyDescent="0.25">
      <c r="A845" t="s">
        <v>72</v>
      </c>
      <c r="B845" t="s">
        <v>11910</v>
      </c>
      <c r="C845" t="s">
        <v>74</v>
      </c>
      <c r="D845" t="s">
        <v>74</v>
      </c>
      <c r="E845" t="s">
        <v>74</v>
      </c>
      <c r="F845" t="s">
        <v>11911</v>
      </c>
      <c r="G845" t="s">
        <v>74</v>
      </c>
      <c r="H845" t="s">
        <v>74</v>
      </c>
      <c r="I845" t="s">
        <v>11912</v>
      </c>
      <c r="J845" t="s">
        <v>216</v>
      </c>
      <c r="K845" t="s">
        <v>74</v>
      </c>
      <c r="L845" t="s">
        <v>74</v>
      </c>
      <c r="M845" t="s">
        <v>78</v>
      </c>
      <c r="N845" t="s">
        <v>217</v>
      </c>
      <c r="O845" t="s">
        <v>74</v>
      </c>
      <c r="P845" t="s">
        <v>74</v>
      </c>
      <c r="Q845" t="s">
        <v>74</v>
      </c>
      <c r="R845" t="s">
        <v>74</v>
      </c>
      <c r="S845" t="s">
        <v>74</v>
      </c>
      <c r="T845" t="s">
        <v>74</v>
      </c>
      <c r="U845" t="s">
        <v>74</v>
      </c>
      <c r="V845" t="s">
        <v>74</v>
      </c>
      <c r="W845" t="s">
        <v>74</v>
      </c>
      <c r="X845" t="s">
        <v>74</v>
      </c>
      <c r="Y845" t="s">
        <v>74</v>
      </c>
      <c r="Z845" t="s">
        <v>74</v>
      </c>
      <c r="AA845" t="s">
        <v>11913</v>
      </c>
      <c r="AB845" t="s">
        <v>11914</v>
      </c>
      <c r="AC845" t="s">
        <v>74</v>
      </c>
      <c r="AD845" t="s">
        <v>74</v>
      </c>
      <c r="AE845" t="s">
        <v>74</v>
      </c>
      <c r="AF845" t="s">
        <v>74</v>
      </c>
      <c r="AG845">
        <v>1</v>
      </c>
      <c r="AH845">
        <v>1</v>
      </c>
      <c r="AI845">
        <v>1</v>
      </c>
      <c r="AJ845">
        <v>0</v>
      </c>
      <c r="AK845">
        <v>2</v>
      </c>
      <c r="AL845" t="s">
        <v>219</v>
      </c>
      <c r="AM845" t="s">
        <v>220</v>
      </c>
      <c r="AN845" t="s">
        <v>221</v>
      </c>
      <c r="AO845" t="s">
        <v>222</v>
      </c>
      <c r="AP845" t="s">
        <v>223</v>
      </c>
      <c r="AQ845" t="s">
        <v>74</v>
      </c>
      <c r="AR845" t="s">
        <v>224</v>
      </c>
      <c r="AS845" t="s">
        <v>225</v>
      </c>
      <c r="AT845" t="s">
        <v>226</v>
      </c>
      <c r="AU845">
        <v>2015</v>
      </c>
      <c r="AV845">
        <v>46</v>
      </c>
      <c r="AW845">
        <v>6</v>
      </c>
      <c r="AX845" t="s">
        <v>74</v>
      </c>
      <c r="AY845" t="s">
        <v>74</v>
      </c>
      <c r="AZ845" t="s">
        <v>74</v>
      </c>
      <c r="BA845" t="s">
        <v>74</v>
      </c>
      <c r="BB845">
        <v>1854</v>
      </c>
      <c r="BC845">
        <v>1854</v>
      </c>
      <c r="BD845" t="s">
        <v>74</v>
      </c>
      <c r="BE845" t="s">
        <v>11915</v>
      </c>
      <c r="BF845" t="str">
        <f>HYPERLINK("http://dx.doi.org/10.1183/09031936.50057914","http://dx.doi.org/10.1183/09031936.50057914")</f>
        <v>http://dx.doi.org/10.1183/09031936.50057914</v>
      </c>
      <c r="BG845" t="s">
        <v>74</v>
      </c>
      <c r="BH845" t="s">
        <v>74</v>
      </c>
      <c r="BI845">
        <v>1</v>
      </c>
      <c r="BJ845" t="s">
        <v>228</v>
      </c>
      <c r="BK845" t="s">
        <v>101</v>
      </c>
      <c r="BL845" t="s">
        <v>228</v>
      </c>
      <c r="BM845" t="s">
        <v>11826</v>
      </c>
      <c r="BN845" t="s">
        <v>74</v>
      </c>
      <c r="BO845" t="s">
        <v>1194</v>
      </c>
      <c r="BP845" t="s">
        <v>74</v>
      </c>
      <c r="BQ845" t="s">
        <v>74</v>
      </c>
      <c r="BR845" t="s">
        <v>104</v>
      </c>
      <c r="BS845" t="s">
        <v>11916</v>
      </c>
      <c r="BT845" t="str">
        <f>HYPERLINK("https%3A%2F%2Fwww.webofscience.com%2Fwos%2Fwoscc%2Ffull-record%2FWOS:000366948700054","View Full Record in Web of Science")</f>
        <v>View Full Record in Web of Science</v>
      </c>
    </row>
    <row r="846" spans="1:72" x14ac:dyDescent="0.25">
      <c r="A846" t="s">
        <v>72</v>
      </c>
      <c r="B846" t="s">
        <v>11917</v>
      </c>
      <c r="C846" t="s">
        <v>74</v>
      </c>
      <c r="D846" t="s">
        <v>74</v>
      </c>
      <c r="E846" t="s">
        <v>74</v>
      </c>
      <c r="F846" t="s">
        <v>11918</v>
      </c>
      <c r="G846" t="s">
        <v>74</v>
      </c>
      <c r="H846" t="s">
        <v>74</v>
      </c>
      <c r="I846" t="s">
        <v>11919</v>
      </c>
      <c r="J846" t="s">
        <v>6978</v>
      </c>
      <c r="K846" t="s">
        <v>74</v>
      </c>
      <c r="L846" t="s">
        <v>74</v>
      </c>
      <c r="M846" t="s">
        <v>78</v>
      </c>
      <c r="N846" t="s">
        <v>52</v>
      </c>
      <c r="O846" t="s">
        <v>6979</v>
      </c>
      <c r="P846" t="s">
        <v>11920</v>
      </c>
      <c r="Q846" t="s">
        <v>6981</v>
      </c>
      <c r="R846" t="s">
        <v>6982</v>
      </c>
      <c r="S846" t="s">
        <v>74</v>
      </c>
      <c r="T846" t="s">
        <v>74</v>
      </c>
      <c r="U846" t="s">
        <v>74</v>
      </c>
      <c r="V846" t="s">
        <v>74</v>
      </c>
      <c r="W846" t="s">
        <v>11921</v>
      </c>
      <c r="X846" t="s">
        <v>11922</v>
      </c>
      <c r="Y846" t="s">
        <v>74</v>
      </c>
      <c r="Z846" t="s">
        <v>74</v>
      </c>
      <c r="AA846" t="s">
        <v>11923</v>
      </c>
      <c r="AB846" t="s">
        <v>11924</v>
      </c>
      <c r="AC846" t="s">
        <v>11925</v>
      </c>
      <c r="AD846" t="s">
        <v>5907</v>
      </c>
      <c r="AE846" t="s">
        <v>74</v>
      </c>
      <c r="AF846" t="s">
        <v>74</v>
      </c>
      <c r="AG846">
        <v>0</v>
      </c>
      <c r="AH846">
        <v>0</v>
      </c>
      <c r="AI846">
        <v>0</v>
      </c>
      <c r="AJ846">
        <v>0</v>
      </c>
      <c r="AK846">
        <v>1</v>
      </c>
      <c r="AL846" t="s">
        <v>2590</v>
      </c>
      <c r="AM846" t="s">
        <v>201</v>
      </c>
      <c r="AN846" t="s">
        <v>2591</v>
      </c>
      <c r="AO846" t="s">
        <v>6985</v>
      </c>
      <c r="AP846" t="s">
        <v>6986</v>
      </c>
      <c r="AQ846" t="s">
        <v>74</v>
      </c>
      <c r="AR846" t="s">
        <v>6978</v>
      </c>
      <c r="AS846" t="s">
        <v>6987</v>
      </c>
      <c r="AT846" t="s">
        <v>226</v>
      </c>
      <c r="AU846">
        <v>2015</v>
      </c>
      <c r="AV846">
        <v>70</v>
      </c>
      <c r="AW846" t="s">
        <v>74</v>
      </c>
      <c r="AX846" t="s">
        <v>74</v>
      </c>
      <c r="AY846">
        <v>3</v>
      </c>
      <c r="AZ846" t="s">
        <v>74</v>
      </c>
      <c r="BA846" t="s">
        <v>11926</v>
      </c>
      <c r="BB846" t="s">
        <v>11927</v>
      </c>
      <c r="BC846" t="s">
        <v>11928</v>
      </c>
      <c r="BD846" t="s">
        <v>74</v>
      </c>
      <c r="BE846" t="s">
        <v>11929</v>
      </c>
      <c r="BF846" t="str">
        <f>HYPERLINK("http://dx.doi.org/10.1136/thoraxjnl-2015-207770.12","http://dx.doi.org/10.1136/thoraxjnl-2015-207770.12")</f>
        <v>http://dx.doi.org/10.1136/thoraxjnl-2015-207770.12</v>
      </c>
      <c r="BG846" t="s">
        <v>74</v>
      </c>
      <c r="BH846" t="s">
        <v>74</v>
      </c>
      <c r="BI846">
        <v>3</v>
      </c>
      <c r="BJ846" t="s">
        <v>228</v>
      </c>
      <c r="BK846" t="s">
        <v>512</v>
      </c>
      <c r="BL846" t="s">
        <v>228</v>
      </c>
      <c r="BM846" t="s">
        <v>11930</v>
      </c>
      <c r="BN846" t="s">
        <v>74</v>
      </c>
      <c r="BO846" t="s">
        <v>1908</v>
      </c>
      <c r="BP846" t="s">
        <v>74</v>
      </c>
      <c r="BQ846" t="s">
        <v>74</v>
      </c>
      <c r="BR846" t="s">
        <v>104</v>
      </c>
      <c r="BS846" t="s">
        <v>11931</v>
      </c>
      <c r="BT846" t="str">
        <f>HYPERLINK("https%3A%2F%2Fwww.webofscience.com%2Fwos%2Fwoscc%2Ffull-record%2FWOS:000365353600013","View Full Record in Web of Science")</f>
        <v>View Full Record in Web of Science</v>
      </c>
    </row>
    <row r="847" spans="1:72" x14ac:dyDescent="0.25">
      <c r="A847" t="s">
        <v>72</v>
      </c>
      <c r="B847" t="s">
        <v>11932</v>
      </c>
      <c r="C847" t="s">
        <v>74</v>
      </c>
      <c r="D847" t="s">
        <v>74</v>
      </c>
      <c r="E847" t="s">
        <v>74</v>
      </c>
      <c r="F847" t="s">
        <v>11933</v>
      </c>
      <c r="G847" t="s">
        <v>74</v>
      </c>
      <c r="H847" t="s">
        <v>74</v>
      </c>
      <c r="I847" t="s">
        <v>11934</v>
      </c>
      <c r="J847" t="s">
        <v>251</v>
      </c>
      <c r="K847" t="s">
        <v>74</v>
      </c>
      <c r="L847" t="s">
        <v>74</v>
      </c>
      <c r="M847" t="s">
        <v>78</v>
      </c>
      <c r="N847" t="s">
        <v>52</v>
      </c>
      <c r="O847" t="s">
        <v>11935</v>
      </c>
      <c r="P847" t="s">
        <v>11936</v>
      </c>
      <c r="Q847" t="s">
        <v>7703</v>
      </c>
      <c r="R847" t="s">
        <v>1376</v>
      </c>
      <c r="S847" t="s">
        <v>74</v>
      </c>
      <c r="T847" t="s">
        <v>11937</v>
      </c>
      <c r="U847" t="s">
        <v>74</v>
      </c>
      <c r="V847" t="s">
        <v>74</v>
      </c>
      <c r="W847" t="s">
        <v>74</v>
      </c>
      <c r="X847" t="s">
        <v>74</v>
      </c>
      <c r="Y847" t="s">
        <v>74</v>
      </c>
      <c r="Z847" t="s">
        <v>74</v>
      </c>
      <c r="AA847" t="s">
        <v>11938</v>
      </c>
      <c r="AB847" t="s">
        <v>11939</v>
      </c>
      <c r="AC847" t="s">
        <v>74</v>
      </c>
      <c r="AD847" t="s">
        <v>74</v>
      </c>
      <c r="AE847" t="s">
        <v>74</v>
      </c>
      <c r="AF847" t="s">
        <v>74</v>
      </c>
      <c r="AG847">
        <v>0</v>
      </c>
      <c r="AH847">
        <v>0</v>
      </c>
      <c r="AI847">
        <v>0</v>
      </c>
      <c r="AJ847">
        <v>0</v>
      </c>
      <c r="AK847">
        <v>0</v>
      </c>
      <c r="AL847" t="s">
        <v>122</v>
      </c>
      <c r="AM847" t="s">
        <v>123</v>
      </c>
      <c r="AN847" t="s">
        <v>124</v>
      </c>
      <c r="AO847" t="s">
        <v>258</v>
      </c>
      <c r="AP847" t="s">
        <v>259</v>
      </c>
      <c r="AQ847" t="s">
        <v>74</v>
      </c>
      <c r="AR847" t="s">
        <v>251</v>
      </c>
      <c r="AS847" t="s">
        <v>260</v>
      </c>
      <c r="AT847" t="s">
        <v>11940</v>
      </c>
      <c r="AU847">
        <v>2015</v>
      </c>
      <c r="AV847">
        <v>132</v>
      </c>
      <c r="AW847" t="s">
        <v>74</v>
      </c>
      <c r="AX847" t="s">
        <v>74</v>
      </c>
      <c r="AY847">
        <v>3</v>
      </c>
      <c r="AZ847" t="s">
        <v>74</v>
      </c>
      <c r="BA847">
        <v>12841</v>
      </c>
      <c r="BB847" t="s">
        <v>74</v>
      </c>
      <c r="BC847" t="s">
        <v>74</v>
      </c>
      <c r="BD847" t="s">
        <v>74</v>
      </c>
      <c r="BE847" t="s">
        <v>74</v>
      </c>
      <c r="BF847" t="s">
        <v>74</v>
      </c>
      <c r="BG847" t="s">
        <v>74</v>
      </c>
      <c r="BH847" t="s">
        <v>74</v>
      </c>
      <c r="BI847">
        <v>4</v>
      </c>
      <c r="BJ847" t="s">
        <v>263</v>
      </c>
      <c r="BK847" t="s">
        <v>512</v>
      </c>
      <c r="BL847" t="s">
        <v>133</v>
      </c>
      <c r="BM847" t="s">
        <v>11941</v>
      </c>
      <c r="BN847" t="s">
        <v>74</v>
      </c>
      <c r="BO847" t="s">
        <v>74</v>
      </c>
      <c r="BP847" t="s">
        <v>74</v>
      </c>
      <c r="BQ847" t="s">
        <v>74</v>
      </c>
      <c r="BR847" t="s">
        <v>104</v>
      </c>
      <c r="BS847" t="s">
        <v>11942</v>
      </c>
      <c r="BT847" t="str">
        <f>HYPERLINK("https%3A%2F%2Fwww.webofscience.com%2Fwos%2Fwoscc%2Ffull-record%2FWOS:000381010605074","View Full Record in Web of Science")</f>
        <v>View Full Record in Web of Science</v>
      </c>
    </row>
    <row r="848" spans="1:72" x14ac:dyDescent="0.25">
      <c r="A848" t="s">
        <v>72</v>
      </c>
      <c r="B848" t="s">
        <v>11943</v>
      </c>
      <c r="C848" t="s">
        <v>74</v>
      </c>
      <c r="D848" t="s">
        <v>74</v>
      </c>
      <c r="E848" t="s">
        <v>74</v>
      </c>
      <c r="F848" t="s">
        <v>11944</v>
      </c>
      <c r="G848" t="s">
        <v>74</v>
      </c>
      <c r="H848" t="s">
        <v>74</v>
      </c>
      <c r="I848" t="s">
        <v>11945</v>
      </c>
      <c r="J848" t="s">
        <v>251</v>
      </c>
      <c r="K848" t="s">
        <v>74</v>
      </c>
      <c r="L848" t="s">
        <v>74</v>
      </c>
      <c r="M848" t="s">
        <v>78</v>
      </c>
      <c r="N848" t="s">
        <v>52</v>
      </c>
      <c r="O848" t="s">
        <v>11935</v>
      </c>
      <c r="P848" t="s">
        <v>11936</v>
      </c>
      <c r="Q848" t="s">
        <v>7703</v>
      </c>
      <c r="R848" t="s">
        <v>1376</v>
      </c>
      <c r="S848" t="s">
        <v>74</v>
      </c>
      <c r="T848" t="s">
        <v>11946</v>
      </c>
      <c r="U848" t="s">
        <v>74</v>
      </c>
      <c r="V848" t="s">
        <v>74</v>
      </c>
      <c r="W848" t="s">
        <v>74</v>
      </c>
      <c r="X848" t="s">
        <v>74</v>
      </c>
      <c r="Y848" t="s">
        <v>74</v>
      </c>
      <c r="Z848" t="s">
        <v>74</v>
      </c>
      <c r="AA848" t="s">
        <v>11947</v>
      </c>
      <c r="AB848" t="s">
        <v>11948</v>
      </c>
      <c r="AC848" t="s">
        <v>74</v>
      </c>
      <c r="AD848" t="s">
        <v>74</v>
      </c>
      <c r="AE848" t="s">
        <v>74</v>
      </c>
      <c r="AF848" t="s">
        <v>74</v>
      </c>
      <c r="AG848">
        <v>0</v>
      </c>
      <c r="AH848">
        <v>0</v>
      </c>
      <c r="AI848">
        <v>0</v>
      </c>
      <c r="AJ848">
        <v>0</v>
      </c>
      <c r="AK848">
        <v>1</v>
      </c>
      <c r="AL848" t="s">
        <v>122</v>
      </c>
      <c r="AM848" t="s">
        <v>123</v>
      </c>
      <c r="AN848" t="s">
        <v>124</v>
      </c>
      <c r="AO848" t="s">
        <v>258</v>
      </c>
      <c r="AP848" t="s">
        <v>259</v>
      </c>
      <c r="AQ848" t="s">
        <v>74</v>
      </c>
      <c r="AR848" t="s">
        <v>251</v>
      </c>
      <c r="AS848" t="s">
        <v>260</v>
      </c>
      <c r="AT848" t="s">
        <v>11940</v>
      </c>
      <c r="AU848">
        <v>2015</v>
      </c>
      <c r="AV848">
        <v>132</v>
      </c>
      <c r="AW848" t="s">
        <v>74</v>
      </c>
      <c r="AX848" t="s">
        <v>74</v>
      </c>
      <c r="AY848">
        <v>3</v>
      </c>
      <c r="AZ848" t="s">
        <v>74</v>
      </c>
      <c r="BA848">
        <v>12334</v>
      </c>
      <c r="BB848" t="s">
        <v>74</v>
      </c>
      <c r="BC848" t="s">
        <v>74</v>
      </c>
      <c r="BD848" t="s">
        <v>74</v>
      </c>
      <c r="BE848" t="s">
        <v>74</v>
      </c>
      <c r="BF848" t="s">
        <v>74</v>
      </c>
      <c r="BG848" t="s">
        <v>74</v>
      </c>
      <c r="BH848" t="s">
        <v>74</v>
      </c>
      <c r="BI848">
        <v>4</v>
      </c>
      <c r="BJ848" t="s">
        <v>263</v>
      </c>
      <c r="BK848" t="s">
        <v>512</v>
      </c>
      <c r="BL848" t="s">
        <v>133</v>
      </c>
      <c r="BM848" t="s">
        <v>11941</v>
      </c>
      <c r="BN848" t="s">
        <v>74</v>
      </c>
      <c r="BO848" t="s">
        <v>74</v>
      </c>
      <c r="BP848" t="s">
        <v>74</v>
      </c>
      <c r="BQ848" t="s">
        <v>74</v>
      </c>
      <c r="BR848" t="s">
        <v>104</v>
      </c>
      <c r="BS848" t="s">
        <v>11949</v>
      </c>
      <c r="BT848" t="str">
        <f>HYPERLINK("https%3A%2F%2Fwww.webofscience.com%2Fwos%2Fwoscc%2Ffull-record%2FWOS:000381010605075","View Full Record in Web of Science")</f>
        <v>View Full Record in Web of Science</v>
      </c>
    </row>
    <row r="849" spans="1:72" x14ac:dyDescent="0.25">
      <c r="A849" t="s">
        <v>72</v>
      </c>
      <c r="B849" t="s">
        <v>11950</v>
      </c>
      <c r="C849" t="s">
        <v>74</v>
      </c>
      <c r="D849" t="s">
        <v>74</v>
      </c>
      <c r="E849" t="s">
        <v>74</v>
      </c>
      <c r="F849" t="s">
        <v>11951</v>
      </c>
      <c r="G849" t="s">
        <v>74</v>
      </c>
      <c r="H849" t="s">
        <v>74</v>
      </c>
      <c r="I849" t="s">
        <v>11952</v>
      </c>
      <c r="J849" t="s">
        <v>5624</v>
      </c>
      <c r="K849" t="s">
        <v>74</v>
      </c>
      <c r="L849" t="s">
        <v>74</v>
      </c>
      <c r="M849" t="s">
        <v>78</v>
      </c>
      <c r="N849" t="s">
        <v>79</v>
      </c>
      <c r="O849" t="s">
        <v>74</v>
      </c>
      <c r="P849" t="s">
        <v>74</v>
      </c>
      <c r="Q849" t="s">
        <v>74</v>
      </c>
      <c r="R849" t="s">
        <v>74</v>
      </c>
      <c r="S849" t="s">
        <v>74</v>
      </c>
      <c r="T849" t="s">
        <v>11953</v>
      </c>
      <c r="U849" t="s">
        <v>11954</v>
      </c>
      <c r="V849" t="s">
        <v>11955</v>
      </c>
      <c r="W849" t="s">
        <v>11956</v>
      </c>
      <c r="X849" t="s">
        <v>11957</v>
      </c>
      <c r="Y849" t="s">
        <v>11958</v>
      </c>
      <c r="Z849" t="s">
        <v>4563</v>
      </c>
      <c r="AA849" t="s">
        <v>11959</v>
      </c>
      <c r="AB849" t="s">
        <v>11960</v>
      </c>
      <c r="AC849" t="s">
        <v>11961</v>
      </c>
      <c r="AD849" t="s">
        <v>11962</v>
      </c>
      <c r="AE849" t="s">
        <v>11963</v>
      </c>
      <c r="AF849" t="s">
        <v>74</v>
      </c>
      <c r="AG849">
        <v>155</v>
      </c>
      <c r="AH849">
        <v>161</v>
      </c>
      <c r="AI849">
        <v>178</v>
      </c>
      <c r="AJ849">
        <v>1</v>
      </c>
      <c r="AK849">
        <v>169</v>
      </c>
      <c r="AL849" t="s">
        <v>169</v>
      </c>
      <c r="AM849" t="s">
        <v>170</v>
      </c>
      <c r="AN849" t="s">
        <v>171</v>
      </c>
      <c r="AO849" t="s">
        <v>5636</v>
      </c>
      <c r="AP849" t="s">
        <v>5637</v>
      </c>
      <c r="AQ849" t="s">
        <v>74</v>
      </c>
      <c r="AR849" t="s">
        <v>5624</v>
      </c>
      <c r="AS849" t="s">
        <v>601</v>
      </c>
      <c r="AT849" t="s">
        <v>315</v>
      </c>
      <c r="AU849">
        <v>2015</v>
      </c>
      <c r="AV849">
        <v>70</v>
      </c>
      <c r="AW849">
        <v>11</v>
      </c>
      <c r="AX849" t="s">
        <v>74</v>
      </c>
      <c r="AY849" t="s">
        <v>74</v>
      </c>
      <c r="AZ849" t="s">
        <v>74</v>
      </c>
      <c r="BA849" t="s">
        <v>74</v>
      </c>
      <c r="BB849">
        <v>1372</v>
      </c>
      <c r="BC849">
        <v>1392</v>
      </c>
      <c r="BD849" t="s">
        <v>74</v>
      </c>
      <c r="BE849" t="s">
        <v>11964</v>
      </c>
      <c r="BF849" t="str">
        <f>HYPERLINK("http://dx.doi.org/10.1111/all.12686","http://dx.doi.org/10.1111/all.12686")</f>
        <v>http://dx.doi.org/10.1111/all.12686</v>
      </c>
      <c r="BG849" t="s">
        <v>74</v>
      </c>
      <c r="BH849" t="s">
        <v>74</v>
      </c>
      <c r="BI849">
        <v>21</v>
      </c>
      <c r="BJ849" t="s">
        <v>3085</v>
      </c>
      <c r="BK849" t="s">
        <v>101</v>
      </c>
      <c r="BL849" t="s">
        <v>3085</v>
      </c>
      <c r="BM849" t="s">
        <v>11965</v>
      </c>
      <c r="BN849">
        <v>26148220</v>
      </c>
      <c r="BO849" t="s">
        <v>11966</v>
      </c>
      <c r="BP849" t="s">
        <v>74</v>
      </c>
      <c r="BQ849" t="s">
        <v>74</v>
      </c>
      <c r="BR849" t="s">
        <v>104</v>
      </c>
      <c r="BS849" t="s">
        <v>11967</v>
      </c>
      <c r="BT849" t="str">
        <f>HYPERLINK("https%3A%2F%2Fwww.webofscience.com%2Fwos%2Fwoscc%2Ffull-record%2FWOS:000363329400003","View Full Record in Web of Science")</f>
        <v>View Full Record in Web of Science</v>
      </c>
    </row>
    <row r="850" spans="1:72" x14ac:dyDescent="0.25">
      <c r="A850" t="s">
        <v>72</v>
      </c>
      <c r="B850" t="s">
        <v>11060</v>
      </c>
      <c r="C850" t="s">
        <v>74</v>
      </c>
      <c r="D850" t="s">
        <v>74</v>
      </c>
      <c r="E850" t="s">
        <v>74</v>
      </c>
      <c r="F850" t="s">
        <v>11061</v>
      </c>
      <c r="G850" t="s">
        <v>74</v>
      </c>
      <c r="H850" t="s">
        <v>74</v>
      </c>
      <c r="I850" t="s">
        <v>11968</v>
      </c>
      <c r="J850" t="s">
        <v>11031</v>
      </c>
      <c r="K850" t="s">
        <v>74</v>
      </c>
      <c r="L850" t="s">
        <v>74</v>
      </c>
      <c r="M850" t="s">
        <v>78</v>
      </c>
      <c r="N850" t="s">
        <v>79</v>
      </c>
      <c r="O850" t="s">
        <v>74</v>
      </c>
      <c r="P850" t="s">
        <v>74</v>
      </c>
      <c r="Q850" t="s">
        <v>74</v>
      </c>
      <c r="R850" t="s">
        <v>74</v>
      </c>
      <c r="S850" t="s">
        <v>74</v>
      </c>
      <c r="T850" t="s">
        <v>74</v>
      </c>
      <c r="U850" t="s">
        <v>11969</v>
      </c>
      <c r="V850" t="s">
        <v>11970</v>
      </c>
      <c r="W850" t="s">
        <v>11971</v>
      </c>
      <c r="X850" t="s">
        <v>11972</v>
      </c>
      <c r="Y850" t="s">
        <v>11973</v>
      </c>
      <c r="Z850" t="s">
        <v>331</v>
      </c>
      <c r="AA850" t="s">
        <v>11974</v>
      </c>
      <c r="AB850" t="s">
        <v>11975</v>
      </c>
      <c r="AC850" t="s">
        <v>74</v>
      </c>
      <c r="AD850" t="s">
        <v>74</v>
      </c>
      <c r="AE850" t="s">
        <v>74</v>
      </c>
      <c r="AF850" t="s">
        <v>74</v>
      </c>
      <c r="AG850">
        <v>36</v>
      </c>
      <c r="AH850">
        <v>50</v>
      </c>
      <c r="AI850">
        <v>59</v>
      </c>
      <c r="AJ850">
        <v>0</v>
      </c>
      <c r="AK850">
        <v>0</v>
      </c>
      <c r="AL850" t="s">
        <v>122</v>
      </c>
      <c r="AM850" t="s">
        <v>123</v>
      </c>
      <c r="AN850" t="s">
        <v>124</v>
      </c>
      <c r="AO850" t="s">
        <v>11040</v>
      </c>
      <c r="AP850" t="s">
        <v>11041</v>
      </c>
      <c r="AQ850" t="s">
        <v>74</v>
      </c>
      <c r="AR850" t="s">
        <v>11031</v>
      </c>
      <c r="AS850" t="s">
        <v>11042</v>
      </c>
      <c r="AT850" t="s">
        <v>315</v>
      </c>
      <c r="AU850">
        <v>2015</v>
      </c>
      <c r="AV850">
        <v>94</v>
      </c>
      <c r="AW850">
        <v>44</v>
      </c>
      <c r="AX850" t="s">
        <v>74</v>
      </c>
      <c r="AY850" t="s">
        <v>74</v>
      </c>
      <c r="AZ850" t="s">
        <v>74</v>
      </c>
      <c r="BA850" t="s">
        <v>74</v>
      </c>
      <c r="BB850" t="s">
        <v>74</v>
      </c>
      <c r="BC850" t="s">
        <v>74</v>
      </c>
      <c r="BD850" t="s">
        <v>11976</v>
      </c>
      <c r="BE850" t="s">
        <v>11977</v>
      </c>
      <c r="BF850" t="str">
        <f>HYPERLINK("http://dx.doi.org/10.1097/MD.0000000000001800","http://dx.doi.org/10.1097/MD.0000000000001800")</f>
        <v>http://dx.doi.org/10.1097/MD.0000000000001800</v>
      </c>
      <c r="BG850" t="s">
        <v>74</v>
      </c>
      <c r="BH850" t="s">
        <v>74</v>
      </c>
      <c r="BI850">
        <v>9</v>
      </c>
      <c r="BJ850" t="s">
        <v>1152</v>
      </c>
      <c r="BK850" t="s">
        <v>101</v>
      </c>
      <c r="BL850" t="s">
        <v>1153</v>
      </c>
      <c r="BM850" t="s">
        <v>11978</v>
      </c>
      <c r="BN850">
        <v>26554778</v>
      </c>
      <c r="BO850" t="s">
        <v>809</v>
      </c>
      <c r="BP850" t="s">
        <v>74</v>
      </c>
      <c r="BQ850" t="s">
        <v>74</v>
      </c>
      <c r="BR850" t="s">
        <v>104</v>
      </c>
      <c r="BS850" t="s">
        <v>11979</v>
      </c>
      <c r="BT850" t="str">
        <f>HYPERLINK("https%3A%2F%2Fwww.webofscience.com%2Fwos%2Fwoscc%2Ffull-record%2FWOS:000369536100018","View Full Record in Web of Science")</f>
        <v>View Full Record in Web of Science</v>
      </c>
    </row>
    <row r="851" spans="1:72" x14ac:dyDescent="0.25">
      <c r="A851" t="s">
        <v>72</v>
      </c>
      <c r="B851" t="s">
        <v>11980</v>
      </c>
      <c r="C851" t="s">
        <v>74</v>
      </c>
      <c r="D851" t="s">
        <v>74</v>
      </c>
      <c r="E851" t="s">
        <v>74</v>
      </c>
      <c r="F851" t="s">
        <v>11981</v>
      </c>
      <c r="G851" t="s">
        <v>74</v>
      </c>
      <c r="H851" t="s">
        <v>74</v>
      </c>
      <c r="I851" t="s">
        <v>11982</v>
      </c>
      <c r="J851" t="s">
        <v>9067</v>
      </c>
      <c r="K851" t="s">
        <v>74</v>
      </c>
      <c r="L851" t="s">
        <v>74</v>
      </c>
      <c r="M851" t="s">
        <v>78</v>
      </c>
      <c r="N851" t="s">
        <v>460</v>
      </c>
      <c r="O851" t="s">
        <v>74</v>
      </c>
      <c r="P851" t="s">
        <v>74</v>
      </c>
      <c r="Q851" t="s">
        <v>74</v>
      </c>
      <c r="R851" t="s">
        <v>74</v>
      </c>
      <c r="S851" t="s">
        <v>74</v>
      </c>
      <c r="T851" t="s">
        <v>74</v>
      </c>
      <c r="U851" t="s">
        <v>11983</v>
      </c>
      <c r="V851" t="s">
        <v>74</v>
      </c>
      <c r="W851" t="s">
        <v>11984</v>
      </c>
      <c r="X851" t="s">
        <v>11985</v>
      </c>
      <c r="Y851" t="s">
        <v>74</v>
      </c>
      <c r="Z851" t="s">
        <v>7431</v>
      </c>
      <c r="AA851" t="s">
        <v>11986</v>
      </c>
      <c r="AB851" t="s">
        <v>11987</v>
      </c>
      <c r="AC851" t="s">
        <v>74</v>
      </c>
      <c r="AD851" t="s">
        <v>74</v>
      </c>
      <c r="AE851" t="s">
        <v>74</v>
      </c>
      <c r="AF851" t="s">
        <v>74</v>
      </c>
      <c r="AG851">
        <v>5</v>
      </c>
      <c r="AH851">
        <v>7</v>
      </c>
      <c r="AI851">
        <v>8</v>
      </c>
      <c r="AJ851">
        <v>0</v>
      </c>
      <c r="AK851">
        <v>2</v>
      </c>
      <c r="AL851" t="s">
        <v>991</v>
      </c>
      <c r="AM851" t="s">
        <v>486</v>
      </c>
      <c r="AN851" t="s">
        <v>8530</v>
      </c>
      <c r="AO851" t="s">
        <v>9073</v>
      </c>
      <c r="AP851" t="s">
        <v>9074</v>
      </c>
      <c r="AQ851" t="s">
        <v>74</v>
      </c>
      <c r="AR851" t="s">
        <v>9075</v>
      </c>
      <c r="AS851" t="s">
        <v>9076</v>
      </c>
      <c r="AT851" t="s">
        <v>1952</v>
      </c>
      <c r="AU851">
        <v>2015</v>
      </c>
      <c r="AV851">
        <v>66</v>
      </c>
      <c r="AW851">
        <v>17</v>
      </c>
      <c r="AX851" t="s">
        <v>74</v>
      </c>
      <c r="AY851" t="s">
        <v>74</v>
      </c>
      <c r="AZ851" t="s">
        <v>74</v>
      </c>
      <c r="BA851" t="s">
        <v>74</v>
      </c>
      <c r="BB851">
        <v>1942</v>
      </c>
      <c r="BC851">
        <v>1943</v>
      </c>
      <c r="BD851" t="s">
        <v>74</v>
      </c>
      <c r="BE851" t="s">
        <v>11988</v>
      </c>
      <c r="BF851" t="str">
        <f>HYPERLINK("http://dx.doi.org/10.1016/j.jacc.2015.08.869","http://dx.doi.org/10.1016/j.jacc.2015.08.869")</f>
        <v>http://dx.doi.org/10.1016/j.jacc.2015.08.869</v>
      </c>
      <c r="BG851" t="s">
        <v>74</v>
      </c>
      <c r="BH851" t="s">
        <v>74</v>
      </c>
      <c r="BI851">
        <v>2</v>
      </c>
      <c r="BJ851" t="s">
        <v>132</v>
      </c>
      <c r="BK851" t="s">
        <v>101</v>
      </c>
      <c r="BL851" t="s">
        <v>133</v>
      </c>
      <c r="BM851" t="s">
        <v>11989</v>
      </c>
      <c r="BN851">
        <v>26493667</v>
      </c>
      <c r="BO851" t="s">
        <v>1194</v>
      </c>
      <c r="BP851" t="s">
        <v>74</v>
      </c>
      <c r="BQ851" t="s">
        <v>74</v>
      </c>
      <c r="BR851" t="s">
        <v>104</v>
      </c>
      <c r="BS851" t="s">
        <v>11990</v>
      </c>
      <c r="BT851" t="str">
        <f>HYPERLINK("https%3A%2F%2Fwww.webofscience.com%2Fwos%2Fwoscc%2Ffull-record%2FWOS:000363329500013","View Full Record in Web of Science")</f>
        <v>View Full Record in Web of Science</v>
      </c>
    </row>
    <row r="852" spans="1:72" x14ac:dyDescent="0.25">
      <c r="A852" t="s">
        <v>72</v>
      </c>
      <c r="B852" t="s">
        <v>11991</v>
      </c>
      <c r="C852" t="s">
        <v>74</v>
      </c>
      <c r="D852" t="s">
        <v>74</v>
      </c>
      <c r="E852" t="s">
        <v>74</v>
      </c>
      <c r="F852" t="s">
        <v>11992</v>
      </c>
      <c r="G852" t="s">
        <v>74</v>
      </c>
      <c r="H852" t="s">
        <v>74</v>
      </c>
      <c r="I852" t="s">
        <v>11993</v>
      </c>
      <c r="J852" t="s">
        <v>637</v>
      </c>
      <c r="K852" t="s">
        <v>74</v>
      </c>
      <c r="L852" t="s">
        <v>74</v>
      </c>
      <c r="M852" t="s">
        <v>78</v>
      </c>
      <c r="N852" t="s">
        <v>79</v>
      </c>
      <c r="O852" t="s">
        <v>74</v>
      </c>
      <c r="P852" t="s">
        <v>74</v>
      </c>
      <c r="Q852" t="s">
        <v>74</v>
      </c>
      <c r="R852" t="s">
        <v>74</v>
      </c>
      <c r="S852" t="s">
        <v>74</v>
      </c>
      <c r="T852" t="s">
        <v>11994</v>
      </c>
      <c r="U852" t="s">
        <v>11995</v>
      </c>
      <c r="V852" t="s">
        <v>11996</v>
      </c>
      <c r="W852" t="s">
        <v>11997</v>
      </c>
      <c r="X852" t="s">
        <v>11998</v>
      </c>
      <c r="Y852" t="s">
        <v>11999</v>
      </c>
      <c r="Z852" t="s">
        <v>276</v>
      </c>
      <c r="AA852" t="s">
        <v>12000</v>
      </c>
      <c r="AB852" t="s">
        <v>12001</v>
      </c>
      <c r="AC852" t="s">
        <v>12002</v>
      </c>
      <c r="AD852" t="s">
        <v>12003</v>
      </c>
      <c r="AE852" t="s">
        <v>12004</v>
      </c>
      <c r="AF852" t="s">
        <v>74</v>
      </c>
      <c r="AG852">
        <v>42</v>
      </c>
      <c r="AH852">
        <v>151</v>
      </c>
      <c r="AI852">
        <v>154</v>
      </c>
      <c r="AJ852">
        <v>5</v>
      </c>
      <c r="AK852">
        <v>17</v>
      </c>
      <c r="AL852" t="s">
        <v>649</v>
      </c>
      <c r="AM852" t="s">
        <v>486</v>
      </c>
      <c r="AN852" t="s">
        <v>650</v>
      </c>
      <c r="AO852" t="s">
        <v>651</v>
      </c>
      <c r="AP852" t="s">
        <v>652</v>
      </c>
      <c r="AQ852" t="s">
        <v>74</v>
      </c>
      <c r="AR852" t="s">
        <v>653</v>
      </c>
      <c r="AS852" t="s">
        <v>654</v>
      </c>
      <c r="AT852" t="s">
        <v>8218</v>
      </c>
      <c r="AU852">
        <v>2015</v>
      </c>
      <c r="AV852">
        <v>192</v>
      </c>
      <c r="AW852">
        <v>8</v>
      </c>
      <c r="AX852" t="s">
        <v>74</v>
      </c>
      <c r="AY852" t="s">
        <v>74</v>
      </c>
      <c r="AZ852" t="s">
        <v>74</v>
      </c>
      <c r="BA852" t="s">
        <v>74</v>
      </c>
      <c r="BB852">
        <v>983</v>
      </c>
      <c r="BC852">
        <v>997</v>
      </c>
      <c r="BD852" t="s">
        <v>74</v>
      </c>
      <c r="BE852" t="s">
        <v>12005</v>
      </c>
      <c r="BF852" t="str">
        <f>HYPERLINK("http://dx.doi.org/10.1164/rccm.201402-0322OC","http://dx.doi.org/10.1164/rccm.201402-0322OC")</f>
        <v>http://dx.doi.org/10.1164/rccm.201402-0322OC</v>
      </c>
      <c r="BG852" t="s">
        <v>74</v>
      </c>
      <c r="BH852" t="s">
        <v>74</v>
      </c>
      <c r="BI852">
        <v>15</v>
      </c>
      <c r="BJ852" t="s">
        <v>341</v>
      </c>
      <c r="BK852" t="s">
        <v>101</v>
      </c>
      <c r="BL852" t="s">
        <v>342</v>
      </c>
      <c r="BM852" t="s">
        <v>12006</v>
      </c>
      <c r="BN852">
        <v>26203495</v>
      </c>
      <c r="BO852" t="s">
        <v>612</v>
      </c>
      <c r="BP852" t="s">
        <v>74</v>
      </c>
      <c r="BQ852" t="s">
        <v>74</v>
      </c>
      <c r="BR852" t="s">
        <v>104</v>
      </c>
      <c r="BS852" t="s">
        <v>12007</v>
      </c>
      <c r="BT852" t="str">
        <f>HYPERLINK("https%3A%2F%2Fwww.webofscience.com%2Fwos%2Fwoscc%2Ffull-record%2FWOS:000363359400014","View Full Record in Web of Science")</f>
        <v>View Full Record in Web of Science</v>
      </c>
    </row>
    <row r="853" spans="1:72" x14ac:dyDescent="0.25">
      <c r="A853" t="s">
        <v>72</v>
      </c>
      <c r="B853" t="s">
        <v>12008</v>
      </c>
      <c r="C853" t="s">
        <v>74</v>
      </c>
      <c r="D853" t="s">
        <v>74</v>
      </c>
      <c r="E853" t="s">
        <v>74</v>
      </c>
      <c r="F853" t="s">
        <v>12009</v>
      </c>
      <c r="G853" t="s">
        <v>74</v>
      </c>
      <c r="H853" t="s">
        <v>74</v>
      </c>
      <c r="I853" t="s">
        <v>12010</v>
      </c>
      <c r="J853" t="s">
        <v>1068</v>
      </c>
      <c r="K853" t="s">
        <v>74</v>
      </c>
      <c r="L853" t="s">
        <v>74</v>
      </c>
      <c r="M853" t="s">
        <v>78</v>
      </c>
      <c r="N853" t="s">
        <v>217</v>
      </c>
      <c r="O853" t="s">
        <v>74</v>
      </c>
      <c r="P853" t="s">
        <v>74</v>
      </c>
      <c r="Q853" t="s">
        <v>74</v>
      </c>
      <c r="R853" t="s">
        <v>74</v>
      </c>
      <c r="S853" t="s">
        <v>74</v>
      </c>
      <c r="T853" t="s">
        <v>74</v>
      </c>
      <c r="U853" t="s">
        <v>74</v>
      </c>
      <c r="V853" t="s">
        <v>74</v>
      </c>
      <c r="W853" t="s">
        <v>74</v>
      </c>
      <c r="X853" t="s">
        <v>74</v>
      </c>
      <c r="Y853" t="s">
        <v>74</v>
      </c>
      <c r="Z853" t="s">
        <v>74</v>
      </c>
      <c r="AA853" t="s">
        <v>12011</v>
      </c>
      <c r="AB853" t="s">
        <v>12012</v>
      </c>
      <c r="AC853" t="s">
        <v>74</v>
      </c>
      <c r="AD853" t="s">
        <v>74</v>
      </c>
      <c r="AE853" t="s">
        <v>74</v>
      </c>
      <c r="AF853" t="s">
        <v>74</v>
      </c>
      <c r="AG853">
        <v>1</v>
      </c>
      <c r="AH853">
        <v>34</v>
      </c>
      <c r="AI853">
        <v>49</v>
      </c>
      <c r="AJ853">
        <v>0</v>
      </c>
      <c r="AK853">
        <v>29</v>
      </c>
      <c r="AL853" t="s">
        <v>1073</v>
      </c>
      <c r="AM853" t="s">
        <v>1074</v>
      </c>
      <c r="AN853" t="s">
        <v>1075</v>
      </c>
      <c r="AO853" t="s">
        <v>1076</v>
      </c>
      <c r="AP853" t="s">
        <v>1077</v>
      </c>
      <c r="AQ853" t="s">
        <v>74</v>
      </c>
      <c r="AR853" t="s">
        <v>1078</v>
      </c>
      <c r="AS853" t="s">
        <v>1079</v>
      </c>
      <c r="AT853" t="s">
        <v>2777</v>
      </c>
      <c r="AU853">
        <v>2015</v>
      </c>
      <c r="AV853">
        <v>36</v>
      </c>
      <c r="AW853">
        <v>39</v>
      </c>
      <c r="AX853" t="s">
        <v>74</v>
      </c>
      <c r="AY853" t="s">
        <v>74</v>
      </c>
      <c r="AZ853" t="s">
        <v>74</v>
      </c>
      <c r="BA853" t="s">
        <v>74</v>
      </c>
      <c r="BB853">
        <v>2666</v>
      </c>
      <c r="BC853">
        <v>2666</v>
      </c>
      <c r="BD853" t="s">
        <v>74</v>
      </c>
      <c r="BE853" t="s">
        <v>12013</v>
      </c>
      <c r="BF853" t="str">
        <f>HYPERLINK("http://dx.doi.org/10.1093/eurheartj/ehv131","http://dx.doi.org/10.1093/eurheartj/ehv131")</f>
        <v>http://dx.doi.org/10.1093/eurheartj/ehv131</v>
      </c>
      <c r="BG853" t="s">
        <v>74</v>
      </c>
      <c r="BH853" t="s">
        <v>74</v>
      </c>
      <c r="BI853">
        <v>1</v>
      </c>
      <c r="BJ853" t="s">
        <v>132</v>
      </c>
      <c r="BK853" t="s">
        <v>101</v>
      </c>
      <c r="BL853" t="s">
        <v>133</v>
      </c>
      <c r="BM853" t="s">
        <v>12014</v>
      </c>
      <c r="BN853">
        <v>25896079</v>
      </c>
      <c r="BO853" t="s">
        <v>74</v>
      </c>
      <c r="BP853" t="s">
        <v>74</v>
      </c>
      <c r="BQ853" t="s">
        <v>74</v>
      </c>
      <c r="BR853" t="s">
        <v>104</v>
      </c>
      <c r="BS853" t="s">
        <v>12015</v>
      </c>
      <c r="BT853" t="str">
        <f>HYPERLINK("https%3A%2F%2Fwww.webofscience.com%2Fwos%2Fwoscc%2Ffull-record%2FWOS:000362824800017","View Full Record in Web of Science")</f>
        <v>View Full Record in Web of Science</v>
      </c>
    </row>
    <row r="854" spans="1:72" x14ac:dyDescent="0.25">
      <c r="A854" t="s">
        <v>72</v>
      </c>
      <c r="B854" t="s">
        <v>12016</v>
      </c>
      <c r="C854" t="s">
        <v>74</v>
      </c>
      <c r="D854" t="s">
        <v>74</v>
      </c>
      <c r="E854" t="s">
        <v>74</v>
      </c>
      <c r="F854" t="s">
        <v>12009</v>
      </c>
      <c r="G854" t="s">
        <v>74</v>
      </c>
      <c r="H854" t="s">
        <v>74</v>
      </c>
      <c r="I854" t="s">
        <v>12010</v>
      </c>
      <c r="J854" t="s">
        <v>1068</v>
      </c>
      <c r="K854" t="s">
        <v>74</v>
      </c>
      <c r="L854" t="s">
        <v>74</v>
      </c>
      <c r="M854" t="s">
        <v>78</v>
      </c>
      <c r="N854" t="s">
        <v>217</v>
      </c>
      <c r="O854" t="s">
        <v>74</v>
      </c>
      <c r="P854" t="s">
        <v>74</v>
      </c>
      <c r="Q854" t="s">
        <v>74</v>
      </c>
      <c r="R854" t="s">
        <v>74</v>
      </c>
      <c r="S854" t="s">
        <v>74</v>
      </c>
      <c r="T854" t="s">
        <v>74</v>
      </c>
      <c r="U854" t="s">
        <v>74</v>
      </c>
      <c r="V854" t="s">
        <v>74</v>
      </c>
      <c r="W854" t="s">
        <v>74</v>
      </c>
      <c r="X854" t="s">
        <v>74</v>
      </c>
      <c r="Y854" t="s">
        <v>74</v>
      </c>
      <c r="Z854" t="s">
        <v>74</v>
      </c>
      <c r="AA854" t="s">
        <v>12017</v>
      </c>
      <c r="AB854" t="s">
        <v>74</v>
      </c>
      <c r="AC854" t="s">
        <v>74</v>
      </c>
      <c r="AD854" t="s">
        <v>74</v>
      </c>
      <c r="AE854" t="s">
        <v>74</v>
      </c>
      <c r="AF854" t="s">
        <v>74</v>
      </c>
      <c r="AG854">
        <v>1</v>
      </c>
      <c r="AH854">
        <v>6</v>
      </c>
      <c r="AI854">
        <v>6</v>
      </c>
      <c r="AJ854">
        <v>0</v>
      </c>
      <c r="AK854">
        <v>17</v>
      </c>
      <c r="AL854" t="s">
        <v>1073</v>
      </c>
      <c r="AM854" t="s">
        <v>1074</v>
      </c>
      <c r="AN854" t="s">
        <v>1075</v>
      </c>
      <c r="AO854" t="s">
        <v>1076</v>
      </c>
      <c r="AP854" t="s">
        <v>1077</v>
      </c>
      <c r="AQ854" t="s">
        <v>74</v>
      </c>
      <c r="AR854" t="s">
        <v>1078</v>
      </c>
      <c r="AS854" t="s">
        <v>1079</v>
      </c>
      <c r="AT854" t="s">
        <v>2777</v>
      </c>
      <c r="AU854">
        <v>2015</v>
      </c>
      <c r="AV854">
        <v>36</v>
      </c>
      <c r="AW854">
        <v>39</v>
      </c>
      <c r="AX854" t="s">
        <v>74</v>
      </c>
      <c r="AY854" t="s">
        <v>74</v>
      </c>
      <c r="AZ854" t="s">
        <v>74</v>
      </c>
      <c r="BA854" t="s">
        <v>74</v>
      </c>
      <c r="BB854" t="s">
        <v>74</v>
      </c>
      <c r="BC854" t="s">
        <v>74</v>
      </c>
      <c r="BD854" t="s">
        <v>74</v>
      </c>
      <c r="BE854" t="s">
        <v>12018</v>
      </c>
      <c r="BF854" t="str">
        <f>HYPERLINK("http://dx.doi.org/10.1093/eurheartj/ehu479","http://dx.doi.org/10.1093/eurheartj/ehu479")</f>
        <v>http://dx.doi.org/10.1093/eurheartj/ehu479</v>
      </c>
      <c r="BG854" t="s">
        <v>74</v>
      </c>
      <c r="BH854" t="s">
        <v>74</v>
      </c>
      <c r="BI854">
        <v>1</v>
      </c>
      <c r="BJ854" t="s">
        <v>132</v>
      </c>
      <c r="BK854" t="s">
        <v>101</v>
      </c>
      <c r="BL854" t="s">
        <v>133</v>
      </c>
      <c r="BM854" t="s">
        <v>12014</v>
      </c>
      <c r="BN854" t="s">
        <v>74</v>
      </c>
      <c r="BO854" t="s">
        <v>2517</v>
      </c>
      <c r="BP854" t="s">
        <v>74</v>
      </c>
      <c r="BQ854" t="s">
        <v>74</v>
      </c>
      <c r="BR854" t="s">
        <v>104</v>
      </c>
      <c r="BS854" t="s">
        <v>12019</v>
      </c>
      <c r="BT854" t="str">
        <f>HYPERLINK("https%3A%2F%2Fwww.webofscience.com%2Fwos%2Fwoscc%2Ffull-record%2FWOS:000362824800010","View Full Record in Web of Science")</f>
        <v>View Full Record in Web of Science</v>
      </c>
    </row>
    <row r="855" spans="1:72" x14ac:dyDescent="0.25">
      <c r="A855" t="s">
        <v>72</v>
      </c>
      <c r="B855" t="s">
        <v>12020</v>
      </c>
      <c r="C855" t="s">
        <v>74</v>
      </c>
      <c r="D855" t="s">
        <v>74</v>
      </c>
      <c r="E855" t="s">
        <v>74</v>
      </c>
      <c r="F855" t="s">
        <v>12021</v>
      </c>
      <c r="G855" t="s">
        <v>74</v>
      </c>
      <c r="H855" t="s">
        <v>74</v>
      </c>
      <c r="I855" t="s">
        <v>12022</v>
      </c>
      <c r="J855" t="s">
        <v>1777</v>
      </c>
      <c r="K855" t="s">
        <v>74</v>
      </c>
      <c r="L855" t="s">
        <v>74</v>
      </c>
      <c r="M855" t="s">
        <v>78</v>
      </c>
      <c r="N855" t="s">
        <v>52</v>
      </c>
      <c r="O855" t="s">
        <v>74</v>
      </c>
      <c r="P855" t="s">
        <v>74</v>
      </c>
      <c r="Q855" t="s">
        <v>74</v>
      </c>
      <c r="R855" t="s">
        <v>74</v>
      </c>
      <c r="S855" t="s">
        <v>74</v>
      </c>
      <c r="T855" t="s">
        <v>74</v>
      </c>
      <c r="U855" t="s">
        <v>74</v>
      </c>
      <c r="V855" t="s">
        <v>74</v>
      </c>
      <c r="W855" t="s">
        <v>12023</v>
      </c>
      <c r="X855" t="s">
        <v>12024</v>
      </c>
      <c r="Y855" t="s">
        <v>74</v>
      </c>
      <c r="Z855" t="s">
        <v>74</v>
      </c>
      <c r="AA855" t="s">
        <v>12025</v>
      </c>
      <c r="AB855" t="s">
        <v>12026</v>
      </c>
      <c r="AC855" t="s">
        <v>74</v>
      </c>
      <c r="AD855" t="s">
        <v>74</v>
      </c>
      <c r="AE855" t="s">
        <v>74</v>
      </c>
      <c r="AF855" t="s">
        <v>74</v>
      </c>
      <c r="AG855">
        <v>0</v>
      </c>
      <c r="AH855">
        <v>0</v>
      </c>
      <c r="AI855">
        <v>0</v>
      </c>
      <c r="AJ855">
        <v>0</v>
      </c>
      <c r="AK855">
        <v>5</v>
      </c>
      <c r="AL855" t="s">
        <v>1781</v>
      </c>
      <c r="AM855" t="s">
        <v>1782</v>
      </c>
      <c r="AN855" t="s">
        <v>1783</v>
      </c>
      <c r="AO855" t="s">
        <v>1784</v>
      </c>
      <c r="AP855" t="s">
        <v>1785</v>
      </c>
      <c r="AQ855" t="s">
        <v>74</v>
      </c>
      <c r="AR855" t="s">
        <v>1777</v>
      </c>
      <c r="AS855" t="s">
        <v>1786</v>
      </c>
      <c r="AT855" t="s">
        <v>420</v>
      </c>
      <c r="AU855">
        <v>2015</v>
      </c>
      <c r="AV855">
        <v>18</v>
      </c>
      <c r="AW855">
        <v>4</v>
      </c>
      <c r="AX855" t="s">
        <v>74</v>
      </c>
      <c r="AY855" t="s">
        <v>74</v>
      </c>
      <c r="AZ855" t="s">
        <v>74</v>
      </c>
      <c r="BA855" t="s">
        <v>12027</v>
      </c>
      <c r="BB855">
        <v>536</v>
      </c>
      <c r="BC855">
        <v>536</v>
      </c>
      <c r="BD855" t="s">
        <v>74</v>
      </c>
      <c r="BE855" t="s">
        <v>74</v>
      </c>
      <c r="BF855" t="s">
        <v>74</v>
      </c>
      <c r="BG855" t="s">
        <v>74</v>
      </c>
      <c r="BH855" t="s">
        <v>74</v>
      </c>
      <c r="BI855">
        <v>1</v>
      </c>
      <c r="BJ855" t="s">
        <v>1789</v>
      </c>
      <c r="BK855" t="s">
        <v>101</v>
      </c>
      <c r="BL855" t="s">
        <v>133</v>
      </c>
      <c r="BM855" t="s">
        <v>12028</v>
      </c>
      <c r="BN855" t="s">
        <v>74</v>
      </c>
      <c r="BO855" t="s">
        <v>74</v>
      </c>
      <c r="BP855" t="s">
        <v>74</v>
      </c>
      <c r="BQ855" t="s">
        <v>74</v>
      </c>
      <c r="BR855" t="s">
        <v>104</v>
      </c>
      <c r="BS855" t="s">
        <v>12029</v>
      </c>
      <c r="BT855" t="str">
        <f>HYPERLINK("https%3A%2F%2Fwww.webofscience.com%2Fwos%2Fwoscc%2Ffull-record%2FWOS:000362683200038","View Full Record in Web of Science")</f>
        <v>View Full Record in Web of Science</v>
      </c>
    </row>
    <row r="856" spans="1:72" x14ac:dyDescent="0.25">
      <c r="A856" t="s">
        <v>72</v>
      </c>
      <c r="B856" t="s">
        <v>12030</v>
      </c>
      <c r="C856" t="s">
        <v>74</v>
      </c>
      <c r="D856" t="s">
        <v>74</v>
      </c>
      <c r="E856" t="s">
        <v>74</v>
      </c>
      <c r="F856" t="s">
        <v>12031</v>
      </c>
      <c r="G856" t="s">
        <v>74</v>
      </c>
      <c r="H856" t="s">
        <v>74</v>
      </c>
      <c r="I856" t="s">
        <v>12032</v>
      </c>
      <c r="J856" t="s">
        <v>4322</v>
      </c>
      <c r="K856" t="s">
        <v>74</v>
      </c>
      <c r="L856" t="s">
        <v>74</v>
      </c>
      <c r="M856" t="s">
        <v>78</v>
      </c>
      <c r="N856" t="s">
        <v>52</v>
      </c>
      <c r="O856" t="s">
        <v>12033</v>
      </c>
      <c r="P856" t="s">
        <v>12034</v>
      </c>
      <c r="Q856" t="s">
        <v>3360</v>
      </c>
      <c r="R856" t="s">
        <v>10882</v>
      </c>
      <c r="S856" t="s">
        <v>74</v>
      </c>
      <c r="T856" t="s">
        <v>74</v>
      </c>
      <c r="U856" t="s">
        <v>74</v>
      </c>
      <c r="V856" t="s">
        <v>74</v>
      </c>
      <c r="W856" t="s">
        <v>12035</v>
      </c>
      <c r="X856" t="s">
        <v>12036</v>
      </c>
      <c r="Y856" t="s">
        <v>74</v>
      </c>
      <c r="Z856" t="s">
        <v>74</v>
      </c>
      <c r="AA856" t="s">
        <v>12037</v>
      </c>
      <c r="AB856" t="s">
        <v>9300</v>
      </c>
      <c r="AC856" t="s">
        <v>74</v>
      </c>
      <c r="AD856" t="s">
        <v>74</v>
      </c>
      <c r="AE856" t="s">
        <v>74</v>
      </c>
      <c r="AF856" t="s">
        <v>74</v>
      </c>
      <c r="AG856">
        <v>0</v>
      </c>
      <c r="AH856">
        <v>1</v>
      </c>
      <c r="AI856">
        <v>1</v>
      </c>
      <c r="AJ856">
        <v>0</v>
      </c>
      <c r="AK856">
        <v>2</v>
      </c>
      <c r="AL856" t="s">
        <v>169</v>
      </c>
      <c r="AM856" t="s">
        <v>170</v>
      </c>
      <c r="AN856" t="s">
        <v>171</v>
      </c>
      <c r="AO856" t="s">
        <v>4329</v>
      </c>
      <c r="AP856" t="s">
        <v>4330</v>
      </c>
      <c r="AQ856" t="s">
        <v>74</v>
      </c>
      <c r="AR856" t="s">
        <v>4331</v>
      </c>
      <c r="AS856" t="s">
        <v>4332</v>
      </c>
      <c r="AT856" t="s">
        <v>420</v>
      </c>
      <c r="AU856">
        <v>2015</v>
      </c>
      <c r="AV856">
        <v>67</v>
      </c>
      <c r="AW856" t="s">
        <v>74</v>
      </c>
      <c r="AX856" t="s">
        <v>74</v>
      </c>
      <c r="AY856">
        <v>10</v>
      </c>
      <c r="AZ856" t="s">
        <v>74</v>
      </c>
      <c r="BA856">
        <v>3079</v>
      </c>
      <c r="BB856" t="s">
        <v>74</v>
      </c>
      <c r="BC856" t="s">
        <v>74</v>
      </c>
      <c r="BD856" t="s">
        <v>74</v>
      </c>
      <c r="BE856" t="s">
        <v>74</v>
      </c>
      <c r="BF856" t="s">
        <v>74</v>
      </c>
      <c r="BG856" t="s">
        <v>74</v>
      </c>
      <c r="BH856" t="s">
        <v>74</v>
      </c>
      <c r="BI856">
        <v>2</v>
      </c>
      <c r="BJ856" t="s">
        <v>2369</v>
      </c>
      <c r="BK856" t="s">
        <v>512</v>
      </c>
      <c r="BL856" t="s">
        <v>2369</v>
      </c>
      <c r="BM856" t="s">
        <v>12038</v>
      </c>
      <c r="BN856" t="s">
        <v>74</v>
      </c>
      <c r="BO856" t="s">
        <v>74</v>
      </c>
      <c r="BP856" t="s">
        <v>74</v>
      </c>
      <c r="BQ856" t="s">
        <v>74</v>
      </c>
      <c r="BR856" t="s">
        <v>104</v>
      </c>
      <c r="BS856" t="s">
        <v>12039</v>
      </c>
      <c r="BT856" t="str">
        <f>HYPERLINK("https%3A%2F%2Fwww.webofscience.com%2Fwos%2Fwoscc%2Ffull-record%2FWOS:000370860204628","View Full Record in Web of Science")</f>
        <v>View Full Record in Web of Science</v>
      </c>
    </row>
    <row r="857" spans="1:72" x14ac:dyDescent="0.25">
      <c r="A857" t="s">
        <v>72</v>
      </c>
      <c r="B857" t="s">
        <v>12040</v>
      </c>
      <c r="C857" t="s">
        <v>74</v>
      </c>
      <c r="D857" t="s">
        <v>74</v>
      </c>
      <c r="E857" t="s">
        <v>74</v>
      </c>
      <c r="F857" t="s">
        <v>12041</v>
      </c>
      <c r="G857" t="s">
        <v>74</v>
      </c>
      <c r="H857" t="s">
        <v>74</v>
      </c>
      <c r="I857" t="s">
        <v>12042</v>
      </c>
      <c r="J857" t="s">
        <v>1777</v>
      </c>
      <c r="K857" t="s">
        <v>74</v>
      </c>
      <c r="L857" t="s">
        <v>74</v>
      </c>
      <c r="M857" t="s">
        <v>78</v>
      </c>
      <c r="N857" t="s">
        <v>52</v>
      </c>
      <c r="O857" t="s">
        <v>74</v>
      </c>
      <c r="P857" t="s">
        <v>74</v>
      </c>
      <c r="Q857" t="s">
        <v>74</v>
      </c>
      <c r="R857" t="s">
        <v>74</v>
      </c>
      <c r="S857" t="s">
        <v>74</v>
      </c>
      <c r="T857" t="s">
        <v>74</v>
      </c>
      <c r="U857" t="s">
        <v>74</v>
      </c>
      <c r="V857" t="s">
        <v>74</v>
      </c>
      <c r="W857" t="s">
        <v>12043</v>
      </c>
      <c r="X857" t="s">
        <v>12044</v>
      </c>
      <c r="Y857" t="s">
        <v>74</v>
      </c>
      <c r="Z857" t="s">
        <v>74</v>
      </c>
      <c r="AA857" t="s">
        <v>12045</v>
      </c>
      <c r="AB857" t="s">
        <v>5709</v>
      </c>
      <c r="AC857" t="s">
        <v>74</v>
      </c>
      <c r="AD857" t="s">
        <v>74</v>
      </c>
      <c r="AE857" t="s">
        <v>74</v>
      </c>
      <c r="AF857" t="s">
        <v>74</v>
      </c>
      <c r="AG857">
        <v>0</v>
      </c>
      <c r="AH857">
        <v>0</v>
      </c>
      <c r="AI857">
        <v>0</v>
      </c>
      <c r="AJ857">
        <v>0</v>
      </c>
      <c r="AK857">
        <v>0</v>
      </c>
      <c r="AL857" t="s">
        <v>1781</v>
      </c>
      <c r="AM857" t="s">
        <v>1782</v>
      </c>
      <c r="AN857" t="s">
        <v>1783</v>
      </c>
      <c r="AO857" t="s">
        <v>1784</v>
      </c>
      <c r="AP857" t="s">
        <v>1785</v>
      </c>
      <c r="AQ857" t="s">
        <v>74</v>
      </c>
      <c r="AR857" t="s">
        <v>1777</v>
      </c>
      <c r="AS857" t="s">
        <v>1786</v>
      </c>
      <c r="AT857" t="s">
        <v>420</v>
      </c>
      <c r="AU857">
        <v>2015</v>
      </c>
      <c r="AV857">
        <v>18</v>
      </c>
      <c r="AW857">
        <v>4</v>
      </c>
      <c r="AX857" t="s">
        <v>74</v>
      </c>
      <c r="AY857" t="s">
        <v>74</v>
      </c>
      <c r="AZ857" t="s">
        <v>74</v>
      </c>
      <c r="BA857" t="s">
        <v>12046</v>
      </c>
      <c r="BB857">
        <v>571</v>
      </c>
      <c r="BC857">
        <v>571</v>
      </c>
      <c r="BD857" t="s">
        <v>74</v>
      </c>
      <c r="BE857" t="s">
        <v>74</v>
      </c>
      <c r="BF857" t="s">
        <v>74</v>
      </c>
      <c r="BG857" t="s">
        <v>74</v>
      </c>
      <c r="BH857" t="s">
        <v>74</v>
      </c>
      <c r="BI857">
        <v>1</v>
      </c>
      <c r="BJ857" t="s">
        <v>1789</v>
      </c>
      <c r="BK857" t="s">
        <v>101</v>
      </c>
      <c r="BL857" t="s">
        <v>133</v>
      </c>
      <c r="BM857" t="s">
        <v>12028</v>
      </c>
      <c r="BN857" t="s">
        <v>74</v>
      </c>
      <c r="BO857" t="s">
        <v>74</v>
      </c>
      <c r="BP857" t="s">
        <v>74</v>
      </c>
      <c r="BQ857" t="s">
        <v>74</v>
      </c>
      <c r="BR857" t="s">
        <v>104</v>
      </c>
      <c r="BS857" t="s">
        <v>12047</v>
      </c>
      <c r="BT857" t="str">
        <f>HYPERLINK("https%3A%2F%2Fwww.webofscience.com%2Fwos%2Fwoscc%2Ffull-record%2FWOS:000362683200148","View Full Record in Web of Science")</f>
        <v>View Full Record in Web of Science</v>
      </c>
    </row>
    <row r="858" spans="1:72" x14ac:dyDescent="0.25">
      <c r="A858" t="s">
        <v>72</v>
      </c>
      <c r="B858" t="s">
        <v>11502</v>
      </c>
      <c r="C858" t="s">
        <v>74</v>
      </c>
      <c r="D858" t="s">
        <v>74</v>
      </c>
      <c r="E858" t="s">
        <v>74</v>
      </c>
      <c r="F858" t="s">
        <v>11503</v>
      </c>
      <c r="G858" t="s">
        <v>74</v>
      </c>
      <c r="H858" t="s">
        <v>74</v>
      </c>
      <c r="I858" t="s">
        <v>12048</v>
      </c>
      <c r="J858" t="s">
        <v>216</v>
      </c>
      <c r="K858" t="s">
        <v>74</v>
      </c>
      <c r="L858" t="s">
        <v>74</v>
      </c>
      <c r="M858" t="s">
        <v>78</v>
      </c>
      <c r="N858" t="s">
        <v>79</v>
      </c>
      <c r="O858" t="s">
        <v>74</v>
      </c>
      <c r="P858" t="s">
        <v>74</v>
      </c>
      <c r="Q858" t="s">
        <v>74</v>
      </c>
      <c r="R858" t="s">
        <v>74</v>
      </c>
      <c r="S858" t="s">
        <v>74</v>
      </c>
      <c r="T858" t="s">
        <v>74</v>
      </c>
      <c r="U858" t="s">
        <v>12049</v>
      </c>
      <c r="V858" t="s">
        <v>74</v>
      </c>
      <c r="W858" t="s">
        <v>12050</v>
      </c>
      <c r="X858" t="s">
        <v>74</v>
      </c>
      <c r="Y858" t="s">
        <v>12051</v>
      </c>
      <c r="Z858" t="s">
        <v>11620</v>
      </c>
      <c r="AA858" t="s">
        <v>12052</v>
      </c>
      <c r="AB858" t="s">
        <v>12053</v>
      </c>
      <c r="AC858" t="s">
        <v>74</v>
      </c>
      <c r="AD858" t="s">
        <v>74</v>
      </c>
      <c r="AE858" t="s">
        <v>74</v>
      </c>
      <c r="AF858" t="s">
        <v>74</v>
      </c>
      <c r="AG858">
        <v>454</v>
      </c>
      <c r="AH858">
        <v>1039</v>
      </c>
      <c r="AI858">
        <v>1070</v>
      </c>
      <c r="AJ858">
        <v>2</v>
      </c>
      <c r="AK858">
        <v>101</v>
      </c>
      <c r="AL858" t="s">
        <v>219</v>
      </c>
      <c r="AM858" t="s">
        <v>220</v>
      </c>
      <c r="AN858" t="s">
        <v>221</v>
      </c>
      <c r="AO858" t="s">
        <v>222</v>
      </c>
      <c r="AP858" t="s">
        <v>223</v>
      </c>
      <c r="AQ858" t="s">
        <v>74</v>
      </c>
      <c r="AR858" t="s">
        <v>224</v>
      </c>
      <c r="AS858" t="s">
        <v>225</v>
      </c>
      <c r="AT858" t="s">
        <v>420</v>
      </c>
      <c r="AU858">
        <v>2015</v>
      </c>
      <c r="AV858">
        <v>46</v>
      </c>
      <c r="AW858">
        <v>4</v>
      </c>
      <c r="AX858" t="s">
        <v>74</v>
      </c>
      <c r="AY858" t="s">
        <v>74</v>
      </c>
      <c r="AZ858" t="s">
        <v>74</v>
      </c>
      <c r="BA858" t="s">
        <v>74</v>
      </c>
      <c r="BB858">
        <v>903</v>
      </c>
      <c r="BC858">
        <v>975</v>
      </c>
      <c r="BD858" t="s">
        <v>74</v>
      </c>
      <c r="BE858" t="s">
        <v>12054</v>
      </c>
      <c r="BF858" t="str">
        <f>HYPERLINK("http://dx.doi.org/10.1183/13993003.01032-2015","http://dx.doi.org/10.1183/13993003.01032-2015")</f>
        <v>http://dx.doi.org/10.1183/13993003.01032-2015</v>
      </c>
      <c r="BG858" t="s">
        <v>74</v>
      </c>
      <c r="BH858" t="s">
        <v>74</v>
      </c>
      <c r="BI858">
        <v>73</v>
      </c>
      <c r="BJ858" t="s">
        <v>228</v>
      </c>
      <c r="BK858" t="s">
        <v>101</v>
      </c>
      <c r="BL858" t="s">
        <v>228</v>
      </c>
      <c r="BM858" t="s">
        <v>12055</v>
      </c>
      <c r="BN858">
        <v>26318161</v>
      </c>
      <c r="BO858" t="s">
        <v>3737</v>
      </c>
      <c r="BP858" t="s">
        <v>1155</v>
      </c>
      <c r="BQ858" t="s">
        <v>1156</v>
      </c>
      <c r="BR858" t="s">
        <v>104</v>
      </c>
      <c r="BS858" t="s">
        <v>12056</v>
      </c>
      <c r="BT858" t="str">
        <f>HYPERLINK("https%3A%2F%2Fwww.webofscience.com%2Fwos%2Fwoscc%2Ffull-record%2FWOS:000363602700007","View Full Record in Web of Science")</f>
        <v>View Full Record in Web of Science</v>
      </c>
    </row>
    <row r="859" spans="1:72" x14ac:dyDescent="0.25">
      <c r="A859" t="s">
        <v>72</v>
      </c>
      <c r="B859" t="s">
        <v>12057</v>
      </c>
      <c r="C859" t="s">
        <v>74</v>
      </c>
      <c r="D859" t="s">
        <v>74</v>
      </c>
      <c r="E859" t="s">
        <v>74</v>
      </c>
      <c r="F859" t="s">
        <v>12058</v>
      </c>
      <c r="G859" t="s">
        <v>74</v>
      </c>
      <c r="H859" t="s">
        <v>74</v>
      </c>
      <c r="I859" t="s">
        <v>12059</v>
      </c>
      <c r="J859" t="s">
        <v>324</v>
      </c>
      <c r="K859" t="s">
        <v>74</v>
      </c>
      <c r="L859" t="s">
        <v>74</v>
      </c>
      <c r="M859" t="s">
        <v>78</v>
      </c>
      <c r="N859" t="s">
        <v>460</v>
      </c>
      <c r="O859" t="s">
        <v>74</v>
      </c>
      <c r="P859" t="s">
        <v>74</v>
      </c>
      <c r="Q859" t="s">
        <v>74</v>
      </c>
      <c r="R859" t="s">
        <v>74</v>
      </c>
      <c r="S859" t="s">
        <v>74</v>
      </c>
      <c r="T859" t="s">
        <v>74</v>
      </c>
      <c r="U859" t="s">
        <v>74</v>
      </c>
      <c r="V859" t="s">
        <v>74</v>
      </c>
      <c r="W859" t="s">
        <v>74</v>
      </c>
      <c r="X859" t="s">
        <v>74</v>
      </c>
      <c r="Y859" t="s">
        <v>74</v>
      </c>
      <c r="Z859" t="s">
        <v>74</v>
      </c>
      <c r="AA859" t="s">
        <v>12060</v>
      </c>
      <c r="AB859" t="s">
        <v>12061</v>
      </c>
      <c r="AC859" t="s">
        <v>74</v>
      </c>
      <c r="AD859" t="s">
        <v>74</v>
      </c>
      <c r="AE859" t="s">
        <v>74</v>
      </c>
      <c r="AF859" t="s">
        <v>74</v>
      </c>
      <c r="AG859">
        <v>5</v>
      </c>
      <c r="AH859">
        <v>0</v>
      </c>
      <c r="AI859">
        <v>0</v>
      </c>
      <c r="AJ859">
        <v>0</v>
      </c>
      <c r="AK859">
        <v>1</v>
      </c>
      <c r="AL859" t="s">
        <v>7467</v>
      </c>
      <c r="AM859" t="s">
        <v>93</v>
      </c>
      <c r="AN859" t="s">
        <v>7468</v>
      </c>
      <c r="AO859" t="s">
        <v>337</v>
      </c>
      <c r="AP859" t="s">
        <v>74</v>
      </c>
      <c r="AQ859" t="s">
        <v>74</v>
      </c>
      <c r="AR859" t="s">
        <v>324</v>
      </c>
      <c r="AS859" t="s">
        <v>339</v>
      </c>
      <c r="AT859" t="s">
        <v>420</v>
      </c>
      <c r="AU859">
        <v>2015</v>
      </c>
      <c r="AV859">
        <v>148</v>
      </c>
      <c r="AW859">
        <v>4</v>
      </c>
      <c r="AX859" t="s">
        <v>74</v>
      </c>
      <c r="AY859" t="s">
        <v>74</v>
      </c>
      <c r="AZ859" t="s">
        <v>74</v>
      </c>
      <c r="BA859" t="s">
        <v>74</v>
      </c>
      <c r="BB859" t="s">
        <v>12062</v>
      </c>
      <c r="BC859" t="s">
        <v>12063</v>
      </c>
      <c r="BD859" t="s">
        <v>74</v>
      </c>
      <c r="BE859" t="s">
        <v>12064</v>
      </c>
      <c r="BF859" t="str">
        <f>HYPERLINK("http://dx.doi.org/10.1378/chest.15-1573","http://dx.doi.org/10.1378/chest.15-1573")</f>
        <v>http://dx.doi.org/10.1378/chest.15-1573</v>
      </c>
      <c r="BG859" t="s">
        <v>74</v>
      </c>
      <c r="BH859" t="s">
        <v>74</v>
      </c>
      <c r="BI859">
        <v>2</v>
      </c>
      <c r="BJ859" t="s">
        <v>341</v>
      </c>
      <c r="BK859" t="s">
        <v>101</v>
      </c>
      <c r="BL859" t="s">
        <v>342</v>
      </c>
      <c r="BM859" t="s">
        <v>12065</v>
      </c>
      <c r="BN859">
        <v>26437827</v>
      </c>
      <c r="BO859" t="s">
        <v>74</v>
      </c>
      <c r="BP859" t="s">
        <v>74</v>
      </c>
      <c r="BQ859" t="s">
        <v>74</v>
      </c>
      <c r="BR859" t="s">
        <v>104</v>
      </c>
      <c r="BS859" t="s">
        <v>12066</v>
      </c>
      <c r="BT859" t="str">
        <f>HYPERLINK("https%3A%2F%2Fwww.webofscience.com%2Fwos%2Fwoscc%2Ffull-record%2FWOS:000363956300012","View Full Record in Web of Science")</f>
        <v>View Full Record in Web of Science</v>
      </c>
    </row>
    <row r="860" spans="1:72" x14ac:dyDescent="0.25">
      <c r="A860" t="s">
        <v>72</v>
      </c>
      <c r="B860" t="s">
        <v>12067</v>
      </c>
      <c r="C860" t="s">
        <v>74</v>
      </c>
      <c r="D860" t="s">
        <v>74</v>
      </c>
      <c r="E860" t="s">
        <v>74</v>
      </c>
      <c r="F860" t="s">
        <v>12068</v>
      </c>
      <c r="G860" t="s">
        <v>74</v>
      </c>
      <c r="H860" t="s">
        <v>74</v>
      </c>
      <c r="I860" t="s">
        <v>12069</v>
      </c>
      <c r="J860" t="s">
        <v>216</v>
      </c>
      <c r="K860" t="s">
        <v>74</v>
      </c>
      <c r="L860" t="s">
        <v>74</v>
      </c>
      <c r="M860" t="s">
        <v>78</v>
      </c>
      <c r="N860" t="s">
        <v>460</v>
      </c>
      <c r="O860" t="s">
        <v>74</v>
      </c>
      <c r="P860" t="s">
        <v>74</v>
      </c>
      <c r="Q860" t="s">
        <v>74</v>
      </c>
      <c r="R860" t="s">
        <v>74</v>
      </c>
      <c r="S860" t="s">
        <v>74</v>
      </c>
      <c r="T860" t="s">
        <v>74</v>
      </c>
      <c r="U860" t="s">
        <v>12070</v>
      </c>
      <c r="V860" t="s">
        <v>74</v>
      </c>
      <c r="W860" t="s">
        <v>12071</v>
      </c>
      <c r="X860" t="s">
        <v>12072</v>
      </c>
      <c r="Y860" t="s">
        <v>12073</v>
      </c>
      <c r="Z860" t="s">
        <v>8598</v>
      </c>
      <c r="AA860" t="s">
        <v>12074</v>
      </c>
      <c r="AB860" t="s">
        <v>12075</v>
      </c>
      <c r="AC860" t="s">
        <v>74</v>
      </c>
      <c r="AD860" t="s">
        <v>74</v>
      </c>
      <c r="AE860" t="s">
        <v>74</v>
      </c>
      <c r="AF860" t="s">
        <v>74</v>
      </c>
      <c r="AG860">
        <v>15</v>
      </c>
      <c r="AH860">
        <v>4</v>
      </c>
      <c r="AI860">
        <v>4</v>
      </c>
      <c r="AJ860">
        <v>0</v>
      </c>
      <c r="AK860">
        <v>1</v>
      </c>
      <c r="AL860" t="s">
        <v>219</v>
      </c>
      <c r="AM860" t="s">
        <v>220</v>
      </c>
      <c r="AN860" t="s">
        <v>221</v>
      </c>
      <c r="AO860" t="s">
        <v>222</v>
      </c>
      <c r="AP860" t="s">
        <v>223</v>
      </c>
      <c r="AQ860" t="s">
        <v>74</v>
      </c>
      <c r="AR860" t="s">
        <v>224</v>
      </c>
      <c r="AS860" t="s">
        <v>225</v>
      </c>
      <c r="AT860" t="s">
        <v>420</v>
      </c>
      <c r="AU860">
        <v>2015</v>
      </c>
      <c r="AV860">
        <v>46</v>
      </c>
      <c r="AW860">
        <v>4</v>
      </c>
      <c r="AX860" t="s">
        <v>74</v>
      </c>
      <c r="AY860" t="s">
        <v>74</v>
      </c>
      <c r="AZ860" t="s">
        <v>74</v>
      </c>
      <c r="BA860" t="s">
        <v>74</v>
      </c>
      <c r="BB860">
        <v>1211</v>
      </c>
      <c r="BC860">
        <v>1214</v>
      </c>
      <c r="BD860" t="s">
        <v>74</v>
      </c>
      <c r="BE860" t="s">
        <v>12076</v>
      </c>
      <c r="BF860" t="str">
        <f>HYPERLINK("http://dx.doi.org/10.1183/13993003.00051-2015","http://dx.doi.org/10.1183/13993003.00051-2015")</f>
        <v>http://dx.doi.org/10.1183/13993003.00051-2015</v>
      </c>
      <c r="BG860" t="s">
        <v>74</v>
      </c>
      <c r="BH860" t="s">
        <v>74</v>
      </c>
      <c r="BI860">
        <v>4</v>
      </c>
      <c r="BJ860" t="s">
        <v>228</v>
      </c>
      <c r="BK860" t="s">
        <v>101</v>
      </c>
      <c r="BL860" t="s">
        <v>228</v>
      </c>
      <c r="BM860" t="s">
        <v>12055</v>
      </c>
      <c r="BN860">
        <v>26206880</v>
      </c>
      <c r="BO860" t="s">
        <v>1194</v>
      </c>
      <c r="BP860" t="s">
        <v>74</v>
      </c>
      <c r="BQ860" t="s">
        <v>74</v>
      </c>
      <c r="BR860" t="s">
        <v>104</v>
      </c>
      <c r="BS860" t="s">
        <v>12077</v>
      </c>
      <c r="BT860" t="str">
        <f>HYPERLINK("https%3A%2F%2Fwww.webofscience.com%2Fwos%2Fwoscc%2Ffull-record%2FWOS:000363602700034","View Full Record in Web of Science")</f>
        <v>View Full Record in Web of Science</v>
      </c>
    </row>
    <row r="861" spans="1:72" x14ac:dyDescent="0.25">
      <c r="A861" t="s">
        <v>72</v>
      </c>
      <c r="B861" t="s">
        <v>12078</v>
      </c>
      <c r="C861" t="s">
        <v>74</v>
      </c>
      <c r="D861" t="s">
        <v>74</v>
      </c>
      <c r="E861" t="s">
        <v>74</v>
      </c>
      <c r="F861" t="s">
        <v>12079</v>
      </c>
      <c r="G861" t="s">
        <v>74</v>
      </c>
      <c r="H861" t="s">
        <v>74</v>
      </c>
      <c r="I861" t="s">
        <v>12080</v>
      </c>
      <c r="J861" t="s">
        <v>251</v>
      </c>
      <c r="K861" t="s">
        <v>74</v>
      </c>
      <c r="L861" t="s">
        <v>74</v>
      </c>
      <c r="M861" t="s">
        <v>78</v>
      </c>
      <c r="N861" t="s">
        <v>460</v>
      </c>
      <c r="O861" t="s">
        <v>74</v>
      </c>
      <c r="P861" t="s">
        <v>74</v>
      </c>
      <c r="Q861" t="s">
        <v>74</v>
      </c>
      <c r="R861" t="s">
        <v>74</v>
      </c>
      <c r="S861" t="s">
        <v>74</v>
      </c>
      <c r="T861" t="s">
        <v>74</v>
      </c>
      <c r="U861" t="s">
        <v>12081</v>
      </c>
      <c r="V861" t="s">
        <v>74</v>
      </c>
      <c r="W861" t="s">
        <v>12082</v>
      </c>
      <c r="X861" t="s">
        <v>12083</v>
      </c>
      <c r="Y861" t="s">
        <v>12084</v>
      </c>
      <c r="Z861" t="s">
        <v>74</v>
      </c>
      <c r="AA861" t="s">
        <v>12085</v>
      </c>
      <c r="AB861" t="s">
        <v>12086</v>
      </c>
      <c r="AC861" t="s">
        <v>74</v>
      </c>
      <c r="AD861" t="s">
        <v>74</v>
      </c>
      <c r="AE861" t="s">
        <v>74</v>
      </c>
      <c r="AF861" t="s">
        <v>74</v>
      </c>
      <c r="AG861">
        <v>5</v>
      </c>
      <c r="AH861">
        <v>3</v>
      </c>
      <c r="AI861">
        <v>3</v>
      </c>
      <c r="AJ861">
        <v>0</v>
      </c>
      <c r="AK861">
        <v>0</v>
      </c>
      <c r="AL861" t="s">
        <v>122</v>
      </c>
      <c r="AM861" t="s">
        <v>123</v>
      </c>
      <c r="AN861" t="s">
        <v>124</v>
      </c>
      <c r="AO861" t="s">
        <v>258</v>
      </c>
      <c r="AP861" t="s">
        <v>259</v>
      </c>
      <c r="AQ861" t="s">
        <v>74</v>
      </c>
      <c r="AR861" t="s">
        <v>251</v>
      </c>
      <c r="AS861" t="s">
        <v>260</v>
      </c>
      <c r="AT861" t="s">
        <v>12087</v>
      </c>
      <c r="AU861">
        <v>2015</v>
      </c>
      <c r="AV861">
        <v>132</v>
      </c>
      <c r="AW861">
        <v>12</v>
      </c>
      <c r="AX861" t="s">
        <v>74</v>
      </c>
      <c r="AY861" t="s">
        <v>74</v>
      </c>
      <c r="AZ861" t="s">
        <v>74</v>
      </c>
      <c r="BA861" t="s">
        <v>74</v>
      </c>
      <c r="BB861" t="s">
        <v>12088</v>
      </c>
      <c r="BC861" t="s">
        <v>12088</v>
      </c>
      <c r="BD861" t="s">
        <v>74</v>
      </c>
      <c r="BE861" t="s">
        <v>12089</v>
      </c>
      <c r="BF861" t="str">
        <f>HYPERLINK("http://dx.doi.org/10.1161/CIRCULATIONAHA.115.016226","http://dx.doi.org/10.1161/CIRCULATIONAHA.115.016226")</f>
        <v>http://dx.doi.org/10.1161/CIRCULATIONAHA.115.016226</v>
      </c>
      <c r="BG861" t="s">
        <v>74</v>
      </c>
      <c r="BH861" t="s">
        <v>74</v>
      </c>
      <c r="BI861">
        <v>1</v>
      </c>
      <c r="BJ861" t="s">
        <v>263</v>
      </c>
      <c r="BK861" t="s">
        <v>101</v>
      </c>
      <c r="BL861" t="s">
        <v>133</v>
      </c>
      <c r="BM861" t="s">
        <v>12090</v>
      </c>
      <c r="BN861">
        <v>26391301</v>
      </c>
      <c r="BO861" t="s">
        <v>1194</v>
      </c>
      <c r="BP861" t="s">
        <v>74</v>
      </c>
      <c r="BQ861" t="s">
        <v>74</v>
      </c>
      <c r="BR861" t="s">
        <v>104</v>
      </c>
      <c r="BS861" t="s">
        <v>12091</v>
      </c>
      <c r="BT861" t="str">
        <f>HYPERLINK("https%3A%2F%2Fwww.webofscience.com%2Fwos%2Fwoscc%2Ffull-record%2FWOS:000361485100004","View Full Record in Web of Science")</f>
        <v>View Full Record in Web of Science</v>
      </c>
    </row>
    <row r="862" spans="1:72" x14ac:dyDescent="0.25">
      <c r="A862" t="s">
        <v>72</v>
      </c>
      <c r="B862" t="s">
        <v>12092</v>
      </c>
      <c r="C862" t="s">
        <v>74</v>
      </c>
      <c r="D862" t="s">
        <v>74</v>
      </c>
      <c r="E862" t="s">
        <v>74</v>
      </c>
      <c r="F862" t="s">
        <v>12093</v>
      </c>
      <c r="G862" t="s">
        <v>74</v>
      </c>
      <c r="H862" t="s">
        <v>74</v>
      </c>
      <c r="I862" t="s">
        <v>12094</v>
      </c>
      <c r="J862" t="s">
        <v>1843</v>
      </c>
      <c r="K862" t="s">
        <v>74</v>
      </c>
      <c r="L862" t="s">
        <v>74</v>
      </c>
      <c r="M862" t="s">
        <v>78</v>
      </c>
      <c r="N862" t="s">
        <v>79</v>
      </c>
      <c r="O862" t="s">
        <v>74</v>
      </c>
      <c r="P862" t="s">
        <v>74</v>
      </c>
      <c r="Q862" t="s">
        <v>74</v>
      </c>
      <c r="R862" t="s">
        <v>74</v>
      </c>
      <c r="S862" t="s">
        <v>74</v>
      </c>
      <c r="T862" t="s">
        <v>74</v>
      </c>
      <c r="U862" t="s">
        <v>12095</v>
      </c>
      <c r="V862" t="s">
        <v>12096</v>
      </c>
      <c r="W862" t="s">
        <v>12097</v>
      </c>
      <c r="X862" t="s">
        <v>12098</v>
      </c>
      <c r="Y862" t="s">
        <v>12099</v>
      </c>
      <c r="Z862" t="s">
        <v>12100</v>
      </c>
      <c r="AA862" t="s">
        <v>12101</v>
      </c>
      <c r="AB862" t="s">
        <v>12102</v>
      </c>
      <c r="AC862" t="s">
        <v>12103</v>
      </c>
      <c r="AD862" t="s">
        <v>12104</v>
      </c>
      <c r="AE862" t="s">
        <v>12105</v>
      </c>
      <c r="AF862" t="s">
        <v>74</v>
      </c>
      <c r="AG862">
        <v>72</v>
      </c>
      <c r="AH862">
        <v>24</v>
      </c>
      <c r="AI862">
        <v>27</v>
      </c>
      <c r="AJ862">
        <v>0</v>
      </c>
      <c r="AK862">
        <v>12</v>
      </c>
      <c r="AL862" t="s">
        <v>1854</v>
      </c>
      <c r="AM862" t="s">
        <v>201</v>
      </c>
      <c r="AN862" t="s">
        <v>1855</v>
      </c>
      <c r="AO862" t="s">
        <v>1856</v>
      </c>
      <c r="AP862" t="s">
        <v>12106</v>
      </c>
      <c r="AQ862" t="s">
        <v>74</v>
      </c>
      <c r="AR862" t="s">
        <v>1857</v>
      </c>
      <c r="AS862" t="s">
        <v>1858</v>
      </c>
      <c r="AT862" t="s">
        <v>12107</v>
      </c>
      <c r="AU862">
        <v>2015</v>
      </c>
      <c r="AV862">
        <v>16</v>
      </c>
      <c r="AW862" t="s">
        <v>74</v>
      </c>
      <c r="AX862" t="s">
        <v>74</v>
      </c>
      <c r="AY862" t="s">
        <v>74</v>
      </c>
      <c r="AZ862" t="s">
        <v>74</v>
      </c>
      <c r="BA862" t="s">
        <v>74</v>
      </c>
      <c r="BB862" t="s">
        <v>74</v>
      </c>
      <c r="BC862" t="s">
        <v>74</v>
      </c>
      <c r="BD862">
        <v>114</v>
      </c>
      <c r="BE862" t="s">
        <v>12108</v>
      </c>
      <c r="BF862" t="str">
        <f>HYPERLINK("http://dx.doi.org/10.1186/s12931-015-0262-y","http://dx.doi.org/10.1186/s12931-015-0262-y")</f>
        <v>http://dx.doi.org/10.1186/s12931-015-0262-y</v>
      </c>
      <c r="BG862" t="s">
        <v>74</v>
      </c>
      <c r="BH862" t="s">
        <v>74</v>
      </c>
      <c r="BI862">
        <v>16</v>
      </c>
      <c r="BJ862" t="s">
        <v>228</v>
      </c>
      <c r="BK862" t="s">
        <v>101</v>
      </c>
      <c r="BL862" t="s">
        <v>228</v>
      </c>
      <c r="BM862" t="s">
        <v>12109</v>
      </c>
      <c r="BN862">
        <v>26382031</v>
      </c>
      <c r="BO862" t="s">
        <v>1665</v>
      </c>
      <c r="BP862" t="s">
        <v>74</v>
      </c>
      <c r="BQ862" t="s">
        <v>74</v>
      </c>
      <c r="BR862" t="s">
        <v>104</v>
      </c>
      <c r="BS862" t="s">
        <v>12110</v>
      </c>
      <c r="BT862" t="str">
        <f>HYPERLINK("https%3A%2F%2Fwww.webofscience.com%2Fwos%2Fwoscc%2Ffull-record%2FWOS:000361361800001","View Full Record in Web of Science")</f>
        <v>View Full Record in Web of Science</v>
      </c>
    </row>
    <row r="863" spans="1:72" x14ac:dyDescent="0.25">
      <c r="A863" t="s">
        <v>72</v>
      </c>
      <c r="B863" t="s">
        <v>12111</v>
      </c>
      <c r="C863" t="s">
        <v>74</v>
      </c>
      <c r="D863" t="s">
        <v>74</v>
      </c>
      <c r="E863" t="s">
        <v>74</v>
      </c>
      <c r="F863" t="s">
        <v>12112</v>
      </c>
      <c r="G863" t="s">
        <v>74</v>
      </c>
      <c r="H863" t="s">
        <v>74</v>
      </c>
      <c r="I863" t="s">
        <v>12113</v>
      </c>
      <c r="J863" t="s">
        <v>216</v>
      </c>
      <c r="K863" t="s">
        <v>74</v>
      </c>
      <c r="L863" t="s">
        <v>74</v>
      </c>
      <c r="M863" t="s">
        <v>78</v>
      </c>
      <c r="N863" t="s">
        <v>52</v>
      </c>
      <c r="O863" t="s">
        <v>74</v>
      </c>
      <c r="P863" t="s">
        <v>74</v>
      </c>
      <c r="Q863" t="s">
        <v>74</v>
      </c>
      <c r="R863" t="s">
        <v>74</v>
      </c>
      <c r="S863" t="s">
        <v>74</v>
      </c>
      <c r="T863" t="s">
        <v>12114</v>
      </c>
      <c r="U863" t="s">
        <v>74</v>
      </c>
      <c r="V863" t="s">
        <v>74</v>
      </c>
      <c r="W863" t="s">
        <v>12115</v>
      </c>
      <c r="X863" t="s">
        <v>12116</v>
      </c>
      <c r="Y863" t="s">
        <v>74</v>
      </c>
      <c r="Z863" t="s">
        <v>74</v>
      </c>
      <c r="AA863" t="s">
        <v>12117</v>
      </c>
      <c r="AB863" t="s">
        <v>5709</v>
      </c>
      <c r="AC863" t="s">
        <v>74</v>
      </c>
      <c r="AD863" t="s">
        <v>74</v>
      </c>
      <c r="AE863" t="s">
        <v>74</v>
      </c>
      <c r="AF863" t="s">
        <v>74</v>
      </c>
      <c r="AG863">
        <v>0</v>
      </c>
      <c r="AH863">
        <v>0</v>
      </c>
      <c r="AI863">
        <v>0</v>
      </c>
      <c r="AJ863">
        <v>0</v>
      </c>
      <c r="AK863">
        <v>1</v>
      </c>
      <c r="AL863" t="s">
        <v>219</v>
      </c>
      <c r="AM863" t="s">
        <v>220</v>
      </c>
      <c r="AN863" t="s">
        <v>221</v>
      </c>
      <c r="AO863" t="s">
        <v>222</v>
      </c>
      <c r="AP863" t="s">
        <v>223</v>
      </c>
      <c r="AQ863" t="s">
        <v>74</v>
      </c>
      <c r="AR863" t="s">
        <v>224</v>
      </c>
      <c r="AS863" t="s">
        <v>225</v>
      </c>
      <c r="AT863" t="s">
        <v>529</v>
      </c>
      <c r="AU863">
        <v>2015</v>
      </c>
      <c r="AV863">
        <v>46</v>
      </c>
      <c r="AW863" t="s">
        <v>74</v>
      </c>
      <c r="AX863" t="s">
        <v>74</v>
      </c>
      <c r="AY863">
        <v>59</v>
      </c>
      <c r="AZ863" t="s">
        <v>74</v>
      </c>
      <c r="BA863" t="s">
        <v>12118</v>
      </c>
      <c r="BB863" t="s">
        <v>74</v>
      </c>
      <c r="BC863" t="s">
        <v>74</v>
      </c>
      <c r="BD863" t="s">
        <v>74</v>
      </c>
      <c r="BE863" t="s">
        <v>12119</v>
      </c>
      <c r="BF863" t="str">
        <f>HYPERLINK("http://dx.doi.org/10.1183/13993003.congress-2015.OA4998","http://dx.doi.org/10.1183/13993003.congress-2015.OA4998")</f>
        <v>http://dx.doi.org/10.1183/13993003.congress-2015.OA4998</v>
      </c>
      <c r="BG863" t="s">
        <v>74</v>
      </c>
      <c r="BH863" t="s">
        <v>74</v>
      </c>
      <c r="BI863">
        <v>2</v>
      </c>
      <c r="BJ863" t="s">
        <v>228</v>
      </c>
      <c r="BK863" t="s">
        <v>101</v>
      </c>
      <c r="BL863" t="s">
        <v>228</v>
      </c>
      <c r="BM863" t="s">
        <v>12120</v>
      </c>
      <c r="BN863" t="s">
        <v>74</v>
      </c>
      <c r="BO863" t="s">
        <v>74</v>
      </c>
      <c r="BP863" t="s">
        <v>74</v>
      </c>
      <c r="BQ863" t="s">
        <v>74</v>
      </c>
      <c r="BR863" t="s">
        <v>104</v>
      </c>
      <c r="BS863" t="s">
        <v>12121</v>
      </c>
      <c r="BT863" t="str">
        <f>HYPERLINK("https%3A%2F%2Fwww.webofscience.com%2Fwos%2Fwoscc%2Ffull-record%2FWOS:000451979401044","View Full Record in Web of Science")</f>
        <v>View Full Record in Web of Science</v>
      </c>
    </row>
    <row r="864" spans="1:72" x14ac:dyDescent="0.25">
      <c r="A864" t="s">
        <v>72</v>
      </c>
      <c r="B864" t="s">
        <v>11821</v>
      </c>
      <c r="C864" t="s">
        <v>74</v>
      </c>
      <c r="D864" t="s">
        <v>74</v>
      </c>
      <c r="E864" t="s">
        <v>74</v>
      </c>
      <c r="F864" t="s">
        <v>11822</v>
      </c>
      <c r="G864" t="s">
        <v>74</v>
      </c>
      <c r="H864" t="s">
        <v>74</v>
      </c>
      <c r="I864" t="s">
        <v>12122</v>
      </c>
      <c r="J864" t="s">
        <v>216</v>
      </c>
      <c r="K864" t="s">
        <v>74</v>
      </c>
      <c r="L864" t="s">
        <v>74</v>
      </c>
      <c r="M864" t="s">
        <v>78</v>
      </c>
      <c r="N864" t="s">
        <v>140</v>
      </c>
      <c r="O864" t="s">
        <v>74</v>
      </c>
      <c r="P864" t="s">
        <v>74</v>
      </c>
      <c r="Q864" t="s">
        <v>74</v>
      </c>
      <c r="R864" t="s">
        <v>74</v>
      </c>
      <c r="S864" t="s">
        <v>74</v>
      </c>
      <c r="T864" t="s">
        <v>74</v>
      </c>
      <c r="U864" t="s">
        <v>12123</v>
      </c>
      <c r="V864" t="s">
        <v>74</v>
      </c>
      <c r="W864" t="s">
        <v>12124</v>
      </c>
      <c r="X864" t="s">
        <v>12125</v>
      </c>
      <c r="Y864" t="s">
        <v>11958</v>
      </c>
      <c r="Z864" t="s">
        <v>4563</v>
      </c>
      <c r="AA864" t="s">
        <v>7246</v>
      </c>
      <c r="AB864" t="s">
        <v>257</v>
      </c>
      <c r="AC864" t="s">
        <v>74</v>
      </c>
      <c r="AD864" t="s">
        <v>74</v>
      </c>
      <c r="AE864" t="s">
        <v>74</v>
      </c>
      <c r="AF864" t="s">
        <v>74</v>
      </c>
      <c r="AG864">
        <v>34</v>
      </c>
      <c r="AH864">
        <v>16</v>
      </c>
      <c r="AI864">
        <v>17</v>
      </c>
      <c r="AJ864">
        <v>0</v>
      </c>
      <c r="AK864">
        <v>4</v>
      </c>
      <c r="AL864" t="s">
        <v>219</v>
      </c>
      <c r="AM864" t="s">
        <v>220</v>
      </c>
      <c r="AN864" t="s">
        <v>221</v>
      </c>
      <c r="AO864" t="s">
        <v>222</v>
      </c>
      <c r="AP864" t="s">
        <v>223</v>
      </c>
      <c r="AQ864" t="s">
        <v>74</v>
      </c>
      <c r="AR864" t="s">
        <v>224</v>
      </c>
      <c r="AS864" t="s">
        <v>225</v>
      </c>
      <c r="AT864" t="s">
        <v>492</v>
      </c>
      <c r="AU864">
        <v>2015</v>
      </c>
      <c r="AV864">
        <v>46</v>
      </c>
      <c r="AW864">
        <v>3</v>
      </c>
      <c r="AX864" t="s">
        <v>74</v>
      </c>
      <c r="AY864" t="s">
        <v>74</v>
      </c>
      <c r="AZ864" t="s">
        <v>74</v>
      </c>
      <c r="BA864" t="s">
        <v>74</v>
      </c>
      <c r="BB864">
        <v>579</v>
      </c>
      <c r="BC864">
        <v>582</v>
      </c>
      <c r="BD864" t="s">
        <v>74</v>
      </c>
      <c r="BE864" t="s">
        <v>12126</v>
      </c>
      <c r="BF864" t="str">
        <f>HYPERLINK("http://dx.doi.org/10.1183/13993003.01084-2015","http://dx.doi.org/10.1183/13993003.01084-2015")</f>
        <v>http://dx.doi.org/10.1183/13993003.01084-2015</v>
      </c>
      <c r="BG864" t="s">
        <v>74</v>
      </c>
      <c r="BH864" t="s">
        <v>74</v>
      </c>
      <c r="BI864">
        <v>4</v>
      </c>
      <c r="BJ864" t="s">
        <v>228</v>
      </c>
      <c r="BK864" t="s">
        <v>101</v>
      </c>
      <c r="BL864" t="s">
        <v>228</v>
      </c>
      <c r="BM864" t="s">
        <v>12127</v>
      </c>
      <c r="BN864">
        <v>26324683</v>
      </c>
      <c r="BO864" t="s">
        <v>1194</v>
      </c>
      <c r="BP864" t="s">
        <v>74</v>
      </c>
      <c r="BQ864" t="s">
        <v>74</v>
      </c>
      <c r="BR864" t="s">
        <v>104</v>
      </c>
      <c r="BS864" t="s">
        <v>12128</v>
      </c>
      <c r="BT864" t="str">
        <f>HYPERLINK("https%3A%2F%2Fwww.webofscience.com%2Fwos%2Fwoscc%2Ffull-record%2FWOS:000360689400001","View Full Record in Web of Science")</f>
        <v>View Full Record in Web of Science</v>
      </c>
    </row>
    <row r="865" spans="1:72" x14ac:dyDescent="0.25">
      <c r="A865" t="s">
        <v>72</v>
      </c>
      <c r="B865" t="s">
        <v>12129</v>
      </c>
      <c r="C865" t="s">
        <v>74</v>
      </c>
      <c r="D865" t="s">
        <v>74</v>
      </c>
      <c r="E865" t="s">
        <v>74</v>
      </c>
      <c r="F865" t="s">
        <v>12130</v>
      </c>
      <c r="G865" t="s">
        <v>74</v>
      </c>
      <c r="H865" t="s">
        <v>74</v>
      </c>
      <c r="I865" t="s">
        <v>12131</v>
      </c>
      <c r="J865" t="s">
        <v>216</v>
      </c>
      <c r="K865" t="s">
        <v>74</v>
      </c>
      <c r="L865" t="s">
        <v>74</v>
      </c>
      <c r="M865" t="s">
        <v>78</v>
      </c>
      <c r="N865" t="s">
        <v>52</v>
      </c>
      <c r="O865" t="s">
        <v>74</v>
      </c>
      <c r="P865" t="s">
        <v>74</v>
      </c>
      <c r="Q865" t="s">
        <v>74</v>
      </c>
      <c r="R865" t="s">
        <v>74</v>
      </c>
      <c r="S865" t="s">
        <v>74</v>
      </c>
      <c r="T865" t="s">
        <v>12132</v>
      </c>
      <c r="U865" t="s">
        <v>74</v>
      </c>
      <c r="V865" t="s">
        <v>74</v>
      </c>
      <c r="W865" t="s">
        <v>12133</v>
      </c>
      <c r="X865" t="s">
        <v>12134</v>
      </c>
      <c r="Y865" t="s">
        <v>74</v>
      </c>
      <c r="Z865" t="s">
        <v>74</v>
      </c>
      <c r="AA865" t="s">
        <v>12135</v>
      </c>
      <c r="AB865" t="s">
        <v>2958</v>
      </c>
      <c r="AC865" t="s">
        <v>74</v>
      </c>
      <c r="AD865" t="s">
        <v>74</v>
      </c>
      <c r="AE865" t="s">
        <v>74</v>
      </c>
      <c r="AF865" t="s">
        <v>74</v>
      </c>
      <c r="AG865">
        <v>0</v>
      </c>
      <c r="AH865">
        <v>0</v>
      </c>
      <c r="AI865">
        <v>0</v>
      </c>
      <c r="AJ865">
        <v>1</v>
      </c>
      <c r="AK865">
        <v>1</v>
      </c>
      <c r="AL865" t="s">
        <v>219</v>
      </c>
      <c r="AM865" t="s">
        <v>220</v>
      </c>
      <c r="AN865" t="s">
        <v>221</v>
      </c>
      <c r="AO865" t="s">
        <v>222</v>
      </c>
      <c r="AP865" t="s">
        <v>223</v>
      </c>
      <c r="AQ865" t="s">
        <v>74</v>
      </c>
      <c r="AR865" t="s">
        <v>224</v>
      </c>
      <c r="AS865" t="s">
        <v>225</v>
      </c>
      <c r="AT865" t="s">
        <v>529</v>
      </c>
      <c r="AU865">
        <v>2015</v>
      </c>
      <c r="AV865">
        <v>46</v>
      </c>
      <c r="AW865" t="s">
        <v>74</v>
      </c>
      <c r="AX865" t="s">
        <v>74</v>
      </c>
      <c r="AY865">
        <v>59</v>
      </c>
      <c r="AZ865" t="s">
        <v>74</v>
      </c>
      <c r="BA865" t="s">
        <v>12136</v>
      </c>
      <c r="BB865" t="s">
        <v>74</v>
      </c>
      <c r="BC865" t="s">
        <v>74</v>
      </c>
      <c r="BD865" t="s">
        <v>74</v>
      </c>
      <c r="BE865" t="s">
        <v>12137</v>
      </c>
      <c r="BF865" t="str">
        <f>HYPERLINK("http://dx.doi.org/10.1183/13993003.congress-2015.PA2431","http://dx.doi.org/10.1183/13993003.congress-2015.PA2431")</f>
        <v>http://dx.doi.org/10.1183/13993003.congress-2015.PA2431</v>
      </c>
      <c r="BG865" t="s">
        <v>74</v>
      </c>
      <c r="BH865" t="s">
        <v>74</v>
      </c>
      <c r="BI865">
        <v>2</v>
      </c>
      <c r="BJ865" t="s">
        <v>228</v>
      </c>
      <c r="BK865" t="s">
        <v>101</v>
      </c>
      <c r="BL865" t="s">
        <v>228</v>
      </c>
      <c r="BM865" t="s">
        <v>12120</v>
      </c>
      <c r="BN865" t="s">
        <v>74</v>
      </c>
      <c r="BO865" t="s">
        <v>612</v>
      </c>
      <c r="BP865" t="s">
        <v>74</v>
      </c>
      <c r="BQ865" t="s">
        <v>74</v>
      </c>
      <c r="BR865" t="s">
        <v>104</v>
      </c>
      <c r="BS865" t="s">
        <v>12138</v>
      </c>
      <c r="BT865" t="str">
        <f>HYPERLINK("https%3A%2F%2Fwww.webofscience.com%2Fwos%2Fwoscc%2Ffull-record%2FWOS:000451979403137","View Full Record in Web of Science")</f>
        <v>View Full Record in Web of Science</v>
      </c>
    </row>
    <row r="866" spans="1:72" x14ac:dyDescent="0.25">
      <c r="A866" t="s">
        <v>72</v>
      </c>
      <c r="B866" t="s">
        <v>12139</v>
      </c>
      <c r="C866" t="s">
        <v>74</v>
      </c>
      <c r="D866" t="s">
        <v>74</v>
      </c>
      <c r="E866" t="s">
        <v>74</v>
      </c>
      <c r="F866" t="s">
        <v>12140</v>
      </c>
      <c r="G866" t="s">
        <v>74</v>
      </c>
      <c r="H866" t="s">
        <v>74</v>
      </c>
      <c r="I866" t="s">
        <v>12141</v>
      </c>
      <c r="J866" t="s">
        <v>216</v>
      </c>
      <c r="K866" t="s">
        <v>74</v>
      </c>
      <c r="L866" t="s">
        <v>74</v>
      </c>
      <c r="M866" t="s">
        <v>78</v>
      </c>
      <c r="N866" t="s">
        <v>52</v>
      </c>
      <c r="O866" t="s">
        <v>74</v>
      </c>
      <c r="P866" t="s">
        <v>74</v>
      </c>
      <c r="Q866" t="s">
        <v>74</v>
      </c>
      <c r="R866" t="s">
        <v>74</v>
      </c>
      <c r="S866" t="s">
        <v>74</v>
      </c>
      <c r="T866" t="s">
        <v>74</v>
      </c>
      <c r="U866" t="s">
        <v>74</v>
      </c>
      <c r="V866" t="s">
        <v>74</v>
      </c>
      <c r="W866" t="s">
        <v>12142</v>
      </c>
      <c r="X866" t="s">
        <v>12143</v>
      </c>
      <c r="Y866" t="s">
        <v>74</v>
      </c>
      <c r="Z866" t="s">
        <v>74</v>
      </c>
      <c r="AA866" t="s">
        <v>12144</v>
      </c>
      <c r="AB866" t="s">
        <v>8393</v>
      </c>
      <c r="AC866" t="s">
        <v>74</v>
      </c>
      <c r="AD866" t="s">
        <v>74</v>
      </c>
      <c r="AE866" t="s">
        <v>74</v>
      </c>
      <c r="AF866" t="s">
        <v>74</v>
      </c>
      <c r="AG866">
        <v>0</v>
      </c>
      <c r="AH866">
        <v>0</v>
      </c>
      <c r="AI866">
        <v>0</v>
      </c>
      <c r="AJ866">
        <v>0</v>
      </c>
      <c r="AK866">
        <v>0</v>
      </c>
      <c r="AL866" t="s">
        <v>219</v>
      </c>
      <c r="AM866" t="s">
        <v>220</v>
      </c>
      <c r="AN866" t="s">
        <v>221</v>
      </c>
      <c r="AO866" t="s">
        <v>222</v>
      </c>
      <c r="AP866" t="s">
        <v>223</v>
      </c>
      <c r="AQ866" t="s">
        <v>74</v>
      </c>
      <c r="AR866" t="s">
        <v>224</v>
      </c>
      <c r="AS866" t="s">
        <v>225</v>
      </c>
      <c r="AT866" t="s">
        <v>529</v>
      </c>
      <c r="AU866">
        <v>2015</v>
      </c>
      <c r="AV866">
        <v>46</v>
      </c>
      <c r="AW866" t="s">
        <v>74</v>
      </c>
      <c r="AX866" t="s">
        <v>74</v>
      </c>
      <c r="AY866">
        <v>59</v>
      </c>
      <c r="AZ866" t="s">
        <v>74</v>
      </c>
      <c r="BA866" t="s">
        <v>12145</v>
      </c>
      <c r="BB866" t="s">
        <v>74</v>
      </c>
      <c r="BC866" t="s">
        <v>74</v>
      </c>
      <c r="BD866" t="s">
        <v>74</v>
      </c>
      <c r="BE866" t="s">
        <v>12146</v>
      </c>
      <c r="BF866" t="str">
        <f>HYPERLINK("http://dx.doi.org/10.1183/13993003.congress-2015.PA4898","http://dx.doi.org/10.1183/13993003.congress-2015.PA4898")</f>
        <v>http://dx.doi.org/10.1183/13993003.congress-2015.PA4898</v>
      </c>
      <c r="BG866" t="s">
        <v>74</v>
      </c>
      <c r="BH866" t="s">
        <v>74</v>
      </c>
      <c r="BI866">
        <v>2</v>
      </c>
      <c r="BJ866" t="s">
        <v>228</v>
      </c>
      <c r="BK866" t="s">
        <v>101</v>
      </c>
      <c r="BL866" t="s">
        <v>228</v>
      </c>
      <c r="BM866" t="s">
        <v>12120</v>
      </c>
      <c r="BN866" t="s">
        <v>74</v>
      </c>
      <c r="BO866" t="s">
        <v>74</v>
      </c>
      <c r="BP866" t="s">
        <v>74</v>
      </c>
      <c r="BQ866" t="s">
        <v>74</v>
      </c>
      <c r="BR866" t="s">
        <v>104</v>
      </c>
      <c r="BS866" t="s">
        <v>12147</v>
      </c>
      <c r="BT866" t="str">
        <f>HYPERLINK("https%3A%2F%2Fwww.webofscience.com%2Fwos%2Fwoscc%2Ffull-record%2FWOS:000451979407089","View Full Record in Web of Science")</f>
        <v>View Full Record in Web of Science</v>
      </c>
    </row>
    <row r="867" spans="1:72" x14ac:dyDescent="0.25">
      <c r="A867" t="s">
        <v>72</v>
      </c>
      <c r="B867" t="s">
        <v>12148</v>
      </c>
      <c r="C867" t="s">
        <v>74</v>
      </c>
      <c r="D867" t="s">
        <v>74</v>
      </c>
      <c r="E867" t="s">
        <v>74</v>
      </c>
      <c r="F867" t="s">
        <v>12149</v>
      </c>
      <c r="G867" t="s">
        <v>74</v>
      </c>
      <c r="H867" t="s">
        <v>74</v>
      </c>
      <c r="I867" t="s">
        <v>12150</v>
      </c>
      <c r="J867" t="s">
        <v>216</v>
      </c>
      <c r="K867" t="s">
        <v>74</v>
      </c>
      <c r="L867" t="s">
        <v>74</v>
      </c>
      <c r="M867" t="s">
        <v>78</v>
      </c>
      <c r="N867" t="s">
        <v>52</v>
      </c>
      <c r="O867" t="s">
        <v>74</v>
      </c>
      <c r="P867" t="s">
        <v>74</v>
      </c>
      <c r="Q867" t="s">
        <v>74</v>
      </c>
      <c r="R867" t="s">
        <v>74</v>
      </c>
      <c r="S867" t="s">
        <v>74</v>
      </c>
      <c r="T867" t="s">
        <v>12151</v>
      </c>
      <c r="U867" t="s">
        <v>74</v>
      </c>
      <c r="V867" t="s">
        <v>74</v>
      </c>
      <c r="W867" t="s">
        <v>12152</v>
      </c>
      <c r="X867" t="s">
        <v>12153</v>
      </c>
      <c r="Y867" t="s">
        <v>74</v>
      </c>
      <c r="Z867" t="s">
        <v>74</v>
      </c>
      <c r="AA867" t="s">
        <v>12154</v>
      </c>
      <c r="AB867" t="s">
        <v>8393</v>
      </c>
      <c r="AC867" t="s">
        <v>74</v>
      </c>
      <c r="AD867" t="s">
        <v>74</v>
      </c>
      <c r="AE867" t="s">
        <v>74</v>
      </c>
      <c r="AF867" t="s">
        <v>74</v>
      </c>
      <c r="AG867">
        <v>0</v>
      </c>
      <c r="AH867">
        <v>0</v>
      </c>
      <c r="AI867">
        <v>0</v>
      </c>
      <c r="AJ867">
        <v>0</v>
      </c>
      <c r="AK867">
        <v>1</v>
      </c>
      <c r="AL867" t="s">
        <v>219</v>
      </c>
      <c r="AM867" t="s">
        <v>220</v>
      </c>
      <c r="AN867" t="s">
        <v>221</v>
      </c>
      <c r="AO867" t="s">
        <v>222</v>
      </c>
      <c r="AP867" t="s">
        <v>223</v>
      </c>
      <c r="AQ867" t="s">
        <v>74</v>
      </c>
      <c r="AR867" t="s">
        <v>224</v>
      </c>
      <c r="AS867" t="s">
        <v>225</v>
      </c>
      <c r="AT867" t="s">
        <v>529</v>
      </c>
      <c r="AU867">
        <v>2015</v>
      </c>
      <c r="AV867">
        <v>46</v>
      </c>
      <c r="AW867" t="s">
        <v>74</v>
      </c>
      <c r="AX867" t="s">
        <v>74</v>
      </c>
      <c r="AY867">
        <v>59</v>
      </c>
      <c r="AZ867" t="s">
        <v>74</v>
      </c>
      <c r="BA867" t="s">
        <v>12155</v>
      </c>
      <c r="BB867" t="s">
        <v>74</v>
      </c>
      <c r="BC867" t="s">
        <v>74</v>
      </c>
      <c r="BD867" t="s">
        <v>74</v>
      </c>
      <c r="BE867" t="s">
        <v>12156</v>
      </c>
      <c r="BF867" t="str">
        <f>HYPERLINK("http://dx.doi.org/10.1183/13993003.congress-2015.PA4899","http://dx.doi.org/10.1183/13993003.congress-2015.PA4899")</f>
        <v>http://dx.doi.org/10.1183/13993003.congress-2015.PA4899</v>
      </c>
      <c r="BG867" t="s">
        <v>74</v>
      </c>
      <c r="BH867" t="s">
        <v>74</v>
      </c>
      <c r="BI867">
        <v>2</v>
      </c>
      <c r="BJ867" t="s">
        <v>228</v>
      </c>
      <c r="BK867" t="s">
        <v>101</v>
      </c>
      <c r="BL867" t="s">
        <v>228</v>
      </c>
      <c r="BM867" t="s">
        <v>12120</v>
      </c>
      <c r="BN867" t="s">
        <v>74</v>
      </c>
      <c r="BO867" t="s">
        <v>74</v>
      </c>
      <c r="BP867" t="s">
        <v>74</v>
      </c>
      <c r="BQ867" t="s">
        <v>74</v>
      </c>
      <c r="BR867" t="s">
        <v>104</v>
      </c>
      <c r="BS867" t="s">
        <v>12157</v>
      </c>
      <c r="BT867" t="str">
        <f>HYPERLINK("https%3A%2F%2Fwww.webofscience.com%2Fwos%2Fwoscc%2Ffull-record%2FWOS:000451979407090","View Full Record in Web of Science")</f>
        <v>View Full Record in Web of Science</v>
      </c>
    </row>
    <row r="868" spans="1:72" x14ac:dyDescent="0.25">
      <c r="A868" t="s">
        <v>72</v>
      </c>
      <c r="B868" t="s">
        <v>12158</v>
      </c>
      <c r="C868" t="s">
        <v>74</v>
      </c>
      <c r="D868" t="s">
        <v>74</v>
      </c>
      <c r="E868" t="s">
        <v>74</v>
      </c>
      <c r="F868" t="s">
        <v>12159</v>
      </c>
      <c r="G868" t="s">
        <v>74</v>
      </c>
      <c r="H868" t="s">
        <v>74</v>
      </c>
      <c r="I868" t="s">
        <v>12160</v>
      </c>
      <c r="J868" t="s">
        <v>12161</v>
      </c>
      <c r="K868" t="s">
        <v>74</v>
      </c>
      <c r="L868" t="s">
        <v>74</v>
      </c>
      <c r="M868" t="s">
        <v>78</v>
      </c>
      <c r="N868" t="s">
        <v>79</v>
      </c>
      <c r="O868" t="s">
        <v>74</v>
      </c>
      <c r="P868" t="s">
        <v>74</v>
      </c>
      <c r="Q868" t="s">
        <v>74</v>
      </c>
      <c r="R868" t="s">
        <v>74</v>
      </c>
      <c r="S868" t="s">
        <v>74</v>
      </c>
      <c r="T868" t="s">
        <v>12162</v>
      </c>
      <c r="U868" t="s">
        <v>12163</v>
      </c>
      <c r="V868" t="s">
        <v>12164</v>
      </c>
      <c r="W868" t="s">
        <v>12165</v>
      </c>
      <c r="X868" t="s">
        <v>12166</v>
      </c>
      <c r="Y868" t="s">
        <v>12167</v>
      </c>
      <c r="Z868" t="s">
        <v>12168</v>
      </c>
      <c r="AA868" t="s">
        <v>12169</v>
      </c>
      <c r="AB868" t="s">
        <v>12170</v>
      </c>
      <c r="AC868" t="s">
        <v>12171</v>
      </c>
      <c r="AD868" t="s">
        <v>12171</v>
      </c>
      <c r="AE868" t="s">
        <v>12172</v>
      </c>
      <c r="AF868" t="s">
        <v>74</v>
      </c>
      <c r="AG868">
        <v>105</v>
      </c>
      <c r="AH868">
        <v>314</v>
      </c>
      <c r="AI868">
        <v>338</v>
      </c>
      <c r="AJ868">
        <v>3</v>
      </c>
      <c r="AK868">
        <v>29</v>
      </c>
      <c r="AL868" t="s">
        <v>92</v>
      </c>
      <c r="AM868" t="s">
        <v>93</v>
      </c>
      <c r="AN868" t="s">
        <v>94</v>
      </c>
      <c r="AO868" t="s">
        <v>12173</v>
      </c>
      <c r="AP868" t="s">
        <v>12174</v>
      </c>
      <c r="AQ868" t="s">
        <v>74</v>
      </c>
      <c r="AR868" t="s">
        <v>12175</v>
      </c>
      <c r="AS868" t="s">
        <v>12176</v>
      </c>
      <c r="AT868" t="s">
        <v>492</v>
      </c>
      <c r="AU868">
        <v>2015</v>
      </c>
      <c r="AV868">
        <v>26</v>
      </c>
      <c r="AW868">
        <v>7</v>
      </c>
      <c r="AX868" t="s">
        <v>74</v>
      </c>
      <c r="AY868" t="s">
        <v>74</v>
      </c>
      <c r="AZ868" t="s">
        <v>74</v>
      </c>
      <c r="BA868" t="s">
        <v>74</v>
      </c>
      <c r="BB868">
        <v>545</v>
      </c>
      <c r="BC868">
        <v>553</v>
      </c>
      <c r="BD868" t="s">
        <v>74</v>
      </c>
      <c r="BE868" t="s">
        <v>12177</v>
      </c>
      <c r="BF868" t="str">
        <f>HYPERLINK("http://dx.doi.org/10.1016/j.ejim.2015.04.022","http://dx.doi.org/10.1016/j.ejim.2015.04.022")</f>
        <v>http://dx.doi.org/10.1016/j.ejim.2015.04.022</v>
      </c>
      <c r="BG868" t="s">
        <v>74</v>
      </c>
      <c r="BH868" t="s">
        <v>74</v>
      </c>
      <c r="BI868">
        <v>9</v>
      </c>
      <c r="BJ868" t="s">
        <v>1152</v>
      </c>
      <c r="BK868" t="s">
        <v>101</v>
      </c>
      <c r="BL868" t="s">
        <v>1153</v>
      </c>
      <c r="BM868" t="s">
        <v>12178</v>
      </c>
      <c r="BN868">
        <v>25971154</v>
      </c>
      <c r="BO868" t="s">
        <v>246</v>
      </c>
      <c r="BP868" t="s">
        <v>1155</v>
      </c>
      <c r="BQ868" t="s">
        <v>1156</v>
      </c>
      <c r="BR868" t="s">
        <v>104</v>
      </c>
      <c r="BS868" t="s">
        <v>12179</v>
      </c>
      <c r="BT868" t="str">
        <f>HYPERLINK("https%3A%2F%2Fwww.webofscience.com%2Fwos%2Fwoscc%2Ffull-record%2FWOS:000365767700023","View Full Record in Web of Science")</f>
        <v>View Full Record in Web of Science</v>
      </c>
    </row>
    <row r="869" spans="1:72" x14ac:dyDescent="0.25">
      <c r="A869" t="s">
        <v>72</v>
      </c>
      <c r="B869" t="s">
        <v>12180</v>
      </c>
      <c r="C869" t="s">
        <v>74</v>
      </c>
      <c r="D869" t="s">
        <v>74</v>
      </c>
      <c r="E869" t="s">
        <v>74</v>
      </c>
      <c r="F869" t="s">
        <v>12181</v>
      </c>
      <c r="G869" t="s">
        <v>74</v>
      </c>
      <c r="H869" t="s">
        <v>74</v>
      </c>
      <c r="I869" t="s">
        <v>11169</v>
      </c>
      <c r="J869" t="s">
        <v>216</v>
      </c>
      <c r="K869" t="s">
        <v>74</v>
      </c>
      <c r="L869" t="s">
        <v>74</v>
      </c>
      <c r="M869" t="s">
        <v>78</v>
      </c>
      <c r="N869" t="s">
        <v>52</v>
      </c>
      <c r="O869" t="s">
        <v>74</v>
      </c>
      <c r="P869" t="s">
        <v>74</v>
      </c>
      <c r="Q869" t="s">
        <v>74</v>
      </c>
      <c r="R869" t="s">
        <v>74</v>
      </c>
      <c r="S869" t="s">
        <v>74</v>
      </c>
      <c r="T869" t="s">
        <v>12182</v>
      </c>
      <c r="U869" t="s">
        <v>74</v>
      </c>
      <c r="V869" t="s">
        <v>74</v>
      </c>
      <c r="W869" t="s">
        <v>12183</v>
      </c>
      <c r="X869" t="s">
        <v>12184</v>
      </c>
      <c r="Y869" t="s">
        <v>74</v>
      </c>
      <c r="Z869" t="s">
        <v>74</v>
      </c>
      <c r="AA869" t="s">
        <v>12185</v>
      </c>
      <c r="AB869" t="s">
        <v>74</v>
      </c>
      <c r="AC869" t="s">
        <v>74</v>
      </c>
      <c r="AD869" t="s">
        <v>74</v>
      </c>
      <c r="AE869" t="s">
        <v>74</v>
      </c>
      <c r="AF869" t="s">
        <v>74</v>
      </c>
      <c r="AG869">
        <v>0</v>
      </c>
      <c r="AH869">
        <v>0</v>
      </c>
      <c r="AI869">
        <v>0</v>
      </c>
      <c r="AJ869">
        <v>0</v>
      </c>
      <c r="AK869">
        <v>0</v>
      </c>
      <c r="AL869" t="s">
        <v>219</v>
      </c>
      <c r="AM869" t="s">
        <v>220</v>
      </c>
      <c r="AN869" t="s">
        <v>221</v>
      </c>
      <c r="AO869" t="s">
        <v>222</v>
      </c>
      <c r="AP869" t="s">
        <v>223</v>
      </c>
      <c r="AQ869" t="s">
        <v>74</v>
      </c>
      <c r="AR869" t="s">
        <v>224</v>
      </c>
      <c r="AS869" t="s">
        <v>225</v>
      </c>
      <c r="AT869" t="s">
        <v>529</v>
      </c>
      <c r="AU869">
        <v>2015</v>
      </c>
      <c r="AV869">
        <v>46</v>
      </c>
      <c r="AW869" t="s">
        <v>74</v>
      </c>
      <c r="AX869" t="s">
        <v>74</v>
      </c>
      <c r="AY869">
        <v>59</v>
      </c>
      <c r="AZ869" t="s">
        <v>74</v>
      </c>
      <c r="BA869" t="s">
        <v>12186</v>
      </c>
      <c r="BB869" t="s">
        <v>74</v>
      </c>
      <c r="BC869" t="s">
        <v>74</v>
      </c>
      <c r="BD869" t="s">
        <v>74</v>
      </c>
      <c r="BE869" t="s">
        <v>12187</v>
      </c>
      <c r="BF869" t="str">
        <f>HYPERLINK("http://dx.doi.org/10.1183/13993003.congress-2015.OA3527","http://dx.doi.org/10.1183/13993003.congress-2015.OA3527")</f>
        <v>http://dx.doi.org/10.1183/13993003.congress-2015.OA3527</v>
      </c>
      <c r="BG869" t="s">
        <v>74</v>
      </c>
      <c r="BH869" t="s">
        <v>74</v>
      </c>
      <c r="BI869">
        <v>2</v>
      </c>
      <c r="BJ869" t="s">
        <v>228</v>
      </c>
      <c r="BK869" t="s">
        <v>101</v>
      </c>
      <c r="BL869" t="s">
        <v>228</v>
      </c>
      <c r="BM869" t="s">
        <v>12120</v>
      </c>
      <c r="BN869" t="s">
        <v>74</v>
      </c>
      <c r="BO869" t="s">
        <v>74</v>
      </c>
      <c r="BP869" t="s">
        <v>74</v>
      </c>
      <c r="BQ869" t="s">
        <v>74</v>
      </c>
      <c r="BR869" t="s">
        <v>104</v>
      </c>
      <c r="BS869" t="s">
        <v>12188</v>
      </c>
      <c r="BT869" t="str">
        <f>HYPERLINK("https%3A%2F%2Fwww.webofscience.com%2Fwos%2Fwoscc%2Ffull-record%2FWOS:000451979400341","View Full Record in Web of Science")</f>
        <v>View Full Record in Web of Science</v>
      </c>
    </row>
    <row r="870" spans="1:72" x14ac:dyDescent="0.25">
      <c r="A870" t="s">
        <v>72</v>
      </c>
      <c r="B870" t="s">
        <v>12189</v>
      </c>
      <c r="C870" t="s">
        <v>74</v>
      </c>
      <c r="D870" t="s">
        <v>74</v>
      </c>
      <c r="E870" t="s">
        <v>74</v>
      </c>
      <c r="F870" t="s">
        <v>12190</v>
      </c>
      <c r="G870" t="s">
        <v>74</v>
      </c>
      <c r="H870" t="s">
        <v>74</v>
      </c>
      <c r="I870" t="s">
        <v>12191</v>
      </c>
      <c r="J870" t="s">
        <v>216</v>
      </c>
      <c r="K870" t="s">
        <v>74</v>
      </c>
      <c r="L870" t="s">
        <v>74</v>
      </c>
      <c r="M870" t="s">
        <v>78</v>
      </c>
      <c r="N870" t="s">
        <v>52</v>
      </c>
      <c r="O870" t="s">
        <v>74</v>
      </c>
      <c r="P870" t="s">
        <v>74</v>
      </c>
      <c r="Q870" t="s">
        <v>74</v>
      </c>
      <c r="R870" t="s">
        <v>74</v>
      </c>
      <c r="S870" t="s">
        <v>74</v>
      </c>
      <c r="T870" t="s">
        <v>12192</v>
      </c>
      <c r="U870" t="s">
        <v>74</v>
      </c>
      <c r="V870" t="s">
        <v>74</v>
      </c>
      <c r="W870" t="s">
        <v>12193</v>
      </c>
      <c r="X870" t="s">
        <v>12194</v>
      </c>
      <c r="Y870" t="s">
        <v>74</v>
      </c>
      <c r="Z870" t="s">
        <v>74</v>
      </c>
      <c r="AA870" t="s">
        <v>12195</v>
      </c>
      <c r="AB870" t="s">
        <v>10255</v>
      </c>
      <c r="AC870" t="s">
        <v>74</v>
      </c>
      <c r="AD870" t="s">
        <v>74</v>
      </c>
      <c r="AE870" t="s">
        <v>74</v>
      </c>
      <c r="AF870" t="s">
        <v>74</v>
      </c>
      <c r="AG870">
        <v>0</v>
      </c>
      <c r="AH870">
        <v>0</v>
      </c>
      <c r="AI870">
        <v>0</v>
      </c>
      <c r="AJ870">
        <v>0</v>
      </c>
      <c r="AK870">
        <v>0</v>
      </c>
      <c r="AL870" t="s">
        <v>219</v>
      </c>
      <c r="AM870" t="s">
        <v>220</v>
      </c>
      <c r="AN870" t="s">
        <v>221</v>
      </c>
      <c r="AO870" t="s">
        <v>222</v>
      </c>
      <c r="AP870" t="s">
        <v>223</v>
      </c>
      <c r="AQ870" t="s">
        <v>74</v>
      </c>
      <c r="AR870" t="s">
        <v>224</v>
      </c>
      <c r="AS870" t="s">
        <v>225</v>
      </c>
      <c r="AT870" t="s">
        <v>529</v>
      </c>
      <c r="AU870">
        <v>2015</v>
      </c>
      <c r="AV870">
        <v>46</v>
      </c>
      <c r="AW870" t="s">
        <v>74</v>
      </c>
      <c r="AX870" t="s">
        <v>74</v>
      </c>
      <c r="AY870">
        <v>59</v>
      </c>
      <c r="AZ870" t="s">
        <v>74</v>
      </c>
      <c r="BA870" t="s">
        <v>12196</v>
      </c>
      <c r="BB870" t="s">
        <v>74</v>
      </c>
      <c r="BC870" t="s">
        <v>74</v>
      </c>
      <c r="BD870" t="s">
        <v>74</v>
      </c>
      <c r="BE870" t="s">
        <v>12197</v>
      </c>
      <c r="BF870" t="str">
        <f>HYPERLINK("http://dx.doi.org/10.1183/13993003.congress-2015.PA579","http://dx.doi.org/10.1183/13993003.congress-2015.PA579")</f>
        <v>http://dx.doi.org/10.1183/13993003.congress-2015.PA579</v>
      </c>
      <c r="BG870" t="s">
        <v>74</v>
      </c>
      <c r="BH870" t="s">
        <v>74</v>
      </c>
      <c r="BI870">
        <v>2</v>
      </c>
      <c r="BJ870" t="s">
        <v>228</v>
      </c>
      <c r="BK870" t="s">
        <v>101</v>
      </c>
      <c r="BL870" t="s">
        <v>228</v>
      </c>
      <c r="BM870" t="s">
        <v>12120</v>
      </c>
      <c r="BN870" t="s">
        <v>74</v>
      </c>
      <c r="BO870" t="s">
        <v>74</v>
      </c>
      <c r="BP870" t="s">
        <v>74</v>
      </c>
      <c r="BQ870" t="s">
        <v>74</v>
      </c>
      <c r="BR870" t="s">
        <v>104</v>
      </c>
      <c r="BS870" t="s">
        <v>12198</v>
      </c>
      <c r="BT870" t="str">
        <f>HYPERLINK("https%3A%2F%2Fwww.webofscience.com%2Fwos%2Fwoscc%2Ffull-record%2FWOS:000451979407303","View Full Record in Web of Science")</f>
        <v>View Full Record in Web of Science</v>
      </c>
    </row>
    <row r="871" spans="1:72" x14ac:dyDescent="0.25">
      <c r="A871" t="s">
        <v>72</v>
      </c>
      <c r="B871" t="s">
        <v>12199</v>
      </c>
      <c r="C871" t="s">
        <v>74</v>
      </c>
      <c r="D871" t="s">
        <v>74</v>
      </c>
      <c r="E871" t="s">
        <v>74</v>
      </c>
      <c r="F871" t="s">
        <v>12200</v>
      </c>
      <c r="G871" t="s">
        <v>74</v>
      </c>
      <c r="H871" t="s">
        <v>74</v>
      </c>
      <c r="I871" t="s">
        <v>12201</v>
      </c>
      <c r="J871" t="s">
        <v>216</v>
      </c>
      <c r="K871" t="s">
        <v>74</v>
      </c>
      <c r="L871" t="s">
        <v>74</v>
      </c>
      <c r="M871" t="s">
        <v>78</v>
      </c>
      <c r="N871" t="s">
        <v>52</v>
      </c>
      <c r="O871" t="s">
        <v>74</v>
      </c>
      <c r="P871" t="s">
        <v>74</v>
      </c>
      <c r="Q871" t="s">
        <v>74</v>
      </c>
      <c r="R871" t="s">
        <v>74</v>
      </c>
      <c r="S871" t="s">
        <v>74</v>
      </c>
      <c r="T871" t="s">
        <v>12202</v>
      </c>
      <c r="U871" t="s">
        <v>74</v>
      </c>
      <c r="V871" t="s">
        <v>74</v>
      </c>
      <c r="W871" t="s">
        <v>12203</v>
      </c>
      <c r="X871" t="s">
        <v>12204</v>
      </c>
      <c r="Y871" t="s">
        <v>74</v>
      </c>
      <c r="Z871" t="s">
        <v>74</v>
      </c>
      <c r="AA871" t="s">
        <v>12205</v>
      </c>
      <c r="AB871" t="s">
        <v>1489</v>
      </c>
      <c r="AC871" t="s">
        <v>74</v>
      </c>
      <c r="AD871" t="s">
        <v>74</v>
      </c>
      <c r="AE871" t="s">
        <v>74</v>
      </c>
      <c r="AF871" t="s">
        <v>74</v>
      </c>
      <c r="AG871">
        <v>0</v>
      </c>
      <c r="AH871">
        <v>1</v>
      </c>
      <c r="AI871">
        <v>1</v>
      </c>
      <c r="AJ871">
        <v>0</v>
      </c>
      <c r="AK871">
        <v>0</v>
      </c>
      <c r="AL871" t="s">
        <v>219</v>
      </c>
      <c r="AM871" t="s">
        <v>220</v>
      </c>
      <c r="AN871" t="s">
        <v>221</v>
      </c>
      <c r="AO871" t="s">
        <v>222</v>
      </c>
      <c r="AP871" t="s">
        <v>223</v>
      </c>
      <c r="AQ871" t="s">
        <v>74</v>
      </c>
      <c r="AR871" t="s">
        <v>224</v>
      </c>
      <c r="AS871" t="s">
        <v>225</v>
      </c>
      <c r="AT871" t="s">
        <v>529</v>
      </c>
      <c r="AU871">
        <v>2015</v>
      </c>
      <c r="AV871">
        <v>46</v>
      </c>
      <c r="AW871" t="s">
        <v>74</v>
      </c>
      <c r="AX871" t="s">
        <v>74</v>
      </c>
      <c r="AY871">
        <v>59</v>
      </c>
      <c r="AZ871" t="s">
        <v>74</v>
      </c>
      <c r="BA871" t="s">
        <v>12206</v>
      </c>
      <c r="BB871" t="s">
        <v>74</v>
      </c>
      <c r="BC871" t="s">
        <v>74</v>
      </c>
      <c r="BD871" t="s">
        <v>74</v>
      </c>
      <c r="BE871" t="s">
        <v>12207</v>
      </c>
      <c r="BF871" t="str">
        <f>HYPERLINK("http://dx.doi.org/10.1183/13993003.congress-2015.OA4999","http://dx.doi.org/10.1183/13993003.congress-2015.OA4999")</f>
        <v>http://dx.doi.org/10.1183/13993003.congress-2015.OA4999</v>
      </c>
      <c r="BG871" t="s">
        <v>74</v>
      </c>
      <c r="BH871" t="s">
        <v>74</v>
      </c>
      <c r="BI871">
        <v>3</v>
      </c>
      <c r="BJ871" t="s">
        <v>228</v>
      </c>
      <c r="BK871" t="s">
        <v>101</v>
      </c>
      <c r="BL871" t="s">
        <v>228</v>
      </c>
      <c r="BM871" t="s">
        <v>12120</v>
      </c>
      <c r="BN871" t="s">
        <v>74</v>
      </c>
      <c r="BO871" t="s">
        <v>74</v>
      </c>
      <c r="BP871" t="s">
        <v>74</v>
      </c>
      <c r="BQ871" t="s">
        <v>74</v>
      </c>
      <c r="BR871" t="s">
        <v>104</v>
      </c>
      <c r="BS871" t="s">
        <v>12208</v>
      </c>
      <c r="BT871" t="str">
        <f>HYPERLINK("https%3A%2F%2Fwww.webofscience.com%2Fwos%2Fwoscc%2Ffull-record%2FWOS:000451979401045","View Full Record in Web of Science")</f>
        <v>View Full Record in Web of Science</v>
      </c>
    </row>
    <row r="872" spans="1:72" x14ac:dyDescent="0.25">
      <c r="A872" t="s">
        <v>72</v>
      </c>
      <c r="B872" t="s">
        <v>12209</v>
      </c>
      <c r="C872" t="s">
        <v>74</v>
      </c>
      <c r="D872" t="s">
        <v>74</v>
      </c>
      <c r="E872" t="s">
        <v>74</v>
      </c>
      <c r="F872" t="s">
        <v>12210</v>
      </c>
      <c r="G872" t="s">
        <v>74</v>
      </c>
      <c r="H872" t="s">
        <v>74</v>
      </c>
      <c r="I872" t="s">
        <v>12211</v>
      </c>
      <c r="J872" t="s">
        <v>216</v>
      </c>
      <c r="K872" t="s">
        <v>74</v>
      </c>
      <c r="L872" t="s">
        <v>74</v>
      </c>
      <c r="M872" t="s">
        <v>78</v>
      </c>
      <c r="N872" t="s">
        <v>79</v>
      </c>
      <c r="O872" t="s">
        <v>74</v>
      </c>
      <c r="P872" t="s">
        <v>74</v>
      </c>
      <c r="Q872" t="s">
        <v>74</v>
      </c>
      <c r="R872" t="s">
        <v>74</v>
      </c>
      <c r="S872" t="s">
        <v>74</v>
      </c>
      <c r="T872" t="s">
        <v>74</v>
      </c>
      <c r="U872" t="s">
        <v>12212</v>
      </c>
      <c r="V872" t="s">
        <v>12213</v>
      </c>
      <c r="W872" t="s">
        <v>12214</v>
      </c>
      <c r="X872" t="s">
        <v>12215</v>
      </c>
      <c r="Y872" t="s">
        <v>12216</v>
      </c>
      <c r="Z872" t="s">
        <v>12217</v>
      </c>
      <c r="AA872" t="s">
        <v>12218</v>
      </c>
      <c r="AB872" t="s">
        <v>12219</v>
      </c>
      <c r="AC872" t="s">
        <v>74</v>
      </c>
      <c r="AD872" t="s">
        <v>74</v>
      </c>
      <c r="AE872" t="s">
        <v>74</v>
      </c>
      <c r="AF872" t="s">
        <v>74</v>
      </c>
      <c r="AG872">
        <v>30</v>
      </c>
      <c r="AH872">
        <v>198</v>
      </c>
      <c r="AI872">
        <v>205</v>
      </c>
      <c r="AJ872">
        <v>0</v>
      </c>
      <c r="AK872">
        <v>6</v>
      </c>
      <c r="AL872" t="s">
        <v>219</v>
      </c>
      <c r="AM872" t="s">
        <v>220</v>
      </c>
      <c r="AN872" t="s">
        <v>221</v>
      </c>
      <c r="AO872" t="s">
        <v>222</v>
      </c>
      <c r="AP872" t="s">
        <v>223</v>
      </c>
      <c r="AQ872" t="s">
        <v>74</v>
      </c>
      <c r="AR872" t="s">
        <v>224</v>
      </c>
      <c r="AS872" t="s">
        <v>225</v>
      </c>
      <c r="AT872" t="s">
        <v>492</v>
      </c>
      <c r="AU872">
        <v>2015</v>
      </c>
      <c r="AV872">
        <v>46</v>
      </c>
      <c r="AW872">
        <v>3</v>
      </c>
      <c r="AX872" t="s">
        <v>74</v>
      </c>
      <c r="AY872" t="s">
        <v>74</v>
      </c>
      <c r="AZ872" t="s">
        <v>74</v>
      </c>
      <c r="BA872" t="s">
        <v>74</v>
      </c>
      <c r="BB872">
        <v>728</v>
      </c>
      <c r="BC872">
        <v>737</v>
      </c>
      <c r="BD872" t="s">
        <v>74</v>
      </c>
      <c r="BE872" t="s">
        <v>12220</v>
      </c>
      <c r="BF872" t="str">
        <f>HYPERLINK("http://dx.doi.org/10.1183/09031936.00021915","http://dx.doi.org/10.1183/09031936.00021915")</f>
        <v>http://dx.doi.org/10.1183/09031936.00021915</v>
      </c>
      <c r="BG872" t="s">
        <v>74</v>
      </c>
      <c r="BH872" t="s">
        <v>74</v>
      </c>
      <c r="BI872">
        <v>10</v>
      </c>
      <c r="BJ872" t="s">
        <v>228</v>
      </c>
      <c r="BK872" t="s">
        <v>101</v>
      </c>
      <c r="BL872" t="s">
        <v>228</v>
      </c>
      <c r="BM872" t="s">
        <v>12127</v>
      </c>
      <c r="BN872">
        <v>26022955</v>
      </c>
      <c r="BO872" t="s">
        <v>1194</v>
      </c>
      <c r="BP872" t="s">
        <v>74</v>
      </c>
      <c r="BQ872" t="s">
        <v>74</v>
      </c>
      <c r="BR872" t="s">
        <v>104</v>
      </c>
      <c r="BS872" t="s">
        <v>12221</v>
      </c>
      <c r="BT872" t="str">
        <f>HYPERLINK("https%3A%2F%2Fwww.webofscience.com%2Fwos%2Fwoscc%2Ffull-record%2FWOS:000360689400023","View Full Record in Web of Science")</f>
        <v>View Full Record in Web of Science</v>
      </c>
    </row>
    <row r="873" spans="1:72" x14ac:dyDescent="0.25">
      <c r="A873" t="s">
        <v>72</v>
      </c>
      <c r="B873" t="s">
        <v>12222</v>
      </c>
      <c r="C873" t="s">
        <v>74</v>
      </c>
      <c r="D873" t="s">
        <v>74</v>
      </c>
      <c r="E873" t="s">
        <v>74</v>
      </c>
      <c r="F873" t="s">
        <v>12223</v>
      </c>
      <c r="G873" t="s">
        <v>74</v>
      </c>
      <c r="H873" t="s">
        <v>74</v>
      </c>
      <c r="I873" t="s">
        <v>12224</v>
      </c>
      <c r="J873" t="s">
        <v>12225</v>
      </c>
      <c r="K873" t="s">
        <v>74</v>
      </c>
      <c r="L873" t="s">
        <v>74</v>
      </c>
      <c r="M873" t="s">
        <v>78</v>
      </c>
      <c r="N873" t="s">
        <v>52</v>
      </c>
      <c r="O873" t="s">
        <v>74</v>
      </c>
      <c r="P873" t="s">
        <v>74</v>
      </c>
      <c r="Q873" t="s">
        <v>74</v>
      </c>
      <c r="R873" t="s">
        <v>74</v>
      </c>
      <c r="S873" t="s">
        <v>74</v>
      </c>
      <c r="T873" t="s">
        <v>74</v>
      </c>
      <c r="U873" t="s">
        <v>74</v>
      </c>
      <c r="V873" t="s">
        <v>74</v>
      </c>
      <c r="W873" t="s">
        <v>12226</v>
      </c>
      <c r="X873" t="s">
        <v>12227</v>
      </c>
      <c r="Y873" t="s">
        <v>74</v>
      </c>
      <c r="Z873" t="s">
        <v>74</v>
      </c>
      <c r="AA873" t="s">
        <v>12228</v>
      </c>
      <c r="AB873" t="s">
        <v>74</v>
      </c>
      <c r="AC873" t="s">
        <v>74</v>
      </c>
      <c r="AD873" t="s">
        <v>74</v>
      </c>
      <c r="AE873" t="s">
        <v>74</v>
      </c>
      <c r="AF873" t="s">
        <v>74</v>
      </c>
      <c r="AG873">
        <v>0</v>
      </c>
      <c r="AH873">
        <v>0</v>
      </c>
      <c r="AI873">
        <v>0</v>
      </c>
      <c r="AJ873">
        <v>0</v>
      </c>
      <c r="AK873">
        <v>2</v>
      </c>
      <c r="AL873" t="s">
        <v>10904</v>
      </c>
      <c r="AM873" t="s">
        <v>170</v>
      </c>
      <c r="AN873" t="s">
        <v>171</v>
      </c>
      <c r="AO873" t="s">
        <v>12229</v>
      </c>
      <c r="AP873" t="s">
        <v>12230</v>
      </c>
      <c r="AQ873" t="s">
        <v>74</v>
      </c>
      <c r="AR873" t="s">
        <v>12231</v>
      </c>
      <c r="AS873" t="s">
        <v>12232</v>
      </c>
      <c r="AT873" t="s">
        <v>492</v>
      </c>
      <c r="AU873">
        <v>2015</v>
      </c>
      <c r="AV873">
        <v>45</v>
      </c>
      <c r="AW873" t="s">
        <v>74</v>
      </c>
      <c r="AX873" t="s">
        <v>74</v>
      </c>
      <c r="AY873">
        <v>4</v>
      </c>
      <c r="AZ873" t="s">
        <v>1080</v>
      </c>
      <c r="BA873" t="s">
        <v>12233</v>
      </c>
      <c r="BB873">
        <v>16</v>
      </c>
      <c r="BC873">
        <v>16</v>
      </c>
      <c r="BD873" t="s">
        <v>74</v>
      </c>
      <c r="BE873" t="s">
        <v>74</v>
      </c>
      <c r="BF873" t="s">
        <v>74</v>
      </c>
      <c r="BG873" t="s">
        <v>74</v>
      </c>
      <c r="BH873" t="s">
        <v>74</v>
      </c>
      <c r="BI873">
        <v>1</v>
      </c>
      <c r="BJ873" t="s">
        <v>1152</v>
      </c>
      <c r="BK873" t="s">
        <v>101</v>
      </c>
      <c r="BL873" t="s">
        <v>1153</v>
      </c>
      <c r="BM873" t="s">
        <v>12234</v>
      </c>
      <c r="BN873" t="s">
        <v>74</v>
      </c>
      <c r="BO873" t="s">
        <v>74</v>
      </c>
      <c r="BP873" t="s">
        <v>74</v>
      </c>
      <c r="BQ873" t="s">
        <v>74</v>
      </c>
      <c r="BR873" t="s">
        <v>104</v>
      </c>
      <c r="BS873" t="s">
        <v>12235</v>
      </c>
      <c r="BT873" t="str">
        <f>HYPERLINK("https%3A%2F%2Fwww.webofscience.com%2Fwos%2Fwoscc%2Ffull-record%2FWOS:000360834700052","View Full Record in Web of Science")</f>
        <v>View Full Record in Web of Science</v>
      </c>
    </row>
    <row r="874" spans="1:72" x14ac:dyDescent="0.25">
      <c r="A874" t="s">
        <v>72</v>
      </c>
      <c r="B874" t="s">
        <v>12236</v>
      </c>
      <c r="C874" t="s">
        <v>74</v>
      </c>
      <c r="D874" t="s">
        <v>74</v>
      </c>
      <c r="E874" t="s">
        <v>74</v>
      </c>
      <c r="F874" t="s">
        <v>12237</v>
      </c>
      <c r="G874" t="s">
        <v>74</v>
      </c>
      <c r="H874" t="s">
        <v>74</v>
      </c>
      <c r="I874" t="s">
        <v>12238</v>
      </c>
      <c r="J874" t="s">
        <v>216</v>
      </c>
      <c r="K874" t="s">
        <v>74</v>
      </c>
      <c r="L874" t="s">
        <v>74</v>
      </c>
      <c r="M874" t="s">
        <v>78</v>
      </c>
      <c r="N874" t="s">
        <v>52</v>
      </c>
      <c r="O874" t="s">
        <v>74</v>
      </c>
      <c r="P874" t="s">
        <v>74</v>
      </c>
      <c r="Q874" t="s">
        <v>74</v>
      </c>
      <c r="R874" t="s">
        <v>74</v>
      </c>
      <c r="S874" t="s">
        <v>74</v>
      </c>
      <c r="T874" t="s">
        <v>12239</v>
      </c>
      <c r="U874" t="s">
        <v>74</v>
      </c>
      <c r="V874" t="s">
        <v>74</v>
      </c>
      <c r="W874" t="s">
        <v>12240</v>
      </c>
      <c r="X874" t="s">
        <v>12241</v>
      </c>
      <c r="Y874" t="s">
        <v>74</v>
      </c>
      <c r="Z874" t="s">
        <v>74</v>
      </c>
      <c r="AA874" t="s">
        <v>12242</v>
      </c>
      <c r="AB874" t="s">
        <v>7224</v>
      </c>
      <c r="AC874" t="s">
        <v>74</v>
      </c>
      <c r="AD874" t="s">
        <v>74</v>
      </c>
      <c r="AE874" t="s">
        <v>74</v>
      </c>
      <c r="AF874" t="s">
        <v>74</v>
      </c>
      <c r="AG874">
        <v>0</v>
      </c>
      <c r="AH874">
        <v>0</v>
      </c>
      <c r="AI874">
        <v>0</v>
      </c>
      <c r="AJ874">
        <v>0</v>
      </c>
      <c r="AK874">
        <v>0</v>
      </c>
      <c r="AL874" t="s">
        <v>219</v>
      </c>
      <c r="AM874" t="s">
        <v>220</v>
      </c>
      <c r="AN874" t="s">
        <v>221</v>
      </c>
      <c r="AO874" t="s">
        <v>222</v>
      </c>
      <c r="AP874" t="s">
        <v>223</v>
      </c>
      <c r="AQ874" t="s">
        <v>74</v>
      </c>
      <c r="AR874" t="s">
        <v>224</v>
      </c>
      <c r="AS874" t="s">
        <v>225</v>
      </c>
      <c r="AT874" t="s">
        <v>529</v>
      </c>
      <c r="AU874">
        <v>2015</v>
      </c>
      <c r="AV874">
        <v>46</v>
      </c>
      <c r="AW874" t="s">
        <v>74</v>
      </c>
      <c r="AX874" t="s">
        <v>74</v>
      </c>
      <c r="AY874">
        <v>59</v>
      </c>
      <c r="AZ874" t="s">
        <v>74</v>
      </c>
      <c r="BA874" t="s">
        <v>12243</v>
      </c>
      <c r="BB874" t="s">
        <v>74</v>
      </c>
      <c r="BC874" t="s">
        <v>74</v>
      </c>
      <c r="BD874" t="s">
        <v>74</v>
      </c>
      <c r="BE874" t="s">
        <v>12244</v>
      </c>
      <c r="BF874" t="str">
        <f>HYPERLINK("http://dx.doi.org/10.1183/13993003.congress-2015.OA4958","http://dx.doi.org/10.1183/13993003.congress-2015.OA4958")</f>
        <v>http://dx.doi.org/10.1183/13993003.congress-2015.OA4958</v>
      </c>
      <c r="BG874" t="s">
        <v>74</v>
      </c>
      <c r="BH874" t="s">
        <v>74</v>
      </c>
      <c r="BI874">
        <v>2</v>
      </c>
      <c r="BJ874" t="s">
        <v>228</v>
      </c>
      <c r="BK874" t="s">
        <v>101</v>
      </c>
      <c r="BL874" t="s">
        <v>228</v>
      </c>
      <c r="BM874" t="s">
        <v>12120</v>
      </c>
      <c r="BN874" t="s">
        <v>74</v>
      </c>
      <c r="BO874" t="s">
        <v>74</v>
      </c>
      <c r="BP874" t="s">
        <v>74</v>
      </c>
      <c r="BQ874" t="s">
        <v>74</v>
      </c>
      <c r="BR874" t="s">
        <v>104</v>
      </c>
      <c r="BS874" t="s">
        <v>12245</v>
      </c>
      <c r="BT874" t="str">
        <f>HYPERLINK("https%3A%2F%2Fwww.webofscience.com%2Fwos%2Fwoscc%2Ffull-record%2FWOS:000451979400458","View Full Record in Web of Science")</f>
        <v>View Full Record in Web of Science</v>
      </c>
    </row>
    <row r="875" spans="1:72" x14ac:dyDescent="0.25">
      <c r="A875" t="s">
        <v>72</v>
      </c>
      <c r="B875" t="s">
        <v>12246</v>
      </c>
      <c r="C875" t="s">
        <v>74</v>
      </c>
      <c r="D875" t="s">
        <v>74</v>
      </c>
      <c r="E875" t="s">
        <v>74</v>
      </c>
      <c r="F875" t="s">
        <v>12247</v>
      </c>
      <c r="G875" t="s">
        <v>74</v>
      </c>
      <c r="H875" t="s">
        <v>74</v>
      </c>
      <c r="I875" t="s">
        <v>12248</v>
      </c>
      <c r="J875" t="s">
        <v>216</v>
      </c>
      <c r="K875" t="s">
        <v>74</v>
      </c>
      <c r="L875" t="s">
        <v>74</v>
      </c>
      <c r="M875" t="s">
        <v>78</v>
      </c>
      <c r="N875" t="s">
        <v>52</v>
      </c>
      <c r="O875" t="s">
        <v>74</v>
      </c>
      <c r="P875" t="s">
        <v>74</v>
      </c>
      <c r="Q875" t="s">
        <v>74</v>
      </c>
      <c r="R875" t="s">
        <v>74</v>
      </c>
      <c r="S875" t="s">
        <v>74</v>
      </c>
      <c r="T875" t="s">
        <v>12249</v>
      </c>
      <c r="U875" t="s">
        <v>74</v>
      </c>
      <c r="V875" t="s">
        <v>74</v>
      </c>
      <c r="W875" t="s">
        <v>12250</v>
      </c>
      <c r="X875" t="s">
        <v>12251</v>
      </c>
      <c r="Y875" t="s">
        <v>74</v>
      </c>
      <c r="Z875" t="s">
        <v>74</v>
      </c>
      <c r="AA875" t="s">
        <v>12252</v>
      </c>
      <c r="AB875" t="s">
        <v>10255</v>
      </c>
      <c r="AC875" t="s">
        <v>74</v>
      </c>
      <c r="AD875" t="s">
        <v>74</v>
      </c>
      <c r="AE875" t="s">
        <v>74</v>
      </c>
      <c r="AF875" t="s">
        <v>74</v>
      </c>
      <c r="AG875">
        <v>0</v>
      </c>
      <c r="AH875">
        <v>0</v>
      </c>
      <c r="AI875">
        <v>0</v>
      </c>
      <c r="AJ875">
        <v>0</v>
      </c>
      <c r="AK875">
        <v>0</v>
      </c>
      <c r="AL875" t="s">
        <v>219</v>
      </c>
      <c r="AM875" t="s">
        <v>220</v>
      </c>
      <c r="AN875" t="s">
        <v>221</v>
      </c>
      <c r="AO875" t="s">
        <v>222</v>
      </c>
      <c r="AP875" t="s">
        <v>223</v>
      </c>
      <c r="AQ875" t="s">
        <v>74</v>
      </c>
      <c r="AR875" t="s">
        <v>224</v>
      </c>
      <c r="AS875" t="s">
        <v>225</v>
      </c>
      <c r="AT875" t="s">
        <v>529</v>
      </c>
      <c r="AU875">
        <v>2015</v>
      </c>
      <c r="AV875">
        <v>46</v>
      </c>
      <c r="AW875" t="s">
        <v>74</v>
      </c>
      <c r="AX875" t="s">
        <v>74</v>
      </c>
      <c r="AY875">
        <v>59</v>
      </c>
      <c r="AZ875" t="s">
        <v>74</v>
      </c>
      <c r="BA875" t="s">
        <v>12253</v>
      </c>
      <c r="BB875" t="s">
        <v>74</v>
      </c>
      <c r="BC875" t="s">
        <v>74</v>
      </c>
      <c r="BD875" t="s">
        <v>74</v>
      </c>
      <c r="BE875" t="s">
        <v>12254</v>
      </c>
      <c r="BF875" t="str">
        <f>HYPERLINK("http://dx.doi.org/10.1183/13993003.congress-2015.OA3529","http://dx.doi.org/10.1183/13993003.congress-2015.OA3529")</f>
        <v>http://dx.doi.org/10.1183/13993003.congress-2015.OA3529</v>
      </c>
      <c r="BG875" t="s">
        <v>74</v>
      </c>
      <c r="BH875" t="s">
        <v>74</v>
      </c>
      <c r="BI875">
        <v>2</v>
      </c>
      <c r="BJ875" t="s">
        <v>228</v>
      </c>
      <c r="BK875" t="s">
        <v>101</v>
      </c>
      <c r="BL875" t="s">
        <v>228</v>
      </c>
      <c r="BM875" t="s">
        <v>12120</v>
      </c>
      <c r="BN875" t="s">
        <v>74</v>
      </c>
      <c r="BO875" t="s">
        <v>74</v>
      </c>
      <c r="BP875" t="s">
        <v>74</v>
      </c>
      <c r="BQ875" t="s">
        <v>74</v>
      </c>
      <c r="BR875" t="s">
        <v>104</v>
      </c>
      <c r="BS875" t="s">
        <v>12255</v>
      </c>
      <c r="BT875" t="str">
        <f>HYPERLINK("https%3A%2F%2Fwww.webofscience.com%2Fwos%2Fwoscc%2Ffull-record%2FWOS:000451979400343","View Full Record in Web of Science")</f>
        <v>View Full Record in Web of Science</v>
      </c>
    </row>
    <row r="876" spans="1:72" x14ac:dyDescent="0.25">
      <c r="A876" t="s">
        <v>72</v>
      </c>
      <c r="B876" t="s">
        <v>12256</v>
      </c>
      <c r="C876" t="s">
        <v>74</v>
      </c>
      <c r="D876" t="s">
        <v>74</v>
      </c>
      <c r="E876" t="s">
        <v>74</v>
      </c>
      <c r="F876" t="s">
        <v>12257</v>
      </c>
      <c r="G876" t="s">
        <v>74</v>
      </c>
      <c r="H876" t="s">
        <v>74</v>
      </c>
      <c r="I876" t="s">
        <v>12258</v>
      </c>
      <c r="J876" t="s">
        <v>216</v>
      </c>
      <c r="K876" t="s">
        <v>74</v>
      </c>
      <c r="L876" t="s">
        <v>74</v>
      </c>
      <c r="M876" t="s">
        <v>78</v>
      </c>
      <c r="N876" t="s">
        <v>52</v>
      </c>
      <c r="O876" t="s">
        <v>74</v>
      </c>
      <c r="P876" t="s">
        <v>74</v>
      </c>
      <c r="Q876" t="s">
        <v>74</v>
      </c>
      <c r="R876" t="s">
        <v>74</v>
      </c>
      <c r="S876" t="s">
        <v>74</v>
      </c>
      <c r="T876" t="s">
        <v>12259</v>
      </c>
      <c r="U876" t="s">
        <v>74</v>
      </c>
      <c r="V876" t="s">
        <v>74</v>
      </c>
      <c r="W876" t="s">
        <v>12260</v>
      </c>
      <c r="X876" t="s">
        <v>12261</v>
      </c>
      <c r="Y876" t="s">
        <v>74</v>
      </c>
      <c r="Z876" t="s">
        <v>74</v>
      </c>
      <c r="AA876" t="s">
        <v>12262</v>
      </c>
      <c r="AB876" t="s">
        <v>74</v>
      </c>
      <c r="AC876" t="s">
        <v>74</v>
      </c>
      <c r="AD876" t="s">
        <v>74</v>
      </c>
      <c r="AE876" t="s">
        <v>74</v>
      </c>
      <c r="AF876" t="s">
        <v>74</v>
      </c>
      <c r="AG876">
        <v>0</v>
      </c>
      <c r="AH876">
        <v>0</v>
      </c>
      <c r="AI876">
        <v>0</v>
      </c>
      <c r="AJ876">
        <v>0</v>
      </c>
      <c r="AK876">
        <v>2</v>
      </c>
      <c r="AL876" t="s">
        <v>219</v>
      </c>
      <c r="AM876" t="s">
        <v>220</v>
      </c>
      <c r="AN876" t="s">
        <v>221</v>
      </c>
      <c r="AO876" t="s">
        <v>222</v>
      </c>
      <c r="AP876" t="s">
        <v>223</v>
      </c>
      <c r="AQ876" t="s">
        <v>74</v>
      </c>
      <c r="AR876" t="s">
        <v>224</v>
      </c>
      <c r="AS876" t="s">
        <v>225</v>
      </c>
      <c r="AT876" t="s">
        <v>529</v>
      </c>
      <c r="AU876">
        <v>2015</v>
      </c>
      <c r="AV876">
        <v>46</v>
      </c>
      <c r="AW876" t="s">
        <v>74</v>
      </c>
      <c r="AX876" t="s">
        <v>74</v>
      </c>
      <c r="AY876">
        <v>59</v>
      </c>
      <c r="AZ876" t="s">
        <v>74</v>
      </c>
      <c r="BA876" t="s">
        <v>12263</v>
      </c>
      <c r="BB876" t="s">
        <v>74</v>
      </c>
      <c r="BC876" t="s">
        <v>74</v>
      </c>
      <c r="BD876" t="s">
        <v>74</v>
      </c>
      <c r="BE876" t="s">
        <v>12264</v>
      </c>
      <c r="BF876" t="str">
        <f>HYPERLINK("http://dx.doi.org/10.1183/13993003.congress-2015.PA2230","http://dx.doi.org/10.1183/13993003.congress-2015.PA2230")</f>
        <v>http://dx.doi.org/10.1183/13993003.congress-2015.PA2230</v>
      </c>
      <c r="BG876" t="s">
        <v>74</v>
      </c>
      <c r="BH876" t="s">
        <v>74</v>
      </c>
      <c r="BI876">
        <v>2</v>
      </c>
      <c r="BJ876" t="s">
        <v>228</v>
      </c>
      <c r="BK876" t="s">
        <v>101</v>
      </c>
      <c r="BL876" t="s">
        <v>228</v>
      </c>
      <c r="BM876" t="s">
        <v>12120</v>
      </c>
      <c r="BN876" t="s">
        <v>74</v>
      </c>
      <c r="BO876" t="s">
        <v>74</v>
      </c>
      <c r="BP876" t="s">
        <v>74</v>
      </c>
      <c r="BQ876" t="s">
        <v>74</v>
      </c>
      <c r="BR876" t="s">
        <v>104</v>
      </c>
      <c r="BS876" t="s">
        <v>12265</v>
      </c>
      <c r="BT876" t="str">
        <f>HYPERLINK("https%3A%2F%2Fwww.webofscience.com%2Fwos%2Fwoscc%2Ffull-record%2FWOS:000451979402425","View Full Record in Web of Science")</f>
        <v>View Full Record in Web of Science</v>
      </c>
    </row>
    <row r="877" spans="1:72" x14ac:dyDescent="0.25">
      <c r="A877" t="s">
        <v>72</v>
      </c>
      <c r="B877" t="s">
        <v>12266</v>
      </c>
      <c r="C877" t="s">
        <v>74</v>
      </c>
      <c r="D877" t="s">
        <v>74</v>
      </c>
      <c r="E877" t="s">
        <v>74</v>
      </c>
      <c r="F877" t="s">
        <v>12267</v>
      </c>
      <c r="G877" t="s">
        <v>74</v>
      </c>
      <c r="H877" t="s">
        <v>74</v>
      </c>
      <c r="I877" t="s">
        <v>12268</v>
      </c>
      <c r="J877" t="s">
        <v>216</v>
      </c>
      <c r="K877" t="s">
        <v>74</v>
      </c>
      <c r="L877" t="s">
        <v>74</v>
      </c>
      <c r="M877" t="s">
        <v>78</v>
      </c>
      <c r="N877" t="s">
        <v>52</v>
      </c>
      <c r="O877" t="s">
        <v>74</v>
      </c>
      <c r="P877" t="s">
        <v>74</v>
      </c>
      <c r="Q877" t="s">
        <v>74</v>
      </c>
      <c r="R877" t="s">
        <v>74</v>
      </c>
      <c r="S877" t="s">
        <v>74</v>
      </c>
      <c r="T877" t="s">
        <v>11070</v>
      </c>
      <c r="U877" t="s">
        <v>74</v>
      </c>
      <c r="V877" t="s">
        <v>74</v>
      </c>
      <c r="W877" t="s">
        <v>12269</v>
      </c>
      <c r="X877" t="s">
        <v>12270</v>
      </c>
      <c r="Y877" t="s">
        <v>74</v>
      </c>
      <c r="Z877" t="s">
        <v>74</v>
      </c>
      <c r="AA877" t="s">
        <v>12271</v>
      </c>
      <c r="AB877" t="s">
        <v>74</v>
      </c>
      <c r="AC877" t="s">
        <v>74</v>
      </c>
      <c r="AD877" t="s">
        <v>74</v>
      </c>
      <c r="AE877" t="s">
        <v>74</v>
      </c>
      <c r="AF877" t="s">
        <v>74</v>
      </c>
      <c r="AG877">
        <v>0</v>
      </c>
      <c r="AH877">
        <v>0</v>
      </c>
      <c r="AI877">
        <v>0</v>
      </c>
      <c r="AJ877">
        <v>0</v>
      </c>
      <c r="AK877">
        <v>1</v>
      </c>
      <c r="AL877" t="s">
        <v>219</v>
      </c>
      <c r="AM877" t="s">
        <v>220</v>
      </c>
      <c r="AN877" t="s">
        <v>221</v>
      </c>
      <c r="AO877" t="s">
        <v>222</v>
      </c>
      <c r="AP877" t="s">
        <v>223</v>
      </c>
      <c r="AQ877" t="s">
        <v>74</v>
      </c>
      <c r="AR877" t="s">
        <v>224</v>
      </c>
      <c r="AS877" t="s">
        <v>225</v>
      </c>
      <c r="AT877" t="s">
        <v>529</v>
      </c>
      <c r="AU877">
        <v>2015</v>
      </c>
      <c r="AV877">
        <v>46</v>
      </c>
      <c r="AW877" t="s">
        <v>74</v>
      </c>
      <c r="AX877" t="s">
        <v>74</v>
      </c>
      <c r="AY877">
        <v>59</v>
      </c>
      <c r="AZ877" t="s">
        <v>74</v>
      </c>
      <c r="BA877" t="s">
        <v>12272</v>
      </c>
      <c r="BB877" t="s">
        <v>74</v>
      </c>
      <c r="BC877" t="s">
        <v>74</v>
      </c>
      <c r="BD877" t="s">
        <v>74</v>
      </c>
      <c r="BE877" t="s">
        <v>12273</v>
      </c>
      <c r="BF877" t="str">
        <f>HYPERLINK("http://dx.doi.org/10.1183/13993003.congress-2015.PA4900","http://dx.doi.org/10.1183/13993003.congress-2015.PA4900")</f>
        <v>http://dx.doi.org/10.1183/13993003.congress-2015.PA4900</v>
      </c>
      <c r="BG877" t="s">
        <v>74</v>
      </c>
      <c r="BH877" t="s">
        <v>74</v>
      </c>
      <c r="BI877">
        <v>2</v>
      </c>
      <c r="BJ877" t="s">
        <v>228</v>
      </c>
      <c r="BK877" t="s">
        <v>101</v>
      </c>
      <c r="BL877" t="s">
        <v>228</v>
      </c>
      <c r="BM877" t="s">
        <v>12120</v>
      </c>
      <c r="BN877" t="s">
        <v>74</v>
      </c>
      <c r="BO877" t="s">
        <v>74</v>
      </c>
      <c r="BP877" t="s">
        <v>74</v>
      </c>
      <c r="BQ877" t="s">
        <v>74</v>
      </c>
      <c r="BR877" t="s">
        <v>104</v>
      </c>
      <c r="BS877" t="s">
        <v>12274</v>
      </c>
      <c r="BT877" t="str">
        <f>HYPERLINK("https%3A%2F%2Fwww.webofscience.com%2Fwos%2Fwoscc%2Ffull-record%2FWOS:000451979407091","View Full Record in Web of Science")</f>
        <v>View Full Record in Web of Science</v>
      </c>
    </row>
    <row r="878" spans="1:72" x14ac:dyDescent="0.25">
      <c r="A878" t="s">
        <v>72</v>
      </c>
      <c r="B878" t="s">
        <v>12275</v>
      </c>
      <c r="C878" t="s">
        <v>74</v>
      </c>
      <c r="D878" t="s">
        <v>74</v>
      </c>
      <c r="E878" t="s">
        <v>74</v>
      </c>
      <c r="F878" t="s">
        <v>12276</v>
      </c>
      <c r="G878" t="s">
        <v>74</v>
      </c>
      <c r="H878" t="s">
        <v>74</v>
      </c>
      <c r="I878" t="s">
        <v>12277</v>
      </c>
      <c r="J878" t="s">
        <v>216</v>
      </c>
      <c r="K878" t="s">
        <v>74</v>
      </c>
      <c r="L878" t="s">
        <v>74</v>
      </c>
      <c r="M878" t="s">
        <v>78</v>
      </c>
      <c r="N878" t="s">
        <v>52</v>
      </c>
      <c r="O878" t="s">
        <v>74</v>
      </c>
      <c r="P878" t="s">
        <v>74</v>
      </c>
      <c r="Q878" t="s">
        <v>74</v>
      </c>
      <c r="R878" t="s">
        <v>74</v>
      </c>
      <c r="S878" t="s">
        <v>74</v>
      </c>
      <c r="T878" t="s">
        <v>12278</v>
      </c>
      <c r="U878" t="s">
        <v>74</v>
      </c>
      <c r="V878" t="s">
        <v>74</v>
      </c>
      <c r="W878" t="s">
        <v>12279</v>
      </c>
      <c r="X878" t="s">
        <v>12280</v>
      </c>
      <c r="Y878" t="s">
        <v>74</v>
      </c>
      <c r="Z878" t="s">
        <v>74</v>
      </c>
      <c r="AA878" t="s">
        <v>12281</v>
      </c>
      <c r="AB878" t="s">
        <v>5709</v>
      </c>
      <c r="AC878" t="s">
        <v>74</v>
      </c>
      <c r="AD878" t="s">
        <v>74</v>
      </c>
      <c r="AE878" t="s">
        <v>74</v>
      </c>
      <c r="AF878" t="s">
        <v>74</v>
      </c>
      <c r="AG878">
        <v>0</v>
      </c>
      <c r="AH878">
        <v>0</v>
      </c>
      <c r="AI878">
        <v>0</v>
      </c>
      <c r="AJ878">
        <v>0</v>
      </c>
      <c r="AK878">
        <v>2</v>
      </c>
      <c r="AL878" t="s">
        <v>219</v>
      </c>
      <c r="AM878" t="s">
        <v>220</v>
      </c>
      <c r="AN878" t="s">
        <v>221</v>
      </c>
      <c r="AO878" t="s">
        <v>222</v>
      </c>
      <c r="AP878" t="s">
        <v>223</v>
      </c>
      <c r="AQ878" t="s">
        <v>74</v>
      </c>
      <c r="AR878" t="s">
        <v>224</v>
      </c>
      <c r="AS878" t="s">
        <v>225</v>
      </c>
      <c r="AT878" t="s">
        <v>529</v>
      </c>
      <c r="AU878">
        <v>2015</v>
      </c>
      <c r="AV878">
        <v>46</v>
      </c>
      <c r="AW878" t="s">
        <v>74</v>
      </c>
      <c r="AX878" t="s">
        <v>74</v>
      </c>
      <c r="AY878">
        <v>59</v>
      </c>
      <c r="AZ878" t="s">
        <v>74</v>
      </c>
      <c r="BA878" t="s">
        <v>12282</v>
      </c>
      <c r="BB878" t="s">
        <v>74</v>
      </c>
      <c r="BC878" t="s">
        <v>74</v>
      </c>
      <c r="BD878" t="s">
        <v>74</v>
      </c>
      <c r="BE878" t="s">
        <v>12283</v>
      </c>
      <c r="BF878" t="str">
        <f>HYPERLINK("http://dx.doi.org/10.1183/13993003.congress-2015.PA580","http://dx.doi.org/10.1183/13993003.congress-2015.PA580")</f>
        <v>http://dx.doi.org/10.1183/13993003.congress-2015.PA580</v>
      </c>
      <c r="BG878" t="s">
        <v>74</v>
      </c>
      <c r="BH878" t="s">
        <v>74</v>
      </c>
      <c r="BI878">
        <v>2</v>
      </c>
      <c r="BJ878" t="s">
        <v>228</v>
      </c>
      <c r="BK878" t="s">
        <v>101</v>
      </c>
      <c r="BL878" t="s">
        <v>228</v>
      </c>
      <c r="BM878" t="s">
        <v>12120</v>
      </c>
      <c r="BN878" t="s">
        <v>74</v>
      </c>
      <c r="BO878" t="s">
        <v>74</v>
      </c>
      <c r="BP878" t="s">
        <v>74</v>
      </c>
      <c r="BQ878" t="s">
        <v>74</v>
      </c>
      <c r="BR878" t="s">
        <v>104</v>
      </c>
      <c r="BS878" t="s">
        <v>12284</v>
      </c>
      <c r="BT878" t="str">
        <f>HYPERLINK("https%3A%2F%2Fwww.webofscience.com%2Fwos%2Fwoscc%2Ffull-record%2FWOS:000451979407304","View Full Record in Web of Science")</f>
        <v>View Full Record in Web of Science</v>
      </c>
    </row>
    <row r="879" spans="1:72" x14ac:dyDescent="0.25">
      <c r="A879" t="s">
        <v>72</v>
      </c>
      <c r="B879" t="s">
        <v>12285</v>
      </c>
      <c r="C879" t="s">
        <v>74</v>
      </c>
      <c r="D879" t="s">
        <v>74</v>
      </c>
      <c r="E879" t="s">
        <v>74</v>
      </c>
      <c r="F879" t="s">
        <v>12286</v>
      </c>
      <c r="G879" t="s">
        <v>74</v>
      </c>
      <c r="H879" t="s">
        <v>74</v>
      </c>
      <c r="I879" t="s">
        <v>12287</v>
      </c>
      <c r="J879" t="s">
        <v>216</v>
      </c>
      <c r="K879" t="s">
        <v>74</v>
      </c>
      <c r="L879" t="s">
        <v>74</v>
      </c>
      <c r="M879" t="s">
        <v>78</v>
      </c>
      <c r="N879" t="s">
        <v>52</v>
      </c>
      <c r="O879" t="s">
        <v>74</v>
      </c>
      <c r="P879" t="s">
        <v>74</v>
      </c>
      <c r="Q879" t="s">
        <v>74</v>
      </c>
      <c r="R879" t="s">
        <v>74</v>
      </c>
      <c r="S879" t="s">
        <v>74</v>
      </c>
      <c r="T879" t="s">
        <v>12288</v>
      </c>
      <c r="U879" t="s">
        <v>74</v>
      </c>
      <c r="V879" t="s">
        <v>74</v>
      </c>
      <c r="W879" t="s">
        <v>12289</v>
      </c>
      <c r="X879" t="s">
        <v>12290</v>
      </c>
      <c r="Y879" t="s">
        <v>74</v>
      </c>
      <c r="Z879" t="s">
        <v>74</v>
      </c>
      <c r="AA879" t="s">
        <v>12291</v>
      </c>
      <c r="AB879" t="s">
        <v>5709</v>
      </c>
      <c r="AC879" t="s">
        <v>74</v>
      </c>
      <c r="AD879" t="s">
        <v>74</v>
      </c>
      <c r="AE879" t="s">
        <v>74</v>
      </c>
      <c r="AF879" t="s">
        <v>74</v>
      </c>
      <c r="AG879">
        <v>0</v>
      </c>
      <c r="AH879">
        <v>0</v>
      </c>
      <c r="AI879">
        <v>0</v>
      </c>
      <c r="AJ879">
        <v>0</v>
      </c>
      <c r="AK879">
        <v>0</v>
      </c>
      <c r="AL879" t="s">
        <v>219</v>
      </c>
      <c r="AM879" t="s">
        <v>220</v>
      </c>
      <c r="AN879" t="s">
        <v>221</v>
      </c>
      <c r="AO879" t="s">
        <v>222</v>
      </c>
      <c r="AP879" t="s">
        <v>223</v>
      </c>
      <c r="AQ879" t="s">
        <v>74</v>
      </c>
      <c r="AR879" t="s">
        <v>224</v>
      </c>
      <c r="AS879" t="s">
        <v>225</v>
      </c>
      <c r="AT879" t="s">
        <v>529</v>
      </c>
      <c r="AU879">
        <v>2015</v>
      </c>
      <c r="AV879">
        <v>46</v>
      </c>
      <c r="AW879" t="s">
        <v>74</v>
      </c>
      <c r="AX879" t="s">
        <v>74</v>
      </c>
      <c r="AY879">
        <v>59</v>
      </c>
      <c r="AZ879" t="s">
        <v>74</v>
      </c>
      <c r="BA879" t="s">
        <v>12292</v>
      </c>
      <c r="BB879" t="s">
        <v>74</v>
      </c>
      <c r="BC879" t="s">
        <v>74</v>
      </c>
      <c r="BD879" t="s">
        <v>74</v>
      </c>
      <c r="BE879" t="s">
        <v>12293</v>
      </c>
      <c r="BF879" t="str">
        <f>HYPERLINK("http://dx.doi.org/10.1183/13993003.congress-2015.PA582","http://dx.doi.org/10.1183/13993003.congress-2015.PA582")</f>
        <v>http://dx.doi.org/10.1183/13993003.congress-2015.PA582</v>
      </c>
      <c r="BG879" t="s">
        <v>74</v>
      </c>
      <c r="BH879" t="s">
        <v>74</v>
      </c>
      <c r="BI879">
        <v>2</v>
      </c>
      <c r="BJ879" t="s">
        <v>228</v>
      </c>
      <c r="BK879" t="s">
        <v>101</v>
      </c>
      <c r="BL879" t="s">
        <v>228</v>
      </c>
      <c r="BM879" t="s">
        <v>12120</v>
      </c>
      <c r="BN879" t="s">
        <v>74</v>
      </c>
      <c r="BO879" t="s">
        <v>74</v>
      </c>
      <c r="BP879" t="s">
        <v>74</v>
      </c>
      <c r="BQ879" t="s">
        <v>74</v>
      </c>
      <c r="BR879" t="s">
        <v>104</v>
      </c>
      <c r="BS879" t="s">
        <v>12294</v>
      </c>
      <c r="BT879" t="str">
        <f>HYPERLINK("https%3A%2F%2Fwww.webofscience.com%2Fwos%2Fwoscc%2Ffull-record%2FWOS:000451979407306","View Full Record in Web of Science")</f>
        <v>View Full Record in Web of Science</v>
      </c>
    </row>
    <row r="880" spans="1:72" x14ac:dyDescent="0.25">
      <c r="A880" t="s">
        <v>72</v>
      </c>
      <c r="B880" t="s">
        <v>12295</v>
      </c>
      <c r="C880" t="s">
        <v>74</v>
      </c>
      <c r="D880" t="s">
        <v>74</v>
      </c>
      <c r="E880" t="s">
        <v>74</v>
      </c>
      <c r="F880" t="s">
        <v>12296</v>
      </c>
      <c r="G880" t="s">
        <v>74</v>
      </c>
      <c r="H880" t="s">
        <v>74</v>
      </c>
      <c r="I880" t="s">
        <v>12297</v>
      </c>
      <c r="J880" t="s">
        <v>251</v>
      </c>
      <c r="K880" t="s">
        <v>74</v>
      </c>
      <c r="L880" t="s">
        <v>74</v>
      </c>
      <c r="M880" t="s">
        <v>78</v>
      </c>
      <c r="N880" t="s">
        <v>79</v>
      </c>
      <c r="O880" t="s">
        <v>74</v>
      </c>
      <c r="P880" t="s">
        <v>74</v>
      </c>
      <c r="Q880" t="s">
        <v>74</v>
      </c>
      <c r="R880" t="s">
        <v>74</v>
      </c>
      <c r="S880" t="s">
        <v>74</v>
      </c>
      <c r="T880" t="s">
        <v>12298</v>
      </c>
      <c r="U880" t="s">
        <v>12299</v>
      </c>
      <c r="V880" t="s">
        <v>12300</v>
      </c>
      <c r="W880" t="s">
        <v>12301</v>
      </c>
      <c r="X880" t="s">
        <v>12302</v>
      </c>
      <c r="Y880" t="s">
        <v>12303</v>
      </c>
      <c r="Z880" t="s">
        <v>10035</v>
      </c>
      <c r="AA880" t="s">
        <v>12304</v>
      </c>
      <c r="AB880" t="s">
        <v>12305</v>
      </c>
      <c r="AC880" t="s">
        <v>12306</v>
      </c>
      <c r="AD880" t="s">
        <v>12307</v>
      </c>
      <c r="AE880" t="s">
        <v>12308</v>
      </c>
      <c r="AF880" t="s">
        <v>74</v>
      </c>
      <c r="AG880">
        <v>38</v>
      </c>
      <c r="AH880">
        <v>106</v>
      </c>
      <c r="AI880">
        <v>111</v>
      </c>
      <c r="AJ880">
        <v>0</v>
      </c>
      <c r="AK880">
        <v>9</v>
      </c>
      <c r="AL880" t="s">
        <v>122</v>
      </c>
      <c r="AM880" t="s">
        <v>123</v>
      </c>
      <c r="AN880" t="s">
        <v>124</v>
      </c>
      <c r="AO880" t="s">
        <v>258</v>
      </c>
      <c r="AP880" t="s">
        <v>259</v>
      </c>
      <c r="AQ880" t="s">
        <v>74</v>
      </c>
      <c r="AR880" t="s">
        <v>251</v>
      </c>
      <c r="AS880" t="s">
        <v>260</v>
      </c>
      <c r="AT880" t="s">
        <v>529</v>
      </c>
      <c r="AU880">
        <v>2015</v>
      </c>
      <c r="AV880">
        <v>132</v>
      </c>
      <c r="AW880">
        <v>9</v>
      </c>
      <c r="AX880" t="s">
        <v>74</v>
      </c>
      <c r="AY880" t="s">
        <v>74</v>
      </c>
      <c r="AZ880" t="s">
        <v>74</v>
      </c>
      <c r="BA880" t="s">
        <v>74</v>
      </c>
      <c r="BB880">
        <v>834</v>
      </c>
      <c r="BC880">
        <v>847</v>
      </c>
      <c r="BD880" t="s">
        <v>74</v>
      </c>
      <c r="BE880" t="s">
        <v>12309</v>
      </c>
      <c r="BF880" t="str">
        <f>HYPERLINK("http://dx.doi.org/10.1161/CIRCULATIONAHA.115.014207","http://dx.doi.org/10.1161/CIRCULATIONAHA.115.014207")</f>
        <v>http://dx.doi.org/10.1161/CIRCULATIONAHA.115.014207</v>
      </c>
      <c r="BG880" t="s">
        <v>74</v>
      </c>
      <c r="BH880" t="s">
        <v>74</v>
      </c>
      <c r="BI880">
        <v>14</v>
      </c>
      <c r="BJ880" t="s">
        <v>263</v>
      </c>
      <c r="BK880" t="s">
        <v>101</v>
      </c>
      <c r="BL880" t="s">
        <v>133</v>
      </c>
      <c r="BM880" t="s">
        <v>12310</v>
      </c>
      <c r="BN880">
        <v>26130118</v>
      </c>
      <c r="BO880" t="s">
        <v>74</v>
      </c>
      <c r="BP880" t="s">
        <v>74</v>
      </c>
      <c r="BQ880" t="s">
        <v>74</v>
      </c>
      <c r="BR880" t="s">
        <v>104</v>
      </c>
      <c r="BS880" t="s">
        <v>12311</v>
      </c>
      <c r="BT880" t="str">
        <f>HYPERLINK("https%3A%2F%2Fwww.webofscience.com%2Fwos%2Fwoscc%2Ffull-record%2FWOS:000360315000008","View Full Record in Web of Science")</f>
        <v>View Full Record in Web of Science</v>
      </c>
    </row>
    <row r="881" spans="1:72" x14ac:dyDescent="0.25">
      <c r="A881" t="s">
        <v>72</v>
      </c>
      <c r="B881" t="s">
        <v>12312</v>
      </c>
      <c r="C881" t="s">
        <v>74</v>
      </c>
      <c r="D881" t="s">
        <v>74</v>
      </c>
      <c r="E881" t="s">
        <v>74</v>
      </c>
      <c r="F881" t="s">
        <v>12313</v>
      </c>
      <c r="G881" t="s">
        <v>74</v>
      </c>
      <c r="H881" t="s">
        <v>74</v>
      </c>
      <c r="I881" t="s">
        <v>12314</v>
      </c>
      <c r="J881" t="s">
        <v>216</v>
      </c>
      <c r="K881" t="s">
        <v>74</v>
      </c>
      <c r="L881" t="s">
        <v>74</v>
      </c>
      <c r="M881" t="s">
        <v>78</v>
      </c>
      <c r="N881" t="s">
        <v>52</v>
      </c>
      <c r="O881" t="s">
        <v>74</v>
      </c>
      <c r="P881" t="s">
        <v>74</v>
      </c>
      <c r="Q881" t="s">
        <v>74</v>
      </c>
      <c r="R881" t="s">
        <v>74</v>
      </c>
      <c r="S881" t="s">
        <v>74</v>
      </c>
      <c r="T881" t="s">
        <v>12192</v>
      </c>
      <c r="U881" t="s">
        <v>74</v>
      </c>
      <c r="V881" t="s">
        <v>74</v>
      </c>
      <c r="W881" t="s">
        <v>12315</v>
      </c>
      <c r="X881" t="s">
        <v>12316</v>
      </c>
      <c r="Y881" t="s">
        <v>74</v>
      </c>
      <c r="Z881" t="s">
        <v>74</v>
      </c>
      <c r="AA881" t="s">
        <v>12317</v>
      </c>
      <c r="AB881" t="s">
        <v>74</v>
      </c>
      <c r="AC881" t="s">
        <v>74</v>
      </c>
      <c r="AD881" t="s">
        <v>74</v>
      </c>
      <c r="AE881" t="s">
        <v>74</v>
      </c>
      <c r="AF881" t="s">
        <v>74</v>
      </c>
      <c r="AG881">
        <v>0</v>
      </c>
      <c r="AH881">
        <v>0</v>
      </c>
      <c r="AI881">
        <v>0</v>
      </c>
      <c r="AJ881">
        <v>0</v>
      </c>
      <c r="AK881">
        <v>1</v>
      </c>
      <c r="AL881" t="s">
        <v>219</v>
      </c>
      <c r="AM881" t="s">
        <v>220</v>
      </c>
      <c r="AN881" t="s">
        <v>221</v>
      </c>
      <c r="AO881" t="s">
        <v>222</v>
      </c>
      <c r="AP881" t="s">
        <v>223</v>
      </c>
      <c r="AQ881" t="s">
        <v>74</v>
      </c>
      <c r="AR881" t="s">
        <v>224</v>
      </c>
      <c r="AS881" t="s">
        <v>225</v>
      </c>
      <c r="AT881" t="s">
        <v>529</v>
      </c>
      <c r="AU881">
        <v>2015</v>
      </c>
      <c r="AV881">
        <v>46</v>
      </c>
      <c r="AW881" t="s">
        <v>74</v>
      </c>
      <c r="AX881" t="s">
        <v>74</v>
      </c>
      <c r="AY881">
        <v>59</v>
      </c>
      <c r="AZ881" t="s">
        <v>74</v>
      </c>
      <c r="BA881" t="s">
        <v>12318</v>
      </c>
      <c r="BB881" t="s">
        <v>74</v>
      </c>
      <c r="BC881" t="s">
        <v>74</v>
      </c>
      <c r="BD881" t="s">
        <v>74</v>
      </c>
      <c r="BE881" t="s">
        <v>12319</v>
      </c>
      <c r="BF881" t="str">
        <f>HYPERLINK("http://dx.doi.org/10.1183/13993003.congress-2015.PA581","http://dx.doi.org/10.1183/13993003.congress-2015.PA581")</f>
        <v>http://dx.doi.org/10.1183/13993003.congress-2015.PA581</v>
      </c>
      <c r="BG881" t="s">
        <v>74</v>
      </c>
      <c r="BH881" t="s">
        <v>74</v>
      </c>
      <c r="BI881">
        <v>2</v>
      </c>
      <c r="BJ881" t="s">
        <v>228</v>
      </c>
      <c r="BK881" t="s">
        <v>101</v>
      </c>
      <c r="BL881" t="s">
        <v>228</v>
      </c>
      <c r="BM881" t="s">
        <v>12120</v>
      </c>
      <c r="BN881" t="s">
        <v>74</v>
      </c>
      <c r="BO881" t="s">
        <v>74</v>
      </c>
      <c r="BP881" t="s">
        <v>74</v>
      </c>
      <c r="BQ881" t="s">
        <v>74</v>
      </c>
      <c r="BR881" t="s">
        <v>104</v>
      </c>
      <c r="BS881" t="s">
        <v>12320</v>
      </c>
      <c r="BT881" t="str">
        <f>HYPERLINK("https%3A%2F%2Fwww.webofscience.com%2Fwos%2Fwoscc%2Ffull-record%2FWOS:000451979407305","View Full Record in Web of Science")</f>
        <v>View Full Record in Web of Science</v>
      </c>
    </row>
    <row r="882" spans="1:72" x14ac:dyDescent="0.25">
      <c r="A882" t="s">
        <v>72</v>
      </c>
      <c r="B882" t="s">
        <v>12321</v>
      </c>
      <c r="C882" t="s">
        <v>74</v>
      </c>
      <c r="D882" t="s">
        <v>74</v>
      </c>
      <c r="E882" t="s">
        <v>74</v>
      </c>
      <c r="F882" t="s">
        <v>12322</v>
      </c>
      <c r="G882" t="s">
        <v>74</v>
      </c>
      <c r="H882" t="s">
        <v>74</v>
      </c>
      <c r="I882" t="s">
        <v>12323</v>
      </c>
      <c r="J882" t="s">
        <v>216</v>
      </c>
      <c r="K882" t="s">
        <v>74</v>
      </c>
      <c r="L882" t="s">
        <v>74</v>
      </c>
      <c r="M882" t="s">
        <v>78</v>
      </c>
      <c r="N882" t="s">
        <v>52</v>
      </c>
      <c r="O882" t="s">
        <v>74</v>
      </c>
      <c r="P882" t="s">
        <v>74</v>
      </c>
      <c r="Q882" t="s">
        <v>74</v>
      </c>
      <c r="R882" t="s">
        <v>74</v>
      </c>
      <c r="S882" t="s">
        <v>74</v>
      </c>
      <c r="T882" t="s">
        <v>12324</v>
      </c>
      <c r="U882" t="s">
        <v>74</v>
      </c>
      <c r="V882" t="s">
        <v>74</v>
      </c>
      <c r="W882" t="s">
        <v>12325</v>
      </c>
      <c r="X882" t="s">
        <v>12326</v>
      </c>
      <c r="Y882" t="s">
        <v>74</v>
      </c>
      <c r="Z882" t="s">
        <v>74</v>
      </c>
      <c r="AA882" t="s">
        <v>12327</v>
      </c>
      <c r="AB882" t="s">
        <v>5709</v>
      </c>
      <c r="AC882" t="s">
        <v>74</v>
      </c>
      <c r="AD882" t="s">
        <v>74</v>
      </c>
      <c r="AE882" t="s">
        <v>74</v>
      </c>
      <c r="AF882" t="s">
        <v>74</v>
      </c>
      <c r="AG882">
        <v>0</v>
      </c>
      <c r="AH882">
        <v>0</v>
      </c>
      <c r="AI882">
        <v>0</v>
      </c>
      <c r="AJ882">
        <v>0</v>
      </c>
      <c r="AK882">
        <v>0</v>
      </c>
      <c r="AL882" t="s">
        <v>219</v>
      </c>
      <c r="AM882" t="s">
        <v>220</v>
      </c>
      <c r="AN882" t="s">
        <v>221</v>
      </c>
      <c r="AO882" t="s">
        <v>222</v>
      </c>
      <c r="AP882" t="s">
        <v>223</v>
      </c>
      <c r="AQ882" t="s">
        <v>74</v>
      </c>
      <c r="AR882" t="s">
        <v>224</v>
      </c>
      <c r="AS882" t="s">
        <v>225</v>
      </c>
      <c r="AT882" t="s">
        <v>529</v>
      </c>
      <c r="AU882">
        <v>2015</v>
      </c>
      <c r="AV882">
        <v>46</v>
      </c>
      <c r="AW882" t="s">
        <v>74</v>
      </c>
      <c r="AX882" t="s">
        <v>74</v>
      </c>
      <c r="AY882">
        <v>59</v>
      </c>
      <c r="AZ882" t="s">
        <v>74</v>
      </c>
      <c r="BA882" t="s">
        <v>12328</v>
      </c>
      <c r="BB882" t="s">
        <v>74</v>
      </c>
      <c r="BC882" t="s">
        <v>74</v>
      </c>
      <c r="BD882" t="s">
        <v>74</v>
      </c>
      <c r="BE882" t="s">
        <v>12329</v>
      </c>
      <c r="BF882" t="str">
        <f>HYPERLINK("http://dx.doi.org/10.1183/13993003.congress-2015.PA3775","http://dx.doi.org/10.1183/13993003.congress-2015.PA3775")</f>
        <v>http://dx.doi.org/10.1183/13993003.congress-2015.PA3775</v>
      </c>
      <c r="BG882" t="s">
        <v>74</v>
      </c>
      <c r="BH882" t="s">
        <v>74</v>
      </c>
      <c r="BI882">
        <v>2</v>
      </c>
      <c r="BJ882" t="s">
        <v>228</v>
      </c>
      <c r="BK882" t="s">
        <v>101</v>
      </c>
      <c r="BL882" t="s">
        <v>228</v>
      </c>
      <c r="BM882" t="s">
        <v>12120</v>
      </c>
      <c r="BN882" t="s">
        <v>74</v>
      </c>
      <c r="BO882" t="s">
        <v>74</v>
      </c>
      <c r="BP882" t="s">
        <v>74</v>
      </c>
      <c r="BQ882" t="s">
        <v>74</v>
      </c>
      <c r="BR882" t="s">
        <v>104</v>
      </c>
      <c r="BS882" t="s">
        <v>12330</v>
      </c>
      <c r="BT882" t="str">
        <f>HYPERLINK("https%3A%2F%2Fwww.webofscience.com%2Fwos%2Fwoscc%2Ffull-record%2FWOS:000451979405128","View Full Record in Web of Science")</f>
        <v>View Full Record in Web of Science</v>
      </c>
    </row>
    <row r="883" spans="1:72" x14ac:dyDescent="0.25">
      <c r="A883" t="s">
        <v>72</v>
      </c>
      <c r="B883" t="s">
        <v>11788</v>
      </c>
      <c r="C883" t="s">
        <v>74</v>
      </c>
      <c r="D883" t="s">
        <v>74</v>
      </c>
      <c r="E883" t="s">
        <v>74</v>
      </c>
      <c r="F883" t="s">
        <v>12331</v>
      </c>
      <c r="G883" t="s">
        <v>74</v>
      </c>
      <c r="H883" t="s">
        <v>74</v>
      </c>
      <c r="I883" t="s">
        <v>12332</v>
      </c>
      <c r="J883" t="s">
        <v>216</v>
      </c>
      <c r="K883" t="s">
        <v>74</v>
      </c>
      <c r="L883" t="s">
        <v>74</v>
      </c>
      <c r="M883" t="s">
        <v>78</v>
      </c>
      <c r="N883" t="s">
        <v>52</v>
      </c>
      <c r="O883" t="s">
        <v>74</v>
      </c>
      <c r="P883" t="s">
        <v>74</v>
      </c>
      <c r="Q883" t="s">
        <v>74</v>
      </c>
      <c r="R883" t="s">
        <v>74</v>
      </c>
      <c r="S883" t="s">
        <v>74</v>
      </c>
      <c r="T883" t="s">
        <v>12333</v>
      </c>
      <c r="U883" t="s">
        <v>74</v>
      </c>
      <c r="V883" t="s">
        <v>74</v>
      </c>
      <c r="W883" t="s">
        <v>12334</v>
      </c>
      <c r="X883" t="s">
        <v>12335</v>
      </c>
      <c r="Y883" t="s">
        <v>74</v>
      </c>
      <c r="Z883" t="s">
        <v>74</v>
      </c>
      <c r="AA883" t="s">
        <v>12336</v>
      </c>
      <c r="AB883" t="s">
        <v>74</v>
      </c>
      <c r="AC883" t="s">
        <v>74</v>
      </c>
      <c r="AD883" t="s">
        <v>74</v>
      </c>
      <c r="AE883" t="s">
        <v>74</v>
      </c>
      <c r="AF883" t="s">
        <v>74</v>
      </c>
      <c r="AG883">
        <v>0</v>
      </c>
      <c r="AH883">
        <v>1</v>
      </c>
      <c r="AI883">
        <v>1</v>
      </c>
      <c r="AJ883">
        <v>0</v>
      </c>
      <c r="AK883">
        <v>3</v>
      </c>
      <c r="AL883" t="s">
        <v>219</v>
      </c>
      <c r="AM883" t="s">
        <v>220</v>
      </c>
      <c r="AN883" t="s">
        <v>221</v>
      </c>
      <c r="AO883" t="s">
        <v>222</v>
      </c>
      <c r="AP883" t="s">
        <v>223</v>
      </c>
      <c r="AQ883" t="s">
        <v>74</v>
      </c>
      <c r="AR883" t="s">
        <v>224</v>
      </c>
      <c r="AS883" t="s">
        <v>225</v>
      </c>
      <c r="AT883" t="s">
        <v>529</v>
      </c>
      <c r="AU883">
        <v>2015</v>
      </c>
      <c r="AV883">
        <v>46</v>
      </c>
      <c r="AW883" t="s">
        <v>74</v>
      </c>
      <c r="AX883" t="s">
        <v>74</v>
      </c>
      <c r="AY883">
        <v>59</v>
      </c>
      <c r="AZ883" t="s">
        <v>74</v>
      </c>
      <c r="BA883" t="s">
        <v>12337</v>
      </c>
      <c r="BB883" t="s">
        <v>74</v>
      </c>
      <c r="BC883" t="s">
        <v>74</v>
      </c>
      <c r="BD883" t="s">
        <v>74</v>
      </c>
      <c r="BE883" t="s">
        <v>12338</v>
      </c>
      <c r="BF883" t="str">
        <f>HYPERLINK("http://dx.doi.org/10.1183/13993003.congress-2015.PA2436","http://dx.doi.org/10.1183/13993003.congress-2015.PA2436")</f>
        <v>http://dx.doi.org/10.1183/13993003.congress-2015.PA2436</v>
      </c>
      <c r="BG883" t="s">
        <v>74</v>
      </c>
      <c r="BH883" t="s">
        <v>74</v>
      </c>
      <c r="BI883">
        <v>2</v>
      </c>
      <c r="BJ883" t="s">
        <v>228</v>
      </c>
      <c r="BK883" t="s">
        <v>101</v>
      </c>
      <c r="BL883" t="s">
        <v>228</v>
      </c>
      <c r="BM883" t="s">
        <v>12120</v>
      </c>
      <c r="BN883" t="s">
        <v>74</v>
      </c>
      <c r="BO883" t="s">
        <v>74</v>
      </c>
      <c r="BP883" t="s">
        <v>74</v>
      </c>
      <c r="BQ883" t="s">
        <v>74</v>
      </c>
      <c r="BR883" t="s">
        <v>104</v>
      </c>
      <c r="BS883" t="s">
        <v>12339</v>
      </c>
      <c r="BT883" t="str">
        <f>HYPERLINK("https%3A%2F%2Fwww.webofscience.com%2Fwos%2Fwoscc%2Ffull-record%2FWOS:000451979403142","View Full Record in Web of Science")</f>
        <v>View Full Record in Web of Science</v>
      </c>
    </row>
    <row r="884" spans="1:72" x14ac:dyDescent="0.25">
      <c r="A884" t="s">
        <v>72</v>
      </c>
      <c r="B884" t="s">
        <v>12340</v>
      </c>
      <c r="C884" t="s">
        <v>74</v>
      </c>
      <c r="D884" t="s">
        <v>74</v>
      </c>
      <c r="E884" t="s">
        <v>74</v>
      </c>
      <c r="F884" t="s">
        <v>12341</v>
      </c>
      <c r="G884" t="s">
        <v>74</v>
      </c>
      <c r="H884" t="s">
        <v>74</v>
      </c>
      <c r="I884" t="s">
        <v>11077</v>
      </c>
      <c r="J884" t="s">
        <v>1068</v>
      </c>
      <c r="K884" t="s">
        <v>74</v>
      </c>
      <c r="L884" t="s">
        <v>74</v>
      </c>
      <c r="M884" t="s">
        <v>78</v>
      </c>
      <c r="N884" t="s">
        <v>52</v>
      </c>
      <c r="O884" t="s">
        <v>12342</v>
      </c>
      <c r="P884" t="s">
        <v>12343</v>
      </c>
      <c r="Q884" t="s">
        <v>6981</v>
      </c>
      <c r="R884" t="s">
        <v>5566</v>
      </c>
      <c r="S884" t="s">
        <v>74</v>
      </c>
      <c r="T884" t="s">
        <v>74</v>
      </c>
      <c r="U884" t="s">
        <v>74</v>
      </c>
      <c r="V884" t="s">
        <v>74</v>
      </c>
      <c r="W884" t="s">
        <v>12344</v>
      </c>
      <c r="X884" t="s">
        <v>12345</v>
      </c>
      <c r="Y884" t="s">
        <v>74</v>
      </c>
      <c r="Z884" t="s">
        <v>74</v>
      </c>
      <c r="AA884" t="s">
        <v>12346</v>
      </c>
      <c r="AB884" t="s">
        <v>12347</v>
      </c>
      <c r="AC884" t="s">
        <v>74</v>
      </c>
      <c r="AD884" t="s">
        <v>74</v>
      </c>
      <c r="AE884" t="s">
        <v>74</v>
      </c>
      <c r="AF884" t="s">
        <v>74</v>
      </c>
      <c r="AG884">
        <v>0</v>
      </c>
      <c r="AH884">
        <v>0</v>
      </c>
      <c r="AI884">
        <v>0</v>
      </c>
      <c r="AJ884">
        <v>0</v>
      </c>
      <c r="AK884">
        <v>1</v>
      </c>
      <c r="AL884" t="s">
        <v>1073</v>
      </c>
      <c r="AM884" t="s">
        <v>1074</v>
      </c>
      <c r="AN884" t="s">
        <v>1075</v>
      </c>
      <c r="AO884" t="s">
        <v>1076</v>
      </c>
      <c r="AP884" t="s">
        <v>1077</v>
      </c>
      <c r="AQ884" t="s">
        <v>74</v>
      </c>
      <c r="AR884" t="s">
        <v>1078</v>
      </c>
      <c r="AS884" t="s">
        <v>1079</v>
      </c>
      <c r="AT884" t="s">
        <v>742</v>
      </c>
      <c r="AU884">
        <v>2015</v>
      </c>
      <c r="AV884">
        <v>36</v>
      </c>
      <c r="AW884" t="s">
        <v>74</v>
      </c>
      <c r="AX884" t="s">
        <v>74</v>
      </c>
      <c r="AY884">
        <v>1</v>
      </c>
      <c r="AZ884" t="s">
        <v>74</v>
      </c>
      <c r="BA884" t="s">
        <v>12348</v>
      </c>
      <c r="BB884">
        <v>628</v>
      </c>
      <c r="BC884">
        <v>628</v>
      </c>
      <c r="BD884" t="s">
        <v>74</v>
      </c>
      <c r="BE884" t="s">
        <v>74</v>
      </c>
      <c r="BF884" t="s">
        <v>74</v>
      </c>
      <c r="BG884" t="s">
        <v>74</v>
      </c>
      <c r="BH884" t="s">
        <v>74</v>
      </c>
      <c r="BI884">
        <v>1</v>
      </c>
      <c r="BJ884" t="s">
        <v>132</v>
      </c>
      <c r="BK884" t="s">
        <v>512</v>
      </c>
      <c r="BL884" t="s">
        <v>133</v>
      </c>
      <c r="BM884" t="s">
        <v>12349</v>
      </c>
      <c r="BN884" t="s">
        <v>74</v>
      </c>
      <c r="BO884" t="s">
        <v>74</v>
      </c>
      <c r="BP884" t="s">
        <v>74</v>
      </c>
      <c r="BQ884" t="s">
        <v>74</v>
      </c>
      <c r="BR884" t="s">
        <v>104</v>
      </c>
      <c r="BS884" t="s">
        <v>12350</v>
      </c>
      <c r="BT884" t="str">
        <f>HYPERLINK("https%3A%2F%2Fwww.webofscience.com%2Fwos%2Fwoscc%2Ffull-record%2FWOS:000361205104436","View Full Record in Web of Science")</f>
        <v>View Full Record in Web of Science</v>
      </c>
    </row>
    <row r="885" spans="1:72" x14ac:dyDescent="0.25">
      <c r="A885" t="s">
        <v>72</v>
      </c>
      <c r="B885" t="s">
        <v>12351</v>
      </c>
      <c r="C885" t="s">
        <v>74</v>
      </c>
      <c r="D885" t="s">
        <v>74</v>
      </c>
      <c r="E885" t="s">
        <v>74</v>
      </c>
      <c r="F885" t="s">
        <v>12352</v>
      </c>
      <c r="G885" t="s">
        <v>74</v>
      </c>
      <c r="H885" t="s">
        <v>74</v>
      </c>
      <c r="I885" t="s">
        <v>12353</v>
      </c>
      <c r="J885" t="s">
        <v>1068</v>
      </c>
      <c r="K885" t="s">
        <v>74</v>
      </c>
      <c r="L885" t="s">
        <v>74</v>
      </c>
      <c r="M885" t="s">
        <v>78</v>
      </c>
      <c r="N885" t="s">
        <v>52</v>
      </c>
      <c r="O885" t="s">
        <v>12342</v>
      </c>
      <c r="P885" t="s">
        <v>12343</v>
      </c>
      <c r="Q885" t="s">
        <v>6981</v>
      </c>
      <c r="R885" t="s">
        <v>5566</v>
      </c>
      <c r="S885" t="s">
        <v>74</v>
      </c>
      <c r="T885" t="s">
        <v>74</v>
      </c>
      <c r="U885" t="s">
        <v>74</v>
      </c>
      <c r="V885" t="s">
        <v>74</v>
      </c>
      <c r="W885" t="s">
        <v>12354</v>
      </c>
      <c r="X885" t="s">
        <v>12355</v>
      </c>
      <c r="Y885" t="s">
        <v>74</v>
      </c>
      <c r="Z885" t="s">
        <v>74</v>
      </c>
      <c r="AA885" t="s">
        <v>12356</v>
      </c>
      <c r="AB885" t="s">
        <v>12357</v>
      </c>
      <c r="AC885" t="s">
        <v>74</v>
      </c>
      <c r="AD885" t="s">
        <v>74</v>
      </c>
      <c r="AE885" t="s">
        <v>74</v>
      </c>
      <c r="AF885" t="s">
        <v>74</v>
      </c>
      <c r="AG885">
        <v>0</v>
      </c>
      <c r="AH885">
        <v>0</v>
      </c>
      <c r="AI885">
        <v>0</v>
      </c>
      <c r="AJ885">
        <v>0</v>
      </c>
      <c r="AK885">
        <v>0</v>
      </c>
      <c r="AL885" t="s">
        <v>1073</v>
      </c>
      <c r="AM885" t="s">
        <v>1074</v>
      </c>
      <c r="AN885" t="s">
        <v>1075</v>
      </c>
      <c r="AO885" t="s">
        <v>1076</v>
      </c>
      <c r="AP885" t="s">
        <v>1077</v>
      </c>
      <c r="AQ885" t="s">
        <v>74</v>
      </c>
      <c r="AR885" t="s">
        <v>1078</v>
      </c>
      <c r="AS885" t="s">
        <v>1079</v>
      </c>
      <c r="AT885" t="s">
        <v>742</v>
      </c>
      <c r="AU885">
        <v>2015</v>
      </c>
      <c r="AV885">
        <v>36</v>
      </c>
      <c r="AW885" t="s">
        <v>74</v>
      </c>
      <c r="AX885" t="s">
        <v>74</v>
      </c>
      <c r="AY885">
        <v>1</v>
      </c>
      <c r="AZ885" t="s">
        <v>74</v>
      </c>
      <c r="BA885" t="s">
        <v>12358</v>
      </c>
      <c r="BB885">
        <v>784</v>
      </c>
      <c r="BC885">
        <v>784</v>
      </c>
      <c r="BD885" t="s">
        <v>74</v>
      </c>
      <c r="BE885" t="s">
        <v>74</v>
      </c>
      <c r="BF885" t="s">
        <v>74</v>
      </c>
      <c r="BG885" t="s">
        <v>74</v>
      </c>
      <c r="BH885" t="s">
        <v>74</v>
      </c>
      <c r="BI885">
        <v>1</v>
      </c>
      <c r="BJ885" t="s">
        <v>132</v>
      </c>
      <c r="BK885" t="s">
        <v>512</v>
      </c>
      <c r="BL885" t="s">
        <v>133</v>
      </c>
      <c r="BM885" t="s">
        <v>12349</v>
      </c>
      <c r="BN885" t="s">
        <v>74</v>
      </c>
      <c r="BO885" t="s">
        <v>74</v>
      </c>
      <c r="BP885" t="s">
        <v>74</v>
      </c>
      <c r="BQ885" t="s">
        <v>74</v>
      </c>
      <c r="BR885" t="s">
        <v>104</v>
      </c>
      <c r="BS885" t="s">
        <v>12359</v>
      </c>
      <c r="BT885" t="str">
        <f>HYPERLINK("https%3A%2F%2Fwww.webofscience.com%2Fwos%2Fwoscc%2Ffull-record%2FWOS:000361205105376","View Full Record in Web of Science")</f>
        <v>View Full Record in Web of Science</v>
      </c>
    </row>
    <row r="886" spans="1:72" x14ac:dyDescent="0.25">
      <c r="A886" t="s">
        <v>72</v>
      </c>
      <c r="B886" t="s">
        <v>12360</v>
      </c>
      <c r="C886" t="s">
        <v>74</v>
      </c>
      <c r="D886" t="s">
        <v>74</v>
      </c>
      <c r="E886" t="s">
        <v>74</v>
      </c>
      <c r="F886" t="s">
        <v>12361</v>
      </c>
      <c r="G886" t="s">
        <v>74</v>
      </c>
      <c r="H886" t="s">
        <v>74</v>
      </c>
      <c r="I886" t="s">
        <v>12362</v>
      </c>
      <c r="J886" t="s">
        <v>637</v>
      </c>
      <c r="K886" t="s">
        <v>74</v>
      </c>
      <c r="L886" t="s">
        <v>74</v>
      </c>
      <c r="M886" t="s">
        <v>78</v>
      </c>
      <c r="N886" t="s">
        <v>79</v>
      </c>
      <c r="O886" t="s">
        <v>74</v>
      </c>
      <c r="P886" t="s">
        <v>74</v>
      </c>
      <c r="Q886" t="s">
        <v>74</v>
      </c>
      <c r="R886" t="s">
        <v>74</v>
      </c>
      <c r="S886" t="s">
        <v>74</v>
      </c>
      <c r="T886" t="s">
        <v>12363</v>
      </c>
      <c r="U886" t="s">
        <v>12364</v>
      </c>
      <c r="V886" t="s">
        <v>12365</v>
      </c>
      <c r="W886" t="s">
        <v>12366</v>
      </c>
      <c r="X886" t="s">
        <v>12367</v>
      </c>
      <c r="Y886" t="s">
        <v>12368</v>
      </c>
      <c r="Z886" t="s">
        <v>12369</v>
      </c>
      <c r="AA886" t="s">
        <v>12370</v>
      </c>
      <c r="AB886" t="s">
        <v>12371</v>
      </c>
      <c r="AC886" t="s">
        <v>12372</v>
      </c>
      <c r="AD886" t="s">
        <v>12373</v>
      </c>
      <c r="AE886" t="s">
        <v>12374</v>
      </c>
      <c r="AF886" t="s">
        <v>74</v>
      </c>
      <c r="AG886">
        <v>66</v>
      </c>
      <c r="AH886">
        <v>29</v>
      </c>
      <c r="AI886">
        <v>34</v>
      </c>
      <c r="AJ886">
        <v>0</v>
      </c>
      <c r="AK886">
        <v>13</v>
      </c>
      <c r="AL886" t="s">
        <v>649</v>
      </c>
      <c r="AM886" t="s">
        <v>486</v>
      </c>
      <c r="AN886" t="s">
        <v>650</v>
      </c>
      <c r="AO886" t="s">
        <v>651</v>
      </c>
      <c r="AP886" t="s">
        <v>652</v>
      </c>
      <c r="AQ886" t="s">
        <v>74</v>
      </c>
      <c r="AR886" t="s">
        <v>653</v>
      </c>
      <c r="AS886" t="s">
        <v>654</v>
      </c>
      <c r="AT886" t="s">
        <v>742</v>
      </c>
      <c r="AU886">
        <v>2015</v>
      </c>
      <c r="AV886">
        <v>192</v>
      </c>
      <c r="AW886">
        <v>3</v>
      </c>
      <c r="AX886" t="s">
        <v>74</v>
      </c>
      <c r="AY886" t="s">
        <v>74</v>
      </c>
      <c r="AZ886" t="s">
        <v>74</v>
      </c>
      <c r="BA886" t="s">
        <v>74</v>
      </c>
      <c r="BB886">
        <v>342</v>
      </c>
      <c r="BC886">
        <v>355</v>
      </c>
      <c r="BD886" t="s">
        <v>74</v>
      </c>
      <c r="BE886" t="s">
        <v>12375</v>
      </c>
      <c r="BF886" t="str">
        <f>HYPERLINK("http://dx.doi.org/10.1164/rccm.201410-1851OC","http://dx.doi.org/10.1164/rccm.201410-1851OC")</f>
        <v>http://dx.doi.org/10.1164/rccm.201410-1851OC</v>
      </c>
      <c r="BG886" t="s">
        <v>74</v>
      </c>
      <c r="BH886" t="s">
        <v>74</v>
      </c>
      <c r="BI886">
        <v>14</v>
      </c>
      <c r="BJ886" t="s">
        <v>341</v>
      </c>
      <c r="BK886" t="s">
        <v>101</v>
      </c>
      <c r="BL886" t="s">
        <v>342</v>
      </c>
      <c r="BM886" t="s">
        <v>12376</v>
      </c>
      <c r="BN886">
        <v>26039706</v>
      </c>
      <c r="BO886" t="s">
        <v>103</v>
      </c>
      <c r="BP886" t="s">
        <v>74</v>
      </c>
      <c r="BQ886" t="s">
        <v>74</v>
      </c>
      <c r="BR886" t="s">
        <v>104</v>
      </c>
      <c r="BS886" t="s">
        <v>12377</v>
      </c>
      <c r="BT886" t="str">
        <f>HYPERLINK("https%3A%2F%2Fwww.webofscience.com%2Fwos%2Fwoscc%2Ffull-record%2FWOS:000359178500016","View Full Record in Web of Science")</f>
        <v>View Full Record in Web of Science</v>
      </c>
    </row>
    <row r="887" spans="1:72" x14ac:dyDescent="0.25">
      <c r="A887" t="s">
        <v>72</v>
      </c>
      <c r="B887" t="s">
        <v>12378</v>
      </c>
      <c r="C887" t="s">
        <v>74</v>
      </c>
      <c r="D887" t="s">
        <v>74</v>
      </c>
      <c r="E887" t="s">
        <v>74</v>
      </c>
      <c r="F887" t="s">
        <v>12379</v>
      </c>
      <c r="G887" t="s">
        <v>74</v>
      </c>
      <c r="H887" t="s">
        <v>74</v>
      </c>
      <c r="I887" t="s">
        <v>12380</v>
      </c>
      <c r="J887" t="s">
        <v>1068</v>
      </c>
      <c r="K887" t="s">
        <v>74</v>
      </c>
      <c r="L887" t="s">
        <v>74</v>
      </c>
      <c r="M887" t="s">
        <v>78</v>
      </c>
      <c r="N887" t="s">
        <v>52</v>
      </c>
      <c r="O887" t="s">
        <v>12342</v>
      </c>
      <c r="P887" t="s">
        <v>12343</v>
      </c>
      <c r="Q887" t="s">
        <v>6981</v>
      </c>
      <c r="R887" t="s">
        <v>5566</v>
      </c>
      <c r="S887" t="s">
        <v>74</v>
      </c>
      <c r="T887" t="s">
        <v>74</v>
      </c>
      <c r="U887" t="s">
        <v>74</v>
      </c>
      <c r="V887" t="s">
        <v>74</v>
      </c>
      <c r="W887" t="s">
        <v>12381</v>
      </c>
      <c r="X887" t="s">
        <v>12382</v>
      </c>
      <c r="Y887" t="s">
        <v>74</v>
      </c>
      <c r="Z887" t="s">
        <v>74</v>
      </c>
      <c r="AA887" t="s">
        <v>12383</v>
      </c>
      <c r="AB887" t="s">
        <v>12384</v>
      </c>
      <c r="AC887" t="s">
        <v>74</v>
      </c>
      <c r="AD887" t="s">
        <v>74</v>
      </c>
      <c r="AE887" t="s">
        <v>74</v>
      </c>
      <c r="AF887" t="s">
        <v>74</v>
      </c>
      <c r="AG887">
        <v>0</v>
      </c>
      <c r="AH887">
        <v>0</v>
      </c>
      <c r="AI887">
        <v>0</v>
      </c>
      <c r="AJ887">
        <v>0</v>
      </c>
      <c r="AK887">
        <v>0</v>
      </c>
      <c r="AL887" t="s">
        <v>1073</v>
      </c>
      <c r="AM887" t="s">
        <v>1074</v>
      </c>
      <c r="AN887" t="s">
        <v>1075</v>
      </c>
      <c r="AO887" t="s">
        <v>1076</v>
      </c>
      <c r="AP887" t="s">
        <v>1077</v>
      </c>
      <c r="AQ887" t="s">
        <v>74</v>
      </c>
      <c r="AR887" t="s">
        <v>1078</v>
      </c>
      <c r="AS887" t="s">
        <v>1079</v>
      </c>
      <c r="AT887" t="s">
        <v>742</v>
      </c>
      <c r="AU887">
        <v>2015</v>
      </c>
      <c r="AV887">
        <v>36</v>
      </c>
      <c r="AW887" t="s">
        <v>74</v>
      </c>
      <c r="AX887" t="s">
        <v>74</v>
      </c>
      <c r="AY887">
        <v>1</v>
      </c>
      <c r="AZ887" t="s">
        <v>74</v>
      </c>
      <c r="BA887" t="s">
        <v>12385</v>
      </c>
      <c r="BB887">
        <v>947</v>
      </c>
      <c r="BC887">
        <v>947</v>
      </c>
      <c r="BD887" t="s">
        <v>74</v>
      </c>
      <c r="BE887" t="s">
        <v>74</v>
      </c>
      <c r="BF887" t="s">
        <v>74</v>
      </c>
      <c r="BG887" t="s">
        <v>74</v>
      </c>
      <c r="BH887" t="s">
        <v>74</v>
      </c>
      <c r="BI887">
        <v>1</v>
      </c>
      <c r="BJ887" t="s">
        <v>132</v>
      </c>
      <c r="BK887" t="s">
        <v>512</v>
      </c>
      <c r="BL887" t="s">
        <v>133</v>
      </c>
      <c r="BM887" t="s">
        <v>12349</v>
      </c>
      <c r="BN887" t="s">
        <v>74</v>
      </c>
      <c r="BO887" t="s">
        <v>74</v>
      </c>
      <c r="BP887" t="s">
        <v>74</v>
      </c>
      <c r="BQ887" t="s">
        <v>74</v>
      </c>
      <c r="BR887" t="s">
        <v>104</v>
      </c>
      <c r="BS887" t="s">
        <v>12386</v>
      </c>
      <c r="BT887" t="str">
        <f>HYPERLINK("https%3A%2F%2Fwww.webofscience.com%2Fwos%2Fwoscc%2Ffull-record%2FWOS:000361205106359","View Full Record in Web of Science")</f>
        <v>View Full Record in Web of Science</v>
      </c>
    </row>
    <row r="888" spans="1:72" x14ac:dyDescent="0.25">
      <c r="A888" t="s">
        <v>72</v>
      </c>
      <c r="B888" t="s">
        <v>12387</v>
      </c>
      <c r="C888" t="s">
        <v>74</v>
      </c>
      <c r="D888" t="s">
        <v>74</v>
      </c>
      <c r="E888" t="s">
        <v>74</v>
      </c>
      <c r="F888" t="s">
        <v>12388</v>
      </c>
      <c r="G888" t="s">
        <v>74</v>
      </c>
      <c r="H888" t="s">
        <v>74</v>
      </c>
      <c r="I888" t="s">
        <v>12389</v>
      </c>
      <c r="J888" t="s">
        <v>5456</v>
      </c>
      <c r="K888" t="s">
        <v>74</v>
      </c>
      <c r="L888" t="s">
        <v>74</v>
      </c>
      <c r="M888" t="s">
        <v>78</v>
      </c>
      <c r="N888" t="s">
        <v>79</v>
      </c>
      <c r="O888" t="s">
        <v>74</v>
      </c>
      <c r="P888" t="s">
        <v>74</v>
      </c>
      <c r="Q888" t="s">
        <v>74</v>
      </c>
      <c r="R888" t="s">
        <v>74</v>
      </c>
      <c r="S888" t="s">
        <v>74</v>
      </c>
      <c r="T888" t="s">
        <v>74</v>
      </c>
      <c r="U888" t="s">
        <v>12390</v>
      </c>
      <c r="V888" t="s">
        <v>12391</v>
      </c>
      <c r="W888" t="s">
        <v>12392</v>
      </c>
      <c r="X888" t="s">
        <v>12393</v>
      </c>
      <c r="Y888" t="s">
        <v>12394</v>
      </c>
      <c r="Z888" t="s">
        <v>12395</v>
      </c>
      <c r="AA888" t="s">
        <v>12396</v>
      </c>
      <c r="AB888" t="s">
        <v>12397</v>
      </c>
      <c r="AC888" t="s">
        <v>12398</v>
      </c>
      <c r="AD888" t="s">
        <v>12399</v>
      </c>
      <c r="AE888" t="s">
        <v>12400</v>
      </c>
      <c r="AF888" t="s">
        <v>74</v>
      </c>
      <c r="AG888">
        <v>32</v>
      </c>
      <c r="AH888">
        <v>10</v>
      </c>
      <c r="AI888">
        <v>10</v>
      </c>
      <c r="AJ888">
        <v>0</v>
      </c>
      <c r="AK888">
        <v>1</v>
      </c>
      <c r="AL888" t="s">
        <v>5465</v>
      </c>
      <c r="AM888" t="s">
        <v>5466</v>
      </c>
      <c r="AN888" t="s">
        <v>5467</v>
      </c>
      <c r="AO888" t="s">
        <v>5468</v>
      </c>
      <c r="AP888" t="s">
        <v>74</v>
      </c>
      <c r="AQ888" t="s">
        <v>74</v>
      </c>
      <c r="AR888" t="s">
        <v>5456</v>
      </c>
      <c r="AS888" t="s">
        <v>5469</v>
      </c>
      <c r="AT888" t="s">
        <v>12401</v>
      </c>
      <c r="AU888">
        <v>2015</v>
      </c>
      <c r="AV888">
        <v>10</v>
      </c>
      <c r="AW888">
        <v>7</v>
      </c>
      <c r="AX888" t="s">
        <v>74</v>
      </c>
      <c r="AY888" t="s">
        <v>74</v>
      </c>
      <c r="AZ888" t="s">
        <v>74</v>
      </c>
      <c r="BA888" t="s">
        <v>74</v>
      </c>
      <c r="BB888" t="s">
        <v>74</v>
      </c>
      <c r="BC888" t="s">
        <v>74</v>
      </c>
      <c r="BD888" t="s">
        <v>12402</v>
      </c>
      <c r="BE888" t="s">
        <v>12403</v>
      </c>
      <c r="BF888" t="str">
        <f>HYPERLINK("http://dx.doi.org/10.1371/journal.pone.0134221","http://dx.doi.org/10.1371/journal.pone.0134221")</f>
        <v>http://dx.doi.org/10.1371/journal.pone.0134221</v>
      </c>
      <c r="BG888" t="s">
        <v>74</v>
      </c>
      <c r="BH888" t="s">
        <v>74</v>
      </c>
      <c r="BI888">
        <v>14</v>
      </c>
      <c r="BJ888" t="s">
        <v>290</v>
      </c>
      <c r="BK888" t="s">
        <v>101</v>
      </c>
      <c r="BL888" t="s">
        <v>291</v>
      </c>
      <c r="BM888" t="s">
        <v>12404</v>
      </c>
      <c r="BN888">
        <v>26226280</v>
      </c>
      <c r="BO888" t="s">
        <v>5014</v>
      </c>
      <c r="BP888" t="s">
        <v>74</v>
      </c>
      <c r="BQ888" t="s">
        <v>74</v>
      </c>
      <c r="BR888" t="s">
        <v>104</v>
      </c>
      <c r="BS888" t="s">
        <v>12405</v>
      </c>
      <c r="BT888" t="str">
        <f>HYPERLINK("https%3A%2F%2Fwww.webofscience.com%2Fwos%2Fwoscc%2Ffull-record%2FWOS:000358837700064","View Full Record in Web of Science")</f>
        <v>View Full Record in Web of Science</v>
      </c>
    </row>
    <row r="889" spans="1:72" x14ac:dyDescent="0.25">
      <c r="A889" t="s">
        <v>72</v>
      </c>
      <c r="B889" t="s">
        <v>12406</v>
      </c>
      <c r="C889" t="s">
        <v>74</v>
      </c>
      <c r="D889" t="s">
        <v>74</v>
      </c>
      <c r="E889" t="s">
        <v>74</v>
      </c>
      <c r="F889" t="s">
        <v>12407</v>
      </c>
      <c r="G889" t="s">
        <v>74</v>
      </c>
      <c r="H889" t="s">
        <v>74</v>
      </c>
      <c r="I889" t="s">
        <v>12408</v>
      </c>
      <c r="J889" t="s">
        <v>216</v>
      </c>
      <c r="K889" t="s">
        <v>74</v>
      </c>
      <c r="L889" t="s">
        <v>74</v>
      </c>
      <c r="M889" t="s">
        <v>78</v>
      </c>
      <c r="N889" t="s">
        <v>79</v>
      </c>
      <c r="O889" t="s">
        <v>74</v>
      </c>
      <c r="P889" t="s">
        <v>74</v>
      </c>
      <c r="Q889" t="s">
        <v>74</v>
      </c>
      <c r="R889" t="s">
        <v>74</v>
      </c>
      <c r="S889" t="s">
        <v>74</v>
      </c>
      <c r="T889" t="s">
        <v>74</v>
      </c>
      <c r="U889" t="s">
        <v>12409</v>
      </c>
      <c r="V889" t="s">
        <v>12410</v>
      </c>
      <c r="W889" t="s">
        <v>12411</v>
      </c>
      <c r="X889" t="s">
        <v>12412</v>
      </c>
      <c r="Y889" t="s">
        <v>12413</v>
      </c>
      <c r="Z889" t="s">
        <v>6688</v>
      </c>
      <c r="AA889" t="s">
        <v>12414</v>
      </c>
      <c r="AB889" t="s">
        <v>12415</v>
      </c>
      <c r="AC889" t="s">
        <v>12416</v>
      </c>
      <c r="AD889" t="s">
        <v>12416</v>
      </c>
      <c r="AE889" t="s">
        <v>12417</v>
      </c>
      <c r="AF889" t="s">
        <v>74</v>
      </c>
      <c r="AG889">
        <v>40</v>
      </c>
      <c r="AH889">
        <v>78</v>
      </c>
      <c r="AI889">
        <v>80</v>
      </c>
      <c r="AJ889">
        <v>0</v>
      </c>
      <c r="AK889">
        <v>6</v>
      </c>
      <c r="AL889" t="s">
        <v>219</v>
      </c>
      <c r="AM889" t="s">
        <v>220</v>
      </c>
      <c r="AN889" t="s">
        <v>221</v>
      </c>
      <c r="AO889" t="s">
        <v>222</v>
      </c>
      <c r="AP889" t="s">
        <v>223</v>
      </c>
      <c r="AQ889" t="s">
        <v>74</v>
      </c>
      <c r="AR889" t="s">
        <v>224</v>
      </c>
      <c r="AS889" t="s">
        <v>225</v>
      </c>
      <c r="AT889" t="s">
        <v>785</v>
      </c>
      <c r="AU889">
        <v>2015</v>
      </c>
      <c r="AV889">
        <v>46</v>
      </c>
      <c r="AW889">
        <v>1</v>
      </c>
      <c r="AX889" t="s">
        <v>74</v>
      </c>
      <c r="AY889" t="s">
        <v>74</v>
      </c>
      <c r="AZ889" t="s">
        <v>74</v>
      </c>
      <c r="BA889" t="s">
        <v>74</v>
      </c>
      <c r="BB889">
        <v>152</v>
      </c>
      <c r="BC889">
        <v>164</v>
      </c>
      <c r="BD889" t="s">
        <v>74</v>
      </c>
      <c r="BE889" t="s">
        <v>12418</v>
      </c>
      <c r="BF889" t="str">
        <f>HYPERLINK("http://dx.doi.org/10.1183/09031936.00004414","http://dx.doi.org/10.1183/09031936.00004414")</f>
        <v>http://dx.doi.org/10.1183/09031936.00004414</v>
      </c>
      <c r="BG889" t="s">
        <v>74</v>
      </c>
      <c r="BH889" t="s">
        <v>74</v>
      </c>
      <c r="BI889">
        <v>13</v>
      </c>
      <c r="BJ889" t="s">
        <v>228</v>
      </c>
      <c r="BK889" t="s">
        <v>101</v>
      </c>
      <c r="BL889" t="s">
        <v>228</v>
      </c>
      <c r="BM889" t="s">
        <v>12419</v>
      </c>
      <c r="BN889">
        <v>25837032</v>
      </c>
      <c r="BO889" t="s">
        <v>1194</v>
      </c>
      <c r="BP889" t="s">
        <v>74</v>
      </c>
      <c r="BQ889" t="s">
        <v>74</v>
      </c>
      <c r="BR889" t="s">
        <v>104</v>
      </c>
      <c r="BS889" t="s">
        <v>12420</v>
      </c>
      <c r="BT889" t="str">
        <f>HYPERLINK("https%3A%2F%2Fwww.webofscience.com%2Fwos%2Fwoscc%2Ffull-record%2FWOS:000357137300020","View Full Record in Web of Science")</f>
        <v>View Full Record in Web of Science</v>
      </c>
    </row>
    <row r="890" spans="1:72" x14ac:dyDescent="0.25">
      <c r="A890" t="s">
        <v>72</v>
      </c>
      <c r="B890" t="s">
        <v>12421</v>
      </c>
      <c r="C890" t="s">
        <v>74</v>
      </c>
      <c r="D890" t="s">
        <v>74</v>
      </c>
      <c r="E890" t="s">
        <v>74</v>
      </c>
      <c r="F890" t="s">
        <v>12422</v>
      </c>
      <c r="G890" t="s">
        <v>74</v>
      </c>
      <c r="H890" t="s">
        <v>74</v>
      </c>
      <c r="I890" t="s">
        <v>12423</v>
      </c>
      <c r="J890" t="s">
        <v>216</v>
      </c>
      <c r="K890" t="s">
        <v>74</v>
      </c>
      <c r="L890" t="s">
        <v>74</v>
      </c>
      <c r="M890" t="s">
        <v>78</v>
      </c>
      <c r="N890" t="s">
        <v>460</v>
      </c>
      <c r="O890" t="s">
        <v>74</v>
      </c>
      <c r="P890" t="s">
        <v>74</v>
      </c>
      <c r="Q890" t="s">
        <v>74</v>
      </c>
      <c r="R890" t="s">
        <v>74</v>
      </c>
      <c r="S890" t="s">
        <v>74</v>
      </c>
      <c r="T890" t="s">
        <v>74</v>
      </c>
      <c r="U890" t="s">
        <v>2329</v>
      </c>
      <c r="V890" t="s">
        <v>74</v>
      </c>
      <c r="W890" t="s">
        <v>12424</v>
      </c>
      <c r="X890" t="s">
        <v>12425</v>
      </c>
      <c r="Y890" t="s">
        <v>12426</v>
      </c>
      <c r="Z890" t="s">
        <v>9722</v>
      </c>
      <c r="AA890" t="s">
        <v>12427</v>
      </c>
      <c r="AB890" t="s">
        <v>12428</v>
      </c>
      <c r="AC890" t="s">
        <v>12429</v>
      </c>
      <c r="AD890" t="s">
        <v>12430</v>
      </c>
      <c r="AE890" t="s">
        <v>74</v>
      </c>
      <c r="AF890" t="s">
        <v>74</v>
      </c>
      <c r="AG890">
        <v>13</v>
      </c>
      <c r="AH890">
        <v>7</v>
      </c>
      <c r="AI890">
        <v>9</v>
      </c>
      <c r="AJ890">
        <v>0</v>
      </c>
      <c r="AK890">
        <v>4</v>
      </c>
      <c r="AL890" t="s">
        <v>219</v>
      </c>
      <c r="AM890" t="s">
        <v>220</v>
      </c>
      <c r="AN890" t="s">
        <v>221</v>
      </c>
      <c r="AO890" t="s">
        <v>222</v>
      </c>
      <c r="AP890" t="s">
        <v>223</v>
      </c>
      <c r="AQ890" t="s">
        <v>74</v>
      </c>
      <c r="AR890" t="s">
        <v>224</v>
      </c>
      <c r="AS890" t="s">
        <v>225</v>
      </c>
      <c r="AT890" t="s">
        <v>785</v>
      </c>
      <c r="AU890">
        <v>2015</v>
      </c>
      <c r="AV890">
        <v>46</v>
      </c>
      <c r="AW890">
        <v>1</v>
      </c>
      <c r="AX890" t="s">
        <v>74</v>
      </c>
      <c r="AY890" t="s">
        <v>74</v>
      </c>
      <c r="AZ890" t="s">
        <v>74</v>
      </c>
      <c r="BA890" t="s">
        <v>74</v>
      </c>
      <c r="BB890">
        <v>283</v>
      </c>
      <c r="BC890">
        <v>286</v>
      </c>
      <c r="BD890" t="s">
        <v>74</v>
      </c>
      <c r="BE890" t="s">
        <v>12431</v>
      </c>
      <c r="BF890" t="str">
        <f>HYPERLINK("http://dx.doi.org/10.1183/09031936.00044915","http://dx.doi.org/10.1183/09031936.00044915")</f>
        <v>http://dx.doi.org/10.1183/09031936.00044915</v>
      </c>
      <c r="BG890" t="s">
        <v>74</v>
      </c>
      <c r="BH890" t="s">
        <v>74</v>
      </c>
      <c r="BI890">
        <v>4</v>
      </c>
      <c r="BJ890" t="s">
        <v>228</v>
      </c>
      <c r="BK890" t="s">
        <v>101</v>
      </c>
      <c r="BL890" t="s">
        <v>228</v>
      </c>
      <c r="BM890" t="s">
        <v>12419</v>
      </c>
      <c r="BN890">
        <v>25929949</v>
      </c>
      <c r="BO890" t="s">
        <v>74</v>
      </c>
      <c r="BP890" t="s">
        <v>74</v>
      </c>
      <c r="BQ890" t="s">
        <v>74</v>
      </c>
      <c r="BR890" t="s">
        <v>104</v>
      </c>
      <c r="BS890" t="s">
        <v>12432</v>
      </c>
      <c r="BT890" t="str">
        <f>HYPERLINK("https%3A%2F%2Fwww.webofscience.com%2Fwos%2Fwoscc%2Ffull-record%2FWOS:000357137300039","View Full Record in Web of Science")</f>
        <v>View Full Record in Web of Science</v>
      </c>
    </row>
    <row r="891" spans="1:72" x14ac:dyDescent="0.25">
      <c r="A891" t="s">
        <v>72</v>
      </c>
      <c r="B891" t="s">
        <v>12433</v>
      </c>
      <c r="C891" t="s">
        <v>74</v>
      </c>
      <c r="D891" t="s">
        <v>74</v>
      </c>
      <c r="E891" t="s">
        <v>74</v>
      </c>
      <c r="F891" t="s">
        <v>12434</v>
      </c>
      <c r="G891" t="s">
        <v>74</v>
      </c>
      <c r="H891" t="s">
        <v>74</v>
      </c>
      <c r="I891" t="s">
        <v>12435</v>
      </c>
      <c r="J891" t="s">
        <v>5456</v>
      </c>
      <c r="K891" t="s">
        <v>74</v>
      </c>
      <c r="L891" t="s">
        <v>74</v>
      </c>
      <c r="M891" t="s">
        <v>78</v>
      </c>
      <c r="N891" t="s">
        <v>79</v>
      </c>
      <c r="O891" t="s">
        <v>74</v>
      </c>
      <c r="P891" t="s">
        <v>74</v>
      </c>
      <c r="Q891" t="s">
        <v>74</v>
      </c>
      <c r="R891" t="s">
        <v>74</v>
      </c>
      <c r="S891" t="s">
        <v>74</v>
      </c>
      <c r="T891" t="s">
        <v>74</v>
      </c>
      <c r="U891" t="s">
        <v>12436</v>
      </c>
      <c r="V891" t="s">
        <v>12437</v>
      </c>
      <c r="W891" t="s">
        <v>12438</v>
      </c>
      <c r="X891" t="s">
        <v>12439</v>
      </c>
      <c r="Y891" t="s">
        <v>12440</v>
      </c>
      <c r="Z891" t="s">
        <v>7431</v>
      </c>
      <c r="AA891" t="s">
        <v>12441</v>
      </c>
      <c r="AB891" t="s">
        <v>12442</v>
      </c>
      <c r="AC891" t="s">
        <v>12443</v>
      </c>
      <c r="AD891" t="s">
        <v>12444</v>
      </c>
      <c r="AE891" t="s">
        <v>12445</v>
      </c>
      <c r="AF891" t="s">
        <v>74</v>
      </c>
      <c r="AG891">
        <v>22</v>
      </c>
      <c r="AH891">
        <v>42</v>
      </c>
      <c r="AI891">
        <v>42</v>
      </c>
      <c r="AJ891">
        <v>0</v>
      </c>
      <c r="AK891">
        <v>6</v>
      </c>
      <c r="AL891" t="s">
        <v>5465</v>
      </c>
      <c r="AM891" t="s">
        <v>5466</v>
      </c>
      <c r="AN891" t="s">
        <v>5467</v>
      </c>
      <c r="AO891" t="s">
        <v>5468</v>
      </c>
      <c r="AP891" t="s">
        <v>74</v>
      </c>
      <c r="AQ891" t="s">
        <v>74</v>
      </c>
      <c r="AR891" t="s">
        <v>5456</v>
      </c>
      <c r="AS891" t="s">
        <v>5469</v>
      </c>
      <c r="AT891" t="s">
        <v>12446</v>
      </c>
      <c r="AU891">
        <v>2015</v>
      </c>
      <c r="AV891">
        <v>10</v>
      </c>
      <c r="AW891">
        <v>6</v>
      </c>
      <c r="AX891" t="s">
        <v>74</v>
      </c>
      <c r="AY891" t="s">
        <v>74</v>
      </c>
      <c r="AZ891" t="s">
        <v>74</v>
      </c>
      <c r="BA891" t="s">
        <v>74</v>
      </c>
      <c r="BB891" t="s">
        <v>74</v>
      </c>
      <c r="BC891" t="s">
        <v>74</v>
      </c>
      <c r="BD891" t="s">
        <v>12447</v>
      </c>
      <c r="BE891" t="s">
        <v>12448</v>
      </c>
      <c r="BF891" t="str">
        <f>HYPERLINK("http://dx.doi.org/10.1371/journal.pone.0131940","http://dx.doi.org/10.1371/journal.pone.0131940")</f>
        <v>http://dx.doi.org/10.1371/journal.pone.0131940</v>
      </c>
      <c r="BG891" t="s">
        <v>74</v>
      </c>
      <c r="BH891" t="s">
        <v>74</v>
      </c>
      <c r="BI891">
        <v>12</v>
      </c>
      <c r="BJ891" t="s">
        <v>290</v>
      </c>
      <c r="BK891" t="s">
        <v>101</v>
      </c>
      <c r="BL891" t="s">
        <v>291</v>
      </c>
      <c r="BM891" t="s">
        <v>12449</v>
      </c>
      <c r="BN891">
        <v>26121334</v>
      </c>
      <c r="BO891" t="s">
        <v>865</v>
      </c>
      <c r="BP891" t="s">
        <v>74</v>
      </c>
      <c r="BQ891" t="s">
        <v>74</v>
      </c>
      <c r="BR891" t="s">
        <v>104</v>
      </c>
      <c r="BS891" t="s">
        <v>12450</v>
      </c>
      <c r="BT891" t="str">
        <f>HYPERLINK("https%3A%2F%2Fwww.webofscience.com%2Fwos%2Fwoscc%2Ffull-record%2FWOS:000358150400183","View Full Record in Web of Science")</f>
        <v>View Full Record in Web of Science</v>
      </c>
    </row>
    <row r="892" spans="1:72" x14ac:dyDescent="0.25">
      <c r="A892" t="s">
        <v>72</v>
      </c>
      <c r="B892" t="s">
        <v>12451</v>
      </c>
      <c r="C892" t="s">
        <v>74</v>
      </c>
      <c r="D892" t="s">
        <v>74</v>
      </c>
      <c r="E892" t="s">
        <v>74</v>
      </c>
      <c r="F892" t="s">
        <v>12452</v>
      </c>
      <c r="G892" t="s">
        <v>74</v>
      </c>
      <c r="H892" t="s">
        <v>74</v>
      </c>
      <c r="I892" t="s">
        <v>12453</v>
      </c>
      <c r="J892" t="s">
        <v>4427</v>
      </c>
      <c r="K892" t="s">
        <v>74</v>
      </c>
      <c r="L892" t="s">
        <v>74</v>
      </c>
      <c r="M892" t="s">
        <v>78</v>
      </c>
      <c r="N892" t="s">
        <v>79</v>
      </c>
      <c r="O892" t="s">
        <v>74</v>
      </c>
      <c r="P892" t="s">
        <v>74</v>
      </c>
      <c r="Q892" t="s">
        <v>74</v>
      </c>
      <c r="R892" t="s">
        <v>74</v>
      </c>
      <c r="S892" t="s">
        <v>74</v>
      </c>
      <c r="T892" t="s">
        <v>12454</v>
      </c>
      <c r="U892" t="s">
        <v>12455</v>
      </c>
      <c r="V892" t="s">
        <v>12456</v>
      </c>
      <c r="W892" t="s">
        <v>12457</v>
      </c>
      <c r="X892" t="s">
        <v>12458</v>
      </c>
      <c r="Y892" t="s">
        <v>12459</v>
      </c>
      <c r="Z892" t="s">
        <v>12460</v>
      </c>
      <c r="AA892" t="s">
        <v>12461</v>
      </c>
      <c r="AB892" t="s">
        <v>12462</v>
      </c>
      <c r="AC892" t="s">
        <v>12463</v>
      </c>
      <c r="AD892" t="s">
        <v>12464</v>
      </c>
      <c r="AE892" t="s">
        <v>12465</v>
      </c>
      <c r="AF892" t="s">
        <v>74</v>
      </c>
      <c r="AG892">
        <v>40</v>
      </c>
      <c r="AH892">
        <v>83</v>
      </c>
      <c r="AI892">
        <v>85</v>
      </c>
      <c r="AJ892">
        <v>0</v>
      </c>
      <c r="AK892">
        <v>11</v>
      </c>
      <c r="AL892" t="s">
        <v>485</v>
      </c>
      <c r="AM892" t="s">
        <v>486</v>
      </c>
      <c r="AN892" t="s">
        <v>487</v>
      </c>
      <c r="AO892" t="s">
        <v>4433</v>
      </c>
      <c r="AP892" t="s">
        <v>4434</v>
      </c>
      <c r="AQ892" t="s">
        <v>74</v>
      </c>
      <c r="AR892" t="s">
        <v>4435</v>
      </c>
      <c r="AS892" t="s">
        <v>4436</v>
      </c>
      <c r="AT892" t="s">
        <v>1060</v>
      </c>
      <c r="AU892">
        <v>2015</v>
      </c>
      <c r="AV892">
        <v>135</v>
      </c>
      <c r="AW892">
        <v>6</v>
      </c>
      <c r="AX892" t="s">
        <v>74</v>
      </c>
      <c r="AY892" t="s">
        <v>74</v>
      </c>
      <c r="AZ892" t="s">
        <v>74</v>
      </c>
      <c r="BA892" t="s">
        <v>74</v>
      </c>
      <c r="BB892">
        <v>1457</v>
      </c>
      <c r="BC892" t="s">
        <v>12466</v>
      </c>
      <c r="BD892" t="s">
        <v>74</v>
      </c>
      <c r="BE892" t="s">
        <v>12467</v>
      </c>
      <c r="BF892" t="str">
        <f>HYPERLINK("http://dx.doi.org/10.1016/j.jaci.2014.08.015","http://dx.doi.org/10.1016/j.jaci.2014.08.015")</f>
        <v>http://dx.doi.org/10.1016/j.jaci.2014.08.015</v>
      </c>
      <c r="BG892" t="s">
        <v>74</v>
      </c>
      <c r="BH892" t="s">
        <v>74</v>
      </c>
      <c r="BI892">
        <v>12</v>
      </c>
      <c r="BJ892" t="s">
        <v>3085</v>
      </c>
      <c r="BK892" t="s">
        <v>101</v>
      </c>
      <c r="BL892" t="s">
        <v>3085</v>
      </c>
      <c r="BM892" t="s">
        <v>12468</v>
      </c>
      <c r="BN892">
        <v>25258144</v>
      </c>
      <c r="BO892" t="s">
        <v>2854</v>
      </c>
      <c r="BP892" t="s">
        <v>74</v>
      </c>
      <c r="BQ892" t="s">
        <v>74</v>
      </c>
      <c r="BR892" t="s">
        <v>104</v>
      </c>
      <c r="BS892" t="s">
        <v>12469</v>
      </c>
      <c r="BT892" t="str">
        <f>HYPERLINK("https%3A%2F%2Fwww.webofscience.com%2Fwos%2Fwoscc%2Ffull-record%2FWOS:000355933400007","View Full Record in Web of Science")</f>
        <v>View Full Record in Web of Science</v>
      </c>
    </row>
    <row r="893" spans="1:72" x14ac:dyDescent="0.25">
      <c r="A893" t="s">
        <v>72</v>
      </c>
      <c r="B893" t="s">
        <v>12470</v>
      </c>
      <c r="C893" t="s">
        <v>74</v>
      </c>
      <c r="D893" t="s">
        <v>74</v>
      </c>
      <c r="E893" t="s">
        <v>74</v>
      </c>
      <c r="F893" t="s">
        <v>12471</v>
      </c>
      <c r="G893" t="s">
        <v>74</v>
      </c>
      <c r="H893" t="s">
        <v>74</v>
      </c>
      <c r="I893" t="s">
        <v>12472</v>
      </c>
      <c r="J893" t="s">
        <v>2580</v>
      </c>
      <c r="K893" t="s">
        <v>74</v>
      </c>
      <c r="L893" t="s">
        <v>74</v>
      </c>
      <c r="M893" t="s">
        <v>78</v>
      </c>
      <c r="N893" t="s">
        <v>52</v>
      </c>
      <c r="O893" t="s">
        <v>74</v>
      </c>
      <c r="P893" t="s">
        <v>74</v>
      </c>
      <c r="Q893" t="s">
        <v>74</v>
      </c>
      <c r="R893" t="s">
        <v>74</v>
      </c>
      <c r="S893" t="s">
        <v>74</v>
      </c>
      <c r="T893" t="s">
        <v>74</v>
      </c>
      <c r="U893" t="s">
        <v>74</v>
      </c>
      <c r="V893" t="s">
        <v>74</v>
      </c>
      <c r="W893" t="s">
        <v>12473</v>
      </c>
      <c r="X893" t="s">
        <v>12474</v>
      </c>
      <c r="Y893" t="s">
        <v>74</v>
      </c>
      <c r="Z893" t="s">
        <v>74</v>
      </c>
      <c r="AA893" t="s">
        <v>12475</v>
      </c>
      <c r="AB893" t="s">
        <v>9300</v>
      </c>
      <c r="AC893" t="s">
        <v>12476</v>
      </c>
      <c r="AD893" t="s">
        <v>12477</v>
      </c>
      <c r="AE893" t="s">
        <v>12478</v>
      </c>
      <c r="AF893" t="s">
        <v>74</v>
      </c>
      <c r="AG893">
        <v>0</v>
      </c>
      <c r="AH893">
        <v>2</v>
      </c>
      <c r="AI893">
        <v>2</v>
      </c>
      <c r="AJ893">
        <v>0</v>
      </c>
      <c r="AK893">
        <v>0</v>
      </c>
      <c r="AL893" t="s">
        <v>2590</v>
      </c>
      <c r="AM893" t="s">
        <v>201</v>
      </c>
      <c r="AN893" t="s">
        <v>2591</v>
      </c>
      <c r="AO893" t="s">
        <v>2592</v>
      </c>
      <c r="AP893" t="s">
        <v>2593</v>
      </c>
      <c r="AQ893" t="s">
        <v>74</v>
      </c>
      <c r="AR893" t="s">
        <v>2594</v>
      </c>
      <c r="AS893" t="s">
        <v>2595</v>
      </c>
      <c r="AT893" t="s">
        <v>1060</v>
      </c>
      <c r="AU893">
        <v>2015</v>
      </c>
      <c r="AV893">
        <v>74</v>
      </c>
      <c r="AW893" t="s">
        <v>74</v>
      </c>
      <c r="AX893" t="s">
        <v>74</v>
      </c>
      <c r="AY893">
        <v>2</v>
      </c>
      <c r="AZ893" t="s">
        <v>74</v>
      </c>
      <c r="BA893" t="s">
        <v>12479</v>
      </c>
      <c r="BB893">
        <v>588</v>
      </c>
      <c r="BC893">
        <v>589</v>
      </c>
      <c r="BD893" t="s">
        <v>74</v>
      </c>
      <c r="BE893" t="s">
        <v>12480</v>
      </c>
      <c r="BF893" t="str">
        <f>HYPERLINK("http://dx.doi.org/10.1136/annrheumdis-2015-eular.4461","http://dx.doi.org/10.1136/annrheumdis-2015-eular.4461")</f>
        <v>http://dx.doi.org/10.1136/annrheumdis-2015-eular.4461</v>
      </c>
      <c r="BG893" t="s">
        <v>74</v>
      </c>
      <c r="BH893" t="s">
        <v>74</v>
      </c>
      <c r="BI893">
        <v>2</v>
      </c>
      <c r="BJ893" t="s">
        <v>2369</v>
      </c>
      <c r="BK893" t="s">
        <v>101</v>
      </c>
      <c r="BL893" t="s">
        <v>2369</v>
      </c>
      <c r="BM893" t="s">
        <v>12481</v>
      </c>
      <c r="BN893" t="s">
        <v>74</v>
      </c>
      <c r="BO893" t="s">
        <v>74</v>
      </c>
      <c r="BP893" t="s">
        <v>74</v>
      </c>
      <c r="BQ893" t="s">
        <v>74</v>
      </c>
      <c r="BR893" t="s">
        <v>104</v>
      </c>
      <c r="BS893" t="s">
        <v>12482</v>
      </c>
      <c r="BT893" t="str">
        <f>HYPERLINK("https%3A%2F%2Fwww.webofscience.com%2Fwos%2Fwoscc%2Ffull-record%2FWOS:000215799101795","View Full Record in Web of Science")</f>
        <v>View Full Record in Web of Science</v>
      </c>
    </row>
    <row r="894" spans="1:72" x14ac:dyDescent="0.25">
      <c r="A894" t="s">
        <v>72</v>
      </c>
      <c r="B894" t="s">
        <v>12057</v>
      </c>
      <c r="C894" t="s">
        <v>74</v>
      </c>
      <c r="D894" t="s">
        <v>74</v>
      </c>
      <c r="E894" t="s">
        <v>74</v>
      </c>
      <c r="F894" t="s">
        <v>12058</v>
      </c>
      <c r="G894" t="s">
        <v>74</v>
      </c>
      <c r="H894" t="s">
        <v>74</v>
      </c>
      <c r="I894" t="s">
        <v>12483</v>
      </c>
      <c r="J894" t="s">
        <v>324</v>
      </c>
      <c r="K894" t="s">
        <v>74</v>
      </c>
      <c r="L894" t="s">
        <v>74</v>
      </c>
      <c r="M894" t="s">
        <v>78</v>
      </c>
      <c r="N894" t="s">
        <v>79</v>
      </c>
      <c r="O894" t="s">
        <v>74</v>
      </c>
      <c r="P894" t="s">
        <v>74</v>
      </c>
      <c r="Q894" t="s">
        <v>74</v>
      </c>
      <c r="R894" t="s">
        <v>74</v>
      </c>
      <c r="S894" t="s">
        <v>74</v>
      </c>
      <c r="T894" t="s">
        <v>74</v>
      </c>
      <c r="U894" t="s">
        <v>12484</v>
      </c>
      <c r="V894" t="s">
        <v>12485</v>
      </c>
      <c r="W894" t="s">
        <v>12486</v>
      </c>
      <c r="X894" t="s">
        <v>12487</v>
      </c>
      <c r="Y894" t="s">
        <v>12488</v>
      </c>
      <c r="Z894" t="s">
        <v>756</v>
      </c>
      <c r="AA894" t="s">
        <v>12489</v>
      </c>
      <c r="AB894" t="s">
        <v>12490</v>
      </c>
      <c r="AC894" t="s">
        <v>12491</v>
      </c>
      <c r="AD894" t="s">
        <v>12492</v>
      </c>
      <c r="AE894" t="s">
        <v>12493</v>
      </c>
      <c r="AF894" t="s">
        <v>74</v>
      </c>
      <c r="AG894">
        <v>45</v>
      </c>
      <c r="AH894">
        <v>84</v>
      </c>
      <c r="AI894">
        <v>90</v>
      </c>
      <c r="AJ894">
        <v>0</v>
      </c>
      <c r="AK894">
        <v>15</v>
      </c>
      <c r="AL894" t="s">
        <v>92</v>
      </c>
      <c r="AM894" t="s">
        <v>93</v>
      </c>
      <c r="AN894" t="s">
        <v>94</v>
      </c>
      <c r="AO894" t="s">
        <v>337</v>
      </c>
      <c r="AP894" t="s">
        <v>338</v>
      </c>
      <c r="AQ894" t="s">
        <v>74</v>
      </c>
      <c r="AR894" t="s">
        <v>324</v>
      </c>
      <c r="AS894" t="s">
        <v>339</v>
      </c>
      <c r="AT894" t="s">
        <v>1060</v>
      </c>
      <c r="AU894">
        <v>2015</v>
      </c>
      <c r="AV894">
        <v>147</v>
      </c>
      <c r="AW894">
        <v>6</v>
      </c>
      <c r="AX894" t="s">
        <v>74</v>
      </c>
      <c r="AY894" t="s">
        <v>74</v>
      </c>
      <c r="AZ894" t="s">
        <v>74</v>
      </c>
      <c r="BA894" t="s">
        <v>74</v>
      </c>
      <c r="BB894">
        <v>1610</v>
      </c>
      <c r="BC894">
        <v>1620</v>
      </c>
      <c r="BD894" t="s">
        <v>74</v>
      </c>
      <c r="BE894" t="s">
        <v>12494</v>
      </c>
      <c r="BF894" t="str">
        <f>HYPERLINK("http://dx.doi.org/10.1378/chest.14-1678","http://dx.doi.org/10.1378/chest.14-1678")</f>
        <v>http://dx.doi.org/10.1378/chest.14-1678</v>
      </c>
      <c r="BG894" t="s">
        <v>74</v>
      </c>
      <c r="BH894" t="s">
        <v>74</v>
      </c>
      <c r="BI894">
        <v>11</v>
      </c>
      <c r="BJ894" t="s">
        <v>341</v>
      </c>
      <c r="BK894" t="s">
        <v>101</v>
      </c>
      <c r="BL894" t="s">
        <v>342</v>
      </c>
      <c r="BM894" t="s">
        <v>12495</v>
      </c>
      <c r="BN894">
        <v>25429518</v>
      </c>
      <c r="BO894" t="s">
        <v>74</v>
      </c>
      <c r="BP894" t="s">
        <v>74</v>
      </c>
      <c r="BQ894" t="s">
        <v>74</v>
      </c>
      <c r="BR894" t="s">
        <v>104</v>
      </c>
      <c r="BS894" t="s">
        <v>12496</v>
      </c>
      <c r="BT894" t="str">
        <f>HYPERLINK("https%3A%2F%2Fwww.webofscience.com%2Fwos%2Fwoscc%2Ffull-record%2FWOS:000355837900042","View Full Record in Web of Science")</f>
        <v>View Full Record in Web of Science</v>
      </c>
    </row>
    <row r="895" spans="1:72" x14ac:dyDescent="0.25">
      <c r="A895" t="s">
        <v>72</v>
      </c>
      <c r="B895" t="s">
        <v>12497</v>
      </c>
      <c r="C895" t="s">
        <v>74</v>
      </c>
      <c r="D895" t="s">
        <v>74</v>
      </c>
      <c r="E895" t="s">
        <v>74</v>
      </c>
      <c r="F895" t="s">
        <v>12498</v>
      </c>
      <c r="G895" t="s">
        <v>74</v>
      </c>
      <c r="H895" t="s">
        <v>74</v>
      </c>
      <c r="I895" t="s">
        <v>12499</v>
      </c>
      <c r="J895" t="s">
        <v>1348</v>
      </c>
      <c r="K895" t="s">
        <v>74</v>
      </c>
      <c r="L895" t="s">
        <v>74</v>
      </c>
      <c r="M895" t="s">
        <v>1349</v>
      </c>
      <c r="N895" t="s">
        <v>299</v>
      </c>
      <c r="O895" t="s">
        <v>74</v>
      </c>
      <c r="P895" t="s">
        <v>74</v>
      </c>
      <c r="Q895" t="s">
        <v>74</v>
      </c>
      <c r="R895" t="s">
        <v>74</v>
      </c>
      <c r="S895" t="s">
        <v>74</v>
      </c>
      <c r="T895" t="s">
        <v>12500</v>
      </c>
      <c r="U895" t="s">
        <v>12501</v>
      </c>
      <c r="V895" t="s">
        <v>12502</v>
      </c>
      <c r="W895" t="s">
        <v>12503</v>
      </c>
      <c r="X895" t="s">
        <v>12504</v>
      </c>
      <c r="Y895" t="s">
        <v>12505</v>
      </c>
      <c r="Z895" t="s">
        <v>12506</v>
      </c>
      <c r="AA895" t="s">
        <v>12507</v>
      </c>
      <c r="AB895" t="s">
        <v>3168</v>
      </c>
      <c r="AC895" t="s">
        <v>74</v>
      </c>
      <c r="AD895" t="s">
        <v>74</v>
      </c>
      <c r="AE895" t="s">
        <v>74</v>
      </c>
      <c r="AF895" t="s">
        <v>74</v>
      </c>
      <c r="AG895">
        <v>67</v>
      </c>
      <c r="AH895">
        <v>9</v>
      </c>
      <c r="AI895">
        <v>9</v>
      </c>
      <c r="AJ895">
        <v>0</v>
      </c>
      <c r="AK895">
        <v>3</v>
      </c>
      <c r="AL895" t="s">
        <v>1358</v>
      </c>
      <c r="AM895" t="s">
        <v>1359</v>
      </c>
      <c r="AN895" t="s">
        <v>1360</v>
      </c>
      <c r="AO895" t="s">
        <v>1361</v>
      </c>
      <c r="AP895" t="s">
        <v>1362</v>
      </c>
      <c r="AQ895" t="s">
        <v>74</v>
      </c>
      <c r="AR895" t="s">
        <v>1363</v>
      </c>
      <c r="AS895" t="s">
        <v>1364</v>
      </c>
      <c r="AT895" t="s">
        <v>1060</v>
      </c>
      <c r="AU895">
        <v>2015</v>
      </c>
      <c r="AV895">
        <v>32</v>
      </c>
      <c r="AW895">
        <v>6</v>
      </c>
      <c r="AX895" t="s">
        <v>74</v>
      </c>
      <c r="AY895" t="s">
        <v>74</v>
      </c>
      <c r="AZ895" t="s">
        <v>74</v>
      </c>
      <c r="BA895" t="s">
        <v>74</v>
      </c>
      <c r="BB895">
        <v>618</v>
      </c>
      <c r="BC895">
        <v>628</v>
      </c>
      <c r="BD895" t="s">
        <v>74</v>
      </c>
      <c r="BE895" t="s">
        <v>12508</v>
      </c>
      <c r="BF895" t="str">
        <f>HYPERLINK("http://dx.doi.org/10.1016/j.rmr.2014.07.013","http://dx.doi.org/10.1016/j.rmr.2014.07.013")</f>
        <v>http://dx.doi.org/10.1016/j.rmr.2014.07.013</v>
      </c>
      <c r="BG895" t="s">
        <v>74</v>
      </c>
      <c r="BH895" t="s">
        <v>74</v>
      </c>
      <c r="BI895">
        <v>11</v>
      </c>
      <c r="BJ895" t="s">
        <v>228</v>
      </c>
      <c r="BK895" t="s">
        <v>101</v>
      </c>
      <c r="BL895" t="s">
        <v>228</v>
      </c>
      <c r="BM895" t="s">
        <v>12509</v>
      </c>
      <c r="BN895">
        <v>26231412</v>
      </c>
      <c r="BO895" t="s">
        <v>1524</v>
      </c>
      <c r="BP895" t="s">
        <v>74</v>
      </c>
      <c r="BQ895" t="s">
        <v>74</v>
      </c>
      <c r="BR895" t="s">
        <v>104</v>
      </c>
      <c r="BS895" t="s">
        <v>12510</v>
      </c>
      <c r="BT895" t="str">
        <f>HYPERLINK("https%3A%2F%2Fwww.webofscience.com%2Fwos%2Fwoscc%2Ffull-record%2FWOS:000361479100006","View Full Record in Web of Science")</f>
        <v>View Full Record in Web of Science</v>
      </c>
    </row>
    <row r="896" spans="1:72" x14ac:dyDescent="0.25">
      <c r="A896" t="s">
        <v>72</v>
      </c>
      <c r="B896" t="s">
        <v>12511</v>
      </c>
      <c r="C896" t="s">
        <v>74</v>
      </c>
      <c r="D896" t="s">
        <v>74</v>
      </c>
      <c r="E896" t="s">
        <v>74</v>
      </c>
      <c r="F896" t="s">
        <v>12512</v>
      </c>
      <c r="G896" t="s">
        <v>74</v>
      </c>
      <c r="H896" t="s">
        <v>74</v>
      </c>
      <c r="I896" t="s">
        <v>1879</v>
      </c>
      <c r="J896" t="s">
        <v>9067</v>
      </c>
      <c r="K896" t="s">
        <v>74</v>
      </c>
      <c r="L896" t="s">
        <v>74</v>
      </c>
      <c r="M896" t="s">
        <v>78</v>
      </c>
      <c r="N896" t="s">
        <v>79</v>
      </c>
      <c r="O896" t="s">
        <v>74</v>
      </c>
      <c r="P896" t="s">
        <v>74</v>
      </c>
      <c r="Q896" t="s">
        <v>74</v>
      </c>
      <c r="R896" t="s">
        <v>74</v>
      </c>
      <c r="S896" t="s">
        <v>74</v>
      </c>
      <c r="T896" t="s">
        <v>12513</v>
      </c>
      <c r="U896" t="s">
        <v>12514</v>
      </c>
      <c r="V896" t="s">
        <v>12515</v>
      </c>
      <c r="W896" t="s">
        <v>12516</v>
      </c>
      <c r="X896" t="s">
        <v>12517</v>
      </c>
      <c r="Y896" t="s">
        <v>12518</v>
      </c>
      <c r="Z896" t="s">
        <v>12519</v>
      </c>
      <c r="AA896" t="s">
        <v>12520</v>
      </c>
      <c r="AB896" t="s">
        <v>12521</v>
      </c>
      <c r="AC896" t="s">
        <v>12522</v>
      </c>
      <c r="AD896" t="s">
        <v>12523</v>
      </c>
      <c r="AE896" t="s">
        <v>12524</v>
      </c>
      <c r="AF896" t="s">
        <v>74</v>
      </c>
      <c r="AG896">
        <v>110</v>
      </c>
      <c r="AH896">
        <v>260</v>
      </c>
      <c r="AI896">
        <v>310</v>
      </c>
      <c r="AJ896">
        <v>3</v>
      </c>
      <c r="AK896">
        <v>91</v>
      </c>
      <c r="AL896" t="s">
        <v>991</v>
      </c>
      <c r="AM896" t="s">
        <v>486</v>
      </c>
      <c r="AN896" t="s">
        <v>992</v>
      </c>
      <c r="AO896" t="s">
        <v>9073</v>
      </c>
      <c r="AP896" t="s">
        <v>9074</v>
      </c>
      <c r="AQ896" t="s">
        <v>74</v>
      </c>
      <c r="AR896" t="s">
        <v>9075</v>
      </c>
      <c r="AS896" t="s">
        <v>9076</v>
      </c>
      <c r="AT896" t="s">
        <v>12525</v>
      </c>
      <c r="AU896">
        <v>2015</v>
      </c>
      <c r="AV896">
        <v>65</v>
      </c>
      <c r="AW896">
        <v>18</v>
      </c>
      <c r="AX896" t="s">
        <v>74</v>
      </c>
      <c r="AY896" t="s">
        <v>74</v>
      </c>
      <c r="AZ896" t="s">
        <v>74</v>
      </c>
      <c r="BA896" t="s">
        <v>74</v>
      </c>
      <c r="BB896">
        <v>1976</v>
      </c>
      <c r="BC896">
        <v>1997</v>
      </c>
      <c r="BD896" t="s">
        <v>74</v>
      </c>
      <c r="BE896" t="s">
        <v>12526</v>
      </c>
      <c r="BF896" t="str">
        <f>HYPERLINK("http://dx.doi.org/10.1016/j.jacc.2015.03.540","http://dx.doi.org/10.1016/j.jacc.2015.03.540")</f>
        <v>http://dx.doi.org/10.1016/j.jacc.2015.03.540</v>
      </c>
      <c r="BG896" t="s">
        <v>74</v>
      </c>
      <c r="BH896" t="s">
        <v>74</v>
      </c>
      <c r="BI896">
        <v>22</v>
      </c>
      <c r="BJ896" t="s">
        <v>132</v>
      </c>
      <c r="BK896" t="s">
        <v>101</v>
      </c>
      <c r="BL896" t="s">
        <v>133</v>
      </c>
      <c r="BM896" t="s">
        <v>12527</v>
      </c>
      <c r="BN896">
        <v>25953750</v>
      </c>
      <c r="BO896" t="s">
        <v>74</v>
      </c>
      <c r="BP896" t="s">
        <v>1155</v>
      </c>
      <c r="BQ896" t="s">
        <v>1156</v>
      </c>
      <c r="BR896" t="s">
        <v>104</v>
      </c>
      <c r="BS896" t="s">
        <v>12528</v>
      </c>
      <c r="BT896" t="str">
        <f>HYPERLINK("https%3A%2F%2Fwww.webofscience.com%2Fwos%2Fwoscc%2Ffull-record%2FWOS:000353991000011","View Full Record in Web of Science")</f>
        <v>View Full Record in Web of Science</v>
      </c>
    </row>
    <row r="897" spans="1:72" x14ac:dyDescent="0.25">
      <c r="A897" t="s">
        <v>72</v>
      </c>
      <c r="B897" t="s">
        <v>12529</v>
      </c>
      <c r="C897" t="s">
        <v>74</v>
      </c>
      <c r="D897" t="s">
        <v>74</v>
      </c>
      <c r="E897" t="s">
        <v>74</v>
      </c>
      <c r="F897" t="s">
        <v>12530</v>
      </c>
      <c r="G897" t="s">
        <v>74</v>
      </c>
      <c r="H897" t="s">
        <v>74</v>
      </c>
      <c r="I897" t="s">
        <v>12531</v>
      </c>
      <c r="J897" t="s">
        <v>324</v>
      </c>
      <c r="K897" t="s">
        <v>74</v>
      </c>
      <c r="L897" t="s">
        <v>74</v>
      </c>
      <c r="M897" t="s">
        <v>78</v>
      </c>
      <c r="N897" t="s">
        <v>79</v>
      </c>
      <c r="O897" t="s">
        <v>74</v>
      </c>
      <c r="P897" t="s">
        <v>74</v>
      </c>
      <c r="Q897" t="s">
        <v>74</v>
      </c>
      <c r="R897" t="s">
        <v>74</v>
      </c>
      <c r="S897" t="s">
        <v>74</v>
      </c>
      <c r="T897" t="s">
        <v>74</v>
      </c>
      <c r="U897" t="s">
        <v>12532</v>
      </c>
      <c r="V897" t="s">
        <v>12533</v>
      </c>
      <c r="W897" t="s">
        <v>12534</v>
      </c>
      <c r="X897" t="s">
        <v>12535</v>
      </c>
      <c r="Y897" t="s">
        <v>12536</v>
      </c>
      <c r="Z897" t="s">
        <v>10035</v>
      </c>
      <c r="AA897" t="s">
        <v>12537</v>
      </c>
      <c r="AB897" t="s">
        <v>12538</v>
      </c>
      <c r="AC897" t="s">
        <v>12539</v>
      </c>
      <c r="AD897" t="s">
        <v>12539</v>
      </c>
      <c r="AE897" t="s">
        <v>12540</v>
      </c>
      <c r="AF897" t="s">
        <v>74</v>
      </c>
      <c r="AG897">
        <v>28</v>
      </c>
      <c r="AH897">
        <v>29</v>
      </c>
      <c r="AI897">
        <v>31</v>
      </c>
      <c r="AJ897">
        <v>0</v>
      </c>
      <c r="AK897">
        <v>6</v>
      </c>
      <c r="AL897" t="s">
        <v>7467</v>
      </c>
      <c r="AM897" t="s">
        <v>93</v>
      </c>
      <c r="AN897" t="s">
        <v>7468</v>
      </c>
      <c r="AO897" t="s">
        <v>337</v>
      </c>
      <c r="AP897" t="s">
        <v>74</v>
      </c>
      <c r="AQ897" t="s">
        <v>74</v>
      </c>
      <c r="AR897" t="s">
        <v>324</v>
      </c>
      <c r="AS897" t="s">
        <v>339</v>
      </c>
      <c r="AT897" t="s">
        <v>2097</v>
      </c>
      <c r="AU897">
        <v>2015</v>
      </c>
      <c r="AV897">
        <v>147</v>
      </c>
      <c r="AW897">
        <v>5</v>
      </c>
      <c r="AX897" t="s">
        <v>74</v>
      </c>
      <c r="AY897" t="s">
        <v>74</v>
      </c>
      <c r="AZ897" t="s">
        <v>74</v>
      </c>
      <c r="BA897" t="s">
        <v>74</v>
      </c>
      <c r="BB897">
        <v>1385</v>
      </c>
      <c r="BC897">
        <v>1394</v>
      </c>
      <c r="BD897" t="s">
        <v>74</v>
      </c>
      <c r="BE897" t="s">
        <v>12541</v>
      </c>
      <c r="BF897" t="str">
        <f>HYPERLINK("http://dx.doi.org/10.1378/chest.14-0880","http://dx.doi.org/10.1378/chest.14-0880")</f>
        <v>http://dx.doi.org/10.1378/chest.14-0880</v>
      </c>
      <c r="BG897" t="s">
        <v>74</v>
      </c>
      <c r="BH897" t="s">
        <v>74</v>
      </c>
      <c r="BI897">
        <v>10</v>
      </c>
      <c r="BJ897" t="s">
        <v>341</v>
      </c>
      <c r="BK897" t="s">
        <v>101</v>
      </c>
      <c r="BL897" t="s">
        <v>342</v>
      </c>
      <c r="BM897" t="s">
        <v>12542</v>
      </c>
      <c r="BN897">
        <v>25429696</v>
      </c>
      <c r="BO897" t="s">
        <v>74</v>
      </c>
      <c r="BP897" t="s">
        <v>74</v>
      </c>
      <c r="BQ897" t="s">
        <v>74</v>
      </c>
      <c r="BR897" t="s">
        <v>104</v>
      </c>
      <c r="BS897" t="s">
        <v>12543</v>
      </c>
      <c r="BT897" t="str">
        <f>HYPERLINK("https%3A%2F%2Fwww.webofscience.com%2Fwos%2Fwoscc%2Ffull-record%2FWOS:000354606600044","View Full Record in Web of Science")</f>
        <v>View Full Record in Web of Science</v>
      </c>
    </row>
    <row r="898" spans="1:72" x14ac:dyDescent="0.25">
      <c r="A898" t="s">
        <v>72</v>
      </c>
      <c r="B898" t="s">
        <v>12544</v>
      </c>
      <c r="C898" t="s">
        <v>74</v>
      </c>
      <c r="D898" t="s">
        <v>74</v>
      </c>
      <c r="E898" t="s">
        <v>74</v>
      </c>
      <c r="F898" t="s">
        <v>12545</v>
      </c>
      <c r="G898" t="s">
        <v>74</v>
      </c>
      <c r="H898" t="s">
        <v>74</v>
      </c>
      <c r="I898" t="s">
        <v>12546</v>
      </c>
      <c r="J898" t="s">
        <v>166</v>
      </c>
      <c r="K898" t="s">
        <v>74</v>
      </c>
      <c r="L898" t="s">
        <v>74</v>
      </c>
      <c r="M898" t="s">
        <v>78</v>
      </c>
      <c r="N898" t="s">
        <v>52</v>
      </c>
      <c r="O898" t="s">
        <v>74</v>
      </c>
      <c r="P898" t="s">
        <v>74</v>
      </c>
      <c r="Q898" t="s">
        <v>74</v>
      </c>
      <c r="R898" t="s">
        <v>74</v>
      </c>
      <c r="S898" t="s">
        <v>74</v>
      </c>
      <c r="T898" t="s">
        <v>74</v>
      </c>
      <c r="U898" t="s">
        <v>74</v>
      </c>
      <c r="V898" t="s">
        <v>74</v>
      </c>
      <c r="W898" t="s">
        <v>12547</v>
      </c>
      <c r="X898" t="s">
        <v>9006</v>
      </c>
      <c r="Y898" t="s">
        <v>74</v>
      </c>
      <c r="Z898" t="s">
        <v>74</v>
      </c>
      <c r="AA898" t="s">
        <v>12548</v>
      </c>
      <c r="AB898" t="s">
        <v>74</v>
      </c>
      <c r="AC898" t="s">
        <v>74</v>
      </c>
      <c r="AD898" t="s">
        <v>74</v>
      </c>
      <c r="AE898" t="s">
        <v>74</v>
      </c>
      <c r="AF898" t="s">
        <v>74</v>
      </c>
      <c r="AG898">
        <v>0</v>
      </c>
      <c r="AH898">
        <v>0</v>
      </c>
      <c r="AI898">
        <v>0</v>
      </c>
      <c r="AJ898">
        <v>0</v>
      </c>
      <c r="AK898">
        <v>3</v>
      </c>
      <c r="AL898" t="s">
        <v>169</v>
      </c>
      <c r="AM898" t="s">
        <v>170</v>
      </c>
      <c r="AN898" t="s">
        <v>171</v>
      </c>
      <c r="AO898" t="s">
        <v>172</v>
      </c>
      <c r="AP898" t="s">
        <v>173</v>
      </c>
      <c r="AQ898" t="s">
        <v>74</v>
      </c>
      <c r="AR898" t="s">
        <v>174</v>
      </c>
      <c r="AS898" t="s">
        <v>175</v>
      </c>
      <c r="AT898" t="s">
        <v>2097</v>
      </c>
      <c r="AU898">
        <v>2015</v>
      </c>
      <c r="AV898">
        <v>214</v>
      </c>
      <c r="AW898" t="s">
        <v>74</v>
      </c>
      <c r="AX898" t="s">
        <v>74</v>
      </c>
      <c r="AY898">
        <v>700</v>
      </c>
      <c r="AZ898" t="s">
        <v>1080</v>
      </c>
      <c r="BA898" t="s">
        <v>12549</v>
      </c>
      <c r="BB898">
        <v>79</v>
      </c>
      <c r="BC898">
        <v>80</v>
      </c>
      <c r="BD898" t="s">
        <v>74</v>
      </c>
      <c r="BE898" t="s">
        <v>74</v>
      </c>
      <c r="BF898" t="s">
        <v>74</v>
      </c>
      <c r="BG898" t="s">
        <v>74</v>
      </c>
      <c r="BH898" t="s">
        <v>74</v>
      </c>
      <c r="BI898">
        <v>2</v>
      </c>
      <c r="BJ898" t="s">
        <v>177</v>
      </c>
      <c r="BK898" t="s">
        <v>101</v>
      </c>
      <c r="BL898" t="s">
        <v>177</v>
      </c>
      <c r="BM898" t="s">
        <v>12550</v>
      </c>
      <c r="BN898" t="s">
        <v>74</v>
      </c>
      <c r="BO898" t="s">
        <v>74</v>
      </c>
      <c r="BP898" t="s">
        <v>74</v>
      </c>
      <c r="BQ898" t="s">
        <v>74</v>
      </c>
      <c r="BR898" t="s">
        <v>104</v>
      </c>
      <c r="BS898" t="s">
        <v>12551</v>
      </c>
      <c r="BT898" t="str">
        <f>HYPERLINK("https%3A%2F%2Fwww.webofscience.com%2Fwos%2Fwoscc%2Ffull-record%2FWOS:000354528800242","View Full Record in Web of Science")</f>
        <v>View Full Record in Web of Science</v>
      </c>
    </row>
    <row r="899" spans="1:72" x14ac:dyDescent="0.25">
      <c r="A899" t="s">
        <v>72</v>
      </c>
      <c r="B899" t="s">
        <v>12552</v>
      </c>
      <c r="C899" t="s">
        <v>74</v>
      </c>
      <c r="D899" t="s">
        <v>74</v>
      </c>
      <c r="E899" t="s">
        <v>74</v>
      </c>
      <c r="F899" t="s">
        <v>12553</v>
      </c>
      <c r="G899" t="s">
        <v>74</v>
      </c>
      <c r="H899" t="s">
        <v>74</v>
      </c>
      <c r="I899" t="s">
        <v>12554</v>
      </c>
      <c r="J899" t="s">
        <v>216</v>
      </c>
      <c r="K899" t="s">
        <v>74</v>
      </c>
      <c r="L899" t="s">
        <v>74</v>
      </c>
      <c r="M899" t="s">
        <v>78</v>
      </c>
      <c r="N899" t="s">
        <v>460</v>
      </c>
      <c r="O899" t="s">
        <v>74</v>
      </c>
      <c r="P899" t="s">
        <v>74</v>
      </c>
      <c r="Q899" t="s">
        <v>74</v>
      </c>
      <c r="R899" t="s">
        <v>74</v>
      </c>
      <c r="S899" t="s">
        <v>74</v>
      </c>
      <c r="T899" t="s">
        <v>74</v>
      </c>
      <c r="U899" t="s">
        <v>12555</v>
      </c>
      <c r="V899" t="s">
        <v>74</v>
      </c>
      <c r="W899" t="s">
        <v>12556</v>
      </c>
      <c r="X899" t="s">
        <v>12557</v>
      </c>
      <c r="Y899" t="s">
        <v>12558</v>
      </c>
      <c r="Z899" t="s">
        <v>12559</v>
      </c>
      <c r="AA899" t="s">
        <v>12560</v>
      </c>
      <c r="AB899" t="s">
        <v>12561</v>
      </c>
      <c r="AC899" t="s">
        <v>74</v>
      </c>
      <c r="AD899" t="s">
        <v>74</v>
      </c>
      <c r="AE899" t="s">
        <v>74</v>
      </c>
      <c r="AF899" t="s">
        <v>74</v>
      </c>
      <c r="AG899">
        <v>16</v>
      </c>
      <c r="AH899">
        <v>33</v>
      </c>
      <c r="AI899">
        <v>34</v>
      </c>
      <c r="AJ899">
        <v>0</v>
      </c>
      <c r="AK899">
        <v>5</v>
      </c>
      <c r="AL899" t="s">
        <v>219</v>
      </c>
      <c r="AM899" t="s">
        <v>220</v>
      </c>
      <c r="AN899" t="s">
        <v>221</v>
      </c>
      <c r="AO899" t="s">
        <v>222</v>
      </c>
      <c r="AP899" t="s">
        <v>223</v>
      </c>
      <c r="AQ899" t="s">
        <v>74</v>
      </c>
      <c r="AR899" t="s">
        <v>224</v>
      </c>
      <c r="AS899" t="s">
        <v>225</v>
      </c>
      <c r="AT899" t="s">
        <v>2097</v>
      </c>
      <c r="AU899">
        <v>2015</v>
      </c>
      <c r="AV899">
        <v>45</v>
      </c>
      <c r="AW899">
        <v>5</v>
      </c>
      <c r="AX899" t="s">
        <v>74</v>
      </c>
      <c r="AY899" t="s">
        <v>74</v>
      </c>
      <c r="AZ899" t="s">
        <v>74</v>
      </c>
      <c r="BA899" t="s">
        <v>74</v>
      </c>
      <c r="BB899">
        <v>1495</v>
      </c>
      <c r="BC899">
        <v>1498</v>
      </c>
      <c r="BD899" t="s">
        <v>74</v>
      </c>
      <c r="BE899" t="s">
        <v>12562</v>
      </c>
      <c r="BF899" t="str">
        <f>HYPERLINK("http://dx.doi.org/10.1183/09031936.00153214","http://dx.doi.org/10.1183/09031936.00153214")</f>
        <v>http://dx.doi.org/10.1183/09031936.00153214</v>
      </c>
      <c r="BG899" t="s">
        <v>74</v>
      </c>
      <c r="BH899" t="s">
        <v>74</v>
      </c>
      <c r="BI899">
        <v>4</v>
      </c>
      <c r="BJ899" t="s">
        <v>228</v>
      </c>
      <c r="BK899" t="s">
        <v>101</v>
      </c>
      <c r="BL899" t="s">
        <v>228</v>
      </c>
      <c r="BM899" t="s">
        <v>12563</v>
      </c>
      <c r="BN899">
        <v>25931490</v>
      </c>
      <c r="BO899" t="s">
        <v>1194</v>
      </c>
      <c r="BP899" t="s">
        <v>74</v>
      </c>
      <c r="BQ899" t="s">
        <v>74</v>
      </c>
      <c r="BR899" t="s">
        <v>104</v>
      </c>
      <c r="BS899" t="s">
        <v>12564</v>
      </c>
      <c r="BT899" t="str">
        <f>HYPERLINK("https%3A%2F%2Fwww.webofscience.com%2Fwos%2Fwoscc%2Ffull-record%2FWOS:000354145100036","View Full Record in Web of Science")</f>
        <v>View Full Record in Web of Science</v>
      </c>
    </row>
    <row r="900" spans="1:72" x14ac:dyDescent="0.25">
      <c r="A900" t="s">
        <v>72</v>
      </c>
      <c r="B900" t="s">
        <v>12565</v>
      </c>
      <c r="C900" t="s">
        <v>74</v>
      </c>
      <c r="D900" t="s">
        <v>74</v>
      </c>
      <c r="E900" t="s">
        <v>74</v>
      </c>
      <c r="F900" t="s">
        <v>12566</v>
      </c>
      <c r="G900" t="s">
        <v>74</v>
      </c>
      <c r="H900" t="s">
        <v>74</v>
      </c>
      <c r="I900" t="s">
        <v>12567</v>
      </c>
      <c r="J900" t="s">
        <v>216</v>
      </c>
      <c r="K900" t="s">
        <v>74</v>
      </c>
      <c r="L900" t="s">
        <v>74</v>
      </c>
      <c r="M900" t="s">
        <v>78</v>
      </c>
      <c r="N900" t="s">
        <v>79</v>
      </c>
      <c r="O900" t="s">
        <v>74</v>
      </c>
      <c r="P900" t="s">
        <v>74</v>
      </c>
      <c r="Q900" t="s">
        <v>74</v>
      </c>
      <c r="R900" t="s">
        <v>74</v>
      </c>
      <c r="S900" t="s">
        <v>74</v>
      </c>
      <c r="T900" t="s">
        <v>74</v>
      </c>
      <c r="U900" t="s">
        <v>74</v>
      </c>
      <c r="V900" t="s">
        <v>12568</v>
      </c>
      <c r="W900" t="s">
        <v>12569</v>
      </c>
      <c r="X900" t="s">
        <v>12570</v>
      </c>
      <c r="Y900" t="s">
        <v>12571</v>
      </c>
      <c r="Z900" t="s">
        <v>12572</v>
      </c>
      <c r="AA900" t="s">
        <v>12573</v>
      </c>
      <c r="AB900" t="s">
        <v>12574</v>
      </c>
      <c r="AC900" t="s">
        <v>74</v>
      </c>
      <c r="AD900" t="s">
        <v>74</v>
      </c>
      <c r="AE900" t="s">
        <v>74</v>
      </c>
      <c r="AF900" t="s">
        <v>74</v>
      </c>
      <c r="AG900">
        <v>19</v>
      </c>
      <c r="AH900">
        <v>153</v>
      </c>
      <c r="AI900">
        <v>169</v>
      </c>
      <c r="AJ900">
        <v>1</v>
      </c>
      <c r="AK900">
        <v>14</v>
      </c>
      <c r="AL900" t="s">
        <v>219</v>
      </c>
      <c r="AM900" t="s">
        <v>220</v>
      </c>
      <c r="AN900" t="s">
        <v>221</v>
      </c>
      <c r="AO900" t="s">
        <v>222</v>
      </c>
      <c r="AP900" t="s">
        <v>223</v>
      </c>
      <c r="AQ900" t="s">
        <v>74</v>
      </c>
      <c r="AR900" t="s">
        <v>224</v>
      </c>
      <c r="AS900" t="s">
        <v>225</v>
      </c>
      <c r="AT900" t="s">
        <v>2097</v>
      </c>
      <c r="AU900">
        <v>2015</v>
      </c>
      <c r="AV900">
        <v>45</v>
      </c>
      <c r="AW900">
        <v>5</v>
      </c>
      <c r="AX900" t="s">
        <v>74</v>
      </c>
      <c r="AY900" t="s">
        <v>74</v>
      </c>
      <c r="AZ900" t="s">
        <v>74</v>
      </c>
      <c r="BA900" t="s">
        <v>74</v>
      </c>
      <c r="BB900">
        <v>1303</v>
      </c>
      <c r="BC900">
        <v>1313</v>
      </c>
      <c r="BD900" t="s">
        <v>74</v>
      </c>
      <c r="BE900" t="s">
        <v>12575</v>
      </c>
      <c r="BF900" t="str">
        <f>HYPERLINK("http://dx.doi.org/10.1183/09031936.00090614","http://dx.doi.org/10.1183/09031936.00090614")</f>
        <v>http://dx.doi.org/10.1183/09031936.00090614</v>
      </c>
      <c r="BG900" t="s">
        <v>74</v>
      </c>
      <c r="BH900" t="s">
        <v>74</v>
      </c>
      <c r="BI900">
        <v>11</v>
      </c>
      <c r="BJ900" t="s">
        <v>228</v>
      </c>
      <c r="BK900" t="s">
        <v>101</v>
      </c>
      <c r="BL900" t="s">
        <v>228</v>
      </c>
      <c r="BM900" t="s">
        <v>12563</v>
      </c>
      <c r="BN900">
        <v>25614164</v>
      </c>
      <c r="BO900" t="s">
        <v>1194</v>
      </c>
      <c r="BP900" t="s">
        <v>74</v>
      </c>
      <c r="BQ900" t="s">
        <v>74</v>
      </c>
      <c r="BR900" t="s">
        <v>104</v>
      </c>
      <c r="BS900" t="s">
        <v>12576</v>
      </c>
      <c r="BT900" t="str">
        <f>HYPERLINK("https%3A%2F%2Fwww.webofscience.com%2Fwos%2Fwoscc%2Ffull-record%2FWOS:000354145100015","View Full Record in Web of Science")</f>
        <v>View Full Record in Web of Science</v>
      </c>
    </row>
    <row r="901" spans="1:72" x14ac:dyDescent="0.25">
      <c r="A901" t="s">
        <v>72</v>
      </c>
      <c r="B901" t="s">
        <v>12577</v>
      </c>
      <c r="C901" t="s">
        <v>74</v>
      </c>
      <c r="D901" t="s">
        <v>74</v>
      </c>
      <c r="E901" t="s">
        <v>74</v>
      </c>
      <c r="F901" t="s">
        <v>12578</v>
      </c>
      <c r="G901" t="s">
        <v>74</v>
      </c>
      <c r="H901" t="s">
        <v>74</v>
      </c>
      <c r="I901" t="s">
        <v>12579</v>
      </c>
      <c r="J901" t="s">
        <v>983</v>
      </c>
      <c r="K901" t="s">
        <v>74</v>
      </c>
      <c r="L901" t="s">
        <v>74</v>
      </c>
      <c r="M901" t="s">
        <v>78</v>
      </c>
      <c r="N901" t="s">
        <v>52</v>
      </c>
      <c r="O901" t="s">
        <v>12580</v>
      </c>
      <c r="P901" t="s">
        <v>12581</v>
      </c>
      <c r="Q901" t="s">
        <v>8019</v>
      </c>
      <c r="R901" t="s">
        <v>987</v>
      </c>
      <c r="S901" t="s">
        <v>74</v>
      </c>
      <c r="T901" t="s">
        <v>74</v>
      </c>
      <c r="U901" t="s">
        <v>74</v>
      </c>
      <c r="V901" t="s">
        <v>74</v>
      </c>
      <c r="W901" t="s">
        <v>12582</v>
      </c>
      <c r="X901" t="s">
        <v>12583</v>
      </c>
      <c r="Y901" t="s">
        <v>74</v>
      </c>
      <c r="Z901" t="s">
        <v>74</v>
      </c>
      <c r="AA901" t="s">
        <v>144</v>
      </c>
      <c r="AB901" t="s">
        <v>74</v>
      </c>
      <c r="AC901" t="s">
        <v>74</v>
      </c>
      <c r="AD901" t="s">
        <v>74</v>
      </c>
      <c r="AE901" t="s">
        <v>74</v>
      </c>
      <c r="AF901" t="s">
        <v>74</v>
      </c>
      <c r="AG901">
        <v>0</v>
      </c>
      <c r="AH901">
        <v>0</v>
      </c>
      <c r="AI901">
        <v>0</v>
      </c>
      <c r="AJ901">
        <v>0</v>
      </c>
      <c r="AK901">
        <v>1</v>
      </c>
      <c r="AL901" t="s">
        <v>991</v>
      </c>
      <c r="AM901" t="s">
        <v>486</v>
      </c>
      <c r="AN901" t="s">
        <v>8530</v>
      </c>
      <c r="AO901" t="s">
        <v>993</v>
      </c>
      <c r="AP901" t="s">
        <v>994</v>
      </c>
      <c r="AQ901" t="s">
        <v>74</v>
      </c>
      <c r="AR901" t="s">
        <v>995</v>
      </c>
      <c r="AS901" t="s">
        <v>996</v>
      </c>
      <c r="AT901" t="s">
        <v>997</v>
      </c>
      <c r="AU901">
        <v>2015</v>
      </c>
      <c r="AV901">
        <v>34</v>
      </c>
      <c r="AW901">
        <v>4</v>
      </c>
      <c r="AX901" t="s">
        <v>74</v>
      </c>
      <c r="AY901" t="s">
        <v>998</v>
      </c>
      <c r="AZ901" t="s">
        <v>74</v>
      </c>
      <c r="BA901">
        <v>948</v>
      </c>
      <c r="BB901" t="s">
        <v>12584</v>
      </c>
      <c r="BC901" t="s">
        <v>12585</v>
      </c>
      <c r="BD901" t="s">
        <v>74</v>
      </c>
      <c r="BE901" t="s">
        <v>12586</v>
      </c>
      <c r="BF901" t="str">
        <f>HYPERLINK("http://dx.doi.org/10.1016/j.healun.2015.01.967","http://dx.doi.org/10.1016/j.healun.2015.01.967")</f>
        <v>http://dx.doi.org/10.1016/j.healun.2015.01.967</v>
      </c>
      <c r="BG901" t="s">
        <v>74</v>
      </c>
      <c r="BH901" t="s">
        <v>74</v>
      </c>
      <c r="BI901">
        <v>2</v>
      </c>
      <c r="BJ901" t="s">
        <v>1000</v>
      </c>
      <c r="BK901" t="s">
        <v>512</v>
      </c>
      <c r="BL901" t="s">
        <v>1001</v>
      </c>
      <c r="BM901" t="s">
        <v>12587</v>
      </c>
      <c r="BN901" t="s">
        <v>74</v>
      </c>
      <c r="BO901" t="s">
        <v>74</v>
      </c>
      <c r="BP901" t="s">
        <v>74</v>
      </c>
      <c r="BQ901" t="s">
        <v>74</v>
      </c>
      <c r="BR901" t="s">
        <v>104</v>
      </c>
      <c r="BS901" t="s">
        <v>12588</v>
      </c>
      <c r="BT901" t="str">
        <f>HYPERLINK("https%3A%2F%2Fwww.webofscience.com%2Fwos%2Fwoscc%2Ffull-record%2FWOS:000353251500929","View Full Record in Web of Science")</f>
        <v>View Full Record in Web of Science</v>
      </c>
    </row>
    <row r="902" spans="1:72" x14ac:dyDescent="0.25">
      <c r="A902" t="s">
        <v>72</v>
      </c>
      <c r="B902" t="s">
        <v>12589</v>
      </c>
      <c r="C902" t="s">
        <v>74</v>
      </c>
      <c r="D902" t="s">
        <v>74</v>
      </c>
      <c r="E902" t="s">
        <v>74</v>
      </c>
      <c r="F902" t="s">
        <v>12590</v>
      </c>
      <c r="G902" t="s">
        <v>74</v>
      </c>
      <c r="H902" t="s">
        <v>74</v>
      </c>
      <c r="I902" t="s">
        <v>12591</v>
      </c>
      <c r="J902" t="s">
        <v>983</v>
      </c>
      <c r="K902" t="s">
        <v>74</v>
      </c>
      <c r="L902" t="s">
        <v>74</v>
      </c>
      <c r="M902" t="s">
        <v>78</v>
      </c>
      <c r="N902" t="s">
        <v>52</v>
      </c>
      <c r="O902" t="s">
        <v>12580</v>
      </c>
      <c r="P902" t="s">
        <v>12581</v>
      </c>
      <c r="Q902" t="s">
        <v>8019</v>
      </c>
      <c r="R902" t="s">
        <v>987</v>
      </c>
      <c r="S902" t="s">
        <v>74</v>
      </c>
      <c r="T902" t="s">
        <v>74</v>
      </c>
      <c r="U902" t="s">
        <v>74</v>
      </c>
      <c r="V902" t="s">
        <v>74</v>
      </c>
      <c r="W902" t="s">
        <v>12592</v>
      </c>
      <c r="X902" t="s">
        <v>12593</v>
      </c>
      <c r="Y902" t="s">
        <v>74</v>
      </c>
      <c r="Z902" t="s">
        <v>74</v>
      </c>
      <c r="AA902" t="s">
        <v>144</v>
      </c>
      <c r="AB902" t="s">
        <v>74</v>
      </c>
      <c r="AC902" t="s">
        <v>74</v>
      </c>
      <c r="AD902" t="s">
        <v>74</v>
      </c>
      <c r="AE902" t="s">
        <v>74</v>
      </c>
      <c r="AF902" t="s">
        <v>74</v>
      </c>
      <c r="AG902">
        <v>0</v>
      </c>
      <c r="AH902">
        <v>0</v>
      </c>
      <c r="AI902">
        <v>0</v>
      </c>
      <c r="AJ902">
        <v>0</v>
      </c>
      <c r="AK902">
        <v>0</v>
      </c>
      <c r="AL902" t="s">
        <v>991</v>
      </c>
      <c r="AM902" t="s">
        <v>486</v>
      </c>
      <c r="AN902" t="s">
        <v>8530</v>
      </c>
      <c r="AO902" t="s">
        <v>993</v>
      </c>
      <c r="AP902" t="s">
        <v>994</v>
      </c>
      <c r="AQ902" t="s">
        <v>74</v>
      </c>
      <c r="AR902" t="s">
        <v>995</v>
      </c>
      <c r="AS902" t="s">
        <v>996</v>
      </c>
      <c r="AT902" t="s">
        <v>997</v>
      </c>
      <c r="AU902">
        <v>2015</v>
      </c>
      <c r="AV902">
        <v>34</v>
      </c>
      <c r="AW902">
        <v>4</v>
      </c>
      <c r="AX902" t="s">
        <v>74</v>
      </c>
      <c r="AY902" t="s">
        <v>998</v>
      </c>
      <c r="AZ902" t="s">
        <v>74</v>
      </c>
      <c r="BA902">
        <v>373</v>
      </c>
      <c r="BB902" t="s">
        <v>12594</v>
      </c>
      <c r="BC902" t="s">
        <v>12595</v>
      </c>
      <c r="BD902" t="s">
        <v>74</v>
      </c>
      <c r="BE902" t="s">
        <v>12596</v>
      </c>
      <c r="BF902" t="str">
        <f>HYPERLINK("http://dx.doi.org/10.1016/j.healun.2015.01.387","http://dx.doi.org/10.1016/j.healun.2015.01.387")</f>
        <v>http://dx.doi.org/10.1016/j.healun.2015.01.387</v>
      </c>
      <c r="BG902" t="s">
        <v>74</v>
      </c>
      <c r="BH902" t="s">
        <v>74</v>
      </c>
      <c r="BI902">
        <v>2</v>
      </c>
      <c r="BJ902" t="s">
        <v>1000</v>
      </c>
      <c r="BK902" t="s">
        <v>512</v>
      </c>
      <c r="BL902" t="s">
        <v>1001</v>
      </c>
      <c r="BM902" t="s">
        <v>12587</v>
      </c>
      <c r="BN902" t="s">
        <v>74</v>
      </c>
      <c r="BO902" t="s">
        <v>74</v>
      </c>
      <c r="BP902" t="s">
        <v>74</v>
      </c>
      <c r="BQ902" t="s">
        <v>74</v>
      </c>
      <c r="BR902" t="s">
        <v>104</v>
      </c>
      <c r="BS902" t="s">
        <v>12597</v>
      </c>
      <c r="BT902" t="str">
        <f>HYPERLINK("https%3A%2F%2Fwww.webofscience.com%2Fwos%2Fwoscc%2Ffull-record%2FWOS:000353251500367","View Full Record in Web of Science")</f>
        <v>View Full Record in Web of Science</v>
      </c>
    </row>
    <row r="903" spans="1:72" x14ac:dyDescent="0.25">
      <c r="A903" t="s">
        <v>72</v>
      </c>
      <c r="B903" t="s">
        <v>12598</v>
      </c>
      <c r="C903" t="s">
        <v>74</v>
      </c>
      <c r="D903" t="s">
        <v>74</v>
      </c>
      <c r="E903" t="s">
        <v>74</v>
      </c>
      <c r="F903" t="s">
        <v>12599</v>
      </c>
      <c r="G903" t="s">
        <v>74</v>
      </c>
      <c r="H903" t="s">
        <v>74</v>
      </c>
      <c r="I903" t="s">
        <v>12600</v>
      </c>
      <c r="J903" t="s">
        <v>324</v>
      </c>
      <c r="K903" t="s">
        <v>74</v>
      </c>
      <c r="L903" t="s">
        <v>74</v>
      </c>
      <c r="M903" t="s">
        <v>78</v>
      </c>
      <c r="N903" t="s">
        <v>79</v>
      </c>
      <c r="O903" t="s">
        <v>74</v>
      </c>
      <c r="P903" t="s">
        <v>74</v>
      </c>
      <c r="Q903" t="s">
        <v>74</v>
      </c>
      <c r="R903" t="s">
        <v>74</v>
      </c>
      <c r="S903" t="s">
        <v>74</v>
      </c>
      <c r="T903" t="s">
        <v>74</v>
      </c>
      <c r="U903" t="s">
        <v>12601</v>
      </c>
      <c r="V903" t="s">
        <v>12602</v>
      </c>
      <c r="W903" t="s">
        <v>12603</v>
      </c>
      <c r="X903" t="s">
        <v>12604</v>
      </c>
      <c r="Y903" t="s">
        <v>12605</v>
      </c>
      <c r="Z903" t="s">
        <v>12606</v>
      </c>
      <c r="AA903" t="s">
        <v>12607</v>
      </c>
      <c r="AB903" t="s">
        <v>12608</v>
      </c>
      <c r="AC903" t="s">
        <v>74</v>
      </c>
      <c r="AD903" t="s">
        <v>74</v>
      </c>
      <c r="AE903" t="s">
        <v>74</v>
      </c>
      <c r="AF903" t="s">
        <v>74</v>
      </c>
      <c r="AG903">
        <v>54</v>
      </c>
      <c r="AH903">
        <v>37</v>
      </c>
      <c r="AI903">
        <v>40</v>
      </c>
      <c r="AJ903">
        <v>0</v>
      </c>
      <c r="AK903">
        <v>2</v>
      </c>
      <c r="AL903" t="s">
        <v>92</v>
      </c>
      <c r="AM903" t="s">
        <v>93</v>
      </c>
      <c r="AN903" t="s">
        <v>94</v>
      </c>
      <c r="AO903" t="s">
        <v>337</v>
      </c>
      <c r="AP903" t="s">
        <v>338</v>
      </c>
      <c r="AQ903" t="s">
        <v>74</v>
      </c>
      <c r="AR903" t="s">
        <v>324</v>
      </c>
      <c r="AS903" t="s">
        <v>339</v>
      </c>
      <c r="AT903" t="s">
        <v>997</v>
      </c>
      <c r="AU903">
        <v>2015</v>
      </c>
      <c r="AV903">
        <v>147</v>
      </c>
      <c r="AW903">
        <v>4</v>
      </c>
      <c r="AX903" t="s">
        <v>74</v>
      </c>
      <c r="AY903" t="s">
        <v>74</v>
      </c>
      <c r="AZ903" t="s">
        <v>74</v>
      </c>
      <c r="BA903" t="s">
        <v>74</v>
      </c>
      <c r="BB903">
        <v>943</v>
      </c>
      <c r="BC903">
        <v>950</v>
      </c>
      <c r="BD903" t="s">
        <v>74</v>
      </c>
      <c r="BE903" t="s">
        <v>12609</v>
      </c>
      <c r="BF903" t="str">
        <f>HYPERLINK("http://dx.doi.org/10.1378/chest.14-1755","http://dx.doi.org/10.1378/chest.14-1755")</f>
        <v>http://dx.doi.org/10.1378/chest.14-1755</v>
      </c>
      <c r="BG903" t="s">
        <v>74</v>
      </c>
      <c r="BH903" t="s">
        <v>74</v>
      </c>
      <c r="BI903">
        <v>8</v>
      </c>
      <c r="BJ903" t="s">
        <v>341</v>
      </c>
      <c r="BK903" t="s">
        <v>101</v>
      </c>
      <c r="BL903" t="s">
        <v>342</v>
      </c>
      <c r="BM903" t="s">
        <v>12610</v>
      </c>
      <c r="BN903">
        <v>25846528</v>
      </c>
      <c r="BO903" t="s">
        <v>1194</v>
      </c>
      <c r="BP903" t="s">
        <v>74</v>
      </c>
      <c r="BQ903" t="s">
        <v>74</v>
      </c>
      <c r="BR903" t="s">
        <v>104</v>
      </c>
      <c r="BS903" t="s">
        <v>12611</v>
      </c>
      <c r="BT903" t="str">
        <f>HYPERLINK("https%3A%2F%2Fwww.webofscience.com%2Fwos%2Fwoscc%2Ffull-record%2FWOS:000354606300023","View Full Record in Web of Science")</f>
        <v>View Full Record in Web of Science</v>
      </c>
    </row>
    <row r="904" spans="1:72" x14ac:dyDescent="0.25">
      <c r="A904" t="s">
        <v>72</v>
      </c>
      <c r="B904" t="s">
        <v>12612</v>
      </c>
      <c r="C904" t="s">
        <v>74</v>
      </c>
      <c r="D904" t="s">
        <v>74</v>
      </c>
      <c r="E904" t="s">
        <v>74</v>
      </c>
      <c r="F904" t="s">
        <v>12613</v>
      </c>
      <c r="G904" t="s">
        <v>74</v>
      </c>
      <c r="H904" t="s">
        <v>74</v>
      </c>
      <c r="I904" t="s">
        <v>12614</v>
      </c>
      <c r="J904" t="s">
        <v>11078</v>
      </c>
      <c r="K904" t="s">
        <v>74</v>
      </c>
      <c r="L904" t="s">
        <v>74</v>
      </c>
      <c r="M904" t="s">
        <v>78</v>
      </c>
      <c r="N904" t="s">
        <v>460</v>
      </c>
      <c r="O904" t="s">
        <v>74</v>
      </c>
      <c r="P904" t="s">
        <v>74</v>
      </c>
      <c r="Q904" t="s">
        <v>74</v>
      </c>
      <c r="R904" t="s">
        <v>74</v>
      </c>
      <c r="S904" t="s">
        <v>74</v>
      </c>
      <c r="T904" t="s">
        <v>12615</v>
      </c>
      <c r="U904" t="s">
        <v>12616</v>
      </c>
      <c r="V904" t="s">
        <v>74</v>
      </c>
      <c r="W904" t="s">
        <v>12617</v>
      </c>
      <c r="X904" t="s">
        <v>12618</v>
      </c>
      <c r="Y904" t="s">
        <v>12619</v>
      </c>
      <c r="Z904" t="s">
        <v>12606</v>
      </c>
      <c r="AA904" t="s">
        <v>12620</v>
      </c>
      <c r="AB904" t="s">
        <v>12621</v>
      </c>
      <c r="AC904" t="s">
        <v>74</v>
      </c>
      <c r="AD904" t="s">
        <v>74</v>
      </c>
      <c r="AE904" t="s">
        <v>74</v>
      </c>
      <c r="AF904" t="s">
        <v>74</v>
      </c>
      <c r="AG904">
        <v>10</v>
      </c>
      <c r="AH904">
        <v>3</v>
      </c>
      <c r="AI904">
        <v>3</v>
      </c>
      <c r="AJ904">
        <v>0</v>
      </c>
      <c r="AK904">
        <v>1</v>
      </c>
      <c r="AL904" t="s">
        <v>11090</v>
      </c>
      <c r="AM904" t="s">
        <v>11091</v>
      </c>
      <c r="AN904" t="s">
        <v>11092</v>
      </c>
      <c r="AO904" t="s">
        <v>11093</v>
      </c>
      <c r="AP904" t="s">
        <v>11094</v>
      </c>
      <c r="AQ904" t="s">
        <v>74</v>
      </c>
      <c r="AR904" t="s">
        <v>11095</v>
      </c>
      <c r="AS904" t="s">
        <v>11096</v>
      </c>
      <c r="AT904" t="s">
        <v>1017</v>
      </c>
      <c r="AU904">
        <v>2015</v>
      </c>
      <c r="AV904">
        <v>184</v>
      </c>
      <c r="AW904" t="s">
        <v>74</v>
      </c>
      <c r="AX904" t="s">
        <v>74</v>
      </c>
      <c r="AY904" t="s">
        <v>74</v>
      </c>
      <c r="AZ904" t="s">
        <v>74</v>
      </c>
      <c r="BA904" t="s">
        <v>74</v>
      </c>
      <c r="BB904">
        <v>763</v>
      </c>
      <c r="BC904">
        <v>765</v>
      </c>
      <c r="BD904" t="s">
        <v>74</v>
      </c>
      <c r="BE904" t="s">
        <v>12622</v>
      </c>
      <c r="BF904" t="str">
        <f>HYPERLINK("http://dx.doi.org/10.1016/j.ijcard.2015.02.101","http://dx.doi.org/10.1016/j.ijcard.2015.02.101")</f>
        <v>http://dx.doi.org/10.1016/j.ijcard.2015.02.101</v>
      </c>
      <c r="BG904" t="s">
        <v>74</v>
      </c>
      <c r="BH904" t="s">
        <v>74</v>
      </c>
      <c r="BI904">
        <v>3</v>
      </c>
      <c r="BJ904" t="s">
        <v>132</v>
      </c>
      <c r="BK904" t="s">
        <v>101</v>
      </c>
      <c r="BL904" t="s">
        <v>133</v>
      </c>
      <c r="BM904" t="s">
        <v>12623</v>
      </c>
      <c r="BN904">
        <v>25827938</v>
      </c>
      <c r="BO904" t="s">
        <v>74</v>
      </c>
      <c r="BP904" t="s">
        <v>74</v>
      </c>
      <c r="BQ904" t="s">
        <v>74</v>
      </c>
      <c r="BR904" t="s">
        <v>104</v>
      </c>
      <c r="BS904" t="s">
        <v>12624</v>
      </c>
      <c r="BT904" t="str">
        <f>HYPERLINK("https%3A%2F%2Fwww.webofscience.com%2Fwos%2Fwoscc%2Ffull-record%2FWOS:000353763800173","View Full Record in Web of Science")</f>
        <v>View Full Record in Web of Science</v>
      </c>
    </row>
    <row r="905" spans="1:72" x14ac:dyDescent="0.25">
      <c r="A905" t="s">
        <v>72</v>
      </c>
      <c r="B905" t="s">
        <v>12625</v>
      </c>
      <c r="C905" t="s">
        <v>74</v>
      </c>
      <c r="D905" t="s">
        <v>74</v>
      </c>
      <c r="E905" t="s">
        <v>74</v>
      </c>
      <c r="F905" t="s">
        <v>12626</v>
      </c>
      <c r="G905" t="s">
        <v>74</v>
      </c>
      <c r="H905" t="s">
        <v>74</v>
      </c>
      <c r="I905" t="s">
        <v>12627</v>
      </c>
      <c r="J905" t="s">
        <v>216</v>
      </c>
      <c r="K905" t="s">
        <v>74</v>
      </c>
      <c r="L905" t="s">
        <v>74</v>
      </c>
      <c r="M905" t="s">
        <v>78</v>
      </c>
      <c r="N905" t="s">
        <v>79</v>
      </c>
      <c r="O905" t="s">
        <v>74</v>
      </c>
      <c r="P905" t="s">
        <v>74</v>
      </c>
      <c r="Q905" t="s">
        <v>74</v>
      </c>
      <c r="R905" t="s">
        <v>74</v>
      </c>
      <c r="S905" t="s">
        <v>74</v>
      </c>
      <c r="T905" t="s">
        <v>74</v>
      </c>
      <c r="U905" t="s">
        <v>12628</v>
      </c>
      <c r="V905" t="s">
        <v>12629</v>
      </c>
      <c r="W905" t="s">
        <v>12630</v>
      </c>
      <c r="X905" t="s">
        <v>12631</v>
      </c>
      <c r="Y905" t="s">
        <v>12632</v>
      </c>
      <c r="Z905" t="s">
        <v>1296</v>
      </c>
      <c r="AA905" t="s">
        <v>12633</v>
      </c>
      <c r="AB905" t="s">
        <v>12634</v>
      </c>
      <c r="AC905" t="s">
        <v>12635</v>
      </c>
      <c r="AD905" t="s">
        <v>12636</v>
      </c>
      <c r="AE905" t="s">
        <v>12637</v>
      </c>
      <c r="AF905" t="s">
        <v>74</v>
      </c>
      <c r="AG905">
        <v>51</v>
      </c>
      <c r="AH905">
        <v>58</v>
      </c>
      <c r="AI905">
        <v>60</v>
      </c>
      <c r="AJ905">
        <v>0</v>
      </c>
      <c r="AK905">
        <v>9</v>
      </c>
      <c r="AL905" t="s">
        <v>219</v>
      </c>
      <c r="AM905" t="s">
        <v>220</v>
      </c>
      <c r="AN905" t="s">
        <v>221</v>
      </c>
      <c r="AO905" t="s">
        <v>222</v>
      </c>
      <c r="AP905" t="s">
        <v>223</v>
      </c>
      <c r="AQ905" t="s">
        <v>74</v>
      </c>
      <c r="AR905" t="s">
        <v>224</v>
      </c>
      <c r="AS905" t="s">
        <v>225</v>
      </c>
      <c r="AT905" t="s">
        <v>997</v>
      </c>
      <c r="AU905">
        <v>2015</v>
      </c>
      <c r="AV905">
        <v>45</v>
      </c>
      <c r="AW905">
        <v>4</v>
      </c>
      <c r="AX905" t="s">
        <v>74</v>
      </c>
      <c r="AY905" t="s">
        <v>74</v>
      </c>
      <c r="AZ905" t="s">
        <v>74</v>
      </c>
      <c r="BA905" t="s">
        <v>74</v>
      </c>
      <c r="BB905">
        <v>1066</v>
      </c>
      <c r="BC905">
        <v>1080</v>
      </c>
      <c r="BD905" t="s">
        <v>74</v>
      </c>
      <c r="BE905" t="s">
        <v>12638</v>
      </c>
      <c r="BF905" t="str">
        <f>HYPERLINK("http://dx.doi.org/10.1183/09031936.00193014","http://dx.doi.org/10.1183/09031936.00193014")</f>
        <v>http://dx.doi.org/10.1183/09031936.00193014</v>
      </c>
      <c r="BG905" t="s">
        <v>74</v>
      </c>
      <c r="BH905" t="s">
        <v>74</v>
      </c>
      <c r="BI905">
        <v>15</v>
      </c>
      <c r="BJ905" t="s">
        <v>228</v>
      </c>
      <c r="BK905" t="s">
        <v>101</v>
      </c>
      <c r="BL905" t="s">
        <v>228</v>
      </c>
      <c r="BM905" t="s">
        <v>12639</v>
      </c>
      <c r="BN905">
        <v>25745038</v>
      </c>
      <c r="BO905" t="s">
        <v>1194</v>
      </c>
      <c r="BP905" t="s">
        <v>74</v>
      </c>
      <c r="BQ905" t="s">
        <v>74</v>
      </c>
      <c r="BR905" t="s">
        <v>104</v>
      </c>
      <c r="BS905" t="s">
        <v>12640</v>
      </c>
      <c r="BT905" t="str">
        <f>HYPERLINK("https%3A%2F%2Fwww.webofscience.com%2Fwos%2Fwoscc%2Ffull-record%2FWOS:000352023800019","View Full Record in Web of Science")</f>
        <v>View Full Record in Web of Science</v>
      </c>
    </row>
    <row r="906" spans="1:72" x14ac:dyDescent="0.25">
      <c r="A906" t="s">
        <v>72</v>
      </c>
      <c r="B906" t="s">
        <v>12641</v>
      </c>
      <c r="C906" t="s">
        <v>74</v>
      </c>
      <c r="D906" t="s">
        <v>74</v>
      </c>
      <c r="E906" t="s">
        <v>74</v>
      </c>
      <c r="F906" t="s">
        <v>12642</v>
      </c>
      <c r="G906" t="s">
        <v>74</v>
      </c>
      <c r="H906" t="s">
        <v>74</v>
      </c>
      <c r="I906" t="s">
        <v>12643</v>
      </c>
      <c r="J906" t="s">
        <v>11831</v>
      </c>
      <c r="K906" t="s">
        <v>74</v>
      </c>
      <c r="L906" t="s">
        <v>74</v>
      </c>
      <c r="M906" t="s">
        <v>78</v>
      </c>
      <c r="N906" t="s">
        <v>299</v>
      </c>
      <c r="O906" t="s">
        <v>74</v>
      </c>
      <c r="P906" t="s">
        <v>74</v>
      </c>
      <c r="Q906" t="s">
        <v>74</v>
      </c>
      <c r="R906" t="s">
        <v>74</v>
      </c>
      <c r="S906" t="s">
        <v>74</v>
      </c>
      <c r="T906" t="s">
        <v>74</v>
      </c>
      <c r="U906" t="s">
        <v>12644</v>
      </c>
      <c r="V906" t="s">
        <v>12645</v>
      </c>
      <c r="W906" t="s">
        <v>12646</v>
      </c>
      <c r="X906" t="s">
        <v>12647</v>
      </c>
      <c r="Y906" t="s">
        <v>12648</v>
      </c>
      <c r="Z906" t="s">
        <v>3402</v>
      </c>
      <c r="AA906" t="s">
        <v>144</v>
      </c>
      <c r="AB906" t="s">
        <v>257</v>
      </c>
      <c r="AC906" t="s">
        <v>74</v>
      </c>
      <c r="AD906" t="s">
        <v>74</v>
      </c>
      <c r="AE906" t="s">
        <v>74</v>
      </c>
      <c r="AF906" t="s">
        <v>74</v>
      </c>
      <c r="AG906">
        <v>55</v>
      </c>
      <c r="AH906">
        <v>17</v>
      </c>
      <c r="AI906">
        <v>18</v>
      </c>
      <c r="AJ906">
        <v>0</v>
      </c>
      <c r="AK906">
        <v>5</v>
      </c>
      <c r="AL906" t="s">
        <v>991</v>
      </c>
      <c r="AM906" t="s">
        <v>486</v>
      </c>
      <c r="AN906" t="s">
        <v>992</v>
      </c>
      <c r="AO906" t="s">
        <v>11839</v>
      </c>
      <c r="AP906" t="s">
        <v>11840</v>
      </c>
      <c r="AQ906" t="s">
        <v>74</v>
      </c>
      <c r="AR906" t="s">
        <v>11841</v>
      </c>
      <c r="AS906" t="s">
        <v>11842</v>
      </c>
      <c r="AT906" t="s">
        <v>997</v>
      </c>
      <c r="AU906">
        <v>2015</v>
      </c>
      <c r="AV906">
        <v>31</v>
      </c>
      <c r="AW906">
        <v>4</v>
      </c>
      <c r="AX906" t="s">
        <v>74</v>
      </c>
      <c r="AY906" t="s">
        <v>74</v>
      </c>
      <c r="AZ906" t="s">
        <v>74</v>
      </c>
      <c r="BA906" t="s">
        <v>74</v>
      </c>
      <c r="BB906">
        <v>367</v>
      </c>
      <c r="BC906">
        <v>374</v>
      </c>
      <c r="BD906" t="s">
        <v>74</v>
      </c>
      <c r="BE906" t="s">
        <v>12649</v>
      </c>
      <c r="BF906" t="str">
        <f>HYPERLINK("http://dx.doi.org/10.1016/j.cjca.2014.09.033","http://dx.doi.org/10.1016/j.cjca.2014.09.033")</f>
        <v>http://dx.doi.org/10.1016/j.cjca.2014.09.033</v>
      </c>
      <c r="BG906" t="s">
        <v>74</v>
      </c>
      <c r="BH906" t="s">
        <v>74</v>
      </c>
      <c r="BI906">
        <v>8</v>
      </c>
      <c r="BJ906" t="s">
        <v>132</v>
      </c>
      <c r="BK906" t="s">
        <v>101</v>
      </c>
      <c r="BL906" t="s">
        <v>133</v>
      </c>
      <c r="BM906" t="s">
        <v>12650</v>
      </c>
      <c r="BN906">
        <v>25601797</v>
      </c>
      <c r="BO906" t="s">
        <v>74</v>
      </c>
      <c r="BP906" t="s">
        <v>74</v>
      </c>
      <c r="BQ906" t="s">
        <v>74</v>
      </c>
      <c r="BR906" t="s">
        <v>104</v>
      </c>
      <c r="BS906" t="s">
        <v>12651</v>
      </c>
      <c r="BT906" t="str">
        <f>HYPERLINK("https%3A%2F%2Fwww.webofscience.com%2Fwos%2Fwoscc%2Ffull-record%2FWOS:000352145500001","View Full Record in Web of Science")</f>
        <v>View Full Record in Web of Science</v>
      </c>
    </row>
    <row r="907" spans="1:72" x14ac:dyDescent="0.25">
      <c r="A907" t="s">
        <v>72</v>
      </c>
      <c r="B907" t="s">
        <v>12652</v>
      </c>
      <c r="C907" t="s">
        <v>74</v>
      </c>
      <c r="D907" t="s">
        <v>74</v>
      </c>
      <c r="E907" t="s">
        <v>74</v>
      </c>
      <c r="F907" t="s">
        <v>12653</v>
      </c>
      <c r="G907" t="s">
        <v>74</v>
      </c>
      <c r="H907" t="s">
        <v>74</v>
      </c>
      <c r="I907" t="s">
        <v>12654</v>
      </c>
      <c r="J907" t="s">
        <v>983</v>
      </c>
      <c r="K907" t="s">
        <v>74</v>
      </c>
      <c r="L907" t="s">
        <v>74</v>
      </c>
      <c r="M907" t="s">
        <v>78</v>
      </c>
      <c r="N907" t="s">
        <v>52</v>
      </c>
      <c r="O907" t="s">
        <v>12580</v>
      </c>
      <c r="P907" t="s">
        <v>12581</v>
      </c>
      <c r="Q907" t="s">
        <v>8019</v>
      </c>
      <c r="R907" t="s">
        <v>987</v>
      </c>
      <c r="S907" t="s">
        <v>74</v>
      </c>
      <c r="T907" t="s">
        <v>74</v>
      </c>
      <c r="U907" t="s">
        <v>74</v>
      </c>
      <c r="V907" t="s">
        <v>74</v>
      </c>
      <c r="W907" t="s">
        <v>12655</v>
      </c>
      <c r="X907" t="s">
        <v>12656</v>
      </c>
      <c r="Y907" t="s">
        <v>74</v>
      </c>
      <c r="Z907" t="s">
        <v>74</v>
      </c>
      <c r="AA907" t="s">
        <v>12657</v>
      </c>
      <c r="AB907" t="s">
        <v>5709</v>
      </c>
      <c r="AC907" t="s">
        <v>74</v>
      </c>
      <c r="AD907" t="s">
        <v>74</v>
      </c>
      <c r="AE907" t="s">
        <v>74</v>
      </c>
      <c r="AF907" t="s">
        <v>74</v>
      </c>
      <c r="AG907">
        <v>0</v>
      </c>
      <c r="AH907">
        <v>1</v>
      </c>
      <c r="AI907">
        <v>1</v>
      </c>
      <c r="AJ907">
        <v>0</v>
      </c>
      <c r="AK907">
        <v>0</v>
      </c>
      <c r="AL907" t="s">
        <v>991</v>
      </c>
      <c r="AM907" t="s">
        <v>486</v>
      </c>
      <c r="AN907" t="s">
        <v>8530</v>
      </c>
      <c r="AO907" t="s">
        <v>993</v>
      </c>
      <c r="AP907" t="s">
        <v>994</v>
      </c>
      <c r="AQ907" t="s">
        <v>74</v>
      </c>
      <c r="AR907" t="s">
        <v>995</v>
      </c>
      <c r="AS907" t="s">
        <v>996</v>
      </c>
      <c r="AT907" t="s">
        <v>997</v>
      </c>
      <c r="AU907">
        <v>2015</v>
      </c>
      <c r="AV907">
        <v>34</v>
      </c>
      <c r="AW907">
        <v>4</v>
      </c>
      <c r="AX907" t="s">
        <v>74</v>
      </c>
      <c r="AY907" t="s">
        <v>998</v>
      </c>
      <c r="AZ907" t="s">
        <v>74</v>
      </c>
      <c r="BA907">
        <v>419</v>
      </c>
      <c r="BB907" t="s">
        <v>12658</v>
      </c>
      <c r="BC907" t="s">
        <v>12658</v>
      </c>
      <c r="BD907" t="s">
        <v>74</v>
      </c>
      <c r="BE907" t="s">
        <v>12659</v>
      </c>
      <c r="BF907" t="str">
        <f>HYPERLINK("http://dx.doi.org/10.1016/j.healun.2015.01.434","http://dx.doi.org/10.1016/j.healun.2015.01.434")</f>
        <v>http://dx.doi.org/10.1016/j.healun.2015.01.434</v>
      </c>
      <c r="BG907" t="s">
        <v>74</v>
      </c>
      <c r="BH907" t="s">
        <v>74</v>
      </c>
      <c r="BI907">
        <v>1</v>
      </c>
      <c r="BJ907" t="s">
        <v>1000</v>
      </c>
      <c r="BK907" t="s">
        <v>512</v>
      </c>
      <c r="BL907" t="s">
        <v>1001</v>
      </c>
      <c r="BM907" t="s">
        <v>12587</v>
      </c>
      <c r="BN907" t="s">
        <v>74</v>
      </c>
      <c r="BO907" t="s">
        <v>74</v>
      </c>
      <c r="BP907" t="s">
        <v>74</v>
      </c>
      <c r="BQ907" t="s">
        <v>74</v>
      </c>
      <c r="BR907" t="s">
        <v>104</v>
      </c>
      <c r="BS907" t="s">
        <v>12660</v>
      </c>
      <c r="BT907" t="str">
        <f>HYPERLINK("https%3A%2F%2Fwww.webofscience.com%2Fwos%2Fwoscc%2Ffull-record%2FWOS:000353251500412","View Full Record in Web of Science")</f>
        <v>View Full Record in Web of Science</v>
      </c>
    </row>
    <row r="908" spans="1:72" x14ac:dyDescent="0.25">
      <c r="A908" t="s">
        <v>72</v>
      </c>
      <c r="B908" t="s">
        <v>12661</v>
      </c>
      <c r="C908" t="s">
        <v>74</v>
      </c>
      <c r="D908" t="s">
        <v>74</v>
      </c>
      <c r="E908" t="s">
        <v>74</v>
      </c>
      <c r="F908" t="s">
        <v>12662</v>
      </c>
      <c r="G908" t="s">
        <v>74</v>
      </c>
      <c r="H908" t="s">
        <v>74</v>
      </c>
      <c r="I908" t="s">
        <v>12663</v>
      </c>
      <c r="J908" t="s">
        <v>251</v>
      </c>
      <c r="K908" t="s">
        <v>74</v>
      </c>
      <c r="L908" t="s">
        <v>74</v>
      </c>
      <c r="M908" t="s">
        <v>78</v>
      </c>
      <c r="N908" t="s">
        <v>79</v>
      </c>
      <c r="O908" t="s">
        <v>74</v>
      </c>
      <c r="P908" t="s">
        <v>74</v>
      </c>
      <c r="Q908" t="s">
        <v>74</v>
      </c>
      <c r="R908" t="s">
        <v>74</v>
      </c>
      <c r="S908" t="s">
        <v>74</v>
      </c>
      <c r="T908" t="s">
        <v>12664</v>
      </c>
      <c r="U908" t="s">
        <v>12665</v>
      </c>
      <c r="V908" t="s">
        <v>12666</v>
      </c>
      <c r="W908" t="s">
        <v>12667</v>
      </c>
      <c r="X908" t="s">
        <v>12668</v>
      </c>
      <c r="Y908" t="s">
        <v>12669</v>
      </c>
      <c r="Z908" t="s">
        <v>756</v>
      </c>
      <c r="AA908" t="s">
        <v>12670</v>
      </c>
      <c r="AB908" t="s">
        <v>12671</v>
      </c>
      <c r="AC908" t="s">
        <v>12672</v>
      </c>
      <c r="AD908" t="s">
        <v>12673</v>
      </c>
      <c r="AE908" t="s">
        <v>12674</v>
      </c>
      <c r="AF908" t="s">
        <v>74</v>
      </c>
      <c r="AG908">
        <v>39</v>
      </c>
      <c r="AH908">
        <v>441</v>
      </c>
      <c r="AI908">
        <v>472</v>
      </c>
      <c r="AJ908">
        <v>6</v>
      </c>
      <c r="AK908">
        <v>105</v>
      </c>
      <c r="AL908" t="s">
        <v>122</v>
      </c>
      <c r="AM908" t="s">
        <v>123</v>
      </c>
      <c r="AN908" t="s">
        <v>124</v>
      </c>
      <c r="AO908" t="s">
        <v>258</v>
      </c>
      <c r="AP908" t="s">
        <v>259</v>
      </c>
      <c r="AQ908" t="s">
        <v>74</v>
      </c>
      <c r="AR908" t="s">
        <v>251</v>
      </c>
      <c r="AS908" t="s">
        <v>260</v>
      </c>
      <c r="AT908" t="s">
        <v>12675</v>
      </c>
      <c r="AU908">
        <v>2015</v>
      </c>
      <c r="AV908">
        <v>131</v>
      </c>
      <c r="AW908">
        <v>11</v>
      </c>
      <c r="AX908" t="s">
        <v>74</v>
      </c>
      <c r="AY908" t="s">
        <v>74</v>
      </c>
      <c r="AZ908" t="s">
        <v>74</v>
      </c>
      <c r="BA908" t="s">
        <v>74</v>
      </c>
      <c r="BB908">
        <v>1006</v>
      </c>
      <c r="BC908" t="s">
        <v>3083</v>
      </c>
      <c r="BD908" t="s">
        <v>74</v>
      </c>
      <c r="BE908" t="s">
        <v>12676</v>
      </c>
      <c r="BF908" t="str">
        <f>HYPERLINK("http://dx.doi.org/10.1161/CIRCULATIONAHA.114.008750","http://dx.doi.org/10.1161/CIRCULATIONAHA.114.008750")</f>
        <v>http://dx.doi.org/10.1161/CIRCULATIONAHA.114.008750</v>
      </c>
      <c r="BG908" t="s">
        <v>74</v>
      </c>
      <c r="BH908" t="s">
        <v>74</v>
      </c>
      <c r="BI908">
        <v>26</v>
      </c>
      <c r="BJ908" t="s">
        <v>263</v>
      </c>
      <c r="BK908" t="s">
        <v>101</v>
      </c>
      <c r="BL908" t="s">
        <v>133</v>
      </c>
      <c r="BM908" t="s">
        <v>12677</v>
      </c>
      <c r="BN908">
        <v>25593290</v>
      </c>
      <c r="BO908" t="s">
        <v>74</v>
      </c>
      <c r="BP908" t="s">
        <v>1155</v>
      </c>
      <c r="BQ908" t="s">
        <v>1156</v>
      </c>
      <c r="BR908" t="s">
        <v>104</v>
      </c>
      <c r="BS908" t="s">
        <v>12678</v>
      </c>
      <c r="BT908" t="str">
        <f>HYPERLINK("https%3A%2F%2Fwww.webofscience.com%2Fwos%2Fwoscc%2Ffull-record%2FWOS:000351175900012","View Full Record in Web of Science")</f>
        <v>View Full Record in Web of Science</v>
      </c>
    </row>
    <row r="909" spans="1:72" x14ac:dyDescent="0.25">
      <c r="A909" t="s">
        <v>72</v>
      </c>
      <c r="B909" t="s">
        <v>12679</v>
      </c>
      <c r="C909" t="s">
        <v>74</v>
      </c>
      <c r="D909" t="s">
        <v>74</v>
      </c>
      <c r="E909" t="s">
        <v>74</v>
      </c>
      <c r="F909" t="s">
        <v>12680</v>
      </c>
      <c r="G909" t="s">
        <v>74</v>
      </c>
      <c r="H909" t="s">
        <v>74</v>
      </c>
      <c r="I909" t="s">
        <v>12681</v>
      </c>
      <c r="J909" t="s">
        <v>12682</v>
      </c>
      <c r="K909" t="s">
        <v>74</v>
      </c>
      <c r="L909" t="s">
        <v>74</v>
      </c>
      <c r="M909" t="s">
        <v>78</v>
      </c>
      <c r="N909" t="s">
        <v>79</v>
      </c>
      <c r="O909" t="s">
        <v>74</v>
      </c>
      <c r="P909" t="s">
        <v>74</v>
      </c>
      <c r="Q909" t="s">
        <v>74</v>
      </c>
      <c r="R909" t="s">
        <v>74</v>
      </c>
      <c r="S909" t="s">
        <v>74</v>
      </c>
      <c r="T909" t="s">
        <v>12683</v>
      </c>
      <c r="U909" t="s">
        <v>12684</v>
      </c>
      <c r="V909" t="s">
        <v>12685</v>
      </c>
      <c r="W909" t="s">
        <v>12686</v>
      </c>
      <c r="X909" t="s">
        <v>12687</v>
      </c>
      <c r="Y909" t="s">
        <v>12688</v>
      </c>
      <c r="Z909" t="s">
        <v>12689</v>
      </c>
      <c r="AA909" t="s">
        <v>12690</v>
      </c>
      <c r="AB909" t="s">
        <v>12691</v>
      </c>
      <c r="AC909" t="s">
        <v>74</v>
      </c>
      <c r="AD909" t="s">
        <v>74</v>
      </c>
      <c r="AE909" t="s">
        <v>74</v>
      </c>
      <c r="AF909" t="s">
        <v>74</v>
      </c>
      <c r="AG909">
        <v>25</v>
      </c>
      <c r="AH909">
        <v>99</v>
      </c>
      <c r="AI909">
        <v>105</v>
      </c>
      <c r="AJ909">
        <v>0</v>
      </c>
      <c r="AK909">
        <v>6</v>
      </c>
      <c r="AL909" t="s">
        <v>12692</v>
      </c>
      <c r="AM909" t="s">
        <v>12693</v>
      </c>
      <c r="AN909" t="s">
        <v>12694</v>
      </c>
      <c r="AO909" t="s">
        <v>12695</v>
      </c>
      <c r="AP909" t="s">
        <v>12696</v>
      </c>
      <c r="AQ909" t="s">
        <v>74</v>
      </c>
      <c r="AR909" t="s">
        <v>12697</v>
      </c>
      <c r="AS909" t="s">
        <v>12698</v>
      </c>
      <c r="AT909" t="s">
        <v>98</v>
      </c>
      <c r="AU909">
        <v>2015</v>
      </c>
      <c r="AV909">
        <v>47</v>
      </c>
      <c r="AW909">
        <v>3</v>
      </c>
      <c r="AX909" t="s">
        <v>74</v>
      </c>
      <c r="AY909" t="s">
        <v>74</v>
      </c>
      <c r="AZ909" t="s">
        <v>74</v>
      </c>
      <c r="BA909" t="s">
        <v>74</v>
      </c>
      <c r="BB909" t="s">
        <v>12699</v>
      </c>
      <c r="BC909" t="s">
        <v>12700</v>
      </c>
      <c r="BD909" t="s">
        <v>74</v>
      </c>
      <c r="BE909" t="s">
        <v>12701</v>
      </c>
      <c r="BF909" t="str">
        <f>HYPERLINK("http://dx.doi.org/10.1093/ejcts/ezu445","http://dx.doi.org/10.1093/ejcts/ezu445")</f>
        <v>http://dx.doi.org/10.1093/ejcts/ezu445</v>
      </c>
      <c r="BG909" t="s">
        <v>74</v>
      </c>
      <c r="BH909" t="s">
        <v>74</v>
      </c>
      <c r="BI909">
        <v>6</v>
      </c>
      <c r="BJ909" t="s">
        <v>495</v>
      </c>
      <c r="BK909" t="s">
        <v>101</v>
      </c>
      <c r="BL909" t="s">
        <v>496</v>
      </c>
      <c r="BM909" t="s">
        <v>12702</v>
      </c>
      <c r="BN909">
        <v>25475943</v>
      </c>
      <c r="BO909" t="s">
        <v>1194</v>
      </c>
      <c r="BP909" t="s">
        <v>74</v>
      </c>
      <c r="BQ909" t="s">
        <v>74</v>
      </c>
      <c r="BR909" t="s">
        <v>104</v>
      </c>
      <c r="BS909" t="s">
        <v>12703</v>
      </c>
      <c r="BT909" t="str">
        <f>HYPERLINK("https%3A%2F%2Fwww.webofscience.com%2Fwos%2Fwoscc%2Ffull-record%2FWOS:000354723200005","View Full Record in Web of Science")</f>
        <v>View Full Record in Web of Science</v>
      </c>
    </row>
    <row r="910" spans="1:72" x14ac:dyDescent="0.25">
      <c r="A910" t="s">
        <v>72</v>
      </c>
      <c r="B910" t="s">
        <v>12704</v>
      </c>
      <c r="C910" t="s">
        <v>74</v>
      </c>
      <c r="D910" t="s">
        <v>74</v>
      </c>
      <c r="E910" t="s">
        <v>74</v>
      </c>
      <c r="F910" t="s">
        <v>12705</v>
      </c>
      <c r="G910" t="s">
        <v>74</v>
      </c>
      <c r="H910" t="s">
        <v>74</v>
      </c>
      <c r="I910" t="s">
        <v>12706</v>
      </c>
      <c r="J910" t="s">
        <v>983</v>
      </c>
      <c r="K910" t="s">
        <v>74</v>
      </c>
      <c r="L910" t="s">
        <v>74</v>
      </c>
      <c r="M910" t="s">
        <v>78</v>
      </c>
      <c r="N910" t="s">
        <v>79</v>
      </c>
      <c r="O910" t="s">
        <v>74</v>
      </c>
      <c r="P910" t="s">
        <v>74</v>
      </c>
      <c r="Q910" t="s">
        <v>74</v>
      </c>
      <c r="R910" t="s">
        <v>74</v>
      </c>
      <c r="S910" t="s">
        <v>74</v>
      </c>
      <c r="T910" t="s">
        <v>12707</v>
      </c>
      <c r="U910" t="s">
        <v>12708</v>
      </c>
      <c r="V910" t="s">
        <v>12709</v>
      </c>
      <c r="W910" t="s">
        <v>12710</v>
      </c>
      <c r="X910" t="s">
        <v>12711</v>
      </c>
      <c r="Y910" t="s">
        <v>12712</v>
      </c>
      <c r="Z910" t="s">
        <v>12713</v>
      </c>
      <c r="AA910" t="s">
        <v>3793</v>
      </c>
      <c r="AB910" t="s">
        <v>12714</v>
      </c>
      <c r="AC910" t="s">
        <v>12715</v>
      </c>
      <c r="AD910" t="s">
        <v>12715</v>
      </c>
      <c r="AE910" t="s">
        <v>12716</v>
      </c>
      <c r="AF910" t="s">
        <v>74</v>
      </c>
      <c r="AG910">
        <v>42</v>
      </c>
      <c r="AH910">
        <v>30</v>
      </c>
      <c r="AI910">
        <v>34</v>
      </c>
      <c r="AJ910">
        <v>0</v>
      </c>
      <c r="AK910">
        <v>8</v>
      </c>
      <c r="AL910" t="s">
        <v>991</v>
      </c>
      <c r="AM910" t="s">
        <v>486</v>
      </c>
      <c r="AN910" t="s">
        <v>8530</v>
      </c>
      <c r="AO910" t="s">
        <v>993</v>
      </c>
      <c r="AP910" t="s">
        <v>994</v>
      </c>
      <c r="AQ910" t="s">
        <v>74</v>
      </c>
      <c r="AR910" t="s">
        <v>995</v>
      </c>
      <c r="AS910" t="s">
        <v>996</v>
      </c>
      <c r="AT910" t="s">
        <v>98</v>
      </c>
      <c r="AU910">
        <v>2015</v>
      </c>
      <c r="AV910">
        <v>34</v>
      </c>
      <c r="AW910">
        <v>3</v>
      </c>
      <c r="AX910" t="s">
        <v>74</v>
      </c>
      <c r="AY910" t="s">
        <v>74</v>
      </c>
      <c r="AZ910" t="s">
        <v>74</v>
      </c>
      <c r="BA910" t="s">
        <v>74</v>
      </c>
      <c r="BB910">
        <v>457</v>
      </c>
      <c r="BC910">
        <v>467</v>
      </c>
      <c r="BD910" t="s">
        <v>74</v>
      </c>
      <c r="BE910" t="s">
        <v>12717</v>
      </c>
      <c r="BF910" t="str">
        <f>HYPERLINK("http://dx.doi.org/10.1016/j.healun.2014.07.005","http://dx.doi.org/10.1016/j.healun.2014.07.005")</f>
        <v>http://dx.doi.org/10.1016/j.healun.2014.07.005</v>
      </c>
      <c r="BG910" t="s">
        <v>74</v>
      </c>
      <c r="BH910" t="s">
        <v>74</v>
      </c>
      <c r="BI910">
        <v>11</v>
      </c>
      <c r="BJ910" t="s">
        <v>1000</v>
      </c>
      <c r="BK910" t="s">
        <v>101</v>
      </c>
      <c r="BL910" t="s">
        <v>1001</v>
      </c>
      <c r="BM910" t="s">
        <v>12718</v>
      </c>
      <c r="BN910">
        <v>25123056</v>
      </c>
      <c r="BO910" t="s">
        <v>2854</v>
      </c>
      <c r="BP910" t="s">
        <v>74</v>
      </c>
      <c r="BQ910" t="s">
        <v>74</v>
      </c>
      <c r="BR910" t="s">
        <v>104</v>
      </c>
      <c r="BS910" t="s">
        <v>12719</v>
      </c>
      <c r="BT910" t="str">
        <f>HYPERLINK("https%3A%2F%2Fwww.webofscience.com%2Fwos%2Fwoscc%2Ffull-record%2FWOS:000352331900024","View Full Record in Web of Science")</f>
        <v>View Full Record in Web of Science</v>
      </c>
    </row>
    <row r="911" spans="1:72" x14ac:dyDescent="0.25">
      <c r="A911" t="s">
        <v>72</v>
      </c>
      <c r="B911" t="s">
        <v>12720</v>
      </c>
      <c r="C911" t="s">
        <v>74</v>
      </c>
      <c r="D911" t="s">
        <v>74</v>
      </c>
      <c r="E911" t="s">
        <v>74</v>
      </c>
      <c r="F911" t="s">
        <v>12721</v>
      </c>
      <c r="G911" t="s">
        <v>74</v>
      </c>
      <c r="H911" t="s">
        <v>74</v>
      </c>
      <c r="I911" t="s">
        <v>12722</v>
      </c>
      <c r="J911" t="s">
        <v>216</v>
      </c>
      <c r="K911" t="s">
        <v>74</v>
      </c>
      <c r="L911" t="s">
        <v>74</v>
      </c>
      <c r="M911" t="s">
        <v>78</v>
      </c>
      <c r="N911" t="s">
        <v>79</v>
      </c>
      <c r="O911" t="s">
        <v>74</v>
      </c>
      <c r="P911" t="s">
        <v>74</v>
      </c>
      <c r="Q911" t="s">
        <v>74</v>
      </c>
      <c r="R911" t="s">
        <v>74</v>
      </c>
      <c r="S911" t="s">
        <v>74</v>
      </c>
      <c r="T911" t="s">
        <v>74</v>
      </c>
      <c r="U911" t="s">
        <v>12723</v>
      </c>
      <c r="V911" t="s">
        <v>12724</v>
      </c>
      <c r="W911" t="s">
        <v>12725</v>
      </c>
      <c r="X911" t="s">
        <v>12726</v>
      </c>
      <c r="Y911" t="s">
        <v>12727</v>
      </c>
      <c r="Z911" t="s">
        <v>12728</v>
      </c>
      <c r="AA911" t="s">
        <v>12729</v>
      </c>
      <c r="AB911" t="s">
        <v>12730</v>
      </c>
      <c r="AC911" t="s">
        <v>12731</v>
      </c>
      <c r="AD911" t="s">
        <v>12732</v>
      </c>
      <c r="AE911" t="s">
        <v>12733</v>
      </c>
      <c r="AF911" t="s">
        <v>74</v>
      </c>
      <c r="AG911">
        <v>33</v>
      </c>
      <c r="AH911">
        <v>37</v>
      </c>
      <c r="AI911">
        <v>40</v>
      </c>
      <c r="AJ911">
        <v>0</v>
      </c>
      <c r="AK911">
        <v>3</v>
      </c>
      <c r="AL911" t="s">
        <v>219</v>
      </c>
      <c r="AM911" t="s">
        <v>220</v>
      </c>
      <c r="AN911" t="s">
        <v>221</v>
      </c>
      <c r="AO911" t="s">
        <v>222</v>
      </c>
      <c r="AP911" t="s">
        <v>223</v>
      </c>
      <c r="AQ911" t="s">
        <v>74</v>
      </c>
      <c r="AR911" t="s">
        <v>224</v>
      </c>
      <c r="AS911" t="s">
        <v>225</v>
      </c>
      <c r="AT911" t="s">
        <v>98</v>
      </c>
      <c r="AU911">
        <v>2015</v>
      </c>
      <c r="AV911">
        <v>45</v>
      </c>
      <c r="AW911">
        <v>3</v>
      </c>
      <c r="AX911" t="s">
        <v>74</v>
      </c>
      <c r="AY911" t="s">
        <v>74</v>
      </c>
      <c r="AZ911" t="s">
        <v>74</v>
      </c>
      <c r="BA911" t="s">
        <v>74</v>
      </c>
      <c r="BB911">
        <v>709</v>
      </c>
      <c r="BC911">
        <v>717</v>
      </c>
      <c r="BD911" t="s">
        <v>74</v>
      </c>
      <c r="BE911" t="s">
        <v>12734</v>
      </c>
      <c r="BF911" t="str">
        <f>HYPERLINK("http://dx.doi.org/10.1183/09031936.00081314","http://dx.doi.org/10.1183/09031936.00081314")</f>
        <v>http://dx.doi.org/10.1183/09031936.00081314</v>
      </c>
      <c r="BG911" t="s">
        <v>74</v>
      </c>
      <c r="BH911" t="s">
        <v>74</v>
      </c>
      <c r="BI911">
        <v>9</v>
      </c>
      <c r="BJ911" t="s">
        <v>228</v>
      </c>
      <c r="BK911" t="s">
        <v>101</v>
      </c>
      <c r="BL911" t="s">
        <v>228</v>
      </c>
      <c r="BM911" t="s">
        <v>12735</v>
      </c>
      <c r="BN911">
        <v>25504996</v>
      </c>
      <c r="BO911" t="s">
        <v>1194</v>
      </c>
      <c r="BP911" t="s">
        <v>74</v>
      </c>
      <c r="BQ911" t="s">
        <v>74</v>
      </c>
      <c r="BR911" t="s">
        <v>104</v>
      </c>
      <c r="BS911" t="s">
        <v>12736</v>
      </c>
      <c r="BT911" t="str">
        <f>HYPERLINK("https%3A%2F%2Fwww.webofscience.com%2Fwos%2Fwoscc%2Ffull-record%2FWOS:000350701200020","View Full Record in Web of Science")</f>
        <v>View Full Record in Web of Science</v>
      </c>
    </row>
    <row r="912" spans="1:72" x14ac:dyDescent="0.25">
      <c r="A912" t="s">
        <v>72</v>
      </c>
      <c r="B912" t="s">
        <v>12737</v>
      </c>
      <c r="C912" t="s">
        <v>74</v>
      </c>
      <c r="D912" t="s">
        <v>74</v>
      </c>
      <c r="E912" t="s">
        <v>74</v>
      </c>
      <c r="F912" t="s">
        <v>12738</v>
      </c>
      <c r="G912" t="s">
        <v>74</v>
      </c>
      <c r="H912" t="s">
        <v>74</v>
      </c>
      <c r="I912" t="s">
        <v>12739</v>
      </c>
      <c r="J912" t="s">
        <v>983</v>
      </c>
      <c r="K912" t="s">
        <v>74</v>
      </c>
      <c r="L912" t="s">
        <v>74</v>
      </c>
      <c r="M912" t="s">
        <v>78</v>
      </c>
      <c r="N912" t="s">
        <v>79</v>
      </c>
      <c r="O912" t="s">
        <v>74</v>
      </c>
      <c r="P912" t="s">
        <v>74</v>
      </c>
      <c r="Q912" t="s">
        <v>74</v>
      </c>
      <c r="R912" t="s">
        <v>74</v>
      </c>
      <c r="S912" t="s">
        <v>74</v>
      </c>
      <c r="T912" t="s">
        <v>12740</v>
      </c>
      <c r="U912" t="s">
        <v>12741</v>
      </c>
      <c r="V912" t="s">
        <v>12742</v>
      </c>
      <c r="W912" t="s">
        <v>12743</v>
      </c>
      <c r="X912" t="s">
        <v>12744</v>
      </c>
      <c r="Y912" t="s">
        <v>12745</v>
      </c>
      <c r="Z912" t="s">
        <v>12746</v>
      </c>
      <c r="AA912" t="s">
        <v>12747</v>
      </c>
      <c r="AB912" t="s">
        <v>12748</v>
      </c>
      <c r="AC912" t="s">
        <v>12749</v>
      </c>
      <c r="AD912" t="s">
        <v>12750</v>
      </c>
      <c r="AE912" t="s">
        <v>12751</v>
      </c>
      <c r="AF912" t="s">
        <v>74</v>
      </c>
      <c r="AG912">
        <v>24</v>
      </c>
      <c r="AH912">
        <v>9</v>
      </c>
      <c r="AI912">
        <v>10</v>
      </c>
      <c r="AJ912">
        <v>0</v>
      </c>
      <c r="AK912">
        <v>9</v>
      </c>
      <c r="AL912" t="s">
        <v>991</v>
      </c>
      <c r="AM912" t="s">
        <v>486</v>
      </c>
      <c r="AN912" t="s">
        <v>992</v>
      </c>
      <c r="AO912" t="s">
        <v>993</v>
      </c>
      <c r="AP912" t="s">
        <v>994</v>
      </c>
      <c r="AQ912" t="s">
        <v>74</v>
      </c>
      <c r="AR912" t="s">
        <v>995</v>
      </c>
      <c r="AS912" t="s">
        <v>996</v>
      </c>
      <c r="AT912" t="s">
        <v>98</v>
      </c>
      <c r="AU912">
        <v>2015</v>
      </c>
      <c r="AV912">
        <v>34</v>
      </c>
      <c r="AW912">
        <v>3</v>
      </c>
      <c r="AX912" t="s">
        <v>74</v>
      </c>
      <c r="AY912" t="s">
        <v>74</v>
      </c>
      <c r="AZ912" t="s">
        <v>74</v>
      </c>
      <c r="BA912" t="s">
        <v>74</v>
      </c>
      <c r="BB912">
        <v>338</v>
      </c>
      <c r="BC912">
        <v>347</v>
      </c>
      <c r="BD912" t="s">
        <v>74</v>
      </c>
      <c r="BE912" t="s">
        <v>12752</v>
      </c>
      <c r="BF912" t="str">
        <f>HYPERLINK("http://dx.doi.org/10.1016/j.healun.2014.12.001","http://dx.doi.org/10.1016/j.healun.2014.12.001")</f>
        <v>http://dx.doi.org/10.1016/j.healun.2014.12.001</v>
      </c>
      <c r="BG912" t="s">
        <v>74</v>
      </c>
      <c r="BH912" t="s">
        <v>74</v>
      </c>
      <c r="BI912">
        <v>10</v>
      </c>
      <c r="BJ912" t="s">
        <v>1000</v>
      </c>
      <c r="BK912" t="s">
        <v>101</v>
      </c>
      <c r="BL912" t="s">
        <v>1001</v>
      </c>
      <c r="BM912" t="s">
        <v>12718</v>
      </c>
      <c r="BN912">
        <v>25703961</v>
      </c>
      <c r="BO912" t="s">
        <v>74</v>
      </c>
      <c r="BP912" t="s">
        <v>74</v>
      </c>
      <c r="BQ912" t="s">
        <v>74</v>
      </c>
      <c r="BR912" t="s">
        <v>104</v>
      </c>
      <c r="BS912" t="s">
        <v>12753</v>
      </c>
      <c r="BT912" t="str">
        <f>HYPERLINK("https%3A%2F%2Fwww.webofscience.com%2Fwos%2Fwoscc%2Ffull-record%2FWOS:000352331900009","View Full Record in Web of Science")</f>
        <v>View Full Record in Web of Science</v>
      </c>
    </row>
    <row r="913" spans="1:72" x14ac:dyDescent="0.25">
      <c r="A913" t="s">
        <v>72</v>
      </c>
      <c r="B913" t="s">
        <v>12754</v>
      </c>
      <c r="C913" t="s">
        <v>74</v>
      </c>
      <c r="D913" t="s">
        <v>74</v>
      </c>
      <c r="E913" t="s">
        <v>74</v>
      </c>
      <c r="F913" t="s">
        <v>12755</v>
      </c>
      <c r="G913" t="s">
        <v>74</v>
      </c>
      <c r="H913" t="s">
        <v>74</v>
      </c>
      <c r="I913" t="s">
        <v>12756</v>
      </c>
      <c r="J913" t="s">
        <v>2398</v>
      </c>
      <c r="K913" t="s">
        <v>74</v>
      </c>
      <c r="L913" t="s">
        <v>74</v>
      </c>
      <c r="M913" t="s">
        <v>78</v>
      </c>
      <c r="N913" t="s">
        <v>52</v>
      </c>
      <c r="O913" t="s">
        <v>12757</v>
      </c>
      <c r="P913" t="s">
        <v>12758</v>
      </c>
      <c r="Q913" t="s">
        <v>12759</v>
      </c>
      <c r="R913" t="s">
        <v>74</v>
      </c>
      <c r="S913" t="s">
        <v>74</v>
      </c>
      <c r="T913" t="s">
        <v>74</v>
      </c>
      <c r="U913" t="s">
        <v>74</v>
      </c>
      <c r="V913" t="s">
        <v>74</v>
      </c>
      <c r="W913" t="s">
        <v>12760</v>
      </c>
      <c r="X913" t="s">
        <v>12761</v>
      </c>
      <c r="Y913" t="s">
        <v>74</v>
      </c>
      <c r="Z913" t="s">
        <v>74</v>
      </c>
      <c r="AA913" t="s">
        <v>12762</v>
      </c>
      <c r="AB913" t="s">
        <v>10255</v>
      </c>
      <c r="AC913" t="s">
        <v>74</v>
      </c>
      <c r="AD913" t="s">
        <v>74</v>
      </c>
      <c r="AE913" t="s">
        <v>74</v>
      </c>
      <c r="AF913" t="s">
        <v>74</v>
      </c>
      <c r="AG913">
        <v>0</v>
      </c>
      <c r="AH913">
        <v>0</v>
      </c>
      <c r="AI913">
        <v>0</v>
      </c>
      <c r="AJ913">
        <v>0</v>
      </c>
      <c r="AK913">
        <v>0</v>
      </c>
      <c r="AL913" t="s">
        <v>10904</v>
      </c>
      <c r="AM913" t="s">
        <v>170</v>
      </c>
      <c r="AN913" t="s">
        <v>171</v>
      </c>
      <c r="AO913" t="s">
        <v>2403</v>
      </c>
      <c r="AP913" t="s">
        <v>2404</v>
      </c>
      <c r="AQ913" t="s">
        <v>74</v>
      </c>
      <c r="AR913" t="s">
        <v>2398</v>
      </c>
      <c r="AS913" t="s">
        <v>2405</v>
      </c>
      <c r="AT913" t="s">
        <v>98</v>
      </c>
      <c r="AU913">
        <v>2015</v>
      </c>
      <c r="AV913">
        <v>20</v>
      </c>
      <c r="AW913" t="s">
        <v>74</v>
      </c>
      <c r="AX913" t="s">
        <v>74</v>
      </c>
      <c r="AY913">
        <v>2</v>
      </c>
      <c r="AZ913" t="s">
        <v>1080</v>
      </c>
      <c r="BA913" t="s">
        <v>12763</v>
      </c>
      <c r="BB913">
        <v>18</v>
      </c>
      <c r="BC913">
        <v>18</v>
      </c>
      <c r="BD913" t="s">
        <v>74</v>
      </c>
      <c r="BE913" t="s">
        <v>74</v>
      </c>
      <c r="BF913" t="s">
        <v>74</v>
      </c>
      <c r="BG913" t="s">
        <v>74</v>
      </c>
      <c r="BH913" t="s">
        <v>74</v>
      </c>
      <c r="BI913">
        <v>1</v>
      </c>
      <c r="BJ913" t="s">
        <v>228</v>
      </c>
      <c r="BK913" t="s">
        <v>512</v>
      </c>
      <c r="BL913" t="s">
        <v>228</v>
      </c>
      <c r="BM913" t="s">
        <v>12764</v>
      </c>
      <c r="BN913" t="s">
        <v>74</v>
      </c>
      <c r="BO913" t="s">
        <v>74</v>
      </c>
      <c r="BP913" t="s">
        <v>74</v>
      </c>
      <c r="BQ913" t="s">
        <v>74</v>
      </c>
      <c r="BR913" t="s">
        <v>104</v>
      </c>
      <c r="BS913" t="s">
        <v>12765</v>
      </c>
      <c r="BT913" t="str">
        <f>HYPERLINK("https%3A%2F%2Fwww.webofscience.com%2Fwos%2Fwoscc%2Ffull-record%2FWOS:000351464400052","View Full Record in Web of Science")</f>
        <v>View Full Record in Web of Science</v>
      </c>
    </row>
    <row r="914" spans="1:72" x14ac:dyDescent="0.25">
      <c r="A914" t="s">
        <v>72</v>
      </c>
      <c r="B914" t="s">
        <v>12766</v>
      </c>
      <c r="C914" t="s">
        <v>74</v>
      </c>
      <c r="D914" t="s">
        <v>74</v>
      </c>
      <c r="E914" t="s">
        <v>74</v>
      </c>
      <c r="F914" t="s">
        <v>12767</v>
      </c>
      <c r="G914" t="s">
        <v>74</v>
      </c>
      <c r="H914" t="s">
        <v>74</v>
      </c>
      <c r="I914" t="s">
        <v>12768</v>
      </c>
      <c r="J914" t="s">
        <v>9656</v>
      </c>
      <c r="K914" t="s">
        <v>74</v>
      </c>
      <c r="L914" t="s">
        <v>74</v>
      </c>
      <c r="M914" t="s">
        <v>78</v>
      </c>
      <c r="N914" t="s">
        <v>299</v>
      </c>
      <c r="O914" t="s">
        <v>74</v>
      </c>
      <c r="P914" t="s">
        <v>74</v>
      </c>
      <c r="Q914" t="s">
        <v>74</v>
      </c>
      <c r="R914" t="s">
        <v>74</v>
      </c>
      <c r="S914" t="s">
        <v>74</v>
      </c>
      <c r="T914" t="s">
        <v>74</v>
      </c>
      <c r="U914" t="s">
        <v>12769</v>
      </c>
      <c r="V914" t="s">
        <v>12770</v>
      </c>
      <c r="W914" t="s">
        <v>12771</v>
      </c>
      <c r="X914" t="s">
        <v>12772</v>
      </c>
      <c r="Y914" t="s">
        <v>12773</v>
      </c>
      <c r="Z914" t="s">
        <v>12774</v>
      </c>
      <c r="AA914" t="s">
        <v>9662</v>
      </c>
      <c r="AB914" t="s">
        <v>12775</v>
      </c>
      <c r="AC914" t="s">
        <v>74</v>
      </c>
      <c r="AD914" t="s">
        <v>74</v>
      </c>
      <c r="AE914" t="s">
        <v>74</v>
      </c>
      <c r="AF914" t="s">
        <v>74</v>
      </c>
      <c r="AG914">
        <v>123</v>
      </c>
      <c r="AH914">
        <v>110</v>
      </c>
      <c r="AI914">
        <v>121</v>
      </c>
      <c r="AJ914">
        <v>0</v>
      </c>
      <c r="AK914">
        <v>21</v>
      </c>
      <c r="AL914" t="s">
        <v>282</v>
      </c>
      <c r="AM914" t="s">
        <v>283</v>
      </c>
      <c r="AN914" t="s">
        <v>284</v>
      </c>
      <c r="AO914" t="s">
        <v>9668</v>
      </c>
      <c r="AP914" t="s">
        <v>9669</v>
      </c>
      <c r="AQ914" t="s">
        <v>74</v>
      </c>
      <c r="AR914" t="s">
        <v>9670</v>
      </c>
      <c r="AS914" t="s">
        <v>9671</v>
      </c>
      <c r="AT914" t="s">
        <v>98</v>
      </c>
      <c r="AU914">
        <v>2015</v>
      </c>
      <c r="AV914">
        <v>12</v>
      </c>
      <c r="AW914">
        <v>3</v>
      </c>
      <c r="AX914" t="s">
        <v>74</v>
      </c>
      <c r="AY914" t="s">
        <v>74</v>
      </c>
      <c r="AZ914" t="s">
        <v>74</v>
      </c>
      <c r="BA914" t="s">
        <v>74</v>
      </c>
      <c r="BB914">
        <v>143</v>
      </c>
      <c r="BC914">
        <v>155</v>
      </c>
      <c r="BD914" t="s">
        <v>74</v>
      </c>
      <c r="BE914" t="s">
        <v>12776</v>
      </c>
      <c r="BF914" t="str">
        <f>HYPERLINK("http://dx.doi.org/10.1038/nrcardio.2014.191","http://dx.doi.org/10.1038/nrcardio.2014.191")</f>
        <v>http://dx.doi.org/10.1038/nrcardio.2014.191</v>
      </c>
      <c r="BG914" t="s">
        <v>74</v>
      </c>
      <c r="BH914" t="s">
        <v>74</v>
      </c>
      <c r="BI914">
        <v>13</v>
      </c>
      <c r="BJ914" t="s">
        <v>132</v>
      </c>
      <c r="BK914" t="s">
        <v>101</v>
      </c>
      <c r="BL914" t="s">
        <v>133</v>
      </c>
      <c r="BM914" t="s">
        <v>12777</v>
      </c>
      <c r="BN914">
        <v>25421168</v>
      </c>
      <c r="BO914" t="s">
        <v>74</v>
      </c>
      <c r="BP914" t="s">
        <v>74</v>
      </c>
      <c r="BQ914" t="s">
        <v>74</v>
      </c>
      <c r="BR914" t="s">
        <v>104</v>
      </c>
      <c r="BS914" t="s">
        <v>12778</v>
      </c>
      <c r="BT914" t="str">
        <f>HYPERLINK("https%3A%2F%2Fwww.webofscience.com%2Fwos%2Fwoscc%2Ffull-record%2FWOS:000350107600004","View Full Record in Web of Science")</f>
        <v>View Full Record in Web of Science</v>
      </c>
    </row>
    <row r="915" spans="1:72" x14ac:dyDescent="0.25">
      <c r="A915" t="s">
        <v>72</v>
      </c>
      <c r="B915" t="s">
        <v>12779</v>
      </c>
      <c r="C915" t="s">
        <v>74</v>
      </c>
      <c r="D915" t="s">
        <v>74</v>
      </c>
      <c r="E915" t="s">
        <v>74</v>
      </c>
      <c r="F915" t="s">
        <v>12780</v>
      </c>
      <c r="G915" t="s">
        <v>74</v>
      </c>
      <c r="H915" t="s">
        <v>74</v>
      </c>
      <c r="I915" t="s">
        <v>12781</v>
      </c>
      <c r="J915" t="s">
        <v>9067</v>
      </c>
      <c r="K915" t="s">
        <v>74</v>
      </c>
      <c r="L915" t="s">
        <v>74</v>
      </c>
      <c r="M915" t="s">
        <v>78</v>
      </c>
      <c r="N915" t="s">
        <v>79</v>
      </c>
      <c r="O915" t="s">
        <v>74</v>
      </c>
      <c r="P915" t="s">
        <v>74</v>
      </c>
      <c r="Q915" t="s">
        <v>74</v>
      </c>
      <c r="R915" t="s">
        <v>74</v>
      </c>
      <c r="S915" t="s">
        <v>74</v>
      </c>
      <c r="T915" t="s">
        <v>12782</v>
      </c>
      <c r="U915" t="s">
        <v>12783</v>
      </c>
      <c r="V915" t="s">
        <v>12784</v>
      </c>
      <c r="W915" t="s">
        <v>12785</v>
      </c>
      <c r="X915" t="s">
        <v>12786</v>
      </c>
      <c r="Y915" t="s">
        <v>12787</v>
      </c>
      <c r="Z915" t="s">
        <v>756</v>
      </c>
      <c r="AA915" t="s">
        <v>12788</v>
      </c>
      <c r="AB915" t="s">
        <v>12789</v>
      </c>
      <c r="AC915" t="s">
        <v>12790</v>
      </c>
      <c r="AD915" t="s">
        <v>12791</v>
      </c>
      <c r="AE915" t="s">
        <v>12792</v>
      </c>
      <c r="AF915" t="s">
        <v>74</v>
      </c>
      <c r="AG915">
        <v>24</v>
      </c>
      <c r="AH915">
        <v>112</v>
      </c>
      <c r="AI915">
        <v>127</v>
      </c>
      <c r="AJ915">
        <v>0</v>
      </c>
      <c r="AK915">
        <v>29</v>
      </c>
      <c r="AL915" t="s">
        <v>991</v>
      </c>
      <c r="AM915" t="s">
        <v>486</v>
      </c>
      <c r="AN915" t="s">
        <v>8530</v>
      </c>
      <c r="AO915" t="s">
        <v>9073</v>
      </c>
      <c r="AP915" t="s">
        <v>9074</v>
      </c>
      <c r="AQ915" t="s">
        <v>74</v>
      </c>
      <c r="AR915" t="s">
        <v>9075</v>
      </c>
      <c r="AS915" t="s">
        <v>9076</v>
      </c>
      <c r="AT915" t="s">
        <v>12793</v>
      </c>
      <c r="AU915">
        <v>2015</v>
      </c>
      <c r="AV915">
        <v>65</v>
      </c>
      <c r="AW915">
        <v>7</v>
      </c>
      <c r="AX915" t="s">
        <v>74</v>
      </c>
      <c r="AY915" t="s">
        <v>74</v>
      </c>
      <c r="AZ915" t="s">
        <v>74</v>
      </c>
      <c r="BA915" t="s">
        <v>74</v>
      </c>
      <c r="BB915">
        <v>668</v>
      </c>
      <c r="BC915">
        <v>680</v>
      </c>
      <c r="BD915" t="s">
        <v>74</v>
      </c>
      <c r="BE915" t="s">
        <v>12794</v>
      </c>
      <c r="BF915" t="str">
        <f>HYPERLINK("http://dx.doi.org/10.1016/j.jacc.2014.11.050","http://dx.doi.org/10.1016/j.jacc.2014.11.050")</f>
        <v>http://dx.doi.org/10.1016/j.jacc.2014.11.050</v>
      </c>
      <c r="BG915" t="s">
        <v>74</v>
      </c>
      <c r="BH915" t="s">
        <v>74</v>
      </c>
      <c r="BI915">
        <v>13</v>
      </c>
      <c r="BJ915" t="s">
        <v>132</v>
      </c>
      <c r="BK915" t="s">
        <v>101</v>
      </c>
      <c r="BL915" t="s">
        <v>133</v>
      </c>
      <c r="BM915" t="s">
        <v>12795</v>
      </c>
      <c r="BN915">
        <v>25677428</v>
      </c>
      <c r="BO915" t="s">
        <v>74</v>
      </c>
      <c r="BP915" t="s">
        <v>74</v>
      </c>
      <c r="BQ915" t="s">
        <v>74</v>
      </c>
      <c r="BR915" t="s">
        <v>104</v>
      </c>
      <c r="BS915" t="s">
        <v>12796</v>
      </c>
      <c r="BT915" t="str">
        <f>HYPERLINK("https%3A%2F%2Fwww.webofscience.com%2Fwos%2Fwoscc%2Ffull-record%2FWOS:000349362000007","View Full Record in Web of Science")</f>
        <v>View Full Record in Web of Science</v>
      </c>
    </row>
    <row r="916" spans="1:72" x14ac:dyDescent="0.25">
      <c r="A916" t="s">
        <v>72</v>
      </c>
      <c r="B916" t="s">
        <v>12797</v>
      </c>
      <c r="C916" t="s">
        <v>74</v>
      </c>
      <c r="D916" t="s">
        <v>74</v>
      </c>
      <c r="E916" t="s">
        <v>74</v>
      </c>
      <c r="F916" t="s">
        <v>12798</v>
      </c>
      <c r="G916" t="s">
        <v>74</v>
      </c>
      <c r="H916" t="s">
        <v>74</v>
      </c>
      <c r="I916" t="s">
        <v>12799</v>
      </c>
      <c r="J916" t="s">
        <v>324</v>
      </c>
      <c r="K916" t="s">
        <v>74</v>
      </c>
      <c r="L916" t="s">
        <v>74</v>
      </c>
      <c r="M916" t="s">
        <v>78</v>
      </c>
      <c r="N916" t="s">
        <v>79</v>
      </c>
      <c r="O916" t="s">
        <v>74</v>
      </c>
      <c r="P916" t="s">
        <v>74</v>
      </c>
      <c r="Q916" t="s">
        <v>74</v>
      </c>
      <c r="R916" t="s">
        <v>74</v>
      </c>
      <c r="S916" t="s">
        <v>74</v>
      </c>
      <c r="T916" t="s">
        <v>74</v>
      </c>
      <c r="U916" t="s">
        <v>12800</v>
      </c>
      <c r="V916" t="s">
        <v>12801</v>
      </c>
      <c r="W916" t="s">
        <v>12802</v>
      </c>
      <c r="X916" t="s">
        <v>12803</v>
      </c>
      <c r="Y916" t="s">
        <v>12804</v>
      </c>
      <c r="Z916" t="s">
        <v>12805</v>
      </c>
      <c r="AA916" t="s">
        <v>12806</v>
      </c>
      <c r="AB916" t="s">
        <v>12807</v>
      </c>
      <c r="AC916" t="s">
        <v>12808</v>
      </c>
      <c r="AD916" t="s">
        <v>12809</v>
      </c>
      <c r="AE916" t="s">
        <v>12810</v>
      </c>
      <c r="AF916" t="s">
        <v>74</v>
      </c>
      <c r="AG916">
        <v>26</v>
      </c>
      <c r="AH916">
        <v>60</v>
      </c>
      <c r="AI916">
        <v>66</v>
      </c>
      <c r="AJ916">
        <v>0</v>
      </c>
      <c r="AK916">
        <v>2</v>
      </c>
      <c r="AL916" t="s">
        <v>92</v>
      </c>
      <c r="AM916" t="s">
        <v>93</v>
      </c>
      <c r="AN916" t="s">
        <v>94</v>
      </c>
      <c r="AO916" t="s">
        <v>337</v>
      </c>
      <c r="AP916" t="s">
        <v>338</v>
      </c>
      <c r="AQ916" t="s">
        <v>74</v>
      </c>
      <c r="AR916" t="s">
        <v>324</v>
      </c>
      <c r="AS916" t="s">
        <v>339</v>
      </c>
      <c r="AT916" t="s">
        <v>129</v>
      </c>
      <c r="AU916">
        <v>2015</v>
      </c>
      <c r="AV916">
        <v>147</v>
      </c>
      <c r="AW916">
        <v>2</v>
      </c>
      <c r="AX916" t="s">
        <v>74</v>
      </c>
      <c r="AY916" t="s">
        <v>74</v>
      </c>
      <c r="AZ916" t="s">
        <v>74</v>
      </c>
      <c r="BA916" t="s">
        <v>74</v>
      </c>
      <c r="BB916">
        <v>495</v>
      </c>
      <c r="BC916">
        <v>501</v>
      </c>
      <c r="BD916" t="s">
        <v>74</v>
      </c>
      <c r="BE916" t="s">
        <v>12811</v>
      </c>
      <c r="BF916" t="str">
        <f>HYPERLINK("http://dx.doi.org/10.1378/chest.14-1036","http://dx.doi.org/10.1378/chest.14-1036")</f>
        <v>http://dx.doi.org/10.1378/chest.14-1036</v>
      </c>
      <c r="BG916" t="s">
        <v>74</v>
      </c>
      <c r="BH916" t="s">
        <v>74</v>
      </c>
      <c r="BI916">
        <v>7</v>
      </c>
      <c r="BJ916" t="s">
        <v>341</v>
      </c>
      <c r="BK916" t="s">
        <v>101</v>
      </c>
      <c r="BL916" t="s">
        <v>342</v>
      </c>
      <c r="BM916" t="s">
        <v>12812</v>
      </c>
      <c r="BN916">
        <v>25317567</v>
      </c>
      <c r="BO916" t="s">
        <v>74</v>
      </c>
      <c r="BP916" t="s">
        <v>74</v>
      </c>
      <c r="BQ916" t="s">
        <v>74</v>
      </c>
      <c r="BR916" t="s">
        <v>104</v>
      </c>
      <c r="BS916" t="s">
        <v>12813</v>
      </c>
      <c r="BT916" t="str">
        <f>HYPERLINK("https%3A%2F%2Fwww.webofscience.com%2Fwos%2Fwoscc%2Ffull-record%2FWOS:000349423200031","View Full Record in Web of Science")</f>
        <v>View Full Record in Web of Science</v>
      </c>
    </row>
    <row r="917" spans="1:72" x14ac:dyDescent="0.25">
      <c r="A917" t="s">
        <v>72</v>
      </c>
      <c r="B917" t="s">
        <v>12814</v>
      </c>
      <c r="C917" t="s">
        <v>74</v>
      </c>
      <c r="D917" t="s">
        <v>74</v>
      </c>
      <c r="E917" t="s">
        <v>74</v>
      </c>
      <c r="F917" t="s">
        <v>12815</v>
      </c>
      <c r="G917" t="s">
        <v>74</v>
      </c>
      <c r="H917" t="s">
        <v>74</v>
      </c>
      <c r="I917" t="s">
        <v>12816</v>
      </c>
      <c r="J917" t="s">
        <v>12817</v>
      </c>
      <c r="K917" t="s">
        <v>74</v>
      </c>
      <c r="L917" t="s">
        <v>74</v>
      </c>
      <c r="M917" t="s">
        <v>78</v>
      </c>
      <c r="N917" t="s">
        <v>299</v>
      </c>
      <c r="O917" t="s">
        <v>74</v>
      </c>
      <c r="P917" t="s">
        <v>74</v>
      </c>
      <c r="Q917" t="s">
        <v>74</v>
      </c>
      <c r="R917" t="s">
        <v>74</v>
      </c>
      <c r="S917" t="s">
        <v>74</v>
      </c>
      <c r="T917" t="s">
        <v>74</v>
      </c>
      <c r="U917" t="s">
        <v>12818</v>
      </c>
      <c r="V917" t="s">
        <v>12819</v>
      </c>
      <c r="W917" t="s">
        <v>12820</v>
      </c>
      <c r="X917" t="s">
        <v>12821</v>
      </c>
      <c r="Y917" t="s">
        <v>12822</v>
      </c>
      <c r="Z917" t="s">
        <v>6688</v>
      </c>
      <c r="AA917" t="s">
        <v>12823</v>
      </c>
      <c r="AB917" t="s">
        <v>12824</v>
      </c>
      <c r="AC917" t="s">
        <v>74</v>
      </c>
      <c r="AD917" t="s">
        <v>74</v>
      </c>
      <c r="AE917" t="s">
        <v>74</v>
      </c>
      <c r="AF917" t="s">
        <v>74</v>
      </c>
      <c r="AG917">
        <v>100</v>
      </c>
      <c r="AH917">
        <v>28</v>
      </c>
      <c r="AI917">
        <v>30</v>
      </c>
      <c r="AJ917">
        <v>0</v>
      </c>
      <c r="AK917">
        <v>14</v>
      </c>
      <c r="AL917" t="s">
        <v>11428</v>
      </c>
      <c r="AM917" t="s">
        <v>11429</v>
      </c>
      <c r="AN917" t="s">
        <v>11430</v>
      </c>
      <c r="AO917" t="s">
        <v>12825</v>
      </c>
      <c r="AP917" t="s">
        <v>12826</v>
      </c>
      <c r="AQ917" t="s">
        <v>74</v>
      </c>
      <c r="AR917" t="s">
        <v>12827</v>
      </c>
      <c r="AS917" t="s">
        <v>12828</v>
      </c>
      <c r="AT917" t="s">
        <v>129</v>
      </c>
      <c r="AU917">
        <v>2015</v>
      </c>
      <c r="AV917">
        <v>15</v>
      </c>
      <c r="AW917">
        <v>1</v>
      </c>
      <c r="AX917" t="s">
        <v>74</v>
      </c>
      <c r="AY917" t="s">
        <v>74</v>
      </c>
      <c r="AZ917" t="s">
        <v>74</v>
      </c>
      <c r="BA917" t="s">
        <v>74</v>
      </c>
      <c r="BB917">
        <v>13</v>
      </c>
      <c r="BC917">
        <v>26</v>
      </c>
      <c r="BD917" t="s">
        <v>74</v>
      </c>
      <c r="BE917" t="s">
        <v>12829</v>
      </c>
      <c r="BF917" t="str">
        <f>HYPERLINK("http://dx.doi.org/10.1007/s40256-014-0095-y","http://dx.doi.org/10.1007/s40256-014-0095-y")</f>
        <v>http://dx.doi.org/10.1007/s40256-014-0095-y</v>
      </c>
      <c r="BG917" t="s">
        <v>74</v>
      </c>
      <c r="BH917" t="s">
        <v>74</v>
      </c>
      <c r="BI917">
        <v>14</v>
      </c>
      <c r="BJ917" t="s">
        <v>12830</v>
      </c>
      <c r="BK917" t="s">
        <v>101</v>
      </c>
      <c r="BL917" t="s">
        <v>12831</v>
      </c>
      <c r="BM917" t="s">
        <v>12832</v>
      </c>
      <c r="BN917">
        <v>25421754</v>
      </c>
      <c r="BO917" t="s">
        <v>74</v>
      </c>
      <c r="BP917" t="s">
        <v>74</v>
      </c>
      <c r="BQ917" t="s">
        <v>74</v>
      </c>
      <c r="BR917" t="s">
        <v>104</v>
      </c>
      <c r="BS917" t="s">
        <v>12833</v>
      </c>
      <c r="BT917" t="str">
        <f>HYPERLINK("https%3A%2F%2Fwww.webofscience.com%2Fwos%2Fwoscc%2Ffull-record%2FWOS:000350102300002","View Full Record in Web of Science")</f>
        <v>View Full Record in Web of Science</v>
      </c>
    </row>
    <row r="918" spans="1:72" x14ac:dyDescent="0.25">
      <c r="A918" t="s">
        <v>72</v>
      </c>
      <c r="B918" t="s">
        <v>12834</v>
      </c>
      <c r="C918" t="s">
        <v>74</v>
      </c>
      <c r="D918" t="s">
        <v>74</v>
      </c>
      <c r="E918" t="s">
        <v>74</v>
      </c>
      <c r="F918" t="s">
        <v>12835</v>
      </c>
      <c r="G918" t="s">
        <v>74</v>
      </c>
      <c r="H918" t="s">
        <v>74</v>
      </c>
      <c r="I918" t="s">
        <v>12836</v>
      </c>
      <c r="J918" t="s">
        <v>324</v>
      </c>
      <c r="K918" t="s">
        <v>74</v>
      </c>
      <c r="L918" t="s">
        <v>74</v>
      </c>
      <c r="M918" t="s">
        <v>78</v>
      </c>
      <c r="N918" t="s">
        <v>299</v>
      </c>
      <c r="O918" t="s">
        <v>74</v>
      </c>
      <c r="P918" t="s">
        <v>74</v>
      </c>
      <c r="Q918" t="s">
        <v>74</v>
      </c>
      <c r="R918" t="s">
        <v>74</v>
      </c>
      <c r="S918" t="s">
        <v>74</v>
      </c>
      <c r="T918" t="s">
        <v>74</v>
      </c>
      <c r="U918" t="s">
        <v>12837</v>
      </c>
      <c r="V918" t="s">
        <v>12838</v>
      </c>
      <c r="W918" t="s">
        <v>12839</v>
      </c>
      <c r="X918" t="s">
        <v>12840</v>
      </c>
      <c r="Y918" t="s">
        <v>12841</v>
      </c>
      <c r="Z918" t="s">
        <v>3402</v>
      </c>
      <c r="AA918" t="s">
        <v>12842</v>
      </c>
      <c r="AB918" t="s">
        <v>12843</v>
      </c>
      <c r="AC918" t="s">
        <v>74</v>
      </c>
      <c r="AD918" t="s">
        <v>74</v>
      </c>
      <c r="AE918" t="s">
        <v>74</v>
      </c>
      <c r="AF918" t="s">
        <v>74</v>
      </c>
      <c r="AG918">
        <v>78</v>
      </c>
      <c r="AH918">
        <v>128</v>
      </c>
      <c r="AI918">
        <v>139</v>
      </c>
      <c r="AJ918">
        <v>0</v>
      </c>
      <c r="AK918">
        <v>38</v>
      </c>
      <c r="AL918" t="s">
        <v>92</v>
      </c>
      <c r="AM918" t="s">
        <v>93</v>
      </c>
      <c r="AN918" t="s">
        <v>94</v>
      </c>
      <c r="AO918" t="s">
        <v>337</v>
      </c>
      <c r="AP918" t="s">
        <v>338</v>
      </c>
      <c r="AQ918" t="s">
        <v>74</v>
      </c>
      <c r="AR918" t="s">
        <v>324</v>
      </c>
      <c r="AS918" t="s">
        <v>339</v>
      </c>
      <c r="AT918" t="s">
        <v>129</v>
      </c>
      <c r="AU918">
        <v>2015</v>
      </c>
      <c r="AV918">
        <v>147</v>
      </c>
      <c r="AW918">
        <v>2</v>
      </c>
      <c r="AX918" t="s">
        <v>74</v>
      </c>
      <c r="AY918" t="s">
        <v>74</v>
      </c>
      <c r="AZ918" t="s">
        <v>74</v>
      </c>
      <c r="BA918" t="s">
        <v>74</v>
      </c>
      <c r="BB918">
        <v>529</v>
      </c>
      <c r="BC918">
        <v>537</v>
      </c>
      <c r="BD918" t="s">
        <v>74</v>
      </c>
      <c r="BE918" t="s">
        <v>12844</v>
      </c>
      <c r="BF918" t="str">
        <f>HYPERLINK("http://dx.doi.org/10.1378/chest.14-0862","http://dx.doi.org/10.1378/chest.14-0862")</f>
        <v>http://dx.doi.org/10.1378/chest.14-0862</v>
      </c>
      <c r="BG918" t="s">
        <v>74</v>
      </c>
      <c r="BH918" t="s">
        <v>74</v>
      </c>
      <c r="BI918">
        <v>9</v>
      </c>
      <c r="BJ918" t="s">
        <v>341</v>
      </c>
      <c r="BK918" t="s">
        <v>101</v>
      </c>
      <c r="BL918" t="s">
        <v>342</v>
      </c>
      <c r="BM918" t="s">
        <v>12812</v>
      </c>
      <c r="BN918">
        <v>25644906</v>
      </c>
      <c r="BO918" t="s">
        <v>74</v>
      </c>
      <c r="BP918" t="s">
        <v>74</v>
      </c>
      <c r="BQ918" t="s">
        <v>74</v>
      </c>
      <c r="BR918" t="s">
        <v>104</v>
      </c>
      <c r="BS918" t="s">
        <v>12845</v>
      </c>
      <c r="BT918" t="str">
        <f>HYPERLINK("https%3A%2F%2Fwww.webofscience.com%2Fwos%2Fwoscc%2Ffull-record%2FWOS:000349423200035","View Full Record in Web of Science")</f>
        <v>View Full Record in Web of Science</v>
      </c>
    </row>
    <row r="919" spans="1:72" x14ac:dyDescent="0.25">
      <c r="A919" t="s">
        <v>72</v>
      </c>
      <c r="B919" t="s">
        <v>12846</v>
      </c>
      <c r="C919" t="s">
        <v>74</v>
      </c>
      <c r="D919" t="s">
        <v>74</v>
      </c>
      <c r="E919" t="s">
        <v>74</v>
      </c>
      <c r="F919" t="s">
        <v>12847</v>
      </c>
      <c r="G919" t="s">
        <v>74</v>
      </c>
      <c r="H919" t="s">
        <v>74</v>
      </c>
      <c r="I919" t="s">
        <v>12848</v>
      </c>
      <c r="J919" t="s">
        <v>216</v>
      </c>
      <c r="K919" t="s">
        <v>74</v>
      </c>
      <c r="L919" t="s">
        <v>74</v>
      </c>
      <c r="M919" t="s">
        <v>78</v>
      </c>
      <c r="N919" t="s">
        <v>140</v>
      </c>
      <c r="O919" t="s">
        <v>74</v>
      </c>
      <c r="P919" t="s">
        <v>74</v>
      </c>
      <c r="Q919" t="s">
        <v>74</v>
      </c>
      <c r="R919" t="s">
        <v>74</v>
      </c>
      <c r="S919" t="s">
        <v>74</v>
      </c>
      <c r="T919" t="s">
        <v>74</v>
      </c>
      <c r="U919" t="s">
        <v>12849</v>
      </c>
      <c r="V919" t="s">
        <v>12850</v>
      </c>
      <c r="W919" t="s">
        <v>12851</v>
      </c>
      <c r="X919" t="s">
        <v>12852</v>
      </c>
      <c r="Y919" t="s">
        <v>12853</v>
      </c>
      <c r="Z919" t="s">
        <v>12854</v>
      </c>
      <c r="AA919" t="s">
        <v>12855</v>
      </c>
      <c r="AB919" t="s">
        <v>12856</v>
      </c>
      <c r="AC919" t="s">
        <v>74</v>
      </c>
      <c r="AD919" t="s">
        <v>74</v>
      </c>
      <c r="AE919" t="s">
        <v>74</v>
      </c>
      <c r="AF919" t="s">
        <v>74</v>
      </c>
      <c r="AG919">
        <v>38</v>
      </c>
      <c r="AH919">
        <v>6</v>
      </c>
      <c r="AI919">
        <v>6</v>
      </c>
      <c r="AJ919">
        <v>0</v>
      </c>
      <c r="AK919">
        <v>8</v>
      </c>
      <c r="AL919" t="s">
        <v>219</v>
      </c>
      <c r="AM919" t="s">
        <v>220</v>
      </c>
      <c r="AN919" t="s">
        <v>221</v>
      </c>
      <c r="AO919" t="s">
        <v>222</v>
      </c>
      <c r="AP919" t="s">
        <v>223</v>
      </c>
      <c r="AQ919" t="s">
        <v>74</v>
      </c>
      <c r="AR919" t="s">
        <v>224</v>
      </c>
      <c r="AS919" t="s">
        <v>225</v>
      </c>
      <c r="AT919" t="s">
        <v>129</v>
      </c>
      <c r="AU919">
        <v>2015</v>
      </c>
      <c r="AV919">
        <v>45</v>
      </c>
      <c r="AW919">
        <v>2</v>
      </c>
      <c r="AX919" t="s">
        <v>74</v>
      </c>
      <c r="AY919" t="s">
        <v>74</v>
      </c>
      <c r="AZ919" t="s">
        <v>74</v>
      </c>
      <c r="BA919" t="s">
        <v>74</v>
      </c>
      <c r="BB919">
        <v>297</v>
      </c>
      <c r="BC919">
        <v>300</v>
      </c>
      <c r="BD919" t="s">
        <v>74</v>
      </c>
      <c r="BE919" t="s">
        <v>12857</v>
      </c>
      <c r="BF919" t="str">
        <f>HYPERLINK("http://dx.doi.org/10.1183/09031936.00221914","http://dx.doi.org/10.1183/09031936.00221914")</f>
        <v>http://dx.doi.org/10.1183/09031936.00221914</v>
      </c>
      <c r="BG919" t="s">
        <v>74</v>
      </c>
      <c r="BH919" t="s">
        <v>74</v>
      </c>
      <c r="BI919">
        <v>4</v>
      </c>
      <c r="BJ919" t="s">
        <v>228</v>
      </c>
      <c r="BK919" t="s">
        <v>101</v>
      </c>
      <c r="BL919" t="s">
        <v>228</v>
      </c>
      <c r="BM919" t="s">
        <v>12858</v>
      </c>
      <c r="BN919">
        <v>25653258</v>
      </c>
      <c r="BO919" t="s">
        <v>103</v>
      </c>
      <c r="BP919" t="s">
        <v>74</v>
      </c>
      <c r="BQ919" t="s">
        <v>74</v>
      </c>
      <c r="BR919" t="s">
        <v>104</v>
      </c>
      <c r="BS919" t="s">
        <v>12859</v>
      </c>
      <c r="BT919" t="str">
        <f>HYPERLINK("https%3A%2F%2Fwww.webofscience.com%2Fwos%2Fwoscc%2Ffull-record%2FWOS:000349509700001","View Full Record in Web of Science")</f>
        <v>View Full Record in Web of Science</v>
      </c>
    </row>
    <row r="920" spans="1:72" x14ac:dyDescent="0.25">
      <c r="A920" t="s">
        <v>72</v>
      </c>
      <c r="B920" t="s">
        <v>12860</v>
      </c>
      <c r="C920" t="s">
        <v>74</v>
      </c>
      <c r="D920" t="s">
        <v>74</v>
      </c>
      <c r="E920" t="s">
        <v>74</v>
      </c>
      <c r="F920" t="s">
        <v>12861</v>
      </c>
      <c r="G920" t="s">
        <v>74</v>
      </c>
      <c r="H920" t="s">
        <v>74</v>
      </c>
      <c r="I920" t="s">
        <v>12862</v>
      </c>
      <c r="J920" t="s">
        <v>7532</v>
      </c>
      <c r="K920" t="s">
        <v>74</v>
      </c>
      <c r="L920" t="s">
        <v>74</v>
      </c>
      <c r="M920" t="s">
        <v>78</v>
      </c>
      <c r="N920" t="s">
        <v>79</v>
      </c>
      <c r="O920" t="s">
        <v>74</v>
      </c>
      <c r="P920" t="s">
        <v>74</v>
      </c>
      <c r="Q920" t="s">
        <v>74</v>
      </c>
      <c r="R920" t="s">
        <v>74</v>
      </c>
      <c r="S920" t="s">
        <v>74</v>
      </c>
      <c r="T920" t="s">
        <v>74</v>
      </c>
      <c r="U920" t="s">
        <v>12863</v>
      </c>
      <c r="V920" t="s">
        <v>12864</v>
      </c>
      <c r="W920" t="s">
        <v>12865</v>
      </c>
      <c r="X920" t="s">
        <v>12866</v>
      </c>
      <c r="Y920" t="s">
        <v>12787</v>
      </c>
      <c r="Z920" t="s">
        <v>756</v>
      </c>
      <c r="AA920" t="s">
        <v>12867</v>
      </c>
      <c r="AB920" t="s">
        <v>12868</v>
      </c>
      <c r="AC920" t="s">
        <v>12869</v>
      </c>
      <c r="AD920" t="s">
        <v>12870</v>
      </c>
      <c r="AE920" t="s">
        <v>12871</v>
      </c>
      <c r="AF920" t="s">
        <v>74</v>
      </c>
      <c r="AG920">
        <v>47</v>
      </c>
      <c r="AH920">
        <v>148</v>
      </c>
      <c r="AI920">
        <v>159</v>
      </c>
      <c r="AJ920">
        <v>0</v>
      </c>
      <c r="AK920">
        <v>8</v>
      </c>
      <c r="AL920" t="s">
        <v>991</v>
      </c>
      <c r="AM920" t="s">
        <v>486</v>
      </c>
      <c r="AN920" t="s">
        <v>992</v>
      </c>
      <c r="AO920" t="s">
        <v>7542</v>
      </c>
      <c r="AP920" t="s">
        <v>7543</v>
      </c>
      <c r="AQ920" t="s">
        <v>74</v>
      </c>
      <c r="AR920" t="s">
        <v>7544</v>
      </c>
      <c r="AS920" t="s">
        <v>7545</v>
      </c>
      <c r="AT920" t="s">
        <v>129</v>
      </c>
      <c r="AU920">
        <v>2015</v>
      </c>
      <c r="AV920">
        <v>185</v>
      </c>
      <c r="AW920">
        <v>2</v>
      </c>
      <c r="AX920" t="s">
        <v>74</v>
      </c>
      <c r="AY920" t="s">
        <v>74</v>
      </c>
      <c r="AZ920" t="s">
        <v>74</v>
      </c>
      <c r="BA920" t="s">
        <v>74</v>
      </c>
      <c r="BB920">
        <v>356</v>
      </c>
      <c r="BC920">
        <v>371</v>
      </c>
      <c r="BD920" t="s">
        <v>74</v>
      </c>
      <c r="BE920" t="s">
        <v>12872</v>
      </c>
      <c r="BF920" t="str">
        <f>HYPERLINK("http://dx.doi.org/10.1016/j.ajpath.2014.10.021","http://dx.doi.org/10.1016/j.ajpath.2014.10.021")</f>
        <v>http://dx.doi.org/10.1016/j.ajpath.2014.10.021</v>
      </c>
      <c r="BG920" t="s">
        <v>74</v>
      </c>
      <c r="BH920" t="s">
        <v>74</v>
      </c>
      <c r="BI920">
        <v>16</v>
      </c>
      <c r="BJ920" t="s">
        <v>7547</v>
      </c>
      <c r="BK920" t="s">
        <v>101</v>
      </c>
      <c r="BL920" t="s">
        <v>7547</v>
      </c>
      <c r="BM920" t="s">
        <v>12873</v>
      </c>
      <c r="BN920">
        <v>25497573</v>
      </c>
      <c r="BO920" t="s">
        <v>1194</v>
      </c>
      <c r="BP920" t="s">
        <v>74</v>
      </c>
      <c r="BQ920" t="s">
        <v>74</v>
      </c>
      <c r="BR920" t="s">
        <v>104</v>
      </c>
      <c r="BS920" t="s">
        <v>12874</v>
      </c>
      <c r="BT920" t="str">
        <f>HYPERLINK("https%3A%2F%2Fwww.webofscience.com%2Fwos%2Fwoscc%2Ffull-record%2FWOS:000348489400009","View Full Record in Web of Science")</f>
        <v>View Full Record in Web of Science</v>
      </c>
    </row>
    <row r="921" spans="1:72" x14ac:dyDescent="0.25">
      <c r="A921" t="s">
        <v>72</v>
      </c>
      <c r="B921" t="s">
        <v>12875</v>
      </c>
      <c r="C921" t="s">
        <v>74</v>
      </c>
      <c r="D921" t="s">
        <v>74</v>
      </c>
      <c r="E921" t="s">
        <v>74</v>
      </c>
      <c r="F921" t="s">
        <v>12876</v>
      </c>
      <c r="G921" t="s">
        <v>74</v>
      </c>
      <c r="H921" t="s">
        <v>74</v>
      </c>
      <c r="I921" t="s">
        <v>12877</v>
      </c>
      <c r="J921" t="s">
        <v>189</v>
      </c>
      <c r="K921" t="s">
        <v>74</v>
      </c>
      <c r="L921" t="s">
        <v>74</v>
      </c>
      <c r="M921" t="s">
        <v>78</v>
      </c>
      <c r="N921" t="s">
        <v>79</v>
      </c>
      <c r="O921" t="s">
        <v>74</v>
      </c>
      <c r="P921" t="s">
        <v>74</v>
      </c>
      <c r="Q921" t="s">
        <v>74</v>
      </c>
      <c r="R921" t="s">
        <v>74</v>
      </c>
      <c r="S921" t="s">
        <v>74</v>
      </c>
      <c r="T921" t="s">
        <v>12878</v>
      </c>
      <c r="U921" t="s">
        <v>12879</v>
      </c>
      <c r="V921" t="s">
        <v>12880</v>
      </c>
      <c r="W921" t="s">
        <v>12881</v>
      </c>
      <c r="X921" t="s">
        <v>12882</v>
      </c>
      <c r="Y921" t="s">
        <v>12883</v>
      </c>
      <c r="Z921" t="s">
        <v>12884</v>
      </c>
      <c r="AA921" t="s">
        <v>12885</v>
      </c>
      <c r="AB921" t="s">
        <v>12886</v>
      </c>
      <c r="AC921" t="s">
        <v>74</v>
      </c>
      <c r="AD921" t="s">
        <v>74</v>
      </c>
      <c r="AE921" t="s">
        <v>74</v>
      </c>
      <c r="AF921" t="s">
        <v>74</v>
      </c>
      <c r="AG921">
        <v>38</v>
      </c>
      <c r="AH921">
        <v>5</v>
      </c>
      <c r="AI921">
        <v>5</v>
      </c>
      <c r="AJ921">
        <v>1</v>
      </c>
      <c r="AK921">
        <v>4</v>
      </c>
      <c r="AL921" t="s">
        <v>200</v>
      </c>
      <c r="AM921" t="s">
        <v>201</v>
      </c>
      <c r="AN921" t="s">
        <v>202</v>
      </c>
      <c r="AO921" t="s">
        <v>203</v>
      </c>
      <c r="AP921" t="s">
        <v>204</v>
      </c>
      <c r="AQ921" t="s">
        <v>74</v>
      </c>
      <c r="AR921" t="s">
        <v>205</v>
      </c>
      <c r="AS921" t="s">
        <v>206</v>
      </c>
      <c r="AT921" t="s">
        <v>129</v>
      </c>
      <c r="AU921">
        <v>2015</v>
      </c>
      <c r="AV921">
        <v>109</v>
      </c>
      <c r="AW921">
        <v>2</v>
      </c>
      <c r="AX921" t="s">
        <v>74</v>
      </c>
      <c r="AY921" t="s">
        <v>74</v>
      </c>
      <c r="AZ921" t="s">
        <v>74</v>
      </c>
      <c r="BA921" t="s">
        <v>74</v>
      </c>
      <c r="BB921">
        <v>188</v>
      </c>
      <c r="BC921">
        <v>199</v>
      </c>
      <c r="BD921" t="s">
        <v>74</v>
      </c>
      <c r="BE921" t="s">
        <v>12887</v>
      </c>
      <c r="BF921" t="str">
        <f>HYPERLINK("http://dx.doi.org/10.1016/j.rmed.2014.11.010","http://dx.doi.org/10.1016/j.rmed.2014.11.010")</f>
        <v>http://dx.doi.org/10.1016/j.rmed.2014.11.010</v>
      </c>
      <c r="BG921" t="s">
        <v>74</v>
      </c>
      <c r="BH921" t="s">
        <v>74</v>
      </c>
      <c r="BI921">
        <v>12</v>
      </c>
      <c r="BJ921" t="s">
        <v>209</v>
      </c>
      <c r="BK921" t="s">
        <v>101</v>
      </c>
      <c r="BL921" t="s">
        <v>210</v>
      </c>
      <c r="BM921" t="s">
        <v>12888</v>
      </c>
      <c r="BN921">
        <v>25534930</v>
      </c>
      <c r="BO921" t="s">
        <v>1194</v>
      </c>
      <c r="BP921" t="s">
        <v>74</v>
      </c>
      <c r="BQ921" t="s">
        <v>74</v>
      </c>
      <c r="BR921" t="s">
        <v>104</v>
      </c>
      <c r="BS921" t="s">
        <v>12889</v>
      </c>
      <c r="BT921" t="str">
        <f>HYPERLINK("https%3A%2F%2Fwww.webofscience.com%2Fwos%2Fwoscc%2Ffull-record%2FWOS:000350516500005","View Full Record in Web of Science")</f>
        <v>View Full Record in Web of Science</v>
      </c>
    </row>
    <row r="922" spans="1:72" x14ac:dyDescent="0.25">
      <c r="A922" t="s">
        <v>72</v>
      </c>
      <c r="B922" t="s">
        <v>12890</v>
      </c>
      <c r="C922" t="s">
        <v>74</v>
      </c>
      <c r="D922" t="s">
        <v>74</v>
      </c>
      <c r="E922" t="s">
        <v>74</v>
      </c>
      <c r="F922" t="s">
        <v>12891</v>
      </c>
      <c r="G922" t="s">
        <v>74</v>
      </c>
      <c r="H922" t="s">
        <v>74</v>
      </c>
      <c r="I922" t="s">
        <v>12892</v>
      </c>
      <c r="J922" t="s">
        <v>216</v>
      </c>
      <c r="K922" t="s">
        <v>74</v>
      </c>
      <c r="L922" t="s">
        <v>74</v>
      </c>
      <c r="M922" t="s">
        <v>78</v>
      </c>
      <c r="N922" t="s">
        <v>79</v>
      </c>
      <c r="O922" t="s">
        <v>74</v>
      </c>
      <c r="P922" t="s">
        <v>74</v>
      </c>
      <c r="Q922" t="s">
        <v>74</v>
      </c>
      <c r="R922" t="s">
        <v>74</v>
      </c>
      <c r="S922" t="s">
        <v>74</v>
      </c>
      <c r="T922" t="s">
        <v>74</v>
      </c>
      <c r="U922" t="s">
        <v>12893</v>
      </c>
      <c r="V922" t="s">
        <v>12894</v>
      </c>
      <c r="W922" t="s">
        <v>12895</v>
      </c>
      <c r="X922" t="s">
        <v>12896</v>
      </c>
      <c r="Y922" t="s">
        <v>12897</v>
      </c>
      <c r="Z922" t="s">
        <v>1917</v>
      </c>
      <c r="AA922" t="s">
        <v>12898</v>
      </c>
      <c r="AB922" t="s">
        <v>12899</v>
      </c>
      <c r="AC922" t="s">
        <v>12900</v>
      </c>
      <c r="AD922" t="s">
        <v>12900</v>
      </c>
      <c r="AE922" t="s">
        <v>12901</v>
      </c>
      <c r="AF922" t="s">
        <v>74</v>
      </c>
      <c r="AG922">
        <v>31</v>
      </c>
      <c r="AH922">
        <v>48</v>
      </c>
      <c r="AI922">
        <v>52</v>
      </c>
      <c r="AJ922">
        <v>0</v>
      </c>
      <c r="AK922">
        <v>6</v>
      </c>
      <c r="AL922" t="s">
        <v>219</v>
      </c>
      <c r="AM922" t="s">
        <v>220</v>
      </c>
      <c r="AN922" t="s">
        <v>221</v>
      </c>
      <c r="AO922" t="s">
        <v>222</v>
      </c>
      <c r="AP922" t="s">
        <v>223</v>
      </c>
      <c r="AQ922" t="s">
        <v>74</v>
      </c>
      <c r="AR922" t="s">
        <v>224</v>
      </c>
      <c r="AS922" t="s">
        <v>225</v>
      </c>
      <c r="AT922" t="s">
        <v>176</v>
      </c>
      <c r="AU922">
        <v>2015</v>
      </c>
      <c r="AV922">
        <v>45</v>
      </c>
      <c r="AW922">
        <v>1</v>
      </c>
      <c r="AX922" t="s">
        <v>74</v>
      </c>
      <c r="AY922" t="s">
        <v>74</v>
      </c>
      <c r="AZ922" t="s">
        <v>74</v>
      </c>
      <c r="BA922" t="s">
        <v>74</v>
      </c>
      <c r="BB922">
        <v>139</v>
      </c>
      <c r="BC922">
        <v>149</v>
      </c>
      <c r="BD922" t="s">
        <v>74</v>
      </c>
      <c r="BE922" t="s">
        <v>12902</v>
      </c>
      <c r="BF922" t="str">
        <f>HYPERLINK("http://dx.doi.org/10.1183/09031936.00158014","http://dx.doi.org/10.1183/09031936.00158014")</f>
        <v>http://dx.doi.org/10.1183/09031936.00158014</v>
      </c>
      <c r="BG922" t="s">
        <v>74</v>
      </c>
      <c r="BH922" t="s">
        <v>74</v>
      </c>
      <c r="BI922">
        <v>11</v>
      </c>
      <c r="BJ922" t="s">
        <v>228</v>
      </c>
      <c r="BK922" t="s">
        <v>101</v>
      </c>
      <c r="BL922" t="s">
        <v>228</v>
      </c>
      <c r="BM922" t="s">
        <v>12903</v>
      </c>
      <c r="BN922">
        <v>25537560</v>
      </c>
      <c r="BO922" t="s">
        <v>1194</v>
      </c>
      <c r="BP922" t="s">
        <v>74</v>
      </c>
      <c r="BQ922" t="s">
        <v>74</v>
      </c>
      <c r="BR922" t="s">
        <v>104</v>
      </c>
      <c r="BS922" t="s">
        <v>12904</v>
      </c>
      <c r="BT922" t="str">
        <f>HYPERLINK("https%3A%2F%2Fwww.webofscience.com%2Fwos%2Fwoscc%2Ffull-record%2FWOS:000348179800019","View Full Record in Web of Science")</f>
        <v>View Full Record in Web of Science</v>
      </c>
    </row>
    <row r="923" spans="1:72" x14ac:dyDescent="0.25">
      <c r="A923" t="s">
        <v>72</v>
      </c>
      <c r="B923" t="s">
        <v>11502</v>
      </c>
      <c r="C923" t="s">
        <v>74</v>
      </c>
      <c r="D923" t="s">
        <v>74</v>
      </c>
      <c r="E923" t="s">
        <v>74</v>
      </c>
      <c r="F923" t="s">
        <v>11611</v>
      </c>
      <c r="G923" t="s">
        <v>74</v>
      </c>
      <c r="H923" t="s">
        <v>74</v>
      </c>
      <c r="I923" t="s">
        <v>12905</v>
      </c>
      <c r="J923" t="s">
        <v>12906</v>
      </c>
      <c r="K923" t="s">
        <v>74</v>
      </c>
      <c r="L923" t="s">
        <v>74</v>
      </c>
      <c r="M923" t="s">
        <v>12907</v>
      </c>
      <c r="N923" t="s">
        <v>79</v>
      </c>
      <c r="O923" t="s">
        <v>74</v>
      </c>
      <c r="P923" t="s">
        <v>74</v>
      </c>
      <c r="Q923" t="s">
        <v>74</v>
      </c>
      <c r="R923" t="s">
        <v>74</v>
      </c>
      <c r="S923" t="s">
        <v>74</v>
      </c>
      <c r="T923" t="s">
        <v>74</v>
      </c>
      <c r="U923" t="s">
        <v>12908</v>
      </c>
      <c r="V923" t="s">
        <v>74</v>
      </c>
      <c r="W923" t="s">
        <v>12909</v>
      </c>
      <c r="X923" t="s">
        <v>12910</v>
      </c>
      <c r="Y923" t="s">
        <v>12051</v>
      </c>
      <c r="Z923" t="s">
        <v>11620</v>
      </c>
      <c r="AA923" t="s">
        <v>12911</v>
      </c>
      <c r="AB923" t="s">
        <v>12912</v>
      </c>
      <c r="AC923" t="s">
        <v>74</v>
      </c>
      <c r="AD923" t="s">
        <v>74</v>
      </c>
      <c r="AE923" t="s">
        <v>74</v>
      </c>
      <c r="AF923" t="s">
        <v>74</v>
      </c>
      <c r="AG923">
        <v>503</v>
      </c>
      <c r="AH923">
        <v>78</v>
      </c>
      <c r="AI923">
        <v>88</v>
      </c>
      <c r="AJ923">
        <v>0</v>
      </c>
      <c r="AK923">
        <v>7</v>
      </c>
      <c r="AL923" t="s">
        <v>12913</v>
      </c>
      <c r="AM923" t="s">
        <v>12914</v>
      </c>
      <c r="AN923" t="s">
        <v>12915</v>
      </c>
      <c r="AO923" t="s">
        <v>12916</v>
      </c>
      <c r="AP923" t="s">
        <v>12917</v>
      </c>
      <c r="AQ923" t="s">
        <v>74</v>
      </c>
      <c r="AR923" t="s">
        <v>12918</v>
      </c>
      <c r="AS923" t="s">
        <v>12919</v>
      </c>
      <c r="AT923" t="s">
        <v>74</v>
      </c>
      <c r="AU923">
        <v>2015</v>
      </c>
      <c r="AV923">
        <v>73</v>
      </c>
      <c r="AW923">
        <v>12</v>
      </c>
      <c r="AX923" t="s">
        <v>74</v>
      </c>
      <c r="AY923" t="s">
        <v>74</v>
      </c>
      <c r="AZ923" t="s">
        <v>74</v>
      </c>
      <c r="BA923" t="s">
        <v>74</v>
      </c>
      <c r="BB923">
        <v>1127</v>
      </c>
      <c r="BC923">
        <v>1206</v>
      </c>
      <c r="BD923" t="s">
        <v>74</v>
      </c>
      <c r="BE923" t="s">
        <v>12920</v>
      </c>
      <c r="BF923" t="str">
        <f>HYPERLINK("http://dx.doi.org/10.5603/KP.2015.0242","http://dx.doi.org/10.5603/KP.2015.0242")</f>
        <v>http://dx.doi.org/10.5603/KP.2015.0242</v>
      </c>
      <c r="BG923" t="s">
        <v>74</v>
      </c>
      <c r="BH923" t="s">
        <v>74</v>
      </c>
      <c r="BI923">
        <v>80</v>
      </c>
      <c r="BJ923" t="s">
        <v>132</v>
      </c>
      <c r="BK923" t="s">
        <v>101</v>
      </c>
      <c r="BL923" t="s">
        <v>133</v>
      </c>
      <c r="BM923" t="s">
        <v>12921</v>
      </c>
      <c r="BN923">
        <v>26727670</v>
      </c>
      <c r="BO923" t="s">
        <v>2517</v>
      </c>
      <c r="BP923" t="s">
        <v>74</v>
      </c>
      <c r="BQ923" t="s">
        <v>74</v>
      </c>
      <c r="BR923" t="s">
        <v>104</v>
      </c>
      <c r="BS923" t="s">
        <v>12922</v>
      </c>
      <c r="BT923" t="str">
        <f>HYPERLINK("https%3A%2F%2Fwww.webofscience.com%2Fwos%2Fwoscc%2Ffull-record%2FWOS:000371105500001","View Full Record in Web of Science")</f>
        <v>View Full Record in Web of Science</v>
      </c>
    </row>
    <row r="924" spans="1:72" x14ac:dyDescent="0.25">
      <c r="A924" t="s">
        <v>72</v>
      </c>
      <c r="B924" t="s">
        <v>12923</v>
      </c>
      <c r="C924" t="s">
        <v>74</v>
      </c>
      <c r="D924" t="s">
        <v>74</v>
      </c>
      <c r="E924" t="s">
        <v>74</v>
      </c>
      <c r="F924" t="s">
        <v>12924</v>
      </c>
      <c r="G924" t="s">
        <v>74</v>
      </c>
      <c r="H924" t="s">
        <v>74</v>
      </c>
      <c r="I924" t="s">
        <v>12925</v>
      </c>
      <c r="J924" t="s">
        <v>637</v>
      </c>
      <c r="K924" t="s">
        <v>74</v>
      </c>
      <c r="L924" t="s">
        <v>74</v>
      </c>
      <c r="M924" t="s">
        <v>78</v>
      </c>
      <c r="N924" t="s">
        <v>52</v>
      </c>
      <c r="O924" t="s">
        <v>2003</v>
      </c>
      <c r="P924" t="s">
        <v>12926</v>
      </c>
      <c r="Q924" t="s">
        <v>2200</v>
      </c>
      <c r="R924" t="s">
        <v>2006</v>
      </c>
      <c r="S924" t="s">
        <v>74</v>
      </c>
      <c r="T924" t="s">
        <v>74</v>
      </c>
      <c r="U924" t="s">
        <v>74</v>
      </c>
      <c r="V924" t="s">
        <v>74</v>
      </c>
      <c r="W924" t="s">
        <v>12927</v>
      </c>
      <c r="X924" t="s">
        <v>2967</v>
      </c>
      <c r="Y924" t="s">
        <v>74</v>
      </c>
      <c r="Z924" t="s">
        <v>11647</v>
      </c>
      <c r="AA924" t="s">
        <v>12928</v>
      </c>
      <c r="AB924" t="s">
        <v>10255</v>
      </c>
      <c r="AC924" t="s">
        <v>74</v>
      </c>
      <c r="AD924" t="s">
        <v>74</v>
      </c>
      <c r="AE924" t="s">
        <v>74</v>
      </c>
      <c r="AF924" t="s">
        <v>74</v>
      </c>
      <c r="AG924">
        <v>0</v>
      </c>
      <c r="AH924">
        <v>0</v>
      </c>
      <c r="AI924">
        <v>0</v>
      </c>
      <c r="AJ924">
        <v>0</v>
      </c>
      <c r="AK924">
        <v>0</v>
      </c>
      <c r="AL924" t="s">
        <v>649</v>
      </c>
      <c r="AM924" t="s">
        <v>486</v>
      </c>
      <c r="AN924" t="s">
        <v>650</v>
      </c>
      <c r="AO924" t="s">
        <v>651</v>
      </c>
      <c r="AP924" t="s">
        <v>652</v>
      </c>
      <c r="AQ924" t="s">
        <v>74</v>
      </c>
      <c r="AR924" t="s">
        <v>653</v>
      </c>
      <c r="AS924" t="s">
        <v>654</v>
      </c>
      <c r="AT924" t="s">
        <v>74</v>
      </c>
      <c r="AU924">
        <v>2015</v>
      </c>
      <c r="AV924">
        <v>191</v>
      </c>
      <c r="AW924" t="s">
        <v>74</v>
      </c>
      <c r="AX924" t="s">
        <v>74</v>
      </c>
      <c r="AY924" t="s">
        <v>74</v>
      </c>
      <c r="AZ924" t="s">
        <v>74</v>
      </c>
      <c r="BA924" t="s">
        <v>12929</v>
      </c>
      <c r="BB924" t="s">
        <v>74</v>
      </c>
      <c r="BC924" t="s">
        <v>74</v>
      </c>
      <c r="BD924" t="s">
        <v>74</v>
      </c>
      <c r="BE924" t="s">
        <v>74</v>
      </c>
      <c r="BF924" t="s">
        <v>74</v>
      </c>
      <c r="BG924" t="s">
        <v>74</v>
      </c>
      <c r="BH924" t="s">
        <v>74</v>
      </c>
      <c r="BI924">
        <v>1</v>
      </c>
      <c r="BJ924" t="s">
        <v>341</v>
      </c>
      <c r="BK924" t="s">
        <v>512</v>
      </c>
      <c r="BL924" t="s">
        <v>342</v>
      </c>
      <c r="BM924" t="s">
        <v>12930</v>
      </c>
      <c r="BN924" t="s">
        <v>74</v>
      </c>
      <c r="BO924" t="s">
        <v>74</v>
      </c>
      <c r="BP924" t="s">
        <v>74</v>
      </c>
      <c r="BQ924" t="s">
        <v>74</v>
      </c>
      <c r="BR924" t="s">
        <v>104</v>
      </c>
      <c r="BS924" t="s">
        <v>12931</v>
      </c>
      <c r="BT924" t="str">
        <f>HYPERLINK("https%3A%2F%2Fwww.webofscience.com%2Fwos%2Fwoscc%2Ffull-record%2FWOS:000377582807280","View Full Record in Web of Science")</f>
        <v>View Full Record in Web of Science</v>
      </c>
    </row>
    <row r="925" spans="1:72" x14ac:dyDescent="0.25">
      <c r="A925" t="s">
        <v>998</v>
      </c>
      <c r="B925" t="s">
        <v>12932</v>
      </c>
      <c r="C925" t="s">
        <v>74</v>
      </c>
      <c r="D925" t="s">
        <v>12933</v>
      </c>
      <c r="E925" t="s">
        <v>74</v>
      </c>
      <c r="F925" t="s">
        <v>12934</v>
      </c>
      <c r="G925" t="s">
        <v>74</v>
      </c>
      <c r="H925" t="s">
        <v>74</v>
      </c>
      <c r="I925" t="s">
        <v>12935</v>
      </c>
      <c r="J925" t="s">
        <v>12936</v>
      </c>
      <c r="K925" t="s">
        <v>12937</v>
      </c>
      <c r="L925" t="s">
        <v>74</v>
      </c>
      <c r="M925" t="s">
        <v>78</v>
      </c>
      <c r="N925" t="s">
        <v>8065</v>
      </c>
      <c r="O925" t="s">
        <v>74</v>
      </c>
      <c r="P925" t="s">
        <v>74</v>
      </c>
      <c r="Q925" t="s">
        <v>74</v>
      </c>
      <c r="R925" t="s">
        <v>74</v>
      </c>
      <c r="S925" t="s">
        <v>74</v>
      </c>
      <c r="T925" t="s">
        <v>74</v>
      </c>
      <c r="U925" t="s">
        <v>12938</v>
      </c>
      <c r="V925" t="s">
        <v>74</v>
      </c>
      <c r="W925" t="s">
        <v>12939</v>
      </c>
      <c r="X925" t="s">
        <v>12940</v>
      </c>
      <c r="Y925" t="s">
        <v>12941</v>
      </c>
      <c r="Z925" t="s">
        <v>276</v>
      </c>
      <c r="AA925" t="s">
        <v>12942</v>
      </c>
      <c r="AB925" t="s">
        <v>12943</v>
      </c>
      <c r="AC925" t="s">
        <v>74</v>
      </c>
      <c r="AD925" t="s">
        <v>74</v>
      </c>
      <c r="AE925" t="s">
        <v>74</v>
      </c>
      <c r="AF925" t="s">
        <v>74</v>
      </c>
      <c r="AG925">
        <v>94</v>
      </c>
      <c r="AH925">
        <v>0</v>
      </c>
      <c r="AI925">
        <v>0</v>
      </c>
      <c r="AJ925">
        <v>0</v>
      </c>
      <c r="AK925">
        <v>1</v>
      </c>
      <c r="AL925" t="s">
        <v>12944</v>
      </c>
      <c r="AM925" t="s">
        <v>12945</v>
      </c>
      <c r="AN925" t="s">
        <v>12946</v>
      </c>
      <c r="AO925" t="s">
        <v>12947</v>
      </c>
      <c r="AP925" t="s">
        <v>74</v>
      </c>
      <c r="AQ925" t="s">
        <v>12948</v>
      </c>
      <c r="AR925" t="s">
        <v>12949</v>
      </c>
      <c r="AS925" t="s">
        <v>12950</v>
      </c>
      <c r="AT925" t="s">
        <v>74</v>
      </c>
      <c r="AU925">
        <v>2015</v>
      </c>
      <c r="AV925" t="s">
        <v>74</v>
      </c>
      <c r="AW925" t="s">
        <v>74</v>
      </c>
      <c r="AX925" t="s">
        <v>74</v>
      </c>
      <c r="AY925" t="s">
        <v>74</v>
      </c>
      <c r="AZ925" t="s">
        <v>74</v>
      </c>
      <c r="BA925" t="s">
        <v>74</v>
      </c>
      <c r="BB925">
        <v>241</v>
      </c>
      <c r="BC925">
        <v>256</v>
      </c>
      <c r="BD925" t="s">
        <v>74</v>
      </c>
      <c r="BE925" t="s">
        <v>12951</v>
      </c>
      <c r="BF925" t="str">
        <f>HYPERLINK("http://dx.doi.org/10.1007/978-3-319-16232-4_13","http://dx.doi.org/10.1007/978-3-319-16232-4_13")</f>
        <v>http://dx.doi.org/10.1007/978-3-319-16232-4_13</v>
      </c>
      <c r="BG925" t="s">
        <v>12952</v>
      </c>
      <c r="BH925" t="s">
        <v>74</v>
      </c>
      <c r="BI925">
        <v>16</v>
      </c>
      <c r="BJ925" t="s">
        <v>12953</v>
      </c>
      <c r="BK925" t="s">
        <v>8073</v>
      </c>
      <c r="BL925" t="s">
        <v>12953</v>
      </c>
      <c r="BM925" t="s">
        <v>12954</v>
      </c>
      <c r="BN925" t="s">
        <v>74</v>
      </c>
      <c r="BO925" t="s">
        <v>74</v>
      </c>
      <c r="BP925" t="s">
        <v>74</v>
      </c>
      <c r="BQ925" t="s">
        <v>74</v>
      </c>
      <c r="BR925" t="s">
        <v>104</v>
      </c>
      <c r="BS925" t="s">
        <v>12955</v>
      </c>
      <c r="BT925" t="str">
        <f>HYPERLINK("https%3A%2F%2Fwww.webofscience.com%2Fwos%2Fwoscc%2Ffull-record%2FWOS:000378209000014","View Full Record in Web of Science")</f>
        <v>View Full Record in Web of Science</v>
      </c>
    </row>
    <row r="926" spans="1:72" x14ac:dyDescent="0.25">
      <c r="A926" t="s">
        <v>72</v>
      </c>
      <c r="B926" t="s">
        <v>12956</v>
      </c>
      <c r="C926" t="s">
        <v>74</v>
      </c>
      <c r="D926" t="s">
        <v>74</v>
      </c>
      <c r="E926" t="s">
        <v>74</v>
      </c>
      <c r="F926" t="s">
        <v>12957</v>
      </c>
      <c r="G926" t="s">
        <v>74</v>
      </c>
      <c r="H926" t="s">
        <v>74</v>
      </c>
      <c r="I926" t="s">
        <v>12958</v>
      </c>
      <c r="J926" t="s">
        <v>637</v>
      </c>
      <c r="K926" t="s">
        <v>74</v>
      </c>
      <c r="L926" t="s">
        <v>74</v>
      </c>
      <c r="M926" t="s">
        <v>78</v>
      </c>
      <c r="N926" t="s">
        <v>52</v>
      </c>
      <c r="O926" t="s">
        <v>2003</v>
      </c>
      <c r="P926" t="s">
        <v>12926</v>
      </c>
      <c r="Q926" t="s">
        <v>2200</v>
      </c>
      <c r="R926" t="s">
        <v>2006</v>
      </c>
      <c r="S926" t="s">
        <v>74</v>
      </c>
      <c r="T926" t="s">
        <v>74</v>
      </c>
      <c r="U926" t="s">
        <v>74</v>
      </c>
      <c r="V926" t="s">
        <v>74</v>
      </c>
      <c r="W926" t="s">
        <v>12959</v>
      </c>
      <c r="X926" t="s">
        <v>12960</v>
      </c>
      <c r="Y926" t="s">
        <v>74</v>
      </c>
      <c r="Z926" t="s">
        <v>3402</v>
      </c>
      <c r="AA926" t="s">
        <v>12961</v>
      </c>
      <c r="AB926" t="s">
        <v>9300</v>
      </c>
      <c r="AC926" t="s">
        <v>74</v>
      </c>
      <c r="AD926" t="s">
        <v>74</v>
      </c>
      <c r="AE926" t="s">
        <v>74</v>
      </c>
      <c r="AF926" t="s">
        <v>74</v>
      </c>
      <c r="AG926">
        <v>0</v>
      </c>
      <c r="AH926">
        <v>0</v>
      </c>
      <c r="AI926">
        <v>0</v>
      </c>
      <c r="AJ926">
        <v>0</v>
      </c>
      <c r="AK926">
        <v>1</v>
      </c>
      <c r="AL926" t="s">
        <v>649</v>
      </c>
      <c r="AM926" t="s">
        <v>486</v>
      </c>
      <c r="AN926" t="s">
        <v>650</v>
      </c>
      <c r="AO926" t="s">
        <v>651</v>
      </c>
      <c r="AP926" t="s">
        <v>652</v>
      </c>
      <c r="AQ926" t="s">
        <v>74</v>
      </c>
      <c r="AR926" t="s">
        <v>653</v>
      </c>
      <c r="AS926" t="s">
        <v>654</v>
      </c>
      <c r="AT926" t="s">
        <v>74</v>
      </c>
      <c r="AU926">
        <v>2015</v>
      </c>
      <c r="AV926">
        <v>191</v>
      </c>
      <c r="AW926" t="s">
        <v>74</v>
      </c>
      <c r="AX926" t="s">
        <v>74</v>
      </c>
      <c r="AY926" t="s">
        <v>74</v>
      </c>
      <c r="AZ926" t="s">
        <v>74</v>
      </c>
      <c r="BA926" t="s">
        <v>12962</v>
      </c>
      <c r="BB926" t="s">
        <v>74</v>
      </c>
      <c r="BC926" t="s">
        <v>74</v>
      </c>
      <c r="BD926" t="s">
        <v>74</v>
      </c>
      <c r="BE926" t="s">
        <v>74</v>
      </c>
      <c r="BF926" t="s">
        <v>74</v>
      </c>
      <c r="BG926" t="s">
        <v>74</v>
      </c>
      <c r="BH926" t="s">
        <v>74</v>
      </c>
      <c r="BI926">
        <v>2</v>
      </c>
      <c r="BJ926" t="s">
        <v>341</v>
      </c>
      <c r="BK926" t="s">
        <v>512</v>
      </c>
      <c r="BL926" t="s">
        <v>342</v>
      </c>
      <c r="BM926" t="s">
        <v>12930</v>
      </c>
      <c r="BN926" t="s">
        <v>74</v>
      </c>
      <c r="BO926" t="s">
        <v>74</v>
      </c>
      <c r="BP926" t="s">
        <v>74</v>
      </c>
      <c r="BQ926" t="s">
        <v>74</v>
      </c>
      <c r="BR926" t="s">
        <v>104</v>
      </c>
      <c r="BS926" t="s">
        <v>12963</v>
      </c>
      <c r="BT926" t="str">
        <f>HYPERLINK("https%3A%2F%2Fwww.webofscience.com%2Fwos%2Fwoscc%2Ffull-record%2FWOS:000377582801590","View Full Record in Web of Science")</f>
        <v>View Full Record in Web of Science</v>
      </c>
    </row>
    <row r="927" spans="1:72" x14ac:dyDescent="0.25">
      <c r="A927" t="s">
        <v>72</v>
      </c>
      <c r="B927" t="s">
        <v>10579</v>
      </c>
      <c r="C927" t="s">
        <v>74</v>
      </c>
      <c r="D927" t="s">
        <v>74</v>
      </c>
      <c r="E927" t="s">
        <v>74</v>
      </c>
      <c r="F927" t="s">
        <v>12964</v>
      </c>
      <c r="G927" t="s">
        <v>74</v>
      </c>
      <c r="H927" t="s">
        <v>74</v>
      </c>
      <c r="I927" t="s">
        <v>12965</v>
      </c>
      <c r="J927" t="s">
        <v>216</v>
      </c>
      <c r="K927" t="s">
        <v>74</v>
      </c>
      <c r="L927" t="s">
        <v>74</v>
      </c>
      <c r="M927" t="s">
        <v>78</v>
      </c>
      <c r="N927" t="s">
        <v>140</v>
      </c>
      <c r="O927" t="s">
        <v>74</v>
      </c>
      <c r="P927" t="s">
        <v>74</v>
      </c>
      <c r="Q927" t="s">
        <v>74</v>
      </c>
      <c r="R927" t="s">
        <v>74</v>
      </c>
      <c r="S927" t="s">
        <v>74</v>
      </c>
      <c r="T927" t="s">
        <v>74</v>
      </c>
      <c r="U927" t="s">
        <v>12966</v>
      </c>
      <c r="V927" t="s">
        <v>74</v>
      </c>
      <c r="W927" t="s">
        <v>12967</v>
      </c>
      <c r="X927" t="s">
        <v>12968</v>
      </c>
      <c r="Y927" t="s">
        <v>12969</v>
      </c>
      <c r="Z927" t="s">
        <v>3402</v>
      </c>
      <c r="AA927" t="s">
        <v>12970</v>
      </c>
      <c r="AB927" t="s">
        <v>10587</v>
      </c>
      <c r="AC927" t="s">
        <v>74</v>
      </c>
      <c r="AD927" t="s">
        <v>74</v>
      </c>
      <c r="AE927" t="s">
        <v>74</v>
      </c>
      <c r="AF927" t="s">
        <v>74</v>
      </c>
      <c r="AG927">
        <v>35</v>
      </c>
      <c r="AH927">
        <v>4</v>
      </c>
      <c r="AI927">
        <v>4</v>
      </c>
      <c r="AJ927">
        <v>0</v>
      </c>
      <c r="AK927">
        <v>3</v>
      </c>
      <c r="AL927" t="s">
        <v>219</v>
      </c>
      <c r="AM927" t="s">
        <v>220</v>
      </c>
      <c r="AN927" t="s">
        <v>221</v>
      </c>
      <c r="AO927" t="s">
        <v>222</v>
      </c>
      <c r="AP927" t="s">
        <v>223</v>
      </c>
      <c r="AQ927" t="s">
        <v>74</v>
      </c>
      <c r="AR927" t="s">
        <v>224</v>
      </c>
      <c r="AS927" t="s">
        <v>225</v>
      </c>
      <c r="AT927" t="s">
        <v>176</v>
      </c>
      <c r="AU927">
        <v>2015</v>
      </c>
      <c r="AV927">
        <v>45</v>
      </c>
      <c r="AW927">
        <v>1</v>
      </c>
      <c r="AX927" t="s">
        <v>74</v>
      </c>
      <c r="AY927" t="s">
        <v>74</v>
      </c>
      <c r="AZ927" t="s">
        <v>74</v>
      </c>
      <c r="BA927" t="s">
        <v>74</v>
      </c>
      <c r="BB927">
        <v>1</v>
      </c>
      <c r="BC927">
        <v>6</v>
      </c>
      <c r="BD927" t="s">
        <v>74</v>
      </c>
      <c r="BE927" t="s">
        <v>12971</v>
      </c>
      <c r="BF927" t="str">
        <f>HYPERLINK("http://dx.doi.org/10.1183/09031936.00201614","http://dx.doi.org/10.1183/09031936.00201614")</f>
        <v>http://dx.doi.org/10.1183/09031936.00201614</v>
      </c>
      <c r="BG927" t="s">
        <v>74</v>
      </c>
      <c r="BH927" t="s">
        <v>74</v>
      </c>
      <c r="BI927">
        <v>6</v>
      </c>
      <c r="BJ927" t="s">
        <v>228</v>
      </c>
      <c r="BK927" t="s">
        <v>101</v>
      </c>
      <c r="BL927" t="s">
        <v>228</v>
      </c>
      <c r="BM927" t="s">
        <v>12903</v>
      </c>
      <c r="BN927">
        <v>25552728</v>
      </c>
      <c r="BO927" t="s">
        <v>2517</v>
      </c>
      <c r="BP927" t="s">
        <v>74</v>
      </c>
      <c r="BQ927" t="s">
        <v>74</v>
      </c>
      <c r="BR927" t="s">
        <v>104</v>
      </c>
      <c r="BS927" t="s">
        <v>12972</v>
      </c>
      <c r="BT927" t="str">
        <f>HYPERLINK("https%3A%2F%2Fwww.webofscience.com%2Fwos%2Fwoscc%2Ffull-record%2FWOS:000348179800001","View Full Record in Web of Science")</f>
        <v>View Full Record in Web of Science</v>
      </c>
    </row>
    <row r="928" spans="1:72" x14ac:dyDescent="0.25">
      <c r="A928" t="s">
        <v>72</v>
      </c>
      <c r="B928" t="s">
        <v>12973</v>
      </c>
      <c r="C928" t="s">
        <v>74</v>
      </c>
      <c r="D928" t="s">
        <v>74</v>
      </c>
      <c r="E928" t="s">
        <v>74</v>
      </c>
      <c r="F928" t="s">
        <v>12974</v>
      </c>
      <c r="G928" t="s">
        <v>74</v>
      </c>
      <c r="H928" t="s">
        <v>74</v>
      </c>
      <c r="I928" t="s">
        <v>12975</v>
      </c>
      <c r="J928" t="s">
        <v>637</v>
      </c>
      <c r="K928" t="s">
        <v>74</v>
      </c>
      <c r="L928" t="s">
        <v>74</v>
      </c>
      <c r="M928" t="s">
        <v>78</v>
      </c>
      <c r="N928" t="s">
        <v>52</v>
      </c>
      <c r="O928" t="s">
        <v>2003</v>
      </c>
      <c r="P928" t="s">
        <v>12926</v>
      </c>
      <c r="Q928" t="s">
        <v>2200</v>
      </c>
      <c r="R928" t="s">
        <v>2006</v>
      </c>
      <c r="S928" t="s">
        <v>74</v>
      </c>
      <c r="T928" t="s">
        <v>74</v>
      </c>
      <c r="U928" t="s">
        <v>74</v>
      </c>
      <c r="V928" t="s">
        <v>74</v>
      </c>
      <c r="W928" t="s">
        <v>12976</v>
      </c>
      <c r="X928" t="s">
        <v>12977</v>
      </c>
      <c r="Y928" t="s">
        <v>74</v>
      </c>
      <c r="Z928" t="s">
        <v>74</v>
      </c>
      <c r="AA928" t="s">
        <v>12978</v>
      </c>
      <c r="AB928" t="s">
        <v>10255</v>
      </c>
      <c r="AC928" t="s">
        <v>74</v>
      </c>
      <c r="AD928" t="s">
        <v>74</v>
      </c>
      <c r="AE928" t="s">
        <v>74</v>
      </c>
      <c r="AF928" t="s">
        <v>74</v>
      </c>
      <c r="AG928">
        <v>0</v>
      </c>
      <c r="AH928">
        <v>1</v>
      </c>
      <c r="AI928">
        <v>1</v>
      </c>
      <c r="AJ928">
        <v>0</v>
      </c>
      <c r="AK928">
        <v>0</v>
      </c>
      <c r="AL928" t="s">
        <v>649</v>
      </c>
      <c r="AM928" t="s">
        <v>486</v>
      </c>
      <c r="AN928" t="s">
        <v>650</v>
      </c>
      <c r="AO928" t="s">
        <v>651</v>
      </c>
      <c r="AP928" t="s">
        <v>652</v>
      </c>
      <c r="AQ928" t="s">
        <v>74</v>
      </c>
      <c r="AR928" t="s">
        <v>653</v>
      </c>
      <c r="AS928" t="s">
        <v>654</v>
      </c>
      <c r="AT928" t="s">
        <v>74</v>
      </c>
      <c r="AU928">
        <v>2015</v>
      </c>
      <c r="AV928">
        <v>191</v>
      </c>
      <c r="AW928" t="s">
        <v>74</v>
      </c>
      <c r="AX928" t="s">
        <v>74</v>
      </c>
      <c r="AY928" t="s">
        <v>74</v>
      </c>
      <c r="AZ928" t="s">
        <v>74</v>
      </c>
      <c r="BA928" t="s">
        <v>12979</v>
      </c>
      <c r="BB928" t="s">
        <v>74</v>
      </c>
      <c r="BC928" t="s">
        <v>74</v>
      </c>
      <c r="BD928" t="s">
        <v>74</v>
      </c>
      <c r="BE928" t="s">
        <v>74</v>
      </c>
      <c r="BF928" t="s">
        <v>74</v>
      </c>
      <c r="BG928" t="s">
        <v>74</v>
      </c>
      <c r="BH928" t="s">
        <v>74</v>
      </c>
      <c r="BI928">
        <v>1</v>
      </c>
      <c r="BJ928" t="s">
        <v>341</v>
      </c>
      <c r="BK928" t="s">
        <v>512</v>
      </c>
      <c r="BL928" t="s">
        <v>342</v>
      </c>
      <c r="BM928" t="s">
        <v>12930</v>
      </c>
      <c r="BN928" t="s">
        <v>74</v>
      </c>
      <c r="BO928" t="s">
        <v>74</v>
      </c>
      <c r="BP928" t="s">
        <v>74</v>
      </c>
      <c r="BQ928" t="s">
        <v>74</v>
      </c>
      <c r="BR928" t="s">
        <v>104</v>
      </c>
      <c r="BS928" t="s">
        <v>12980</v>
      </c>
      <c r="BT928" t="str">
        <f>HYPERLINK("https%3A%2F%2Fwww.webofscience.com%2Fwos%2Fwoscc%2Ffull-record%2FWOS:000377582806221","View Full Record in Web of Science")</f>
        <v>View Full Record in Web of Science</v>
      </c>
    </row>
    <row r="929" spans="1:72" x14ac:dyDescent="0.25">
      <c r="A929" t="s">
        <v>72</v>
      </c>
      <c r="B929" t="s">
        <v>12981</v>
      </c>
      <c r="C929" t="s">
        <v>74</v>
      </c>
      <c r="D929" t="s">
        <v>74</v>
      </c>
      <c r="E929" t="s">
        <v>74</v>
      </c>
      <c r="F929" t="s">
        <v>12982</v>
      </c>
      <c r="G929" t="s">
        <v>74</v>
      </c>
      <c r="H929" t="s">
        <v>74</v>
      </c>
      <c r="I929" t="s">
        <v>12983</v>
      </c>
      <c r="J929" t="s">
        <v>637</v>
      </c>
      <c r="K929" t="s">
        <v>74</v>
      </c>
      <c r="L929" t="s">
        <v>74</v>
      </c>
      <c r="M929" t="s">
        <v>78</v>
      </c>
      <c r="N929" t="s">
        <v>52</v>
      </c>
      <c r="O929" t="s">
        <v>2003</v>
      </c>
      <c r="P929" t="s">
        <v>12926</v>
      </c>
      <c r="Q929" t="s">
        <v>2200</v>
      </c>
      <c r="R929" t="s">
        <v>2006</v>
      </c>
      <c r="S929" t="s">
        <v>74</v>
      </c>
      <c r="T929" t="s">
        <v>74</v>
      </c>
      <c r="U929" t="s">
        <v>74</v>
      </c>
      <c r="V929" t="s">
        <v>74</v>
      </c>
      <c r="W929" t="s">
        <v>12984</v>
      </c>
      <c r="X929" t="s">
        <v>12985</v>
      </c>
      <c r="Y929" t="s">
        <v>74</v>
      </c>
      <c r="Z929" t="s">
        <v>10035</v>
      </c>
      <c r="AA929" t="s">
        <v>12986</v>
      </c>
      <c r="AB929" t="s">
        <v>9470</v>
      </c>
      <c r="AC929" t="s">
        <v>74</v>
      </c>
      <c r="AD929" t="s">
        <v>74</v>
      </c>
      <c r="AE929" t="s">
        <v>74</v>
      </c>
      <c r="AF929" t="s">
        <v>74</v>
      </c>
      <c r="AG929">
        <v>0</v>
      </c>
      <c r="AH929">
        <v>0</v>
      </c>
      <c r="AI929">
        <v>0</v>
      </c>
      <c r="AJ929">
        <v>0</v>
      </c>
      <c r="AK929">
        <v>0</v>
      </c>
      <c r="AL929" t="s">
        <v>649</v>
      </c>
      <c r="AM929" t="s">
        <v>486</v>
      </c>
      <c r="AN929" t="s">
        <v>650</v>
      </c>
      <c r="AO929" t="s">
        <v>651</v>
      </c>
      <c r="AP929" t="s">
        <v>652</v>
      </c>
      <c r="AQ929" t="s">
        <v>74</v>
      </c>
      <c r="AR929" t="s">
        <v>653</v>
      </c>
      <c r="AS929" t="s">
        <v>654</v>
      </c>
      <c r="AT929" t="s">
        <v>74</v>
      </c>
      <c r="AU929">
        <v>2015</v>
      </c>
      <c r="AV929">
        <v>191</v>
      </c>
      <c r="AW929" t="s">
        <v>74</v>
      </c>
      <c r="AX929" t="s">
        <v>74</v>
      </c>
      <c r="AY929" t="s">
        <v>74</v>
      </c>
      <c r="AZ929" t="s">
        <v>74</v>
      </c>
      <c r="BA929" t="s">
        <v>12987</v>
      </c>
      <c r="BB929" t="s">
        <v>74</v>
      </c>
      <c r="BC929" t="s">
        <v>74</v>
      </c>
      <c r="BD929" t="s">
        <v>74</v>
      </c>
      <c r="BE929" t="s">
        <v>74</v>
      </c>
      <c r="BF929" t="s">
        <v>74</v>
      </c>
      <c r="BG929" t="s">
        <v>74</v>
      </c>
      <c r="BH929" t="s">
        <v>74</v>
      </c>
      <c r="BI929">
        <v>1</v>
      </c>
      <c r="BJ929" t="s">
        <v>341</v>
      </c>
      <c r="BK929" t="s">
        <v>512</v>
      </c>
      <c r="BL929" t="s">
        <v>342</v>
      </c>
      <c r="BM929" t="s">
        <v>12930</v>
      </c>
      <c r="BN929" t="s">
        <v>74</v>
      </c>
      <c r="BO929" t="s">
        <v>74</v>
      </c>
      <c r="BP929" t="s">
        <v>74</v>
      </c>
      <c r="BQ929" t="s">
        <v>74</v>
      </c>
      <c r="BR929" t="s">
        <v>104</v>
      </c>
      <c r="BS929" t="s">
        <v>12988</v>
      </c>
      <c r="BT929" t="str">
        <f>HYPERLINK("https%3A%2F%2Fwww.webofscience.com%2Fwos%2Fwoscc%2Ffull-record%2FWOS:000377582807378","View Full Record in Web of Science")</f>
        <v>View Full Record in Web of Science</v>
      </c>
    </row>
    <row r="930" spans="1:72" x14ac:dyDescent="0.25">
      <c r="A930" t="s">
        <v>72</v>
      </c>
      <c r="B930" t="s">
        <v>12989</v>
      </c>
      <c r="C930" t="s">
        <v>74</v>
      </c>
      <c r="D930" t="s">
        <v>74</v>
      </c>
      <c r="E930" t="s">
        <v>74</v>
      </c>
      <c r="F930" t="s">
        <v>12990</v>
      </c>
      <c r="G930" t="s">
        <v>74</v>
      </c>
      <c r="H930" t="s">
        <v>74</v>
      </c>
      <c r="I930" t="s">
        <v>12991</v>
      </c>
      <c r="J930" t="s">
        <v>1461</v>
      </c>
      <c r="K930" t="s">
        <v>74</v>
      </c>
      <c r="L930" t="s">
        <v>74</v>
      </c>
      <c r="M930" t="s">
        <v>78</v>
      </c>
      <c r="N930" t="s">
        <v>299</v>
      </c>
      <c r="O930" t="s">
        <v>74</v>
      </c>
      <c r="P930" t="s">
        <v>74</v>
      </c>
      <c r="Q930" t="s">
        <v>74</v>
      </c>
      <c r="R930" t="s">
        <v>74</v>
      </c>
      <c r="S930" t="s">
        <v>74</v>
      </c>
      <c r="T930" t="s">
        <v>12992</v>
      </c>
      <c r="U930" t="s">
        <v>12993</v>
      </c>
      <c r="V930" t="s">
        <v>12994</v>
      </c>
      <c r="W930" t="s">
        <v>12995</v>
      </c>
      <c r="X930" t="s">
        <v>12996</v>
      </c>
      <c r="Y930" t="s">
        <v>12997</v>
      </c>
      <c r="Z930" t="s">
        <v>6688</v>
      </c>
      <c r="AA930" t="s">
        <v>12998</v>
      </c>
      <c r="AB930" t="s">
        <v>12999</v>
      </c>
      <c r="AC930" t="s">
        <v>13000</v>
      </c>
      <c r="AD930" t="s">
        <v>13001</v>
      </c>
      <c r="AE930" t="s">
        <v>13002</v>
      </c>
      <c r="AF930" t="s">
        <v>74</v>
      </c>
      <c r="AG930">
        <v>156</v>
      </c>
      <c r="AH930">
        <v>18</v>
      </c>
      <c r="AI930">
        <v>19</v>
      </c>
      <c r="AJ930">
        <v>0</v>
      </c>
      <c r="AK930">
        <v>9</v>
      </c>
      <c r="AL930" t="s">
        <v>148</v>
      </c>
      <c r="AM930" t="s">
        <v>149</v>
      </c>
      <c r="AN930" t="s">
        <v>150</v>
      </c>
      <c r="AO930" t="s">
        <v>1470</v>
      </c>
      <c r="AP930" t="s">
        <v>1471</v>
      </c>
      <c r="AQ930" t="s">
        <v>74</v>
      </c>
      <c r="AR930" t="s">
        <v>1472</v>
      </c>
      <c r="AS930" t="s">
        <v>1473</v>
      </c>
      <c r="AT930" t="s">
        <v>74</v>
      </c>
      <c r="AU930">
        <v>2015</v>
      </c>
      <c r="AV930">
        <v>16</v>
      </c>
      <c r="AW930">
        <v>14</v>
      </c>
      <c r="AX930" t="s">
        <v>74</v>
      </c>
      <c r="AY930" t="s">
        <v>74</v>
      </c>
      <c r="AZ930" t="s">
        <v>74</v>
      </c>
      <c r="BA930" t="s">
        <v>74</v>
      </c>
      <c r="BB930">
        <v>2113</v>
      </c>
      <c r="BC930">
        <v>2131</v>
      </c>
      <c r="BD930" t="s">
        <v>74</v>
      </c>
      <c r="BE930" t="s">
        <v>13003</v>
      </c>
      <c r="BF930" t="str">
        <f>HYPERLINK("http://dx.doi.org/10.1517/14656566.2015.1074177","http://dx.doi.org/10.1517/14656566.2015.1074177")</f>
        <v>http://dx.doi.org/10.1517/14656566.2015.1074177</v>
      </c>
      <c r="BG930" t="s">
        <v>74</v>
      </c>
      <c r="BH930" t="s">
        <v>74</v>
      </c>
      <c r="BI930">
        <v>19</v>
      </c>
      <c r="BJ930" t="s">
        <v>1477</v>
      </c>
      <c r="BK930" t="s">
        <v>101</v>
      </c>
      <c r="BL930" t="s">
        <v>1477</v>
      </c>
      <c r="BM930" t="s">
        <v>13004</v>
      </c>
      <c r="BN930">
        <v>26290279</v>
      </c>
      <c r="BO930" t="s">
        <v>74</v>
      </c>
      <c r="BP930" t="s">
        <v>74</v>
      </c>
      <c r="BQ930" t="s">
        <v>74</v>
      </c>
      <c r="BR930" t="s">
        <v>104</v>
      </c>
      <c r="BS930" t="s">
        <v>13005</v>
      </c>
      <c r="BT930" t="str">
        <f>HYPERLINK("https%3A%2F%2Fwww.webofscience.com%2Fwos%2Fwoscc%2Ffull-record%2FWOS:000361325200003","View Full Record in Web of Science")</f>
        <v>View Full Record in Web of Science</v>
      </c>
    </row>
    <row r="931" spans="1:72" x14ac:dyDescent="0.25">
      <c r="A931" t="s">
        <v>72</v>
      </c>
      <c r="B931" t="s">
        <v>13006</v>
      </c>
      <c r="C931" t="s">
        <v>74</v>
      </c>
      <c r="D931" t="s">
        <v>74</v>
      </c>
      <c r="E931" t="s">
        <v>74</v>
      </c>
      <c r="F931" t="s">
        <v>13007</v>
      </c>
      <c r="G931" t="s">
        <v>74</v>
      </c>
      <c r="H931" t="s">
        <v>74</v>
      </c>
      <c r="I931" t="s">
        <v>13008</v>
      </c>
      <c r="J931" t="s">
        <v>637</v>
      </c>
      <c r="K931" t="s">
        <v>74</v>
      </c>
      <c r="L931" t="s">
        <v>74</v>
      </c>
      <c r="M931" t="s">
        <v>78</v>
      </c>
      <c r="N931" t="s">
        <v>52</v>
      </c>
      <c r="O931" t="s">
        <v>2003</v>
      </c>
      <c r="P931" t="s">
        <v>12926</v>
      </c>
      <c r="Q931" t="s">
        <v>2200</v>
      </c>
      <c r="R931" t="s">
        <v>2006</v>
      </c>
      <c r="S931" t="s">
        <v>74</v>
      </c>
      <c r="T931" t="s">
        <v>74</v>
      </c>
      <c r="U931" t="s">
        <v>74</v>
      </c>
      <c r="V931" t="s">
        <v>74</v>
      </c>
      <c r="W931" t="s">
        <v>13009</v>
      </c>
      <c r="X931" t="s">
        <v>13010</v>
      </c>
      <c r="Y931" t="s">
        <v>74</v>
      </c>
      <c r="Z931" t="s">
        <v>13011</v>
      </c>
      <c r="AA931" t="s">
        <v>13012</v>
      </c>
      <c r="AB931" t="s">
        <v>13013</v>
      </c>
      <c r="AC931" t="s">
        <v>74</v>
      </c>
      <c r="AD931" t="s">
        <v>74</v>
      </c>
      <c r="AE931" t="s">
        <v>74</v>
      </c>
      <c r="AF931" t="s">
        <v>74</v>
      </c>
      <c r="AG931">
        <v>0</v>
      </c>
      <c r="AH931">
        <v>0</v>
      </c>
      <c r="AI931">
        <v>0</v>
      </c>
      <c r="AJ931">
        <v>0</v>
      </c>
      <c r="AK931">
        <v>1</v>
      </c>
      <c r="AL931" t="s">
        <v>649</v>
      </c>
      <c r="AM931" t="s">
        <v>486</v>
      </c>
      <c r="AN931" t="s">
        <v>650</v>
      </c>
      <c r="AO931" t="s">
        <v>651</v>
      </c>
      <c r="AP931" t="s">
        <v>652</v>
      </c>
      <c r="AQ931" t="s">
        <v>74</v>
      </c>
      <c r="AR931" t="s">
        <v>653</v>
      </c>
      <c r="AS931" t="s">
        <v>654</v>
      </c>
      <c r="AT931" t="s">
        <v>74</v>
      </c>
      <c r="AU931">
        <v>2015</v>
      </c>
      <c r="AV931">
        <v>191</v>
      </c>
      <c r="AW931" t="s">
        <v>74</v>
      </c>
      <c r="AX931" t="s">
        <v>74</v>
      </c>
      <c r="AY931" t="s">
        <v>74</v>
      </c>
      <c r="AZ931" t="s">
        <v>74</v>
      </c>
      <c r="BA931" t="s">
        <v>13014</v>
      </c>
      <c r="BB931" t="s">
        <v>74</v>
      </c>
      <c r="BC931" t="s">
        <v>74</v>
      </c>
      <c r="BD931" t="s">
        <v>74</v>
      </c>
      <c r="BE931" t="s">
        <v>74</v>
      </c>
      <c r="BF931" t="s">
        <v>74</v>
      </c>
      <c r="BG931" t="s">
        <v>74</v>
      </c>
      <c r="BH931" t="s">
        <v>74</v>
      </c>
      <c r="BI931">
        <v>1</v>
      </c>
      <c r="BJ931" t="s">
        <v>341</v>
      </c>
      <c r="BK931" t="s">
        <v>512</v>
      </c>
      <c r="BL931" t="s">
        <v>342</v>
      </c>
      <c r="BM931" t="s">
        <v>12930</v>
      </c>
      <c r="BN931" t="s">
        <v>74</v>
      </c>
      <c r="BO931" t="s">
        <v>74</v>
      </c>
      <c r="BP931" t="s">
        <v>74</v>
      </c>
      <c r="BQ931" t="s">
        <v>74</v>
      </c>
      <c r="BR931" t="s">
        <v>104</v>
      </c>
      <c r="BS931" t="s">
        <v>13015</v>
      </c>
      <c r="BT931" t="str">
        <f>HYPERLINK("https%3A%2F%2Fwww.webofscience.com%2Fwos%2Fwoscc%2Ffull-record%2FWOS:000377582807376","View Full Record in Web of Science")</f>
        <v>View Full Record in Web of Science</v>
      </c>
    </row>
    <row r="932" spans="1:72" x14ac:dyDescent="0.25">
      <c r="A932" t="s">
        <v>72</v>
      </c>
      <c r="B932" t="s">
        <v>13016</v>
      </c>
      <c r="C932" t="s">
        <v>74</v>
      </c>
      <c r="D932" t="s">
        <v>74</v>
      </c>
      <c r="E932" t="s">
        <v>74</v>
      </c>
      <c r="F932" t="s">
        <v>13017</v>
      </c>
      <c r="G932" t="s">
        <v>74</v>
      </c>
      <c r="H932" t="s">
        <v>74</v>
      </c>
      <c r="I932" t="s">
        <v>13018</v>
      </c>
      <c r="J932" t="s">
        <v>251</v>
      </c>
      <c r="K932" t="s">
        <v>74</v>
      </c>
      <c r="L932" t="s">
        <v>74</v>
      </c>
      <c r="M932" t="s">
        <v>78</v>
      </c>
      <c r="N932" t="s">
        <v>79</v>
      </c>
      <c r="O932" t="s">
        <v>74</v>
      </c>
      <c r="P932" t="s">
        <v>74</v>
      </c>
      <c r="Q932" t="s">
        <v>74</v>
      </c>
      <c r="R932" t="s">
        <v>74</v>
      </c>
      <c r="S932" t="s">
        <v>74</v>
      </c>
      <c r="T932" t="s">
        <v>13019</v>
      </c>
      <c r="U932" t="s">
        <v>13020</v>
      </c>
      <c r="V932" t="s">
        <v>74</v>
      </c>
      <c r="W932" t="s">
        <v>13021</v>
      </c>
      <c r="X932" t="s">
        <v>13022</v>
      </c>
      <c r="Y932" t="s">
        <v>12648</v>
      </c>
      <c r="Z932" t="s">
        <v>3402</v>
      </c>
      <c r="AA932" t="s">
        <v>8570</v>
      </c>
      <c r="AB932" t="s">
        <v>13023</v>
      </c>
      <c r="AC932" t="s">
        <v>13024</v>
      </c>
      <c r="AD932" t="s">
        <v>13025</v>
      </c>
      <c r="AE932" t="s">
        <v>13026</v>
      </c>
      <c r="AF932" t="s">
        <v>74</v>
      </c>
      <c r="AG932">
        <v>188</v>
      </c>
      <c r="AH932">
        <v>264</v>
      </c>
      <c r="AI932">
        <v>282</v>
      </c>
      <c r="AJ932">
        <v>4</v>
      </c>
      <c r="AK932">
        <v>41</v>
      </c>
      <c r="AL932" t="s">
        <v>122</v>
      </c>
      <c r="AM932" t="s">
        <v>123</v>
      </c>
      <c r="AN932" t="s">
        <v>124</v>
      </c>
      <c r="AO932" t="s">
        <v>258</v>
      </c>
      <c r="AP932" t="s">
        <v>259</v>
      </c>
      <c r="AQ932" t="s">
        <v>74</v>
      </c>
      <c r="AR932" t="s">
        <v>251</v>
      </c>
      <c r="AS932" t="s">
        <v>260</v>
      </c>
      <c r="AT932" t="s">
        <v>13027</v>
      </c>
      <c r="AU932">
        <v>2014</v>
      </c>
      <c r="AV932">
        <v>130</v>
      </c>
      <c r="AW932">
        <v>24</v>
      </c>
      <c r="AX932" t="s">
        <v>74</v>
      </c>
      <c r="AY932" t="s">
        <v>74</v>
      </c>
      <c r="AZ932" t="s">
        <v>74</v>
      </c>
      <c r="BA932" t="s">
        <v>74</v>
      </c>
      <c r="BB932">
        <v>2189</v>
      </c>
      <c r="BC932">
        <v>2208</v>
      </c>
      <c r="BD932" t="s">
        <v>74</v>
      </c>
      <c r="BE932" t="s">
        <v>13028</v>
      </c>
      <c r="BF932" t="str">
        <f>HYPERLINK("http://dx.doi.org/10.1161/CIRCULATIONAHA.114.006974","http://dx.doi.org/10.1161/CIRCULATIONAHA.114.006974")</f>
        <v>http://dx.doi.org/10.1161/CIRCULATIONAHA.114.006974</v>
      </c>
      <c r="BG932" t="s">
        <v>74</v>
      </c>
      <c r="BH932" t="s">
        <v>74</v>
      </c>
      <c r="BI932">
        <v>20</v>
      </c>
      <c r="BJ932" t="s">
        <v>263</v>
      </c>
      <c r="BK932" t="s">
        <v>101</v>
      </c>
      <c r="BL932" t="s">
        <v>133</v>
      </c>
      <c r="BM932" t="s">
        <v>13029</v>
      </c>
      <c r="BN932">
        <v>25602947</v>
      </c>
      <c r="BO932" t="s">
        <v>74</v>
      </c>
      <c r="BP932" t="s">
        <v>1155</v>
      </c>
      <c r="BQ932" t="s">
        <v>1156</v>
      </c>
      <c r="BR932" t="s">
        <v>104</v>
      </c>
      <c r="BS932" t="s">
        <v>13030</v>
      </c>
      <c r="BT932" t="str">
        <f>HYPERLINK("https%3A%2F%2Fwww.webofscience.com%2Fwos%2Fwoscc%2Ffull-record%2FWOS:000346141900017","View Full Record in Web of Science")</f>
        <v>View Full Record in Web of Science</v>
      </c>
    </row>
    <row r="933" spans="1:72" x14ac:dyDescent="0.25">
      <c r="A933" t="s">
        <v>72</v>
      </c>
      <c r="B933" t="s">
        <v>13031</v>
      </c>
      <c r="C933" t="s">
        <v>74</v>
      </c>
      <c r="D933" t="s">
        <v>74</v>
      </c>
      <c r="E933" t="s">
        <v>74</v>
      </c>
      <c r="F933" t="s">
        <v>13032</v>
      </c>
      <c r="G933" t="s">
        <v>74</v>
      </c>
      <c r="H933" t="s">
        <v>74</v>
      </c>
      <c r="I933" t="s">
        <v>13033</v>
      </c>
      <c r="J933" t="s">
        <v>1529</v>
      </c>
      <c r="K933" t="s">
        <v>74</v>
      </c>
      <c r="L933" t="s">
        <v>74</v>
      </c>
      <c r="M933" t="s">
        <v>1349</v>
      </c>
      <c r="N933" t="s">
        <v>140</v>
      </c>
      <c r="O933" t="s">
        <v>74</v>
      </c>
      <c r="P933" t="s">
        <v>74</v>
      </c>
      <c r="Q933" t="s">
        <v>74</v>
      </c>
      <c r="R933" t="s">
        <v>74</v>
      </c>
      <c r="S933" t="s">
        <v>74</v>
      </c>
      <c r="T933" t="s">
        <v>74</v>
      </c>
      <c r="U933" t="s">
        <v>13034</v>
      </c>
      <c r="V933" t="s">
        <v>74</v>
      </c>
      <c r="W933" t="s">
        <v>13035</v>
      </c>
      <c r="X933" t="s">
        <v>13036</v>
      </c>
      <c r="Y933" t="s">
        <v>13037</v>
      </c>
      <c r="Z933" t="s">
        <v>13038</v>
      </c>
      <c r="AA933" t="s">
        <v>13039</v>
      </c>
      <c r="AB933" t="s">
        <v>13040</v>
      </c>
      <c r="AC933" t="s">
        <v>74</v>
      </c>
      <c r="AD933" t="s">
        <v>74</v>
      </c>
      <c r="AE933" t="s">
        <v>74</v>
      </c>
      <c r="AF933" t="s">
        <v>74</v>
      </c>
      <c r="AG933">
        <v>22</v>
      </c>
      <c r="AH933">
        <v>0</v>
      </c>
      <c r="AI933">
        <v>0</v>
      </c>
      <c r="AJ933">
        <v>0</v>
      </c>
      <c r="AK933">
        <v>6</v>
      </c>
      <c r="AL933" t="s">
        <v>1358</v>
      </c>
      <c r="AM933" t="s">
        <v>1359</v>
      </c>
      <c r="AN933" t="s">
        <v>1360</v>
      </c>
      <c r="AO933" t="s">
        <v>1533</v>
      </c>
      <c r="AP933" t="s">
        <v>1534</v>
      </c>
      <c r="AQ933" t="s">
        <v>74</v>
      </c>
      <c r="AR933" t="s">
        <v>1535</v>
      </c>
      <c r="AS933" t="s">
        <v>1536</v>
      </c>
      <c r="AT933" t="s">
        <v>226</v>
      </c>
      <c r="AU933">
        <v>2014</v>
      </c>
      <c r="AV933">
        <v>43</v>
      </c>
      <c r="AW933">
        <v>12</v>
      </c>
      <c r="AX933">
        <v>1</v>
      </c>
      <c r="AY933" t="s">
        <v>74</v>
      </c>
      <c r="AZ933" t="s">
        <v>74</v>
      </c>
      <c r="BA933" t="s">
        <v>74</v>
      </c>
      <c r="BB933">
        <v>1334</v>
      </c>
      <c r="BC933">
        <v>1336</v>
      </c>
      <c r="BD933" t="s">
        <v>74</v>
      </c>
      <c r="BE933" t="s">
        <v>13041</v>
      </c>
      <c r="BF933" t="str">
        <f>HYPERLINK("http://dx.doi.org/10.1016/j.lpm.2014.09.007","http://dx.doi.org/10.1016/j.lpm.2014.09.007")</f>
        <v>http://dx.doi.org/10.1016/j.lpm.2014.09.007</v>
      </c>
      <c r="BG933" t="s">
        <v>74</v>
      </c>
      <c r="BH933" t="s">
        <v>74</v>
      </c>
      <c r="BI933">
        <v>3</v>
      </c>
      <c r="BJ933" t="s">
        <v>1152</v>
      </c>
      <c r="BK933" t="s">
        <v>101</v>
      </c>
      <c r="BL933" t="s">
        <v>1153</v>
      </c>
      <c r="BM933" t="s">
        <v>13042</v>
      </c>
      <c r="BN933">
        <v>25455632</v>
      </c>
      <c r="BO933" t="s">
        <v>161</v>
      </c>
      <c r="BP933" t="s">
        <v>74</v>
      </c>
      <c r="BQ933" t="s">
        <v>74</v>
      </c>
      <c r="BR933" t="s">
        <v>104</v>
      </c>
      <c r="BS933" t="s">
        <v>13043</v>
      </c>
      <c r="BT933" t="str">
        <f>HYPERLINK("https%3A%2F%2Fwww.webofscience.com%2Fwos%2Fwoscc%2Ffull-record%2FWOS:000346510400007","View Full Record in Web of Science")</f>
        <v>View Full Record in Web of Science</v>
      </c>
    </row>
    <row r="934" spans="1:72" x14ac:dyDescent="0.25">
      <c r="A934" t="s">
        <v>72</v>
      </c>
      <c r="B934" t="s">
        <v>13044</v>
      </c>
      <c r="C934" t="s">
        <v>74</v>
      </c>
      <c r="D934" t="s">
        <v>74</v>
      </c>
      <c r="E934" t="s">
        <v>74</v>
      </c>
      <c r="F934" t="s">
        <v>11911</v>
      </c>
      <c r="G934" t="s">
        <v>74</v>
      </c>
      <c r="H934" t="s">
        <v>74</v>
      </c>
      <c r="I934" t="s">
        <v>11902</v>
      </c>
      <c r="J934" t="s">
        <v>216</v>
      </c>
      <c r="K934" t="s">
        <v>74</v>
      </c>
      <c r="L934" t="s">
        <v>74</v>
      </c>
      <c r="M934" t="s">
        <v>78</v>
      </c>
      <c r="N934" t="s">
        <v>79</v>
      </c>
      <c r="O934" t="s">
        <v>74</v>
      </c>
      <c r="P934" t="s">
        <v>74</v>
      </c>
      <c r="Q934" t="s">
        <v>74</v>
      </c>
      <c r="R934" t="s">
        <v>74</v>
      </c>
      <c r="S934" t="s">
        <v>74</v>
      </c>
      <c r="T934" t="s">
        <v>74</v>
      </c>
      <c r="U934" t="s">
        <v>13045</v>
      </c>
      <c r="V934" t="s">
        <v>13046</v>
      </c>
      <c r="W934" t="s">
        <v>13047</v>
      </c>
      <c r="X934" t="s">
        <v>13048</v>
      </c>
      <c r="Y934" t="s">
        <v>13049</v>
      </c>
      <c r="Z934" t="s">
        <v>9405</v>
      </c>
      <c r="AA934" t="s">
        <v>13050</v>
      </c>
      <c r="AB934" t="s">
        <v>13051</v>
      </c>
      <c r="AC934" t="s">
        <v>8601</v>
      </c>
      <c r="AD934" t="s">
        <v>8602</v>
      </c>
      <c r="AE934" t="s">
        <v>13052</v>
      </c>
      <c r="AF934" t="s">
        <v>74</v>
      </c>
      <c r="AG934">
        <v>34</v>
      </c>
      <c r="AH934">
        <v>74</v>
      </c>
      <c r="AI934">
        <v>78</v>
      </c>
      <c r="AJ934">
        <v>0</v>
      </c>
      <c r="AK934">
        <v>3</v>
      </c>
      <c r="AL934" t="s">
        <v>219</v>
      </c>
      <c r="AM934" t="s">
        <v>220</v>
      </c>
      <c r="AN934" t="s">
        <v>221</v>
      </c>
      <c r="AO934" t="s">
        <v>222</v>
      </c>
      <c r="AP934" t="s">
        <v>223</v>
      </c>
      <c r="AQ934" t="s">
        <v>74</v>
      </c>
      <c r="AR934" t="s">
        <v>224</v>
      </c>
      <c r="AS934" t="s">
        <v>225</v>
      </c>
      <c r="AT934" t="s">
        <v>226</v>
      </c>
      <c r="AU934">
        <v>2014</v>
      </c>
      <c r="AV934">
        <v>44</v>
      </c>
      <c r="AW934">
        <v>6</v>
      </c>
      <c r="AX934" t="s">
        <v>74</v>
      </c>
      <c r="AY934" t="s">
        <v>74</v>
      </c>
      <c r="AZ934" t="s">
        <v>74</v>
      </c>
      <c r="BA934" t="s">
        <v>74</v>
      </c>
      <c r="BB934">
        <v>1627</v>
      </c>
      <c r="BC934">
        <v>1634</v>
      </c>
      <c r="BD934" t="s">
        <v>74</v>
      </c>
      <c r="BE934" t="s">
        <v>13053</v>
      </c>
      <c r="BF934" t="str">
        <f>HYPERLINK("http://dx.doi.org/10.1183/09031936.00057914","http://dx.doi.org/10.1183/09031936.00057914")</f>
        <v>http://dx.doi.org/10.1183/09031936.00057914</v>
      </c>
      <c r="BG934" t="s">
        <v>74</v>
      </c>
      <c r="BH934" t="s">
        <v>74</v>
      </c>
      <c r="BI934">
        <v>8</v>
      </c>
      <c r="BJ934" t="s">
        <v>228</v>
      </c>
      <c r="BK934" t="s">
        <v>101</v>
      </c>
      <c r="BL934" t="s">
        <v>228</v>
      </c>
      <c r="BM934" t="s">
        <v>13054</v>
      </c>
      <c r="BN934">
        <v>25323231</v>
      </c>
      <c r="BO934" t="s">
        <v>74</v>
      </c>
      <c r="BP934" t="s">
        <v>74</v>
      </c>
      <c r="BQ934" t="s">
        <v>74</v>
      </c>
      <c r="BR934" t="s">
        <v>104</v>
      </c>
      <c r="BS934" t="s">
        <v>13055</v>
      </c>
      <c r="BT934" t="str">
        <f>HYPERLINK("https%3A%2F%2Fwww.webofscience.com%2Fwos%2Fwoscc%2Ffull-record%2FWOS:000347267500025","View Full Record in Web of Science")</f>
        <v>View Full Record in Web of Science</v>
      </c>
    </row>
    <row r="935" spans="1:72" x14ac:dyDescent="0.25">
      <c r="A935" t="s">
        <v>72</v>
      </c>
      <c r="B935" t="s">
        <v>13056</v>
      </c>
      <c r="C935" t="s">
        <v>74</v>
      </c>
      <c r="D935" t="s">
        <v>74</v>
      </c>
      <c r="E935" t="s">
        <v>74</v>
      </c>
      <c r="F935" t="s">
        <v>13057</v>
      </c>
      <c r="G935" t="s">
        <v>74</v>
      </c>
      <c r="H935" t="s">
        <v>74</v>
      </c>
      <c r="I935" t="s">
        <v>13058</v>
      </c>
      <c r="J935" t="s">
        <v>251</v>
      </c>
      <c r="K935" t="s">
        <v>74</v>
      </c>
      <c r="L935" t="s">
        <v>74</v>
      </c>
      <c r="M935" t="s">
        <v>78</v>
      </c>
      <c r="N935" t="s">
        <v>52</v>
      </c>
      <c r="O935" t="s">
        <v>74</v>
      </c>
      <c r="P935" t="s">
        <v>74</v>
      </c>
      <c r="Q935" t="s">
        <v>74</v>
      </c>
      <c r="R935" t="s">
        <v>74</v>
      </c>
      <c r="S935" t="s">
        <v>74</v>
      </c>
      <c r="T935" t="s">
        <v>13059</v>
      </c>
      <c r="U935" t="s">
        <v>74</v>
      </c>
      <c r="V935" t="s">
        <v>74</v>
      </c>
      <c r="W935" t="s">
        <v>74</v>
      </c>
      <c r="X935" t="s">
        <v>74</v>
      </c>
      <c r="Y935" t="s">
        <v>74</v>
      </c>
      <c r="Z935" t="s">
        <v>74</v>
      </c>
      <c r="AA935" t="s">
        <v>5335</v>
      </c>
      <c r="AB935" t="s">
        <v>74</v>
      </c>
      <c r="AC935" t="s">
        <v>74</v>
      </c>
      <c r="AD935" t="s">
        <v>74</v>
      </c>
      <c r="AE935" t="s">
        <v>74</v>
      </c>
      <c r="AF935" t="s">
        <v>74</v>
      </c>
      <c r="AG935">
        <v>0</v>
      </c>
      <c r="AH935">
        <v>0</v>
      </c>
      <c r="AI935">
        <v>0</v>
      </c>
      <c r="AJ935">
        <v>0</v>
      </c>
      <c r="AK935">
        <v>0</v>
      </c>
      <c r="AL935" t="s">
        <v>122</v>
      </c>
      <c r="AM935" t="s">
        <v>123</v>
      </c>
      <c r="AN935" t="s">
        <v>124</v>
      </c>
      <c r="AO935" t="s">
        <v>258</v>
      </c>
      <c r="AP935" t="s">
        <v>259</v>
      </c>
      <c r="AQ935" t="s">
        <v>74</v>
      </c>
      <c r="AR935" t="s">
        <v>251</v>
      </c>
      <c r="AS935" t="s">
        <v>260</v>
      </c>
      <c r="AT935" t="s">
        <v>13060</v>
      </c>
      <c r="AU935">
        <v>2014</v>
      </c>
      <c r="AV935">
        <v>130</v>
      </c>
      <c r="AW935" t="s">
        <v>74</v>
      </c>
      <c r="AX935" t="s">
        <v>74</v>
      </c>
      <c r="AY935">
        <v>2</v>
      </c>
      <c r="AZ935" t="s">
        <v>74</v>
      </c>
      <c r="BA935">
        <v>20039</v>
      </c>
      <c r="BB935" t="s">
        <v>74</v>
      </c>
      <c r="BC935" t="s">
        <v>74</v>
      </c>
      <c r="BD935" t="s">
        <v>74</v>
      </c>
      <c r="BE935" t="s">
        <v>74</v>
      </c>
      <c r="BF935" t="s">
        <v>74</v>
      </c>
      <c r="BG935" t="s">
        <v>74</v>
      </c>
      <c r="BH935" t="s">
        <v>74</v>
      </c>
      <c r="BI935">
        <v>2</v>
      </c>
      <c r="BJ935" t="s">
        <v>263</v>
      </c>
      <c r="BK935" t="s">
        <v>101</v>
      </c>
      <c r="BL935" t="s">
        <v>133</v>
      </c>
      <c r="BM935" t="s">
        <v>13061</v>
      </c>
      <c r="BN935" t="s">
        <v>74</v>
      </c>
      <c r="BO935" t="s">
        <v>74</v>
      </c>
      <c r="BP935" t="s">
        <v>74</v>
      </c>
      <c r="BQ935" t="s">
        <v>74</v>
      </c>
      <c r="BR935" t="s">
        <v>104</v>
      </c>
      <c r="BS935" t="s">
        <v>13062</v>
      </c>
      <c r="BT935" t="str">
        <f>HYPERLINK("https%3A%2F%2Fwww.webofscience.com%2Fwos%2Fwoscc%2Ffull-record%2FWOS:000209800306098","View Full Record in Web of Science")</f>
        <v>View Full Record in Web of Science</v>
      </c>
    </row>
    <row r="936" spans="1:72" x14ac:dyDescent="0.25">
      <c r="A936" t="s">
        <v>72</v>
      </c>
      <c r="B936" t="s">
        <v>13063</v>
      </c>
      <c r="C936" t="s">
        <v>74</v>
      </c>
      <c r="D936" t="s">
        <v>74</v>
      </c>
      <c r="E936" t="s">
        <v>74</v>
      </c>
      <c r="F936" t="s">
        <v>13064</v>
      </c>
      <c r="G936" t="s">
        <v>74</v>
      </c>
      <c r="H936" t="s">
        <v>74</v>
      </c>
      <c r="I936" t="s">
        <v>13065</v>
      </c>
      <c r="J936" t="s">
        <v>251</v>
      </c>
      <c r="K936" t="s">
        <v>74</v>
      </c>
      <c r="L936" t="s">
        <v>74</v>
      </c>
      <c r="M936" t="s">
        <v>78</v>
      </c>
      <c r="N936" t="s">
        <v>52</v>
      </c>
      <c r="O936" t="s">
        <v>74</v>
      </c>
      <c r="P936" t="s">
        <v>74</v>
      </c>
      <c r="Q936" t="s">
        <v>74</v>
      </c>
      <c r="R936" t="s">
        <v>74</v>
      </c>
      <c r="S936" t="s">
        <v>74</v>
      </c>
      <c r="T936" t="s">
        <v>13066</v>
      </c>
      <c r="U936" t="s">
        <v>74</v>
      </c>
      <c r="V936" t="s">
        <v>74</v>
      </c>
      <c r="W936" t="s">
        <v>74</v>
      </c>
      <c r="X936" t="s">
        <v>74</v>
      </c>
      <c r="Y936" t="s">
        <v>74</v>
      </c>
      <c r="Z936" t="s">
        <v>74</v>
      </c>
      <c r="AA936" t="s">
        <v>13067</v>
      </c>
      <c r="AB936" t="s">
        <v>13068</v>
      </c>
      <c r="AC936" t="s">
        <v>74</v>
      </c>
      <c r="AD936" t="s">
        <v>74</v>
      </c>
      <c r="AE936" t="s">
        <v>74</v>
      </c>
      <c r="AF936" t="s">
        <v>74</v>
      </c>
      <c r="AG936">
        <v>0</v>
      </c>
      <c r="AH936">
        <v>0</v>
      </c>
      <c r="AI936">
        <v>0</v>
      </c>
      <c r="AJ936">
        <v>0</v>
      </c>
      <c r="AK936">
        <v>0</v>
      </c>
      <c r="AL936" t="s">
        <v>122</v>
      </c>
      <c r="AM936" t="s">
        <v>123</v>
      </c>
      <c r="AN936" t="s">
        <v>124</v>
      </c>
      <c r="AO936" t="s">
        <v>258</v>
      </c>
      <c r="AP936" t="s">
        <v>259</v>
      </c>
      <c r="AQ936" t="s">
        <v>74</v>
      </c>
      <c r="AR936" t="s">
        <v>251</v>
      </c>
      <c r="AS936" t="s">
        <v>260</v>
      </c>
      <c r="AT936" t="s">
        <v>13060</v>
      </c>
      <c r="AU936">
        <v>2014</v>
      </c>
      <c r="AV936">
        <v>130</v>
      </c>
      <c r="AW936" t="s">
        <v>74</v>
      </c>
      <c r="AX936" t="s">
        <v>74</v>
      </c>
      <c r="AY936">
        <v>2</v>
      </c>
      <c r="AZ936" t="s">
        <v>74</v>
      </c>
      <c r="BA936">
        <v>19887</v>
      </c>
      <c r="BB936" t="s">
        <v>74</v>
      </c>
      <c r="BC936" t="s">
        <v>74</v>
      </c>
      <c r="BD936" t="s">
        <v>74</v>
      </c>
      <c r="BE936" t="s">
        <v>74</v>
      </c>
      <c r="BF936" t="s">
        <v>74</v>
      </c>
      <c r="BG936" t="s">
        <v>74</v>
      </c>
      <c r="BH936" t="s">
        <v>74</v>
      </c>
      <c r="BI936">
        <v>2</v>
      </c>
      <c r="BJ936" t="s">
        <v>263</v>
      </c>
      <c r="BK936" t="s">
        <v>101</v>
      </c>
      <c r="BL936" t="s">
        <v>133</v>
      </c>
      <c r="BM936" t="s">
        <v>13061</v>
      </c>
      <c r="BN936" t="s">
        <v>74</v>
      </c>
      <c r="BO936" t="s">
        <v>74</v>
      </c>
      <c r="BP936" t="s">
        <v>74</v>
      </c>
      <c r="BQ936" t="s">
        <v>74</v>
      </c>
      <c r="BR936" t="s">
        <v>104</v>
      </c>
      <c r="BS936" t="s">
        <v>13069</v>
      </c>
      <c r="BT936" t="str">
        <f>HYPERLINK("https%3A%2F%2Fwww.webofscience.com%2Fwos%2Fwoscc%2Ffull-record%2FWOS:000209800306105","View Full Record in Web of Science")</f>
        <v>View Full Record in Web of Science</v>
      </c>
    </row>
    <row r="937" spans="1:72" x14ac:dyDescent="0.25">
      <c r="A937" t="s">
        <v>72</v>
      </c>
      <c r="B937" t="s">
        <v>13070</v>
      </c>
      <c r="C937" t="s">
        <v>74</v>
      </c>
      <c r="D937" t="s">
        <v>74</v>
      </c>
      <c r="E937" t="s">
        <v>74</v>
      </c>
      <c r="F937" t="s">
        <v>13071</v>
      </c>
      <c r="G937" t="s">
        <v>74</v>
      </c>
      <c r="H937" t="s">
        <v>74</v>
      </c>
      <c r="I937" t="s">
        <v>13072</v>
      </c>
      <c r="J937" t="s">
        <v>1068</v>
      </c>
      <c r="K937" t="s">
        <v>74</v>
      </c>
      <c r="L937" t="s">
        <v>74</v>
      </c>
      <c r="M937" t="s">
        <v>78</v>
      </c>
      <c r="N937" t="s">
        <v>79</v>
      </c>
      <c r="O937" t="s">
        <v>74</v>
      </c>
      <c r="P937" t="s">
        <v>74</v>
      </c>
      <c r="Q937" t="s">
        <v>74</v>
      </c>
      <c r="R937" t="s">
        <v>74</v>
      </c>
      <c r="S937" t="s">
        <v>74</v>
      </c>
      <c r="T937" t="s">
        <v>13073</v>
      </c>
      <c r="U937" t="s">
        <v>13074</v>
      </c>
      <c r="V937" t="s">
        <v>74</v>
      </c>
      <c r="W937" t="s">
        <v>74</v>
      </c>
      <c r="X937" t="s">
        <v>74</v>
      </c>
      <c r="Y937" t="s">
        <v>74</v>
      </c>
      <c r="Z937" t="s">
        <v>74</v>
      </c>
      <c r="AA937" t="s">
        <v>13075</v>
      </c>
      <c r="AB937" t="s">
        <v>13076</v>
      </c>
      <c r="AC937" t="s">
        <v>74</v>
      </c>
      <c r="AD937" t="s">
        <v>74</v>
      </c>
      <c r="AE937" t="s">
        <v>74</v>
      </c>
      <c r="AF937" t="s">
        <v>74</v>
      </c>
      <c r="AG937">
        <v>471</v>
      </c>
      <c r="AH937">
        <v>2353</v>
      </c>
      <c r="AI937">
        <v>2605</v>
      </c>
      <c r="AJ937">
        <v>6</v>
      </c>
      <c r="AK937">
        <v>189</v>
      </c>
      <c r="AL937" t="s">
        <v>1073</v>
      </c>
      <c r="AM937" t="s">
        <v>1074</v>
      </c>
      <c r="AN937" t="s">
        <v>1075</v>
      </c>
      <c r="AO937" t="s">
        <v>1076</v>
      </c>
      <c r="AP937" t="s">
        <v>1077</v>
      </c>
      <c r="AQ937" t="s">
        <v>74</v>
      </c>
      <c r="AR937" t="s">
        <v>1078</v>
      </c>
      <c r="AS937" t="s">
        <v>1079</v>
      </c>
      <c r="AT937" t="s">
        <v>9463</v>
      </c>
      <c r="AU937">
        <v>2014</v>
      </c>
      <c r="AV937">
        <v>35</v>
      </c>
      <c r="AW937">
        <v>43</v>
      </c>
      <c r="AX937" t="s">
        <v>74</v>
      </c>
      <c r="AY937" t="s">
        <v>74</v>
      </c>
      <c r="AZ937" t="s">
        <v>74</v>
      </c>
      <c r="BA937" t="s">
        <v>74</v>
      </c>
      <c r="BB937">
        <v>3033</v>
      </c>
      <c r="BC937">
        <v>3080</v>
      </c>
      <c r="BD937" t="s">
        <v>74</v>
      </c>
      <c r="BE937" t="s">
        <v>13077</v>
      </c>
      <c r="BF937" t="str">
        <f>HYPERLINK("http://dx.doi.org/10.1093/eurheartj/ehu283","http://dx.doi.org/10.1093/eurheartj/ehu283")</f>
        <v>http://dx.doi.org/10.1093/eurheartj/ehu283</v>
      </c>
      <c r="BG937" t="s">
        <v>74</v>
      </c>
      <c r="BH937" t="s">
        <v>74</v>
      </c>
      <c r="BI937">
        <v>48</v>
      </c>
      <c r="BJ937" t="s">
        <v>132</v>
      </c>
      <c r="BK937" t="s">
        <v>101</v>
      </c>
      <c r="BL937" t="s">
        <v>133</v>
      </c>
      <c r="BM937" t="s">
        <v>13078</v>
      </c>
      <c r="BN937">
        <v>25173341</v>
      </c>
      <c r="BO937" t="s">
        <v>13079</v>
      </c>
      <c r="BP937" t="s">
        <v>1155</v>
      </c>
      <c r="BQ937" t="s">
        <v>1156</v>
      </c>
      <c r="BR937" t="s">
        <v>104</v>
      </c>
      <c r="BS937" t="s">
        <v>13080</v>
      </c>
      <c r="BT937" t="str">
        <f>HYPERLINK("https%3A%2F%2Fwww.webofscience.com%2Fwos%2Fwoscc%2Ffull-record%2FWOS:000345376900014","View Full Record in Web of Science")</f>
        <v>View Full Record in Web of Science</v>
      </c>
    </row>
    <row r="938" spans="1:72" x14ac:dyDescent="0.25">
      <c r="A938" t="s">
        <v>72</v>
      </c>
      <c r="B938" t="s">
        <v>13081</v>
      </c>
      <c r="C938" t="s">
        <v>74</v>
      </c>
      <c r="D938" t="s">
        <v>74</v>
      </c>
      <c r="E938" t="s">
        <v>74</v>
      </c>
      <c r="F938" t="s">
        <v>13082</v>
      </c>
      <c r="G938" t="s">
        <v>74</v>
      </c>
      <c r="H938" t="s">
        <v>74</v>
      </c>
      <c r="I938" t="s">
        <v>13083</v>
      </c>
      <c r="J938" t="s">
        <v>216</v>
      </c>
      <c r="K938" t="s">
        <v>74</v>
      </c>
      <c r="L938" t="s">
        <v>74</v>
      </c>
      <c r="M938" t="s">
        <v>78</v>
      </c>
      <c r="N938" t="s">
        <v>79</v>
      </c>
      <c r="O938" t="s">
        <v>74</v>
      </c>
      <c r="P938" t="s">
        <v>74</v>
      </c>
      <c r="Q938" t="s">
        <v>74</v>
      </c>
      <c r="R938" t="s">
        <v>74</v>
      </c>
      <c r="S938" t="s">
        <v>74</v>
      </c>
      <c r="T938" t="s">
        <v>74</v>
      </c>
      <c r="U938" t="s">
        <v>13084</v>
      </c>
      <c r="V938" t="s">
        <v>13085</v>
      </c>
      <c r="W938" t="s">
        <v>13086</v>
      </c>
      <c r="X938" t="s">
        <v>13087</v>
      </c>
      <c r="Y938" t="s">
        <v>13088</v>
      </c>
      <c r="Z938" t="s">
        <v>8881</v>
      </c>
      <c r="AA938" t="s">
        <v>13089</v>
      </c>
      <c r="AB938" t="s">
        <v>13090</v>
      </c>
      <c r="AC938" t="s">
        <v>74</v>
      </c>
      <c r="AD938" t="s">
        <v>74</v>
      </c>
      <c r="AE938" t="s">
        <v>74</v>
      </c>
      <c r="AF938" t="s">
        <v>74</v>
      </c>
      <c r="AG938">
        <v>37</v>
      </c>
      <c r="AH938">
        <v>179</v>
      </c>
      <c r="AI938">
        <v>193</v>
      </c>
      <c r="AJ938">
        <v>1</v>
      </c>
      <c r="AK938">
        <v>7</v>
      </c>
      <c r="AL938" t="s">
        <v>219</v>
      </c>
      <c r="AM938" t="s">
        <v>220</v>
      </c>
      <c r="AN938" t="s">
        <v>221</v>
      </c>
      <c r="AO938" t="s">
        <v>222</v>
      </c>
      <c r="AP938" t="s">
        <v>223</v>
      </c>
      <c r="AQ938" t="s">
        <v>74</v>
      </c>
      <c r="AR938" t="s">
        <v>224</v>
      </c>
      <c r="AS938" t="s">
        <v>225</v>
      </c>
      <c r="AT938" t="s">
        <v>315</v>
      </c>
      <c r="AU938">
        <v>2014</v>
      </c>
      <c r="AV938">
        <v>44</v>
      </c>
      <c r="AW938">
        <v>5</v>
      </c>
      <c r="AX938" t="s">
        <v>74</v>
      </c>
      <c r="AY938" t="s">
        <v>74</v>
      </c>
      <c r="AZ938" t="s">
        <v>74</v>
      </c>
      <c r="BA938" t="s">
        <v>74</v>
      </c>
      <c r="BB938">
        <v>1275</v>
      </c>
      <c r="BC938">
        <v>1288</v>
      </c>
      <c r="BD938" t="s">
        <v>74</v>
      </c>
      <c r="BE938" t="s">
        <v>13091</v>
      </c>
      <c r="BF938" t="str">
        <f>HYPERLINK("http://dx.doi.org/10.1183/09031936.00169113","http://dx.doi.org/10.1183/09031936.00169113")</f>
        <v>http://dx.doi.org/10.1183/09031936.00169113</v>
      </c>
      <c r="BG938" t="s">
        <v>74</v>
      </c>
      <c r="BH938" t="s">
        <v>74</v>
      </c>
      <c r="BI938">
        <v>14</v>
      </c>
      <c r="BJ938" t="s">
        <v>228</v>
      </c>
      <c r="BK938" t="s">
        <v>101</v>
      </c>
      <c r="BL938" t="s">
        <v>228</v>
      </c>
      <c r="BM938" t="s">
        <v>13092</v>
      </c>
      <c r="BN938">
        <v>25142477</v>
      </c>
      <c r="BO938" t="s">
        <v>1194</v>
      </c>
      <c r="BP938" t="s">
        <v>74</v>
      </c>
      <c r="BQ938" t="s">
        <v>74</v>
      </c>
      <c r="BR938" t="s">
        <v>104</v>
      </c>
      <c r="BS938" t="s">
        <v>13093</v>
      </c>
      <c r="BT938" t="str">
        <f>HYPERLINK("https%3A%2F%2Fwww.webofscience.com%2Fwos%2Fwoscc%2Ffull-record%2FWOS:000344909100024","View Full Record in Web of Science")</f>
        <v>View Full Record in Web of Science</v>
      </c>
    </row>
    <row r="939" spans="1:72" x14ac:dyDescent="0.25">
      <c r="A939" t="s">
        <v>72</v>
      </c>
      <c r="B939" t="s">
        <v>13094</v>
      </c>
      <c r="C939" t="s">
        <v>74</v>
      </c>
      <c r="D939" t="s">
        <v>74</v>
      </c>
      <c r="E939" t="s">
        <v>74</v>
      </c>
      <c r="F939" t="s">
        <v>13095</v>
      </c>
      <c r="G939" t="s">
        <v>74</v>
      </c>
      <c r="H939" t="s">
        <v>74</v>
      </c>
      <c r="I939" t="s">
        <v>13096</v>
      </c>
      <c r="J939" t="s">
        <v>13097</v>
      </c>
      <c r="K939" t="s">
        <v>74</v>
      </c>
      <c r="L939" t="s">
        <v>74</v>
      </c>
      <c r="M939" t="s">
        <v>78</v>
      </c>
      <c r="N939" t="s">
        <v>79</v>
      </c>
      <c r="O939" t="s">
        <v>74</v>
      </c>
      <c r="P939" t="s">
        <v>74</v>
      </c>
      <c r="Q939" t="s">
        <v>74</v>
      </c>
      <c r="R939" t="s">
        <v>74</v>
      </c>
      <c r="S939" t="s">
        <v>74</v>
      </c>
      <c r="T939" t="s">
        <v>13098</v>
      </c>
      <c r="U939" t="s">
        <v>13099</v>
      </c>
      <c r="V939" t="s">
        <v>13100</v>
      </c>
      <c r="W939" t="s">
        <v>13101</v>
      </c>
      <c r="X939" t="s">
        <v>13102</v>
      </c>
      <c r="Y939" t="s">
        <v>13103</v>
      </c>
      <c r="Z939" t="s">
        <v>13104</v>
      </c>
      <c r="AA939" t="s">
        <v>13105</v>
      </c>
      <c r="AB939" t="s">
        <v>13106</v>
      </c>
      <c r="AC939" t="s">
        <v>13107</v>
      </c>
      <c r="AD939" t="s">
        <v>13107</v>
      </c>
      <c r="AE939" t="s">
        <v>13108</v>
      </c>
      <c r="AF939" t="s">
        <v>74</v>
      </c>
      <c r="AG939">
        <v>50</v>
      </c>
      <c r="AH939">
        <v>31</v>
      </c>
      <c r="AI939">
        <v>36</v>
      </c>
      <c r="AJ939">
        <v>0</v>
      </c>
      <c r="AK939">
        <v>12</v>
      </c>
      <c r="AL939" t="s">
        <v>4990</v>
      </c>
      <c r="AM939" t="s">
        <v>4991</v>
      </c>
      <c r="AN939" t="s">
        <v>4992</v>
      </c>
      <c r="AO939" t="s">
        <v>13109</v>
      </c>
      <c r="AP939" t="s">
        <v>13110</v>
      </c>
      <c r="AQ939" t="s">
        <v>74</v>
      </c>
      <c r="AR939" t="s">
        <v>13111</v>
      </c>
      <c r="AS939" t="s">
        <v>13112</v>
      </c>
      <c r="AT939" t="s">
        <v>315</v>
      </c>
      <c r="AU939">
        <v>2014</v>
      </c>
      <c r="AV939">
        <v>112</v>
      </c>
      <c r="AW939">
        <v>5</v>
      </c>
      <c r="AX939" t="s">
        <v>74</v>
      </c>
      <c r="AY939" t="s">
        <v>74</v>
      </c>
      <c r="AZ939" t="s">
        <v>74</v>
      </c>
      <c r="BA939" t="s">
        <v>74</v>
      </c>
      <c r="BB939">
        <v>1002</v>
      </c>
      <c r="BC939">
        <v>1013</v>
      </c>
      <c r="BD939" t="s">
        <v>74</v>
      </c>
      <c r="BE939" t="s">
        <v>13113</v>
      </c>
      <c r="BF939" t="str">
        <f>HYPERLINK("http://dx.doi.org/10.1160/TH13-08-0711","http://dx.doi.org/10.1160/TH13-08-0711")</f>
        <v>http://dx.doi.org/10.1160/TH13-08-0711</v>
      </c>
      <c r="BG939" t="s">
        <v>74</v>
      </c>
      <c r="BH939" t="s">
        <v>74</v>
      </c>
      <c r="BI939">
        <v>12</v>
      </c>
      <c r="BJ939" t="s">
        <v>6635</v>
      </c>
      <c r="BK939" t="s">
        <v>101</v>
      </c>
      <c r="BL939" t="s">
        <v>6636</v>
      </c>
      <c r="BM939" t="s">
        <v>13114</v>
      </c>
      <c r="BN939">
        <v>25103869</v>
      </c>
      <c r="BO939" t="s">
        <v>4589</v>
      </c>
      <c r="BP939" t="s">
        <v>74</v>
      </c>
      <c r="BQ939" t="s">
        <v>74</v>
      </c>
      <c r="BR939" t="s">
        <v>104</v>
      </c>
      <c r="BS939" t="s">
        <v>13115</v>
      </c>
      <c r="BT939" t="str">
        <f>HYPERLINK("https%3A%2F%2Fwww.webofscience.com%2Fwos%2Fwoscc%2Ffull-record%2FWOS:000344633700023","View Full Record in Web of Science")</f>
        <v>View Full Record in Web of Science</v>
      </c>
    </row>
    <row r="940" spans="1:72" x14ac:dyDescent="0.25">
      <c r="A940" t="s">
        <v>72</v>
      </c>
      <c r="B940" t="s">
        <v>13116</v>
      </c>
      <c r="C940" t="s">
        <v>74</v>
      </c>
      <c r="D940" t="s">
        <v>74</v>
      </c>
      <c r="E940" t="s">
        <v>74</v>
      </c>
      <c r="F940" t="s">
        <v>13117</v>
      </c>
      <c r="G940" t="s">
        <v>74</v>
      </c>
      <c r="H940" t="s">
        <v>13118</v>
      </c>
      <c r="I940" t="s">
        <v>13119</v>
      </c>
      <c r="J940" t="s">
        <v>5456</v>
      </c>
      <c r="K940" t="s">
        <v>74</v>
      </c>
      <c r="L940" t="s">
        <v>74</v>
      </c>
      <c r="M940" t="s">
        <v>78</v>
      </c>
      <c r="N940" t="s">
        <v>79</v>
      </c>
      <c r="O940" t="s">
        <v>74</v>
      </c>
      <c r="P940" t="s">
        <v>74</v>
      </c>
      <c r="Q940" t="s">
        <v>74</v>
      </c>
      <c r="R940" t="s">
        <v>74</v>
      </c>
      <c r="S940" t="s">
        <v>74</v>
      </c>
      <c r="T940" t="s">
        <v>74</v>
      </c>
      <c r="U940" t="s">
        <v>13120</v>
      </c>
      <c r="V940" t="s">
        <v>13121</v>
      </c>
      <c r="W940" t="s">
        <v>13122</v>
      </c>
      <c r="X940" t="s">
        <v>13123</v>
      </c>
      <c r="Y940" t="s">
        <v>13124</v>
      </c>
      <c r="Z940" t="s">
        <v>13125</v>
      </c>
      <c r="AA940" t="s">
        <v>13126</v>
      </c>
      <c r="AB940" t="s">
        <v>13127</v>
      </c>
      <c r="AC940" t="s">
        <v>13128</v>
      </c>
      <c r="AD940" t="s">
        <v>13129</v>
      </c>
      <c r="AE940" t="s">
        <v>13130</v>
      </c>
      <c r="AF940" t="s">
        <v>74</v>
      </c>
      <c r="AG940">
        <v>40</v>
      </c>
      <c r="AH940">
        <v>27</v>
      </c>
      <c r="AI940">
        <v>28</v>
      </c>
      <c r="AJ940">
        <v>0</v>
      </c>
      <c r="AK940">
        <v>20</v>
      </c>
      <c r="AL940" t="s">
        <v>5465</v>
      </c>
      <c r="AM940" t="s">
        <v>5466</v>
      </c>
      <c r="AN940" t="s">
        <v>5467</v>
      </c>
      <c r="AO940" t="s">
        <v>5468</v>
      </c>
      <c r="AP940" t="s">
        <v>74</v>
      </c>
      <c r="AQ940" t="s">
        <v>74</v>
      </c>
      <c r="AR940" t="s">
        <v>5456</v>
      </c>
      <c r="AS940" t="s">
        <v>5469</v>
      </c>
      <c r="AT940" t="s">
        <v>13131</v>
      </c>
      <c r="AU940">
        <v>2014</v>
      </c>
      <c r="AV940">
        <v>9</v>
      </c>
      <c r="AW940">
        <v>10</v>
      </c>
      <c r="AX940" t="s">
        <v>74</v>
      </c>
      <c r="AY940" t="s">
        <v>74</v>
      </c>
      <c r="AZ940" t="s">
        <v>74</v>
      </c>
      <c r="BA940" t="s">
        <v>74</v>
      </c>
      <c r="BB940" t="s">
        <v>74</v>
      </c>
      <c r="BC940" t="s">
        <v>74</v>
      </c>
      <c r="BD940" t="s">
        <v>13132</v>
      </c>
      <c r="BE940" t="s">
        <v>13133</v>
      </c>
      <c r="BF940" t="str">
        <f>HYPERLINK("http://dx.doi.org/10.1371/journal.pone.0109291","http://dx.doi.org/10.1371/journal.pone.0109291")</f>
        <v>http://dx.doi.org/10.1371/journal.pone.0109291</v>
      </c>
      <c r="BG940" t="s">
        <v>74</v>
      </c>
      <c r="BH940" t="s">
        <v>74</v>
      </c>
      <c r="BI940">
        <v>14</v>
      </c>
      <c r="BJ940" t="s">
        <v>290</v>
      </c>
      <c r="BK940" t="s">
        <v>101</v>
      </c>
      <c r="BL940" t="s">
        <v>291</v>
      </c>
      <c r="BM940" t="s">
        <v>13134</v>
      </c>
      <c r="BN940">
        <v>25329529</v>
      </c>
      <c r="BO940" t="s">
        <v>1862</v>
      </c>
      <c r="BP940" t="s">
        <v>74</v>
      </c>
      <c r="BQ940" t="s">
        <v>74</v>
      </c>
      <c r="BR940" t="s">
        <v>104</v>
      </c>
      <c r="BS940" t="s">
        <v>13135</v>
      </c>
      <c r="BT940" t="str">
        <f>HYPERLINK("https%3A%2F%2Fwww.webofscience.com%2Fwos%2Fwoscc%2Ffull-record%2FWOS:000343942100020","View Full Record in Web of Science")</f>
        <v>View Full Record in Web of Science</v>
      </c>
    </row>
    <row r="941" spans="1:72" x14ac:dyDescent="0.25">
      <c r="A941" t="s">
        <v>72</v>
      </c>
      <c r="B941" t="s">
        <v>13136</v>
      </c>
      <c r="C941" t="s">
        <v>74</v>
      </c>
      <c r="D941" t="s">
        <v>74</v>
      </c>
      <c r="E941" t="s">
        <v>74</v>
      </c>
      <c r="F941" t="s">
        <v>13137</v>
      </c>
      <c r="G941" t="s">
        <v>74</v>
      </c>
      <c r="H941" t="s">
        <v>74</v>
      </c>
      <c r="I941" t="s">
        <v>13138</v>
      </c>
      <c r="J941" t="s">
        <v>1529</v>
      </c>
      <c r="K941" t="s">
        <v>74</v>
      </c>
      <c r="L941" t="s">
        <v>74</v>
      </c>
      <c r="M941" t="s">
        <v>78</v>
      </c>
      <c r="N941" t="s">
        <v>299</v>
      </c>
      <c r="O941" t="s">
        <v>74</v>
      </c>
      <c r="P941" t="s">
        <v>74</v>
      </c>
      <c r="Q941" t="s">
        <v>74</v>
      </c>
      <c r="R941" t="s">
        <v>74</v>
      </c>
      <c r="S941" t="s">
        <v>74</v>
      </c>
      <c r="T941" t="s">
        <v>74</v>
      </c>
      <c r="U941" t="s">
        <v>13139</v>
      </c>
      <c r="V941" t="s">
        <v>13140</v>
      </c>
      <c r="W941" t="s">
        <v>13141</v>
      </c>
      <c r="X941" t="s">
        <v>13142</v>
      </c>
      <c r="Y941" t="s">
        <v>13143</v>
      </c>
      <c r="Z941" t="s">
        <v>13144</v>
      </c>
      <c r="AA941" t="s">
        <v>144</v>
      </c>
      <c r="AB941" t="s">
        <v>257</v>
      </c>
      <c r="AC941" t="s">
        <v>74</v>
      </c>
      <c r="AD941" t="s">
        <v>74</v>
      </c>
      <c r="AE941" t="s">
        <v>74</v>
      </c>
      <c r="AF941" t="s">
        <v>74</v>
      </c>
      <c r="AG941">
        <v>152</v>
      </c>
      <c r="AH941">
        <v>24</v>
      </c>
      <c r="AI941">
        <v>25</v>
      </c>
      <c r="AJ941">
        <v>0</v>
      </c>
      <c r="AK941">
        <v>2</v>
      </c>
      <c r="AL941" t="s">
        <v>1358</v>
      </c>
      <c r="AM941" t="s">
        <v>1359</v>
      </c>
      <c r="AN941" t="s">
        <v>1360</v>
      </c>
      <c r="AO941" t="s">
        <v>1533</v>
      </c>
      <c r="AP941" t="s">
        <v>1534</v>
      </c>
      <c r="AQ941" t="s">
        <v>74</v>
      </c>
      <c r="AR941" t="s">
        <v>1535</v>
      </c>
      <c r="AS941" t="s">
        <v>1536</v>
      </c>
      <c r="AT941" t="s">
        <v>420</v>
      </c>
      <c r="AU941">
        <v>2014</v>
      </c>
      <c r="AV941">
        <v>43</v>
      </c>
      <c r="AW941">
        <v>10</v>
      </c>
      <c r="AX941">
        <v>2</v>
      </c>
      <c r="AY941" t="s">
        <v>74</v>
      </c>
      <c r="AZ941" t="s">
        <v>74</v>
      </c>
      <c r="BA941" t="s">
        <v>74</v>
      </c>
      <c r="BB941" t="s">
        <v>13145</v>
      </c>
      <c r="BC941" t="s">
        <v>13146</v>
      </c>
      <c r="BD941" t="s">
        <v>74</v>
      </c>
      <c r="BE941" t="s">
        <v>13147</v>
      </c>
      <c r="BF941" t="str">
        <f>HYPERLINK("http://dx.doi.org/10.1016/j.lpm.2014.06.007","http://dx.doi.org/10.1016/j.lpm.2014.06.007")</f>
        <v>http://dx.doi.org/10.1016/j.lpm.2014.06.007</v>
      </c>
      <c r="BG941" t="s">
        <v>74</v>
      </c>
      <c r="BH941" t="s">
        <v>74</v>
      </c>
      <c r="BI941">
        <v>12</v>
      </c>
      <c r="BJ941" t="s">
        <v>1152</v>
      </c>
      <c r="BK941" t="s">
        <v>101</v>
      </c>
      <c r="BL941" t="s">
        <v>1153</v>
      </c>
      <c r="BM941" t="s">
        <v>13148</v>
      </c>
      <c r="BN941">
        <v>25179278</v>
      </c>
      <c r="BO941" t="s">
        <v>74</v>
      </c>
      <c r="BP941" t="s">
        <v>74</v>
      </c>
      <c r="BQ941" t="s">
        <v>74</v>
      </c>
      <c r="BR941" t="s">
        <v>104</v>
      </c>
      <c r="BS941" t="s">
        <v>13149</v>
      </c>
      <c r="BT941" t="str">
        <f>HYPERLINK("https%3A%2F%2Fwww.webofscience.com%2Fwos%2Fwoscc%2Ffull-record%2FWOS:000346508700004","View Full Record in Web of Science")</f>
        <v>View Full Record in Web of Science</v>
      </c>
    </row>
    <row r="942" spans="1:72" x14ac:dyDescent="0.25">
      <c r="A942" t="s">
        <v>72</v>
      </c>
      <c r="B942" t="s">
        <v>13150</v>
      </c>
      <c r="C942" t="s">
        <v>74</v>
      </c>
      <c r="D942" t="s">
        <v>74</v>
      </c>
      <c r="E942" t="s">
        <v>74</v>
      </c>
      <c r="F942" t="s">
        <v>13151</v>
      </c>
      <c r="G942" t="s">
        <v>74</v>
      </c>
      <c r="H942" t="s">
        <v>13152</v>
      </c>
      <c r="I942" t="s">
        <v>13153</v>
      </c>
      <c r="J942" t="s">
        <v>1529</v>
      </c>
      <c r="K942" t="s">
        <v>74</v>
      </c>
      <c r="L942" t="s">
        <v>74</v>
      </c>
      <c r="M942" t="s">
        <v>78</v>
      </c>
      <c r="N942" t="s">
        <v>299</v>
      </c>
      <c r="O942" t="s">
        <v>74</v>
      </c>
      <c r="P942" t="s">
        <v>74</v>
      </c>
      <c r="Q942" t="s">
        <v>74</v>
      </c>
      <c r="R942" t="s">
        <v>74</v>
      </c>
      <c r="S942" t="s">
        <v>74</v>
      </c>
      <c r="T942" t="s">
        <v>74</v>
      </c>
      <c r="U942" t="s">
        <v>13154</v>
      </c>
      <c r="V942" t="s">
        <v>13155</v>
      </c>
      <c r="W942" t="s">
        <v>13156</v>
      </c>
      <c r="X942" t="s">
        <v>13157</v>
      </c>
      <c r="Y942" t="s">
        <v>13158</v>
      </c>
      <c r="Z942" t="s">
        <v>13159</v>
      </c>
      <c r="AA942" t="s">
        <v>13160</v>
      </c>
      <c r="AB942" t="s">
        <v>13161</v>
      </c>
      <c r="AC942" t="s">
        <v>74</v>
      </c>
      <c r="AD942" t="s">
        <v>74</v>
      </c>
      <c r="AE942" t="s">
        <v>74</v>
      </c>
      <c r="AF942" t="s">
        <v>74</v>
      </c>
      <c r="AG942">
        <v>135</v>
      </c>
      <c r="AH942">
        <v>41</v>
      </c>
      <c r="AI942">
        <v>41</v>
      </c>
      <c r="AJ942">
        <v>2</v>
      </c>
      <c r="AK942">
        <v>6</v>
      </c>
      <c r="AL942" t="s">
        <v>1358</v>
      </c>
      <c r="AM942" t="s">
        <v>1359</v>
      </c>
      <c r="AN942" t="s">
        <v>1360</v>
      </c>
      <c r="AO942" t="s">
        <v>1533</v>
      </c>
      <c r="AP942" t="s">
        <v>1534</v>
      </c>
      <c r="AQ942" t="s">
        <v>74</v>
      </c>
      <c r="AR942" t="s">
        <v>1535</v>
      </c>
      <c r="AS942" t="s">
        <v>1536</v>
      </c>
      <c r="AT942" t="s">
        <v>420</v>
      </c>
      <c r="AU942">
        <v>2014</v>
      </c>
      <c r="AV942">
        <v>43</v>
      </c>
      <c r="AW942">
        <v>10</v>
      </c>
      <c r="AX942">
        <v>2</v>
      </c>
      <c r="AY942" t="s">
        <v>74</v>
      </c>
      <c r="AZ942" t="s">
        <v>74</v>
      </c>
      <c r="BA942" t="s">
        <v>74</v>
      </c>
      <c r="BB942" t="s">
        <v>13162</v>
      </c>
      <c r="BC942" t="s">
        <v>13163</v>
      </c>
      <c r="BD942" t="s">
        <v>74</v>
      </c>
      <c r="BE942" t="s">
        <v>13164</v>
      </c>
      <c r="BF942" t="str">
        <f>HYPERLINK("http://dx.doi.org/10.1016/j.lpm.2014.01.020","http://dx.doi.org/10.1016/j.lpm.2014.01.020")</f>
        <v>http://dx.doi.org/10.1016/j.lpm.2014.01.020</v>
      </c>
      <c r="BG942" t="s">
        <v>74</v>
      </c>
      <c r="BH942" t="s">
        <v>74</v>
      </c>
      <c r="BI942">
        <v>19</v>
      </c>
      <c r="BJ942" t="s">
        <v>1152</v>
      </c>
      <c r="BK942" t="s">
        <v>101</v>
      </c>
      <c r="BL942" t="s">
        <v>1153</v>
      </c>
      <c r="BM942" t="s">
        <v>13148</v>
      </c>
      <c r="BN942">
        <v>25027464</v>
      </c>
      <c r="BO942" t="s">
        <v>74</v>
      </c>
      <c r="BP942" t="s">
        <v>74</v>
      </c>
      <c r="BQ942" t="s">
        <v>74</v>
      </c>
      <c r="BR942" t="s">
        <v>104</v>
      </c>
      <c r="BS942" t="s">
        <v>13165</v>
      </c>
      <c r="BT942" t="str">
        <f>HYPERLINK("https%3A%2F%2Fwww.webofscience.com%2Fwos%2Fwoscc%2Ffull-record%2FWOS:000346508700008","View Full Record in Web of Science")</f>
        <v>View Full Record in Web of Science</v>
      </c>
    </row>
    <row r="943" spans="1:72" x14ac:dyDescent="0.25">
      <c r="A943" t="s">
        <v>72</v>
      </c>
      <c r="B943" t="s">
        <v>13166</v>
      </c>
      <c r="C943" t="s">
        <v>74</v>
      </c>
      <c r="D943" t="s">
        <v>74</v>
      </c>
      <c r="E943" t="s">
        <v>74</v>
      </c>
      <c r="F943" t="s">
        <v>13167</v>
      </c>
      <c r="G943" t="s">
        <v>74</v>
      </c>
      <c r="H943" t="s">
        <v>74</v>
      </c>
      <c r="I943" t="s">
        <v>13168</v>
      </c>
      <c r="J943" t="s">
        <v>216</v>
      </c>
      <c r="K943" t="s">
        <v>74</v>
      </c>
      <c r="L943" t="s">
        <v>74</v>
      </c>
      <c r="M943" t="s">
        <v>78</v>
      </c>
      <c r="N943" t="s">
        <v>460</v>
      </c>
      <c r="O943" t="s">
        <v>74</v>
      </c>
      <c r="P943" t="s">
        <v>74</v>
      </c>
      <c r="Q943" t="s">
        <v>74</v>
      </c>
      <c r="R943" t="s">
        <v>74</v>
      </c>
      <c r="S943" t="s">
        <v>74</v>
      </c>
      <c r="T943" t="s">
        <v>74</v>
      </c>
      <c r="U943" t="s">
        <v>732</v>
      </c>
      <c r="V943" t="s">
        <v>74</v>
      </c>
      <c r="W943" t="s">
        <v>13169</v>
      </c>
      <c r="X943" t="s">
        <v>13170</v>
      </c>
      <c r="Y943" t="s">
        <v>13171</v>
      </c>
      <c r="Z943" t="s">
        <v>11295</v>
      </c>
      <c r="AA943" t="s">
        <v>13172</v>
      </c>
      <c r="AB943" t="s">
        <v>13173</v>
      </c>
      <c r="AC943" t="s">
        <v>74</v>
      </c>
      <c r="AD943" t="s">
        <v>74</v>
      </c>
      <c r="AE943" t="s">
        <v>74</v>
      </c>
      <c r="AF943" t="s">
        <v>74</v>
      </c>
      <c r="AG943">
        <v>13</v>
      </c>
      <c r="AH943">
        <v>36</v>
      </c>
      <c r="AI943">
        <v>36</v>
      </c>
      <c r="AJ943">
        <v>0</v>
      </c>
      <c r="AK943">
        <v>4</v>
      </c>
      <c r="AL943" t="s">
        <v>219</v>
      </c>
      <c r="AM943" t="s">
        <v>220</v>
      </c>
      <c r="AN943" t="s">
        <v>221</v>
      </c>
      <c r="AO943" t="s">
        <v>222</v>
      </c>
      <c r="AP943" t="s">
        <v>223</v>
      </c>
      <c r="AQ943" t="s">
        <v>74</v>
      </c>
      <c r="AR943" t="s">
        <v>224</v>
      </c>
      <c r="AS943" t="s">
        <v>225</v>
      </c>
      <c r="AT943" t="s">
        <v>420</v>
      </c>
      <c r="AU943">
        <v>2014</v>
      </c>
      <c r="AV943">
        <v>44</v>
      </c>
      <c r="AW943">
        <v>4</v>
      </c>
      <c r="AX943" t="s">
        <v>74</v>
      </c>
      <c r="AY943" t="s">
        <v>74</v>
      </c>
      <c r="AZ943" t="s">
        <v>74</v>
      </c>
      <c r="BA943" t="s">
        <v>74</v>
      </c>
      <c r="BB943">
        <v>1069</v>
      </c>
      <c r="BC943">
        <v>1072</v>
      </c>
      <c r="BD943" t="s">
        <v>74</v>
      </c>
      <c r="BE943" t="s">
        <v>13174</v>
      </c>
      <c r="BF943" t="str">
        <f>HYPERLINK("http://dx.doi.org/10.1183/09031936.00088914","http://dx.doi.org/10.1183/09031936.00088914")</f>
        <v>http://dx.doi.org/10.1183/09031936.00088914</v>
      </c>
      <c r="BG943" t="s">
        <v>74</v>
      </c>
      <c r="BH943" t="s">
        <v>74</v>
      </c>
      <c r="BI943">
        <v>4</v>
      </c>
      <c r="BJ943" t="s">
        <v>228</v>
      </c>
      <c r="BK943" t="s">
        <v>101</v>
      </c>
      <c r="BL943" t="s">
        <v>228</v>
      </c>
      <c r="BM943" t="s">
        <v>13175</v>
      </c>
      <c r="BN943">
        <v>25142489</v>
      </c>
      <c r="BO943" t="s">
        <v>1194</v>
      </c>
      <c r="BP943" t="s">
        <v>74</v>
      </c>
      <c r="BQ943" t="s">
        <v>74</v>
      </c>
      <c r="BR943" t="s">
        <v>104</v>
      </c>
      <c r="BS943" t="s">
        <v>13176</v>
      </c>
      <c r="BT943" t="str">
        <f>HYPERLINK("https%3A%2F%2Fwww.webofscience.com%2Fwos%2Fwoscc%2Ffull-record%2FWOS:000342543700029","View Full Record in Web of Science")</f>
        <v>View Full Record in Web of Science</v>
      </c>
    </row>
    <row r="944" spans="1:72" x14ac:dyDescent="0.25">
      <c r="A944" t="s">
        <v>72</v>
      </c>
      <c r="B944" t="s">
        <v>13177</v>
      </c>
      <c r="C944" t="s">
        <v>74</v>
      </c>
      <c r="D944" t="s">
        <v>74</v>
      </c>
      <c r="E944" t="s">
        <v>74</v>
      </c>
      <c r="F944" t="s">
        <v>13178</v>
      </c>
      <c r="G944" t="s">
        <v>74</v>
      </c>
      <c r="H944" t="s">
        <v>74</v>
      </c>
      <c r="I944" t="s">
        <v>13179</v>
      </c>
      <c r="J944" t="s">
        <v>4322</v>
      </c>
      <c r="K944" t="s">
        <v>74</v>
      </c>
      <c r="L944" t="s">
        <v>74</v>
      </c>
      <c r="M944" t="s">
        <v>78</v>
      </c>
      <c r="N944" t="s">
        <v>52</v>
      </c>
      <c r="O944" t="s">
        <v>13180</v>
      </c>
      <c r="P944" t="s">
        <v>13181</v>
      </c>
      <c r="Q944" t="s">
        <v>4006</v>
      </c>
      <c r="R944" t="s">
        <v>10882</v>
      </c>
      <c r="S944" t="s">
        <v>74</v>
      </c>
      <c r="T944" t="s">
        <v>74</v>
      </c>
      <c r="U944" t="s">
        <v>74</v>
      </c>
      <c r="V944" t="s">
        <v>74</v>
      </c>
      <c r="W944" t="s">
        <v>13182</v>
      </c>
      <c r="X944" t="s">
        <v>13183</v>
      </c>
      <c r="Y944" t="s">
        <v>74</v>
      </c>
      <c r="Z944" t="s">
        <v>74</v>
      </c>
      <c r="AA944" t="s">
        <v>13184</v>
      </c>
      <c r="AB944" t="s">
        <v>13185</v>
      </c>
      <c r="AC944" t="s">
        <v>74</v>
      </c>
      <c r="AD944" t="s">
        <v>74</v>
      </c>
      <c r="AE944" t="s">
        <v>74</v>
      </c>
      <c r="AF944" t="s">
        <v>74</v>
      </c>
      <c r="AG944">
        <v>0</v>
      </c>
      <c r="AH944">
        <v>0</v>
      </c>
      <c r="AI944">
        <v>0</v>
      </c>
      <c r="AJ944">
        <v>0</v>
      </c>
      <c r="AK944">
        <v>0</v>
      </c>
      <c r="AL944" t="s">
        <v>169</v>
      </c>
      <c r="AM944" t="s">
        <v>170</v>
      </c>
      <c r="AN944" t="s">
        <v>171</v>
      </c>
      <c r="AO944" t="s">
        <v>4329</v>
      </c>
      <c r="AP944" t="s">
        <v>4330</v>
      </c>
      <c r="AQ944" t="s">
        <v>74</v>
      </c>
      <c r="AR944" t="s">
        <v>4331</v>
      </c>
      <c r="AS944" t="s">
        <v>4332</v>
      </c>
      <c r="AT944" t="s">
        <v>420</v>
      </c>
      <c r="AU944">
        <v>2014</v>
      </c>
      <c r="AV944">
        <v>66</v>
      </c>
      <c r="AW944" t="s">
        <v>74</v>
      </c>
      <c r="AX944" t="s">
        <v>74</v>
      </c>
      <c r="AY944">
        <v>10</v>
      </c>
      <c r="AZ944" t="s">
        <v>1080</v>
      </c>
      <c r="BA944">
        <v>2701</v>
      </c>
      <c r="BB944" t="s">
        <v>13186</v>
      </c>
      <c r="BC944" t="s">
        <v>13186</v>
      </c>
      <c r="BD944" t="s">
        <v>74</v>
      </c>
      <c r="BE944" t="s">
        <v>74</v>
      </c>
      <c r="BF944" t="s">
        <v>74</v>
      </c>
      <c r="BG944" t="s">
        <v>74</v>
      </c>
      <c r="BH944" t="s">
        <v>74</v>
      </c>
      <c r="BI944">
        <v>1</v>
      </c>
      <c r="BJ944" t="s">
        <v>2369</v>
      </c>
      <c r="BK944" t="s">
        <v>512</v>
      </c>
      <c r="BL944" t="s">
        <v>2369</v>
      </c>
      <c r="BM944" t="s">
        <v>13187</v>
      </c>
      <c r="BN944" t="s">
        <v>74</v>
      </c>
      <c r="BO944" t="s">
        <v>74</v>
      </c>
      <c r="BP944" t="s">
        <v>74</v>
      </c>
      <c r="BQ944" t="s">
        <v>74</v>
      </c>
      <c r="BR944" t="s">
        <v>104</v>
      </c>
      <c r="BS944" t="s">
        <v>13188</v>
      </c>
      <c r="BT944" t="str">
        <f>HYPERLINK("https%3A%2F%2Fwww.webofscience.com%2Fwos%2Fwoscc%2Ffull-record%2FWOS:000344384905378","View Full Record in Web of Science")</f>
        <v>View Full Record in Web of Science</v>
      </c>
    </row>
    <row r="945" spans="1:72" x14ac:dyDescent="0.25">
      <c r="A945" t="s">
        <v>72</v>
      </c>
      <c r="B945" t="s">
        <v>13189</v>
      </c>
      <c r="C945" t="s">
        <v>74</v>
      </c>
      <c r="D945" t="s">
        <v>74</v>
      </c>
      <c r="E945" t="s">
        <v>74</v>
      </c>
      <c r="F945" t="s">
        <v>13190</v>
      </c>
      <c r="G945" t="s">
        <v>74</v>
      </c>
      <c r="H945" t="s">
        <v>13191</v>
      </c>
      <c r="I945" t="s">
        <v>13192</v>
      </c>
      <c r="J945" t="s">
        <v>2276</v>
      </c>
      <c r="K945" t="s">
        <v>74</v>
      </c>
      <c r="L945" t="s">
        <v>74</v>
      </c>
      <c r="M945" t="s">
        <v>78</v>
      </c>
      <c r="N945" t="s">
        <v>79</v>
      </c>
      <c r="O945" t="s">
        <v>74</v>
      </c>
      <c r="P945" t="s">
        <v>74</v>
      </c>
      <c r="Q945" t="s">
        <v>74</v>
      </c>
      <c r="R945" t="s">
        <v>74</v>
      </c>
      <c r="S945" t="s">
        <v>74</v>
      </c>
      <c r="T945" t="s">
        <v>74</v>
      </c>
      <c r="U945" t="s">
        <v>13193</v>
      </c>
      <c r="V945" t="s">
        <v>13194</v>
      </c>
      <c r="W945" t="s">
        <v>13195</v>
      </c>
      <c r="X945" t="s">
        <v>13196</v>
      </c>
      <c r="Y945" t="s">
        <v>13197</v>
      </c>
      <c r="Z945" t="s">
        <v>13198</v>
      </c>
      <c r="AA945" t="s">
        <v>13199</v>
      </c>
      <c r="AB945" t="s">
        <v>13200</v>
      </c>
      <c r="AC945" t="s">
        <v>13201</v>
      </c>
      <c r="AD945" t="s">
        <v>13202</v>
      </c>
      <c r="AE945" t="s">
        <v>13203</v>
      </c>
      <c r="AF945" t="s">
        <v>74</v>
      </c>
      <c r="AG945">
        <v>20</v>
      </c>
      <c r="AH945">
        <v>1694</v>
      </c>
      <c r="AI945">
        <v>1785</v>
      </c>
      <c r="AJ945">
        <v>2</v>
      </c>
      <c r="AK945">
        <v>79</v>
      </c>
      <c r="AL945" t="s">
        <v>2284</v>
      </c>
      <c r="AM945" t="s">
        <v>2285</v>
      </c>
      <c r="AN945" t="s">
        <v>2286</v>
      </c>
      <c r="AO945" t="s">
        <v>2287</v>
      </c>
      <c r="AP945" t="s">
        <v>2288</v>
      </c>
      <c r="AQ945" t="s">
        <v>74</v>
      </c>
      <c r="AR945" t="s">
        <v>2289</v>
      </c>
      <c r="AS945" t="s">
        <v>2290</v>
      </c>
      <c r="AT945" t="s">
        <v>13204</v>
      </c>
      <c r="AU945">
        <v>2014</v>
      </c>
      <c r="AV945">
        <v>371</v>
      </c>
      <c r="AW945">
        <v>13</v>
      </c>
      <c r="AX945" t="s">
        <v>74</v>
      </c>
      <c r="AY945" t="s">
        <v>74</v>
      </c>
      <c r="AZ945" t="s">
        <v>74</v>
      </c>
      <c r="BA945" t="s">
        <v>74</v>
      </c>
      <c r="BB945">
        <v>1198</v>
      </c>
      <c r="BC945">
        <v>1207</v>
      </c>
      <c r="BD945" t="s">
        <v>74</v>
      </c>
      <c r="BE945" t="s">
        <v>13205</v>
      </c>
      <c r="BF945" t="str">
        <f>HYPERLINK("http://dx.doi.org/10.1056/NEJMoa1403290","http://dx.doi.org/10.1056/NEJMoa1403290")</f>
        <v>http://dx.doi.org/10.1056/NEJMoa1403290</v>
      </c>
      <c r="BG945" t="s">
        <v>74</v>
      </c>
      <c r="BH945" t="s">
        <v>74</v>
      </c>
      <c r="BI945">
        <v>10</v>
      </c>
      <c r="BJ945" t="s">
        <v>1152</v>
      </c>
      <c r="BK945" t="s">
        <v>101</v>
      </c>
      <c r="BL945" t="s">
        <v>1153</v>
      </c>
      <c r="BM945" t="s">
        <v>13206</v>
      </c>
      <c r="BN945">
        <v>25199059</v>
      </c>
      <c r="BO945" t="s">
        <v>3737</v>
      </c>
      <c r="BP945" t="s">
        <v>1155</v>
      </c>
      <c r="BQ945" t="s">
        <v>1156</v>
      </c>
      <c r="BR945" t="s">
        <v>104</v>
      </c>
      <c r="BS945" t="s">
        <v>13207</v>
      </c>
      <c r="BT945" t="str">
        <f>HYPERLINK("https%3A%2F%2Fwww.webofscience.com%2Fwos%2Fwoscc%2Ffull-record%2FWOS:000342079700007","View Full Record in Web of Science")</f>
        <v>View Full Record in Web of Science</v>
      </c>
    </row>
    <row r="946" spans="1:72" x14ac:dyDescent="0.25">
      <c r="A946" t="s">
        <v>72</v>
      </c>
      <c r="B946" t="s">
        <v>13208</v>
      </c>
      <c r="C946" t="s">
        <v>74</v>
      </c>
      <c r="D946" t="s">
        <v>74</v>
      </c>
      <c r="E946" t="s">
        <v>74</v>
      </c>
      <c r="F946" t="s">
        <v>13209</v>
      </c>
      <c r="G946" t="s">
        <v>74</v>
      </c>
      <c r="H946" t="s">
        <v>74</v>
      </c>
      <c r="I946" t="s">
        <v>13210</v>
      </c>
      <c r="J946" t="s">
        <v>5624</v>
      </c>
      <c r="K946" t="s">
        <v>74</v>
      </c>
      <c r="L946" t="s">
        <v>74</v>
      </c>
      <c r="M946" t="s">
        <v>78</v>
      </c>
      <c r="N946" t="s">
        <v>52</v>
      </c>
      <c r="O946" t="s">
        <v>13211</v>
      </c>
      <c r="P946" t="s">
        <v>13212</v>
      </c>
      <c r="Q946" t="s">
        <v>13213</v>
      </c>
      <c r="R946" t="s">
        <v>8581</v>
      </c>
      <c r="S946" t="s">
        <v>74</v>
      </c>
      <c r="T946" t="s">
        <v>74</v>
      </c>
      <c r="U946" t="s">
        <v>74</v>
      </c>
      <c r="V946" t="s">
        <v>74</v>
      </c>
      <c r="W946" t="s">
        <v>13214</v>
      </c>
      <c r="X946" t="s">
        <v>13215</v>
      </c>
      <c r="Y946" t="s">
        <v>74</v>
      </c>
      <c r="Z946" t="s">
        <v>74</v>
      </c>
      <c r="AA946" t="s">
        <v>7246</v>
      </c>
      <c r="AB946" t="s">
        <v>74</v>
      </c>
      <c r="AC946" t="s">
        <v>74</v>
      </c>
      <c r="AD946" t="s">
        <v>74</v>
      </c>
      <c r="AE946" t="s">
        <v>74</v>
      </c>
      <c r="AF946" t="s">
        <v>74</v>
      </c>
      <c r="AG946">
        <v>0</v>
      </c>
      <c r="AH946">
        <v>0</v>
      </c>
      <c r="AI946">
        <v>0</v>
      </c>
      <c r="AJ946">
        <v>0</v>
      </c>
      <c r="AK946">
        <v>3</v>
      </c>
      <c r="AL946" t="s">
        <v>10904</v>
      </c>
      <c r="AM946" t="s">
        <v>170</v>
      </c>
      <c r="AN946" t="s">
        <v>171</v>
      </c>
      <c r="AO946" t="s">
        <v>5636</v>
      </c>
      <c r="AP946" t="s">
        <v>5637</v>
      </c>
      <c r="AQ946" t="s">
        <v>74</v>
      </c>
      <c r="AR946" t="s">
        <v>5624</v>
      </c>
      <c r="AS946" t="s">
        <v>601</v>
      </c>
      <c r="AT946" t="s">
        <v>492</v>
      </c>
      <c r="AU946">
        <v>2014</v>
      </c>
      <c r="AV946">
        <v>69</v>
      </c>
      <c r="AW946" t="s">
        <v>74</v>
      </c>
      <c r="AX946" t="s">
        <v>74</v>
      </c>
      <c r="AY946">
        <v>99</v>
      </c>
      <c r="AZ946" t="s">
        <v>1080</v>
      </c>
      <c r="BA946">
        <v>1445</v>
      </c>
      <c r="BB946">
        <v>519</v>
      </c>
      <c r="BC946">
        <v>519</v>
      </c>
      <c r="BD946" t="s">
        <v>74</v>
      </c>
      <c r="BE946" t="s">
        <v>74</v>
      </c>
      <c r="BF946" t="s">
        <v>74</v>
      </c>
      <c r="BG946" t="s">
        <v>74</v>
      </c>
      <c r="BH946" t="s">
        <v>74</v>
      </c>
      <c r="BI946">
        <v>1</v>
      </c>
      <c r="BJ946" t="s">
        <v>3085</v>
      </c>
      <c r="BK946" t="s">
        <v>512</v>
      </c>
      <c r="BL946" t="s">
        <v>3085</v>
      </c>
      <c r="BM946" t="s">
        <v>13216</v>
      </c>
      <c r="BN946" t="s">
        <v>74</v>
      </c>
      <c r="BO946" t="s">
        <v>74</v>
      </c>
      <c r="BP946" t="s">
        <v>74</v>
      </c>
      <c r="BQ946" t="s">
        <v>74</v>
      </c>
      <c r="BR946" t="s">
        <v>104</v>
      </c>
      <c r="BS946" t="s">
        <v>13217</v>
      </c>
      <c r="BT946" t="str">
        <f>HYPERLINK("https%3A%2F%2Fwww.webofscience.com%2Fwos%2Fwoscc%2Ffull-record%2FWOS:000341139401539","View Full Record in Web of Science")</f>
        <v>View Full Record in Web of Science</v>
      </c>
    </row>
    <row r="947" spans="1:72" x14ac:dyDescent="0.25">
      <c r="A947" t="s">
        <v>72</v>
      </c>
      <c r="B947" t="s">
        <v>13218</v>
      </c>
      <c r="C947" t="s">
        <v>74</v>
      </c>
      <c r="D947" t="s">
        <v>74</v>
      </c>
      <c r="E947" t="s">
        <v>74</v>
      </c>
      <c r="F947" t="s">
        <v>13219</v>
      </c>
      <c r="G947" t="s">
        <v>74</v>
      </c>
      <c r="H947" t="s">
        <v>74</v>
      </c>
      <c r="I947" t="s">
        <v>13220</v>
      </c>
      <c r="J947" t="s">
        <v>216</v>
      </c>
      <c r="K947" t="s">
        <v>74</v>
      </c>
      <c r="L947" t="s">
        <v>74</v>
      </c>
      <c r="M947" t="s">
        <v>78</v>
      </c>
      <c r="N947" t="s">
        <v>52</v>
      </c>
      <c r="O947" t="s">
        <v>74</v>
      </c>
      <c r="P947" t="s">
        <v>74</v>
      </c>
      <c r="Q947" t="s">
        <v>74</v>
      </c>
      <c r="R947" t="s">
        <v>74</v>
      </c>
      <c r="S947" t="s">
        <v>74</v>
      </c>
      <c r="T947" t="s">
        <v>13221</v>
      </c>
      <c r="U947" t="s">
        <v>74</v>
      </c>
      <c r="V947" t="s">
        <v>74</v>
      </c>
      <c r="W947" t="s">
        <v>74</v>
      </c>
      <c r="X947" t="s">
        <v>74</v>
      </c>
      <c r="Y947" t="s">
        <v>74</v>
      </c>
      <c r="Z947" t="s">
        <v>74</v>
      </c>
      <c r="AA947" t="s">
        <v>13222</v>
      </c>
      <c r="AB947" t="s">
        <v>13223</v>
      </c>
      <c r="AC947" t="s">
        <v>74</v>
      </c>
      <c r="AD947" t="s">
        <v>74</v>
      </c>
      <c r="AE947" t="s">
        <v>74</v>
      </c>
      <c r="AF947" t="s">
        <v>74</v>
      </c>
      <c r="AG947">
        <v>0</v>
      </c>
      <c r="AH947">
        <v>0</v>
      </c>
      <c r="AI947">
        <v>0</v>
      </c>
      <c r="AJ947">
        <v>0</v>
      </c>
      <c r="AK947">
        <v>1</v>
      </c>
      <c r="AL947" t="s">
        <v>219</v>
      </c>
      <c r="AM947" t="s">
        <v>220</v>
      </c>
      <c r="AN947" t="s">
        <v>221</v>
      </c>
      <c r="AO947" t="s">
        <v>222</v>
      </c>
      <c r="AP947" t="s">
        <v>223</v>
      </c>
      <c r="AQ947" t="s">
        <v>74</v>
      </c>
      <c r="AR947" t="s">
        <v>224</v>
      </c>
      <c r="AS947" t="s">
        <v>225</v>
      </c>
      <c r="AT947" t="s">
        <v>492</v>
      </c>
      <c r="AU947">
        <v>2014</v>
      </c>
      <c r="AV947">
        <v>44</v>
      </c>
      <c r="AW947" t="s">
        <v>74</v>
      </c>
      <c r="AX947" t="s">
        <v>74</v>
      </c>
      <c r="AY947">
        <v>58</v>
      </c>
      <c r="AZ947" t="s">
        <v>74</v>
      </c>
      <c r="BA947" t="s">
        <v>74</v>
      </c>
      <c r="BB947" t="s">
        <v>74</v>
      </c>
      <c r="BC947" t="s">
        <v>74</v>
      </c>
      <c r="BD947" t="s">
        <v>74</v>
      </c>
      <c r="BE947" t="s">
        <v>74</v>
      </c>
      <c r="BF947" t="s">
        <v>74</v>
      </c>
      <c r="BG947" t="s">
        <v>74</v>
      </c>
      <c r="BH947" t="s">
        <v>74</v>
      </c>
      <c r="BI947">
        <v>4</v>
      </c>
      <c r="BJ947" t="s">
        <v>228</v>
      </c>
      <c r="BK947" t="s">
        <v>101</v>
      </c>
      <c r="BL947" t="s">
        <v>228</v>
      </c>
      <c r="BM947" t="s">
        <v>13224</v>
      </c>
      <c r="BN947" t="s">
        <v>74</v>
      </c>
      <c r="BO947" t="s">
        <v>74</v>
      </c>
      <c r="BP947" t="s">
        <v>74</v>
      </c>
      <c r="BQ947" t="s">
        <v>74</v>
      </c>
      <c r="BR947" t="s">
        <v>104</v>
      </c>
      <c r="BS947" t="s">
        <v>13225</v>
      </c>
      <c r="BT947" t="str">
        <f>HYPERLINK("https%3A%2F%2Fwww.webofscience.com%2Fwos%2Fwoscc%2Ffull-record%2FWOS:000209782505241","View Full Record in Web of Science")</f>
        <v>View Full Record in Web of Science</v>
      </c>
    </row>
    <row r="948" spans="1:72" x14ac:dyDescent="0.25">
      <c r="A948" t="s">
        <v>72</v>
      </c>
      <c r="B948" t="s">
        <v>13226</v>
      </c>
      <c r="C948" t="s">
        <v>74</v>
      </c>
      <c r="D948" t="s">
        <v>74</v>
      </c>
      <c r="E948" t="s">
        <v>74</v>
      </c>
      <c r="F948" t="s">
        <v>13227</v>
      </c>
      <c r="G948" t="s">
        <v>74</v>
      </c>
      <c r="H948" t="s">
        <v>74</v>
      </c>
      <c r="I948" t="s">
        <v>13228</v>
      </c>
      <c r="J948" t="s">
        <v>216</v>
      </c>
      <c r="K948" t="s">
        <v>74</v>
      </c>
      <c r="L948" t="s">
        <v>74</v>
      </c>
      <c r="M948" t="s">
        <v>78</v>
      </c>
      <c r="N948" t="s">
        <v>52</v>
      </c>
      <c r="O948" t="s">
        <v>74</v>
      </c>
      <c r="P948" t="s">
        <v>74</v>
      </c>
      <c r="Q948" t="s">
        <v>74</v>
      </c>
      <c r="R948" t="s">
        <v>74</v>
      </c>
      <c r="S948" t="s">
        <v>74</v>
      </c>
      <c r="T948" t="s">
        <v>13229</v>
      </c>
      <c r="U948" t="s">
        <v>74</v>
      </c>
      <c r="V948" t="s">
        <v>74</v>
      </c>
      <c r="W948" t="s">
        <v>74</v>
      </c>
      <c r="X948" t="s">
        <v>74</v>
      </c>
      <c r="Y948" t="s">
        <v>74</v>
      </c>
      <c r="Z948" t="s">
        <v>74</v>
      </c>
      <c r="AA948" t="s">
        <v>13230</v>
      </c>
      <c r="AB948" t="s">
        <v>7224</v>
      </c>
      <c r="AC948" t="s">
        <v>74</v>
      </c>
      <c r="AD948" t="s">
        <v>74</v>
      </c>
      <c r="AE948" t="s">
        <v>74</v>
      </c>
      <c r="AF948" t="s">
        <v>74</v>
      </c>
      <c r="AG948">
        <v>0</v>
      </c>
      <c r="AH948">
        <v>0</v>
      </c>
      <c r="AI948">
        <v>0</v>
      </c>
      <c r="AJ948">
        <v>0</v>
      </c>
      <c r="AK948">
        <v>0</v>
      </c>
      <c r="AL948" t="s">
        <v>219</v>
      </c>
      <c r="AM948" t="s">
        <v>220</v>
      </c>
      <c r="AN948" t="s">
        <v>221</v>
      </c>
      <c r="AO948" t="s">
        <v>222</v>
      </c>
      <c r="AP948" t="s">
        <v>223</v>
      </c>
      <c r="AQ948" t="s">
        <v>74</v>
      </c>
      <c r="AR948" t="s">
        <v>224</v>
      </c>
      <c r="AS948" t="s">
        <v>225</v>
      </c>
      <c r="AT948" t="s">
        <v>492</v>
      </c>
      <c r="AU948">
        <v>2014</v>
      </c>
      <c r="AV948">
        <v>44</v>
      </c>
      <c r="AW948" t="s">
        <v>74</v>
      </c>
      <c r="AX948" t="s">
        <v>74</v>
      </c>
      <c r="AY948">
        <v>58</v>
      </c>
      <c r="AZ948" t="s">
        <v>74</v>
      </c>
      <c r="BA948">
        <v>4848</v>
      </c>
      <c r="BB948" t="s">
        <v>74</v>
      </c>
      <c r="BC948" t="s">
        <v>74</v>
      </c>
      <c r="BD948" t="s">
        <v>74</v>
      </c>
      <c r="BE948" t="s">
        <v>74</v>
      </c>
      <c r="BF948" t="s">
        <v>74</v>
      </c>
      <c r="BG948" t="s">
        <v>74</v>
      </c>
      <c r="BH948" t="s">
        <v>74</v>
      </c>
      <c r="BI948">
        <v>3</v>
      </c>
      <c r="BJ948" t="s">
        <v>228</v>
      </c>
      <c r="BK948" t="s">
        <v>101</v>
      </c>
      <c r="BL948" t="s">
        <v>228</v>
      </c>
      <c r="BM948" t="s">
        <v>13224</v>
      </c>
      <c r="BN948" t="s">
        <v>74</v>
      </c>
      <c r="BO948" t="s">
        <v>74</v>
      </c>
      <c r="BP948" t="s">
        <v>74</v>
      </c>
      <c r="BQ948" t="s">
        <v>74</v>
      </c>
      <c r="BR948" t="s">
        <v>104</v>
      </c>
      <c r="BS948" t="s">
        <v>13231</v>
      </c>
      <c r="BT948" t="str">
        <f>HYPERLINK("https%3A%2F%2Fwww.webofscience.com%2Fwos%2Fwoscc%2Ffull-record%2FWOS:000209782505225","View Full Record in Web of Science")</f>
        <v>View Full Record in Web of Science</v>
      </c>
    </row>
    <row r="949" spans="1:72" x14ac:dyDescent="0.25">
      <c r="A949" t="s">
        <v>72</v>
      </c>
      <c r="B949" t="s">
        <v>13232</v>
      </c>
      <c r="C949" t="s">
        <v>74</v>
      </c>
      <c r="D949" t="s">
        <v>74</v>
      </c>
      <c r="E949" t="s">
        <v>74</v>
      </c>
      <c r="F949" t="s">
        <v>13233</v>
      </c>
      <c r="G949" t="s">
        <v>74</v>
      </c>
      <c r="H949" t="s">
        <v>74</v>
      </c>
      <c r="I949" t="s">
        <v>13234</v>
      </c>
      <c r="J949" t="s">
        <v>216</v>
      </c>
      <c r="K949" t="s">
        <v>74</v>
      </c>
      <c r="L949" t="s">
        <v>74</v>
      </c>
      <c r="M949" t="s">
        <v>78</v>
      </c>
      <c r="N949" t="s">
        <v>52</v>
      </c>
      <c r="O949" t="s">
        <v>74</v>
      </c>
      <c r="P949" t="s">
        <v>74</v>
      </c>
      <c r="Q949" t="s">
        <v>74</v>
      </c>
      <c r="R949" t="s">
        <v>74</v>
      </c>
      <c r="S949" t="s">
        <v>74</v>
      </c>
      <c r="T949" t="s">
        <v>13235</v>
      </c>
      <c r="U949" t="s">
        <v>74</v>
      </c>
      <c r="V949" t="s">
        <v>74</v>
      </c>
      <c r="W949" t="s">
        <v>74</v>
      </c>
      <c r="X949" t="s">
        <v>74</v>
      </c>
      <c r="Y949" t="s">
        <v>74</v>
      </c>
      <c r="Z949" t="s">
        <v>74</v>
      </c>
      <c r="AA949" t="s">
        <v>11657</v>
      </c>
      <c r="AB949" t="s">
        <v>9470</v>
      </c>
      <c r="AC949" t="s">
        <v>74</v>
      </c>
      <c r="AD949" t="s">
        <v>74</v>
      </c>
      <c r="AE949" t="s">
        <v>74</v>
      </c>
      <c r="AF949" t="s">
        <v>74</v>
      </c>
      <c r="AG949">
        <v>0</v>
      </c>
      <c r="AH949">
        <v>0</v>
      </c>
      <c r="AI949">
        <v>0</v>
      </c>
      <c r="AJ949">
        <v>0</v>
      </c>
      <c r="AK949">
        <v>2</v>
      </c>
      <c r="AL949" t="s">
        <v>219</v>
      </c>
      <c r="AM949" t="s">
        <v>220</v>
      </c>
      <c r="AN949" t="s">
        <v>221</v>
      </c>
      <c r="AO949" t="s">
        <v>222</v>
      </c>
      <c r="AP949" t="s">
        <v>223</v>
      </c>
      <c r="AQ949" t="s">
        <v>74</v>
      </c>
      <c r="AR949" t="s">
        <v>224</v>
      </c>
      <c r="AS949" t="s">
        <v>225</v>
      </c>
      <c r="AT949" t="s">
        <v>492</v>
      </c>
      <c r="AU949">
        <v>2014</v>
      </c>
      <c r="AV949">
        <v>44</v>
      </c>
      <c r="AW949" t="s">
        <v>74</v>
      </c>
      <c r="AX949" t="s">
        <v>74</v>
      </c>
      <c r="AY949">
        <v>58</v>
      </c>
      <c r="AZ949" t="s">
        <v>74</v>
      </c>
      <c r="BA949" t="s">
        <v>13236</v>
      </c>
      <c r="BB949" t="s">
        <v>74</v>
      </c>
      <c r="BC949" t="s">
        <v>74</v>
      </c>
      <c r="BD949" t="s">
        <v>74</v>
      </c>
      <c r="BE949" t="s">
        <v>74</v>
      </c>
      <c r="BF949" t="s">
        <v>74</v>
      </c>
      <c r="BG949" t="s">
        <v>74</v>
      </c>
      <c r="BH949" t="s">
        <v>74</v>
      </c>
      <c r="BI949">
        <v>4</v>
      </c>
      <c r="BJ949" t="s">
        <v>228</v>
      </c>
      <c r="BK949" t="s">
        <v>101</v>
      </c>
      <c r="BL949" t="s">
        <v>228</v>
      </c>
      <c r="BM949" t="s">
        <v>13224</v>
      </c>
      <c r="BN949" t="s">
        <v>74</v>
      </c>
      <c r="BO949" t="s">
        <v>74</v>
      </c>
      <c r="BP949" t="s">
        <v>74</v>
      </c>
      <c r="BQ949" t="s">
        <v>74</v>
      </c>
      <c r="BR949" t="s">
        <v>104</v>
      </c>
      <c r="BS949" t="s">
        <v>13237</v>
      </c>
      <c r="BT949" t="str">
        <f>HYPERLINK("https%3A%2F%2Fwww.webofscience.com%2Fwos%2Fwoscc%2Ffull-record%2FWOS:000209782505239","View Full Record in Web of Science")</f>
        <v>View Full Record in Web of Science</v>
      </c>
    </row>
    <row r="950" spans="1:72" x14ac:dyDescent="0.25">
      <c r="A950" t="s">
        <v>72</v>
      </c>
      <c r="B950" t="s">
        <v>13232</v>
      </c>
      <c r="C950" t="s">
        <v>74</v>
      </c>
      <c r="D950" t="s">
        <v>74</v>
      </c>
      <c r="E950" t="s">
        <v>74</v>
      </c>
      <c r="F950" t="s">
        <v>13233</v>
      </c>
      <c r="G950" t="s">
        <v>74</v>
      </c>
      <c r="H950" t="s">
        <v>74</v>
      </c>
      <c r="I950" t="s">
        <v>13238</v>
      </c>
      <c r="J950" t="s">
        <v>216</v>
      </c>
      <c r="K950" t="s">
        <v>74</v>
      </c>
      <c r="L950" t="s">
        <v>74</v>
      </c>
      <c r="M950" t="s">
        <v>78</v>
      </c>
      <c r="N950" t="s">
        <v>52</v>
      </c>
      <c r="O950" t="s">
        <v>74</v>
      </c>
      <c r="P950" t="s">
        <v>74</v>
      </c>
      <c r="Q950" t="s">
        <v>74</v>
      </c>
      <c r="R950" t="s">
        <v>74</v>
      </c>
      <c r="S950" t="s">
        <v>74</v>
      </c>
      <c r="T950" t="s">
        <v>13235</v>
      </c>
      <c r="U950" t="s">
        <v>74</v>
      </c>
      <c r="V950" t="s">
        <v>74</v>
      </c>
      <c r="W950" t="s">
        <v>74</v>
      </c>
      <c r="X950" t="s">
        <v>74</v>
      </c>
      <c r="Y950" t="s">
        <v>74</v>
      </c>
      <c r="Z950" t="s">
        <v>74</v>
      </c>
      <c r="AA950" t="s">
        <v>13239</v>
      </c>
      <c r="AB950" t="s">
        <v>9470</v>
      </c>
      <c r="AC950" t="s">
        <v>74</v>
      </c>
      <c r="AD950" t="s">
        <v>74</v>
      </c>
      <c r="AE950" t="s">
        <v>74</v>
      </c>
      <c r="AF950" t="s">
        <v>74</v>
      </c>
      <c r="AG950">
        <v>0</v>
      </c>
      <c r="AH950">
        <v>0</v>
      </c>
      <c r="AI950">
        <v>0</v>
      </c>
      <c r="AJ950">
        <v>0</v>
      </c>
      <c r="AK950">
        <v>0</v>
      </c>
      <c r="AL950" t="s">
        <v>219</v>
      </c>
      <c r="AM950" t="s">
        <v>220</v>
      </c>
      <c r="AN950" t="s">
        <v>221</v>
      </c>
      <c r="AO950" t="s">
        <v>222</v>
      </c>
      <c r="AP950" t="s">
        <v>223</v>
      </c>
      <c r="AQ950" t="s">
        <v>74</v>
      </c>
      <c r="AR950" t="s">
        <v>224</v>
      </c>
      <c r="AS950" t="s">
        <v>225</v>
      </c>
      <c r="AT950" t="s">
        <v>492</v>
      </c>
      <c r="AU950">
        <v>2014</v>
      </c>
      <c r="AV950">
        <v>44</v>
      </c>
      <c r="AW950" t="s">
        <v>74</v>
      </c>
      <c r="AX950" t="s">
        <v>74</v>
      </c>
      <c r="AY950">
        <v>58</v>
      </c>
      <c r="AZ950" t="s">
        <v>74</v>
      </c>
      <c r="BA950" t="s">
        <v>13236</v>
      </c>
      <c r="BB950" t="s">
        <v>74</v>
      </c>
      <c r="BC950" t="s">
        <v>74</v>
      </c>
      <c r="BD950" t="s">
        <v>74</v>
      </c>
      <c r="BE950" t="s">
        <v>74</v>
      </c>
      <c r="BF950" t="s">
        <v>74</v>
      </c>
      <c r="BG950" t="s">
        <v>74</v>
      </c>
      <c r="BH950" t="s">
        <v>74</v>
      </c>
      <c r="BI950">
        <v>4</v>
      </c>
      <c r="BJ950" t="s">
        <v>228</v>
      </c>
      <c r="BK950" t="s">
        <v>101</v>
      </c>
      <c r="BL950" t="s">
        <v>228</v>
      </c>
      <c r="BM950" t="s">
        <v>13224</v>
      </c>
      <c r="BN950" t="s">
        <v>74</v>
      </c>
      <c r="BO950" t="s">
        <v>74</v>
      </c>
      <c r="BP950" t="s">
        <v>74</v>
      </c>
      <c r="BQ950" t="s">
        <v>74</v>
      </c>
      <c r="BR950" t="s">
        <v>104</v>
      </c>
      <c r="BS950" t="s">
        <v>13240</v>
      </c>
      <c r="BT950" t="str">
        <f>HYPERLINK("https%3A%2F%2Fwww.webofscience.com%2Fwos%2Fwoscc%2Ffull-record%2FWOS:000209782505117","View Full Record in Web of Science")</f>
        <v>View Full Record in Web of Science</v>
      </c>
    </row>
    <row r="951" spans="1:72" x14ac:dyDescent="0.25">
      <c r="A951" t="s">
        <v>72</v>
      </c>
      <c r="B951" t="s">
        <v>13241</v>
      </c>
      <c r="C951" t="s">
        <v>74</v>
      </c>
      <c r="D951" t="s">
        <v>74</v>
      </c>
      <c r="E951" t="s">
        <v>74</v>
      </c>
      <c r="F951" t="s">
        <v>13242</v>
      </c>
      <c r="G951" t="s">
        <v>74</v>
      </c>
      <c r="H951" t="s">
        <v>74</v>
      </c>
      <c r="I951" t="s">
        <v>13243</v>
      </c>
      <c r="J951" t="s">
        <v>216</v>
      </c>
      <c r="K951" t="s">
        <v>74</v>
      </c>
      <c r="L951" t="s">
        <v>74</v>
      </c>
      <c r="M951" t="s">
        <v>78</v>
      </c>
      <c r="N951" t="s">
        <v>52</v>
      </c>
      <c r="O951" t="s">
        <v>74</v>
      </c>
      <c r="P951" t="s">
        <v>74</v>
      </c>
      <c r="Q951" t="s">
        <v>74</v>
      </c>
      <c r="R951" t="s">
        <v>74</v>
      </c>
      <c r="S951" t="s">
        <v>74</v>
      </c>
      <c r="T951" t="s">
        <v>74</v>
      </c>
      <c r="U951" t="s">
        <v>74</v>
      </c>
      <c r="V951" t="s">
        <v>74</v>
      </c>
      <c r="W951" t="s">
        <v>74</v>
      </c>
      <c r="X951" t="s">
        <v>74</v>
      </c>
      <c r="Y951" t="s">
        <v>74</v>
      </c>
      <c r="Z951" t="s">
        <v>74</v>
      </c>
      <c r="AA951" t="s">
        <v>13244</v>
      </c>
      <c r="AB951" t="s">
        <v>74</v>
      </c>
      <c r="AC951" t="s">
        <v>74</v>
      </c>
      <c r="AD951" t="s">
        <v>74</v>
      </c>
      <c r="AE951" t="s">
        <v>74</v>
      </c>
      <c r="AF951" t="s">
        <v>74</v>
      </c>
      <c r="AG951">
        <v>0</v>
      </c>
      <c r="AH951">
        <v>0</v>
      </c>
      <c r="AI951">
        <v>0</v>
      </c>
      <c r="AJ951">
        <v>0</v>
      </c>
      <c r="AK951">
        <v>0</v>
      </c>
      <c r="AL951" t="s">
        <v>219</v>
      </c>
      <c r="AM951" t="s">
        <v>220</v>
      </c>
      <c r="AN951" t="s">
        <v>221</v>
      </c>
      <c r="AO951" t="s">
        <v>222</v>
      </c>
      <c r="AP951" t="s">
        <v>223</v>
      </c>
      <c r="AQ951" t="s">
        <v>74</v>
      </c>
      <c r="AR951" t="s">
        <v>224</v>
      </c>
      <c r="AS951" t="s">
        <v>225</v>
      </c>
      <c r="AT951" t="s">
        <v>492</v>
      </c>
      <c r="AU951">
        <v>2014</v>
      </c>
      <c r="AV951">
        <v>44</v>
      </c>
      <c r="AW951" t="s">
        <v>74</v>
      </c>
      <c r="AX951" t="s">
        <v>74</v>
      </c>
      <c r="AY951">
        <v>58</v>
      </c>
      <c r="AZ951" t="s">
        <v>74</v>
      </c>
      <c r="BA951">
        <v>2945</v>
      </c>
      <c r="BB951" t="s">
        <v>74</v>
      </c>
      <c r="BC951" t="s">
        <v>74</v>
      </c>
      <c r="BD951" t="s">
        <v>74</v>
      </c>
      <c r="BE951" t="s">
        <v>74</v>
      </c>
      <c r="BF951" t="s">
        <v>74</v>
      </c>
      <c r="BG951" t="s">
        <v>74</v>
      </c>
      <c r="BH951" t="s">
        <v>74</v>
      </c>
      <c r="BI951">
        <v>3</v>
      </c>
      <c r="BJ951" t="s">
        <v>228</v>
      </c>
      <c r="BK951" t="s">
        <v>101</v>
      </c>
      <c r="BL951" t="s">
        <v>228</v>
      </c>
      <c r="BM951" t="s">
        <v>13224</v>
      </c>
      <c r="BN951" t="s">
        <v>74</v>
      </c>
      <c r="BO951" t="s">
        <v>74</v>
      </c>
      <c r="BP951" t="s">
        <v>74</v>
      </c>
      <c r="BQ951" t="s">
        <v>74</v>
      </c>
      <c r="BR951" t="s">
        <v>104</v>
      </c>
      <c r="BS951" t="s">
        <v>13245</v>
      </c>
      <c r="BT951" t="str">
        <f>HYPERLINK("https%3A%2F%2Fwww.webofscience.com%2Fwos%2Fwoscc%2Ffull-record%2FWOS:000209782505214","View Full Record in Web of Science")</f>
        <v>View Full Record in Web of Science</v>
      </c>
    </row>
    <row r="952" spans="1:72" x14ac:dyDescent="0.25">
      <c r="A952" t="s">
        <v>72</v>
      </c>
      <c r="B952" t="s">
        <v>13246</v>
      </c>
      <c r="C952" t="s">
        <v>74</v>
      </c>
      <c r="D952" t="s">
        <v>74</v>
      </c>
      <c r="E952" t="s">
        <v>74</v>
      </c>
      <c r="F952" t="s">
        <v>13247</v>
      </c>
      <c r="G952" t="s">
        <v>74</v>
      </c>
      <c r="H952" t="s">
        <v>74</v>
      </c>
      <c r="I952" t="s">
        <v>13248</v>
      </c>
      <c r="J952" t="s">
        <v>3068</v>
      </c>
      <c r="K952" t="s">
        <v>74</v>
      </c>
      <c r="L952" t="s">
        <v>74</v>
      </c>
      <c r="M952" t="s">
        <v>78</v>
      </c>
      <c r="N952" t="s">
        <v>299</v>
      </c>
      <c r="O952" t="s">
        <v>74</v>
      </c>
      <c r="P952" t="s">
        <v>74</v>
      </c>
      <c r="Q952" t="s">
        <v>74</v>
      </c>
      <c r="R952" t="s">
        <v>74</v>
      </c>
      <c r="S952" t="s">
        <v>74</v>
      </c>
      <c r="T952" t="s">
        <v>13249</v>
      </c>
      <c r="U952" t="s">
        <v>13250</v>
      </c>
      <c r="V952" t="s">
        <v>13251</v>
      </c>
      <c r="W952" t="s">
        <v>13252</v>
      </c>
      <c r="X952" t="s">
        <v>13253</v>
      </c>
      <c r="Y952" t="s">
        <v>10585</v>
      </c>
      <c r="Z952" t="s">
        <v>3402</v>
      </c>
      <c r="AA952" t="s">
        <v>13254</v>
      </c>
      <c r="AB952" t="s">
        <v>13255</v>
      </c>
      <c r="AC952" t="s">
        <v>13256</v>
      </c>
      <c r="AD952" t="s">
        <v>13256</v>
      </c>
      <c r="AE952" t="s">
        <v>13257</v>
      </c>
      <c r="AF952" t="s">
        <v>74</v>
      </c>
      <c r="AG952">
        <v>105</v>
      </c>
      <c r="AH952">
        <v>144</v>
      </c>
      <c r="AI952">
        <v>151</v>
      </c>
      <c r="AJ952">
        <v>0</v>
      </c>
      <c r="AK952">
        <v>17</v>
      </c>
      <c r="AL952" t="s">
        <v>92</v>
      </c>
      <c r="AM952" t="s">
        <v>93</v>
      </c>
      <c r="AN952" t="s">
        <v>94</v>
      </c>
      <c r="AO952" t="s">
        <v>3079</v>
      </c>
      <c r="AP952" t="s">
        <v>3080</v>
      </c>
      <c r="AQ952" t="s">
        <v>74</v>
      </c>
      <c r="AR952" t="s">
        <v>3081</v>
      </c>
      <c r="AS952" t="s">
        <v>3082</v>
      </c>
      <c r="AT952" t="s">
        <v>13258</v>
      </c>
      <c r="AU952">
        <v>2014</v>
      </c>
      <c r="AV952">
        <v>2</v>
      </c>
      <c r="AW952">
        <v>5</v>
      </c>
      <c r="AX952" t="s">
        <v>74</v>
      </c>
      <c r="AY952" t="s">
        <v>74</v>
      </c>
      <c r="AZ952" t="s">
        <v>74</v>
      </c>
      <c r="BA952" t="s">
        <v>74</v>
      </c>
      <c r="BB952">
        <v>525</v>
      </c>
      <c r="BC952" t="s">
        <v>3083</v>
      </c>
      <c r="BD952" t="s">
        <v>74</v>
      </c>
      <c r="BE952" t="s">
        <v>13259</v>
      </c>
      <c r="BF952" t="str">
        <f>HYPERLINK("http://dx.doi.org/10.1016/j.jaip.2014.03.010","http://dx.doi.org/10.1016/j.jaip.2014.03.010")</f>
        <v>http://dx.doi.org/10.1016/j.jaip.2014.03.010</v>
      </c>
      <c r="BG952" t="s">
        <v>74</v>
      </c>
      <c r="BH952" t="s">
        <v>74</v>
      </c>
      <c r="BI952">
        <v>13</v>
      </c>
      <c r="BJ952" t="s">
        <v>3085</v>
      </c>
      <c r="BK952" t="s">
        <v>101</v>
      </c>
      <c r="BL952" t="s">
        <v>3085</v>
      </c>
      <c r="BM952" t="s">
        <v>13260</v>
      </c>
      <c r="BN952">
        <v>25213045</v>
      </c>
      <c r="BO952" t="s">
        <v>74</v>
      </c>
      <c r="BP952" t="s">
        <v>74</v>
      </c>
      <c r="BQ952" t="s">
        <v>74</v>
      </c>
      <c r="BR952" t="s">
        <v>104</v>
      </c>
      <c r="BS952" t="s">
        <v>13261</v>
      </c>
      <c r="BT952" t="str">
        <f>HYPERLINK("https%3A%2F%2Fwww.webofscience.com%2Fwos%2Fwoscc%2Ffull-record%2FWOS:000354205300005","View Full Record in Web of Science")</f>
        <v>View Full Record in Web of Science</v>
      </c>
    </row>
    <row r="953" spans="1:72" x14ac:dyDescent="0.25">
      <c r="A953" t="s">
        <v>72</v>
      </c>
      <c r="B953" t="s">
        <v>1420</v>
      </c>
      <c r="C953" t="s">
        <v>74</v>
      </c>
      <c r="D953" t="s">
        <v>74</v>
      </c>
      <c r="E953" t="s">
        <v>74</v>
      </c>
      <c r="F953" t="s">
        <v>1421</v>
      </c>
      <c r="G953" t="s">
        <v>74</v>
      </c>
      <c r="H953" t="s">
        <v>74</v>
      </c>
      <c r="I953" t="s">
        <v>13262</v>
      </c>
      <c r="J953" t="s">
        <v>1529</v>
      </c>
      <c r="K953" t="s">
        <v>74</v>
      </c>
      <c r="L953" t="s">
        <v>74</v>
      </c>
      <c r="M953" t="s">
        <v>1349</v>
      </c>
      <c r="N953" t="s">
        <v>140</v>
      </c>
      <c r="O953" t="s">
        <v>74</v>
      </c>
      <c r="P953" t="s">
        <v>74</v>
      </c>
      <c r="Q953" t="s">
        <v>74</v>
      </c>
      <c r="R953" t="s">
        <v>74</v>
      </c>
      <c r="S953" t="s">
        <v>74</v>
      </c>
      <c r="T953" t="s">
        <v>74</v>
      </c>
      <c r="U953" t="s">
        <v>13263</v>
      </c>
      <c r="V953" t="s">
        <v>74</v>
      </c>
      <c r="W953" t="s">
        <v>13264</v>
      </c>
      <c r="X953" t="s">
        <v>13265</v>
      </c>
      <c r="Y953" t="s">
        <v>7557</v>
      </c>
      <c r="Z953" t="s">
        <v>3402</v>
      </c>
      <c r="AA953" t="s">
        <v>144</v>
      </c>
      <c r="AB953" t="s">
        <v>257</v>
      </c>
      <c r="AC953" t="s">
        <v>74</v>
      </c>
      <c r="AD953" t="s">
        <v>74</v>
      </c>
      <c r="AE953" t="s">
        <v>74</v>
      </c>
      <c r="AF953" t="s">
        <v>74</v>
      </c>
      <c r="AG953">
        <v>36</v>
      </c>
      <c r="AH953">
        <v>0</v>
      </c>
      <c r="AI953">
        <v>0</v>
      </c>
      <c r="AJ953">
        <v>0</v>
      </c>
      <c r="AK953">
        <v>0</v>
      </c>
      <c r="AL953" t="s">
        <v>1358</v>
      </c>
      <c r="AM953" t="s">
        <v>1359</v>
      </c>
      <c r="AN953" t="s">
        <v>1360</v>
      </c>
      <c r="AO953" t="s">
        <v>1533</v>
      </c>
      <c r="AP953" t="s">
        <v>1534</v>
      </c>
      <c r="AQ953" t="s">
        <v>74</v>
      </c>
      <c r="AR953" t="s">
        <v>1535</v>
      </c>
      <c r="AS953" t="s">
        <v>1536</v>
      </c>
      <c r="AT953" t="s">
        <v>492</v>
      </c>
      <c r="AU953">
        <v>2014</v>
      </c>
      <c r="AV953">
        <v>43</v>
      </c>
      <c r="AW953">
        <v>9</v>
      </c>
      <c r="AX953" t="s">
        <v>74</v>
      </c>
      <c r="AY953" t="s">
        <v>74</v>
      </c>
      <c r="AZ953" t="s">
        <v>74</v>
      </c>
      <c r="BA953" t="s">
        <v>74</v>
      </c>
      <c r="BB953">
        <v>932</v>
      </c>
      <c r="BC953">
        <v>934</v>
      </c>
      <c r="BD953" t="s">
        <v>74</v>
      </c>
      <c r="BE953" t="s">
        <v>13266</v>
      </c>
      <c r="BF953" t="str">
        <f>HYPERLINK("http://dx.doi.org/10.1016/j.lpm.2014.07.008","http://dx.doi.org/10.1016/j.lpm.2014.07.008")</f>
        <v>http://dx.doi.org/10.1016/j.lpm.2014.07.008</v>
      </c>
      <c r="BG953" t="s">
        <v>74</v>
      </c>
      <c r="BH953" t="s">
        <v>74</v>
      </c>
      <c r="BI953">
        <v>3</v>
      </c>
      <c r="BJ953" t="s">
        <v>1152</v>
      </c>
      <c r="BK953" t="s">
        <v>101</v>
      </c>
      <c r="BL953" t="s">
        <v>1153</v>
      </c>
      <c r="BM953" t="s">
        <v>13267</v>
      </c>
      <c r="BN953">
        <v>25123315</v>
      </c>
      <c r="BO953" t="s">
        <v>74</v>
      </c>
      <c r="BP953" t="s">
        <v>74</v>
      </c>
      <c r="BQ953" t="s">
        <v>74</v>
      </c>
      <c r="BR953" t="s">
        <v>104</v>
      </c>
      <c r="BS953" t="s">
        <v>13268</v>
      </c>
      <c r="BT953" t="str">
        <f>HYPERLINK("https%3A%2F%2Fwww.webofscience.com%2Fwos%2Fwoscc%2Ffull-record%2FWOS:000346503700010","View Full Record in Web of Science")</f>
        <v>View Full Record in Web of Science</v>
      </c>
    </row>
    <row r="954" spans="1:72" x14ac:dyDescent="0.25">
      <c r="A954" t="s">
        <v>72</v>
      </c>
      <c r="B954" t="s">
        <v>13269</v>
      </c>
      <c r="C954" t="s">
        <v>74</v>
      </c>
      <c r="D954" t="s">
        <v>74</v>
      </c>
      <c r="E954" t="s">
        <v>74</v>
      </c>
      <c r="F954" t="s">
        <v>13270</v>
      </c>
      <c r="G954" t="s">
        <v>74</v>
      </c>
      <c r="H954" t="s">
        <v>74</v>
      </c>
      <c r="I954" t="s">
        <v>13271</v>
      </c>
      <c r="J954" t="s">
        <v>1068</v>
      </c>
      <c r="K954" t="s">
        <v>74</v>
      </c>
      <c r="L954" t="s">
        <v>74</v>
      </c>
      <c r="M954" t="s">
        <v>78</v>
      </c>
      <c r="N954" t="s">
        <v>52</v>
      </c>
      <c r="O954" t="s">
        <v>13272</v>
      </c>
      <c r="P954" t="s">
        <v>13273</v>
      </c>
      <c r="Q954" t="s">
        <v>2953</v>
      </c>
      <c r="R954" t="s">
        <v>5566</v>
      </c>
      <c r="S954" t="s">
        <v>74</v>
      </c>
      <c r="T954" t="s">
        <v>74</v>
      </c>
      <c r="U954" t="s">
        <v>74</v>
      </c>
      <c r="V954" t="s">
        <v>74</v>
      </c>
      <c r="W954" t="s">
        <v>13274</v>
      </c>
      <c r="X954" t="s">
        <v>13275</v>
      </c>
      <c r="Y954" t="s">
        <v>74</v>
      </c>
      <c r="Z954" t="s">
        <v>74</v>
      </c>
      <c r="AA954" t="s">
        <v>13276</v>
      </c>
      <c r="AB954" t="s">
        <v>13277</v>
      </c>
      <c r="AC954" t="s">
        <v>74</v>
      </c>
      <c r="AD954" t="s">
        <v>74</v>
      </c>
      <c r="AE954" t="s">
        <v>74</v>
      </c>
      <c r="AF954" t="s">
        <v>74</v>
      </c>
      <c r="AG954">
        <v>0</v>
      </c>
      <c r="AH954">
        <v>0</v>
      </c>
      <c r="AI954">
        <v>0</v>
      </c>
      <c r="AJ954">
        <v>0</v>
      </c>
      <c r="AK954">
        <v>1</v>
      </c>
      <c r="AL954" t="s">
        <v>1073</v>
      </c>
      <c r="AM954" t="s">
        <v>1074</v>
      </c>
      <c r="AN954" t="s">
        <v>1075</v>
      </c>
      <c r="AO954" t="s">
        <v>1076</v>
      </c>
      <c r="AP954" t="s">
        <v>1077</v>
      </c>
      <c r="AQ954" t="s">
        <v>74</v>
      </c>
      <c r="AR954" t="s">
        <v>1078</v>
      </c>
      <c r="AS954" t="s">
        <v>1079</v>
      </c>
      <c r="AT954" t="s">
        <v>529</v>
      </c>
      <c r="AU954">
        <v>2014</v>
      </c>
      <c r="AV954">
        <v>35</v>
      </c>
      <c r="AW954" t="s">
        <v>74</v>
      </c>
      <c r="AX954" t="s">
        <v>74</v>
      </c>
      <c r="AY954">
        <v>1</v>
      </c>
      <c r="AZ954" t="s">
        <v>74</v>
      </c>
      <c r="BA954">
        <v>66</v>
      </c>
      <c r="BB954">
        <v>10</v>
      </c>
      <c r="BC954">
        <v>10</v>
      </c>
      <c r="BD954" t="s">
        <v>74</v>
      </c>
      <c r="BE954" t="s">
        <v>74</v>
      </c>
      <c r="BF954" t="s">
        <v>74</v>
      </c>
      <c r="BG954" t="s">
        <v>74</v>
      </c>
      <c r="BH954" t="s">
        <v>74</v>
      </c>
      <c r="BI954">
        <v>1</v>
      </c>
      <c r="BJ954" t="s">
        <v>132</v>
      </c>
      <c r="BK954" t="s">
        <v>512</v>
      </c>
      <c r="BL954" t="s">
        <v>133</v>
      </c>
      <c r="BM954" t="s">
        <v>13278</v>
      </c>
      <c r="BN954" t="s">
        <v>74</v>
      </c>
      <c r="BO954" t="s">
        <v>74</v>
      </c>
      <c r="BP954" t="s">
        <v>74</v>
      </c>
      <c r="BQ954" t="s">
        <v>74</v>
      </c>
      <c r="BR954" t="s">
        <v>104</v>
      </c>
      <c r="BS954" t="s">
        <v>13279</v>
      </c>
      <c r="BT954" t="str">
        <f>HYPERLINK("https%3A%2F%2Fwww.webofscience.com%2Fwos%2Fwoscc%2Ffull-record%2FWOS:000343001300033","View Full Record in Web of Science")</f>
        <v>View Full Record in Web of Science</v>
      </c>
    </row>
    <row r="955" spans="1:72" x14ac:dyDescent="0.25">
      <c r="A955" t="s">
        <v>72</v>
      </c>
      <c r="B955" t="s">
        <v>13280</v>
      </c>
      <c r="C955" t="s">
        <v>74</v>
      </c>
      <c r="D955" t="s">
        <v>74</v>
      </c>
      <c r="E955" t="s">
        <v>74</v>
      </c>
      <c r="F955" t="s">
        <v>13281</v>
      </c>
      <c r="G955" t="s">
        <v>74</v>
      </c>
      <c r="H955" t="s">
        <v>74</v>
      </c>
      <c r="I955" t="s">
        <v>13282</v>
      </c>
      <c r="J955" t="s">
        <v>216</v>
      </c>
      <c r="K955" t="s">
        <v>74</v>
      </c>
      <c r="L955" t="s">
        <v>74</v>
      </c>
      <c r="M955" t="s">
        <v>78</v>
      </c>
      <c r="N955" t="s">
        <v>52</v>
      </c>
      <c r="O955" t="s">
        <v>74</v>
      </c>
      <c r="P955" t="s">
        <v>74</v>
      </c>
      <c r="Q955" t="s">
        <v>74</v>
      </c>
      <c r="R955" t="s">
        <v>74</v>
      </c>
      <c r="S955" t="s">
        <v>74</v>
      </c>
      <c r="T955" t="s">
        <v>13283</v>
      </c>
      <c r="U955" t="s">
        <v>74</v>
      </c>
      <c r="V955" t="s">
        <v>74</v>
      </c>
      <c r="W955" t="s">
        <v>74</v>
      </c>
      <c r="X955" t="s">
        <v>74</v>
      </c>
      <c r="Y955" t="s">
        <v>74</v>
      </c>
      <c r="Z955" t="s">
        <v>74</v>
      </c>
      <c r="AA955" t="s">
        <v>13284</v>
      </c>
      <c r="AB955" t="s">
        <v>74</v>
      </c>
      <c r="AC955" t="s">
        <v>74</v>
      </c>
      <c r="AD955" t="s">
        <v>74</v>
      </c>
      <c r="AE955" t="s">
        <v>74</v>
      </c>
      <c r="AF955" t="s">
        <v>74</v>
      </c>
      <c r="AG955">
        <v>0</v>
      </c>
      <c r="AH955">
        <v>0</v>
      </c>
      <c r="AI955">
        <v>0</v>
      </c>
      <c r="AJ955">
        <v>0</v>
      </c>
      <c r="AK955">
        <v>1</v>
      </c>
      <c r="AL955" t="s">
        <v>219</v>
      </c>
      <c r="AM955" t="s">
        <v>220</v>
      </c>
      <c r="AN955" t="s">
        <v>221</v>
      </c>
      <c r="AO955" t="s">
        <v>222</v>
      </c>
      <c r="AP955" t="s">
        <v>223</v>
      </c>
      <c r="AQ955" t="s">
        <v>74</v>
      </c>
      <c r="AR955" t="s">
        <v>224</v>
      </c>
      <c r="AS955" t="s">
        <v>225</v>
      </c>
      <c r="AT955" t="s">
        <v>492</v>
      </c>
      <c r="AU955">
        <v>2014</v>
      </c>
      <c r="AV955">
        <v>44</v>
      </c>
      <c r="AW955" t="s">
        <v>74</v>
      </c>
      <c r="AX955" t="s">
        <v>74</v>
      </c>
      <c r="AY955">
        <v>58</v>
      </c>
      <c r="AZ955" t="s">
        <v>74</v>
      </c>
      <c r="BA955" t="s">
        <v>13285</v>
      </c>
      <c r="BB955" t="s">
        <v>74</v>
      </c>
      <c r="BC955" t="s">
        <v>74</v>
      </c>
      <c r="BD955" t="s">
        <v>74</v>
      </c>
      <c r="BE955" t="s">
        <v>74</v>
      </c>
      <c r="BF955" t="s">
        <v>74</v>
      </c>
      <c r="BG955" t="s">
        <v>74</v>
      </c>
      <c r="BH955" t="s">
        <v>74</v>
      </c>
      <c r="BI955">
        <v>4</v>
      </c>
      <c r="BJ955" t="s">
        <v>228</v>
      </c>
      <c r="BK955" t="s">
        <v>101</v>
      </c>
      <c r="BL955" t="s">
        <v>228</v>
      </c>
      <c r="BM955" t="s">
        <v>13224</v>
      </c>
      <c r="BN955" t="s">
        <v>74</v>
      </c>
      <c r="BO955" t="s">
        <v>74</v>
      </c>
      <c r="BP955" t="s">
        <v>74</v>
      </c>
      <c r="BQ955" t="s">
        <v>74</v>
      </c>
      <c r="BR955" t="s">
        <v>104</v>
      </c>
      <c r="BS955" t="s">
        <v>13286</v>
      </c>
      <c r="BT955" t="str">
        <f>HYPERLINK("https%3A%2F%2Fwww.webofscience.com%2Fwos%2Fwoscc%2Ffull-record%2FWOS:000209782504147","View Full Record in Web of Science")</f>
        <v>View Full Record in Web of Science</v>
      </c>
    </row>
    <row r="956" spans="1:72" x14ac:dyDescent="0.25">
      <c r="A956" t="s">
        <v>72</v>
      </c>
      <c r="B956" t="s">
        <v>13287</v>
      </c>
      <c r="C956" t="s">
        <v>74</v>
      </c>
      <c r="D956" t="s">
        <v>74</v>
      </c>
      <c r="E956" t="s">
        <v>74</v>
      </c>
      <c r="F956" t="s">
        <v>13288</v>
      </c>
      <c r="G956" t="s">
        <v>74</v>
      </c>
      <c r="H956" t="s">
        <v>74</v>
      </c>
      <c r="I956" t="s">
        <v>13289</v>
      </c>
      <c r="J956" t="s">
        <v>1529</v>
      </c>
      <c r="K956" t="s">
        <v>74</v>
      </c>
      <c r="L956" t="s">
        <v>74</v>
      </c>
      <c r="M956" t="s">
        <v>1349</v>
      </c>
      <c r="N956" t="s">
        <v>140</v>
      </c>
      <c r="O956" t="s">
        <v>74</v>
      </c>
      <c r="P956" t="s">
        <v>74</v>
      </c>
      <c r="Q956" t="s">
        <v>74</v>
      </c>
      <c r="R956" t="s">
        <v>74</v>
      </c>
      <c r="S956" t="s">
        <v>74</v>
      </c>
      <c r="T956" t="s">
        <v>74</v>
      </c>
      <c r="U956" t="s">
        <v>13290</v>
      </c>
      <c r="V956" t="s">
        <v>74</v>
      </c>
      <c r="W956" t="s">
        <v>13291</v>
      </c>
      <c r="X956" t="s">
        <v>13292</v>
      </c>
      <c r="Y956" t="s">
        <v>13293</v>
      </c>
      <c r="Z956" t="s">
        <v>13294</v>
      </c>
      <c r="AA956" t="s">
        <v>13295</v>
      </c>
      <c r="AB956" t="s">
        <v>13296</v>
      </c>
      <c r="AC956" t="s">
        <v>74</v>
      </c>
      <c r="AD956" t="s">
        <v>74</v>
      </c>
      <c r="AE956" t="s">
        <v>74</v>
      </c>
      <c r="AF956" t="s">
        <v>74</v>
      </c>
      <c r="AG956">
        <v>24</v>
      </c>
      <c r="AH956">
        <v>3</v>
      </c>
      <c r="AI956">
        <v>4</v>
      </c>
      <c r="AJ956">
        <v>0</v>
      </c>
      <c r="AK956">
        <v>1</v>
      </c>
      <c r="AL956" t="s">
        <v>1358</v>
      </c>
      <c r="AM956" t="s">
        <v>1359</v>
      </c>
      <c r="AN956" t="s">
        <v>1360</v>
      </c>
      <c r="AO956" t="s">
        <v>1533</v>
      </c>
      <c r="AP956" t="s">
        <v>1534</v>
      </c>
      <c r="AQ956" t="s">
        <v>74</v>
      </c>
      <c r="AR956" t="s">
        <v>1535</v>
      </c>
      <c r="AS956" t="s">
        <v>1536</v>
      </c>
      <c r="AT956" t="s">
        <v>492</v>
      </c>
      <c r="AU956">
        <v>2014</v>
      </c>
      <c r="AV956">
        <v>43</v>
      </c>
      <c r="AW956">
        <v>9</v>
      </c>
      <c r="AX956" t="s">
        <v>74</v>
      </c>
      <c r="AY956" t="s">
        <v>74</v>
      </c>
      <c r="AZ956" t="s">
        <v>74</v>
      </c>
      <c r="BA956" t="s">
        <v>74</v>
      </c>
      <c r="BB956">
        <v>994</v>
      </c>
      <c r="BC956">
        <v>1007</v>
      </c>
      <c r="BD956" t="s">
        <v>74</v>
      </c>
      <c r="BE956" t="s">
        <v>13297</v>
      </c>
      <c r="BF956" t="str">
        <f>HYPERLINK("http://dx.doi.org/10.1016/j.lpm.2014.07.007","http://dx.doi.org/10.1016/j.lpm.2014.07.007")</f>
        <v>http://dx.doi.org/10.1016/j.lpm.2014.07.007</v>
      </c>
      <c r="BG956" t="s">
        <v>74</v>
      </c>
      <c r="BH956" t="s">
        <v>74</v>
      </c>
      <c r="BI956">
        <v>14</v>
      </c>
      <c r="BJ956" t="s">
        <v>1152</v>
      </c>
      <c r="BK956" t="s">
        <v>101</v>
      </c>
      <c r="BL956" t="s">
        <v>1153</v>
      </c>
      <c r="BM956" t="s">
        <v>13267</v>
      </c>
      <c r="BN956">
        <v>25154908</v>
      </c>
      <c r="BO956" t="s">
        <v>74</v>
      </c>
      <c r="BP956" t="s">
        <v>74</v>
      </c>
      <c r="BQ956" t="s">
        <v>74</v>
      </c>
      <c r="BR956" t="s">
        <v>104</v>
      </c>
      <c r="BS956" t="s">
        <v>13298</v>
      </c>
      <c r="BT956" t="str">
        <f>HYPERLINK("https%3A%2F%2Fwww.webofscience.com%2Fwos%2Fwoscc%2Ffull-record%2FWOS:000346503700016","View Full Record in Web of Science")</f>
        <v>View Full Record in Web of Science</v>
      </c>
    </row>
    <row r="957" spans="1:72" x14ac:dyDescent="0.25">
      <c r="A957" t="s">
        <v>72</v>
      </c>
      <c r="B957" t="s">
        <v>13299</v>
      </c>
      <c r="C957" t="s">
        <v>74</v>
      </c>
      <c r="D957" t="s">
        <v>74</v>
      </c>
      <c r="E957" t="s">
        <v>74</v>
      </c>
      <c r="F957" t="s">
        <v>13300</v>
      </c>
      <c r="G957" t="s">
        <v>74</v>
      </c>
      <c r="H957" t="s">
        <v>74</v>
      </c>
      <c r="I957" t="s">
        <v>13301</v>
      </c>
      <c r="J957" t="s">
        <v>216</v>
      </c>
      <c r="K957" t="s">
        <v>74</v>
      </c>
      <c r="L957" t="s">
        <v>74</v>
      </c>
      <c r="M957" t="s">
        <v>78</v>
      </c>
      <c r="N957" t="s">
        <v>52</v>
      </c>
      <c r="O957" t="s">
        <v>74</v>
      </c>
      <c r="P957" t="s">
        <v>74</v>
      </c>
      <c r="Q957" t="s">
        <v>74</v>
      </c>
      <c r="R957" t="s">
        <v>74</v>
      </c>
      <c r="S957" t="s">
        <v>74</v>
      </c>
      <c r="T957" t="s">
        <v>13302</v>
      </c>
      <c r="U957" t="s">
        <v>74</v>
      </c>
      <c r="V957" t="s">
        <v>74</v>
      </c>
      <c r="W957" t="s">
        <v>74</v>
      </c>
      <c r="X957" t="s">
        <v>74</v>
      </c>
      <c r="Y957" t="s">
        <v>74</v>
      </c>
      <c r="Z957" t="s">
        <v>74</v>
      </c>
      <c r="AA957" t="s">
        <v>13303</v>
      </c>
      <c r="AB957" t="s">
        <v>13304</v>
      </c>
      <c r="AC957" t="s">
        <v>74</v>
      </c>
      <c r="AD957" t="s">
        <v>74</v>
      </c>
      <c r="AE957" t="s">
        <v>74</v>
      </c>
      <c r="AF957" t="s">
        <v>74</v>
      </c>
      <c r="AG957">
        <v>0</v>
      </c>
      <c r="AH957">
        <v>0</v>
      </c>
      <c r="AI957">
        <v>0</v>
      </c>
      <c r="AJ957">
        <v>0</v>
      </c>
      <c r="AK957">
        <v>0</v>
      </c>
      <c r="AL957" t="s">
        <v>219</v>
      </c>
      <c r="AM957" t="s">
        <v>220</v>
      </c>
      <c r="AN957" t="s">
        <v>221</v>
      </c>
      <c r="AO957" t="s">
        <v>222</v>
      </c>
      <c r="AP957" t="s">
        <v>223</v>
      </c>
      <c r="AQ957" t="s">
        <v>74</v>
      </c>
      <c r="AR957" t="s">
        <v>224</v>
      </c>
      <c r="AS957" t="s">
        <v>225</v>
      </c>
      <c r="AT957" t="s">
        <v>492</v>
      </c>
      <c r="AU957">
        <v>2014</v>
      </c>
      <c r="AV957">
        <v>44</v>
      </c>
      <c r="AW957" t="s">
        <v>74</v>
      </c>
      <c r="AX957" t="s">
        <v>74</v>
      </c>
      <c r="AY957">
        <v>58</v>
      </c>
      <c r="AZ957" t="s">
        <v>74</v>
      </c>
      <c r="BA957" t="s">
        <v>74</v>
      </c>
      <c r="BB957" t="s">
        <v>74</v>
      </c>
      <c r="BC957" t="s">
        <v>74</v>
      </c>
      <c r="BD957" t="s">
        <v>74</v>
      </c>
      <c r="BE957" t="s">
        <v>74</v>
      </c>
      <c r="BF957" t="s">
        <v>74</v>
      </c>
      <c r="BG957" t="s">
        <v>74</v>
      </c>
      <c r="BH957" t="s">
        <v>74</v>
      </c>
      <c r="BI957">
        <v>4</v>
      </c>
      <c r="BJ957" t="s">
        <v>228</v>
      </c>
      <c r="BK957" t="s">
        <v>101</v>
      </c>
      <c r="BL957" t="s">
        <v>228</v>
      </c>
      <c r="BM957" t="s">
        <v>13224</v>
      </c>
      <c r="BN957" t="s">
        <v>74</v>
      </c>
      <c r="BO957" t="s">
        <v>74</v>
      </c>
      <c r="BP957" t="s">
        <v>74</v>
      </c>
      <c r="BQ957" t="s">
        <v>74</v>
      </c>
      <c r="BR957" t="s">
        <v>104</v>
      </c>
      <c r="BS957" t="s">
        <v>13305</v>
      </c>
      <c r="BT957" t="str">
        <f>HYPERLINK("https%3A%2F%2Fwww.webofscience.com%2Fwos%2Fwoscc%2Ffull-record%2FWOS:000209782505243","View Full Record in Web of Science")</f>
        <v>View Full Record in Web of Science</v>
      </c>
    </row>
    <row r="958" spans="1:72" x14ac:dyDescent="0.25">
      <c r="A958" t="s">
        <v>72</v>
      </c>
      <c r="B958" t="s">
        <v>13306</v>
      </c>
      <c r="C958" t="s">
        <v>74</v>
      </c>
      <c r="D958" t="s">
        <v>74</v>
      </c>
      <c r="E958" t="s">
        <v>74</v>
      </c>
      <c r="F958" t="s">
        <v>13307</v>
      </c>
      <c r="G958" t="s">
        <v>74</v>
      </c>
      <c r="H958" t="s">
        <v>74</v>
      </c>
      <c r="I958" t="s">
        <v>13308</v>
      </c>
      <c r="J958" t="s">
        <v>216</v>
      </c>
      <c r="K958" t="s">
        <v>74</v>
      </c>
      <c r="L958" t="s">
        <v>74</v>
      </c>
      <c r="M958" t="s">
        <v>78</v>
      </c>
      <c r="N958" t="s">
        <v>52</v>
      </c>
      <c r="O958" t="s">
        <v>74</v>
      </c>
      <c r="P958" t="s">
        <v>74</v>
      </c>
      <c r="Q958" t="s">
        <v>74</v>
      </c>
      <c r="R958" t="s">
        <v>74</v>
      </c>
      <c r="S958" t="s">
        <v>74</v>
      </c>
      <c r="T958" t="s">
        <v>13309</v>
      </c>
      <c r="U958" t="s">
        <v>74</v>
      </c>
      <c r="V958" t="s">
        <v>74</v>
      </c>
      <c r="W958" t="s">
        <v>74</v>
      </c>
      <c r="X958" t="s">
        <v>74</v>
      </c>
      <c r="Y958" t="s">
        <v>74</v>
      </c>
      <c r="Z958" t="s">
        <v>74</v>
      </c>
      <c r="AA958" t="s">
        <v>13310</v>
      </c>
      <c r="AB958" t="s">
        <v>13311</v>
      </c>
      <c r="AC958" t="s">
        <v>74</v>
      </c>
      <c r="AD958" t="s">
        <v>74</v>
      </c>
      <c r="AE958" t="s">
        <v>74</v>
      </c>
      <c r="AF958" t="s">
        <v>74</v>
      </c>
      <c r="AG958">
        <v>0</v>
      </c>
      <c r="AH958">
        <v>0</v>
      </c>
      <c r="AI958">
        <v>0</v>
      </c>
      <c r="AJ958">
        <v>0</v>
      </c>
      <c r="AK958">
        <v>0</v>
      </c>
      <c r="AL958" t="s">
        <v>219</v>
      </c>
      <c r="AM958" t="s">
        <v>220</v>
      </c>
      <c r="AN958" t="s">
        <v>221</v>
      </c>
      <c r="AO958" t="s">
        <v>222</v>
      </c>
      <c r="AP958" t="s">
        <v>223</v>
      </c>
      <c r="AQ958" t="s">
        <v>74</v>
      </c>
      <c r="AR958" t="s">
        <v>224</v>
      </c>
      <c r="AS958" t="s">
        <v>225</v>
      </c>
      <c r="AT958" t="s">
        <v>492</v>
      </c>
      <c r="AU958">
        <v>2014</v>
      </c>
      <c r="AV958">
        <v>44</v>
      </c>
      <c r="AW958" t="s">
        <v>74</v>
      </c>
      <c r="AX958" t="s">
        <v>74</v>
      </c>
      <c r="AY958">
        <v>58</v>
      </c>
      <c r="AZ958" t="s">
        <v>74</v>
      </c>
      <c r="BA958">
        <v>2944</v>
      </c>
      <c r="BB958" t="s">
        <v>74</v>
      </c>
      <c r="BC958" t="s">
        <v>74</v>
      </c>
      <c r="BD958" t="s">
        <v>74</v>
      </c>
      <c r="BE958" t="s">
        <v>74</v>
      </c>
      <c r="BF958" t="s">
        <v>74</v>
      </c>
      <c r="BG958" t="s">
        <v>74</v>
      </c>
      <c r="BH958" t="s">
        <v>74</v>
      </c>
      <c r="BI958">
        <v>4</v>
      </c>
      <c r="BJ958" t="s">
        <v>228</v>
      </c>
      <c r="BK958" t="s">
        <v>101</v>
      </c>
      <c r="BL958" t="s">
        <v>228</v>
      </c>
      <c r="BM958" t="s">
        <v>13224</v>
      </c>
      <c r="BN958" t="s">
        <v>74</v>
      </c>
      <c r="BO958" t="s">
        <v>74</v>
      </c>
      <c r="BP958" t="s">
        <v>74</v>
      </c>
      <c r="BQ958" t="s">
        <v>74</v>
      </c>
      <c r="BR958" t="s">
        <v>104</v>
      </c>
      <c r="BS958" t="s">
        <v>13312</v>
      </c>
      <c r="BT958" t="str">
        <f>HYPERLINK("https%3A%2F%2Fwww.webofscience.com%2Fwos%2Fwoscc%2Ffull-record%2FWOS:000209782505213","View Full Record in Web of Science")</f>
        <v>View Full Record in Web of Science</v>
      </c>
    </row>
    <row r="959" spans="1:72" x14ac:dyDescent="0.25">
      <c r="A959" t="s">
        <v>72</v>
      </c>
      <c r="B959" t="s">
        <v>13313</v>
      </c>
      <c r="C959" t="s">
        <v>74</v>
      </c>
      <c r="D959" t="s">
        <v>74</v>
      </c>
      <c r="E959" t="s">
        <v>74</v>
      </c>
      <c r="F959" t="s">
        <v>13314</v>
      </c>
      <c r="G959" t="s">
        <v>74</v>
      </c>
      <c r="H959" t="s">
        <v>74</v>
      </c>
      <c r="I959" t="s">
        <v>13315</v>
      </c>
      <c r="J959" t="s">
        <v>216</v>
      </c>
      <c r="K959" t="s">
        <v>74</v>
      </c>
      <c r="L959" t="s">
        <v>74</v>
      </c>
      <c r="M959" t="s">
        <v>78</v>
      </c>
      <c r="N959" t="s">
        <v>52</v>
      </c>
      <c r="O959" t="s">
        <v>74</v>
      </c>
      <c r="P959" t="s">
        <v>74</v>
      </c>
      <c r="Q959" t="s">
        <v>74</v>
      </c>
      <c r="R959" t="s">
        <v>74</v>
      </c>
      <c r="S959" t="s">
        <v>74</v>
      </c>
      <c r="T959" t="s">
        <v>13316</v>
      </c>
      <c r="U959" t="s">
        <v>74</v>
      </c>
      <c r="V959" t="s">
        <v>74</v>
      </c>
      <c r="W959" t="s">
        <v>74</v>
      </c>
      <c r="X959" t="s">
        <v>74</v>
      </c>
      <c r="Y959" t="s">
        <v>74</v>
      </c>
      <c r="Z959" t="s">
        <v>74</v>
      </c>
      <c r="AA959" t="s">
        <v>13317</v>
      </c>
      <c r="AB959" t="s">
        <v>13318</v>
      </c>
      <c r="AC959" t="s">
        <v>74</v>
      </c>
      <c r="AD959" t="s">
        <v>74</v>
      </c>
      <c r="AE959" t="s">
        <v>74</v>
      </c>
      <c r="AF959" t="s">
        <v>74</v>
      </c>
      <c r="AG959">
        <v>0</v>
      </c>
      <c r="AH959">
        <v>0</v>
      </c>
      <c r="AI959">
        <v>0</v>
      </c>
      <c r="AJ959">
        <v>0</v>
      </c>
      <c r="AK959">
        <v>0</v>
      </c>
      <c r="AL959" t="s">
        <v>219</v>
      </c>
      <c r="AM959" t="s">
        <v>220</v>
      </c>
      <c r="AN959" t="s">
        <v>221</v>
      </c>
      <c r="AO959" t="s">
        <v>222</v>
      </c>
      <c r="AP959" t="s">
        <v>223</v>
      </c>
      <c r="AQ959" t="s">
        <v>74</v>
      </c>
      <c r="AR959" t="s">
        <v>224</v>
      </c>
      <c r="AS959" t="s">
        <v>225</v>
      </c>
      <c r="AT959" t="s">
        <v>492</v>
      </c>
      <c r="AU959">
        <v>2014</v>
      </c>
      <c r="AV959">
        <v>44</v>
      </c>
      <c r="AW959" t="s">
        <v>74</v>
      </c>
      <c r="AX959" t="s">
        <v>74</v>
      </c>
      <c r="AY959">
        <v>58</v>
      </c>
      <c r="AZ959" t="s">
        <v>74</v>
      </c>
      <c r="BA959" t="s">
        <v>13319</v>
      </c>
      <c r="BB959" t="s">
        <v>74</v>
      </c>
      <c r="BC959" t="s">
        <v>74</v>
      </c>
      <c r="BD959" t="s">
        <v>74</v>
      </c>
      <c r="BE959" t="s">
        <v>74</v>
      </c>
      <c r="BF959" t="s">
        <v>74</v>
      </c>
      <c r="BG959" t="s">
        <v>74</v>
      </c>
      <c r="BH959" t="s">
        <v>74</v>
      </c>
      <c r="BI959">
        <v>4</v>
      </c>
      <c r="BJ959" t="s">
        <v>228</v>
      </c>
      <c r="BK959" t="s">
        <v>101</v>
      </c>
      <c r="BL959" t="s">
        <v>228</v>
      </c>
      <c r="BM959" t="s">
        <v>13224</v>
      </c>
      <c r="BN959" t="s">
        <v>74</v>
      </c>
      <c r="BO959" t="s">
        <v>74</v>
      </c>
      <c r="BP959" t="s">
        <v>74</v>
      </c>
      <c r="BQ959" t="s">
        <v>74</v>
      </c>
      <c r="BR959" t="s">
        <v>104</v>
      </c>
      <c r="BS959" t="s">
        <v>13320</v>
      </c>
      <c r="BT959" t="str">
        <f>HYPERLINK("https%3A%2F%2Fwww.webofscience.com%2Fwos%2Fwoscc%2Ffull-record%2FWOS:000209782505231","View Full Record in Web of Science")</f>
        <v>View Full Record in Web of Science</v>
      </c>
    </row>
    <row r="960" spans="1:72" x14ac:dyDescent="0.25">
      <c r="A960" t="s">
        <v>72</v>
      </c>
      <c r="B960" t="s">
        <v>13321</v>
      </c>
      <c r="C960" t="s">
        <v>74</v>
      </c>
      <c r="D960" t="s">
        <v>74</v>
      </c>
      <c r="E960" t="s">
        <v>74</v>
      </c>
      <c r="F960" t="s">
        <v>13322</v>
      </c>
      <c r="G960" t="s">
        <v>74</v>
      </c>
      <c r="H960" t="s">
        <v>74</v>
      </c>
      <c r="I960" t="s">
        <v>13323</v>
      </c>
      <c r="J960" t="s">
        <v>216</v>
      </c>
      <c r="K960" t="s">
        <v>74</v>
      </c>
      <c r="L960" t="s">
        <v>74</v>
      </c>
      <c r="M960" t="s">
        <v>78</v>
      </c>
      <c r="N960" t="s">
        <v>52</v>
      </c>
      <c r="O960" t="s">
        <v>74</v>
      </c>
      <c r="P960" t="s">
        <v>74</v>
      </c>
      <c r="Q960" t="s">
        <v>74</v>
      </c>
      <c r="R960" t="s">
        <v>74</v>
      </c>
      <c r="S960" t="s">
        <v>74</v>
      </c>
      <c r="T960" t="s">
        <v>1226</v>
      </c>
      <c r="U960" t="s">
        <v>74</v>
      </c>
      <c r="V960" t="s">
        <v>74</v>
      </c>
      <c r="W960" t="s">
        <v>74</v>
      </c>
      <c r="X960" t="s">
        <v>74</v>
      </c>
      <c r="Y960" t="s">
        <v>74</v>
      </c>
      <c r="Z960" t="s">
        <v>74</v>
      </c>
      <c r="AA960" t="s">
        <v>13324</v>
      </c>
      <c r="AB960" t="s">
        <v>1263</v>
      </c>
      <c r="AC960" t="s">
        <v>74</v>
      </c>
      <c r="AD960" t="s">
        <v>74</v>
      </c>
      <c r="AE960" t="s">
        <v>74</v>
      </c>
      <c r="AF960" t="s">
        <v>74</v>
      </c>
      <c r="AG960">
        <v>0</v>
      </c>
      <c r="AH960">
        <v>3</v>
      </c>
      <c r="AI960">
        <v>3</v>
      </c>
      <c r="AJ960">
        <v>0</v>
      </c>
      <c r="AK960">
        <v>0</v>
      </c>
      <c r="AL960" t="s">
        <v>219</v>
      </c>
      <c r="AM960" t="s">
        <v>220</v>
      </c>
      <c r="AN960" t="s">
        <v>221</v>
      </c>
      <c r="AO960" t="s">
        <v>222</v>
      </c>
      <c r="AP960" t="s">
        <v>223</v>
      </c>
      <c r="AQ960" t="s">
        <v>74</v>
      </c>
      <c r="AR960" t="s">
        <v>224</v>
      </c>
      <c r="AS960" t="s">
        <v>225</v>
      </c>
      <c r="AT960" t="s">
        <v>492</v>
      </c>
      <c r="AU960">
        <v>2014</v>
      </c>
      <c r="AV960">
        <v>44</v>
      </c>
      <c r="AW960" t="s">
        <v>74</v>
      </c>
      <c r="AX960" t="s">
        <v>74</v>
      </c>
      <c r="AY960">
        <v>58</v>
      </c>
      <c r="AZ960" t="s">
        <v>74</v>
      </c>
      <c r="BA960" t="s">
        <v>13325</v>
      </c>
      <c r="BB960" t="s">
        <v>74</v>
      </c>
      <c r="BC960" t="s">
        <v>74</v>
      </c>
      <c r="BD960" t="s">
        <v>74</v>
      </c>
      <c r="BE960" t="s">
        <v>74</v>
      </c>
      <c r="BF960" t="s">
        <v>74</v>
      </c>
      <c r="BG960" t="s">
        <v>74</v>
      </c>
      <c r="BH960" t="s">
        <v>74</v>
      </c>
      <c r="BI960">
        <v>4</v>
      </c>
      <c r="BJ960" t="s">
        <v>228</v>
      </c>
      <c r="BK960" t="s">
        <v>101</v>
      </c>
      <c r="BL960" t="s">
        <v>228</v>
      </c>
      <c r="BM960" t="s">
        <v>13224</v>
      </c>
      <c r="BN960" t="s">
        <v>74</v>
      </c>
      <c r="BO960" t="s">
        <v>74</v>
      </c>
      <c r="BP960" t="s">
        <v>74</v>
      </c>
      <c r="BQ960" t="s">
        <v>74</v>
      </c>
      <c r="BR960" t="s">
        <v>104</v>
      </c>
      <c r="BS960" t="s">
        <v>13326</v>
      </c>
      <c r="BT960" t="str">
        <f>HYPERLINK("https%3A%2F%2Fwww.webofscience.com%2Fwos%2Fwoscc%2Ffull-record%2FWOS:000209782505124","View Full Record in Web of Science")</f>
        <v>View Full Record in Web of Science</v>
      </c>
    </row>
    <row r="961" spans="1:72" x14ac:dyDescent="0.25">
      <c r="A961" t="s">
        <v>72</v>
      </c>
      <c r="B961" t="s">
        <v>13327</v>
      </c>
      <c r="C961" t="s">
        <v>74</v>
      </c>
      <c r="D961" t="s">
        <v>74</v>
      </c>
      <c r="E961" t="s">
        <v>74</v>
      </c>
      <c r="F961" t="s">
        <v>13328</v>
      </c>
      <c r="G961" t="s">
        <v>74</v>
      </c>
      <c r="H961" t="s">
        <v>74</v>
      </c>
      <c r="I961" t="s">
        <v>13329</v>
      </c>
      <c r="J961" t="s">
        <v>216</v>
      </c>
      <c r="K961" t="s">
        <v>74</v>
      </c>
      <c r="L961" t="s">
        <v>74</v>
      </c>
      <c r="M961" t="s">
        <v>78</v>
      </c>
      <c r="N961" t="s">
        <v>52</v>
      </c>
      <c r="O961" t="s">
        <v>74</v>
      </c>
      <c r="P961" t="s">
        <v>74</v>
      </c>
      <c r="Q961" t="s">
        <v>74</v>
      </c>
      <c r="R961" t="s">
        <v>74</v>
      </c>
      <c r="S961" t="s">
        <v>74</v>
      </c>
      <c r="T961" t="s">
        <v>13330</v>
      </c>
      <c r="U961" t="s">
        <v>74</v>
      </c>
      <c r="V961" t="s">
        <v>74</v>
      </c>
      <c r="W961" t="s">
        <v>74</v>
      </c>
      <c r="X961" t="s">
        <v>74</v>
      </c>
      <c r="Y961" t="s">
        <v>74</v>
      </c>
      <c r="Z961" t="s">
        <v>74</v>
      </c>
      <c r="AA961" t="s">
        <v>13331</v>
      </c>
      <c r="AB961" t="s">
        <v>13332</v>
      </c>
      <c r="AC961" t="s">
        <v>74</v>
      </c>
      <c r="AD961" t="s">
        <v>74</v>
      </c>
      <c r="AE961" t="s">
        <v>74</v>
      </c>
      <c r="AF961" t="s">
        <v>74</v>
      </c>
      <c r="AG961">
        <v>0</v>
      </c>
      <c r="AH961">
        <v>0</v>
      </c>
      <c r="AI961">
        <v>0</v>
      </c>
      <c r="AJ961">
        <v>0</v>
      </c>
      <c r="AK961">
        <v>0</v>
      </c>
      <c r="AL961" t="s">
        <v>219</v>
      </c>
      <c r="AM961" t="s">
        <v>220</v>
      </c>
      <c r="AN961" t="s">
        <v>221</v>
      </c>
      <c r="AO961" t="s">
        <v>222</v>
      </c>
      <c r="AP961" t="s">
        <v>223</v>
      </c>
      <c r="AQ961" t="s">
        <v>74</v>
      </c>
      <c r="AR961" t="s">
        <v>224</v>
      </c>
      <c r="AS961" t="s">
        <v>225</v>
      </c>
      <c r="AT961" t="s">
        <v>492</v>
      </c>
      <c r="AU961">
        <v>2014</v>
      </c>
      <c r="AV961">
        <v>44</v>
      </c>
      <c r="AW961" t="s">
        <v>74</v>
      </c>
      <c r="AX961" t="s">
        <v>74</v>
      </c>
      <c r="AY961">
        <v>58</v>
      </c>
      <c r="AZ961" t="s">
        <v>74</v>
      </c>
      <c r="BA961" t="s">
        <v>13333</v>
      </c>
      <c r="BB961" t="s">
        <v>74</v>
      </c>
      <c r="BC961" t="s">
        <v>74</v>
      </c>
      <c r="BD961" t="s">
        <v>74</v>
      </c>
      <c r="BE961" t="s">
        <v>74</v>
      </c>
      <c r="BF961" t="s">
        <v>74</v>
      </c>
      <c r="BG961" t="s">
        <v>74</v>
      </c>
      <c r="BH961" t="s">
        <v>74</v>
      </c>
      <c r="BI961">
        <v>4</v>
      </c>
      <c r="BJ961" t="s">
        <v>228</v>
      </c>
      <c r="BK961" t="s">
        <v>101</v>
      </c>
      <c r="BL961" t="s">
        <v>228</v>
      </c>
      <c r="BM961" t="s">
        <v>13224</v>
      </c>
      <c r="BN961" t="s">
        <v>74</v>
      </c>
      <c r="BO961" t="s">
        <v>74</v>
      </c>
      <c r="BP961" t="s">
        <v>74</v>
      </c>
      <c r="BQ961" t="s">
        <v>74</v>
      </c>
      <c r="BR961" t="s">
        <v>104</v>
      </c>
      <c r="BS961" t="s">
        <v>13334</v>
      </c>
      <c r="BT961" t="str">
        <f>HYPERLINK("https%3A%2F%2Fwww.webofscience.com%2Fwos%2Fwoscc%2Ffull-record%2FWOS:000209782505229","View Full Record in Web of Science")</f>
        <v>View Full Record in Web of Science</v>
      </c>
    </row>
    <row r="962" spans="1:72" x14ac:dyDescent="0.25">
      <c r="A962" t="s">
        <v>72</v>
      </c>
      <c r="B962" t="s">
        <v>13335</v>
      </c>
      <c r="C962" t="s">
        <v>74</v>
      </c>
      <c r="D962" t="s">
        <v>74</v>
      </c>
      <c r="E962" t="s">
        <v>74</v>
      </c>
      <c r="F962" t="s">
        <v>13336</v>
      </c>
      <c r="G962" t="s">
        <v>74</v>
      </c>
      <c r="H962" t="s">
        <v>74</v>
      </c>
      <c r="I962" t="s">
        <v>13337</v>
      </c>
      <c r="J962" t="s">
        <v>1529</v>
      </c>
      <c r="K962" t="s">
        <v>74</v>
      </c>
      <c r="L962" t="s">
        <v>74</v>
      </c>
      <c r="M962" t="s">
        <v>1349</v>
      </c>
      <c r="N962" t="s">
        <v>140</v>
      </c>
      <c r="O962" t="s">
        <v>74</v>
      </c>
      <c r="P962" t="s">
        <v>74</v>
      </c>
      <c r="Q962" t="s">
        <v>74</v>
      </c>
      <c r="R962" t="s">
        <v>74</v>
      </c>
      <c r="S962" t="s">
        <v>74</v>
      </c>
      <c r="T962" t="s">
        <v>74</v>
      </c>
      <c r="U962" t="s">
        <v>13338</v>
      </c>
      <c r="V962" t="s">
        <v>74</v>
      </c>
      <c r="W962" t="s">
        <v>13339</v>
      </c>
      <c r="X962" t="s">
        <v>13340</v>
      </c>
      <c r="Y962" t="s">
        <v>13341</v>
      </c>
      <c r="Z962" t="s">
        <v>6688</v>
      </c>
      <c r="AA962" t="s">
        <v>13342</v>
      </c>
      <c r="AB962" t="s">
        <v>13343</v>
      </c>
      <c r="AC962" t="s">
        <v>74</v>
      </c>
      <c r="AD962" t="s">
        <v>74</v>
      </c>
      <c r="AE962" t="s">
        <v>74</v>
      </c>
      <c r="AF962" t="s">
        <v>74</v>
      </c>
      <c r="AG962">
        <v>68</v>
      </c>
      <c r="AH962">
        <v>2</v>
      </c>
      <c r="AI962">
        <v>5</v>
      </c>
      <c r="AJ962">
        <v>0</v>
      </c>
      <c r="AK962">
        <v>5</v>
      </c>
      <c r="AL962" t="s">
        <v>1358</v>
      </c>
      <c r="AM962" t="s">
        <v>1359</v>
      </c>
      <c r="AN962" t="s">
        <v>1360</v>
      </c>
      <c r="AO962" t="s">
        <v>1533</v>
      </c>
      <c r="AP962" t="s">
        <v>1534</v>
      </c>
      <c r="AQ962" t="s">
        <v>74</v>
      </c>
      <c r="AR962" t="s">
        <v>1535</v>
      </c>
      <c r="AS962" t="s">
        <v>1536</v>
      </c>
      <c r="AT962" t="s">
        <v>492</v>
      </c>
      <c r="AU962">
        <v>2014</v>
      </c>
      <c r="AV962">
        <v>43</v>
      </c>
      <c r="AW962">
        <v>9</v>
      </c>
      <c r="AX962" t="s">
        <v>74</v>
      </c>
      <c r="AY962" t="s">
        <v>74</v>
      </c>
      <c r="AZ962" t="s">
        <v>74</v>
      </c>
      <c r="BA962" t="s">
        <v>74</v>
      </c>
      <c r="BB962">
        <v>981</v>
      </c>
      <c r="BC962">
        <v>993</v>
      </c>
      <c r="BD962" t="s">
        <v>74</v>
      </c>
      <c r="BE962" t="s">
        <v>13344</v>
      </c>
      <c r="BF962" t="str">
        <f>HYPERLINK("http://dx.doi.org/10.1016/j.lpm.2014.07.011","http://dx.doi.org/10.1016/j.lpm.2014.07.011")</f>
        <v>http://dx.doi.org/10.1016/j.lpm.2014.07.011</v>
      </c>
      <c r="BG962" t="s">
        <v>74</v>
      </c>
      <c r="BH962" t="s">
        <v>74</v>
      </c>
      <c r="BI962">
        <v>13</v>
      </c>
      <c r="BJ962" t="s">
        <v>1152</v>
      </c>
      <c r="BK962" t="s">
        <v>101</v>
      </c>
      <c r="BL962" t="s">
        <v>1153</v>
      </c>
      <c r="BM962" t="s">
        <v>13267</v>
      </c>
      <c r="BN962">
        <v>25153783</v>
      </c>
      <c r="BO962" t="s">
        <v>74</v>
      </c>
      <c r="BP962" t="s">
        <v>74</v>
      </c>
      <c r="BQ962" t="s">
        <v>74</v>
      </c>
      <c r="BR962" t="s">
        <v>104</v>
      </c>
      <c r="BS962" t="s">
        <v>13345</v>
      </c>
      <c r="BT962" t="str">
        <f>HYPERLINK("https%3A%2F%2Fwww.webofscience.com%2Fwos%2Fwoscc%2Ffull-record%2FWOS:000346503700015","View Full Record in Web of Science")</f>
        <v>View Full Record in Web of Science</v>
      </c>
    </row>
    <row r="963" spans="1:72" x14ac:dyDescent="0.25">
      <c r="A963" t="s">
        <v>72</v>
      </c>
      <c r="B963" t="s">
        <v>13346</v>
      </c>
      <c r="C963" t="s">
        <v>74</v>
      </c>
      <c r="D963" t="s">
        <v>74</v>
      </c>
      <c r="E963" t="s">
        <v>74</v>
      </c>
      <c r="F963" t="s">
        <v>13347</v>
      </c>
      <c r="G963" t="s">
        <v>74</v>
      </c>
      <c r="H963" t="s">
        <v>74</v>
      </c>
      <c r="I963" t="s">
        <v>13348</v>
      </c>
      <c r="J963" t="s">
        <v>13349</v>
      </c>
      <c r="K963" t="s">
        <v>74</v>
      </c>
      <c r="L963" t="s">
        <v>74</v>
      </c>
      <c r="M963" t="s">
        <v>78</v>
      </c>
      <c r="N963" t="s">
        <v>79</v>
      </c>
      <c r="O963" t="s">
        <v>74</v>
      </c>
      <c r="P963" t="s">
        <v>74</v>
      </c>
      <c r="Q963" t="s">
        <v>74</v>
      </c>
      <c r="R963" t="s">
        <v>74</v>
      </c>
      <c r="S963" t="s">
        <v>74</v>
      </c>
      <c r="T963" t="s">
        <v>13350</v>
      </c>
      <c r="U963" t="s">
        <v>13351</v>
      </c>
      <c r="V963" t="s">
        <v>13352</v>
      </c>
      <c r="W963" t="s">
        <v>13353</v>
      </c>
      <c r="X963" t="s">
        <v>13354</v>
      </c>
      <c r="Y963" t="s">
        <v>13355</v>
      </c>
      <c r="Z963" t="s">
        <v>13356</v>
      </c>
      <c r="AA963" t="s">
        <v>13357</v>
      </c>
      <c r="AB963" t="s">
        <v>13358</v>
      </c>
      <c r="AC963" t="s">
        <v>13359</v>
      </c>
      <c r="AD963" t="s">
        <v>13360</v>
      </c>
      <c r="AE963" t="s">
        <v>13361</v>
      </c>
      <c r="AF963" t="s">
        <v>74</v>
      </c>
      <c r="AG963">
        <v>52</v>
      </c>
      <c r="AH963">
        <v>68</v>
      </c>
      <c r="AI963">
        <v>78</v>
      </c>
      <c r="AJ963">
        <v>1</v>
      </c>
      <c r="AK963">
        <v>27</v>
      </c>
      <c r="AL963" t="s">
        <v>13362</v>
      </c>
      <c r="AM963" t="s">
        <v>13363</v>
      </c>
      <c r="AN963" t="s">
        <v>13364</v>
      </c>
      <c r="AO963" t="s">
        <v>13365</v>
      </c>
      <c r="AP963" t="s">
        <v>13366</v>
      </c>
      <c r="AQ963" t="s">
        <v>74</v>
      </c>
      <c r="AR963" t="s">
        <v>13367</v>
      </c>
      <c r="AS963" t="s">
        <v>13368</v>
      </c>
      <c r="AT963" t="s">
        <v>6124</v>
      </c>
      <c r="AU963">
        <v>2014</v>
      </c>
      <c r="AV963">
        <v>451</v>
      </c>
      <c r="AW963">
        <v>1</v>
      </c>
      <c r="AX963" t="s">
        <v>74</v>
      </c>
      <c r="AY963" t="s">
        <v>74</v>
      </c>
      <c r="AZ963" t="s">
        <v>74</v>
      </c>
      <c r="BA963" t="s">
        <v>74</v>
      </c>
      <c r="BB963">
        <v>8</v>
      </c>
      <c r="BC963">
        <v>14</v>
      </c>
      <c r="BD963" t="s">
        <v>74</v>
      </c>
      <c r="BE963" t="s">
        <v>13369</v>
      </c>
      <c r="BF963" t="str">
        <f>HYPERLINK("http://dx.doi.org/10.1016/j.bbrc.2014.06.111","http://dx.doi.org/10.1016/j.bbrc.2014.06.111")</f>
        <v>http://dx.doi.org/10.1016/j.bbrc.2014.06.111</v>
      </c>
      <c r="BG963" t="s">
        <v>74</v>
      </c>
      <c r="BH963" t="s">
        <v>74</v>
      </c>
      <c r="BI963">
        <v>7</v>
      </c>
      <c r="BJ963" t="s">
        <v>13370</v>
      </c>
      <c r="BK963" t="s">
        <v>101</v>
      </c>
      <c r="BL963" t="s">
        <v>13370</v>
      </c>
      <c r="BM963" t="s">
        <v>13371</v>
      </c>
      <c r="BN963">
        <v>25003325</v>
      </c>
      <c r="BO963" t="s">
        <v>74</v>
      </c>
      <c r="BP963" t="s">
        <v>74</v>
      </c>
      <c r="BQ963" t="s">
        <v>74</v>
      </c>
      <c r="BR963" t="s">
        <v>104</v>
      </c>
      <c r="BS963" t="s">
        <v>13372</v>
      </c>
      <c r="BT963" t="str">
        <f>HYPERLINK("https%3A%2F%2Fwww.webofscience.com%2Fwos%2Fwoscc%2Ffull-record%2FWOS:000340864200002","View Full Record in Web of Science")</f>
        <v>View Full Record in Web of Science</v>
      </c>
    </row>
    <row r="964" spans="1:72" x14ac:dyDescent="0.25">
      <c r="A964" t="s">
        <v>72</v>
      </c>
      <c r="B964" t="s">
        <v>13373</v>
      </c>
      <c r="C964" t="s">
        <v>74</v>
      </c>
      <c r="D964" t="s">
        <v>74</v>
      </c>
      <c r="E964" t="s">
        <v>74</v>
      </c>
      <c r="F964" t="s">
        <v>13374</v>
      </c>
      <c r="G964" t="s">
        <v>74</v>
      </c>
      <c r="H964" t="s">
        <v>74</v>
      </c>
      <c r="I964" t="s">
        <v>13375</v>
      </c>
      <c r="J964" t="s">
        <v>216</v>
      </c>
      <c r="K964" t="s">
        <v>74</v>
      </c>
      <c r="L964" t="s">
        <v>74</v>
      </c>
      <c r="M964" t="s">
        <v>78</v>
      </c>
      <c r="N964" t="s">
        <v>79</v>
      </c>
      <c r="O964" t="s">
        <v>74</v>
      </c>
      <c r="P964" t="s">
        <v>74</v>
      </c>
      <c r="Q964" t="s">
        <v>74</v>
      </c>
      <c r="R964" t="s">
        <v>74</v>
      </c>
      <c r="S964" t="s">
        <v>74</v>
      </c>
      <c r="T964" t="s">
        <v>74</v>
      </c>
      <c r="U964" t="s">
        <v>13376</v>
      </c>
      <c r="V964" t="s">
        <v>13377</v>
      </c>
      <c r="W964" t="s">
        <v>13378</v>
      </c>
      <c r="X964" t="s">
        <v>13379</v>
      </c>
      <c r="Y964" t="s">
        <v>13380</v>
      </c>
      <c r="Z964" t="s">
        <v>13381</v>
      </c>
      <c r="AA964" t="s">
        <v>13382</v>
      </c>
      <c r="AB964" t="s">
        <v>13383</v>
      </c>
      <c r="AC964" t="s">
        <v>13384</v>
      </c>
      <c r="AD964" t="s">
        <v>13385</v>
      </c>
      <c r="AE964" t="s">
        <v>13386</v>
      </c>
      <c r="AF964" t="s">
        <v>74</v>
      </c>
      <c r="AG964">
        <v>68</v>
      </c>
      <c r="AH964">
        <v>146</v>
      </c>
      <c r="AI964">
        <v>154</v>
      </c>
      <c r="AJ964">
        <v>0</v>
      </c>
      <c r="AK964">
        <v>115</v>
      </c>
      <c r="AL964" t="s">
        <v>219</v>
      </c>
      <c r="AM964" t="s">
        <v>220</v>
      </c>
      <c r="AN964" t="s">
        <v>221</v>
      </c>
      <c r="AO964" t="s">
        <v>222</v>
      </c>
      <c r="AP964" t="s">
        <v>223</v>
      </c>
      <c r="AQ964" t="s">
        <v>74</v>
      </c>
      <c r="AR964" t="s">
        <v>224</v>
      </c>
      <c r="AS964" t="s">
        <v>225</v>
      </c>
      <c r="AT964" t="s">
        <v>725</v>
      </c>
      <c r="AU964">
        <v>2014</v>
      </c>
      <c r="AV964">
        <v>44</v>
      </c>
      <c r="AW964">
        <v>2</v>
      </c>
      <c r="AX964" t="s">
        <v>74</v>
      </c>
      <c r="AY964" t="s">
        <v>74</v>
      </c>
      <c r="AZ964" t="s">
        <v>74</v>
      </c>
      <c r="BA964" t="s">
        <v>74</v>
      </c>
      <c r="BB964">
        <v>304</v>
      </c>
      <c r="BC964">
        <v>323</v>
      </c>
      <c r="BD964" t="s">
        <v>74</v>
      </c>
      <c r="BE964" t="s">
        <v>13387</v>
      </c>
      <c r="BF964" t="str">
        <f>HYPERLINK("http://dx.doi.org/10.1183/09031936.00014614","http://dx.doi.org/10.1183/09031936.00014614")</f>
        <v>http://dx.doi.org/10.1183/09031936.00014614</v>
      </c>
      <c r="BG964" t="s">
        <v>74</v>
      </c>
      <c r="BH964" t="s">
        <v>74</v>
      </c>
      <c r="BI964">
        <v>20</v>
      </c>
      <c r="BJ964" t="s">
        <v>228</v>
      </c>
      <c r="BK964" t="s">
        <v>2614</v>
      </c>
      <c r="BL964" t="s">
        <v>228</v>
      </c>
      <c r="BM964" t="s">
        <v>13388</v>
      </c>
      <c r="BN964">
        <v>24925919</v>
      </c>
      <c r="BO964" t="s">
        <v>13389</v>
      </c>
      <c r="BP964" t="s">
        <v>74</v>
      </c>
      <c r="BQ964" t="s">
        <v>74</v>
      </c>
      <c r="BR964" t="s">
        <v>104</v>
      </c>
      <c r="BS964" t="s">
        <v>13390</v>
      </c>
      <c r="BT964" t="str">
        <f>HYPERLINK("https%3A%2F%2Fwww.webofscience.com%2Fwos%2Fwoscc%2Ffull-record%2FWOS:000340017300009","View Full Record in Web of Science")</f>
        <v>View Full Record in Web of Science</v>
      </c>
    </row>
    <row r="965" spans="1:72" x14ac:dyDescent="0.25">
      <c r="A965" t="s">
        <v>72</v>
      </c>
      <c r="B965" t="s">
        <v>13391</v>
      </c>
      <c r="C965" t="s">
        <v>74</v>
      </c>
      <c r="D965" t="s">
        <v>74</v>
      </c>
      <c r="E965" t="s">
        <v>74</v>
      </c>
      <c r="F965" t="s">
        <v>13392</v>
      </c>
      <c r="G965" t="s">
        <v>74</v>
      </c>
      <c r="H965" t="s">
        <v>74</v>
      </c>
      <c r="I965" t="s">
        <v>13393</v>
      </c>
      <c r="J965" t="s">
        <v>13394</v>
      </c>
      <c r="K965" t="s">
        <v>74</v>
      </c>
      <c r="L965" t="s">
        <v>74</v>
      </c>
      <c r="M965" t="s">
        <v>78</v>
      </c>
      <c r="N965" t="s">
        <v>299</v>
      </c>
      <c r="O965" t="s">
        <v>74</v>
      </c>
      <c r="P965" t="s">
        <v>74</v>
      </c>
      <c r="Q965" t="s">
        <v>74</v>
      </c>
      <c r="R965" t="s">
        <v>74</v>
      </c>
      <c r="S965" t="s">
        <v>74</v>
      </c>
      <c r="T965" t="s">
        <v>74</v>
      </c>
      <c r="U965" t="s">
        <v>13395</v>
      </c>
      <c r="V965" t="s">
        <v>13396</v>
      </c>
      <c r="W965" t="s">
        <v>13397</v>
      </c>
      <c r="X965" t="s">
        <v>13398</v>
      </c>
      <c r="Y965" t="s">
        <v>13399</v>
      </c>
      <c r="Z965" t="s">
        <v>13011</v>
      </c>
      <c r="AA965" t="s">
        <v>13400</v>
      </c>
      <c r="AB965" t="s">
        <v>13401</v>
      </c>
      <c r="AC965" t="s">
        <v>13402</v>
      </c>
      <c r="AD965" t="s">
        <v>13403</v>
      </c>
      <c r="AE965" t="s">
        <v>13404</v>
      </c>
      <c r="AF965" t="s">
        <v>74</v>
      </c>
      <c r="AG965">
        <v>81</v>
      </c>
      <c r="AH965">
        <v>44</v>
      </c>
      <c r="AI965">
        <v>48</v>
      </c>
      <c r="AJ965">
        <v>0</v>
      </c>
      <c r="AK965">
        <v>14</v>
      </c>
      <c r="AL965" t="s">
        <v>397</v>
      </c>
      <c r="AM965" t="s">
        <v>1074</v>
      </c>
      <c r="AN965" t="s">
        <v>4444</v>
      </c>
      <c r="AO965" t="s">
        <v>13405</v>
      </c>
      <c r="AP965" t="s">
        <v>13406</v>
      </c>
      <c r="AQ965" t="s">
        <v>74</v>
      </c>
      <c r="AR965" t="s">
        <v>13407</v>
      </c>
      <c r="AS965" t="s">
        <v>13408</v>
      </c>
      <c r="AT965" t="s">
        <v>725</v>
      </c>
      <c r="AU965">
        <v>2014</v>
      </c>
      <c r="AV965">
        <v>19</v>
      </c>
      <c r="AW965">
        <v>8</v>
      </c>
      <c r="AX965" t="s">
        <v>74</v>
      </c>
      <c r="AY965" t="s">
        <v>74</v>
      </c>
      <c r="AZ965" t="s">
        <v>74</v>
      </c>
      <c r="BA965" t="s">
        <v>74</v>
      </c>
      <c r="BB965">
        <v>1251</v>
      </c>
      <c r="BC965">
        <v>1256</v>
      </c>
      <c r="BD965" t="s">
        <v>74</v>
      </c>
      <c r="BE965" t="s">
        <v>13409</v>
      </c>
      <c r="BF965" t="str">
        <f>HYPERLINK("http://dx.doi.org/10.1016/j.drudis.2014.04.007","http://dx.doi.org/10.1016/j.drudis.2014.04.007")</f>
        <v>http://dx.doi.org/10.1016/j.drudis.2014.04.007</v>
      </c>
      <c r="BG965" t="s">
        <v>74</v>
      </c>
      <c r="BH965" t="s">
        <v>74</v>
      </c>
      <c r="BI965">
        <v>6</v>
      </c>
      <c r="BJ965" t="s">
        <v>1477</v>
      </c>
      <c r="BK965" t="s">
        <v>101</v>
      </c>
      <c r="BL965" t="s">
        <v>1477</v>
      </c>
      <c r="BM965" t="s">
        <v>13410</v>
      </c>
      <c r="BN965">
        <v>24747559</v>
      </c>
      <c r="BO965" t="s">
        <v>74</v>
      </c>
      <c r="BP965" t="s">
        <v>74</v>
      </c>
      <c r="BQ965" t="s">
        <v>74</v>
      </c>
      <c r="BR965" t="s">
        <v>104</v>
      </c>
      <c r="BS965" t="s">
        <v>13411</v>
      </c>
      <c r="BT965" t="str">
        <f>HYPERLINK("https%3A%2F%2Fwww.webofscience.com%2Fwos%2Fwoscc%2Ffull-record%2FWOS:000341339500034","View Full Record in Web of Science")</f>
        <v>View Full Record in Web of Science</v>
      </c>
    </row>
    <row r="966" spans="1:72" x14ac:dyDescent="0.25">
      <c r="A966" t="s">
        <v>72</v>
      </c>
      <c r="B966" t="s">
        <v>13412</v>
      </c>
      <c r="C966" t="s">
        <v>74</v>
      </c>
      <c r="D966" t="s">
        <v>74</v>
      </c>
      <c r="E966" t="s">
        <v>74</v>
      </c>
      <c r="F966" t="s">
        <v>13413</v>
      </c>
      <c r="G966" t="s">
        <v>74</v>
      </c>
      <c r="H966" t="s">
        <v>74</v>
      </c>
      <c r="I966" t="s">
        <v>13414</v>
      </c>
      <c r="J966" t="s">
        <v>1728</v>
      </c>
      <c r="K966" t="s">
        <v>74</v>
      </c>
      <c r="L966" t="s">
        <v>74</v>
      </c>
      <c r="M966" t="s">
        <v>78</v>
      </c>
      <c r="N966" t="s">
        <v>140</v>
      </c>
      <c r="O966" t="s">
        <v>74</v>
      </c>
      <c r="P966" t="s">
        <v>74</v>
      </c>
      <c r="Q966" t="s">
        <v>74</v>
      </c>
      <c r="R966" t="s">
        <v>74</v>
      </c>
      <c r="S966" t="s">
        <v>74</v>
      </c>
      <c r="T966" t="s">
        <v>13415</v>
      </c>
      <c r="U966" t="s">
        <v>13416</v>
      </c>
      <c r="V966" t="s">
        <v>13417</v>
      </c>
      <c r="W966" t="s">
        <v>13418</v>
      </c>
      <c r="X966" t="s">
        <v>13419</v>
      </c>
      <c r="Y966" t="s">
        <v>13420</v>
      </c>
      <c r="Z966" t="s">
        <v>10035</v>
      </c>
      <c r="AA966" t="s">
        <v>13421</v>
      </c>
      <c r="AB966" t="s">
        <v>13422</v>
      </c>
      <c r="AC966" t="s">
        <v>74</v>
      </c>
      <c r="AD966" t="s">
        <v>74</v>
      </c>
      <c r="AE966" t="s">
        <v>74</v>
      </c>
      <c r="AF966" t="s">
        <v>74</v>
      </c>
      <c r="AG966">
        <v>30</v>
      </c>
      <c r="AH966">
        <v>19</v>
      </c>
      <c r="AI966">
        <v>20</v>
      </c>
      <c r="AJ966">
        <v>0</v>
      </c>
      <c r="AK966">
        <v>8</v>
      </c>
      <c r="AL966" t="s">
        <v>13423</v>
      </c>
      <c r="AM966" t="s">
        <v>201</v>
      </c>
      <c r="AN966" t="s">
        <v>13424</v>
      </c>
      <c r="AO966" t="s">
        <v>1738</v>
      </c>
      <c r="AP966" t="s">
        <v>1739</v>
      </c>
      <c r="AQ966" t="s">
        <v>74</v>
      </c>
      <c r="AR966" t="s">
        <v>1740</v>
      </c>
      <c r="AS966" t="s">
        <v>1741</v>
      </c>
      <c r="AT966" t="s">
        <v>725</v>
      </c>
      <c r="AU966">
        <v>2014</v>
      </c>
      <c r="AV966">
        <v>8</v>
      </c>
      <c r="AW966">
        <v>4</v>
      </c>
      <c r="AX966" t="s">
        <v>74</v>
      </c>
      <c r="AY966" t="s">
        <v>74</v>
      </c>
      <c r="AZ966" t="s">
        <v>74</v>
      </c>
      <c r="BA966" t="s">
        <v>74</v>
      </c>
      <c r="BB966">
        <v>385</v>
      </c>
      <c r="BC966">
        <v>387</v>
      </c>
      <c r="BD966" t="s">
        <v>74</v>
      </c>
      <c r="BE966" t="s">
        <v>13425</v>
      </c>
      <c r="BF966" t="str">
        <f>HYPERLINK("http://dx.doi.org/10.1586/17476348.2014.909731","http://dx.doi.org/10.1586/17476348.2014.909731")</f>
        <v>http://dx.doi.org/10.1586/17476348.2014.909731</v>
      </c>
      <c r="BG966" t="s">
        <v>74</v>
      </c>
      <c r="BH966" t="s">
        <v>74</v>
      </c>
      <c r="BI966">
        <v>3</v>
      </c>
      <c r="BJ966" t="s">
        <v>228</v>
      </c>
      <c r="BK966" t="s">
        <v>101</v>
      </c>
      <c r="BL966" t="s">
        <v>228</v>
      </c>
      <c r="BM966" t="s">
        <v>13426</v>
      </c>
      <c r="BN966">
        <v>24742047</v>
      </c>
      <c r="BO966" t="s">
        <v>1194</v>
      </c>
      <c r="BP966" t="s">
        <v>74</v>
      </c>
      <c r="BQ966" t="s">
        <v>74</v>
      </c>
      <c r="BR966" t="s">
        <v>104</v>
      </c>
      <c r="BS966" t="s">
        <v>13427</v>
      </c>
      <c r="BT966" t="str">
        <f>HYPERLINK("https%3A%2F%2Fwww.webofscience.com%2Fwos%2Fwoscc%2Ffull-record%2FWOS:000340135800002","View Full Record in Web of Science")</f>
        <v>View Full Record in Web of Science</v>
      </c>
    </row>
    <row r="967" spans="1:72" x14ac:dyDescent="0.25">
      <c r="A967" t="s">
        <v>72</v>
      </c>
      <c r="B967" t="s">
        <v>13428</v>
      </c>
      <c r="C967" t="s">
        <v>74</v>
      </c>
      <c r="D967" t="s">
        <v>74</v>
      </c>
      <c r="E967" t="s">
        <v>74</v>
      </c>
      <c r="F967" t="s">
        <v>13429</v>
      </c>
      <c r="G967" t="s">
        <v>74</v>
      </c>
      <c r="H967" t="s">
        <v>74</v>
      </c>
      <c r="I967" t="s">
        <v>13430</v>
      </c>
      <c r="J967" t="s">
        <v>9067</v>
      </c>
      <c r="K967" t="s">
        <v>74</v>
      </c>
      <c r="L967" t="s">
        <v>74</v>
      </c>
      <c r="M967" t="s">
        <v>78</v>
      </c>
      <c r="N967" t="s">
        <v>79</v>
      </c>
      <c r="O967" t="s">
        <v>74</v>
      </c>
      <c r="P967" t="s">
        <v>74</v>
      </c>
      <c r="Q967" t="s">
        <v>74</v>
      </c>
      <c r="R967" t="s">
        <v>74</v>
      </c>
      <c r="S967" t="s">
        <v>74</v>
      </c>
      <c r="T967" t="s">
        <v>13431</v>
      </c>
      <c r="U967" t="s">
        <v>13432</v>
      </c>
      <c r="V967" t="s">
        <v>13433</v>
      </c>
      <c r="W967" t="s">
        <v>13434</v>
      </c>
      <c r="X967" t="s">
        <v>13435</v>
      </c>
      <c r="Y967" t="s">
        <v>13436</v>
      </c>
      <c r="Z967" t="s">
        <v>13437</v>
      </c>
      <c r="AA967" t="s">
        <v>13438</v>
      </c>
      <c r="AB967" t="s">
        <v>13439</v>
      </c>
      <c r="AC967" t="s">
        <v>74</v>
      </c>
      <c r="AD967" t="s">
        <v>74</v>
      </c>
      <c r="AE967" t="s">
        <v>74</v>
      </c>
      <c r="AF967" t="s">
        <v>74</v>
      </c>
      <c r="AG967">
        <v>34</v>
      </c>
      <c r="AH967">
        <v>80</v>
      </c>
      <c r="AI967">
        <v>86</v>
      </c>
      <c r="AJ967">
        <v>0</v>
      </c>
      <c r="AK967">
        <v>6</v>
      </c>
      <c r="AL967" t="s">
        <v>991</v>
      </c>
      <c r="AM967" t="s">
        <v>486</v>
      </c>
      <c r="AN967" t="s">
        <v>8530</v>
      </c>
      <c r="AO967" t="s">
        <v>9073</v>
      </c>
      <c r="AP967" t="s">
        <v>9074</v>
      </c>
      <c r="AQ967" t="s">
        <v>74</v>
      </c>
      <c r="AR967" t="s">
        <v>9075</v>
      </c>
      <c r="AS967" t="s">
        <v>9076</v>
      </c>
      <c r="AT967" t="s">
        <v>13440</v>
      </c>
      <c r="AU967">
        <v>2014</v>
      </c>
      <c r="AV967">
        <v>64</v>
      </c>
      <c r="AW967">
        <v>1</v>
      </c>
      <c r="AX967" t="s">
        <v>74</v>
      </c>
      <c r="AY967" t="s">
        <v>74</v>
      </c>
      <c r="AZ967" t="s">
        <v>74</v>
      </c>
      <c r="BA967" t="s">
        <v>74</v>
      </c>
      <c r="BB967">
        <v>28</v>
      </c>
      <c r="BC967">
        <v>37</v>
      </c>
      <c r="BD967" t="s">
        <v>74</v>
      </c>
      <c r="BE967" t="s">
        <v>13441</v>
      </c>
      <c r="BF967" t="str">
        <f>HYPERLINK("http://dx.doi.org/10.1016/j.jacc.2014.04.031","http://dx.doi.org/10.1016/j.jacc.2014.04.031")</f>
        <v>http://dx.doi.org/10.1016/j.jacc.2014.04.031</v>
      </c>
      <c r="BG967" t="s">
        <v>74</v>
      </c>
      <c r="BH967" t="s">
        <v>74</v>
      </c>
      <c r="BI967">
        <v>10</v>
      </c>
      <c r="BJ967" t="s">
        <v>132</v>
      </c>
      <c r="BK967" t="s">
        <v>101</v>
      </c>
      <c r="BL967" t="s">
        <v>133</v>
      </c>
      <c r="BM967" t="s">
        <v>13442</v>
      </c>
      <c r="BN967">
        <v>24998125</v>
      </c>
      <c r="BO967" t="s">
        <v>74</v>
      </c>
      <c r="BP967" t="s">
        <v>74</v>
      </c>
      <c r="BQ967" t="s">
        <v>74</v>
      </c>
      <c r="BR967" t="s">
        <v>104</v>
      </c>
      <c r="BS967" t="s">
        <v>13443</v>
      </c>
      <c r="BT967" t="str">
        <f>HYPERLINK("https%3A%2F%2Fwww.webofscience.com%2Fwos%2Fwoscc%2Ffull-record%2FWOS:000339337700005","View Full Record in Web of Science")</f>
        <v>View Full Record in Web of Science</v>
      </c>
    </row>
    <row r="968" spans="1:72" x14ac:dyDescent="0.25">
      <c r="A968" t="s">
        <v>72</v>
      </c>
      <c r="B968" t="s">
        <v>13444</v>
      </c>
      <c r="C968" t="s">
        <v>74</v>
      </c>
      <c r="D968" t="s">
        <v>74</v>
      </c>
      <c r="E968" t="s">
        <v>74</v>
      </c>
      <c r="F968" t="s">
        <v>13445</v>
      </c>
      <c r="G968" t="s">
        <v>74</v>
      </c>
      <c r="H968" t="s">
        <v>74</v>
      </c>
      <c r="I968" t="s">
        <v>13446</v>
      </c>
      <c r="J968" t="s">
        <v>216</v>
      </c>
      <c r="K968" t="s">
        <v>74</v>
      </c>
      <c r="L968" t="s">
        <v>74</v>
      </c>
      <c r="M968" t="s">
        <v>78</v>
      </c>
      <c r="N968" t="s">
        <v>460</v>
      </c>
      <c r="O968" t="s">
        <v>74</v>
      </c>
      <c r="P968" t="s">
        <v>74</v>
      </c>
      <c r="Q968" t="s">
        <v>74</v>
      </c>
      <c r="R968" t="s">
        <v>74</v>
      </c>
      <c r="S968" t="s">
        <v>74</v>
      </c>
      <c r="T968" t="s">
        <v>74</v>
      </c>
      <c r="U968" t="s">
        <v>13447</v>
      </c>
      <c r="V968" t="s">
        <v>74</v>
      </c>
      <c r="W968" t="s">
        <v>13448</v>
      </c>
      <c r="X968" t="s">
        <v>13449</v>
      </c>
      <c r="Y968" t="s">
        <v>13450</v>
      </c>
      <c r="Z968" t="s">
        <v>13198</v>
      </c>
      <c r="AA968" t="s">
        <v>13451</v>
      </c>
      <c r="AB968" t="s">
        <v>13452</v>
      </c>
      <c r="AC968" t="s">
        <v>74</v>
      </c>
      <c r="AD968" t="s">
        <v>74</v>
      </c>
      <c r="AE968" t="s">
        <v>74</v>
      </c>
      <c r="AF968" t="s">
        <v>74</v>
      </c>
      <c r="AG968">
        <v>14</v>
      </c>
      <c r="AH968">
        <v>69</v>
      </c>
      <c r="AI968">
        <v>69</v>
      </c>
      <c r="AJ968">
        <v>1</v>
      </c>
      <c r="AK968">
        <v>7</v>
      </c>
      <c r="AL968" t="s">
        <v>219</v>
      </c>
      <c r="AM968" t="s">
        <v>220</v>
      </c>
      <c r="AN968" t="s">
        <v>221</v>
      </c>
      <c r="AO968" t="s">
        <v>222</v>
      </c>
      <c r="AP968" t="s">
        <v>223</v>
      </c>
      <c r="AQ968" t="s">
        <v>74</v>
      </c>
      <c r="AR968" t="s">
        <v>224</v>
      </c>
      <c r="AS968" t="s">
        <v>225</v>
      </c>
      <c r="AT968" t="s">
        <v>785</v>
      </c>
      <c r="AU968">
        <v>2014</v>
      </c>
      <c r="AV968">
        <v>44</v>
      </c>
      <c r="AW968">
        <v>1</v>
      </c>
      <c r="AX968" t="s">
        <v>74</v>
      </c>
      <c r="AY968" t="s">
        <v>74</v>
      </c>
      <c r="AZ968" t="s">
        <v>74</v>
      </c>
      <c r="BA968" t="s">
        <v>74</v>
      </c>
      <c r="BB968">
        <v>239</v>
      </c>
      <c r="BC968">
        <v>241</v>
      </c>
      <c r="BD968" t="s">
        <v>74</v>
      </c>
      <c r="BE968" t="s">
        <v>13453</v>
      </c>
      <c r="BF968" t="str">
        <f>HYPERLINK("http://dx.doi.org/10.1183/09031936.00220413","http://dx.doi.org/10.1183/09031936.00220413")</f>
        <v>http://dx.doi.org/10.1183/09031936.00220413</v>
      </c>
      <c r="BG968" t="s">
        <v>74</v>
      </c>
      <c r="BH968" t="s">
        <v>74</v>
      </c>
      <c r="BI968">
        <v>3</v>
      </c>
      <c r="BJ968" t="s">
        <v>228</v>
      </c>
      <c r="BK968" t="s">
        <v>101</v>
      </c>
      <c r="BL968" t="s">
        <v>228</v>
      </c>
      <c r="BM968" t="s">
        <v>13454</v>
      </c>
      <c r="BN968">
        <v>24659543</v>
      </c>
      <c r="BO968" t="s">
        <v>1194</v>
      </c>
      <c r="BP968" t="s">
        <v>74</v>
      </c>
      <c r="BQ968" t="s">
        <v>74</v>
      </c>
      <c r="BR968" t="s">
        <v>104</v>
      </c>
      <c r="BS968" t="s">
        <v>13455</v>
      </c>
      <c r="BT968" t="str">
        <f>HYPERLINK("https%3A%2F%2Fwww.webofscience.com%2Fwos%2Fwoscc%2Ffull-record%2FWOS:000338906700025","View Full Record in Web of Science")</f>
        <v>View Full Record in Web of Science</v>
      </c>
    </row>
    <row r="969" spans="1:72" x14ac:dyDescent="0.25">
      <c r="A969" t="s">
        <v>72</v>
      </c>
      <c r="B969" t="s">
        <v>13456</v>
      </c>
      <c r="C969" t="s">
        <v>74</v>
      </c>
      <c r="D969" t="s">
        <v>74</v>
      </c>
      <c r="E969" t="s">
        <v>74</v>
      </c>
      <c r="F969" t="s">
        <v>13457</v>
      </c>
      <c r="G969" t="s">
        <v>74</v>
      </c>
      <c r="H969" t="s">
        <v>74</v>
      </c>
      <c r="I969" t="s">
        <v>13458</v>
      </c>
      <c r="J969" t="s">
        <v>5456</v>
      </c>
      <c r="K969" t="s">
        <v>74</v>
      </c>
      <c r="L969" t="s">
        <v>74</v>
      </c>
      <c r="M969" t="s">
        <v>78</v>
      </c>
      <c r="N969" t="s">
        <v>79</v>
      </c>
      <c r="O969" t="s">
        <v>74</v>
      </c>
      <c r="P969" t="s">
        <v>74</v>
      </c>
      <c r="Q969" t="s">
        <v>74</v>
      </c>
      <c r="R969" t="s">
        <v>74</v>
      </c>
      <c r="S969" t="s">
        <v>74</v>
      </c>
      <c r="T969" t="s">
        <v>74</v>
      </c>
      <c r="U969" t="s">
        <v>13459</v>
      </c>
      <c r="V969" t="s">
        <v>13460</v>
      </c>
      <c r="W969" t="s">
        <v>13461</v>
      </c>
      <c r="X969" t="s">
        <v>13462</v>
      </c>
      <c r="Y969" t="s">
        <v>13463</v>
      </c>
      <c r="Z969" t="s">
        <v>7431</v>
      </c>
      <c r="AA969" t="s">
        <v>13464</v>
      </c>
      <c r="AB969" t="s">
        <v>13465</v>
      </c>
      <c r="AC969" t="s">
        <v>13466</v>
      </c>
      <c r="AD969" t="s">
        <v>13467</v>
      </c>
      <c r="AE969" t="s">
        <v>13468</v>
      </c>
      <c r="AF969" t="s">
        <v>74</v>
      </c>
      <c r="AG969">
        <v>32</v>
      </c>
      <c r="AH969">
        <v>81</v>
      </c>
      <c r="AI969">
        <v>85</v>
      </c>
      <c r="AJ969">
        <v>0</v>
      </c>
      <c r="AK969">
        <v>18</v>
      </c>
      <c r="AL969" t="s">
        <v>5465</v>
      </c>
      <c r="AM969" t="s">
        <v>5466</v>
      </c>
      <c r="AN969" t="s">
        <v>5467</v>
      </c>
      <c r="AO969" t="s">
        <v>5468</v>
      </c>
      <c r="AP969" t="s">
        <v>74</v>
      </c>
      <c r="AQ969" t="s">
        <v>74</v>
      </c>
      <c r="AR969" t="s">
        <v>5456</v>
      </c>
      <c r="AS969" t="s">
        <v>5469</v>
      </c>
      <c r="AT969" t="s">
        <v>13469</v>
      </c>
      <c r="AU969">
        <v>2014</v>
      </c>
      <c r="AV969">
        <v>9</v>
      </c>
      <c r="AW969">
        <v>6</v>
      </c>
      <c r="AX969" t="s">
        <v>74</v>
      </c>
      <c r="AY969" t="s">
        <v>74</v>
      </c>
      <c r="AZ969" t="s">
        <v>74</v>
      </c>
      <c r="BA969" t="s">
        <v>74</v>
      </c>
      <c r="BB969" t="s">
        <v>74</v>
      </c>
      <c r="BC969" t="s">
        <v>74</v>
      </c>
      <c r="BD969" t="s">
        <v>13470</v>
      </c>
      <c r="BE969" t="s">
        <v>13471</v>
      </c>
      <c r="BF969" t="str">
        <f>HYPERLINK("http://dx.doi.org/10.1371/journal.pone.0100310","http://dx.doi.org/10.1371/journal.pone.0100310")</f>
        <v>http://dx.doi.org/10.1371/journal.pone.0100310</v>
      </c>
      <c r="BG969" t="s">
        <v>74</v>
      </c>
      <c r="BH969" t="s">
        <v>74</v>
      </c>
      <c r="BI969">
        <v>10</v>
      </c>
      <c r="BJ969" t="s">
        <v>290</v>
      </c>
      <c r="BK969" t="s">
        <v>101</v>
      </c>
      <c r="BL969" t="s">
        <v>291</v>
      </c>
      <c r="BM969" t="s">
        <v>13472</v>
      </c>
      <c r="BN969">
        <v>24956016</v>
      </c>
      <c r="BO969" t="s">
        <v>5014</v>
      </c>
      <c r="BP969" t="s">
        <v>74</v>
      </c>
      <c r="BQ969" t="s">
        <v>74</v>
      </c>
      <c r="BR969" t="s">
        <v>104</v>
      </c>
      <c r="BS969" t="s">
        <v>13473</v>
      </c>
      <c r="BT969" t="str">
        <f>HYPERLINK("https%3A%2F%2Fwww.webofscience.com%2Fwos%2Fwoscc%2Ffull-record%2FWOS:000338917900040","View Full Record in Web of Science")</f>
        <v>View Full Record in Web of Science</v>
      </c>
    </row>
    <row r="970" spans="1:72" x14ac:dyDescent="0.25">
      <c r="A970" t="s">
        <v>72</v>
      </c>
      <c r="B970" t="s">
        <v>13474</v>
      </c>
      <c r="C970" t="s">
        <v>74</v>
      </c>
      <c r="D970" t="s">
        <v>74</v>
      </c>
      <c r="E970" t="s">
        <v>74</v>
      </c>
      <c r="F970" t="s">
        <v>13475</v>
      </c>
      <c r="G970" t="s">
        <v>74</v>
      </c>
      <c r="H970" t="s">
        <v>74</v>
      </c>
      <c r="I970" t="s">
        <v>13476</v>
      </c>
      <c r="J970" t="s">
        <v>2761</v>
      </c>
      <c r="K970" t="s">
        <v>74</v>
      </c>
      <c r="L970" t="s">
        <v>74</v>
      </c>
      <c r="M970" t="s">
        <v>78</v>
      </c>
      <c r="N970" t="s">
        <v>299</v>
      </c>
      <c r="O970" t="s">
        <v>74</v>
      </c>
      <c r="P970" t="s">
        <v>74</v>
      </c>
      <c r="Q970" t="s">
        <v>74</v>
      </c>
      <c r="R970" t="s">
        <v>74</v>
      </c>
      <c r="S970" t="s">
        <v>74</v>
      </c>
      <c r="T970" t="s">
        <v>13477</v>
      </c>
      <c r="U970" t="s">
        <v>13478</v>
      </c>
      <c r="V970" t="s">
        <v>13479</v>
      </c>
      <c r="W970" t="s">
        <v>13480</v>
      </c>
      <c r="X970" t="s">
        <v>13481</v>
      </c>
      <c r="Y970" t="s">
        <v>13482</v>
      </c>
      <c r="Z970" t="s">
        <v>13483</v>
      </c>
      <c r="AA970" t="s">
        <v>13484</v>
      </c>
      <c r="AB970" t="s">
        <v>10308</v>
      </c>
      <c r="AC970" t="s">
        <v>13485</v>
      </c>
      <c r="AD970" t="s">
        <v>13486</v>
      </c>
      <c r="AE970" t="s">
        <v>13487</v>
      </c>
      <c r="AF970" t="s">
        <v>74</v>
      </c>
      <c r="AG970">
        <v>144</v>
      </c>
      <c r="AH970">
        <v>736</v>
      </c>
      <c r="AI970">
        <v>795</v>
      </c>
      <c r="AJ970">
        <v>25</v>
      </c>
      <c r="AK970">
        <v>164</v>
      </c>
      <c r="AL970" t="s">
        <v>122</v>
      </c>
      <c r="AM970" t="s">
        <v>123</v>
      </c>
      <c r="AN970" t="s">
        <v>124</v>
      </c>
      <c r="AO970" t="s">
        <v>2773</v>
      </c>
      <c r="AP970" t="s">
        <v>2774</v>
      </c>
      <c r="AQ970" t="s">
        <v>74</v>
      </c>
      <c r="AR970" t="s">
        <v>2775</v>
      </c>
      <c r="AS970" t="s">
        <v>2776</v>
      </c>
      <c r="AT970" t="s">
        <v>13488</v>
      </c>
      <c r="AU970">
        <v>2014</v>
      </c>
      <c r="AV970">
        <v>115</v>
      </c>
      <c r="AW970">
        <v>1</v>
      </c>
      <c r="AX970" t="s">
        <v>74</v>
      </c>
      <c r="AY970" t="s">
        <v>74</v>
      </c>
      <c r="AZ970" t="s">
        <v>74</v>
      </c>
      <c r="BA970" t="s">
        <v>74</v>
      </c>
      <c r="BB970">
        <v>165</v>
      </c>
      <c r="BC970">
        <v>175</v>
      </c>
      <c r="BD970" t="s">
        <v>74</v>
      </c>
      <c r="BE970" t="s">
        <v>13489</v>
      </c>
      <c r="BF970" t="str">
        <f>HYPERLINK("http://dx.doi.org/10.1161/CIRCRESAHA.113.301141","http://dx.doi.org/10.1161/CIRCRESAHA.113.301141")</f>
        <v>http://dx.doi.org/10.1161/CIRCRESAHA.113.301141</v>
      </c>
      <c r="BG970" t="s">
        <v>74</v>
      </c>
      <c r="BH970" t="s">
        <v>74</v>
      </c>
      <c r="BI970">
        <v>11</v>
      </c>
      <c r="BJ970" t="s">
        <v>2781</v>
      </c>
      <c r="BK970" t="s">
        <v>101</v>
      </c>
      <c r="BL970" t="s">
        <v>2782</v>
      </c>
      <c r="BM970" t="s">
        <v>13490</v>
      </c>
      <c r="BN970">
        <v>24951765</v>
      </c>
      <c r="BO970" t="s">
        <v>4500</v>
      </c>
      <c r="BP970" t="s">
        <v>1155</v>
      </c>
      <c r="BQ970" t="s">
        <v>1156</v>
      </c>
      <c r="BR970" t="s">
        <v>104</v>
      </c>
      <c r="BS970" t="s">
        <v>13491</v>
      </c>
      <c r="BT970" t="str">
        <f>HYPERLINK("https%3A%2F%2Fwww.webofscience.com%2Fwos%2Fwoscc%2Ffull-record%2FWOS:000337738900018","View Full Record in Web of Science")</f>
        <v>View Full Record in Web of Science</v>
      </c>
    </row>
    <row r="971" spans="1:72" x14ac:dyDescent="0.25">
      <c r="A971" t="s">
        <v>72</v>
      </c>
      <c r="B971" t="s">
        <v>13492</v>
      </c>
      <c r="C971" t="s">
        <v>74</v>
      </c>
      <c r="D971" t="s">
        <v>74</v>
      </c>
      <c r="E971" t="s">
        <v>74</v>
      </c>
      <c r="F971" t="s">
        <v>13493</v>
      </c>
      <c r="G971" t="s">
        <v>74</v>
      </c>
      <c r="H971" t="s">
        <v>74</v>
      </c>
      <c r="I971" t="s">
        <v>13494</v>
      </c>
      <c r="J971" t="s">
        <v>1843</v>
      </c>
      <c r="K971" t="s">
        <v>74</v>
      </c>
      <c r="L971" t="s">
        <v>74</v>
      </c>
      <c r="M971" t="s">
        <v>78</v>
      </c>
      <c r="N971" t="s">
        <v>79</v>
      </c>
      <c r="O971" t="s">
        <v>74</v>
      </c>
      <c r="P971" t="s">
        <v>74</v>
      </c>
      <c r="Q971" t="s">
        <v>74</v>
      </c>
      <c r="R971" t="s">
        <v>74</v>
      </c>
      <c r="S971" t="s">
        <v>74</v>
      </c>
      <c r="T971" t="s">
        <v>13495</v>
      </c>
      <c r="U971" t="s">
        <v>13496</v>
      </c>
      <c r="V971" t="s">
        <v>13497</v>
      </c>
      <c r="W971" t="s">
        <v>13498</v>
      </c>
      <c r="X971" t="s">
        <v>13499</v>
      </c>
      <c r="Y971" t="s">
        <v>13500</v>
      </c>
      <c r="Z971" t="s">
        <v>756</v>
      </c>
      <c r="AA971" t="s">
        <v>13501</v>
      </c>
      <c r="AB971" t="s">
        <v>13502</v>
      </c>
      <c r="AC971" t="s">
        <v>13503</v>
      </c>
      <c r="AD971" t="s">
        <v>13504</v>
      </c>
      <c r="AE971" t="s">
        <v>13505</v>
      </c>
      <c r="AF971" t="s">
        <v>74</v>
      </c>
      <c r="AG971">
        <v>49</v>
      </c>
      <c r="AH971">
        <v>39</v>
      </c>
      <c r="AI971">
        <v>40</v>
      </c>
      <c r="AJ971">
        <v>0</v>
      </c>
      <c r="AK971">
        <v>10</v>
      </c>
      <c r="AL971" t="s">
        <v>1854</v>
      </c>
      <c r="AM971" t="s">
        <v>201</v>
      </c>
      <c r="AN971" t="s">
        <v>1855</v>
      </c>
      <c r="AO971" t="s">
        <v>74</v>
      </c>
      <c r="AP971" t="s">
        <v>1856</v>
      </c>
      <c r="AQ971" t="s">
        <v>74</v>
      </c>
      <c r="AR971" t="s">
        <v>1857</v>
      </c>
      <c r="AS971" t="s">
        <v>1858</v>
      </c>
      <c r="AT971" t="s">
        <v>3460</v>
      </c>
      <c r="AU971">
        <v>2014</v>
      </c>
      <c r="AV971">
        <v>15</v>
      </c>
      <c r="AW971" t="s">
        <v>74</v>
      </c>
      <c r="AX971" t="s">
        <v>74</v>
      </c>
      <c r="AY971" t="s">
        <v>74</v>
      </c>
      <c r="AZ971" t="s">
        <v>74</v>
      </c>
      <c r="BA971" t="s">
        <v>74</v>
      </c>
      <c r="BB971" t="s">
        <v>74</v>
      </c>
      <c r="BC971" t="s">
        <v>74</v>
      </c>
      <c r="BD971">
        <v>65</v>
      </c>
      <c r="BE971" t="s">
        <v>13506</v>
      </c>
      <c r="BF971" t="str">
        <f>HYPERLINK("http://dx.doi.org/10.1186/1465-9921-15-65","http://dx.doi.org/10.1186/1465-9921-15-65")</f>
        <v>http://dx.doi.org/10.1186/1465-9921-15-65</v>
      </c>
      <c r="BG971" t="s">
        <v>74</v>
      </c>
      <c r="BH971" t="s">
        <v>74</v>
      </c>
      <c r="BI971">
        <v>9</v>
      </c>
      <c r="BJ971" t="s">
        <v>228</v>
      </c>
      <c r="BK971" t="s">
        <v>101</v>
      </c>
      <c r="BL971" t="s">
        <v>228</v>
      </c>
      <c r="BM971" t="s">
        <v>13507</v>
      </c>
      <c r="BN971">
        <v>24929652</v>
      </c>
      <c r="BO971" t="s">
        <v>1665</v>
      </c>
      <c r="BP971" t="s">
        <v>74</v>
      </c>
      <c r="BQ971" t="s">
        <v>74</v>
      </c>
      <c r="BR971" t="s">
        <v>104</v>
      </c>
      <c r="BS971" t="s">
        <v>13508</v>
      </c>
      <c r="BT971" t="str">
        <f>HYPERLINK("https%3A%2F%2Fwww.webofscience.com%2Fwos%2Fwoscc%2Ffull-record%2FWOS:000338456300001","View Full Record in Web of Science")</f>
        <v>View Full Record in Web of Science</v>
      </c>
    </row>
    <row r="972" spans="1:72" x14ac:dyDescent="0.25">
      <c r="A972" t="s">
        <v>72</v>
      </c>
      <c r="B972" t="s">
        <v>13509</v>
      </c>
      <c r="C972" t="s">
        <v>74</v>
      </c>
      <c r="D972" t="s">
        <v>74</v>
      </c>
      <c r="E972" t="s">
        <v>74</v>
      </c>
      <c r="F972" t="s">
        <v>13510</v>
      </c>
      <c r="G972" t="s">
        <v>74</v>
      </c>
      <c r="H972" t="s">
        <v>74</v>
      </c>
      <c r="I972" t="s">
        <v>13511</v>
      </c>
      <c r="J972" t="s">
        <v>749</v>
      </c>
      <c r="K972" t="s">
        <v>74</v>
      </c>
      <c r="L972" t="s">
        <v>74</v>
      </c>
      <c r="M972" t="s">
        <v>78</v>
      </c>
      <c r="N972" t="s">
        <v>79</v>
      </c>
      <c r="O972" t="s">
        <v>74</v>
      </c>
      <c r="P972" t="s">
        <v>74</v>
      </c>
      <c r="Q972" t="s">
        <v>74</v>
      </c>
      <c r="R972" t="s">
        <v>74</v>
      </c>
      <c r="S972" t="s">
        <v>74</v>
      </c>
      <c r="T972" t="s">
        <v>13512</v>
      </c>
      <c r="U972" t="s">
        <v>13513</v>
      </c>
      <c r="V972" t="s">
        <v>13514</v>
      </c>
      <c r="W972" t="s">
        <v>13515</v>
      </c>
      <c r="X972" t="s">
        <v>13516</v>
      </c>
      <c r="Y972" t="s">
        <v>13517</v>
      </c>
      <c r="Z972" t="s">
        <v>11254</v>
      </c>
      <c r="AA972" t="s">
        <v>13518</v>
      </c>
      <c r="AB972" t="s">
        <v>13519</v>
      </c>
      <c r="AC972" t="s">
        <v>13520</v>
      </c>
      <c r="AD972" t="s">
        <v>13521</v>
      </c>
      <c r="AE972" t="s">
        <v>13522</v>
      </c>
      <c r="AF972" t="s">
        <v>74</v>
      </c>
      <c r="AG972">
        <v>34</v>
      </c>
      <c r="AH972">
        <v>56</v>
      </c>
      <c r="AI972">
        <v>56</v>
      </c>
      <c r="AJ972">
        <v>0</v>
      </c>
      <c r="AK972">
        <v>3</v>
      </c>
      <c r="AL972" t="s">
        <v>169</v>
      </c>
      <c r="AM972" t="s">
        <v>170</v>
      </c>
      <c r="AN972" t="s">
        <v>171</v>
      </c>
      <c r="AO972" t="s">
        <v>762</v>
      </c>
      <c r="AP972" t="s">
        <v>74</v>
      </c>
      <c r="AQ972" t="s">
        <v>74</v>
      </c>
      <c r="AR972" t="s">
        <v>763</v>
      </c>
      <c r="AS972" t="s">
        <v>764</v>
      </c>
      <c r="AT972" t="s">
        <v>1060</v>
      </c>
      <c r="AU972">
        <v>2014</v>
      </c>
      <c r="AV972">
        <v>3</v>
      </c>
      <c r="AW972">
        <v>3</v>
      </c>
      <c r="AX972" t="s">
        <v>74</v>
      </c>
      <c r="AY972" t="s">
        <v>74</v>
      </c>
      <c r="AZ972" t="s">
        <v>74</v>
      </c>
      <c r="BA972" t="s">
        <v>74</v>
      </c>
      <c r="BB972" t="s">
        <v>74</v>
      </c>
      <c r="BC972" t="s">
        <v>74</v>
      </c>
      <c r="BD972" t="s">
        <v>13523</v>
      </c>
      <c r="BE972" t="s">
        <v>13524</v>
      </c>
      <c r="BF972" t="str">
        <f>HYPERLINK("http://dx.doi.org/10.1161/JAHA.113.000716","http://dx.doi.org/10.1161/JAHA.113.000716")</f>
        <v>http://dx.doi.org/10.1161/JAHA.113.000716</v>
      </c>
      <c r="BG972" t="s">
        <v>74</v>
      </c>
      <c r="BH972" t="s">
        <v>74</v>
      </c>
      <c r="BI972">
        <v>11</v>
      </c>
      <c r="BJ972" t="s">
        <v>132</v>
      </c>
      <c r="BK972" t="s">
        <v>101</v>
      </c>
      <c r="BL972" t="s">
        <v>133</v>
      </c>
      <c r="BM972" t="s">
        <v>13525</v>
      </c>
      <c r="BN972">
        <v>24895160</v>
      </c>
      <c r="BO972" t="s">
        <v>1862</v>
      </c>
      <c r="BP972" t="s">
        <v>74</v>
      </c>
      <c r="BQ972" t="s">
        <v>74</v>
      </c>
      <c r="BR972" t="s">
        <v>104</v>
      </c>
      <c r="BS972" t="s">
        <v>13526</v>
      </c>
      <c r="BT972" t="str">
        <f>HYPERLINK("https%3A%2F%2Fwww.webofscience.com%2Fwos%2Fwoscc%2Ffull-record%2FWOS:000336848800013","View Full Record in Web of Science")</f>
        <v>View Full Record in Web of Science</v>
      </c>
    </row>
    <row r="973" spans="1:72" x14ac:dyDescent="0.25">
      <c r="A973" t="s">
        <v>72</v>
      </c>
      <c r="B973" t="s">
        <v>13527</v>
      </c>
      <c r="C973" t="s">
        <v>74</v>
      </c>
      <c r="D973" t="s">
        <v>74</v>
      </c>
      <c r="E973" t="s">
        <v>74</v>
      </c>
      <c r="F973" t="s">
        <v>13528</v>
      </c>
      <c r="G973" t="s">
        <v>74</v>
      </c>
      <c r="H973" t="s">
        <v>74</v>
      </c>
      <c r="I973" t="s">
        <v>13529</v>
      </c>
      <c r="J973" t="s">
        <v>13530</v>
      </c>
      <c r="K973" t="s">
        <v>74</v>
      </c>
      <c r="L973" t="s">
        <v>74</v>
      </c>
      <c r="M973" t="s">
        <v>78</v>
      </c>
      <c r="N973" t="s">
        <v>140</v>
      </c>
      <c r="O973" t="s">
        <v>74</v>
      </c>
      <c r="P973" t="s">
        <v>74</v>
      </c>
      <c r="Q973" t="s">
        <v>74</v>
      </c>
      <c r="R973" t="s">
        <v>74</v>
      </c>
      <c r="S973" t="s">
        <v>74</v>
      </c>
      <c r="T973" t="s">
        <v>74</v>
      </c>
      <c r="U973" t="s">
        <v>13531</v>
      </c>
      <c r="V973" t="s">
        <v>13532</v>
      </c>
      <c r="W973" t="s">
        <v>13533</v>
      </c>
      <c r="X973" t="s">
        <v>13534</v>
      </c>
      <c r="Y973" t="s">
        <v>13535</v>
      </c>
      <c r="Z973" t="s">
        <v>13536</v>
      </c>
      <c r="AA973" t="s">
        <v>13537</v>
      </c>
      <c r="AB973" t="s">
        <v>13538</v>
      </c>
      <c r="AC973" t="s">
        <v>74</v>
      </c>
      <c r="AD973" t="s">
        <v>74</v>
      </c>
      <c r="AE973" t="s">
        <v>74</v>
      </c>
      <c r="AF973" t="s">
        <v>74</v>
      </c>
      <c r="AG973">
        <v>10</v>
      </c>
      <c r="AH973">
        <v>12</v>
      </c>
      <c r="AI973">
        <v>12</v>
      </c>
      <c r="AJ973">
        <v>1</v>
      </c>
      <c r="AK973">
        <v>12</v>
      </c>
      <c r="AL973" t="s">
        <v>169</v>
      </c>
      <c r="AM973" t="s">
        <v>170</v>
      </c>
      <c r="AN973" t="s">
        <v>171</v>
      </c>
      <c r="AO973" t="s">
        <v>13539</v>
      </c>
      <c r="AP973" t="s">
        <v>13540</v>
      </c>
      <c r="AQ973" t="s">
        <v>74</v>
      </c>
      <c r="AR973" t="s">
        <v>13541</v>
      </c>
      <c r="AS973" t="s">
        <v>13542</v>
      </c>
      <c r="AT973" t="s">
        <v>1060</v>
      </c>
      <c r="AU973">
        <v>2014</v>
      </c>
      <c r="AV973">
        <v>95</v>
      </c>
      <c r="AW973">
        <v>6</v>
      </c>
      <c r="AX973" t="s">
        <v>74</v>
      </c>
      <c r="AY973" t="s">
        <v>74</v>
      </c>
      <c r="AZ973" t="s">
        <v>74</v>
      </c>
      <c r="BA973" t="s">
        <v>74</v>
      </c>
      <c r="BB973">
        <v>583</v>
      </c>
      <c r="BC973">
        <v>585</v>
      </c>
      <c r="BD973" t="s">
        <v>74</v>
      </c>
      <c r="BE973" t="s">
        <v>13543</v>
      </c>
      <c r="BF973" t="str">
        <f>HYPERLINK("http://dx.doi.org/10.1038/clpt.2014.42","http://dx.doi.org/10.1038/clpt.2014.42")</f>
        <v>http://dx.doi.org/10.1038/clpt.2014.42</v>
      </c>
      <c r="BG973" t="s">
        <v>74</v>
      </c>
      <c r="BH973" t="s">
        <v>74</v>
      </c>
      <c r="BI973">
        <v>3</v>
      </c>
      <c r="BJ973" t="s">
        <v>1477</v>
      </c>
      <c r="BK973" t="s">
        <v>101</v>
      </c>
      <c r="BL973" t="s">
        <v>1477</v>
      </c>
      <c r="BM973" t="s">
        <v>13544</v>
      </c>
      <c r="BN973">
        <v>24842639</v>
      </c>
      <c r="BO973" t="s">
        <v>74</v>
      </c>
      <c r="BP973" t="s">
        <v>74</v>
      </c>
      <c r="BQ973" t="s">
        <v>74</v>
      </c>
      <c r="BR973" t="s">
        <v>104</v>
      </c>
      <c r="BS973" t="s">
        <v>13545</v>
      </c>
      <c r="BT973" t="str">
        <f>HYPERLINK("https%3A%2F%2Fwww.webofscience.com%2Fwos%2Fwoscc%2Ffull-record%2FWOS:000336415300016","View Full Record in Web of Science")</f>
        <v>View Full Record in Web of Science</v>
      </c>
    </row>
    <row r="974" spans="1:72" x14ac:dyDescent="0.25">
      <c r="A974" t="s">
        <v>72</v>
      </c>
      <c r="B974" t="s">
        <v>13546</v>
      </c>
      <c r="C974" t="s">
        <v>74</v>
      </c>
      <c r="D974" t="s">
        <v>74</v>
      </c>
      <c r="E974" t="s">
        <v>74</v>
      </c>
      <c r="F974" t="s">
        <v>13547</v>
      </c>
      <c r="G974" t="s">
        <v>74</v>
      </c>
      <c r="H974" t="s">
        <v>74</v>
      </c>
      <c r="I974" t="s">
        <v>13548</v>
      </c>
      <c r="J974" t="s">
        <v>2580</v>
      </c>
      <c r="K974" t="s">
        <v>74</v>
      </c>
      <c r="L974" t="s">
        <v>74</v>
      </c>
      <c r="M974" t="s">
        <v>78</v>
      </c>
      <c r="N974" t="s">
        <v>52</v>
      </c>
      <c r="O974" t="s">
        <v>13549</v>
      </c>
      <c r="P974" t="s">
        <v>13550</v>
      </c>
      <c r="Q974" t="s">
        <v>7094</v>
      </c>
      <c r="R974" t="s">
        <v>74</v>
      </c>
      <c r="S974" t="s">
        <v>74</v>
      </c>
      <c r="T974" t="s">
        <v>74</v>
      </c>
      <c r="U974" t="s">
        <v>74</v>
      </c>
      <c r="V974" t="s">
        <v>74</v>
      </c>
      <c r="W974" t="s">
        <v>13551</v>
      </c>
      <c r="X974" t="s">
        <v>13552</v>
      </c>
      <c r="Y974" t="s">
        <v>74</v>
      </c>
      <c r="Z974" t="s">
        <v>74</v>
      </c>
      <c r="AA974" t="s">
        <v>13553</v>
      </c>
      <c r="AB974" t="s">
        <v>74</v>
      </c>
      <c r="AC974" t="s">
        <v>74</v>
      </c>
      <c r="AD974" t="s">
        <v>74</v>
      </c>
      <c r="AE974" t="s">
        <v>74</v>
      </c>
      <c r="AF974" t="s">
        <v>74</v>
      </c>
      <c r="AG974">
        <v>0</v>
      </c>
      <c r="AH974">
        <v>0</v>
      </c>
      <c r="AI974">
        <v>0</v>
      </c>
      <c r="AJ974">
        <v>0</v>
      </c>
      <c r="AK974">
        <v>2</v>
      </c>
      <c r="AL974" t="s">
        <v>2590</v>
      </c>
      <c r="AM974" t="s">
        <v>201</v>
      </c>
      <c r="AN974" t="s">
        <v>2591</v>
      </c>
      <c r="AO974" t="s">
        <v>2592</v>
      </c>
      <c r="AP974" t="s">
        <v>2593</v>
      </c>
      <c r="AQ974" t="s">
        <v>74</v>
      </c>
      <c r="AR974" t="s">
        <v>2594</v>
      </c>
      <c r="AS974" t="s">
        <v>2595</v>
      </c>
      <c r="AT974" t="s">
        <v>1060</v>
      </c>
      <c r="AU974">
        <v>2014</v>
      </c>
      <c r="AV974">
        <v>73</v>
      </c>
      <c r="AW974" t="s">
        <v>74</v>
      </c>
      <c r="AX974" t="s">
        <v>74</v>
      </c>
      <c r="AY974">
        <v>2</v>
      </c>
      <c r="AZ974" t="s">
        <v>74</v>
      </c>
      <c r="BA974" t="s">
        <v>13554</v>
      </c>
      <c r="BB974">
        <v>97</v>
      </c>
      <c r="BC974">
        <v>98</v>
      </c>
      <c r="BD974" t="s">
        <v>74</v>
      </c>
      <c r="BE974" t="s">
        <v>13555</v>
      </c>
      <c r="BF974" t="str">
        <f>HYPERLINK("http://dx.doi.org/10.1136/annrheumdis-2014-eular.1378","http://dx.doi.org/10.1136/annrheumdis-2014-eular.1378")</f>
        <v>http://dx.doi.org/10.1136/annrheumdis-2014-eular.1378</v>
      </c>
      <c r="BG974" t="s">
        <v>74</v>
      </c>
      <c r="BH974" t="s">
        <v>74</v>
      </c>
      <c r="BI974">
        <v>2</v>
      </c>
      <c r="BJ974" t="s">
        <v>2369</v>
      </c>
      <c r="BK974" t="s">
        <v>512</v>
      </c>
      <c r="BL974" t="s">
        <v>2369</v>
      </c>
      <c r="BM974" t="s">
        <v>13556</v>
      </c>
      <c r="BN974" t="s">
        <v>74</v>
      </c>
      <c r="BO974" t="s">
        <v>74</v>
      </c>
      <c r="BP974" t="s">
        <v>74</v>
      </c>
      <c r="BQ974" t="s">
        <v>74</v>
      </c>
      <c r="BR974" t="s">
        <v>104</v>
      </c>
      <c r="BS974" t="s">
        <v>13557</v>
      </c>
      <c r="BT974" t="str">
        <f>HYPERLINK("https%3A%2F%2Fwww.webofscience.com%2Fwos%2Fwoscc%2Ffull-record%2FWOS:000346919800316","View Full Record in Web of Science")</f>
        <v>View Full Record in Web of Science</v>
      </c>
    </row>
    <row r="975" spans="1:72" x14ac:dyDescent="0.25">
      <c r="A975" t="s">
        <v>72</v>
      </c>
      <c r="B975" t="s">
        <v>13558</v>
      </c>
      <c r="C975" t="s">
        <v>74</v>
      </c>
      <c r="D975" t="s">
        <v>74</v>
      </c>
      <c r="E975" t="s">
        <v>74</v>
      </c>
      <c r="F975" t="s">
        <v>13559</v>
      </c>
      <c r="G975" t="s">
        <v>74</v>
      </c>
      <c r="H975" t="s">
        <v>74</v>
      </c>
      <c r="I975" t="s">
        <v>13560</v>
      </c>
      <c r="J975" t="s">
        <v>216</v>
      </c>
      <c r="K975" t="s">
        <v>74</v>
      </c>
      <c r="L975" t="s">
        <v>74</v>
      </c>
      <c r="M975" t="s">
        <v>78</v>
      </c>
      <c r="N975" t="s">
        <v>79</v>
      </c>
      <c r="O975" t="s">
        <v>74</v>
      </c>
      <c r="P975" t="s">
        <v>74</v>
      </c>
      <c r="Q975" t="s">
        <v>74</v>
      </c>
      <c r="R975" t="s">
        <v>74</v>
      </c>
      <c r="S975" t="s">
        <v>74</v>
      </c>
      <c r="T975" t="s">
        <v>74</v>
      </c>
      <c r="U975" t="s">
        <v>13561</v>
      </c>
      <c r="V975" t="s">
        <v>13562</v>
      </c>
      <c r="W975" t="s">
        <v>13563</v>
      </c>
      <c r="X975" t="s">
        <v>13564</v>
      </c>
      <c r="Y975" t="s">
        <v>8323</v>
      </c>
      <c r="Z975" t="s">
        <v>6688</v>
      </c>
      <c r="AA975" t="s">
        <v>13565</v>
      </c>
      <c r="AB975" t="s">
        <v>13566</v>
      </c>
      <c r="AC975" t="s">
        <v>7006</v>
      </c>
      <c r="AD975" t="s">
        <v>7006</v>
      </c>
      <c r="AE975" t="s">
        <v>13567</v>
      </c>
      <c r="AF975" t="s">
        <v>74</v>
      </c>
      <c r="AG975">
        <v>22</v>
      </c>
      <c r="AH975">
        <v>278</v>
      </c>
      <c r="AI975">
        <v>294</v>
      </c>
      <c r="AJ975">
        <v>0</v>
      </c>
      <c r="AK975">
        <v>22</v>
      </c>
      <c r="AL975" t="s">
        <v>219</v>
      </c>
      <c r="AM975" t="s">
        <v>220</v>
      </c>
      <c r="AN975" t="s">
        <v>221</v>
      </c>
      <c r="AO975" t="s">
        <v>222</v>
      </c>
      <c r="AP975" t="s">
        <v>223</v>
      </c>
      <c r="AQ975" t="s">
        <v>74</v>
      </c>
      <c r="AR975" t="s">
        <v>224</v>
      </c>
      <c r="AS975" t="s">
        <v>225</v>
      </c>
      <c r="AT975" t="s">
        <v>1060</v>
      </c>
      <c r="AU975">
        <v>2014</v>
      </c>
      <c r="AV975">
        <v>43</v>
      </c>
      <c r="AW975">
        <v>6</v>
      </c>
      <c r="AX975" t="s">
        <v>74</v>
      </c>
      <c r="AY975" t="s">
        <v>74</v>
      </c>
      <c r="AZ975" t="s">
        <v>74</v>
      </c>
      <c r="BA975" t="s">
        <v>74</v>
      </c>
      <c r="BB975">
        <v>1691</v>
      </c>
      <c r="BC975">
        <v>1697</v>
      </c>
      <c r="BD975" t="s">
        <v>74</v>
      </c>
      <c r="BE975" t="s">
        <v>13568</v>
      </c>
      <c r="BF975" t="str">
        <f>HYPERLINK("http://dx.doi.org/10.1183/09031936.00116313","http://dx.doi.org/10.1183/09031936.00116313")</f>
        <v>http://dx.doi.org/10.1183/09031936.00116313</v>
      </c>
      <c r="BG975" t="s">
        <v>74</v>
      </c>
      <c r="BH975" t="s">
        <v>74</v>
      </c>
      <c r="BI975">
        <v>7</v>
      </c>
      <c r="BJ975" t="s">
        <v>228</v>
      </c>
      <c r="BK975" t="s">
        <v>101</v>
      </c>
      <c r="BL975" t="s">
        <v>228</v>
      </c>
      <c r="BM975" t="s">
        <v>13569</v>
      </c>
      <c r="BN975">
        <v>24627535</v>
      </c>
      <c r="BO975" t="s">
        <v>1194</v>
      </c>
      <c r="BP975" t="s">
        <v>1155</v>
      </c>
      <c r="BQ975" t="s">
        <v>1156</v>
      </c>
      <c r="BR975" t="s">
        <v>104</v>
      </c>
      <c r="BS975" t="s">
        <v>13570</v>
      </c>
      <c r="BT975" t="str">
        <f>HYPERLINK("https%3A%2F%2Fwww.webofscience.com%2Fwos%2Fwoscc%2Ffull-record%2FWOS:000336891400020","View Full Record in Web of Science")</f>
        <v>View Full Record in Web of Science</v>
      </c>
    </row>
    <row r="976" spans="1:72" x14ac:dyDescent="0.25">
      <c r="A976" t="s">
        <v>72</v>
      </c>
      <c r="B976" t="s">
        <v>13571</v>
      </c>
      <c r="C976" t="s">
        <v>74</v>
      </c>
      <c r="D976" t="s">
        <v>74</v>
      </c>
      <c r="E976" t="s">
        <v>74</v>
      </c>
      <c r="F976" t="s">
        <v>13572</v>
      </c>
      <c r="G976" t="s">
        <v>74</v>
      </c>
      <c r="H976" t="s">
        <v>74</v>
      </c>
      <c r="I976" t="s">
        <v>13573</v>
      </c>
      <c r="J976" t="s">
        <v>13574</v>
      </c>
      <c r="K976" t="s">
        <v>74</v>
      </c>
      <c r="L976" t="s">
        <v>74</v>
      </c>
      <c r="M976" t="s">
        <v>78</v>
      </c>
      <c r="N976" t="s">
        <v>299</v>
      </c>
      <c r="O976" t="s">
        <v>74</v>
      </c>
      <c r="P976" t="s">
        <v>74</v>
      </c>
      <c r="Q976" t="s">
        <v>74</v>
      </c>
      <c r="R976" t="s">
        <v>74</v>
      </c>
      <c r="S976" t="s">
        <v>74</v>
      </c>
      <c r="T976" t="s">
        <v>13575</v>
      </c>
      <c r="U976" t="s">
        <v>13576</v>
      </c>
      <c r="V976" t="s">
        <v>13577</v>
      </c>
      <c r="W976" t="s">
        <v>13578</v>
      </c>
      <c r="X976" t="s">
        <v>13579</v>
      </c>
      <c r="Y976" t="s">
        <v>13580</v>
      </c>
      <c r="Z976" t="s">
        <v>10035</v>
      </c>
      <c r="AA976" t="s">
        <v>13581</v>
      </c>
      <c r="AB976" t="s">
        <v>13582</v>
      </c>
      <c r="AC976" t="s">
        <v>74</v>
      </c>
      <c r="AD976" t="s">
        <v>74</v>
      </c>
      <c r="AE976" t="s">
        <v>74</v>
      </c>
      <c r="AF976" t="s">
        <v>74</v>
      </c>
      <c r="AG976">
        <v>37</v>
      </c>
      <c r="AH976">
        <v>6</v>
      </c>
      <c r="AI976">
        <v>6</v>
      </c>
      <c r="AJ976">
        <v>0</v>
      </c>
      <c r="AK976">
        <v>8</v>
      </c>
      <c r="AL976" t="s">
        <v>13583</v>
      </c>
      <c r="AM976" t="s">
        <v>201</v>
      </c>
      <c r="AN976" t="s">
        <v>13584</v>
      </c>
      <c r="AO976" t="s">
        <v>13585</v>
      </c>
      <c r="AP976" t="s">
        <v>13586</v>
      </c>
      <c r="AQ976" t="s">
        <v>74</v>
      </c>
      <c r="AR976" t="s">
        <v>13587</v>
      </c>
      <c r="AS976" t="s">
        <v>13588</v>
      </c>
      <c r="AT976" t="s">
        <v>1060</v>
      </c>
      <c r="AU976">
        <v>2014</v>
      </c>
      <c r="AV976">
        <v>8</v>
      </c>
      <c r="AW976">
        <v>3</v>
      </c>
      <c r="AX976" t="s">
        <v>74</v>
      </c>
      <c r="AY976" t="s">
        <v>74</v>
      </c>
      <c r="AZ976" t="s">
        <v>74</v>
      </c>
      <c r="BA976" t="s">
        <v>74</v>
      </c>
      <c r="BB976">
        <v>84</v>
      </c>
      <c r="BC976">
        <v>92</v>
      </c>
      <c r="BD976" t="s">
        <v>74</v>
      </c>
      <c r="BE976" t="s">
        <v>13589</v>
      </c>
      <c r="BF976" t="str">
        <f>HYPERLINK("http://dx.doi.org/10.1177/1753465814530182","http://dx.doi.org/10.1177/1753465814530182")</f>
        <v>http://dx.doi.org/10.1177/1753465814530182</v>
      </c>
      <c r="BG976" t="s">
        <v>74</v>
      </c>
      <c r="BH976" t="s">
        <v>74</v>
      </c>
      <c r="BI976">
        <v>9</v>
      </c>
      <c r="BJ976" t="s">
        <v>228</v>
      </c>
      <c r="BK976" t="s">
        <v>101</v>
      </c>
      <c r="BL976" t="s">
        <v>228</v>
      </c>
      <c r="BM976" t="s">
        <v>13590</v>
      </c>
      <c r="BN976">
        <v>24728960</v>
      </c>
      <c r="BO976" t="s">
        <v>74</v>
      </c>
      <c r="BP976" t="s">
        <v>74</v>
      </c>
      <c r="BQ976" t="s">
        <v>74</v>
      </c>
      <c r="BR976" t="s">
        <v>104</v>
      </c>
      <c r="BS976" t="s">
        <v>13591</v>
      </c>
      <c r="BT976" t="str">
        <f>HYPERLINK("https%3A%2F%2Fwww.webofscience.com%2Fwos%2Fwoscc%2Ffull-record%2FWOS:000339345100003","View Full Record in Web of Science")</f>
        <v>View Full Record in Web of Science</v>
      </c>
    </row>
    <row r="977" spans="1:72" x14ac:dyDescent="0.25">
      <c r="A977" t="s">
        <v>72</v>
      </c>
      <c r="B977" t="s">
        <v>13592</v>
      </c>
      <c r="C977" t="s">
        <v>74</v>
      </c>
      <c r="D977" t="s">
        <v>74</v>
      </c>
      <c r="E977" t="s">
        <v>74</v>
      </c>
      <c r="F977" t="s">
        <v>13593</v>
      </c>
      <c r="G977" t="s">
        <v>74</v>
      </c>
      <c r="H977" t="s">
        <v>74</v>
      </c>
      <c r="I977" t="s">
        <v>13594</v>
      </c>
      <c r="J977" t="s">
        <v>5624</v>
      </c>
      <c r="K977" t="s">
        <v>74</v>
      </c>
      <c r="L977" t="s">
        <v>74</v>
      </c>
      <c r="M977" t="s">
        <v>78</v>
      </c>
      <c r="N977" t="s">
        <v>79</v>
      </c>
      <c r="O977" t="s">
        <v>74</v>
      </c>
      <c r="P977" t="s">
        <v>74</v>
      </c>
      <c r="Q977" t="s">
        <v>74</v>
      </c>
      <c r="R977" t="s">
        <v>74</v>
      </c>
      <c r="S977" t="s">
        <v>74</v>
      </c>
      <c r="T977" t="s">
        <v>13595</v>
      </c>
      <c r="U977" t="s">
        <v>13596</v>
      </c>
      <c r="V977" t="s">
        <v>13597</v>
      </c>
      <c r="W977" t="s">
        <v>13598</v>
      </c>
      <c r="X977" t="s">
        <v>13599</v>
      </c>
      <c r="Y977" t="s">
        <v>13600</v>
      </c>
      <c r="Z977" t="s">
        <v>13601</v>
      </c>
      <c r="AA977" t="s">
        <v>13602</v>
      </c>
      <c r="AB977" t="s">
        <v>257</v>
      </c>
      <c r="AC977" t="s">
        <v>13603</v>
      </c>
      <c r="AD977" t="s">
        <v>13604</v>
      </c>
      <c r="AE977" t="s">
        <v>13605</v>
      </c>
      <c r="AF977" t="s">
        <v>74</v>
      </c>
      <c r="AG977">
        <v>35</v>
      </c>
      <c r="AH977">
        <v>15</v>
      </c>
      <c r="AI977">
        <v>16</v>
      </c>
      <c r="AJ977">
        <v>0</v>
      </c>
      <c r="AK977">
        <v>6</v>
      </c>
      <c r="AL977" t="s">
        <v>10904</v>
      </c>
      <c r="AM977" t="s">
        <v>170</v>
      </c>
      <c r="AN977" t="s">
        <v>171</v>
      </c>
      <c r="AO977" t="s">
        <v>5636</v>
      </c>
      <c r="AP977" t="s">
        <v>5637</v>
      </c>
      <c r="AQ977" t="s">
        <v>74</v>
      </c>
      <c r="AR977" t="s">
        <v>5624</v>
      </c>
      <c r="AS977" t="s">
        <v>601</v>
      </c>
      <c r="AT977" t="s">
        <v>2097</v>
      </c>
      <c r="AU977">
        <v>2014</v>
      </c>
      <c r="AV977">
        <v>69</v>
      </c>
      <c r="AW977">
        <v>5</v>
      </c>
      <c r="AX977" t="s">
        <v>74</v>
      </c>
      <c r="AY977" t="s">
        <v>74</v>
      </c>
      <c r="AZ977" t="s">
        <v>74</v>
      </c>
      <c r="BA977" t="s">
        <v>74</v>
      </c>
      <c r="BB977">
        <v>624</v>
      </c>
      <c r="BC977">
        <v>631</v>
      </c>
      <c r="BD977" t="s">
        <v>74</v>
      </c>
      <c r="BE977" t="s">
        <v>13606</v>
      </c>
      <c r="BF977" t="str">
        <f>HYPERLINK("http://dx.doi.org/10.1111/all.12379","http://dx.doi.org/10.1111/all.12379")</f>
        <v>http://dx.doi.org/10.1111/all.12379</v>
      </c>
      <c r="BG977" t="s">
        <v>74</v>
      </c>
      <c r="BH977" t="s">
        <v>74</v>
      </c>
      <c r="BI977">
        <v>8</v>
      </c>
      <c r="BJ977" t="s">
        <v>3085</v>
      </c>
      <c r="BK977" t="s">
        <v>101</v>
      </c>
      <c r="BL977" t="s">
        <v>3085</v>
      </c>
      <c r="BM977" t="s">
        <v>13607</v>
      </c>
      <c r="BN977">
        <v>24606015</v>
      </c>
      <c r="BO977" t="s">
        <v>74</v>
      </c>
      <c r="BP977" t="s">
        <v>74</v>
      </c>
      <c r="BQ977" t="s">
        <v>74</v>
      </c>
      <c r="BR977" t="s">
        <v>104</v>
      </c>
      <c r="BS977" t="s">
        <v>13608</v>
      </c>
      <c r="BT977" t="str">
        <f>HYPERLINK("https%3A%2F%2Fwww.webofscience.com%2Fwos%2Fwoscc%2Ffull-record%2FWOS:000333816900009","View Full Record in Web of Science")</f>
        <v>View Full Record in Web of Science</v>
      </c>
    </row>
    <row r="978" spans="1:72" x14ac:dyDescent="0.25">
      <c r="A978" t="s">
        <v>72</v>
      </c>
      <c r="B978" t="s">
        <v>13280</v>
      </c>
      <c r="C978" t="s">
        <v>74</v>
      </c>
      <c r="D978" t="s">
        <v>74</v>
      </c>
      <c r="E978" t="s">
        <v>74</v>
      </c>
      <c r="F978" t="s">
        <v>13609</v>
      </c>
      <c r="G978" t="s">
        <v>74</v>
      </c>
      <c r="H978" t="s">
        <v>74</v>
      </c>
      <c r="I978" t="s">
        <v>13610</v>
      </c>
      <c r="J978" t="s">
        <v>1924</v>
      </c>
      <c r="K978" t="s">
        <v>74</v>
      </c>
      <c r="L978" t="s">
        <v>74</v>
      </c>
      <c r="M978" t="s">
        <v>78</v>
      </c>
      <c r="N978" t="s">
        <v>52</v>
      </c>
      <c r="O978" t="s">
        <v>74</v>
      </c>
      <c r="P978" t="s">
        <v>74</v>
      </c>
      <c r="Q978" t="s">
        <v>74</v>
      </c>
      <c r="R978" t="s">
        <v>74</v>
      </c>
      <c r="S978" t="s">
        <v>74</v>
      </c>
      <c r="T978" t="s">
        <v>13611</v>
      </c>
      <c r="U978" t="s">
        <v>74</v>
      </c>
      <c r="V978" t="s">
        <v>74</v>
      </c>
      <c r="W978" t="s">
        <v>13612</v>
      </c>
      <c r="X978" t="s">
        <v>13613</v>
      </c>
      <c r="Y978" t="s">
        <v>74</v>
      </c>
      <c r="Z978" t="s">
        <v>74</v>
      </c>
      <c r="AA978" t="s">
        <v>13614</v>
      </c>
      <c r="AB978" t="s">
        <v>74</v>
      </c>
      <c r="AC978" t="s">
        <v>74</v>
      </c>
      <c r="AD978" t="s">
        <v>74</v>
      </c>
      <c r="AE978" t="s">
        <v>74</v>
      </c>
      <c r="AF978" t="s">
        <v>74</v>
      </c>
      <c r="AG978">
        <v>0</v>
      </c>
      <c r="AH978">
        <v>0</v>
      </c>
      <c r="AI978">
        <v>0</v>
      </c>
      <c r="AJ978">
        <v>0</v>
      </c>
      <c r="AK978">
        <v>0</v>
      </c>
      <c r="AL978" t="s">
        <v>10904</v>
      </c>
      <c r="AM978" t="s">
        <v>170</v>
      </c>
      <c r="AN978" t="s">
        <v>171</v>
      </c>
      <c r="AO978" t="s">
        <v>1929</v>
      </c>
      <c r="AP978" t="s">
        <v>1930</v>
      </c>
      <c r="AQ978" t="s">
        <v>74</v>
      </c>
      <c r="AR978" t="s">
        <v>1931</v>
      </c>
      <c r="AS978" t="s">
        <v>1932</v>
      </c>
      <c r="AT978" t="s">
        <v>2097</v>
      </c>
      <c r="AU978">
        <v>2014</v>
      </c>
      <c r="AV978">
        <v>28</v>
      </c>
      <c r="AW978" t="s">
        <v>74</v>
      </c>
      <c r="AX978" t="s">
        <v>74</v>
      </c>
      <c r="AY978">
        <v>1</v>
      </c>
      <c r="AZ978" t="s">
        <v>1080</v>
      </c>
      <c r="BA978" t="s">
        <v>74</v>
      </c>
      <c r="BB978">
        <v>73</v>
      </c>
      <c r="BC978">
        <v>73</v>
      </c>
      <c r="BD978" t="s">
        <v>74</v>
      </c>
      <c r="BE978" t="s">
        <v>74</v>
      </c>
      <c r="BF978" t="s">
        <v>74</v>
      </c>
      <c r="BG978" t="s">
        <v>74</v>
      </c>
      <c r="BH978" t="s">
        <v>74</v>
      </c>
      <c r="BI978">
        <v>1</v>
      </c>
      <c r="BJ978" t="s">
        <v>1477</v>
      </c>
      <c r="BK978" t="s">
        <v>101</v>
      </c>
      <c r="BL978" t="s">
        <v>1477</v>
      </c>
      <c r="BM978" t="s">
        <v>13615</v>
      </c>
      <c r="BN978" t="s">
        <v>74</v>
      </c>
      <c r="BO978" t="s">
        <v>74</v>
      </c>
      <c r="BP978" t="s">
        <v>74</v>
      </c>
      <c r="BQ978" t="s">
        <v>74</v>
      </c>
      <c r="BR978" t="s">
        <v>104</v>
      </c>
      <c r="BS978" t="s">
        <v>13616</v>
      </c>
      <c r="BT978" t="str">
        <f>HYPERLINK("https%3A%2F%2Fwww.webofscience.com%2Fwos%2Fwoscc%2Ffull-record%2FWOS:000337041300328","View Full Record in Web of Science")</f>
        <v>View Full Record in Web of Science</v>
      </c>
    </row>
    <row r="979" spans="1:72" x14ac:dyDescent="0.25">
      <c r="A979" t="s">
        <v>72</v>
      </c>
      <c r="B979" t="s">
        <v>13617</v>
      </c>
      <c r="C979" t="s">
        <v>74</v>
      </c>
      <c r="D979" t="s">
        <v>74</v>
      </c>
      <c r="E979" t="s">
        <v>74</v>
      </c>
      <c r="F979" t="s">
        <v>13618</v>
      </c>
      <c r="G979" t="s">
        <v>74</v>
      </c>
      <c r="H979" t="s">
        <v>74</v>
      </c>
      <c r="I979" t="s">
        <v>13619</v>
      </c>
      <c r="J979" t="s">
        <v>251</v>
      </c>
      <c r="K979" t="s">
        <v>74</v>
      </c>
      <c r="L979" t="s">
        <v>74</v>
      </c>
      <c r="M979" t="s">
        <v>78</v>
      </c>
      <c r="N979" t="s">
        <v>79</v>
      </c>
      <c r="O979" t="s">
        <v>74</v>
      </c>
      <c r="P979" t="s">
        <v>74</v>
      </c>
      <c r="Q979" t="s">
        <v>74</v>
      </c>
      <c r="R979" t="s">
        <v>74</v>
      </c>
      <c r="S979" t="s">
        <v>74</v>
      </c>
      <c r="T979" t="s">
        <v>13620</v>
      </c>
      <c r="U979" t="s">
        <v>13621</v>
      </c>
      <c r="V979" t="s">
        <v>13622</v>
      </c>
      <c r="W979" t="s">
        <v>13623</v>
      </c>
      <c r="X979" t="s">
        <v>13624</v>
      </c>
      <c r="Y979" t="s">
        <v>13625</v>
      </c>
      <c r="Z979" t="s">
        <v>276</v>
      </c>
      <c r="AA979" t="s">
        <v>13626</v>
      </c>
      <c r="AB979" t="s">
        <v>13627</v>
      </c>
      <c r="AC979" t="s">
        <v>13628</v>
      </c>
      <c r="AD979" t="s">
        <v>13629</v>
      </c>
      <c r="AE979" t="s">
        <v>13630</v>
      </c>
      <c r="AF979" t="s">
        <v>74</v>
      </c>
      <c r="AG979">
        <v>58</v>
      </c>
      <c r="AH979">
        <v>163</v>
      </c>
      <c r="AI979">
        <v>177</v>
      </c>
      <c r="AJ979">
        <v>0</v>
      </c>
      <c r="AK979">
        <v>17</v>
      </c>
      <c r="AL979" t="s">
        <v>122</v>
      </c>
      <c r="AM979" t="s">
        <v>123</v>
      </c>
      <c r="AN979" t="s">
        <v>124</v>
      </c>
      <c r="AO979" t="s">
        <v>258</v>
      </c>
      <c r="AP979" t="s">
        <v>259</v>
      </c>
      <c r="AQ979" t="s">
        <v>74</v>
      </c>
      <c r="AR979" t="s">
        <v>251</v>
      </c>
      <c r="AS979" t="s">
        <v>260</v>
      </c>
      <c r="AT979" t="s">
        <v>4936</v>
      </c>
      <c r="AU979">
        <v>2014</v>
      </c>
      <c r="AV979">
        <v>129</v>
      </c>
      <c r="AW979">
        <v>15</v>
      </c>
      <c r="AX979" t="s">
        <v>74</v>
      </c>
      <c r="AY979" t="s">
        <v>74</v>
      </c>
      <c r="AZ979" t="s">
        <v>74</v>
      </c>
      <c r="BA979" t="s">
        <v>74</v>
      </c>
      <c r="BB979">
        <v>1586</v>
      </c>
      <c r="BC979">
        <v>1597</v>
      </c>
      <c r="BD979" t="s">
        <v>74</v>
      </c>
      <c r="BE979" t="s">
        <v>13631</v>
      </c>
      <c r="BF979" t="str">
        <f>HYPERLINK("http://dx.doi.org/10.1161/CIRCULATIONAHA.113.007469","http://dx.doi.org/10.1161/CIRCULATIONAHA.113.007469")</f>
        <v>http://dx.doi.org/10.1161/CIRCULATIONAHA.113.007469</v>
      </c>
      <c r="BG979" t="s">
        <v>74</v>
      </c>
      <c r="BH979" t="s">
        <v>74</v>
      </c>
      <c r="BI979">
        <v>12</v>
      </c>
      <c r="BJ979" t="s">
        <v>263</v>
      </c>
      <c r="BK979" t="s">
        <v>101</v>
      </c>
      <c r="BL979" t="s">
        <v>133</v>
      </c>
      <c r="BM979" t="s">
        <v>13632</v>
      </c>
      <c r="BN979">
        <v>24481949</v>
      </c>
      <c r="BO979" t="s">
        <v>74</v>
      </c>
      <c r="BP979" t="s">
        <v>74</v>
      </c>
      <c r="BQ979" t="s">
        <v>74</v>
      </c>
      <c r="BR979" t="s">
        <v>104</v>
      </c>
      <c r="BS979" t="s">
        <v>13633</v>
      </c>
      <c r="BT979" t="str">
        <f>HYPERLINK("https%3A%2F%2Fwww.webofscience.com%2Fwos%2Fwoscc%2Ffull-record%2FWOS:000334321100012","View Full Record in Web of Science")</f>
        <v>View Full Record in Web of Science</v>
      </c>
    </row>
    <row r="980" spans="1:72" x14ac:dyDescent="0.25">
      <c r="A980" t="s">
        <v>72</v>
      </c>
      <c r="B980" t="s">
        <v>13634</v>
      </c>
      <c r="C980" t="s">
        <v>74</v>
      </c>
      <c r="D980" t="s">
        <v>74</v>
      </c>
      <c r="E980" t="s">
        <v>74</v>
      </c>
      <c r="F980" t="s">
        <v>13635</v>
      </c>
      <c r="G980" t="s">
        <v>74</v>
      </c>
      <c r="H980" t="s">
        <v>74</v>
      </c>
      <c r="I980" t="s">
        <v>13636</v>
      </c>
      <c r="J980" t="s">
        <v>11078</v>
      </c>
      <c r="K980" t="s">
        <v>74</v>
      </c>
      <c r="L980" t="s">
        <v>74</v>
      </c>
      <c r="M980" t="s">
        <v>78</v>
      </c>
      <c r="N980" t="s">
        <v>79</v>
      </c>
      <c r="O980" t="s">
        <v>74</v>
      </c>
      <c r="P980" t="s">
        <v>74</v>
      </c>
      <c r="Q980" t="s">
        <v>74</v>
      </c>
      <c r="R980" t="s">
        <v>74</v>
      </c>
      <c r="S980" t="s">
        <v>74</v>
      </c>
      <c r="T980" t="s">
        <v>13637</v>
      </c>
      <c r="U980" t="s">
        <v>13638</v>
      </c>
      <c r="V980" t="s">
        <v>13639</v>
      </c>
      <c r="W980" t="s">
        <v>13640</v>
      </c>
      <c r="X980" t="s">
        <v>13641</v>
      </c>
      <c r="Y980" t="s">
        <v>13642</v>
      </c>
      <c r="Z980" t="s">
        <v>13643</v>
      </c>
      <c r="AA980" t="s">
        <v>13644</v>
      </c>
      <c r="AB980" t="s">
        <v>13645</v>
      </c>
      <c r="AC980" t="s">
        <v>74</v>
      </c>
      <c r="AD980" t="s">
        <v>74</v>
      </c>
      <c r="AE980" t="s">
        <v>74</v>
      </c>
      <c r="AF980" t="s">
        <v>74</v>
      </c>
      <c r="AG980">
        <v>30</v>
      </c>
      <c r="AH980">
        <v>24</v>
      </c>
      <c r="AI980">
        <v>25</v>
      </c>
      <c r="AJ980">
        <v>0</v>
      </c>
      <c r="AK980">
        <v>7</v>
      </c>
      <c r="AL980" t="s">
        <v>11090</v>
      </c>
      <c r="AM980" t="s">
        <v>11091</v>
      </c>
      <c r="AN980" t="s">
        <v>11092</v>
      </c>
      <c r="AO980" t="s">
        <v>11093</v>
      </c>
      <c r="AP980" t="s">
        <v>11094</v>
      </c>
      <c r="AQ980" t="s">
        <v>74</v>
      </c>
      <c r="AR980" t="s">
        <v>11095</v>
      </c>
      <c r="AS980" t="s">
        <v>11096</v>
      </c>
      <c r="AT980" t="s">
        <v>1017</v>
      </c>
      <c r="AU980">
        <v>2014</v>
      </c>
      <c r="AV980">
        <v>172</v>
      </c>
      <c r="AW980">
        <v>3</v>
      </c>
      <c r="AX980" t="s">
        <v>74</v>
      </c>
      <c r="AY980" t="s">
        <v>74</v>
      </c>
      <c r="AZ980" t="s">
        <v>74</v>
      </c>
      <c r="BA980" t="s">
        <v>74</v>
      </c>
      <c r="BB980">
        <v>561</v>
      </c>
      <c r="BC980">
        <v>567</v>
      </c>
      <c r="BD980" t="s">
        <v>74</v>
      </c>
      <c r="BE980" t="s">
        <v>13646</v>
      </c>
      <c r="BF980" t="str">
        <f>HYPERLINK("http://dx.doi.org/10.1016/j.ijcard.2013.12.313","http://dx.doi.org/10.1016/j.ijcard.2013.12.313")</f>
        <v>http://dx.doi.org/10.1016/j.ijcard.2013.12.313</v>
      </c>
      <c r="BG980" t="s">
        <v>74</v>
      </c>
      <c r="BH980" t="s">
        <v>74</v>
      </c>
      <c r="BI980">
        <v>7</v>
      </c>
      <c r="BJ980" t="s">
        <v>132</v>
      </c>
      <c r="BK980" t="s">
        <v>101</v>
      </c>
      <c r="BL980" t="s">
        <v>133</v>
      </c>
      <c r="BM980" t="s">
        <v>13647</v>
      </c>
      <c r="BN980">
        <v>24529947</v>
      </c>
      <c r="BO980" t="s">
        <v>74</v>
      </c>
      <c r="BP980" t="s">
        <v>74</v>
      </c>
      <c r="BQ980" t="s">
        <v>74</v>
      </c>
      <c r="BR980" t="s">
        <v>104</v>
      </c>
      <c r="BS980" t="s">
        <v>13648</v>
      </c>
      <c r="BT980" t="str">
        <f>HYPERLINK("https%3A%2F%2Fwww.webofscience.com%2Fwos%2Fwoscc%2Ffull-record%2FWOS:000333101000062","View Full Record in Web of Science")</f>
        <v>View Full Record in Web of Science</v>
      </c>
    </row>
    <row r="981" spans="1:72" x14ac:dyDescent="0.25">
      <c r="A981" t="s">
        <v>72</v>
      </c>
      <c r="B981" t="s">
        <v>13649</v>
      </c>
      <c r="C981" t="s">
        <v>74</v>
      </c>
      <c r="D981" t="s">
        <v>74</v>
      </c>
      <c r="E981" t="s">
        <v>74</v>
      </c>
      <c r="F981" t="s">
        <v>13650</v>
      </c>
      <c r="G981" t="s">
        <v>74</v>
      </c>
      <c r="H981" t="s">
        <v>74</v>
      </c>
      <c r="I981" t="s">
        <v>13651</v>
      </c>
      <c r="J981" t="s">
        <v>216</v>
      </c>
      <c r="K981" t="s">
        <v>74</v>
      </c>
      <c r="L981" t="s">
        <v>74</v>
      </c>
      <c r="M981" t="s">
        <v>78</v>
      </c>
      <c r="N981" t="s">
        <v>460</v>
      </c>
      <c r="O981" t="s">
        <v>74</v>
      </c>
      <c r="P981" t="s">
        <v>74</v>
      </c>
      <c r="Q981" t="s">
        <v>74</v>
      </c>
      <c r="R981" t="s">
        <v>74</v>
      </c>
      <c r="S981" t="s">
        <v>74</v>
      </c>
      <c r="T981" t="s">
        <v>74</v>
      </c>
      <c r="U981" t="s">
        <v>9938</v>
      </c>
      <c r="V981" t="s">
        <v>74</v>
      </c>
      <c r="W981" t="s">
        <v>13652</v>
      </c>
      <c r="X981" t="s">
        <v>13653</v>
      </c>
      <c r="Y981" t="s">
        <v>13654</v>
      </c>
      <c r="Z981" t="s">
        <v>13655</v>
      </c>
      <c r="AA981" t="s">
        <v>13656</v>
      </c>
      <c r="AB981" t="s">
        <v>13657</v>
      </c>
      <c r="AC981" t="s">
        <v>74</v>
      </c>
      <c r="AD981" t="s">
        <v>74</v>
      </c>
      <c r="AE981" t="s">
        <v>74</v>
      </c>
      <c r="AF981" t="s">
        <v>74</v>
      </c>
      <c r="AG981">
        <v>10</v>
      </c>
      <c r="AH981">
        <v>21</v>
      </c>
      <c r="AI981">
        <v>21</v>
      </c>
      <c r="AJ981">
        <v>0</v>
      </c>
      <c r="AK981">
        <v>1</v>
      </c>
      <c r="AL981" t="s">
        <v>219</v>
      </c>
      <c r="AM981" t="s">
        <v>220</v>
      </c>
      <c r="AN981" t="s">
        <v>221</v>
      </c>
      <c r="AO981" t="s">
        <v>222</v>
      </c>
      <c r="AP981" t="s">
        <v>223</v>
      </c>
      <c r="AQ981" t="s">
        <v>74</v>
      </c>
      <c r="AR981" t="s">
        <v>224</v>
      </c>
      <c r="AS981" t="s">
        <v>225</v>
      </c>
      <c r="AT981" t="s">
        <v>997</v>
      </c>
      <c r="AU981">
        <v>2014</v>
      </c>
      <c r="AV981">
        <v>43</v>
      </c>
      <c r="AW981">
        <v>4</v>
      </c>
      <c r="AX981" t="s">
        <v>74</v>
      </c>
      <c r="AY981" t="s">
        <v>74</v>
      </c>
      <c r="AZ981" t="s">
        <v>74</v>
      </c>
      <c r="BA981" t="s">
        <v>74</v>
      </c>
      <c r="BB981">
        <v>1195</v>
      </c>
      <c r="BC981">
        <v>1198</v>
      </c>
      <c r="BD981" t="s">
        <v>74</v>
      </c>
      <c r="BE981" t="s">
        <v>13658</v>
      </c>
      <c r="BF981" t="str">
        <f>HYPERLINK("http://dx.doi.org/10.1183/09031936.00136413","http://dx.doi.org/10.1183/09031936.00136413")</f>
        <v>http://dx.doi.org/10.1183/09031936.00136413</v>
      </c>
      <c r="BG981" t="s">
        <v>74</v>
      </c>
      <c r="BH981" t="s">
        <v>74</v>
      </c>
      <c r="BI981">
        <v>4</v>
      </c>
      <c r="BJ981" t="s">
        <v>228</v>
      </c>
      <c r="BK981" t="s">
        <v>101</v>
      </c>
      <c r="BL981" t="s">
        <v>228</v>
      </c>
      <c r="BM981" t="s">
        <v>13659</v>
      </c>
      <c r="BN981">
        <v>24036241</v>
      </c>
      <c r="BO981" t="s">
        <v>1194</v>
      </c>
      <c r="BP981" t="s">
        <v>74</v>
      </c>
      <c r="BQ981" t="s">
        <v>74</v>
      </c>
      <c r="BR981" t="s">
        <v>104</v>
      </c>
      <c r="BS981" t="s">
        <v>13660</v>
      </c>
      <c r="BT981" t="str">
        <f>HYPERLINK("https%3A%2F%2Fwww.webofscience.com%2Fwos%2Fwoscc%2Ffull-record%2FWOS:000334261900039","View Full Record in Web of Science")</f>
        <v>View Full Record in Web of Science</v>
      </c>
    </row>
    <row r="982" spans="1:72" x14ac:dyDescent="0.25">
      <c r="A982" t="s">
        <v>72</v>
      </c>
      <c r="B982" t="s">
        <v>13661</v>
      </c>
      <c r="C982" t="s">
        <v>74</v>
      </c>
      <c r="D982" t="s">
        <v>74</v>
      </c>
      <c r="E982" t="s">
        <v>74</v>
      </c>
      <c r="F982" t="s">
        <v>13662</v>
      </c>
      <c r="G982" t="s">
        <v>74</v>
      </c>
      <c r="H982" t="s">
        <v>74</v>
      </c>
      <c r="I982" t="s">
        <v>13663</v>
      </c>
      <c r="J982" t="s">
        <v>251</v>
      </c>
      <c r="K982" t="s">
        <v>74</v>
      </c>
      <c r="L982" t="s">
        <v>74</v>
      </c>
      <c r="M982" t="s">
        <v>78</v>
      </c>
      <c r="N982" t="s">
        <v>299</v>
      </c>
      <c r="O982" t="s">
        <v>74</v>
      </c>
      <c r="P982" t="s">
        <v>74</v>
      </c>
      <c r="Q982" t="s">
        <v>74</v>
      </c>
      <c r="R982" t="s">
        <v>74</v>
      </c>
      <c r="S982" t="s">
        <v>74</v>
      </c>
      <c r="T982" t="s">
        <v>13664</v>
      </c>
      <c r="U982" t="s">
        <v>13665</v>
      </c>
      <c r="V982" t="s">
        <v>74</v>
      </c>
      <c r="W982" t="s">
        <v>13666</v>
      </c>
      <c r="X982" t="s">
        <v>13667</v>
      </c>
      <c r="Y982" t="s">
        <v>7557</v>
      </c>
      <c r="Z982" t="s">
        <v>3402</v>
      </c>
      <c r="AA982" t="s">
        <v>13668</v>
      </c>
      <c r="AB982" t="s">
        <v>13669</v>
      </c>
      <c r="AC982" t="s">
        <v>13670</v>
      </c>
      <c r="AD982" t="s">
        <v>13671</v>
      </c>
      <c r="AE982" t="s">
        <v>13672</v>
      </c>
      <c r="AF982" t="s">
        <v>74</v>
      </c>
      <c r="AG982">
        <v>78</v>
      </c>
      <c r="AH982">
        <v>141</v>
      </c>
      <c r="AI982">
        <v>151</v>
      </c>
      <c r="AJ982">
        <v>2</v>
      </c>
      <c r="AK982">
        <v>20</v>
      </c>
      <c r="AL982" t="s">
        <v>122</v>
      </c>
      <c r="AM982" t="s">
        <v>123</v>
      </c>
      <c r="AN982" t="s">
        <v>124</v>
      </c>
      <c r="AO982" t="s">
        <v>258</v>
      </c>
      <c r="AP982" t="s">
        <v>259</v>
      </c>
      <c r="AQ982" t="s">
        <v>74</v>
      </c>
      <c r="AR982" t="s">
        <v>251</v>
      </c>
      <c r="AS982" t="s">
        <v>260</v>
      </c>
      <c r="AT982" t="s">
        <v>2224</v>
      </c>
      <c r="AU982">
        <v>2014</v>
      </c>
      <c r="AV982">
        <v>129</v>
      </c>
      <c r="AW982">
        <v>12</v>
      </c>
      <c r="AX982" t="s">
        <v>74</v>
      </c>
      <c r="AY982" t="s">
        <v>74</v>
      </c>
      <c r="AZ982" t="s">
        <v>74</v>
      </c>
      <c r="BA982" t="s">
        <v>74</v>
      </c>
      <c r="BB982">
        <v>1332</v>
      </c>
      <c r="BC982">
        <v>1340</v>
      </c>
      <c r="BD982" t="s">
        <v>74</v>
      </c>
      <c r="BE982" t="s">
        <v>13673</v>
      </c>
      <c r="BF982" t="str">
        <f>HYPERLINK("http://dx.doi.org/10.1161/CIRCULATIONAHA.113.004555","http://dx.doi.org/10.1161/CIRCULATIONAHA.113.004555")</f>
        <v>http://dx.doi.org/10.1161/CIRCULATIONAHA.113.004555</v>
      </c>
      <c r="BG982" t="s">
        <v>74</v>
      </c>
      <c r="BH982" t="s">
        <v>74</v>
      </c>
      <c r="BI982">
        <v>9</v>
      </c>
      <c r="BJ982" t="s">
        <v>263</v>
      </c>
      <c r="BK982" t="s">
        <v>101</v>
      </c>
      <c r="BL982" t="s">
        <v>133</v>
      </c>
      <c r="BM982" t="s">
        <v>13674</v>
      </c>
      <c r="BN982">
        <v>24664216</v>
      </c>
      <c r="BO982" t="s">
        <v>1194</v>
      </c>
      <c r="BP982" t="s">
        <v>74</v>
      </c>
      <c r="BQ982" t="s">
        <v>74</v>
      </c>
      <c r="BR982" t="s">
        <v>104</v>
      </c>
      <c r="BS982" t="s">
        <v>13675</v>
      </c>
      <c r="BT982" t="str">
        <f>HYPERLINK("https%3A%2F%2Fwww.webofscience.com%2Fwos%2Fwoscc%2Ffull-record%2FWOS:000335369800013","View Full Record in Web of Science")</f>
        <v>View Full Record in Web of Science</v>
      </c>
    </row>
    <row r="983" spans="1:72" x14ac:dyDescent="0.25">
      <c r="A983" t="s">
        <v>72</v>
      </c>
      <c r="B983" t="s">
        <v>13676</v>
      </c>
      <c r="C983" t="s">
        <v>74</v>
      </c>
      <c r="D983" t="s">
        <v>74</v>
      </c>
      <c r="E983" t="s">
        <v>74</v>
      </c>
      <c r="F983" t="s">
        <v>13677</v>
      </c>
      <c r="G983" t="s">
        <v>74</v>
      </c>
      <c r="H983" t="s">
        <v>74</v>
      </c>
      <c r="I983" t="s">
        <v>13678</v>
      </c>
      <c r="J983" t="s">
        <v>216</v>
      </c>
      <c r="K983" t="s">
        <v>74</v>
      </c>
      <c r="L983" t="s">
        <v>74</v>
      </c>
      <c r="M983" t="s">
        <v>78</v>
      </c>
      <c r="N983" t="s">
        <v>460</v>
      </c>
      <c r="O983" t="s">
        <v>74</v>
      </c>
      <c r="P983" t="s">
        <v>74</v>
      </c>
      <c r="Q983" t="s">
        <v>74</v>
      </c>
      <c r="R983" t="s">
        <v>74</v>
      </c>
      <c r="S983" t="s">
        <v>74</v>
      </c>
      <c r="T983" t="s">
        <v>74</v>
      </c>
      <c r="U983" t="s">
        <v>13679</v>
      </c>
      <c r="V983" t="s">
        <v>74</v>
      </c>
      <c r="W983" t="s">
        <v>13680</v>
      </c>
      <c r="X983" t="s">
        <v>13681</v>
      </c>
      <c r="Y983" t="s">
        <v>13682</v>
      </c>
      <c r="Z983" t="s">
        <v>13683</v>
      </c>
      <c r="AA983" t="s">
        <v>13684</v>
      </c>
      <c r="AB983" t="s">
        <v>13685</v>
      </c>
      <c r="AC983" t="s">
        <v>74</v>
      </c>
      <c r="AD983" t="s">
        <v>74</v>
      </c>
      <c r="AE983" t="s">
        <v>74</v>
      </c>
      <c r="AF983" t="s">
        <v>74</v>
      </c>
      <c r="AG983">
        <v>12</v>
      </c>
      <c r="AH983">
        <v>100</v>
      </c>
      <c r="AI983">
        <v>110</v>
      </c>
      <c r="AJ983">
        <v>0</v>
      </c>
      <c r="AK983">
        <v>13</v>
      </c>
      <c r="AL983" t="s">
        <v>219</v>
      </c>
      <c r="AM983" t="s">
        <v>220</v>
      </c>
      <c r="AN983" t="s">
        <v>221</v>
      </c>
      <c r="AO983" t="s">
        <v>222</v>
      </c>
      <c r="AP983" t="s">
        <v>223</v>
      </c>
      <c r="AQ983" t="s">
        <v>74</v>
      </c>
      <c r="AR983" t="s">
        <v>224</v>
      </c>
      <c r="AS983" t="s">
        <v>225</v>
      </c>
      <c r="AT983" t="s">
        <v>98</v>
      </c>
      <c r="AU983">
        <v>2014</v>
      </c>
      <c r="AV983">
        <v>43</v>
      </c>
      <c r="AW983">
        <v>3</v>
      </c>
      <c r="AX983" t="s">
        <v>74</v>
      </c>
      <c r="AY983" t="s">
        <v>74</v>
      </c>
      <c r="AZ983" t="s">
        <v>74</v>
      </c>
      <c r="BA983" t="s">
        <v>74</v>
      </c>
      <c r="BB983">
        <v>915</v>
      </c>
      <c r="BC983">
        <v>917</v>
      </c>
      <c r="BD983" t="s">
        <v>74</v>
      </c>
      <c r="BE983" t="s">
        <v>13686</v>
      </c>
      <c r="BF983" t="str">
        <f>HYPERLINK("http://dx.doi.org/10.1183/09031936.00151313","http://dx.doi.org/10.1183/09031936.00151313")</f>
        <v>http://dx.doi.org/10.1183/09031936.00151313</v>
      </c>
      <c r="BG983" t="s">
        <v>74</v>
      </c>
      <c r="BH983" t="s">
        <v>74</v>
      </c>
      <c r="BI983">
        <v>3</v>
      </c>
      <c r="BJ983" t="s">
        <v>228</v>
      </c>
      <c r="BK983" t="s">
        <v>101</v>
      </c>
      <c r="BL983" t="s">
        <v>228</v>
      </c>
      <c r="BM983" t="s">
        <v>13687</v>
      </c>
      <c r="BN983">
        <v>24232704</v>
      </c>
      <c r="BO983" t="s">
        <v>1194</v>
      </c>
      <c r="BP983" t="s">
        <v>74</v>
      </c>
      <c r="BQ983" t="s">
        <v>74</v>
      </c>
      <c r="BR983" t="s">
        <v>104</v>
      </c>
      <c r="BS983" t="s">
        <v>13688</v>
      </c>
      <c r="BT983" t="str">
        <f>HYPERLINK("https%3A%2F%2Fwww.webofscience.com%2Fwos%2Fwoscc%2Ffull-record%2FWOS:000332816600039","View Full Record in Web of Science")</f>
        <v>View Full Record in Web of Science</v>
      </c>
    </row>
    <row r="984" spans="1:72" x14ac:dyDescent="0.25">
      <c r="A984" t="s">
        <v>72</v>
      </c>
      <c r="B984" t="s">
        <v>13689</v>
      </c>
      <c r="C984" t="s">
        <v>74</v>
      </c>
      <c r="D984" t="s">
        <v>74</v>
      </c>
      <c r="E984" t="s">
        <v>74</v>
      </c>
      <c r="F984" t="s">
        <v>13690</v>
      </c>
      <c r="G984" t="s">
        <v>74</v>
      </c>
      <c r="H984" t="s">
        <v>74</v>
      </c>
      <c r="I984" t="s">
        <v>13691</v>
      </c>
      <c r="J984" t="s">
        <v>13692</v>
      </c>
      <c r="K984" t="s">
        <v>74</v>
      </c>
      <c r="L984" t="s">
        <v>74</v>
      </c>
      <c r="M984" t="s">
        <v>78</v>
      </c>
      <c r="N984" t="s">
        <v>52</v>
      </c>
      <c r="O984" t="s">
        <v>74</v>
      </c>
      <c r="P984" t="s">
        <v>74</v>
      </c>
      <c r="Q984" t="s">
        <v>74</v>
      </c>
      <c r="R984" t="s">
        <v>74</v>
      </c>
      <c r="S984" t="s">
        <v>74</v>
      </c>
      <c r="T984" t="s">
        <v>74</v>
      </c>
      <c r="U984" t="s">
        <v>74</v>
      </c>
      <c r="V984" t="s">
        <v>74</v>
      </c>
      <c r="W984" t="s">
        <v>13693</v>
      </c>
      <c r="X984" t="s">
        <v>13694</v>
      </c>
      <c r="Y984" t="s">
        <v>74</v>
      </c>
      <c r="Z984" t="s">
        <v>74</v>
      </c>
      <c r="AA984" t="s">
        <v>13695</v>
      </c>
      <c r="AB984" t="s">
        <v>13696</v>
      </c>
      <c r="AC984" t="s">
        <v>74</v>
      </c>
      <c r="AD984" t="s">
        <v>74</v>
      </c>
      <c r="AE984" t="s">
        <v>74</v>
      </c>
      <c r="AF984" t="s">
        <v>74</v>
      </c>
      <c r="AG984">
        <v>0</v>
      </c>
      <c r="AH984">
        <v>0</v>
      </c>
      <c r="AI984">
        <v>0</v>
      </c>
      <c r="AJ984">
        <v>0</v>
      </c>
      <c r="AK984">
        <v>0</v>
      </c>
      <c r="AL984" t="s">
        <v>13697</v>
      </c>
      <c r="AM984" t="s">
        <v>13698</v>
      </c>
      <c r="AN984" t="s">
        <v>13699</v>
      </c>
      <c r="AO984" t="s">
        <v>13700</v>
      </c>
      <c r="AP984" t="s">
        <v>74</v>
      </c>
      <c r="AQ984" t="s">
        <v>74</v>
      </c>
      <c r="AR984" t="s">
        <v>13701</v>
      </c>
      <c r="AS984" t="s">
        <v>13702</v>
      </c>
      <c r="AT984" t="s">
        <v>13703</v>
      </c>
      <c r="AU984">
        <v>2014</v>
      </c>
      <c r="AV984">
        <v>32</v>
      </c>
      <c r="AW984">
        <v>2</v>
      </c>
      <c r="AX984" t="s">
        <v>74</v>
      </c>
      <c r="AY984">
        <v>81</v>
      </c>
      <c r="AZ984" t="s">
        <v>74</v>
      </c>
      <c r="BA984" t="s">
        <v>74</v>
      </c>
      <c r="BB984" t="s">
        <v>13704</v>
      </c>
      <c r="BC984" t="s">
        <v>13704</v>
      </c>
      <c r="BD984" t="s">
        <v>74</v>
      </c>
      <c r="BE984" t="s">
        <v>74</v>
      </c>
      <c r="BF984" t="s">
        <v>74</v>
      </c>
      <c r="BG984" t="s">
        <v>74</v>
      </c>
      <c r="BH984" t="s">
        <v>74</v>
      </c>
      <c r="BI984">
        <v>1</v>
      </c>
      <c r="BJ984" t="s">
        <v>2369</v>
      </c>
      <c r="BK984" t="s">
        <v>101</v>
      </c>
      <c r="BL984" t="s">
        <v>2369</v>
      </c>
      <c r="BM984" t="s">
        <v>13705</v>
      </c>
      <c r="BN984" t="s">
        <v>74</v>
      </c>
      <c r="BO984" t="s">
        <v>74</v>
      </c>
      <c r="BP984" t="s">
        <v>74</v>
      </c>
      <c r="BQ984" t="s">
        <v>74</v>
      </c>
      <c r="BR984" t="s">
        <v>104</v>
      </c>
      <c r="BS984" t="s">
        <v>13706</v>
      </c>
      <c r="BT984" t="str">
        <f>HYPERLINK("https%3A%2F%2Fwww.webofscience.com%2Fwos%2Fwoscc%2Ffull-record%2FWOS:000335936400039","View Full Record in Web of Science")</f>
        <v>View Full Record in Web of Science</v>
      </c>
    </row>
    <row r="985" spans="1:72" x14ac:dyDescent="0.25">
      <c r="A985" t="s">
        <v>72</v>
      </c>
      <c r="B985" t="s">
        <v>13707</v>
      </c>
      <c r="C985" t="s">
        <v>74</v>
      </c>
      <c r="D985" t="s">
        <v>74</v>
      </c>
      <c r="E985" t="s">
        <v>74</v>
      </c>
      <c r="F985" t="s">
        <v>13708</v>
      </c>
      <c r="G985" t="s">
        <v>74</v>
      </c>
      <c r="H985" t="s">
        <v>74</v>
      </c>
      <c r="I985" t="s">
        <v>13709</v>
      </c>
      <c r="J985" t="s">
        <v>324</v>
      </c>
      <c r="K985" t="s">
        <v>74</v>
      </c>
      <c r="L985" t="s">
        <v>74</v>
      </c>
      <c r="M985" t="s">
        <v>78</v>
      </c>
      <c r="N985" t="s">
        <v>52</v>
      </c>
      <c r="O985" t="s">
        <v>74</v>
      </c>
      <c r="P985" t="s">
        <v>74</v>
      </c>
      <c r="Q985" t="s">
        <v>74</v>
      </c>
      <c r="R985" t="s">
        <v>74</v>
      </c>
      <c r="S985" t="s">
        <v>74</v>
      </c>
      <c r="T985" t="s">
        <v>74</v>
      </c>
      <c r="U985" t="s">
        <v>74</v>
      </c>
      <c r="V985" t="s">
        <v>74</v>
      </c>
      <c r="W985" t="s">
        <v>13710</v>
      </c>
      <c r="X985" t="s">
        <v>74</v>
      </c>
      <c r="Y985" t="s">
        <v>74</v>
      </c>
      <c r="Z985" t="s">
        <v>74</v>
      </c>
      <c r="AA985" t="s">
        <v>13711</v>
      </c>
      <c r="AB985" t="s">
        <v>1263</v>
      </c>
      <c r="AC985" t="s">
        <v>74</v>
      </c>
      <c r="AD985" t="s">
        <v>74</v>
      </c>
      <c r="AE985" t="s">
        <v>74</v>
      </c>
      <c r="AF985" t="s">
        <v>74</v>
      </c>
      <c r="AG985">
        <v>0</v>
      </c>
      <c r="AH985">
        <v>4</v>
      </c>
      <c r="AI985">
        <v>4</v>
      </c>
      <c r="AJ985">
        <v>0</v>
      </c>
      <c r="AK985">
        <v>0</v>
      </c>
      <c r="AL985" t="s">
        <v>11161</v>
      </c>
      <c r="AM985" t="s">
        <v>11162</v>
      </c>
      <c r="AN985" t="s">
        <v>11163</v>
      </c>
      <c r="AO985" t="s">
        <v>337</v>
      </c>
      <c r="AP985" t="s">
        <v>74</v>
      </c>
      <c r="AQ985" t="s">
        <v>74</v>
      </c>
      <c r="AR985" t="s">
        <v>324</v>
      </c>
      <c r="AS985" t="s">
        <v>339</v>
      </c>
      <c r="AT985" t="s">
        <v>98</v>
      </c>
      <c r="AU985">
        <v>2014</v>
      </c>
      <c r="AV985">
        <v>145</v>
      </c>
      <c r="AW985">
        <v>3</v>
      </c>
      <c r="AX985" t="s">
        <v>74</v>
      </c>
      <c r="AY985" t="s">
        <v>998</v>
      </c>
      <c r="AZ985" t="s">
        <v>74</v>
      </c>
      <c r="BA985" t="s">
        <v>13712</v>
      </c>
      <c r="BB985" t="s">
        <v>74</v>
      </c>
      <c r="BC985" t="s">
        <v>74</v>
      </c>
      <c r="BD985" t="s">
        <v>74</v>
      </c>
      <c r="BE985" t="s">
        <v>13713</v>
      </c>
      <c r="BF985" t="str">
        <f>HYPERLINK("http://dx.doi.org/10.1378/chest.1824389","http://dx.doi.org/10.1378/chest.1824389")</f>
        <v>http://dx.doi.org/10.1378/chest.1824389</v>
      </c>
      <c r="BG985" t="s">
        <v>74</v>
      </c>
      <c r="BH985" t="s">
        <v>74</v>
      </c>
      <c r="BI985">
        <v>3</v>
      </c>
      <c r="BJ985" t="s">
        <v>341</v>
      </c>
      <c r="BK985" t="s">
        <v>101</v>
      </c>
      <c r="BL985" t="s">
        <v>342</v>
      </c>
      <c r="BM985" t="s">
        <v>13714</v>
      </c>
      <c r="BN985" t="s">
        <v>74</v>
      </c>
      <c r="BO985" t="s">
        <v>1194</v>
      </c>
      <c r="BP985" t="s">
        <v>74</v>
      </c>
      <c r="BQ985" t="s">
        <v>74</v>
      </c>
      <c r="BR985" t="s">
        <v>104</v>
      </c>
      <c r="BS985" t="s">
        <v>13715</v>
      </c>
      <c r="BT985" t="str">
        <f>HYPERLINK("https%3A%2F%2Fwww.webofscience.com%2Fwos%2Fwoscc%2Ffull-record%2FWOS:000364518700432","View Full Record in Web of Science")</f>
        <v>View Full Record in Web of Science</v>
      </c>
    </row>
    <row r="986" spans="1:72" x14ac:dyDescent="0.25">
      <c r="A986" t="s">
        <v>72</v>
      </c>
      <c r="B986" t="s">
        <v>13546</v>
      </c>
      <c r="C986" t="s">
        <v>74</v>
      </c>
      <c r="D986" t="s">
        <v>74</v>
      </c>
      <c r="E986" t="s">
        <v>74</v>
      </c>
      <c r="F986" t="s">
        <v>13716</v>
      </c>
      <c r="G986" t="s">
        <v>74</v>
      </c>
      <c r="H986" t="s">
        <v>74</v>
      </c>
      <c r="I986" t="s">
        <v>13548</v>
      </c>
      <c r="J986" t="s">
        <v>13692</v>
      </c>
      <c r="K986" t="s">
        <v>74</v>
      </c>
      <c r="L986" t="s">
        <v>74</v>
      </c>
      <c r="M986" t="s">
        <v>78</v>
      </c>
      <c r="N986" t="s">
        <v>52</v>
      </c>
      <c r="O986" t="s">
        <v>74</v>
      </c>
      <c r="P986" t="s">
        <v>74</v>
      </c>
      <c r="Q986" t="s">
        <v>74</v>
      </c>
      <c r="R986" t="s">
        <v>74</v>
      </c>
      <c r="S986" t="s">
        <v>74</v>
      </c>
      <c r="T986" t="s">
        <v>74</v>
      </c>
      <c r="U986" t="s">
        <v>74</v>
      </c>
      <c r="V986" t="s">
        <v>74</v>
      </c>
      <c r="W986" t="s">
        <v>13717</v>
      </c>
      <c r="X986" t="s">
        <v>13718</v>
      </c>
      <c r="Y986" t="s">
        <v>74</v>
      </c>
      <c r="Z986" t="s">
        <v>74</v>
      </c>
      <c r="AA986" t="s">
        <v>13719</v>
      </c>
      <c r="AB986" t="s">
        <v>13185</v>
      </c>
      <c r="AC986" t="s">
        <v>74</v>
      </c>
      <c r="AD986" t="s">
        <v>74</v>
      </c>
      <c r="AE986" t="s">
        <v>74</v>
      </c>
      <c r="AF986" t="s">
        <v>74</v>
      </c>
      <c r="AG986">
        <v>0</v>
      </c>
      <c r="AH986">
        <v>0</v>
      </c>
      <c r="AI986">
        <v>0</v>
      </c>
      <c r="AJ986">
        <v>0</v>
      </c>
      <c r="AK986">
        <v>0</v>
      </c>
      <c r="AL986" t="s">
        <v>13697</v>
      </c>
      <c r="AM986" t="s">
        <v>13698</v>
      </c>
      <c r="AN986" t="s">
        <v>13699</v>
      </c>
      <c r="AO986" t="s">
        <v>13700</v>
      </c>
      <c r="AP986" t="s">
        <v>74</v>
      </c>
      <c r="AQ986" t="s">
        <v>74</v>
      </c>
      <c r="AR986" t="s">
        <v>13701</v>
      </c>
      <c r="AS986" t="s">
        <v>13702</v>
      </c>
      <c r="AT986" t="s">
        <v>13703</v>
      </c>
      <c r="AU986">
        <v>2014</v>
      </c>
      <c r="AV986">
        <v>32</v>
      </c>
      <c r="AW986">
        <v>2</v>
      </c>
      <c r="AX986" t="s">
        <v>74</v>
      </c>
      <c r="AY986">
        <v>81</v>
      </c>
      <c r="AZ986" t="s">
        <v>74</v>
      </c>
      <c r="BA986" t="s">
        <v>74</v>
      </c>
      <c r="BB986" t="s">
        <v>13720</v>
      </c>
      <c r="BC986" t="s">
        <v>13720</v>
      </c>
      <c r="BD986" t="s">
        <v>74</v>
      </c>
      <c r="BE986" t="s">
        <v>74</v>
      </c>
      <c r="BF986" t="s">
        <v>74</v>
      </c>
      <c r="BG986" t="s">
        <v>74</v>
      </c>
      <c r="BH986" t="s">
        <v>74</v>
      </c>
      <c r="BI986">
        <v>1</v>
      </c>
      <c r="BJ986" t="s">
        <v>2369</v>
      </c>
      <c r="BK986" t="s">
        <v>101</v>
      </c>
      <c r="BL986" t="s">
        <v>2369</v>
      </c>
      <c r="BM986" t="s">
        <v>13705</v>
      </c>
      <c r="BN986" t="s">
        <v>74</v>
      </c>
      <c r="BO986" t="s">
        <v>74</v>
      </c>
      <c r="BP986" t="s">
        <v>74</v>
      </c>
      <c r="BQ986" t="s">
        <v>74</v>
      </c>
      <c r="BR986" t="s">
        <v>104</v>
      </c>
      <c r="BS986" t="s">
        <v>13721</v>
      </c>
      <c r="BT986" t="str">
        <f>HYPERLINK("https%3A%2F%2Fwww.webofscience.com%2Fwos%2Fwoscc%2Ffull-record%2FWOS:000335936400065","View Full Record in Web of Science")</f>
        <v>View Full Record in Web of Science</v>
      </c>
    </row>
    <row r="987" spans="1:72" x14ac:dyDescent="0.25">
      <c r="A987" t="s">
        <v>72</v>
      </c>
      <c r="B987" t="s">
        <v>13722</v>
      </c>
      <c r="C987" t="s">
        <v>74</v>
      </c>
      <c r="D987" t="s">
        <v>74</v>
      </c>
      <c r="E987" t="s">
        <v>74</v>
      </c>
      <c r="F987" t="s">
        <v>13723</v>
      </c>
      <c r="G987" t="s">
        <v>74</v>
      </c>
      <c r="H987" t="s">
        <v>74</v>
      </c>
      <c r="I987" t="s">
        <v>13724</v>
      </c>
      <c r="J987" t="s">
        <v>2761</v>
      </c>
      <c r="K987" t="s">
        <v>74</v>
      </c>
      <c r="L987" t="s">
        <v>74</v>
      </c>
      <c r="M987" t="s">
        <v>78</v>
      </c>
      <c r="N987" t="s">
        <v>79</v>
      </c>
      <c r="O987" t="s">
        <v>74</v>
      </c>
      <c r="P987" t="s">
        <v>74</v>
      </c>
      <c r="Q987" t="s">
        <v>74</v>
      </c>
      <c r="R987" t="s">
        <v>74</v>
      </c>
      <c r="S987" t="s">
        <v>74</v>
      </c>
      <c r="T987" t="s">
        <v>13725</v>
      </c>
      <c r="U987" t="s">
        <v>13726</v>
      </c>
      <c r="V987" t="s">
        <v>13727</v>
      </c>
      <c r="W987" t="s">
        <v>13728</v>
      </c>
      <c r="X987" t="s">
        <v>13729</v>
      </c>
      <c r="Y987" t="s">
        <v>13730</v>
      </c>
      <c r="Z987" t="s">
        <v>13731</v>
      </c>
      <c r="AA987" t="s">
        <v>13732</v>
      </c>
      <c r="AB987" t="s">
        <v>13733</v>
      </c>
      <c r="AC987" t="s">
        <v>13734</v>
      </c>
      <c r="AD987" t="s">
        <v>13735</v>
      </c>
      <c r="AE987" t="s">
        <v>13736</v>
      </c>
      <c r="AF987" t="s">
        <v>74</v>
      </c>
      <c r="AG987">
        <v>47</v>
      </c>
      <c r="AH987">
        <v>111</v>
      </c>
      <c r="AI987">
        <v>120</v>
      </c>
      <c r="AJ987">
        <v>0</v>
      </c>
      <c r="AK987">
        <v>6</v>
      </c>
      <c r="AL987" t="s">
        <v>122</v>
      </c>
      <c r="AM987" t="s">
        <v>123</v>
      </c>
      <c r="AN987" t="s">
        <v>124</v>
      </c>
      <c r="AO987" t="s">
        <v>2773</v>
      </c>
      <c r="AP987" t="s">
        <v>2774</v>
      </c>
      <c r="AQ987" t="s">
        <v>74</v>
      </c>
      <c r="AR987" t="s">
        <v>2775</v>
      </c>
      <c r="AS987" t="s">
        <v>2776</v>
      </c>
      <c r="AT987" t="s">
        <v>13737</v>
      </c>
      <c r="AU987">
        <v>2014</v>
      </c>
      <c r="AV987">
        <v>114</v>
      </c>
      <c r="AW987">
        <v>4</v>
      </c>
      <c r="AX987" t="s">
        <v>74</v>
      </c>
      <c r="AY987" t="s">
        <v>74</v>
      </c>
      <c r="AZ987" t="s">
        <v>74</v>
      </c>
      <c r="BA987" t="s">
        <v>74</v>
      </c>
      <c r="BB987">
        <v>677</v>
      </c>
      <c r="BC987">
        <v>688</v>
      </c>
      <c r="BD987" t="s">
        <v>74</v>
      </c>
      <c r="BE987" t="s">
        <v>13738</v>
      </c>
      <c r="BF987" t="str">
        <f>HYPERLINK("http://dx.doi.org/10.1161/CIRCRESAHA.114.302221","http://dx.doi.org/10.1161/CIRCRESAHA.114.302221")</f>
        <v>http://dx.doi.org/10.1161/CIRCRESAHA.114.302221</v>
      </c>
      <c r="BG987" t="s">
        <v>74</v>
      </c>
      <c r="BH987" t="s">
        <v>74</v>
      </c>
      <c r="BI987">
        <v>12</v>
      </c>
      <c r="BJ987" t="s">
        <v>2781</v>
      </c>
      <c r="BK987" t="s">
        <v>101</v>
      </c>
      <c r="BL987" t="s">
        <v>2782</v>
      </c>
      <c r="BM987" t="s">
        <v>13739</v>
      </c>
      <c r="BN987">
        <v>24334027</v>
      </c>
      <c r="BO987" t="s">
        <v>4500</v>
      </c>
      <c r="BP987" t="s">
        <v>74</v>
      </c>
      <c r="BQ987" t="s">
        <v>74</v>
      </c>
      <c r="BR987" t="s">
        <v>104</v>
      </c>
      <c r="BS987" t="s">
        <v>13740</v>
      </c>
      <c r="BT987" t="str">
        <f>HYPERLINK("https%3A%2F%2Fwww.webofscience.com%2Fwos%2Fwoscc%2Ffull-record%2FWOS:000335587000018","View Full Record in Web of Science")</f>
        <v>View Full Record in Web of Science</v>
      </c>
    </row>
    <row r="988" spans="1:72" x14ac:dyDescent="0.25">
      <c r="A988" t="s">
        <v>72</v>
      </c>
      <c r="B988" t="s">
        <v>13741</v>
      </c>
      <c r="C988" t="s">
        <v>74</v>
      </c>
      <c r="D988" t="s">
        <v>74</v>
      </c>
      <c r="E988" t="s">
        <v>74</v>
      </c>
      <c r="F988" t="s">
        <v>13742</v>
      </c>
      <c r="G988" t="s">
        <v>74</v>
      </c>
      <c r="H988" t="s">
        <v>13743</v>
      </c>
      <c r="I988" t="s">
        <v>13744</v>
      </c>
      <c r="J988" t="s">
        <v>637</v>
      </c>
      <c r="K988" t="s">
        <v>74</v>
      </c>
      <c r="L988" t="s">
        <v>74</v>
      </c>
      <c r="M988" t="s">
        <v>78</v>
      </c>
      <c r="N988" t="s">
        <v>79</v>
      </c>
      <c r="O988" t="s">
        <v>74</v>
      </c>
      <c r="P988" t="s">
        <v>74</v>
      </c>
      <c r="Q988" t="s">
        <v>74</v>
      </c>
      <c r="R988" t="s">
        <v>74</v>
      </c>
      <c r="S988" t="s">
        <v>74</v>
      </c>
      <c r="T988" t="s">
        <v>13745</v>
      </c>
      <c r="U988" t="s">
        <v>13746</v>
      </c>
      <c r="V988" t="s">
        <v>13747</v>
      </c>
      <c r="W988" t="s">
        <v>74</v>
      </c>
      <c r="X988" t="s">
        <v>74</v>
      </c>
      <c r="Y988" t="s">
        <v>74</v>
      </c>
      <c r="Z988" t="s">
        <v>74</v>
      </c>
      <c r="AA988" t="s">
        <v>13748</v>
      </c>
      <c r="AB988" t="s">
        <v>13749</v>
      </c>
      <c r="AC988" t="s">
        <v>13750</v>
      </c>
      <c r="AD988" t="s">
        <v>13751</v>
      </c>
      <c r="AE988" t="s">
        <v>13752</v>
      </c>
      <c r="AF988" t="s">
        <v>74</v>
      </c>
      <c r="AG988">
        <v>116</v>
      </c>
      <c r="AH988">
        <v>62</v>
      </c>
      <c r="AI988">
        <v>65</v>
      </c>
      <c r="AJ988">
        <v>0</v>
      </c>
      <c r="AK988">
        <v>7</v>
      </c>
      <c r="AL988" t="s">
        <v>649</v>
      </c>
      <c r="AM988" t="s">
        <v>486</v>
      </c>
      <c r="AN988" t="s">
        <v>650</v>
      </c>
      <c r="AO988" t="s">
        <v>651</v>
      </c>
      <c r="AP988" t="s">
        <v>652</v>
      </c>
      <c r="AQ988" t="s">
        <v>74</v>
      </c>
      <c r="AR988" t="s">
        <v>653</v>
      </c>
      <c r="AS988" t="s">
        <v>654</v>
      </c>
      <c r="AT988" t="s">
        <v>2573</v>
      </c>
      <c r="AU988">
        <v>2014</v>
      </c>
      <c r="AV988">
        <v>189</v>
      </c>
      <c r="AW988">
        <v>3</v>
      </c>
      <c r="AX988" t="s">
        <v>74</v>
      </c>
      <c r="AY988" t="s">
        <v>74</v>
      </c>
      <c r="AZ988" t="s">
        <v>74</v>
      </c>
      <c r="BA988" t="s">
        <v>74</v>
      </c>
      <c r="BB988">
        <v>345</v>
      </c>
      <c r="BC988">
        <v>355</v>
      </c>
      <c r="BD988" t="s">
        <v>74</v>
      </c>
      <c r="BE988" t="s">
        <v>13753</v>
      </c>
      <c r="BF988" t="str">
        <f>HYPERLINK("http://dx.doi.org/10.1164/rccm.201311-1954ST","http://dx.doi.org/10.1164/rccm.201311-1954ST")</f>
        <v>http://dx.doi.org/10.1164/rccm.201311-1954ST</v>
      </c>
      <c r="BG988" t="s">
        <v>74</v>
      </c>
      <c r="BH988" t="s">
        <v>74</v>
      </c>
      <c r="BI988">
        <v>11</v>
      </c>
      <c r="BJ988" t="s">
        <v>341</v>
      </c>
      <c r="BK988" t="s">
        <v>101</v>
      </c>
      <c r="BL988" t="s">
        <v>342</v>
      </c>
      <c r="BM988" t="s">
        <v>13754</v>
      </c>
      <c r="BN988">
        <v>24484330</v>
      </c>
      <c r="BO988" t="s">
        <v>103</v>
      </c>
      <c r="BP988" t="s">
        <v>74</v>
      </c>
      <c r="BQ988" t="s">
        <v>74</v>
      </c>
      <c r="BR988" t="s">
        <v>104</v>
      </c>
      <c r="BS988" t="s">
        <v>13755</v>
      </c>
      <c r="BT988" t="str">
        <f>HYPERLINK("https%3A%2F%2Fwww.webofscience.com%2Fwos%2Fwoscc%2Ffull-record%2FWOS:000331793400017","View Full Record in Web of Science")</f>
        <v>View Full Record in Web of Science</v>
      </c>
    </row>
    <row r="989" spans="1:72" x14ac:dyDescent="0.25">
      <c r="A989" t="s">
        <v>72</v>
      </c>
      <c r="B989" t="s">
        <v>13756</v>
      </c>
      <c r="C989" t="s">
        <v>74</v>
      </c>
      <c r="D989" t="s">
        <v>74</v>
      </c>
      <c r="E989" t="s">
        <v>74</v>
      </c>
      <c r="F989" t="s">
        <v>13757</v>
      </c>
      <c r="G989" t="s">
        <v>74</v>
      </c>
      <c r="H989" t="s">
        <v>74</v>
      </c>
      <c r="I989" t="s">
        <v>13758</v>
      </c>
      <c r="J989" t="s">
        <v>983</v>
      </c>
      <c r="K989" t="s">
        <v>74</v>
      </c>
      <c r="L989" t="s">
        <v>74</v>
      </c>
      <c r="M989" t="s">
        <v>78</v>
      </c>
      <c r="N989" t="s">
        <v>79</v>
      </c>
      <c r="O989" t="s">
        <v>74</v>
      </c>
      <c r="P989" t="s">
        <v>74</v>
      </c>
      <c r="Q989" t="s">
        <v>74</v>
      </c>
      <c r="R989" t="s">
        <v>74</v>
      </c>
      <c r="S989" t="s">
        <v>74</v>
      </c>
      <c r="T989" t="s">
        <v>13759</v>
      </c>
      <c r="U989" t="s">
        <v>13760</v>
      </c>
      <c r="V989" t="s">
        <v>13761</v>
      </c>
      <c r="W989" t="s">
        <v>13762</v>
      </c>
      <c r="X989" t="s">
        <v>13763</v>
      </c>
      <c r="Y989" t="s">
        <v>13764</v>
      </c>
      <c r="Z989" t="s">
        <v>13765</v>
      </c>
      <c r="AA989" t="s">
        <v>13766</v>
      </c>
      <c r="AB989" t="s">
        <v>13767</v>
      </c>
      <c r="AC989" t="s">
        <v>13768</v>
      </c>
      <c r="AD989" t="s">
        <v>13769</v>
      </c>
      <c r="AE989" t="s">
        <v>13770</v>
      </c>
      <c r="AF989" t="s">
        <v>74</v>
      </c>
      <c r="AG989">
        <v>29</v>
      </c>
      <c r="AH989">
        <v>18</v>
      </c>
      <c r="AI989">
        <v>18</v>
      </c>
      <c r="AJ989">
        <v>0</v>
      </c>
      <c r="AK989">
        <v>4</v>
      </c>
      <c r="AL989" t="s">
        <v>991</v>
      </c>
      <c r="AM989" t="s">
        <v>486</v>
      </c>
      <c r="AN989" t="s">
        <v>992</v>
      </c>
      <c r="AO989" t="s">
        <v>993</v>
      </c>
      <c r="AP989" t="s">
        <v>994</v>
      </c>
      <c r="AQ989" t="s">
        <v>74</v>
      </c>
      <c r="AR989" t="s">
        <v>995</v>
      </c>
      <c r="AS989" t="s">
        <v>996</v>
      </c>
      <c r="AT989" t="s">
        <v>129</v>
      </c>
      <c r="AU989">
        <v>2014</v>
      </c>
      <c r="AV989">
        <v>33</v>
      </c>
      <c r="AW989">
        <v>2</v>
      </c>
      <c r="AX989" t="s">
        <v>74</v>
      </c>
      <c r="AY989" t="s">
        <v>74</v>
      </c>
      <c r="AZ989" t="s">
        <v>74</v>
      </c>
      <c r="BA989" t="s">
        <v>74</v>
      </c>
      <c r="BB989">
        <v>194</v>
      </c>
      <c r="BC989">
        <v>202</v>
      </c>
      <c r="BD989" t="s">
        <v>74</v>
      </c>
      <c r="BE989" t="s">
        <v>13771</v>
      </c>
      <c r="BF989" t="str">
        <f>HYPERLINK("http://dx.doi.org/10.1016/j.healun.2013.10.026","http://dx.doi.org/10.1016/j.healun.2013.10.026")</f>
        <v>http://dx.doi.org/10.1016/j.healun.2013.10.026</v>
      </c>
      <c r="BG989" t="s">
        <v>74</v>
      </c>
      <c r="BH989" t="s">
        <v>74</v>
      </c>
      <c r="BI989">
        <v>9</v>
      </c>
      <c r="BJ989" t="s">
        <v>1000</v>
      </c>
      <c r="BK989" t="s">
        <v>101</v>
      </c>
      <c r="BL989" t="s">
        <v>1001</v>
      </c>
      <c r="BM989" t="s">
        <v>13772</v>
      </c>
      <c r="BN989">
        <v>24290166</v>
      </c>
      <c r="BO989" t="s">
        <v>74</v>
      </c>
      <c r="BP989" t="s">
        <v>74</v>
      </c>
      <c r="BQ989" t="s">
        <v>74</v>
      </c>
      <c r="BR989" t="s">
        <v>104</v>
      </c>
      <c r="BS989" t="s">
        <v>13773</v>
      </c>
      <c r="BT989" t="str">
        <f>HYPERLINK("https%3A%2F%2Fwww.webofscience.com%2Fwos%2Fwoscc%2Ffull-record%2FWOS:000331159000013","View Full Record in Web of Science")</f>
        <v>View Full Record in Web of Science</v>
      </c>
    </row>
    <row r="990" spans="1:72" x14ac:dyDescent="0.25">
      <c r="A990" t="s">
        <v>72</v>
      </c>
      <c r="B990" t="s">
        <v>13774</v>
      </c>
      <c r="C990" t="s">
        <v>74</v>
      </c>
      <c r="D990" t="s">
        <v>74</v>
      </c>
      <c r="E990" t="s">
        <v>74</v>
      </c>
      <c r="F990" t="s">
        <v>13775</v>
      </c>
      <c r="G990" t="s">
        <v>74</v>
      </c>
      <c r="H990" t="s">
        <v>74</v>
      </c>
      <c r="I990" t="s">
        <v>13776</v>
      </c>
      <c r="J990" t="s">
        <v>216</v>
      </c>
      <c r="K990" t="s">
        <v>74</v>
      </c>
      <c r="L990" t="s">
        <v>74</v>
      </c>
      <c r="M990" t="s">
        <v>78</v>
      </c>
      <c r="N990" t="s">
        <v>460</v>
      </c>
      <c r="O990" t="s">
        <v>74</v>
      </c>
      <c r="P990" t="s">
        <v>74</v>
      </c>
      <c r="Q990" t="s">
        <v>74</v>
      </c>
      <c r="R990" t="s">
        <v>74</v>
      </c>
      <c r="S990" t="s">
        <v>74</v>
      </c>
      <c r="T990" t="s">
        <v>74</v>
      </c>
      <c r="U990" t="s">
        <v>13777</v>
      </c>
      <c r="V990" t="s">
        <v>74</v>
      </c>
      <c r="W990" t="s">
        <v>13778</v>
      </c>
      <c r="X990" t="s">
        <v>13779</v>
      </c>
      <c r="Y990" t="s">
        <v>13780</v>
      </c>
      <c r="Z990" t="s">
        <v>10035</v>
      </c>
      <c r="AA990" t="s">
        <v>13781</v>
      </c>
      <c r="AB990" t="s">
        <v>13782</v>
      </c>
      <c r="AC990" t="s">
        <v>74</v>
      </c>
      <c r="AD990" t="s">
        <v>74</v>
      </c>
      <c r="AE990" t="s">
        <v>74</v>
      </c>
      <c r="AF990" t="s">
        <v>74</v>
      </c>
      <c r="AG990">
        <v>15</v>
      </c>
      <c r="AH990">
        <v>11</v>
      </c>
      <c r="AI990">
        <v>11</v>
      </c>
      <c r="AJ990">
        <v>0</v>
      </c>
      <c r="AK990">
        <v>1</v>
      </c>
      <c r="AL990" t="s">
        <v>219</v>
      </c>
      <c r="AM990" t="s">
        <v>220</v>
      </c>
      <c r="AN990" t="s">
        <v>221</v>
      </c>
      <c r="AO990" t="s">
        <v>222</v>
      </c>
      <c r="AP990" t="s">
        <v>223</v>
      </c>
      <c r="AQ990" t="s">
        <v>74</v>
      </c>
      <c r="AR990" t="s">
        <v>224</v>
      </c>
      <c r="AS990" t="s">
        <v>225</v>
      </c>
      <c r="AT990" t="s">
        <v>129</v>
      </c>
      <c r="AU990">
        <v>2014</v>
      </c>
      <c r="AV990">
        <v>43</v>
      </c>
      <c r="AW990">
        <v>2</v>
      </c>
      <c r="AX990" t="s">
        <v>74</v>
      </c>
      <c r="AY990" t="s">
        <v>74</v>
      </c>
      <c r="AZ990" t="s">
        <v>74</v>
      </c>
      <c r="BA990" t="s">
        <v>74</v>
      </c>
      <c r="BB990">
        <v>641</v>
      </c>
      <c r="BC990">
        <v>643</v>
      </c>
      <c r="BD990" t="s">
        <v>74</v>
      </c>
      <c r="BE990" t="s">
        <v>13783</v>
      </c>
      <c r="BF990" t="str">
        <f>HYPERLINK("http://dx.doi.org/10.1183/09031936.00147013","http://dx.doi.org/10.1183/09031936.00147013")</f>
        <v>http://dx.doi.org/10.1183/09031936.00147013</v>
      </c>
      <c r="BG990" t="s">
        <v>74</v>
      </c>
      <c r="BH990" t="s">
        <v>74</v>
      </c>
      <c r="BI990">
        <v>3</v>
      </c>
      <c r="BJ990" t="s">
        <v>228</v>
      </c>
      <c r="BK990" t="s">
        <v>101</v>
      </c>
      <c r="BL990" t="s">
        <v>228</v>
      </c>
      <c r="BM990" t="s">
        <v>13784</v>
      </c>
      <c r="BN990">
        <v>24136331</v>
      </c>
      <c r="BO990" t="s">
        <v>1194</v>
      </c>
      <c r="BP990" t="s">
        <v>74</v>
      </c>
      <c r="BQ990" t="s">
        <v>74</v>
      </c>
      <c r="BR990" t="s">
        <v>104</v>
      </c>
      <c r="BS990" t="s">
        <v>13785</v>
      </c>
      <c r="BT990" t="str">
        <f>HYPERLINK("https%3A%2F%2Fwww.webofscience.com%2Fwos%2Fwoscc%2Ffull-record%2FWOS:000330824500039","View Full Record in Web of Science")</f>
        <v>View Full Record in Web of Science</v>
      </c>
    </row>
    <row r="991" spans="1:72" x14ac:dyDescent="0.25">
      <c r="A991" t="s">
        <v>72</v>
      </c>
      <c r="B991" t="s">
        <v>13786</v>
      </c>
      <c r="C991" t="s">
        <v>74</v>
      </c>
      <c r="D991" t="s">
        <v>74</v>
      </c>
      <c r="E991" t="s">
        <v>74</v>
      </c>
      <c r="F991" t="s">
        <v>13787</v>
      </c>
      <c r="G991" t="s">
        <v>74</v>
      </c>
      <c r="H991" t="s">
        <v>74</v>
      </c>
      <c r="I991" t="s">
        <v>13788</v>
      </c>
      <c r="J991" t="s">
        <v>13789</v>
      </c>
      <c r="K991" t="s">
        <v>74</v>
      </c>
      <c r="L991" t="s">
        <v>74</v>
      </c>
      <c r="M991" t="s">
        <v>78</v>
      </c>
      <c r="N991" t="s">
        <v>299</v>
      </c>
      <c r="O991" t="s">
        <v>74</v>
      </c>
      <c r="P991" t="s">
        <v>74</v>
      </c>
      <c r="Q991" t="s">
        <v>74</v>
      </c>
      <c r="R991" t="s">
        <v>74</v>
      </c>
      <c r="S991" t="s">
        <v>74</v>
      </c>
      <c r="T991" t="s">
        <v>13790</v>
      </c>
      <c r="U991" t="s">
        <v>13791</v>
      </c>
      <c r="V991" t="s">
        <v>13792</v>
      </c>
      <c r="W991" t="s">
        <v>13793</v>
      </c>
      <c r="X991" t="s">
        <v>13794</v>
      </c>
      <c r="Y991" t="s">
        <v>7557</v>
      </c>
      <c r="Z991" t="s">
        <v>3402</v>
      </c>
      <c r="AA991" t="s">
        <v>13795</v>
      </c>
      <c r="AB991" t="s">
        <v>13796</v>
      </c>
      <c r="AC991" t="s">
        <v>74</v>
      </c>
      <c r="AD991" t="s">
        <v>74</v>
      </c>
      <c r="AE991" t="s">
        <v>74</v>
      </c>
      <c r="AF991" t="s">
        <v>74</v>
      </c>
      <c r="AG991">
        <v>319</v>
      </c>
      <c r="AH991">
        <v>164</v>
      </c>
      <c r="AI991">
        <v>200</v>
      </c>
      <c r="AJ991">
        <v>2</v>
      </c>
      <c r="AK991">
        <v>39</v>
      </c>
      <c r="AL991" t="s">
        <v>13797</v>
      </c>
      <c r="AM991" t="s">
        <v>1074</v>
      </c>
      <c r="AN991" t="s">
        <v>13798</v>
      </c>
      <c r="AO991" t="s">
        <v>13799</v>
      </c>
      <c r="AP991" t="s">
        <v>74</v>
      </c>
      <c r="AQ991" t="s">
        <v>74</v>
      </c>
      <c r="AR991" t="s">
        <v>13800</v>
      </c>
      <c r="AS991" t="s">
        <v>13801</v>
      </c>
      <c r="AT991" t="s">
        <v>129</v>
      </c>
      <c r="AU991">
        <v>2014</v>
      </c>
      <c r="AV991">
        <v>141</v>
      </c>
      <c r="AW991">
        <v>2</v>
      </c>
      <c r="AX991" t="s">
        <v>74</v>
      </c>
      <c r="AY991" t="s">
        <v>74</v>
      </c>
      <c r="AZ991" t="s">
        <v>74</v>
      </c>
      <c r="BA991" t="s">
        <v>74</v>
      </c>
      <c r="BB991">
        <v>172</v>
      </c>
      <c r="BC991">
        <v>191</v>
      </c>
      <c r="BD991" t="s">
        <v>74</v>
      </c>
      <c r="BE991" t="s">
        <v>13802</v>
      </c>
      <c r="BF991" t="str">
        <f>HYPERLINK("http://dx.doi.org/10.1016/j.pharmthera.2013.10.002","http://dx.doi.org/10.1016/j.pharmthera.2013.10.002")</f>
        <v>http://dx.doi.org/10.1016/j.pharmthera.2013.10.002</v>
      </c>
      <c r="BG991" t="s">
        <v>74</v>
      </c>
      <c r="BH991" t="s">
        <v>74</v>
      </c>
      <c r="BI991">
        <v>20</v>
      </c>
      <c r="BJ991" t="s">
        <v>1477</v>
      </c>
      <c r="BK991" t="s">
        <v>101</v>
      </c>
      <c r="BL991" t="s">
        <v>1477</v>
      </c>
      <c r="BM991" t="s">
        <v>13803</v>
      </c>
      <c r="BN991">
        <v>24134901</v>
      </c>
      <c r="BO991" t="s">
        <v>74</v>
      </c>
      <c r="BP991" t="s">
        <v>74</v>
      </c>
      <c r="BQ991" t="s">
        <v>74</v>
      </c>
      <c r="BR991" t="s">
        <v>104</v>
      </c>
      <c r="BS991" t="s">
        <v>13804</v>
      </c>
      <c r="BT991" t="str">
        <f>HYPERLINK("https%3A%2F%2Fwww.webofscience.com%2Fwos%2Fwoscc%2Ffull-record%2FWOS:000329950900006","View Full Record in Web of Science")</f>
        <v>View Full Record in Web of Science</v>
      </c>
    </row>
    <row r="992" spans="1:72" x14ac:dyDescent="0.25">
      <c r="A992" t="s">
        <v>72</v>
      </c>
      <c r="B992" t="s">
        <v>13805</v>
      </c>
      <c r="C992" t="s">
        <v>74</v>
      </c>
      <c r="D992" t="s">
        <v>74</v>
      </c>
      <c r="E992" t="s">
        <v>74</v>
      </c>
      <c r="F992" t="s">
        <v>13806</v>
      </c>
      <c r="G992" t="s">
        <v>74</v>
      </c>
      <c r="H992" t="s">
        <v>74</v>
      </c>
      <c r="I992" t="s">
        <v>13807</v>
      </c>
      <c r="J992" t="s">
        <v>216</v>
      </c>
      <c r="K992" t="s">
        <v>74</v>
      </c>
      <c r="L992" t="s">
        <v>74</v>
      </c>
      <c r="M992" t="s">
        <v>78</v>
      </c>
      <c r="N992" t="s">
        <v>140</v>
      </c>
      <c r="O992" t="s">
        <v>74</v>
      </c>
      <c r="P992" t="s">
        <v>74</v>
      </c>
      <c r="Q992" t="s">
        <v>74</v>
      </c>
      <c r="R992" t="s">
        <v>74</v>
      </c>
      <c r="S992" t="s">
        <v>74</v>
      </c>
      <c r="T992" t="s">
        <v>74</v>
      </c>
      <c r="U992" t="s">
        <v>13808</v>
      </c>
      <c r="V992" t="s">
        <v>74</v>
      </c>
      <c r="W992" t="s">
        <v>13809</v>
      </c>
      <c r="X992" t="s">
        <v>13810</v>
      </c>
      <c r="Y992" t="s">
        <v>13811</v>
      </c>
      <c r="Z992" t="s">
        <v>3402</v>
      </c>
      <c r="AA992" t="s">
        <v>144</v>
      </c>
      <c r="AB992" t="s">
        <v>257</v>
      </c>
      <c r="AC992" t="s">
        <v>74</v>
      </c>
      <c r="AD992" t="s">
        <v>74</v>
      </c>
      <c r="AE992" t="s">
        <v>74</v>
      </c>
      <c r="AF992" t="s">
        <v>74</v>
      </c>
      <c r="AG992">
        <v>26</v>
      </c>
      <c r="AH992">
        <v>1</v>
      </c>
      <c r="AI992">
        <v>2</v>
      </c>
      <c r="AJ992">
        <v>0</v>
      </c>
      <c r="AK992">
        <v>1</v>
      </c>
      <c r="AL992" t="s">
        <v>219</v>
      </c>
      <c r="AM992" t="s">
        <v>220</v>
      </c>
      <c r="AN992" t="s">
        <v>221</v>
      </c>
      <c r="AO992" t="s">
        <v>222</v>
      </c>
      <c r="AP992" t="s">
        <v>223</v>
      </c>
      <c r="AQ992" t="s">
        <v>74</v>
      </c>
      <c r="AR992" t="s">
        <v>224</v>
      </c>
      <c r="AS992" t="s">
        <v>225</v>
      </c>
      <c r="AT992" t="s">
        <v>129</v>
      </c>
      <c r="AU992">
        <v>2014</v>
      </c>
      <c r="AV992">
        <v>43</v>
      </c>
      <c r="AW992">
        <v>2</v>
      </c>
      <c r="AX992" t="s">
        <v>74</v>
      </c>
      <c r="AY992" t="s">
        <v>74</v>
      </c>
      <c r="AZ992" t="s">
        <v>74</v>
      </c>
      <c r="BA992" t="s">
        <v>74</v>
      </c>
      <c r="BB992">
        <v>325</v>
      </c>
      <c r="BC992">
        <v>328</v>
      </c>
      <c r="BD992" t="s">
        <v>74</v>
      </c>
      <c r="BE992" t="s">
        <v>13812</v>
      </c>
      <c r="BF992" t="str">
        <f>HYPERLINK("http://dx.doi.org/10.1183/09031936.00125313","http://dx.doi.org/10.1183/09031936.00125313")</f>
        <v>http://dx.doi.org/10.1183/09031936.00125313</v>
      </c>
      <c r="BG992" t="s">
        <v>74</v>
      </c>
      <c r="BH992" t="s">
        <v>74</v>
      </c>
      <c r="BI992">
        <v>4</v>
      </c>
      <c r="BJ992" t="s">
        <v>228</v>
      </c>
      <c r="BK992" t="s">
        <v>101</v>
      </c>
      <c r="BL992" t="s">
        <v>228</v>
      </c>
      <c r="BM992" t="s">
        <v>13784</v>
      </c>
      <c r="BN992">
        <v>24488987</v>
      </c>
      <c r="BO992" t="s">
        <v>1194</v>
      </c>
      <c r="BP992" t="s">
        <v>74</v>
      </c>
      <c r="BQ992" t="s">
        <v>74</v>
      </c>
      <c r="BR992" t="s">
        <v>104</v>
      </c>
      <c r="BS992" t="s">
        <v>13813</v>
      </c>
      <c r="BT992" t="str">
        <f>HYPERLINK("https%3A%2F%2Fwww.webofscience.com%2Fwos%2Fwoscc%2Ffull-record%2FWOS:000330824500004","View Full Record in Web of Science")</f>
        <v>View Full Record in Web of Science</v>
      </c>
    </row>
    <row r="993" spans="1:72" x14ac:dyDescent="0.25">
      <c r="A993" t="s">
        <v>72</v>
      </c>
      <c r="B993" t="s">
        <v>13814</v>
      </c>
      <c r="C993" t="s">
        <v>74</v>
      </c>
      <c r="D993" t="s">
        <v>74</v>
      </c>
      <c r="E993" t="s">
        <v>74</v>
      </c>
      <c r="F993" t="s">
        <v>13815</v>
      </c>
      <c r="G993" t="s">
        <v>74</v>
      </c>
      <c r="H993" t="s">
        <v>74</v>
      </c>
      <c r="I993" t="s">
        <v>13816</v>
      </c>
      <c r="J993" t="s">
        <v>637</v>
      </c>
      <c r="K993" t="s">
        <v>74</v>
      </c>
      <c r="L993" t="s">
        <v>74</v>
      </c>
      <c r="M993" t="s">
        <v>78</v>
      </c>
      <c r="N993" t="s">
        <v>52</v>
      </c>
      <c r="O993" t="s">
        <v>74</v>
      </c>
      <c r="P993" t="s">
        <v>74</v>
      </c>
      <c r="Q993" t="s">
        <v>74</v>
      </c>
      <c r="R993" t="s">
        <v>74</v>
      </c>
      <c r="S993" t="s">
        <v>74</v>
      </c>
      <c r="T993" t="s">
        <v>74</v>
      </c>
      <c r="U993" t="s">
        <v>74</v>
      </c>
      <c r="V993" t="s">
        <v>74</v>
      </c>
      <c r="W993" t="s">
        <v>13817</v>
      </c>
      <c r="X993" t="s">
        <v>13818</v>
      </c>
      <c r="Y993" t="s">
        <v>74</v>
      </c>
      <c r="Z993" t="s">
        <v>820</v>
      </c>
      <c r="AA993" t="s">
        <v>13819</v>
      </c>
      <c r="AB993" t="s">
        <v>5709</v>
      </c>
      <c r="AC993" t="s">
        <v>74</v>
      </c>
      <c r="AD993" t="s">
        <v>74</v>
      </c>
      <c r="AE993" t="s">
        <v>74</v>
      </c>
      <c r="AF993" t="s">
        <v>74</v>
      </c>
      <c r="AG993">
        <v>0</v>
      </c>
      <c r="AH993">
        <v>0</v>
      </c>
      <c r="AI993">
        <v>0</v>
      </c>
      <c r="AJ993">
        <v>0</v>
      </c>
      <c r="AK993">
        <v>1</v>
      </c>
      <c r="AL993" t="s">
        <v>649</v>
      </c>
      <c r="AM993" t="s">
        <v>486</v>
      </c>
      <c r="AN993" t="s">
        <v>650</v>
      </c>
      <c r="AO993" t="s">
        <v>651</v>
      </c>
      <c r="AP993" t="s">
        <v>652</v>
      </c>
      <c r="AQ993" t="s">
        <v>74</v>
      </c>
      <c r="AR993" t="s">
        <v>653</v>
      </c>
      <c r="AS993" t="s">
        <v>654</v>
      </c>
      <c r="AT993" t="s">
        <v>74</v>
      </c>
      <c r="AU993">
        <v>2014</v>
      </c>
      <c r="AV993">
        <v>189</v>
      </c>
      <c r="AW993" t="s">
        <v>74</v>
      </c>
      <c r="AX993" t="s">
        <v>74</v>
      </c>
      <c r="AY993" t="s">
        <v>74</v>
      </c>
      <c r="AZ993" t="s">
        <v>74</v>
      </c>
      <c r="BA993" t="s">
        <v>13820</v>
      </c>
      <c r="BB993" t="s">
        <v>74</v>
      </c>
      <c r="BC993" t="s">
        <v>74</v>
      </c>
      <c r="BD993" t="s">
        <v>74</v>
      </c>
      <c r="BE993" t="s">
        <v>74</v>
      </c>
      <c r="BF993" t="s">
        <v>74</v>
      </c>
      <c r="BG993" t="s">
        <v>74</v>
      </c>
      <c r="BH993" t="s">
        <v>74</v>
      </c>
      <c r="BI993">
        <v>1</v>
      </c>
      <c r="BJ993" t="s">
        <v>341</v>
      </c>
      <c r="BK993" t="s">
        <v>101</v>
      </c>
      <c r="BL993" t="s">
        <v>342</v>
      </c>
      <c r="BM993" t="s">
        <v>13821</v>
      </c>
      <c r="BN993" t="s">
        <v>74</v>
      </c>
      <c r="BO993" t="s">
        <v>74</v>
      </c>
      <c r="BP993" t="s">
        <v>74</v>
      </c>
      <c r="BQ993" t="s">
        <v>74</v>
      </c>
      <c r="BR993" t="s">
        <v>104</v>
      </c>
      <c r="BS993" t="s">
        <v>13822</v>
      </c>
      <c r="BT993" t="str">
        <f>HYPERLINK("https%3A%2F%2Fwww.webofscience.com%2Fwos%2Fwoscc%2Ffull-record%2FWOS:000209838204219","View Full Record in Web of Science")</f>
        <v>View Full Record in Web of Science</v>
      </c>
    </row>
    <row r="994" spans="1:72" x14ac:dyDescent="0.25">
      <c r="A994" t="s">
        <v>72</v>
      </c>
      <c r="B994" t="s">
        <v>13823</v>
      </c>
      <c r="C994" t="s">
        <v>74</v>
      </c>
      <c r="D994" t="s">
        <v>74</v>
      </c>
      <c r="E994" t="s">
        <v>74</v>
      </c>
      <c r="F994" t="s">
        <v>13824</v>
      </c>
      <c r="G994" t="s">
        <v>74</v>
      </c>
      <c r="H994" t="s">
        <v>74</v>
      </c>
      <c r="I994" t="s">
        <v>13825</v>
      </c>
      <c r="J994" t="s">
        <v>637</v>
      </c>
      <c r="K994" t="s">
        <v>74</v>
      </c>
      <c r="L994" t="s">
        <v>74</v>
      </c>
      <c r="M994" t="s">
        <v>78</v>
      </c>
      <c r="N994" t="s">
        <v>52</v>
      </c>
      <c r="O994" t="s">
        <v>74</v>
      </c>
      <c r="P994" t="s">
        <v>74</v>
      </c>
      <c r="Q994" t="s">
        <v>74</v>
      </c>
      <c r="R994" t="s">
        <v>74</v>
      </c>
      <c r="S994" t="s">
        <v>74</v>
      </c>
      <c r="T994" t="s">
        <v>74</v>
      </c>
      <c r="U994" t="s">
        <v>74</v>
      </c>
      <c r="V994" t="s">
        <v>74</v>
      </c>
      <c r="W994" t="s">
        <v>13826</v>
      </c>
      <c r="X994" t="s">
        <v>13827</v>
      </c>
      <c r="Y994" t="s">
        <v>74</v>
      </c>
      <c r="Z994" t="s">
        <v>74</v>
      </c>
      <c r="AA994" t="s">
        <v>13828</v>
      </c>
      <c r="AB994" t="s">
        <v>74</v>
      </c>
      <c r="AC994" t="s">
        <v>74</v>
      </c>
      <c r="AD994" t="s">
        <v>74</v>
      </c>
      <c r="AE994" t="s">
        <v>74</v>
      </c>
      <c r="AF994" t="s">
        <v>74</v>
      </c>
      <c r="AG994">
        <v>0</v>
      </c>
      <c r="AH994">
        <v>2</v>
      </c>
      <c r="AI994">
        <v>3</v>
      </c>
      <c r="AJ994">
        <v>0</v>
      </c>
      <c r="AK994">
        <v>0</v>
      </c>
      <c r="AL994" t="s">
        <v>649</v>
      </c>
      <c r="AM994" t="s">
        <v>486</v>
      </c>
      <c r="AN994" t="s">
        <v>650</v>
      </c>
      <c r="AO994" t="s">
        <v>651</v>
      </c>
      <c r="AP994" t="s">
        <v>652</v>
      </c>
      <c r="AQ994" t="s">
        <v>74</v>
      </c>
      <c r="AR994" t="s">
        <v>653</v>
      </c>
      <c r="AS994" t="s">
        <v>654</v>
      </c>
      <c r="AT994" t="s">
        <v>74</v>
      </c>
      <c r="AU994">
        <v>2014</v>
      </c>
      <c r="AV994">
        <v>189</v>
      </c>
      <c r="AW994" t="s">
        <v>74</v>
      </c>
      <c r="AX994" t="s">
        <v>74</v>
      </c>
      <c r="AY994" t="s">
        <v>74</v>
      </c>
      <c r="AZ994" t="s">
        <v>74</v>
      </c>
      <c r="BA994" t="s">
        <v>13829</v>
      </c>
      <c r="BB994" t="s">
        <v>74</v>
      </c>
      <c r="BC994" t="s">
        <v>74</v>
      </c>
      <c r="BD994" t="s">
        <v>74</v>
      </c>
      <c r="BE994" t="s">
        <v>74</v>
      </c>
      <c r="BF994" t="s">
        <v>74</v>
      </c>
      <c r="BG994" t="s">
        <v>74</v>
      </c>
      <c r="BH994" t="s">
        <v>74</v>
      </c>
      <c r="BI994">
        <v>1</v>
      </c>
      <c r="BJ994" t="s">
        <v>341</v>
      </c>
      <c r="BK994" t="s">
        <v>101</v>
      </c>
      <c r="BL994" t="s">
        <v>342</v>
      </c>
      <c r="BM994" t="s">
        <v>13821</v>
      </c>
      <c r="BN994" t="s">
        <v>74</v>
      </c>
      <c r="BO994" t="s">
        <v>74</v>
      </c>
      <c r="BP994" t="s">
        <v>74</v>
      </c>
      <c r="BQ994" t="s">
        <v>74</v>
      </c>
      <c r="BR994" t="s">
        <v>104</v>
      </c>
      <c r="BS994" t="s">
        <v>13830</v>
      </c>
      <c r="BT994" t="str">
        <f>HYPERLINK("https%3A%2F%2Fwww.webofscience.com%2Fwos%2Fwoscc%2Ffull-record%2FWOS:000209838201059","View Full Record in Web of Science")</f>
        <v>View Full Record in Web of Science</v>
      </c>
    </row>
    <row r="995" spans="1:72" x14ac:dyDescent="0.25">
      <c r="A995" t="s">
        <v>72</v>
      </c>
      <c r="B995" t="s">
        <v>13831</v>
      </c>
      <c r="C995" t="s">
        <v>74</v>
      </c>
      <c r="D995" t="s">
        <v>74</v>
      </c>
      <c r="E995" t="s">
        <v>74</v>
      </c>
      <c r="F995" t="s">
        <v>13832</v>
      </c>
      <c r="G995" t="s">
        <v>74</v>
      </c>
      <c r="H995" t="s">
        <v>74</v>
      </c>
      <c r="I995" t="s">
        <v>13833</v>
      </c>
      <c r="J995" t="s">
        <v>637</v>
      </c>
      <c r="K995" t="s">
        <v>74</v>
      </c>
      <c r="L995" t="s">
        <v>74</v>
      </c>
      <c r="M995" t="s">
        <v>78</v>
      </c>
      <c r="N995" t="s">
        <v>52</v>
      </c>
      <c r="O995" t="s">
        <v>74</v>
      </c>
      <c r="P995" t="s">
        <v>74</v>
      </c>
      <c r="Q995" t="s">
        <v>74</v>
      </c>
      <c r="R995" t="s">
        <v>74</v>
      </c>
      <c r="S995" t="s">
        <v>74</v>
      </c>
      <c r="T995" t="s">
        <v>74</v>
      </c>
      <c r="U995" t="s">
        <v>74</v>
      </c>
      <c r="V995" t="s">
        <v>74</v>
      </c>
      <c r="W995" t="s">
        <v>13834</v>
      </c>
      <c r="X995" t="s">
        <v>13835</v>
      </c>
      <c r="Y995" t="s">
        <v>74</v>
      </c>
      <c r="Z995" t="s">
        <v>74</v>
      </c>
      <c r="AA995" t="s">
        <v>13836</v>
      </c>
      <c r="AB995" t="s">
        <v>13837</v>
      </c>
      <c r="AC995" t="s">
        <v>74</v>
      </c>
      <c r="AD995" t="s">
        <v>74</v>
      </c>
      <c r="AE995" t="s">
        <v>74</v>
      </c>
      <c r="AF995" t="s">
        <v>74</v>
      </c>
      <c r="AG995">
        <v>0</v>
      </c>
      <c r="AH995">
        <v>0</v>
      </c>
      <c r="AI995">
        <v>0</v>
      </c>
      <c r="AJ995">
        <v>0</v>
      </c>
      <c r="AK995">
        <v>0</v>
      </c>
      <c r="AL995" t="s">
        <v>649</v>
      </c>
      <c r="AM995" t="s">
        <v>486</v>
      </c>
      <c r="AN995" t="s">
        <v>650</v>
      </c>
      <c r="AO995" t="s">
        <v>651</v>
      </c>
      <c r="AP995" t="s">
        <v>652</v>
      </c>
      <c r="AQ995" t="s">
        <v>74</v>
      </c>
      <c r="AR995" t="s">
        <v>653</v>
      </c>
      <c r="AS995" t="s">
        <v>654</v>
      </c>
      <c r="AT995" t="s">
        <v>74</v>
      </c>
      <c r="AU995">
        <v>2014</v>
      </c>
      <c r="AV995">
        <v>189</v>
      </c>
      <c r="AW995" t="s">
        <v>74</v>
      </c>
      <c r="AX995" t="s">
        <v>74</v>
      </c>
      <c r="AY995" t="s">
        <v>74</v>
      </c>
      <c r="AZ995" t="s">
        <v>74</v>
      </c>
      <c r="BA995" t="s">
        <v>13838</v>
      </c>
      <c r="BB995" t="s">
        <v>74</v>
      </c>
      <c r="BC995" t="s">
        <v>74</v>
      </c>
      <c r="BD995" t="s">
        <v>74</v>
      </c>
      <c r="BE995" t="s">
        <v>74</v>
      </c>
      <c r="BF995" t="s">
        <v>74</v>
      </c>
      <c r="BG995" t="s">
        <v>74</v>
      </c>
      <c r="BH995" t="s">
        <v>74</v>
      </c>
      <c r="BI995">
        <v>1</v>
      </c>
      <c r="BJ995" t="s">
        <v>341</v>
      </c>
      <c r="BK995" t="s">
        <v>101</v>
      </c>
      <c r="BL995" t="s">
        <v>342</v>
      </c>
      <c r="BM995" t="s">
        <v>13821</v>
      </c>
      <c r="BN995" t="s">
        <v>74</v>
      </c>
      <c r="BO995" t="s">
        <v>74</v>
      </c>
      <c r="BP995" t="s">
        <v>74</v>
      </c>
      <c r="BQ995" t="s">
        <v>74</v>
      </c>
      <c r="BR995" t="s">
        <v>104</v>
      </c>
      <c r="BS995" t="s">
        <v>13839</v>
      </c>
      <c r="BT995" t="str">
        <f>HYPERLINK("https%3A%2F%2Fwww.webofscience.com%2Fwos%2Fwoscc%2Ffull-record%2FWOS:000209838203231","View Full Record in Web of Science")</f>
        <v>View Full Record in Web of Science</v>
      </c>
    </row>
    <row r="996" spans="1:72" x14ac:dyDescent="0.25">
      <c r="A996" t="s">
        <v>72</v>
      </c>
      <c r="B996" t="s">
        <v>13840</v>
      </c>
      <c r="C996" t="s">
        <v>74</v>
      </c>
      <c r="D996" t="s">
        <v>74</v>
      </c>
      <c r="E996" t="s">
        <v>74</v>
      </c>
      <c r="F996" t="s">
        <v>13841</v>
      </c>
      <c r="G996" t="s">
        <v>74</v>
      </c>
      <c r="H996" t="s">
        <v>74</v>
      </c>
      <c r="I996" t="s">
        <v>13842</v>
      </c>
      <c r="J996" t="s">
        <v>637</v>
      </c>
      <c r="K996" t="s">
        <v>74</v>
      </c>
      <c r="L996" t="s">
        <v>74</v>
      </c>
      <c r="M996" t="s">
        <v>78</v>
      </c>
      <c r="N996" t="s">
        <v>52</v>
      </c>
      <c r="O996" t="s">
        <v>74</v>
      </c>
      <c r="P996" t="s">
        <v>74</v>
      </c>
      <c r="Q996" t="s">
        <v>74</v>
      </c>
      <c r="R996" t="s">
        <v>74</v>
      </c>
      <c r="S996" t="s">
        <v>74</v>
      </c>
      <c r="T996" t="s">
        <v>74</v>
      </c>
      <c r="U996" t="s">
        <v>74</v>
      </c>
      <c r="V996" t="s">
        <v>74</v>
      </c>
      <c r="W996" t="s">
        <v>13843</v>
      </c>
      <c r="X996" t="s">
        <v>13844</v>
      </c>
      <c r="Y996" t="s">
        <v>74</v>
      </c>
      <c r="Z996" t="s">
        <v>13845</v>
      </c>
      <c r="AA996" t="s">
        <v>13846</v>
      </c>
      <c r="AB996" t="s">
        <v>13304</v>
      </c>
      <c r="AC996" t="s">
        <v>74</v>
      </c>
      <c r="AD996" t="s">
        <v>74</v>
      </c>
      <c r="AE996" t="s">
        <v>74</v>
      </c>
      <c r="AF996" t="s">
        <v>74</v>
      </c>
      <c r="AG996">
        <v>0</v>
      </c>
      <c r="AH996">
        <v>0</v>
      </c>
      <c r="AI996">
        <v>0</v>
      </c>
      <c r="AJ996">
        <v>0</v>
      </c>
      <c r="AK996">
        <v>1</v>
      </c>
      <c r="AL996" t="s">
        <v>649</v>
      </c>
      <c r="AM996" t="s">
        <v>486</v>
      </c>
      <c r="AN996" t="s">
        <v>650</v>
      </c>
      <c r="AO996" t="s">
        <v>651</v>
      </c>
      <c r="AP996" t="s">
        <v>652</v>
      </c>
      <c r="AQ996" t="s">
        <v>74</v>
      </c>
      <c r="AR996" t="s">
        <v>653</v>
      </c>
      <c r="AS996" t="s">
        <v>654</v>
      </c>
      <c r="AT996" t="s">
        <v>74</v>
      </c>
      <c r="AU996">
        <v>2014</v>
      </c>
      <c r="AV996">
        <v>189</v>
      </c>
      <c r="AW996" t="s">
        <v>74</v>
      </c>
      <c r="AX996" t="s">
        <v>74</v>
      </c>
      <c r="AY996" t="s">
        <v>74</v>
      </c>
      <c r="AZ996" t="s">
        <v>74</v>
      </c>
      <c r="BA996" t="s">
        <v>13847</v>
      </c>
      <c r="BB996" t="s">
        <v>74</v>
      </c>
      <c r="BC996" t="s">
        <v>74</v>
      </c>
      <c r="BD996" t="s">
        <v>74</v>
      </c>
      <c r="BE996" t="s">
        <v>74</v>
      </c>
      <c r="BF996" t="s">
        <v>74</v>
      </c>
      <c r="BG996" t="s">
        <v>74</v>
      </c>
      <c r="BH996" t="s">
        <v>74</v>
      </c>
      <c r="BI996">
        <v>1</v>
      </c>
      <c r="BJ996" t="s">
        <v>341</v>
      </c>
      <c r="BK996" t="s">
        <v>101</v>
      </c>
      <c r="BL996" t="s">
        <v>342</v>
      </c>
      <c r="BM996" t="s">
        <v>13821</v>
      </c>
      <c r="BN996" t="s">
        <v>74</v>
      </c>
      <c r="BO996" t="s">
        <v>74</v>
      </c>
      <c r="BP996" t="s">
        <v>74</v>
      </c>
      <c r="BQ996" t="s">
        <v>74</v>
      </c>
      <c r="BR996" t="s">
        <v>104</v>
      </c>
      <c r="BS996" t="s">
        <v>13848</v>
      </c>
      <c r="BT996" t="str">
        <f>HYPERLINK("https%3A%2F%2Fwww.webofscience.com%2Fwos%2Fwoscc%2Ffull-record%2FWOS:000209838203497","View Full Record in Web of Science")</f>
        <v>View Full Record in Web of Science</v>
      </c>
    </row>
    <row r="997" spans="1:72" x14ac:dyDescent="0.25">
      <c r="A997" t="s">
        <v>72</v>
      </c>
      <c r="B997" t="s">
        <v>13849</v>
      </c>
      <c r="C997" t="s">
        <v>74</v>
      </c>
      <c r="D997" t="s">
        <v>74</v>
      </c>
      <c r="E997" t="s">
        <v>74</v>
      </c>
      <c r="F997" t="s">
        <v>13850</v>
      </c>
      <c r="G997" t="s">
        <v>74</v>
      </c>
      <c r="H997" t="s">
        <v>74</v>
      </c>
      <c r="I997" t="s">
        <v>13851</v>
      </c>
      <c r="J997" t="s">
        <v>13852</v>
      </c>
      <c r="K997" t="s">
        <v>74</v>
      </c>
      <c r="L997" t="s">
        <v>74</v>
      </c>
      <c r="M997" t="s">
        <v>78</v>
      </c>
      <c r="N997" t="s">
        <v>79</v>
      </c>
      <c r="O997" t="s">
        <v>74</v>
      </c>
      <c r="P997" t="s">
        <v>74</v>
      </c>
      <c r="Q997" t="s">
        <v>74</v>
      </c>
      <c r="R997" t="s">
        <v>74</v>
      </c>
      <c r="S997" t="s">
        <v>74</v>
      </c>
      <c r="T997" t="s">
        <v>74</v>
      </c>
      <c r="U997" t="s">
        <v>13853</v>
      </c>
      <c r="V997" t="s">
        <v>13854</v>
      </c>
      <c r="W997" t="s">
        <v>13855</v>
      </c>
      <c r="X997" t="s">
        <v>13856</v>
      </c>
      <c r="Y997" t="s">
        <v>13857</v>
      </c>
      <c r="Z997" t="s">
        <v>7825</v>
      </c>
      <c r="AA997" t="s">
        <v>13858</v>
      </c>
      <c r="AB997" t="s">
        <v>13859</v>
      </c>
      <c r="AC997" t="s">
        <v>13860</v>
      </c>
      <c r="AD997" t="s">
        <v>13861</v>
      </c>
      <c r="AE997" t="s">
        <v>13862</v>
      </c>
      <c r="AF997" t="s">
        <v>74</v>
      </c>
      <c r="AG997">
        <v>35</v>
      </c>
      <c r="AH997">
        <v>305</v>
      </c>
      <c r="AI997">
        <v>344</v>
      </c>
      <c r="AJ997">
        <v>1</v>
      </c>
      <c r="AK997">
        <v>27</v>
      </c>
      <c r="AL997" t="s">
        <v>7501</v>
      </c>
      <c r="AM997" t="s">
        <v>486</v>
      </c>
      <c r="AN997" t="s">
        <v>9667</v>
      </c>
      <c r="AO997" t="s">
        <v>13863</v>
      </c>
      <c r="AP997" t="s">
        <v>13864</v>
      </c>
      <c r="AQ997" t="s">
        <v>74</v>
      </c>
      <c r="AR997" t="s">
        <v>13865</v>
      </c>
      <c r="AS997" t="s">
        <v>13866</v>
      </c>
      <c r="AT997" t="s">
        <v>176</v>
      </c>
      <c r="AU997">
        <v>2014</v>
      </c>
      <c r="AV997">
        <v>46</v>
      </c>
      <c r="AW997">
        <v>1</v>
      </c>
      <c r="AX997" t="s">
        <v>74</v>
      </c>
      <c r="AY997" t="s">
        <v>74</v>
      </c>
      <c r="AZ997" t="s">
        <v>74</v>
      </c>
      <c r="BA997" t="s">
        <v>74</v>
      </c>
      <c r="BB997">
        <v>65</v>
      </c>
      <c r="BC997" t="s">
        <v>3083</v>
      </c>
      <c r="BD997" t="s">
        <v>74</v>
      </c>
      <c r="BE997" t="s">
        <v>13867</v>
      </c>
      <c r="BF997" t="str">
        <f>HYPERLINK("http://dx.doi.org/10.1038/ng.2844","http://dx.doi.org/10.1038/ng.2844")</f>
        <v>http://dx.doi.org/10.1038/ng.2844</v>
      </c>
      <c r="BG997" t="s">
        <v>74</v>
      </c>
      <c r="BH997" t="s">
        <v>74</v>
      </c>
      <c r="BI997">
        <v>6</v>
      </c>
      <c r="BJ997" t="s">
        <v>4407</v>
      </c>
      <c r="BK997" t="s">
        <v>101</v>
      </c>
      <c r="BL997" t="s">
        <v>4407</v>
      </c>
      <c r="BM997" t="s">
        <v>13868</v>
      </c>
      <c r="BN997">
        <v>24292273</v>
      </c>
      <c r="BO997" t="s">
        <v>74</v>
      </c>
      <c r="BP997" t="s">
        <v>74</v>
      </c>
      <c r="BQ997" t="s">
        <v>74</v>
      </c>
      <c r="BR997" t="s">
        <v>104</v>
      </c>
      <c r="BS997" t="s">
        <v>13869</v>
      </c>
      <c r="BT997" t="str">
        <f>HYPERLINK("https%3A%2F%2Fwww.webofscience.com%2Fwos%2Fwoscc%2Ffull-record%2FWOS:000329113500015","View Full Record in Web of Science")</f>
        <v>View Full Record in Web of Science</v>
      </c>
    </row>
    <row r="998" spans="1:72" x14ac:dyDescent="0.25">
      <c r="A998" t="s">
        <v>72</v>
      </c>
      <c r="B998" t="s">
        <v>13870</v>
      </c>
      <c r="C998" t="s">
        <v>74</v>
      </c>
      <c r="D998" t="s">
        <v>74</v>
      </c>
      <c r="E998" t="s">
        <v>74</v>
      </c>
      <c r="F998" t="s">
        <v>13871</v>
      </c>
      <c r="G998" t="s">
        <v>74</v>
      </c>
      <c r="H998" t="s">
        <v>74</v>
      </c>
      <c r="I998" t="s">
        <v>13872</v>
      </c>
      <c r="J998" t="s">
        <v>637</v>
      </c>
      <c r="K998" t="s">
        <v>74</v>
      </c>
      <c r="L998" t="s">
        <v>74</v>
      </c>
      <c r="M998" t="s">
        <v>78</v>
      </c>
      <c r="N998" t="s">
        <v>52</v>
      </c>
      <c r="O998" t="s">
        <v>74</v>
      </c>
      <c r="P998" t="s">
        <v>74</v>
      </c>
      <c r="Q998" t="s">
        <v>74</v>
      </c>
      <c r="R998" t="s">
        <v>74</v>
      </c>
      <c r="S998" t="s">
        <v>74</v>
      </c>
      <c r="T998" t="s">
        <v>74</v>
      </c>
      <c r="U998" t="s">
        <v>74</v>
      </c>
      <c r="V998" t="s">
        <v>74</v>
      </c>
      <c r="W998" t="s">
        <v>13873</v>
      </c>
      <c r="X998" t="s">
        <v>13874</v>
      </c>
      <c r="Y998" t="s">
        <v>74</v>
      </c>
      <c r="Z998" t="s">
        <v>13875</v>
      </c>
      <c r="AA998" t="s">
        <v>13876</v>
      </c>
      <c r="AB998" t="s">
        <v>5709</v>
      </c>
      <c r="AC998" t="s">
        <v>74</v>
      </c>
      <c r="AD998" t="s">
        <v>74</v>
      </c>
      <c r="AE998" t="s">
        <v>74</v>
      </c>
      <c r="AF998" t="s">
        <v>74</v>
      </c>
      <c r="AG998">
        <v>0</v>
      </c>
      <c r="AH998">
        <v>0</v>
      </c>
      <c r="AI998">
        <v>0</v>
      </c>
      <c r="AJ998">
        <v>0</v>
      </c>
      <c r="AK998">
        <v>0</v>
      </c>
      <c r="AL998" t="s">
        <v>649</v>
      </c>
      <c r="AM998" t="s">
        <v>486</v>
      </c>
      <c r="AN998" t="s">
        <v>650</v>
      </c>
      <c r="AO998" t="s">
        <v>651</v>
      </c>
      <c r="AP998" t="s">
        <v>652</v>
      </c>
      <c r="AQ998" t="s">
        <v>74</v>
      </c>
      <c r="AR998" t="s">
        <v>653</v>
      </c>
      <c r="AS998" t="s">
        <v>654</v>
      </c>
      <c r="AT998" t="s">
        <v>74</v>
      </c>
      <c r="AU998">
        <v>2014</v>
      </c>
      <c r="AV998">
        <v>189</v>
      </c>
      <c r="AW998" t="s">
        <v>74</v>
      </c>
      <c r="AX998" t="s">
        <v>74</v>
      </c>
      <c r="AY998" t="s">
        <v>74</v>
      </c>
      <c r="AZ998" t="s">
        <v>74</v>
      </c>
      <c r="BA998" t="s">
        <v>13877</v>
      </c>
      <c r="BB998" t="s">
        <v>74</v>
      </c>
      <c r="BC998" t="s">
        <v>74</v>
      </c>
      <c r="BD998" t="s">
        <v>74</v>
      </c>
      <c r="BE998" t="s">
        <v>74</v>
      </c>
      <c r="BF998" t="s">
        <v>74</v>
      </c>
      <c r="BG998" t="s">
        <v>74</v>
      </c>
      <c r="BH998" t="s">
        <v>74</v>
      </c>
      <c r="BI998">
        <v>1</v>
      </c>
      <c r="BJ998" t="s">
        <v>341</v>
      </c>
      <c r="BK998" t="s">
        <v>101</v>
      </c>
      <c r="BL998" t="s">
        <v>342</v>
      </c>
      <c r="BM998" t="s">
        <v>13821</v>
      </c>
      <c r="BN998" t="s">
        <v>74</v>
      </c>
      <c r="BO998" t="s">
        <v>74</v>
      </c>
      <c r="BP998" t="s">
        <v>74</v>
      </c>
      <c r="BQ998" t="s">
        <v>74</v>
      </c>
      <c r="BR998" t="s">
        <v>104</v>
      </c>
      <c r="BS998" t="s">
        <v>13878</v>
      </c>
      <c r="BT998" t="str">
        <f>HYPERLINK("https%3A%2F%2Fwww.webofscience.com%2Fwos%2Fwoscc%2Ffull-record%2FWOS:000209838204246","View Full Record in Web of Science")</f>
        <v>View Full Record in Web of Science</v>
      </c>
    </row>
    <row r="999" spans="1:72" x14ac:dyDescent="0.25">
      <c r="A999" t="s">
        <v>72</v>
      </c>
      <c r="B999" t="s">
        <v>13879</v>
      </c>
      <c r="C999" t="s">
        <v>74</v>
      </c>
      <c r="D999" t="s">
        <v>74</v>
      </c>
      <c r="E999" t="s">
        <v>74</v>
      </c>
      <c r="F999" t="s">
        <v>13880</v>
      </c>
      <c r="G999" t="s">
        <v>74</v>
      </c>
      <c r="H999" t="s">
        <v>74</v>
      </c>
      <c r="I999" t="s">
        <v>13881</v>
      </c>
      <c r="J999" t="s">
        <v>637</v>
      </c>
      <c r="K999" t="s">
        <v>74</v>
      </c>
      <c r="L999" t="s">
        <v>74</v>
      </c>
      <c r="M999" t="s">
        <v>78</v>
      </c>
      <c r="N999" t="s">
        <v>52</v>
      </c>
      <c r="O999" t="s">
        <v>74</v>
      </c>
      <c r="P999" t="s">
        <v>74</v>
      </c>
      <c r="Q999" t="s">
        <v>74</v>
      </c>
      <c r="R999" t="s">
        <v>74</v>
      </c>
      <c r="S999" t="s">
        <v>74</v>
      </c>
      <c r="T999" t="s">
        <v>74</v>
      </c>
      <c r="U999" t="s">
        <v>74</v>
      </c>
      <c r="V999" t="s">
        <v>74</v>
      </c>
      <c r="W999" t="s">
        <v>13882</v>
      </c>
      <c r="X999" t="s">
        <v>13883</v>
      </c>
      <c r="Y999" t="s">
        <v>74</v>
      </c>
      <c r="Z999" t="s">
        <v>74</v>
      </c>
      <c r="AA999" t="s">
        <v>13884</v>
      </c>
      <c r="AB999" t="s">
        <v>13885</v>
      </c>
      <c r="AC999" t="s">
        <v>74</v>
      </c>
      <c r="AD999" t="s">
        <v>74</v>
      </c>
      <c r="AE999" t="s">
        <v>74</v>
      </c>
      <c r="AF999" t="s">
        <v>74</v>
      </c>
      <c r="AG999">
        <v>0</v>
      </c>
      <c r="AH999">
        <v>0</v>
      </c>
      <c r="AI999">
        <v>0</v>
      </c>
      <c r="AJ999">
        <v>0</v>
      </c>
      <c r="AK999">
        <v>0</v>
      </c>
      <c r="AL999" t="s">
        <v>649</v>
      </c>
      <c r="AM999" t="s">
        <v>486</v>
      </c>
      <c r="AN999" t="s">
        <v>650</v>
      </c>
      <c r="AO999" t="s">
        <v>651</v>
      </c>
      <c r="AP999" t="s">
        <v>652</v>
      </c>
      <c r="AQ999" t="s">
        <v>74</v>
      </c>
      <c r="AR999" t="s">
        <v>653</v>
      </c>
      <c r="AS999" t="s">
        <v>654</v>
      </c>
      <c r="AT999" t="s">
        <v>74</v>
      </c>
      <c r="AU999">
        <v>2014</v>
      </c>
      <c r="AV999">
        <v>189</v>
      </c>
      <c r="AW999" t="s">
        <v>74</v>
      </c>
      <c r="AX999" t="s">
        <v>74</v>
      </c>
      <c r="AY999" t="s">
        <v>74</v>
      </c>
      <c r="AZ999" t="s">
        <v>74</v>
      </c>
      <c r="BA999" t="s">
        <v>13886</v>
      </c>
      <c r="BB999" t="s">
        <v>74</v>
      </c>
      <c r="BC999" t="s">
        <v>74</v>
      </c>
      <c r="BD999" t="s">
        <v>74</v>
      </c>
      <c r="BE999" t="s">
        <v>74</v>
      </c>
      <c r="BF999" t="s">
        <v>74</v>
      </c>
      <c r="BG999" t="s">
        <v>74</v>
      </c>
      <c r="BH999" t="s">
        <v>74</v>
      </c>
      <c r="BI999">
        <v>1</v>
      </c>
      <c r="BJ999" t="s">
        <v>341</v>
      </c>
      <c r="BK999" t="s">
        <v>101</v>
      </c>
      <c r="BL999" t="s">
        <v>342</v>
      </c>
      <c r="BM999" t="s">
        <v>13821</v>
      </c>
      <c r="BN999" t="s">
        <v>74</v>
      </c>
      <c r="BO999" t="s">
        <v>74</v>
      </c>
      <c r="BP999" t="s">
        <v>74</v>
      </c>
      <c r="BQ999" t="s">
        <v>74</v>
      </c>
      <c r="BR999" t="s">
        <v>104</v>
      </c>
      <c r="BS999" t="s">
        <v>13887</v>
      </c>
      <c r="BT999" t="str">
        <f>HYPERLINK("https%3A%2F%2Fwww.webofscience.com%2Fwos%2Fwoscc%2Ffull-record%2FWOS:000209838201060","View Full Record in Web of Science")</f>
        <v>View Full Record in Web of Science</v>
      </c>
    </row>
    <row r="1000" spans="1:72" x14ac:dyDescent="0.25">
      <c r="A1000" t="s">
        <v>72</v>
      </c>
      <c r="B1000" t="s">
        <v>13888</v>
      </c>
      <c r="C1000" t="s">
        <v>74</v>
      </c>
      <c r="D1000" t="s">
        <v>74</v>
      </c>
      <c r="E1000" t="s">
        <v>74</v>
      </c>
      <c r="F1000" t="s">
        <v>13889</v>
      </c>
      <c r="G1000" t="s">
        <v>74</v>
      </c>
      <c r="H1000" t="s">
        <v>74</v>
      </c>
      <c r="I1000" t="s">
        <v>13890</v>
      </c>
      <c r="J1000" t="s">
        <v>637</v>
      </c>
      <c r="K1000" t="s">
        <v>74</v>
      </c>
      <c r="L1000" t="s">
        <v>74</v>
      </c>
      <c r="M1000" t="s">
        <v>78</v>
      </c>
      <c r="N1000" t="s">
        <v>52</v>
      </c>
      <c r="O1000" t="s">
        <v>74</v>
      </c>
      <c r="P1000" t="s">
        <v>74</v>
      </c>
      <c r="Q1000" t="s">
        <v>74</v>
      </c>
      <c r="R1000" t="s">
        <v>74</v>
      </c>
      <c r="S1000" t="s">
        <v>74</v>
      </c>
      <c r="T1000" t="s">
        <v>74</v>
      </c>
      <c r="U1000" t="s">
        <v>74</v>
      </c>
      <c r="V1000" t="s">
        <v>74</v>
      </c>
      <c r="W1000" t="s">
        <v>13891</v>
      </c>
      <c r="X1000" t="s">
        <v>13892</v>
      </c>
      <c r="Y1000" t="s">
        <v>74</v>
      </c>
      <c r="Z1000" t="s">
        <v>74</v>
      </c>
      <c r="AA1000" t="s">
        <v>13893</v>
      </c>
      <c r="AB1000" t="s">
        <v>13894</v>
      </c>
      <c r="AC1000" t="s">
        <v>74</v>
      </c>
      <c r="AD1000" t="s">
        <v>74</v>
      </c>
      <c r="AE1000" t="s">
        <v>74</v>
      </c>
      <c r="AF1000" t="s">
        <v>74</v>
      </c>
      <c r="AG1000">
        <v>0</v>
      </c>
      <c r="AH1000">
        <v>0</v>
      </c>
      <c r="AI1000">
        <v>0</v>
      </c>
      <c r="AJ1000">
        <v>0</v>
      </c>
      <c r="AK1000">
        <v>0</v>
      </c>
      <c r="AL1000" t="s">
        <v>649</v>
      </c>
      <c r="AM1000" t="s">
        <v>486</v>
      </c>
      <c r="AN1000" t="s">
        <v>650</v>
      </c>
      <c r="AO1000" t="s">
        <v>651</v>
      </c>
      <c r="AP1000" t="s">
        <v>652</v>
      </c>
      <c r="AQ1000" t="s">
        <v>74</v>
      </c>
      <c r="AR1000" t="s">
        <v>653</v>
      </c>
      <c r="AS1000" t="s">
        <v>654</v>
      </c>
      <c r="AT1000" t="s">
        <v>74</v>
      </c>
      <c r="AU1000">
        <v>2014</v>
      </c>
      <c r="AV1000">
        <v>189</v>
      </c>
      <c r="AW1000" t="s">
        <v>74</v>
      </c>
      <c r="AX1000" t="s">
        <v>74</v>
      </c>
      <c r="AY1000" t="s">
        <v>74</v>
      </c>
      <c r="AZ1000" t="s">
        <v>74</v>
      </c>
      <c r="BA1000" t="s">
        <v>13895</v>
      </c>
      <c r="BB1000" t="s">
        <v>74</v>
      </c>
      <c r="BC1000" t="s">
        <v>74</v>
      </c>
      <c r="BD1000" t="s">
        <v>74</v>
      </c>
      <c r="BE1000" t="s">
        <v>74</v>
      </c>
      <c r="BF1000" t="s">
        <v>74</v>
      </c>
      <c r="BG1000" t="s">
        <v>74</v>
      </c>
      <c r="BH1000" t="s">
        <v>74</v>
      </c>
      <c r="BI1000">
        <v>1</v>
      </c>
      <c r="BJ1000" t="s">
        <v>341</v>
      </c>
      <c r="BK1000" t="s">
        <v>101</v>
      </c>
      <c r="BL1000" t="s">
        <v>342</v>
      </c>
      <c r="BM1000" t="s">
        <v>13821</v>
      </c>
      <c r="BN1000" t="s">
        <v>74</v>
      </c>
      <c r="BO1000" t="s">
        <v>74</v>
      </c>
      <c r="BP1000" t="s">
        <v>74</v>
      </c>
      <c r="BQ1000" t="s">
        <v>74</v>
      </c>
      <c r="BR1000" t="s">
        <v>104</v>
      </c>
      <c r="BS1000" t="s">
        <v>13896</v>
      </c>
      <c r="BT1000" t="str">
        <f>HYPERLINK("https%3A%2F%2Fwww.webofscience.com%2Fwos%2Fwoscc%2Ffull-record%2FWOS:000209838203239","View Full Record in Web of Science")</f>
        <v>View Full Record in Web of Science</v>
      </c>
    </row>
    <row r="1001" spans="1:72" x14ac:dyDescent="0.25">
      <c r="A1001" t="s">
        <v>72</v>
      </c>
      <c r="B1001" t="s">
        <v>1420</v>
      </c>
      <c r="C1001" t="s">
        <v>74</v>
      </c>
      <c r="D1001" t="s">
        <v>74</v>
      </c>
      <c r="E1001" t="s">
        <v>74</v>
      </c>
      <c r="F1001" t="s">
        <v>1421</v>
      </c>
      <c r="G1001" t="s">
        <v>74</v>
      </c>
      <c r="H1001" t="s">
        <v>74</v>
      </c>
      <c r="I1001" t="s">
        <v>13897</v>
      </c>
      <c r="J1001" t="s">
        <v>216</v>
      </c>
      <c r="K1001" t="s">
        <v>74</v>
      </c>
      <c r="L1001" t="s">
        <v>74</v>
      </c>
      <c r="M1001" t="s">
        <v>78</v>
      </c>
      <c r="N1001" t="s">
        <v>140</v>
      </c>
      <c r="O1001" t="s">
        <v>74</v>
      </c>
      <c r="P1001" t="s">
        <v>74</v>
      </c>
      <c r="Q1001" t="s">
        <v>74</v>
      </c>
      <c r="R1001" t="s">
        <v>74</v>
      </c>
      <c r="S1001" t="s">
        <v>74</v>
      </c>
      <c r="T1001" t="s">
        <v>74</v>
      </c>
      <c r="U1001" t="s">
        <v>13898</v>
      </c>
      <c r="V1001" t="s">
        <v>74</v>
      </c>
      <c r="W1001" t="s">
        <v>13899</v>
      </c>
      <c r="X1001" t="s">
        <v>13900</v>
      </c>
      <c r="Y1001" t="s">
        <v>13811</v>
      </c>
      <c r="Z1001" t="s">
        <v>3402</v>
      </c>
      <c r="AA1001" t="s">
        <v>144</v>
      </c>
      <c r="AB1001" t="s">
        <v>257</v>
      </c>
      <c r="AC1001" t="s">
        <v>74</v>
      </c>
      <c r="AD1001" t="s">
        <v>74</v>
      </c>
      <c r="AE1001" t="s">
        <v>74</v>
      </c>
      <c r="AF1001" t="s">
        <v>74</v>
      </c>
      <c r="AG1001">
        <v>20</v>
      </c>
      <c r="AH1001">
        <v>4</v>
      </c>
      <c r="AI1001">
        <v>4</v>
      </c>
      <c r="AJ1001">
        <v>0</v>
      </c>
      <c r="AK1001">
        <v>1</v>
      </c>
      <c r="AL1001" t="s">
        <v>219</v>
      </c>
      <c r="AM1001" t="s">
        <v>220</v>
      </c>
      <c r="AN1001" t="s">
        <v>221</v>
      </c>
      <c r="AO1001" t="s">
        <v>222</v>
      </c>
      <c r="AP1001" t="s">
        <v>223</v>
      </c>
      <c r="AQ1001" t="s">
        <v>74</v>
      </c>
      <c r="AR1001" t="s">
        <v>224</v>
      </c>
      <c r="AS1001" t="s">
        <v>225</v>
      </c>
      <c r="AT1001" t="s">
        <v>176</v>
      </c>
      <c r="AU1001">
        <v>2014</v>
      </c>
      <c r="AV1001">
        <v>43</v>
      </c>
      <c r="AW1001">
        <v>1</v>
      </c>
      <c r="AX1001" t="s">
        <v>74</v>
      </c>
      <c r="AY1001" t="s">
        <v>74</v>
      </c>
      <c r="AZ1001" t="s">
        <v>74</v>
      </c>
      <c r="BA1001" t="s">
        <v>74</v>
      </c>
      <c r="BB1001">
        <v>1</v>
      </c>
      <c r="BC1001">
        <v>2</v>
      </c>
      <c r="BD1001" t="s">
        <v>74</v>
      </c>
      <c r="BE1001" t="s">
        <v>13901</v>
      </c>
      <c r="BF1001" t="str">
        <f>HYPERLINK("http://dx.doi.org/10.1183/09031936.00185013","http://dx.doi.org/10.1183/09031936.00185013")</f>
        <v>http://dx.doi.org/10.1183/09031936.00185013</v>
      </c>
      <c r="BG1001" t="s">
        <v>74</v>
      </c>
      <c r="BH1001" t="s">
        <v>74</v>
      </c>
      <c r="BI1001">
        <v>2</v>
      </c>
      <c r="BJ1001" t="s">
        <v>228</v>
      </c>
      <c r="BK1001" t="s">
        <v>101</v>
      </c>
      <c r="BL1001" t="s">
        <v>228</v>
      </c>
      <c r="BM1001" t="s">
        <v>13902</v>
      </c>
      <c r="BN1001">
        <v>24381314</v>
      </c>
      <c r="BO1001" t="s">
        <v>2517</v>
      </c>
      <c r="BP1001" t="s">
        <v>74</v>
      </c>
      <c r="BQ1001" t="s">
        <v>74</v>
      </c>
      <c r="BR1001" t="s">
        <v>104</v>
      </c>
      <c r="BS1001" t="s">
        <v>13903</v>
      </c>
      <c r="BT1001" t="str">
        <f>HYPERLINK("https%3A%2F%2Fwww.webofscience.com%2Fwos%2Fwoscc%2Ffull-record%2FWOS:000329552200001","View Full Record in Web of Science")</f>
        <v>View Full Record in Web of Science</v>
      </c>
    </row>
    <row r="1002" spans="1:72" x14ac:dyDescent="0.25">
      <c r="A1002" t="s">
        <v>72</v>
      </c>
      <c r="B1002" t="s">
        <v>22067</v>
      </c>
      <c r="C1002" t="s">
        <v>74</v>
      </c>
      <c r="D1002" t="s">
        <v>74</v>
      </c>
      <c r="E1002" t="s">
        <v>74</v>
      </c>
      <c r="F1002" t="s">
        <v>22066</v>
      </c>
      <c r="G1002" t="s">
        <v>74</v>
      </c>
      <c r="H1002" t="s">
        <v>22034</v>
      </c>
      <c r="I1002" t="s">
        <v>22065</v>
      </c>
      <c r="J1002" t="s">
        <v>637</v>
      </c>
      <c r="K1002" t="s">
        <v>74</v>
      </c>
      <c r="L1002" t="s">
        <v>74</v>
      </c>
      <c r="M1002" t="s">
        <v>78</v>
      </c>
      <c r="N1002" t="s">
        <v>52</v>
      </c>
      <c r="O1002" t="s">
        <v>74</v>
      </c>
      <c r="P1002" t="s">
        <v>74</v>
      </c>
      <c r="Q1002" t="s">
        <v>74</v>
      </c>
      <c r="R1002" t="s">
        <v>74</v>
      </c>
      <c r="S1002" t="s">
        <v>74</v>
      </c>
      <c r="T1002" t="s">
        <v>74</v>
      </c>
      <c r="U1002" t="s">
        <v>74</v>
      </c>
      <c r="V1002" t="s">
        <v>74</v>
      </c>
      <c r="W1002" t="s">
        <v>22064</v>
      </c>
      <c r="X1002" t="s">
        <v>1575</v>
      </c>
      <c r="Y1002" t="s">
        <v>74</v>
      </c>
      <c r="Z1002" t="s">
        <v>276</v>
      </c>
      <c r="AA1002" t="s">
        <v>22063</v>
      </c>
      <c r="AB1002" t="s">
        <v>5709</v>
      </c>
      <c r="AC1002" t="s">
        <v>74</v>
      </c>
      <c r="AD1002" t="s">
        <v>74</v>
      </c>
      <c r="AE1002" t="s">
        <v>74</v>
      </c>
      <c r="AF1002" t="s">
        <v>74</v>
      </c>
      <c r="AG1002">
        <v>0</v>
      </c>
      <c r="AH1002">
        <v>0</v>
      </c>
      <c r="AI1002">
        <v>0</v>
      </c>
      <c r="AJ1002">
        <v>0</v>
      </c>
      <c r="AK1002">
        <v>0</v>
      </c>
      <c r="AL1002" t="s">
        <v>649</v>
      </c>
      <c r="AM1002" t="s">
        <v>486</v>
      </c>
      <c r="AN1002" t="s">
        <v>650</v>
      </c>
      <c r="AO1002" t="s">
        <v>651</v>
      </c>
      <c r="AP1002" t="s">
        <v>652</v>
      </c>
      <c r="AQ1002" t="s">
        <v>74</v>
      </c>
      <c r="AR1002" t="s">
        <v>653</v>
      </c>
      <c r="AS1002" t="s">
        <v>654</v>
      </c>
      <c r="AT1002" t="s">
        <v>74</v>
      </c>
      <c r="AU1002">
        <v>2014</v>
      </c>
      <c r="AV1002">
        <v>189</v>
      </c>
      <c r="AW1002" t="s">
        <v>74</v>
      </c>
      <c r="AX1002" t="s">
        <v>74</v>
      </c>
      <c r="AY1002" t="s">
        <v>74</v>
      </c>
      <c r="AZ1002" t="s">
        <v>74</v>
      </c>
      <c r="BA1002" t="s">
        <v>22062</v>
      </c>
      <c r="BB1002" t="s">
        <v>74</v>
      </c>
      <c r="BC1002" t="s">
        <v>74</v>
      </c>
      <c r="BD1002" t="s">
        <v>74</v>
      </c>
      <c r="BE1002" t="s">
        <v>74</v>
      </c>
      <c r="BF1002" t="s">
        <v>74</v>
      </c>
      <c r="BG1002" t="s">
        <v>74</v>
      </c>
      <c r="BH1002" t="s">
        <v>74</v>
      </c>
      <c r="BI1002">
        <v>1</v>
      </c>
      <c r="BJ1002" t="s">
        <v>341</v>
      </c>
      <c r="BK1002" t="s">
        <v>101</v>
      </c>
      <c r="BL1002" t="s">
        <v>342</v>
      </c>
      <c r="BM1002" t="s">
        <v>13821</v>
      </c>
      <c r="BN1002" t="s">
        <v>74</v>
      </c>
      <c r="BO1002" t="s">
        <v>74</v>
      </c>
      <c r="BP1002" t="s">
        <v>74</v>
      </c>
      <c r="BQ1002" t="s">
        <v>74</v>
      </c>
      <c r="BR1002" t="s">
        <v>104</v>
      </c>
      <c r="BS1002" t="s">
        <v>22061</v>
      </c>
      <c r="BT1002" t="str">
        <f>HYPERLINK("https%3A%2F%2Fwww.webofscience.com%2Fwos%2Fwoscc%2Ffull-record%2FWOS:000209838203491","View Full Record in Web of Science")</f>
        <v>View Full Record in Web of Science</v>
      </c>
    </row>
    <row r="1003" spans="1:72" x14ac:dyDescent="0.25">
      <c r="A1003" t="s">
        <v>72</v>
      </c>
      <c r="B1003" t="s">
        <v>22060</v>
      </c>
      <c r="C1003" t="s">
        <v>74</v>
      </c>
      <c r="D1003" t="s">
        <v>74</v>
      </c>
      <c r="E1003" t="s">
        <v>74</v>
      </c>
      <c r="F1003" t="s">
        <v>22059</v>
      </c>
      <c r="G1003" t="s">
        <v>74</v>
      </c>
      <c r="H1003" t="s">
        <v>74</v>
      </c>
      <c r="I1003" t="s">
        <v>22058</v>
      </c>
      <c r="J1003" t="s">
        <v>637</v>
      </c>
      <c r="K1003" t="s">
        <v>74</v>
      </c>
      <c r="L1003" t="s">
        <v>74</v>
      </c>
      <c r="M1003" t="s">
        <v>78</v>
      </c>
      <c r="N1003" t="s">
        <v>52</v>
      </c>
      <c r="O1003" t="s">
        <v>74</v>
      </c>
      <c r="P1003" t="s">
        <v>74</v>
      </c>
      <c r="Q1003" t="s">
        <v>74</v>
      </c>
      <c r="R1003" t="s">
        <v>74</v>
      </c>
      <c r="S1003" t="s">
        <v>74</v>
      </c>
      <c r="T1003" t="s">
        <v>74</v>
      </c>
      <c r="U1003" t="s">
        <v>74</v>
      </c>
      <c r="V1003" t="s">
        <v>74</v>
      </c>
      <c r="W1003" t="s">
        <v>22057</v>
      </c>
      <c r="X1003" t="s">
        <v>22056</v>
      </c>
      <c r="Y1003" t="s">
        <v>74</v>
      </c>
      <c r="Z1003" t="s">
        <v>13011</v>
      </c>
      <c r="AA1003" t="s">
        <v>22055</v>
      </c>
      <c r="AB1003" t="s">
        <v>22054</v>
      </c>
      <c r="AC1003" t="s">
        <v>74</v>
      </c>
      <c r="AD1003" t="s">
        <v>74</v>
      </c>
      <c r="AE1003" t="s">
        <v>74</v>
      </c>
      <c r="AF1003" t="s">
        <v>74</v>
      </c>
      <c r="AG1003">
        <v>0</v>
      </c>
      <c r="AH1003">
        <v>0</v>
      </c>
      <c r="AI1003">
        <v>0</v>
      </c>
      <c r="AJ1003">
        <v>0</v>
      </c>
      <c r="AK1003">
        <v>0</v>
      </c>
      <c r="AL1003" t="s">
        <v>649</v>
      </c>
      <c r="AM1003" t="s">
        <v>486</v>
      </c>
      <c r="AN1003" t="s">
        <v>650</v>
      </c>
      <c r="AO1003" t="s">
        <v>651</v>
      </c>
      <c r="AP1003" t="s">
        <v>652</v>
      </c>
      <c r="AQ1003" t="s">
        <v>74</v>
      </c>
      <c r="AR1003" t="s">
        <v>653</v>
      </c>
      <c r="AS1003" t="s">
        <v>654</v>
      </c>
      <c r="AT1003" t="s">
        <v>74</v>
      </c>
      <c r="AU1003">
        <v>2014</v>
      </c>
      <c r="AV1003">
        <v>189</v>
      </c>
      <c r="AW1003" t="s">
        <v>74</v>
      </c>
      <c r="AX1003" t="s">
        <v>74</v>
      </c>
      <c r="AY1003" t="s">
        <v>74</v>
      </c>
      <c r="AZ1003" t="s">
        <v>74</v>
      </c>
      <c r="BA1003" t="s">
        <v>22053</v>
      </c>
      <c r="BB1003" t="s">
        <v>74</v>
      </c>
      <c r="BC1003" t="s">
        <v>74</v>
      </c>
      <c r="BD1003" t="s">
        <v>74</v>
      </c>
      <c r="BE1003" t="s">
        <v>74</v>
      </c>
      <c r="BF1003" t="s">
        <v>74</v>
      </c>
      <c r="BG1003" t="s">
        <v>74</v>
      </c>
      <c r="BH1003" t="s">
        <v>74</v>
      </c>
      <c r="BI1003">
        <v>1</v>
      </c>
      <c r="BJ1003" t="s">
        <v>341</v>
      </c>
      <c r="BK1003" t="s">
        <v>101</v>
      </c>
      <c r="BL1003" t="s">
        <v>342</v>
      </c>
      <c r="BM1003" t="s">
        <v>13821</v>
      </c>
      <c r="BN1003" t="s">
        <v>74</v>
      </c>
      <c r="BO1003" t="s">
        <v>74</v>
      </c>
      <c r="BP1003" t="s">
        <v>74</v>
      </c>
      <c r="BQ1003" t="s">
        <v>74</v>
      </c>
      <c r="BR1003" t="s">
        <v>104</v>
      </c>
      <c r="BS1003" t="s">
        <v>22052</v>
      </c>
      <c r="BT1003" t="str">
        <f>HYPERLINK("https%3A%2F%2Fwww.webofscience.com%2Fwos%2Fwoscc%2Ffull-record%2FWOS:000209838202609","View Full Record in Web of Science")</f>
        <v>View Full Record in Web of Science</v>
      </c>
    </row>
    <row r="1004" spans="1:72" x14ac:dyDescent="0.25">
      <c r="A1004" t="s">
        <v>72</v>
      </c>
      <c r="B1004" t="s">
        <v>22051</v>
      </c>
      <c r="C1004" t="s">
        <v>74</v>
      </c>
      <c r="D1004" t="s">
        <v>74</v>
      </c>
      <c r="E1004" t="s">
        <v>74</v>
      </c>
      <c r="F1004" t="s">
        <v>22050</v>
      </c>
      <c r="G1004" t="s">
        <v>74</v>
      </c>
      <c r="H1004" t="s">
        <v>74</v>
      </c>
      <c r="I1004" t="s">
        <v>22049</v>
      </c>
      <c r="J1004" t="s">
        <v>637</v>
      </c>
      <c r="K1004" t="s">
        <v>74</v>
      </c>
      <c r="L1004" t="s">
        <v>74</v>
      </c>
      <c r="M1004" t="s">
        <v>78</v>
      </c>
      <c r="N1004" t="s">
        <v>52</v>
      </c>
      <c r="O1004" t="s">
        <v>74</v>
      </c>
      <c r="P1004" t="s">
        <v>74</v>
      </c>
      <c r="Q1004" t="s">
        <v>74</v>
      </c>
      <c r="R1004" t="s">
        <v>74</v>
      </c>
      <c r="S1004" t="s">
        <v>74</v>
      </c>
      <c r="T1004" t="s">
        <v>74</v>
      </c>
      <c r="U1004" t="s">
        <v>74</v>
      </c>
      <c r="V1004" t="s">
        <v>74</v>
      </c>
      <c r="W1004" t="s">
        <v>22048</v>
      </c>
      <c r="X1004" t="s">
        <v>22047</v>
      </c>
      <c r="Y1004" t="s">
        <v>74</v>
      </c>
      <c r="Z1004" t="s">
        <v>20969</v>
      </c>
      <c r="AA1004" t="s">
        <v>415</v>
      </c>
      <c r="AB1004" t="s">
        <v>74</v>
      </c>
      <c r="AC1004" t="s">
        <v>74</v>
      </c>
      <c r="AD1004" t="s">
        <v>74</v>
      </c>
      <c r="AE1004" t="s">
        <v>74</v>
      </c>
      <c r="AF1004" t="s">
        <v>74</v>
      </c>
      <c r="AG1004">
        <v>0</v>
      </c>
      <c r="AH1004">
        <v>0</v>
      </c>
      <c r="AI1004">
        <v>0</v>
      </c>
      <c r="AJ1004">
        <v>0</v>
      </c>
      <c r="AK1004">
        <v>0</v>
      </c>
      <c r="AL1004" t="s">
        <v>649</v>
      </c>
      <c r="AM1004" t="s">
        <v>486</v>
      </c>
      <c r="AN1004" t="s">
        <v>650</v>
      </c>
      <c r="AO1004" t="s">
        <v>651</v>
      </c>
      <c r="AP1004" t="s">
        <v>652</v>
      </c>
      <c r="AQ1004" t="s">
        <v>74</v>
      </c>
      <c r="AR1004" t="s">
        <v>653</v>
      </c>
      <c r="AS1004" t="s">
        <v>654</v>
      </c>
      <c r="AT1004" t="s">
        <v>74</v>
      </c>
      <c r="AU1004">
        <v>2014</v>
      </c>
      <c r="AV1004">
        <v>189</v>
      </c>
      <c r="AW1004" t="s">
        <v>74</v>
      </c>
      <c r="AX1004" t="s">
        <v>74</v>
      </c>
      <c r="AY1004" t="s">
        <v>74</v>
      </c>
      <c r="AZ1004" t="s">
        <v>74</v>
      </c>
      <c r="BA1004" t="s">
        <v>22046</v>
      </c>
      <c r="BB1004" t="s">
        <v>74</v>
      </c>
      <c r="BC1004" t="s">
        <v>74</v>
      </c>
      <c r="BD1004" t="s">
        <v>74</v>
      </c>
      <c r="BE1004" t="s">
        <v>74</v>
      </c>
      <c r="BF1004" t="s">
        <v>74</v>
      </c>
      <c r="BG1004" t="s">
        <v>74</v>
      </c>
      <c r="BH1004" t="s">
        <v>74</v>
      </c>
      <c r="BI1004">
        <v>1</v>
      </c>
      <c r="BJ1004" t="s">
        <v>341</v>
      </c>
      <c r="BK1004" t="s">
        <v>101</v>
      </c>
      <c r="BL1004" t="s">
        <v>342</v>
      </c>
      <c r="BM1004" t="s">
        <v>13821</v>
      </c>
      <c r="BN1004" t="s">
        <v>74</v>
      </c>
      <c r="BO1004" t="s">
        <v>74</v>
      </c>
      <c r="BP1004" t="s">
        <v>74</v>
      </c>
      <c r="BQ1004" t="s">
        <v>74</v>
      </c>
      <c r="BR1004" t="s">
        <v>104</v>
      </c>
      <c r="BS1004" t="s">
        <v>22045</v>
      </c>
      <c r="BT1004" t="str">
        <f>HYPERLINK("https%3A%2F%2Fwww.webofscience.com%2Fwos%2Fwoscc%2Ffull-record%2FWOS:000209838201498","View Full Record in Web of Science")</f>
        <v>View Full Record in Web of Science</v>
      </c>
    </row>
    <row r="1005" spans="1:72" x14ac:dyDescent="0.25">
      <c r="A1005" t="s">
        <v>72</v>
      </c>
      <c r="B1005" t="s">
        <v>22044</v>
      </c>
      <c r="C1005" t="s">
        <v>74</v>
      </c>
      <c r="D1005" t="s">
        <v>74</v>
      </c>
      <c r="E1005" t="s">
        <v>74</v>
      </c>
      <c r="F1005" t="s">
        <v>22043</v>
      </c>
      <c r="G1005" t="s">
        <v>74</v>
      </c>
      <c r="H1005" t="s">
        <v>74</v>
      </c>
      <c r="I1005" t="s">
        <v>22042</v>
      </c>
      <c r="J1005" t="s">
        <v>637</v>
      </c>
      <c r="K1005" t="s">
        <v>74</v>
      </c>
      <c r="L1005" t="s">
        <v>74</v>
      </c>
      <c r="M1005" t="s">
        <v>78</v>
      </c>
      <c r="N1005" t="s">
        <v>52</v>
      </c>
      <c r="O1005" t="s">
        <v>74</v>
      </c>
      <c r="P1005" t="s">
        <v>74</v>
      </c>
      <c r="Q1005" t="s">
        <v>74</v>
      </c>
      <c r="R1005" t="s">
        <v>74</v>
      </c>
      <c r="S1005" t="s">
        <v>74</v>
      </c>
      <c r="T1005" t="s">
        <v>74</v>
      </c>
      <c r="U1005" t="s">
        <v>74</v>
      </c>
      <c r="V1005" t="s">
        <v>74</v>
      </c>
      <c r="W1005" t="s">
        <v>22041</v>
      </c>
      <c r="X1005" t="s">
        <v>22040</v>
      </c>
      <c r="Y1005" t="s">
        <v>74</v>
      </c>
      <c r="Z1005" t="s">
        <v>22039</v>
      </c>
      <c r="AA1005" t="s">
        <v>22038</v>
      </c>
      <c r="AB1005" t="s">
        <v>20985</v>
      </c>
      <c r="AC1005" t="s">
        <v>74</v>
      </c>
      <c r="AD1005" t="s">
        <v>74</v>
      </c>
      <c r="AE1005" t="s">
        <v>74</v>
      </c>
      <c r="AF1005" t="s">
        <v>74</v>
      </c>
      <c r="AG1005">
        <v>0</v>
      </c>
      <c r="AH1005">
        <v>0</v>
      </c>
      <c r="AI1005">
        <v>0</v>
      </c>
      <c r="AJ1005">
        <v>0</v>
      </c>
      <c r="AK1005">
        <v>2</v>
      </c>
      <c r="AL1005" t="s">
        <v>649</v>
      </c>
      <c r="AM1005" t="s">
        <v>486</v>
      </c>
      <c r="AN1005" t="s">
        <v>650</v>
      </c>
      <c r="AO1005" t="s">
        <v>651</v>
      </c>
      <c r="AP1005" t="s">
        <v>652</v>
      </c>
      <c r="AQ1005" t="s">
        <v>74</v>
      </c>
      <c r="AR1005" t="s">
        <v>653</v>
      </c>
      <c r="AS1005" t="s">
        <v>654</v>
      </c>
      <c r="AT1005" t="s">
        <v>74</v>
      </c>
      <c r="AU1005">
        <v>2014</v>
      </c>
      <c r="AV1005">
        <v>189</v>
      </c>
      <c r="AW1005" t="s">
        <v>74</v>
      </c>
      <c r="AX1005" t="s">
        <v>74</v>
      </c>
      <c r="AY1005" t="s">
        <v>74</v>
      </c>
      <c r="AZ1005" t="s">
        <v>74</v>
      </c>
      <c r="BA1005" t="s">
        <v>18448</v>
      </c>
      <c r="BB1005" t="s">
        <v>74</v>
      </c>
      <c r="BC1005" t="s">
        <v>74</v>
      </c>
      <c r="BD1005" t="s">
        <v>74</v>
      </c>
      <c r="BE1005" t="s">
        <v>74</v>
      </c>
      <c r="BF1005" t="s">
        <v>74</v>
      </c>
      <c r="BG1005" t="s">
        <v>74</v>
      </c>
      <c r="BH1005" t="s">
        <v>74</v>
      </c>
      <c r="BI1005">
        <v>1</v>
      </c>
      <c r="BJ1005" t="s">
        <v>341</v>
      </c>
      <c r="BK1005" t="s">
        <v>101</v>
      </c>
      <c r="BL1005" t="s">
        <v>342</v>
      </c>
      <c r="BM1005" t="s">
        <v>13821</v>
      </c>
      <c r="BN1005" t="s">
        <v>74</v>
      </c>
      <c r="BO1005" t="s">
        <v>74</v>
      </c>
      <c r="BP1005" t="s">
        <v>74</v>
      </c>
      <c r="BQ1005" t="s">
        <v>74</v>
      </c>
      <c r="BR1005" t="s">
        <v>104</v>
      </c>
      <c r="BS1005" t="s">
        <v>22037</v>
      </c>
      <c r="BT1005" t="str">
        <f>HYPERLINK("https%3A%2F%2Fwww.webofscience.com%2Fwos%2Fwoscc%2Ffull-record%2FWOS:000209838202613","View Full Record in Web of Science")</f>
        <v>View Full Record in Web of Science</v>
      </c>
    </row>
    <row r="1006" spans="1:72" x14ac:dyDescent="0.25">
      <c r="A1006" t="s">
        <v>72</v>
      </c>
      <c r="B1006" t="s">
        <v>22036</v>
      </c>
      <c r="C1006" t="s">
        <v>74</v>
      </c>
      <c r="D1006" t="s">
        <v>74</v>
      </c>
      <c r="E1006" t="s">
        <v>74</v>
      </c>
      <c r="F1006" t="s">
        <v>22035</v>
      </c>
      <c r="G1006" t="s">
        <v>74</v>
      </c>
      <c r="H1006" t="s">
        <v>22034</v>
      </c>
      <c r="I1006" t="s">
        <v>22033</v>
      </c>
      <c r="J1006" t="s">
        <v>637</v>
      </c>
      <c r="K1006" t="s">
        <v>74</v>
      </c>
      <c r="L1006" t="s">
        <v>74</v>
      </c>
      <c r="M1006" t="s">
        <v>78</v>
      </c>
      <c r="N1006" t="s">
        <v>52</v>
      </c>
      <c r="O1006" t="s">
        <v>74</v>
      </c>
      <c r="P1006" t="s">
        <v>74</v>
      </c>
      <c r="Q1006" t="s">
        <v>74</v>
      </c>
      <c r="R1006" t="s">
        <v>74</v>
      </c>
      <c r="S1006" t="s">
        <v>74</v>
      </c>
      <c r="T1006" t="s">
        <v>74</v>
      </c>
      <c r="U1006" t="s">
        <v>74</v>
      </c>
      <c r="V1006" t="s">
        <v>74</v>
      </c>
      <c r="W1006" t="s">
        <v>22032</v>
      </c>
      <c r="X1006" t="s">
        <v>11708</v>
      </c>
      <c r="Y1006" t="s">
        <v>74</v>
      </c>
      <c r="Z1006" t="s">
        <v>276</v>
      </c>
      <c r="AA1006" t="s">
        <v>22031</v>
      </c>
      <c r="AB1006" t="s">
        <v>5709</v>
      </c>
      <c r="AC1006" t="s">
        <v>74</v>
      </c>
      <c r="AD1006" t="s">
        <v>74</v>
      </c>
      <c r="AE1006" t="s">
        <v>74</v>
      </c>
      <c r="AF1006" t="s">
        <v>74</v>
      </c>
      <c r="AG1006">
        <v>0</v>
      </c>
      <c r="AH1006">
        <v>1</v>
      </c>
      <c r="AI1006">
        <v>1</v>
      </c>
      <c r="AJ1006">
        <v>0</v>
      </c>
      <c r="AK1006">
        <v>0</v>
      </c>
      <c r="AL1006" t="s">
        <v>649</v>
      </c>
      <c r="AM1006" t="s">
        <v>486</v>
      </c>
      <c r="AN1006" t="s">
        <v>650</v>
      </c>
      <c r="AO1006" t="s">
        <v>651</v>
      </c>
      <c r="AP1006" t="s">
        <v>652</v>
      </c>
      <c r="AQ1006" t="s">
        <v>74</v>
      </c>
      <c r="AR1006" t="s">
        <v>653</v>
      </c>
      <c r="AS1006" t="s">
        <v>654</v>
      </c>
      <c r="AT1006" t="s">
        <v>74</v>
      </c>
      <c r="AU1006">
        <v>2014</v>
      </c>
      <c r="AV1006">
        <v>189</v>
      </c>
      <c r="AW1006" t="s">
        <v>74</v>
      </c>
      <c r="AX1006" t="s">
        <v>74</v>
      </c>
      <c r="AY1006" t="s">
        <v>74</v>
      </c>
      <c r="AZ1006" t="s">
        <v>74</v>
      </c>
      <c r="BA1006" t="s">
        <v>22030</v>
      </c>
      <c r="BB1006" t="s">
        <v>74</v>
      </c>
      <c r="BC1006" t="s">
        <v>74</v>
      </c>
      <c r="BD1006" t="s">
        <v>74</v>
      </c>
      <c r="BE1006" t="s">
        <v>74</v>
      </c>
      <c r="BF1006" t="s">
        <v>74</v>
      </c>
      <c r="BG1006" t="s">
        <v>74</v>
      </c>
      <c r="BH1006" t="s">
        <v>74</v>
      </c>
      <c r="BI1006">
        <v>1</v>
      </c>
      <c r="BJ1006" t="s">
        <v>341</v>
      </c>
      <c r="BK1006" t="s">
        <v>101</v>
      </c>
      <c r="BL1006" t="s">
        <v>342</v>
      </c>
      <c r="BM1006" t="s">
        <v>13821</v>
      </c>
      <c r="BN1006" t="s">
        <v>74</v>
      </c>
      <c r="BO1006" t="s">
        <v>74</v>
      </c>
      <c r="BP1006" t="s">
        <v>74</v>
      </c>
      <c r="BQ1006" t="s">
        <v>74</v>
      </c>
      <c r="BR1006" t="s">
        <v>104</v>
      </c>
      <c r="BS1006" t="s">
        <v>22029</v>
      </c>
      <c r="BT1006" t="str">
        <f>HYPERLINK("https%3A%2F%2Fwww.webofscience.com%2Fwos%2Fwoscc%2Ffull-record%2FWOS:000209838204315","View Full Record in Web of Science")</f>
        <v>View Full Record in Web of Science</v>
      </c>
    </row>
    <row r="1007" spans="1:72" x14ac:dyDescent="0.25">
      <c r="A1007" t="s">
        <v>72</v>
      </c>
      <c r="B1007" t="s">
        <v>22028</v>
      </c>
      <c r="C1007" t="s">
        <v>74</v>
      </c>
      <c r="D1007" t="s">
        <v>74</v>
      </c>
      <c r="E1007" t="s">
        <v>74</v>
      </c>
      <c r="F1007" t="s">
        <v>22027</v>
      </c>
      <c r="G1007" t="s">
        <v>74</v>
      </c>
      <c r="H1007" t="s">
        <v>74</v>
      </c>
      <c r="I1007" t="s">
        <v>22026</v>
      </c>
      <c r="J1007" t="s">
        <v>637</v>
      </c>
      <c r="K1007" t="s">
        <v>74</v>
      </c>
      <c r="L1007" t="s">
        <v>74</v>
      </c>
      <c r="M1007" t="s">
        <v>78</v>
      </c>
      <c r="N1007" t="s">
        <v>52</v>
      </c>
      <c r="O1007" t="s">
        <v>74</v>
      </c>
      <c r="P1007" t="s">
        <v>74</v>
      </c>
      <c r="Q1007" t="s">
        <v>74</v>
      </c>
      <c r="R1007" t="s">
        <v>74</v>
      </c>
      <c r="S1007" t="s">
        <v>74</v>
      </c>
      <c r="T1007" t="s">
        <v>74</v>
      </c>
      <c r="U1007" t="s">
        <v>74</v>
      </c>
      <c r="V1007" t="s">
        <v>74</v>
      </c>
      <c r="W1007" t="s">
        <v>22025</v>
      </c>
      <c r="X1007" t="s">
        <v>1575</v>
      </c>
      <c r="Y1007" t="s">
        <v>74</v>
      </c>
      <c r="Z1007" t="s">
        <v>276</v>
      </c>
      <c r="AA1007" t="s">
        <v>22024</v>
      </c>
      <c r="AB1007" t="s">
        <v>5709</v>
      </c>
      <c r="AC1007" t="s">
        <v>74</v>
      </c>
      <c r="AD1007" t="s">
        <v>74</v>
      </c>
      <c r="AE1007" t="s">
        <v>74</v>
      </c>
      <c r="AF1007" t="s">
        <v>74</v>
      </c>
      <c r="AG1007">
        <v>0</v>
      </c>
      <c r="AH1007">
        <v>0</v>
      </c>
      <c r="AI1007">
        <v>0</v>
      </c>
      <c r="AJ1007">
        <v>0</v>
      </c>
      <c r="AK1007">
        <v>0</v>
      </c>
      <c r="AL1007" t="s">
        <v>649</v>
      </c>
      <c r="AM1007" t="s">
        <v>486</v>
      </c>
      <c r="AN1007" t="s">
        <v>650</v>
      </c>
      <c r="AO1007" t="s">
        <v>651</v>
      </c>
      <c r="AP1007" t="s">
        <v>652</v>
      </c>
      <c r="AQ1007" t="s">
        <v>74</v>
      </c>
      <c r="AR1007" t="s">
        <v>653</v>
      </c>
      <c r="AS1007" t="s">
        <v>654</v>
      </c>
      <c r="AT1007" t="s">
        <v>74</v>
      </c>
      <c r="AU1007">
        <v>2014</v>
      </c>
      <c r="AV1007">
        <v>189</v>
      </c>
      <c r="AW1007" t="s">
        <v>74</v>
      </c>
      <c r="AX1007" t="s">
        <v>74</v>
      </c>
      <c r="AY1007" t="s">
        <v>74</v>
      </c>
      <c r="AZ1007" t="s">
        <v>74</v>
      </c>
      <c r="BA1007" t="s">
        <v>22023</v>
      </c>
      <c r="BB1007" t="s">
        <v>74</v>
      </c>
      <c r="BC1007" t="s">
        <v>74</v>
      </c>
      <c r="BD1007" t="s">
        <v>74</v>
      </c>
      <c r="BE1007" t="s">
        <v>74</v>
      </c>
      <c r="BF1007" t="s">
        <v>74</v>
      </c>
      <c r="BG1007" t="s">
        <v>74</v>
      </c>
      <c r="BH1007" t="s">
        <v>74</v>
      </c>
      <c r="BI1007">
        <v>1</v>
      </c>
      <c r="BJ1007" t="s">
        <v>341</v>
      </c>
      <c r="BK1007" t="s">
        <v>101</v>
      </c>
      <c r="BL1007" t="s">
        <v>342</v>
      </c>
      <c r="BM1007" t="s">
        <v>13821</v>
      </c>
      <c r="BN1007" t="s">
        <v>74</v>
      </c>
      <c r="BO1007" t="s">
        <v>74</v>
      </c>
      <c r="BP1007" t="s">
        <v>74</v>
      </c>
      <c r="BQ1007" t="s">
        <v>74</v>
      </c>
      <c r="BR1007" t="s">
        <v>104</v>
      </c>
      <c r="BS1007" t="s">
        <v>22022</v>
      </c>
      <c r="BT1007" t="str">
        <f>HYPERLINK("https%3A%2F%2Fwww.webofscience.com%2Fwos%2Fwoscc%2Ffull-record%2FWOS:000209838204316","View Full Record in Web of Science")</f>
        <v>View Full Record in Web of Science</v>
      </c>
    </row>
    <row r="1008" spans="1:72" x14ac:dyDescent="0.25">
      <c r="A1008" t="s">
        <v>72</v>
      </c>
      <c r="B1008" t="s">
        <v>22021</v>
      </c>
      <c r="C1008" t="s">
        <v>74</v>
      </c>
      <c r="D1008" t="s">
        <v>74</v>
      </c>
      <c r="E1008" t="s">
        <v>74</v>
      </c>
      <c r="F1008" t="s">
        <v>22020</v>
      </c>
      <c r="G1008" t="s">
        <v>74</v>
      </c>
      <c r="H1008" t="s">
        <v>74</v>
      </c>
      <c r="I1008" t="s">
        <v>22019</v>
      </c>
      <c r="J1008" t="s">
        <v>637</v>
      </c>
      <c r="K1008" t="s">
        <v>74</v>
      </c>
      <c r="L1008" t="s">
        <v>74</v>
      </c>
      <c r="M1008" t="s">
        <v>78</v>
      </c>
      <c r="N1008" t="s">
        <v>52</v>
      </c>
      <c r="O1008" t="s">
        <v>74</v>
      </c>
      <c r="P1008" t="s">
        <v>74</v>
      </c>
      <c r="Q1008" t="s">
        <v>74</v>
      </c>
      <c r="R1008" t="s">
        <v>74</v>
      </c>
      <c r="S1008" t="s">
        <v>74</v>
      </c>
      <c r="T1008" t="s">
        <v>74</v>
      </c>
      <c r="U1008" t="s">
        <v>74</v>
      </c>
      <c r="V1008" t="s">
        <v>74</v>
      </c>
      <c r="W1008" t="s">
        <v>22018</v>
      </c>
      <c r="X1008" t="s">
        <v>22017</v>
      </c>
      <c r="Y1008" t="s">
        <v>74</v>
      </c>
      <c r="Z1008" t="s">
        <v>22016</v>
      </c>
      <c r="AA1008" t="s">
        <v>22015</v>
      </c>
      <c r="AB1008" t="s">
        <v>74</v>
      </c>
      <c r="AC1008" t="s">
        <v>74</v>
      </c>
      <c r="AD1008" t="s">
        <v>74</v>
      </c>
      <c r="AE1008" t="s">
        <v>74</v>
      </c>
      <c r="AF1008" t="s">
        <v>74</v>
      </c>
      <c r="AG1008">
        <v>1</v>
      </c>
      <c r="AH1008">
        <v>0</v>
      </c>
      <c r="AI1008">
        <v>0</v>
      </c>
      <c r="AJ1008">
        <v>0</v>
      </c>
      <c r="AK1008">
        <v>0</v>
      </c>
      <c r="AL1008" t="s">
        <v>649</v>
      </c>
      <c r="AM1008" t="s">
        <v>486</v>
      </c>
      <c r="AN1008" t="s">
        <v>650</v>
      </c>
      <c r="AO1008" t="s">
        <v>651</v>
      </c>
      <c r="AP1008" t="s">
        <v>652</v>
      </c>
      <c r="AQ1008" t="s">
        <v>74</v>
      </c>
      <c r="AR1008" t="s">
        <v>653</v>
      </c>
      <c r="AS1008" t="s">
        <v>654</v>
      </c>
      <c r="AT1008" t="s">
        <v>74</v>
      </c>
      <c r="AU1008">
        <v>2014</v>
      </c>
      <c r="AV1008">
        <v>189</v>
      </c>
      <c r="AW1008" t="s">
        <v>74</v>
      </c>
      <c r="AX1008" t="s">
        <v>74</v>
      </c>
      <c r="AY1008" t="s">
        <v>74</v>
      </c>
      <c r="AZ1008" t="s">
        <v>74</v>
      </c>
      <c r="BA1008" t="s">
        <v>22014</v>
      </c>
      <c r="BB1008" t="s">
        <v>74</v>
      </c>
      <c r="BC1008" t="s">
        <v>74</v>
      </c>
      <c r="BD1008" t="s">
        <v>74</v>
      </c>
      <c r="BE1008" t="s">
        <v>74</v>
      </c>
      <c r="BF1008" t="s">
        <v>74</v>
      </c>
      <c r="BG1008" t="s">
        <v>74</v>
      </c>
      <c r="BH1008" t="s">
        <v>74</v>
      </c>
      <c r="BI1008">
        <v>2</v>
      </c>
      <c r="BJ1008" t="s">
        <v>341</v>
      </c>
      <c r="BK1008" t="s">
        <v>101</v>
      </c>
      <c r="BL1008" t="s">
        <v>342</v>
      </c>
      <c r="BM1008" t="s">
        <v>13821</v>
      </c>
      <c r="BN1008" t="s">
        <v>74</v>
      </c>
      <c r="BO1008" t="s">
        <v>74</v>
      </c>
      <c r="BP1008" t="s">
        <v>74</v>
      </c>
      <c r="BQ1008" t="s">
        <v>74</v>
      </c>
      <c r="BR1008" t="s">
        <v>104</v>
      </c>
      <c r="BS1008" t="s">
        <v>22013</v>
      </c>
      <c r="BT1008" t="str">
        <f>HYPERLINK("https%3A%2F%2Fwww.webofscience.com%2Fwos%2Fwoscc%2Ffull-record%2FWOS:000209838203228","View Full Record in Web of Science")</f>
        <v>View Full Record in Web of Science</v>
      </c>
    </row>
    <row r="1009" spans="1:72" x14ac:dyDescent="0.25">
      <c r="A1009" t="s">
        <v>72</v>
      </c>
      <c r="B1009" t="s">
        <v>22012</v>
      </c>
      <c r="C1009" t="s">
        <v>74</v>
      </c>
      <c r="D1009" t="s">
        <v>74</v>
      </c>
      <c r="E1009" t="s">
        <v>74</v>
      </c>
      <c r="F1009" t="s">
        <v>22011</v>
      </c>
      <c r="G1009" t="s">
        <v>74</v>
      </c>
      <c r="H1009" t="s">
        <v>74</v>
      </c>
      <c r="I1009" t="s">
        <v>22010</v>
      </c>
      <c r="J1009" t="s">
        <v>9067</v>
      </c>
      <c r="K1009" t="s">
        <v>74</v>
      </c>
      <c r="L1009" t="s">
        <v>74</v>
      </c>
      <c r="M1009" t="s">
        <v>78</v>
      </c>
      <c r="N1009" t="s">
        <v>299</v>
      </c>
      <c r="O1009" t="s">
        <v>74</v>
      </c>
      <c r="P1009" t="s">
        <v>74</v>
      </c>
      <c r="Q1009" t="s">
        <v>74</v>
      </c>
      <c r="R1009" t="s">
        <v>74</v>
      </c>
      <c r="S1009" t="s">
        <v>74</v>
      </c>
      <c r="T1009" t="s">
        <v>22009</v>
      </c>
      <c r="U1009" t="s">
        <v>22008</v>
      </c>
      <c r="V1009" t="s">
        <v>22007</v>
      </c>
      <c r="W1009" t="s">
        <v>22006</v>
      </c>
      <c r="X1009" t="s">
        <v>22005</v>
      </c>
      <c r="Y1009" t="s">
        <v>22004</v>
      </c>
      <c r="Z1009" t="s">
        <v>22003</v>
      </c>
      <c r="AA1009" t="s">
        <v>22002</v>
      </c>
      <c r="AB1009" t="s">
        <v>22001</v>
      </c>
      <c r="AC1009" t="s">
        <v>22000</v>
      </c>
      <c r="AD1009" t="s">
        <v>21999</v>
      </c>
      <c r="AE1009" t="s">
        <v>21998</v>
      </c>
      <c r="AF1009" t="s">
        <v>74</v>
      </c>
      <c r="AG1009">
        <v>55</v>
      </c>
      <c r="AH1009">
        <v>381</v>
      </c>
      <c r="AI1009">
        <v>404</v>
      </c>
      <c r="AJ1009">
        <v>0</v>
      </c>
      <c r="AK1009">
        <v>40</v>
      </c>
      <c r="AL1009" t="s">
        <v>991</v>
      </c>
      <c r="AM1009" t="s">
        <v>486</v>
      </c>
      <c r="AN1009" t="s">
        <v>992</v>
      </c>
      <c r="AO1009" t="s">
        <v>9073</v>
      </c>
      <c r="AP1009" t="s">
        <v>9074</v>
      </c>
      <c r="AQ1009" t="s">
        <v>74</v>
      </c>
      <c r="AR1009" t="s">
        <v>9075</v>
      </c>
      <c r="AS1009" t="s">
        <v>9076</v>
      </c>
      <c r="AT1009" t="s">
        <v>21980</v>
      </c>
      <c r="AU1009">
        <v>2013</v>
      </c>
      <c r="AV1009">
        <v>62</v>
      </c>
      <c r="AW1009">
        <v>25</v>
      </c>
      <c r="AX1009" t="s">
        <v>74</v>
      </c>
      <c r="AY1009" t="s">
        <v>998</v>
      </c>
      <c r="AZ1009" t="s">
        <v>74</v>
      </c>
      <c r="BA1009" t="s">
        <v>74</v>
      </c>
      <c r="BB1009" t="s">
        <v>21997</v>
      </c>
      <c r="BC1009" t="s">
        <v>21996</v>
      </c>
      <c r="BD1009" t="s">
        <v>74</v>
      </c>
      <c r="BE1009" t="s">
        <v>21995</v>
      </c>
      <c r="BF1009" t="str">
        <f>HYPERLINK("http://dx.doi.org/10.1016/j.jacc.2013.10.023","http://dx.doi.org/10.1016/j.jacc.2013.10.023")</f>
        <v>http://dx.doi.org/10.1016/j.jacc.2013.10.023</v>
      </c>
      <c r="BG1009" t="s">
        <v>74</v>
      </c>
      <c r="BH1009" t="s">
        <v>74</v>
      </c>
      <c r="BI1009">
        <v>9</v>
      </c>
      <c r="BJ1009" t="s">
        <v>132</v>
      </c>
      <c r="BK1009" t="s">
        <v>101</v>
      </c>
      <c r="BL1009" t="s">
        <v>133</v>
      </c>
      <c r="BM1009" t="s">
        <v>21976</v>
      </c>
      <c r="BN1009">
        <v>24355642</v>
      </c>
      <c r="BO1009" t="s">
        <v>74</v>
      </c>
      <c r="BP1009" t="s">
        <v>74</v>
      </c>
      <c r="BQ1009" t="s">
        <v>74</v>
      </c>
      <c r="BR1009" t="s">
        <v>104</v>
      </c>
      <c r="BS1009" t="s">
        <v>21994</v>
      </c>
      <c r="BT1009" t="str">
        <f>HYPERLINK("https%3A%2F%2Fwww.webofscience.com%2Fwos%2Fwoscc%2Ffull-record%2FWOS:000329459400007","View Full Record in Web of Science")</f>
        <v>View Full Record in Web of Science</v>
      </c>
    </row>
    <row r="1010" spans="1:72" x14ac:dyDescent="0.25">
      <c r="A1010" t="s">
        <v>72</v>
      </c>
      <c r="B1010" t="s">
        <v>21993</v>
      </c>
      <c r="C1010" t="s">
        <v>74</v>
      </c>
      <c r="D1010" t="s">
        <v>74</v>
      </c>
      <c r="E1010" t="s">
        <v>74</v>
      </c>
      <c r="F1010" t="s">
        <v>21992</v>
      </c>
      <c r="G1010" t="s">
        <v>74</v>
      </c>
      <c r="H1010" t="s">
        <v>74</v>
      </c>
      <c r="I1010" t="s">
        <v>21991</v>
      </c>
      <c r="J1010" t="s">
        <v>9067</v>
      </c>
      <c r="K1010" t="s">
        <v>74</v>
      </c>
      <c r="L1010" t="s">
        <v>74</v>
      </c>
      <c r="M1010" t="s">
        <v>78</v>
      </c>
      <c r="N1010" t="s">
        <v>299</v>
      </c>
      <c r="O1010" t="s">
        <v>74</v>
      </c>
      <c r="P1010" t="s">
        <v>74</v>
      </c>
      <c r="Q1010" t="s">
        <v>74</v>
      </c>
      <c r="R1010" t="s">
        <v>74</v>
      </c>
      <c r="S1010" t="s">
        <v>74</v>
      </c>
      <c r="T1010" t="s">
        <v>21990</v>
      </c>
      <c r="U1010" t="s">
        <v>21989</v>
      </c>
      <c r="V1010" t="s">
        <v>21988</v>
      </c>
      <c r="W1010" t="s">
        <v>21987</v>
      </c>
      <c r="X1010" t="s">
        <v>21986</v>
      </c>
      <c r="Y1010" t="s">
        <v>21985</v>
      </c>
      <c r="Z1010" t="s">
        <v>7825</v>
      </c>
      <c r="AA1010" t="s">
        <v>21984</v>
      </c>
      <c r="AB1010" t="s">
        <v>257</v>
      </c>
      <c r="AC1010" t="s">
        <v>21983</v>
      </c>
      <c r="AD1010" t="s">
        <v>21982</v>
      </c>
      <c r="AE1010" t="s">
        <v>21981</v>
      </c>
      <c r="AF1010" t="s">
        <v>74</v>
      </c>
      <c r="AG1010">
        <v>104</v>
      </c>
      <c r="AH1010">
        <v>212</v>
      </c>
      <c r="AI1010">
        <v>231</v>
      </c>
      <c r="AJ1010">
        <v>0</v>
      </c>
      <c r="AK1010">
        <v>52</v>
      </c>
      <c r="AL1010" t="s">
        <v>991</v>
      </c>
      <c r="AM1010" t="s">
        <v>486</v>
      </c>
      <c r="AN1010" t="s">
        <v>992</v>
      </c>
      <c r="AO1010" t="s">
        <v>9073</v>
      </c>
      <c r="AP1010" t="s">
        <v>9074</v>
      </c>
      <c r="AQ1010" t="s">
        <v>74</v>
      </c>
      <c r="AR1010" t="s">
        <v>9075</v>
      </c>
      <c r="AS1010" t="s">
        <v>9076</v>
      </c>
      <c r="AT1010" t="s">
        <v>21980</v>
      </c>
      <c r="AU1010">
        <v>2013</v>
      </c>
      <c r="AV1010">
        <v>62</v>
      </c>
      <c r="AW1010">
        <v>25</v>
      </c>
      <c r="AX1010" t="s">
        <v>74</v>
      </c>
      <c r="AY1010" t="s">
        <v>998</v>
      </c>
      <c r="AZ1010" t="s">
        <v>74</v>
      </c>
      <c r="BA1010" t="s">
        <v>74</v>
      </c>
      <c r="BB1010" t="s">
        <v>21979</v>
      </c>
      <c r="BC1010" t="s">
        <v>21978</v>
      </c>
      <c r="BD1010" t="s">
        <v>74</v>
      </c>
      <c r="BE1010" t="s">
        <v>21977</v>
      </c>
      <c r="BF1010" t="str">
        <f>HYPERLINK("http://dx.doi.org/10.1016/j.jacc.2013.10.035","http://dx.doi.org/10.1016/j.jacc.2013.10.035")</f>
        <v>http://dx.doi.org/10.1016/j.jacc.2013.10.035</v>
      </c>
      <c r="BG1010" t="s">
        <v>74</v>
      </c>
      <c r="BH1010" t="s">
        <v>74</v>
      </c>
      <c r="BI1010">
        <v>9</v>
      </c>
      <c r="BJ1010" t="s">
        <v>132</v>
      </c>
      <c r="BK1010" t="s">
        <v>101</v>
      </c>
      <c r="BL1010" t="s">
        <v>133</v>
      </c>
      <c r="BM1010" t="s">
        <v>21976</v>
      </c>
      <c r="BN1010">
        <v>25697031</v>
      </c>
      <c r="BO1010" t="s">
        <v>18388</v>
      </c>
      <c r="BP1010" t="s">
        <v>74</v>
      </c>
      <c r="BQ1010" t="s">
        <v>74</v>
      </c>
      <c r="BR1010" t="s">
        <v>104</v>
      </c>
      <c r="BS1010" t="s">
        <v>21975</v>
      </c>
      <c r="BT1010" t="str">
        <f>HYPERLINK("https%3A%2F%2Fwww.webofscience.com%2Fwos%2Fwoscc%2Ffull-record%2FWOS:000329459400003","View Full Record in Web of Science")</f>
        <v>View Full Record in Web of Science</v>
      </c>
    </row>
    <row r="1011" spans="1:72" x14ac:dyDescent="0.25">
      <c r="A1011" t="s">
        <v>72</v>
      </c>
      <c r="B1011" t="s">
        <v>21974</v>
      </c>
      <c r="C1011" t="s">
        <v>74</v>
      </c>
      <c r="D1011" t="s">
        <v>74</v>
      </c>
      <c r="E1011" t="s">
        <v>74</v>
      </c>
      <c r="F1011" t="s">
        <v>21973</v>
      </c>
      <c r="G1011" t="s">
        <v>74</v>
      </c>
      <c r="H1011" t="s">
        <v>74</v>
      </c>
      <c r="I1011" t="s">
        <v>21972</v>
      </c>
      <c r="J1011" t="s">
        <v>6978</v>
      </c>
      <c r="K1011" t="s">
        <v>74</v>
      </c>
      <c r="L1011" t="s">
        <v>74</v>
      </c>
      <c r="M1011" t="s">
        <v>78</v>
      </c>
      <c r="N1011" t="s">
        <v>52</v>
      </c>
      <c r="O1011" t="s">
        <v>6979</v>
      </c>
      <c r="P1011" t="s">
        <v>21899</v>
      </c>
      <c r="Q1011" t="s">
        <v>6981</v>
      </c>
      <c r="R1011" t="s">
        <v>6982</v>
      </c>
      <c r="S1011" t="s">
        <v>74</v>
      </c>
      <c r="T1011" t="s">
        <v>74</v>
      </c>
      <c r="U1011" t="s">
        <v>74</v>
      </c>
      <c r="V1011" t="s">
        <v>74</v>
      </c>
      <c r="W1011" t="s">
        <v>21971</v>
      </c>
      <c r="X1011" t="s">
        <v>21970</v>
      </c>
      <c r="Y1011" t="s">
        <v>74</v>
      </c>
      <c r="Z1011" t="s">
        <v>74</v>
      </c>
      <c r="AA1011" t="s">
        <v>21969</v>
      </c>
      <c r="AB1011" t="s">
        <v>21968</v>
      </c>
      <c r="AC1011" t="s">
        <v>74</v>
      </c>
      <c r="AD1011" t="s">
        <v>74</v>
      </c>
      <c r="AE1011" t="s">
        <v>74</v>
      </c>
      <c r="AF1011" t="s">
        <v>74</v>
      </c>
      <c r="AG1011">
        <v>0</v>
      </c>
      <c r="AH1011">
        <v>0</v>
      </c>
      <c r="AI1011">
        <v>0</v>
      </c>
      <c r="AJ1011">
        <v>0</v>
      </c>
      <c r="AK1011">
        <v>0</v>
      </c>
      <c r="AL1011" t="s">
        <v>2590</v>
      </c>
      <c r="AM1011" t="s">
        <v>201</v>
      </c>
      <c r="AN1011" t="s">
        <v>2591</v>
      </c>
      <c r="AO1011" t="s">
        <v>6985</v>
      </c>
      <c r="AP1011" t="s">
        <v>6986</v>
      </c>
      <c r="AQ1011" t="s">
        <v>74</v>
      </c>
      <c r="AR1011" t="s">
        <v>6978</v>
      </c>
      <c r="AS1011" t="s">
        <v>6987</v>
      </c>
      <c r="AT1011" t="s">
        <v>226</v>
      </c>
      <c r="AU1011">
        <v>2013</v>
      </c>
      <c r="AV1011">
        <v>68</v>
      </c>
      <c r="AW1011" t="s">
        <v>74</v>
      </c>
      <c r="AX1011" t="s">
        <v>74</v>
      </c>
      <c r="AY1011">
        <v>3</v>
      </c>
      <c r="AZ1011" t="s">
        <v>74</v>
      </c>
      <c r="BA1011" t="s">
        <v>74</v>
      </c>
      <c r="BB1011" t="s">
        <v>21896</v>
      </c>
      <c r="BC1011" t="s">
        <v>21967</v>
      </c>
      <c r="BD1011" t="s">
        <v>74</v>
      </c>
      <c r="BE1011" t="s">
        <v>21966</v>
      </c>
      <c r="BF1011" t="str">
        <f>HYPERLINK("http://dx.doi.org/10.1136/thoraxjnl-2013-204457.150","http://dx.doi.org/10.1136/thoraxjnl-2013-204457.150")</f>
        <v>http://dx.doi.org/10.1136/thoraxjnl-2013-204457.150</v>
      </c>
      <c r="BG1011" t="s">
        <v>74</v>
      </c>
      <c r="BH1011" t="s">
        <v>74</v>
      </c>
      <c r="BI1011">
        <v>2</v>
      </c>
      <c r="BJ1011" t="s">
        <v>228</v>
      </c>
      <c r="BK1011" t="s">
        <v>512</v>
      </c>
      <c r="BL1011" t="s">
        <v>228</v>
      </c>
      <c r="BM1011" t="s">
        <v>21894</v>
      </c>
      <c r="BN1011" t="s">
        <v>74</v>
      </c>
      <c r="BO1011" t="s">
        <v>2854</v>
      </c>
      <c r="BP1011" t="s">
        <v>74</v>
      </c>
      <c r="BQ1011" t="s">
        <v>74</v>
      </c>
      <c r="BR1011" t="s">
        <v>104</v>
      </c>
      <c r="BS1011" t="s">
        <v>21965</v>
      </c>
      <c r="BT1011" t="str">
        <f>HYPERLINK("https%3A%2F%2Fwww.webofscience.com%2Fwos%2Fwoscc%2Ffull-record%2FWOS:000330518700150","View Full Record in Web of Science")</f>
        <v>View Full Record in Web of Science</v>
      </c>
    </row>
    <row r="1012" spans="1:72" x14ac:dyDescent="0.25">
      <c r="A1012" t="s">
        <v>72</v>
      </c>
      <c r="B1012" t="s">
        <v>21964</v>
      </c>
      <c r="C1012" t="s">
        <v>74</v>
      </c>
      <c r="D1012" t="s">
        <v>74</v>
      </c>
      <c r="E1012" t="s">
        <v>74</v>
      </c>
      <c r="F1012" t="s">
        <v>21963</v>
      </c>
      <c r="G1012" t="s">
        <v>74</v>
      </c>
      <c r="H1012" t="s">
        <v>74</v>
      </c>
      <c r="I1012" t="s">
        <v>21962</v>
      </c>
      <c r="J1012" t="s">
        <v>1939</v>
      </c>
      <c r="K1012" t="s">
        <v>74</v>
      </c>
      <c r="L1012" t="s">
        <v>74</v>
      </c>
      <c r="M1012" t="s">
        <v>78</v>
      </c>
      <c r="N1012" t="s">
        <v>79</v>
      </c>
      <c r="O1012" t="s">
        <v>74</v>
      </c>
      <c r="P1012" t="s">
        <v>74</v>
      </c>
      <c r="Q1012" t="s">
        <v>74</v>
      </c>
      <c r="R1012" t="s">
        <v>74</v>
      </c>
      <c r="S1012" t="s">
        <v>74</v>
      </c>
      <c r="T1012" t="s">
        <v>21961</v>
      </c>
      <c r="U1012" t="s">
        <v>21960</v>
      </c>
      <c r="V1012" t="s">
        <v>21959</v>
      </c>
      <c r="W1012" t="s">
        <v>21958</v>
      </c>
      <c r="X1012" t="s">
        <v>21957</v>
      </c>
      <c r="Y1012" t="s">
        <v>21956</v>
      </c>
      <c r="Z1012" t="s">
        <v>13765</v>
      </c>
      <c r="AA1012" t="s">
        <v>13766</v>
      </c>
      <c r="AB1012" t="s">
        <v>12730</v>
      </c>
      <c r="AC1012" t="s">
        <v>21955</v>
      </c>
      <c r="AD1012" t="s">
        <v>21954</v>
      </c>
      <c r="AE1012" t="s">
        <v>21953</v>
      </c>
      <c r="AF1012" t="s">
        <v>74</v>
      </c>
      <c r="AG1012">
        <v>33</v>
      </c>
      <c r="AH1012">
        <v>72</v>
      </c>
      <c r="AI1012">
        <v>76</v>
      </c>
      <c r="AJ1012">
        <v>0</v>
      </c>
      <c r="AK1012">
        <v>5</v>
      </c>
      <c r="AL1012" t="s">
        <v>1073</v>
      </c>
      <c r="AM1012" t="s">
        <v>1074</v>
      </c>
      <c r="AN1012" t="s">
        <v>1075</v>
      </c>
      <c r="AO1012" t="s">
        <v>1948</v>
      </c>
      <c r="AP1012" t="s">
        <v>1949</v>
      </c>
      <c r="AQ1012" t="s">
        <v>74</v>
      </c>
      <c r="AR1012" t="s">
        <v>1950</v>
      </c>
      <c r="AS1012" t="s">
        <v>1951</v>
      </c>
      <c r="AT1012" t="s">
        <v>226</v>
      </c>
      <c r="AU1012">
        <v>2013</v>
      </c>
      <c r="AV1012">
        <v>14</v>
      </c>
      <c r="AW1012">
        <v>12</v>
      </c>
      <c r="AX1012" t="s">
        <v>74</v>
      </c>
      <c r="AY1012" t="s">
        <v>74</v>
      </c>
      <c r="AZ1012" t="s">
        <v>74</v>
      </c>
      <c r="BA1012" t="s">
        <v>74</v>
      </c>
      <c r="BB1012">
        <v>1140</v>
      </c>
      <c r="BC1012">
        <v>1149</v>
      </c>
      <c r="BD1012" t="s">
        <v>74</v>
      </c>
      <c r="BE1012" t="s">
        <v>21952</v>
      </c>
      <c r="BF1012" t="str">
        <f>HYPERLINK("http://dx.doi.org/10.1093/ehjci/jet092","http://dx.doi.org/10.1093/ehjci/jet092")</f>
        <v>http://dx.doi.org/10.1093/ehjci/jet092</v>
      </c>
      <c r="BG1012" t="s">
        <v>74</v>
      </c>
      <c r="BH1012" t="s">
        <v>74</v>
      </c>
      <c r="BI1012">
        <v>10</v>
      </c>
      <c r="BJ1012" t="s">
        <v>1955</v>
      </c>
      <c r="BK1012" t="s">
        <v>101</v>
      </c>
      <c r="BL1012" t="s">
        <v>1956</v>
      </c>
      <c r="BM1012" t="s">
        <v>21951</v>
      </c>
      <c r="BN1012">
        <v>23677917</v>
      </c>
      <c r="BO1012" t="s">
        <v>1194</v>
      </c>
      <c r="BP1012" t="s">
        <v>74</v>
      </c>
      <c r="BQ1012" t="s">
        <v>74</v>
      </c>
      <c r="BR1012" t="s">
        <v>104</v>
      </c>
      <c r="BS1012" t="s">
        <v>21950</v>
      </c>
      <c r="BT1012" t="str">
        <f>HYPERLINK("https%3A%2F%2Fwww.webofscience.com%2Fwos%2Fwoscc%2Ffull-record%2FWOS:000326966100004","View Full Record in Web of Science")</f>
        <v>View Full Record in Web of Science</v>
      </c>
    </row>
    <row r="1013" spans="1:72" x14ac:dyDescent="0.25">
      <c r="A1013" t="s">
        <v>72</v>
      </c>
      <c r="B1013" t="s">
        <v>21949</v>
      </c>
      <c r="C1013" t="s">
        <v>74</v>
      </c>
      <c r="D1013" t="s">
        <v>74</v>
      </c>
      <c r="E1013" t="s">
        <v>74</v>
      </c>
      <c r="F1013" t="s">
        <v>21948</v>
      </c>
      <c r="G1013" t="s">
        <v>74</v>
      </c>
      <c r="H1013" t="s">
        <v>74</v>
      </c>
      <c r="I1013" t="s">
        <v>21947</v>
      </c>
      <c r="J1013" t="s">
        <v>15500</v>
      </c>
      <c r="K1013" t="s">
        <v>74</v>
      </c>
      <c r="L1013" t="s">
        <v>74</v>
      </c>
      <c r="M1013" t="s">
        <v>78</v>
      </c>
      <c r="N1013" t="s">
        <v>79</v>
      </c>
      <c r="O1013" t="s">
        <v>74</v>
      </c>
      <c r="P1013" t="s">
        <v>74</v>
      </c>
      <c r="Q1013" t="s">
        <v>74</v>
      </c>
      <c r="R1013" t="s">
        <v>74</v>
      </c>
      <c r="S1013" t="s">
        <v>74</v>
      </c>
      <c r="T1013" t="s">
        <v>74</v>
      </c>
      <c r="U1013" t="s">
        <v>21946</v>
      </c>
      <c r="V1013" t="s">
        <v>21945</v>
      </c>
      <c r="W1013" t="s">
        <v>21944</v>
      </c>
      <c r="X1013" t="s">
        <v>21943</v>
      </c>
      <c r="Y1013" t="s">
        <v>21942</v>
      </c>
      <c r="Z1013" t="s">
        <v>21941</v>
      </c>
      <c r="AA1013" t="s">
        <v>21940</v>
      </c>
      <c r="AB1013" t="s">
        <v>21939</v>
      </c>
      <c r="AC1013" t="s">
        <v>21938</v>
      </c>
      <c r="AD1013" t="s">
        <v>21937</v>
      </c>
      <c r="AE1013" t="s">
        <v>21936</v>
      </c>
      <c r="AF1013" t="s">
        <v>74</v>
      </c>
      <c r="AG1013">
        <v>51</v>
      </c>
      <c r="AH1013">
        <v>161</v>
      </c>
      <c r="AI1013">
        <v>169</v>
      </c>
      <c r="AJ1013">
        <v>0</v>
      </c>
      <c r="AK1013">
        <v>6</v>
      </c>
      <c r="AL1013" t="s">
        <v>169</v>
      </c>
      <c r="AM1013" t="s">
        <v>170</v>
      </c>
      <c r="AN1013" t="s">
        <v>171</v>
      </c>
      <c r="AO1013" t="s">
        <v>15491</v>
      </c>
      <c r="AP1013" t="s">
        <v>16087</v>
      </c>
      <c r="AQ1013" t="s">
        <v>74</v>
      </c>
      <c r="AR1013" t="s">
        <v>16086</v>
      </c>
      <c r="AS1013" t="s">
        <v>15489</v>
      </c>
      <c r="AT1013" t="s">
        <v>226</v>
      </c>
      <c r="AU1013">
        <v>2013</v>
      </c>
      <c r="AV1013">
        <v>65</v>
      </c>
      <c r="AW1013">
        <v>12</v>
      </c>
      <c r="AX1013" t="s">
        <v>74</v>
      </c>
      <c r="AY1013" t="s">
        <v>74</v>
      </c>
      <c r="AZ1013" t="s">
        <v>74</v>
      </c>
      <c r="BA1013" t="s">
        <v>74</v>
      </c>
      <c r="BB1013">
        <v>3194</v>
      </c>
      <c r="BC1013">
        <v>3201</v>
      </c>
      <c r="BD1013" t="s">
        <v>74</v>
      </c>
      <c r="BE1013" t="s">
        <v>21935</v>
      </c>
      <c r="BF1013" t="str">
        <f>HYPERLINK("http://dx.doi.org/10.1002/art.38172","http://dx.doi.org/10.1002/art.38172")</f>
        <v>http://dx.doi.org/10.1002/art.38172</v>
      </c>
      <c r="BG1013" t="s">
        <v>74</v>
      </c>
      <c r="BH1013" t="s">
        <v>74</v>
      </c>
      <c r="BI1013">
        <v>8</v>
      </c>
      <c r="BJ1013" t="s">
        <v>2369</v>
      </c>
      <c r="BK1013" t="s">
        <v>101</v>
      </c>
      <c r="BL1013" t="s">
        <v>2369</v>
      </c>
      <c r="BM1013" t="s">
        <v>21934</v>
      </c>
      <c r="BN1013">
        <v>24022584</v>
      </c>
      <c r="BO1013" t="s">
        <v>21933</v>
      </c>
      <c r="BP1013" t="s">
        <v>74</v>
      </c>
      <c r="BQ1013" t="s">
        <v>74</v>
      </c>
      <c r="BR1013" t="s">
        <v>104</v>
      </c>
      <c r="BS1013" t="s">
        <v>21932</v>
      </c>
      <c r="BT1013" t="str">
        <f>HYPERLINK("https%3A%2F%2Fwww.webofscience.com%2Fwos%2Fwoscc%2Ffull-record%2FWOS:000327692600022","View Full Record in Web of Science")</f>
        <v>View Full Record in Web of Science</v>
      </c>
    </row>
    <row r="1014" spans="1:72" x14ac:dyDescent="0.25">
      <c r="A1014" t="s">
        <v>72</v>
      </c>
      <c r="B1014" t="s">
        <v>21931</v>
      </c>
      <c r="C1014" t="s">
        <v>74</v>
      </c>
      <c r="D1014" t="s">
        <v>74</v>
      </c>
      <c r="E1014" t="s">
        <v>74</v>
      </c>
      <c r="F1014" t="s">
        <v>21930</v>
      </c>
      <c r="G1014" t="s">
        <v>74</v>
      </c>
      <c r="H1014" t="s">
        <v>74</v>
      </c>
      <c r="I1014" t="s">
        <v>21929</v>
      </c>
      <c r="J1014" t="s">
        <v>2580</v>
      </c>
      <c r="K1014" t="s">
        <v>74</v>
      </c>
      <c r="L1014" t="s">
        <v>74</v>
      </c>
      <c r="M1014" t="s">
        <v>78</v>
      </c>
      <c r="N1014" t="s">
        <v>79</v>
      </c>
      <c r="O1014" t="s">
        <v>74</v>
      </c>
      <c r="P1014" t="s">
        <v>74</v>
      </c>
      <c r="Q1014" t="s">
        <v>74</v>
      </c>
      <c r="R1014" t="s">
        <v>74</v>
      </c>
      <c r="S1014" t="s">
        <v>74</v>
      </c>
      <c r="T1014" t="s">
        <v>21928</v>
      </c>
      <c r="U1014" t="s">
        <v>21927</v>
      </c>
      <c r="V1014" t="s">
        <v>21926</v>
      </c>
      <c r="W1014" t="s">
        <v>21925</v>
      </c>
      <c r="X1014" t="s">
        <v>21924</v>
      </c>
      <c r="Y1014" t="s">
        <v>21468</v>
      </c>
      <c r="Z1014" t="s">
        <v>13159</v>
      </c>
      <c r="AA1014" t="s">
        <v>21923</v>
      </c>
      <c r="AB1014" t="s">
        <v>21922</v>
      </c>
      <c r="AC1014" t="s">
        <v>6317</v>
      </c>
      <c r="AD1014" t="s">
        <v>6317</v>
      </c>
      <c r="AE1014" t="s">
        <v>21921</v>
      </c>
      <c r="AF1014" t="s">
        <v>74</v>
      </c>
      <c r="AG1014">
        <v>36</v>
      </c>
      <c r="AH1014">
        <v>120</v>
      </c>
      <c r="AI1014">
        <v>133</v>
      </c>
      <c r="AJ1014">
        <v>0</v>
      </c>
      <c r="AK1014">
        <v>14</v>
      </c>
      <c r="AL1014" t="s">
        <v>2590</v>
      </c>
      <c r="AM1014" t="s">
        <v>201</v>
      </c>
      <c r="AN1014" t="s">
        <v>2591</v>
      </c>
      <c r="AO1014" t="s">
        <v>2592</v>
      </c>
      <c r="AP1014" t="s">
        <v>2593</v>
      </c>
      <c r="AQ1014" t="s">
        <v>74</v>
      </c>
      <c r="AR1014" t="s">
        <v>2594</v>
      </c>
      <c r="AS1014" t="s">
        <v>2595</v>
      </c>
      <c r="AT1014" t="s">
        <v>226</v>
      </c>
      <c r="AU1014">
        <v>2013</v>
      </c>
      <c r="AV1014">
        <v>72</v>
      </c>
      <c r="AW1014">
        <v>12</v>
      </c>
      <c r="AX1014" t="s">
        <v>74</v>
      </c>
      <c r="AY1014" t="s">
        <v>74</v>
      </c>
      <c r="AZ1014" t="s">
        <v>74</v>
      </c>
      <c r="BA1014" t="s">
        <v>74</v>
      </c>
      <c r="BB1014">
        <v>1940</v>
      </c>
      <c r="BC1014">
        <v>1946</v>
      </c>
      <c r="BD1014" t="s">
        <v>74</v>
      </c>
      <c r="BE1014" t="s">
        <v>21920</v>
      </c>
      <c r="BF1014" t="str">
        <f>HYPERLINK("http://dx.doi.org/10.1136/annrheumdis-2012-202489","http://dx.doi.org/10.1136/annrheumdis-2012-202489")</f>
        <v>http://dx.doi.org/10.1136/annrheumdis-2012-202489</v>
      </c>
      <c r="BG1014" t="s">
        <v>74</v>
      </c>
      <c r="BH1014" t="s">
        <v>74</v>
      </c>
      <c r="BI1014">
        <v>7</v>
      </c>
      <c r="BJ1014" t="s">
        <v>2369</v>
      </c>
      <c r="BK1014" t="s">
        <v>101</v>
      </c>
      <c r="BL1014" t="s">
        <v>2369</v>
      </c>
      <c r="BM1014" t="s">
        <v>21919</v>
      </c>
      <c r="BN1014">
        <v>23178295</v>
      </c>
      <c r="BO1014" t="s">
        <v>21918</v>
      </c>
      <c r="BP1014" t="s">
        <v>74</v>
      </c>
      <c r="BQ1014" t="s">
        <v>74</v>
      </c>
      <c r="BR1014" t="s">
        <v>104</v>
      </c>
      <c r="BS1014" t="s">
        <v>21917</v>
      </c>
      <c r="BT1014" t="str">
        <f>HYPERLINK("https%3A%2F%2Fwww.webofscience.com%2Fwos%2Fwoscc%2Ffull-record%2FWOS:000326877500013","View Full Record in Web of Science")</f>
        <v>View Full Record in Web of Science</v>
      </c>
    </row>
    <row r="1015" spans="1:72" x14ac:dyDescent="0.25">
      <c r="A1015" t="s">
        <v>72</v>
      </c>
      <c r="B1015" t="s">
        <v>21916</v>
      </c>
      <c r="C1015" t="s">
        <v>74</v>
      </c>
      <c r="D1015" t="s">
        <v>74</v>
      </c>
      <c r="E1015" t="s">
        <v>74</v>
      </c>
      <c r="F1015" t="s">
        <v>21915</v>
      </c>
      <c r="G1015" t="s">
        <v>74</v>
      </c>
      <c r="H1015" t="s">
        <v>74</v>
      </c>
      <c r="I1015" t="s">
        <v>21914</v>
      </c>
      <c r="J1015" t="s">
        <v>1161</v>
      </c>
      <c r="K1015" t="s">
        <v>74</v>
      </c>
      <c r="L1015" t="s">
        <v>74</v>
      </c>
      <c r="M1015" t="s">
        <v>78</v>
      </c>
      <c r="N1015" t="s">
        <v>79</v>
      </c>
      <c r="O1015" t="s">
        <v>74</v>
      </c>
      <c r="P1015" t="s">
        <v>74</v>
      </c>
      <c r="Q1015" t="s">
        <v>74</v>
      </c>
      <c r="R1015" t="s">
        <v>74</v>
      </c>
      <c r="S1015" t="s">
        <v>74</v>
      </c>
      <c r="T1015" t="s">
        <v>21913</v>
      </c>
      <c r="U1015" t="s">
        <v>21912</v>
      </c>
      <c r="V1015" t="s">
        <v>21911</v>
      </c>
      <c r="W1015" t="s">
        <v>21910</v>
      </c>
      <c r="X1015" t="s">
        <v>21909</v>
      </c>
      <c r="Y1015" t="s">
        <v>21908</v>
      </c>
      <c r="Z1015" t="s">
        <v>21907</v>
      </c>
      <c r="AA1015" t="s">
        <v>144</v>
      </c>
      <c r="AB1015" t="s">
        <v>21906</v>
      </c>
      <c r="AC1015" t="s">
        <v>74</v>
      </c>
      <c r="AD1015" t="s">
        <v>74</v>
      </c>
      <c r="AE1015" t="s">
        <v>74</v>
      </c>
      <c r="AF1015" t="s">
        <v>74</v>
      </c>
      <c r="AG1015">
        <v>112</v>
      </c>
      <c r="AH1015">
        <v>8</v>
      </c>
      <c r="AI1015">
        <v>8</v>
      </c>
      <c r="AJ1015">
        <v>0</v>
      </c>
      <c r="AK1015">
        <v>6</v>
      </c>
      <c r="AL1015" t="s">
        <v>1169</v>
      </c>
      <c r="AM1015" t="s">
        <v>123</v>
      </c>
      <c r="AN1015" t="s">
        <v>1170</v>
      </c>
      <c r="AO1015" t="s">
        <v>1171</v>
      </c>
      <c r="AP1015" t="s">
        <v>1172</v>
      </c>
      <c r="AQ1015" t="s">
        <v>74</v>
      </c>
      <c r="AR1015" t="s">
        <v>1173</v>
      </c>
      <c r="AS1015" t="s">
        <v>1174</v>
      </c>
      <c r="AT1015" t="s">
        <v>226</v>
      </c>
      <c r="AU1015">
        <v>2013</v>
      </c>
      <c r="AV1015">
        <v>34</v>
      </c>
      <c r="AW1015">
        <v>4</v>
      </c>
      <c r="AX1015" t="s">
        <v>74</v>
      </c>
      <c r="AY1015" t="s">
        <v>74</v>
      </c>
      <c r="AZ1015" t="s">
        <v>74</v>
      </c>
      <c r="BA1015" t="s">
        <v>74</v>
      </c>
      <c r="BB1015">
        <v>867</v>
      </c>
      <c r="BC1015" t="s">
        <v>3083</v>
      </c>
      <c r="BD1015" t="s">
        <v>74</v>
      </c>
      <c r="BE1015" t="s">
        <v>21905</v>
      </c>
      <c r="BF1015" t="str">
        <f>HYPERLINK("http://dx.doi.org/10.1016/j.ccm.2013.08.002","http://dx.doi.org/10.1016/j.ccm.2013.08.002")</f>
        <v>http://dx.doi.org/10.1016/j.ccm.2013.08.002</v>
      </c>
      <c r="BG1015" t="s">
        <v>74</v>
      </c>
      <c r="BH1015" t="s">
        <v>74</v>
      </c>
      <c r="BI1015">
        <v>16</v>
      </c>
      <c r="BJ1015" t="s">
        <v>228</v>
      </c>
      <c r="BK1015" t="s">
        <v>101</v>
      </c>
      <c r="BL1015" t="s">
        <v>228</v>
      </c>
      <c r="BM1015" t="s">
        <v>21904</v>
      </c>
      <c r="BN1015">
        <v>24267310</v>
      </c>
      <c r="BO1015" t="s">
        <v>74</v>
      </c>
      <c r="BP1015" t="s">
        <v>74</v>
      </c>
      <c r="BQ1015" t="s">
        <v>74</v>
      </c>
      <c r="BR1015" t="s">
        <v>104</v>
      </c>
      <c r="BS1015" t="s">
        <v>21903</v>
      </c>
      <c r="BT1015" t="str">
        <f>HYPERLINK("https%3A%2F%2Fwww.webofscience.com%2Fwos%2Fwoscc%2Ffull-record%2FWOS:000329086900018","View Full Record in Web of Science")</f>
        <v>View Full Record in Web of Science</v>
      </c>
    </row>
    <row r="1016" spans="1:72" x14ac:dyDescent="0.25">
      <c r="A1016" t="s">
        <v>72</v>
      </c>
      <c r="B1016" t="s">
        <v>21902</v>
      </c>
      <c r="C1016" t="s">
        <v>74</v>
      </c>
      <c r="D1016" t="s">
        <v>74</v>
      </c>
      <c r="E1016" t="s">
        <v>74</v>
      </c>
      <c r="F1016" t="s">
        <v>21901</v>
      </c>
      <c r="G1016" t="s">
        <v>74</v>
      </c>
      <c r="H1016" t="s">
        <v>74</v>
      </c>
      <c r="I1016" t="s">
        <v>21900</v>
      </c>
      <c r="J1016" t="s">
        <v>6978</v>
      </c>
      <c r="K1016" t="s">
        <v>74</v>
      </c>
      <c r="L1016" t="s">
        <v>74</v>
      </c>
      <c r="M1016" t="s">
        <v>78</v>
      </c>
      <c r="N1016" t="s">
        <v>52</v>
      </c>
      <c r="O1016" t="s">
        <v>6979</v>
      </c>
      <c r="P1016" t="s">
        <v>21899</v>
      </c>
      <c r="Q1016" t="s">
        <v>6981</v>
      </c>
      <c r="R1016" t="s">
        <v>6982</v>
      </c>
      <c r="S1016" t="s">
        <v>74</v>
      </c>
      <c r="T1016" t="s">
        <v>74</v>
      </c>
      <c r="U1016" t="s">
        <v>74</v>
      </c>
      <c r="V1016" t="s">
        <v>74</v>
      </c>
      <c r="W1016" t="s">
        <v>21898</v>
      </c>
      <c r="X1016" t="s">
        <v>7499</v>
      </c>
      <c r="Y1016" t="s">
        <v>74</v>
      </c>
      <c r="Z1016" t="s">
        <v>74</v>
      </c>
      <c r="AA1016" t="s">
        <v>21897</v>
      </c>
      <c r="AB1016" t="s">
        <v>11924</v>
      </c>
      <c r="AC1016" t="s">
        <v>74</v>
      </c>
      <c r="AD1016" t="s">
        <v>74</v>
      </c>
      <c r="AE1016" t="s">
        <v>74</v>
      </c>
      <c r="AF1016" t="s">
        <v>74</v>
      </c>
      <c r="AG1016">
        <v>0</v>
      </c>
      <c r="AH1016">
        <v>0</v>
      </c>
      <c r="AI1016">
        <v>0</v>
      </c>
      <c r="AJ1016">
        <v>0</v>
      </c>
      <c r="AK1016">
        <v>0</v>
      </c>
      <c r="AL1016" t="s">
        <v>2590</v>
      </c>
      <c r="AM1016" t="s">
        <v>201</v>
      </c>
      <c r="AN1016" t="s">
        <v>2591</v>
      </c>
      <c r="AO1016" t="s">
        <v>6985</v>
      </c>
      <c r="AP1016" t="s">
        <v>6986</v>
      </c>
      <c r="AQ1016" t="s">
        <v>74</v>
      </c>
      <c r="AR1016" t="s">
        <v>6978</v>
      </c>
      <c r="AS1016" t="s">
        <v>6987</v>
      </c>
      <c r="AT1016" t="s">
        <v>226</v>
      </c>
      <c r="AU1016">
        <v>2013</v>
      </c>
      <c r="AV1016">
        <v>68</v>
      </c>
      <c r="AW1016" t="s">
        <v>74</v>
      </c>
      <c r="AX1016" t="s">
        <v>74</v>
      </c>
      <c r="AY1016">
        <v>3</v>
      </c>
      <c r="AZ1016" t="s">
        <v>74</v>
      </c>
      <c r="BA1016" t="s">
        <v>74</v>
      </c>
      <c r="BB1016" t="s">
        <v>21896</v>
      </c>
      <c r="BC1016" t="s">
        <v>21896</v>
      </c>
      <c r="BD1016" t="s">
        <v>74</v>
      </c>
      <c r="BE1016" t="s">
        <v>21895</v>
      </c>
      <c r="BF1016" t="str">
        <f>HYPERLINK("http://dx.doi.org/10.1136/thoraxjnl-2013-204457.149","http://dx.doi.org/10.1136/thoraxjnl-2013-204457.149")</f>
        <v>http://dx.doi.org/10.1136/thoraxjnl-2013-204457.149</v>
      </c>
      <c r="BG1016" t="s">
        <v>74</v>
      </c>
      <c r="BH1016" t="s">
        <v>74</v>
      </c>
      <c r="BI1016">
        <v>1</v>
      </c>
      <c r="BJ1016" t="s">
        <v>228</v>
      </c>
      <c r="BK1016" t="s">
        <v>512</v>
      </c>
      <c r="BL1016" t="s">
        <v>228</v>
      </c>
      <c r="BM1016" t="s">
        <v>21894</v>
      </c>
      <c r="BN1016" t="s">
        <v>74</v>
      </c>
      <c r="BO1016" t="s">
        <v>2854</v>
      </c>
      <c r="BP1016" t="s">
        <v>74</v>
      </c>
      <c r="BQ1016" t="s">
        <v>74</v>
      </c>
      <c r="BR1016" t="s">
        <v>104</v>
      </c>
      <c r="BS1016" t="s">
        <v>21893</v>
      </c>
      <c r="BT1016" t="str">
        <f>HYPERLINK("https%3A%2F%2Fwww.webofscience.com%2Fwos%2Fwoscc%2Ffull-record%2FWOS:000330518700149","View Full Record in Web of Science")</f>
        <v>View Full Record in Web of Science</v>
      </c>
    </row>
    <row r="1017" spans="1:72" x14ac:dyDescent="0.25">
      <c r="A1017" t="s">
        <v>72</v>
      </c>
      <c r="B1017" t="s">
        <v>21892</v>
      </c>
      <c r="C1017" t="s">
        <v>74</v>
      </c>
      <c r="D1017" t="s">
        <v>74</v>
      </c>
      <c r="E1017" t="s">
        <v>74</v>
      </c>
      <c r="F1017" t="s">
        <v>21891</v>
      </c>
      <c r="G1017" t="s">
        <v>74</v>
      </c>
      <c r="H1017" t="s">
        <v>74</v>
      </c>
      <c r="I1017" t="s">
        <v>21890</v>
      </c>
      <c r="J1017" t="s">
        <v>9565</v>
      </c>
      <c r="K1017" t="s">
        <v>74</v>
      </c>
      <c r="L1017" t="s">
        <v>74</v>
      </c>
      <c r="M1017" t="s">
        <v>78</v>
      </c>
      <c r="N1017" t="s">
        <v>79</v>
      </c>
      <c r="O1017" t="s">
        <v>74</v>
      </c>
      <c r="P1017" t="s">
        <v>74</v>
      </c>
      <c r="Q1017" t="s">
        <v>74</v>
      </c>
      <c r="R1017" t="s">
        <v>74</v>
      </c>
      <c r="S1017" t="s">
        <v>74</v>
      </c>
      <c r="T1017" t="s">
        <v>21889</v>
      </c>
      <c r="U1017" t="s">
        <v>21888</v>
      </c>
      <c r="V1017" t="s">
        <v>21887</v>
      </c>
      <c r="W1017" t="s">
        <v>21886</v>
      </c>
      <c r="X1017" t="s">
        <v>21885</v>
      </c>
      <c r="Y1017" t="s">
        <v>21884</v>
      </c>
      <c r="Z1017" t="s">
        <v>21883</v>
      </c>
      <c r="AA1017" t="s">
        <v>780</v>
      </c>
      <c r="AB1017" t="s">
        <v>21882</v>
      </c>
      <c r="AC1017" t="s">
        <v>74</v>
      </c>
      <c r="AD1017" t="s">
        <v>74</v>
      </c>
      <c r="AE1017" t="s">
        <v>74</v>
      </c>
      <c r="AF1017" t="s">
        <v>74</v>
      </c>
      <c r="AG1017">
        <v>99</v>
      </c>
      <c r="AH1017">
        <v>17</v>
      </c>
      <c r="AI1017">
        <v>19</v>
      </c>
      <c r="AJ1017">
        <v>0</v>
      </c>
      <c r="AK1017">
        <v>14</v>
      </c>
      <c r="AL1017" t="s">
        <v>1781</v>
      </c>
      <c r="AM1017" t="s">
        <v>486</v>
      </c>
      <c r="AN1017" t="s">
        <v>4730</v>
      </c>
      <c r="AO1017" t="s">
        <v>9576</v>
      </c>
      <c r="AP1017" t="s">
        <v>9577</v>
      </c>
      <c r="AQ1017" t="s">
        <v>74</v>
      </c>
      <c r="AR1017" t="s">
        <v>9578</v>
      </c>
      <c r="AS1017" t="s">
        <v>9579</v>
      </c>
      <c r="AT1017" t="s">
        <v>226</v>
      </c>
      <c r="AU1017">
        <v>2013</v>
      </c>
      <c r="AV1017">
        <v>15</v>
      </c>
      <c r="AW1017">
        <v>6</v>
      </c>
      <c r="AX1017" t="s">
        <v>74</v>
      </c>
      <c r="AY1017" t="s">
        <v>74</v>
      </c>
      <c r="AZ1017" t="s">
        <v>74</v>
      </c>
      <c r="BA1017" t="s">
        <v>74</v>
      </c>
      <c r="BB1017">
        <v>614</v>
      </c>
      <c r="BC1017">
        <v>622</v>
      </c>
      <c r="BD1017" t="s">
        <v>74</v>
      </c>
      <c r="BE1017" t="s">
        <v>21881</v>
      </c>
      <c r="BF1017" t="str">
        <f>HYPERLINK("http://dx.doi.org/10.1007/s11906-013-0394-8","http://dx.doi.org/10.1007/s11906-013-0394-8")</f>
        <v>http://dx.doi.org/10.1007/s11906-013-0394-8</v>
      </c>
      <c r="BG1017" t="s">
        <v>74</v>
      </c>
      <c r="BH1017" t="s">
        <v>74</v>
      </c>
      <c r="BI1017">
        <v>9</v>
      </c>
      <c r="BJ1017" t="s">
        <v>1789</v>
      </c>
      <c r="BK1017" t="s">
        <v>101</v>
      </c>
      <c r="BL1017" t="s">
        <v>133</v>
      </c>
      <c r="BM1017" t="s">
        <v>21880</v>
      </c>
      <c r="BN1017">
        <v>24122306</v>
      </c>
      <c r="BO1017" t="s">
        <v>74</v>
      </c>
      <c r="BP1017" t="s">
        <v>74</v>
      </c>
      <c r="BQ1017" t="s">
        <v>74</v>
      </c>
      <c r="BR1017" t="s">
        <v>104</v>
      </c>
      <c r="BS1017" t="s">
        <v>21879</v>
      </c>
      <c r="BT1017" t="str">
        <f>HYPERLINK("https%3A%2F%2Fwww.webofscience.com%2Fwos%2Fwoscc%2Ffull-record%2FWOS:000327482900010","View Full Record in Web of Science")</f>
        <v>View Full Record in Web of Science</v>
      </c>
    </row>
    <row r="1018" spans="1:72" x14ac:dyDescent="0.25">
      <c r="A1018" t="s">
        <v>72</v>
      </c>
      <c r="B1018" t="s">
        <v>21878</v>
      </c>
      <c r="C1018" t="s">
        <v>74</v>
      </c>
      <c r="D1018" t="s">
        <v>74</v>
      </c>
      <c r="E1018" t="s">
        <v>74</v>
      </c>
      <c r="F1018" t="s">
        <v>21877</v>
      </c>
      <c r="G1018" t="s">
        <v>74</v>
      </c>
      <c r="H1018" t="s">
        <v>74</v>
      </c>
      <c r="I1018" t="s">
        <v>21876</v>
      </c>
      <c r="J1018" t="s">
        <v>251</v>
      </c>
      <c r="K1018" t="s">
        <v>74</v>
      </c>
      <c r="L1018" t="s">
        <v>74</v>
      </c>
      <c r="M1018" t="s">
        <v>78</v>
      </c>
      <c r="N1018" t="s">
        <v>52</v>
      </c>
      <c r="O1018" t="s">
        <v>21875</v>
      </c>
      <c r="P1018" t="s">
        <v>21874</v>
      </c>
      <c r="Q1018" t="s">
        <v>7979</v>
      </c>
      <c r="R1018" t="s">
        <v>1376</v>
      </c>
      <c r="S1018" t="s">
        <v>74</v>
      </c>
      <c r="T1018" t="s">
        <v>21873</v>
      </c>
      <c r="U1018" t="s">
        <v>74</v>
      </c>
      <c r="V1018" t="s">
        <v>74</v>
      </c>
      <c r="W1018" t="s">
        <v>21872</v>
      </c>
      <c r="X1018" t="s">
        <v>11708</v>
      </c>
      <c r="Y1018" t="s">
        <v>74</v>
      </c>
      <c r="Z1018" t="s">
        <v>74</v>
      </c>
      <c r="AA1018" t="s">
        <v>21871</v>
      </c>
      <c r="AB1018" t="s">
        <v>3168</v>
      </c>
      <c r="AC1018" t="s">
        <v>74</v>
      </c>
      <c r="AD1018" t="s">
        <v>74</v>
      </c>
      <c r="AE1018" t="s">
        <v>74</v>
      </c>
      <c r="AF1018" t="s">
        <v>74</v>
      </c>
      <c r="AG1018">
        <v>0</v>
      </c>
      <c r="AH1018">
        <v>0</v>
      </c>
      <c r="AI1018">
        <v>0</v>
      </c>
      <c r="AJ1018">
        <v>0</v>
      </c>
      <c r="AK1018">
        <v>0</v>
      </c>
      <c r="AL1018" t="s">
        <v>122</v>
      </c>
      <c r="AM1018" t="s">
        <v>123</v>
      </c>
      <c r="AN1018" t="s">
        <v>14769</v>
      </c>
      <c r="AO1018" t="s">
        <v>258</v>
      </c>
      <c r="AP1018" t="s">
        <v>259</v>
      </c>
      <c r="AQ1018" t="s">
        <v>74</v>
      </c>
      <c r="AR1018" t="s">
        <v>251</v>
      </c>
      <c r="AS1018" t="s">
        <v>260</v>
      </c>
      <c r="AT1018" t="s">
        <v>2703</v>
      </c>
      <c r="AU1018">
        <v>2013</v>
      </c>
      <c r="AV1018">
        <v>128</v>
      </c>
      <c r="AW1018">
        <v>22</v>
      </c>
      <c r="AX1018" t="s">
        <v>74</v>
      </c>
      <c r="AY1018" t="s">
        <v>998</v>
      </c>
      <c r="AZ1018" t="s">
        <v>74</v>
      </c>
      <c r="BA1018">
        <v>15540</v>
      </c>
      <c r="BB1018" t="s">
        <v>74</v>
      </c>
      <c r="BC1018" t="s">
        <v>74</v>
      </c>
      <c r="BD1018" t="s">
        <v>74</v>
      </c>
      <c r="BE1018" t="s">
        <v>74</v>
      </c>
      <c r="BF1018" t="s">
        <v>74</v>
      </c>
      <c r="BG1018" t="s">
        <v>74</v>
      </c>
      <c r="BH1018" t="s">
        <v>74</v>
      </c>
      <c r="BI1018">
        <v>1</v>
      </c>
      <c r="BJ1018" t="s">
        <v>263</v>
      </c>
      <c r="BK1018" t="s">
        <v>512</v>
      </c>
      <c r="BL1018" t="s">
        <v>133</v>
      </c>
      <c r="BM1018" t="s">
        <v>21870</v>
      </c>
      <c r="BN1018" t="s">
        <v>74</v>
      </c>
      <c r="BO1018" t="s">
        <v>74</v>
      </c>
      <c r="BP1018" t="s">
        <v>74</v>
      </c>
      <c r="BQ1018" t="s">
        <v>74</v>
      </c>
      <c r="BR1018" t="s">
        <v>104</v>
      </c>
      <c r="BS1018" t="s">
        <v>21869</v>
      </c>
      <c r="BT1018" t="str">
        <f>HYPERLINK("https%3A%2F%2Fwww.webofscience.com%2Fwos%2Fwoscc%2Ffull-record%2FWOS:000332162905067","View Full Record in Web of Science")</f>
        <v>View Full Record in Web of Science</v>
      </c>
    </row>
    <row r="1019" spans="1:72" x14ac:dyDescent="0.25">
      <c r="A1019" t="s">
        <v>72</v>
      </c>
      <c r="B1019" t="s">
        <v>21868</v>
      </c>
      <c r="C1019" t="s">
        <v>74</v>
      </c>
      <c r="D1019" t="s">
        <v>74</v>
      </c>
      <c r="E1019" t="s">
        <v>74</v>
      </c>
      <c r="F1019" t="s">
        <v>21867</v>
      </c>
      <c r="G1019" t="s">
        <v>74</v>
      </c>
      <c r="H1019" t="s">
        <v>74</v>
      </c>
      <c r="I1019" t="s">
        <v>21866</v>
      </c>
      <c r="J1019" t="s">
        <v>324</v>
      </c>
      <c r="K1019" t="s">
        <v>74</v>
      </c>
      <c r="L1019" t="s">
        <v>74</v>
      </c>
      <c r="M1019" t="s">
        <v>78</v>
      </c>
      <c r="N1019" t="s">
        <v>79</v>
      </c>
      <c r="O1019" t="s">
        <v>74</v>
      </c>
      <c r="P1019" t="s">
        <v>74</v>
      </c>
      <c r="Q1019" t="s">
        <v>74</v>
      </c>
      <c r="R1019" t="s">
        <v>74</v>
      </c>
      <c r="S1019" t="s">
        <v>74</v>
      </c>
      <c r="T1019" t="s">
        <v>74</v>
      </c>
      <c r="U1019" t="s">
        <v>21865</v>
      </c>
      <c r="V1019" t="s">
        <v>21864</v>
      </c>
      <c r="W1019" t="s">
        <v>21863</v>
      </c>
      <c r="X1019" t="s">
        <v>21862</v>
      </c>
      <c r="Y1019" t="s">
        <v>21861</v>
      </c>
      <c r="Z1019" t="s">
        <v>16133</v>
      </c>
      <c r="AA1019" t="s">
        <v>21860</v>
      </c>
      <c r="AB1019" t="s">
        <v>21859</v>
      </c>
      <c r="AC1019" t="s">
        <v>74</v>
      </c>
      <c r="AD1019" t="s">
        <v>74</v>
      </c>
      <c r="AE1019" t="s">
        <v>74</v>
      </c>
      <c r="AF1019" t="s">
        <v>74</v>
      </c>
      <c r="AG1019">
        <v>33</v>
      </c>
      <c r="AH1019">
        <v>20</v>
      </c>
      <c r="AI1019">
        <v>25</v>
      </c>
      <c r="AJ1019">
        <v>0</v>
      </c>
      <c r="AK1019">
        <v>2</v>
      </c>
      <c r="AL1019" t="s">
        <v>92</v>
      </c>
      <c r="AM1019" t="s">
        <v>93</v>
      </c>
      <c r="AN1019" t="s">
        <v>94</v>
      </c>
      <c r="AO1019" t="s">
        <v>337</v>
      </c>
      <c r="AP1019" t="s">
        <v>338</v>
      </c>
      <c r="AQ1019" t="s">
        <v>74</v>
      </c>
      <c r="AR1019" t="s">
        <v>324</v>
      </c>
      <c r="AS1019" t="s">
        <v>339</v>
      </c>
      <c r="AT1019" t="s">
        <v>315</v>
      </c>
      <c r="AU1019">
        <v>2013</v>
      </c>
      <c r="AV1019">
        <v>144</v>
      </c>
      <c r="AW1019">
        <v>5</v>
      </c>
      <c r="AX1019" t="s">
        <v>74</v>
      </c>
      <c r="AY1019" t="s">
        <v>74</v>
      </c>
      <c r="AZ1019" t="s">
        <v>74</v>
      </c>
      <c r="BA1019" t="s">
        <v>74</v>
      </c>
      <c r="BB1019">
        <v>1512</v>
      </c>
      <c r="BC1019">
        <v>1520</v>
      </c>
      <c r="BD1019" t="s">
        <v>74</v>
      </c>
      <c r="BE1019" t="s">
        <v>21858</v>
      </c>
      <c r="BF1019" t="str">
        <f>HYPERLINK("http://dx.doi.org/10.1378/chest.12-2659","http://dx.doi.org/10.1378/chest.12-2659")</f>
        <v>http://dx.doi.org/10.1378/chest.12-2659</v>
      </c>
      <c r="BG1019" t="s">
        <v>74</v>
      </c>
      <c r="BH1019" t="s">
        <v>74</v>
      </c>
      <c r="BI1019">
        <v>9</v>
      </c>
      <c r="BJ1019" t="s">
        <v>341</v>
      </c>
      <c r="BK1019" t="s">
        <v>101</v>
      </c>
      <c r="BL1019" t="s">
        <v>342</v>
      </c>
      <c r="BM1019" t="s">
        <v>21857</v>
      </c>
      <c r="BN1019">
        <v>23670726</v>
      </c>
      <c r="BO1019" t="s">
        <v>74</v>
      </c>
      <c r="BP1019" t="s">
        <v>74</v>
      </c>
      <c r="BQ1019" t="s">
        <v>74</v>
      </c>
      <c r="BR1019" t="s">
        <v>104</v>
      </c>
      <c r="BS1019" t="s">
        <v>21856</v>
      </c>
      <c r="BT1019" t="str">
        <f>HYPERLINK("https%3A%2F%2Fwww.webofscience.com%2Fwos%2Fwoscc%2Ffull-record%2FWOS:000327143700018","View Full Record in Web of Science")</f>
        <v>View Full Record in Web of Science</v>
      </c>
    </row>
    <row r="1020" spans="1:72" x14ac:dyDescent="0.25">
      <c r="A1020" t="s">
        <v>72</v>
      </c>
      <c r="B1020" t="s">
        <v>21855</v>
      </c>
      <c r="C1020" t="s">
        <v>74</v>
      </c>
      <c r="D1020" t="s">
        <v>74</v>
      </c>
      <c r="E1020" t="s">
        <v>74</v>
      </c>
      <c r="F1020" t="s">
        <v>21854</v>
      </c>
      <c r="G1020" t="s">
        <v>74</v>
      </c>
      <c r="H1020" t="s">
        <v>74</v>
      </c>
      <c r="I1020" t="s">
        <v>21853</v>
      </c>
      <c r="J1020" t="s">
        <v>251</v>
      </c>
      <c r="K1020" t="s">
        <v>74</v>
      </c>
      <c r="L1020" t="s">
        <v>74</v>
      </c>
      <c r="M1020" t="s">
        <v>78</v>
      </c>
      <c r="N1020" t="s">
        <v>79</v>
      </c>
      <c r="O1020" t="s">
        <v>74</v>
      </c>
      <c r="P1020" t="s">
        <v>74</v>
      </c>
      <c r="Q1020" t="s">
        <v>74</v>
      </c>
      <c r="R1020" t="s">
        <v>74</v>
      </c>
      <c r="S1020" t="s">
        <v>74</v>
      </c>
      <c r="T1020" t="s">
        <v>21852</v>
      </c>
      <c r="U1020" t="s">
        <v>21851</v>
      </c>
      <c r="V1020" t="s">
        <v>21850</v>
      </c>
      <c r="W1020" t="s">
        <v>21849</v>
      </c>
      <c r="X1020" t="s">
        <v>21848</v>
      </c>
      <c r="Y1020" t="s">
        <v>21847</v>
      </c>
      <c r="Z1020" t="s">
        <v>11254</v>
      </c>
      <c r="AA1020" t="s">
        <v>21846</v>
      </c>
      <c r="AB1020" t="s">
        <v>21845</v>
      </c>
      <c r="AC1020" t="s">
        <v>21844</v>
      </c>
      <c r="AD1020" t="s">
        <v>21843</v>
      </c>
      <c r="AE1020" t="s">
        <v>21842</v>
      </c>
      <c r="AF1020" t="s">
        <v>74</v>
      </c>
      <c r="AG1020">
        <v>28</v>
      </c>
      <c r="AH1020">
        <v>284</v>
      </c>
      <c r="AI1020">
        <v>300</v>
      </c>
      <c r="AJ1020">
        <v>0</v>
      </c>
      <c r="AK1020">
        <v>36</v>
      </c>
      <c r="AL1020" t="s">
        <v>122</v>
      </c>
      <c r="AM1020" t="s">
        <v>123</v>
      </c>
      <c r="AN1020" t="s">
        <v>124</v>
      </c>
      <c r="AO1020" t="s">
        <v>258</v>
      </c>
      <c r="AP1020" t="s">
        <v>259</v>
      </c>
      <c r="AQ1020" t="s">
        <v>74</v>
      </c>
      <c r="AR1020" t="s">
        <v>251</v>
      </c>
      <c r="AS1020" t="s">
        <v>260</v>
      </c>
      <c r="AT1020" t="s">
        <v>21841</v>
      </c>
      <c r="AU1020">
        <v>2013</v>
      </c>
      <c r="AV1020">
        <v>128</v>
      </c>
      <c r="AW1020">
        <v>18</v>
      </c>
      <c r="AX1020" t="s">
        <v>74</v>
      </c>
      <c r="AY1020" t="s">
        <v>74</v>
      </c>
      <c r="AZ1020" t="s">
        <v>74</v>
      </c>
      <c r="BA1020" t="s">
        <v>74</v>
      </c>
      <c r="BB1020">
        <v>2016</v>
      </c>
      <c r="BC1020">
        <v>2025</v>
      </c>
      <c r="BD1020" t="s">
        <v>74</v>
      </c>
      <c r="BE1020" t="s">
        <v>21840</v>
      </c>
      <c r="BF1020" t="str">
        <f>HYPERLINK("http://dx.doi.org/10.1161/CIRCULATIONAHA.113.001873","http://dx.doi.org/10.1161/CIRCULATIONAHA.113.001873")</f>
        <v>http://dx.doi.org/10.1161/CIRCULATIONAHA.113.001873</v>
      </c>
      <c r="BG1020" t="s">
        <v>74</v>
      </c>
      <c r="BH1020" t="s">
        <v>74</v>
      </c>
      <c r="BI1020">
        <v>10</v>
      </c>
      <c r="BJ1020" t="s">
        <v>263</v>
      </c>
      <c r="BK1020" t="s">
        <v>101</v>
      </c>
      <c r="BL1020" t="s">
        <v>133</v>
      </c>
      <c r="BM1020" t="s">
        <v>21839</v>
      </c>
      <c r="BN1020">
        <v>24056688</v>
      </c>
      <c r="BO1020" t="s">
        <v>2517</v>
      </c>
      <c r="BP1020" t="s">
        <v>74</v>
      </c>
      <c r="BQ1020" t="s">
        <v>74</v>
      </c>
      <c r="BR1020" t="s">
        <v>104</v>
      </c>
      <c r="BS1020" t="s">
        <v>21838</v>
      </c>
      <c r="BT1020" t="str">
        <f>HYPERLINK("https%3A%2F%2Fwww.webofscience.com%2Fwos%2Fwoscc%2Ffull-record%2FWOS:000326917100011","View Full Record in Web of Science")</f>
        <v>View Full Record in Web of Science</v>
      </c>
    </row>
    <row r="1021" spans="1:72" x14ac:dyDescent="0.25">
      <c r="A1021" t="s">
        <v>72</v>
      </c>
      <c r="B1021" t="s">
        <v>21837</v>
      </c>
      <c r="C1021" t="s">
        <v>74</v>
      </c>
      <c r="D1021" t="s">
        <v>74</v>
      </c>
      <c r="E1021" t="s">
        <v>74</v>
      </c>
      <c r="F1021" t="s">
        <v>21836</v>
      </c>
      <c r="G1021" t="s">
        <v>74</v>
      </c>
      <c r="H1021" t="s">
        <v>74</v>
      </c>
      <c r="I1021" t="s">
        <v>21835</v>
      </c>
      <c r="J1021" t="s">
        <v>5456</v>
      </c>
      <c r="K1021" t="s">
        <v>74</v>
      </c>
      <c r="L1021" t="s">
        <v>74</v>
      </c>
      <c r="M1021" t="s">
        <v>78</v>
      </c>
      <c r="N1021" t="s">
        <v>79</v>
      </c>
      <c r="O1021" t="s">
        <v>74</v>
      </c>
      <c r="P1021" t="s">
        <v>74</v>
      </c>
      <c r="Q1021" t="s">
        <v>74</v>
      </c>
      <c r="R1021" t="s">
        <v>74</v>
      </c>
      <c r="S1021" t="s">
        <v>74</v>
      </c>
      <c r="T1021" t="s">
        <v>74</v>
      </c>
      <c r="U1021" t="s">
        <v>21834</v>
      </c>
      <c r="V1021" t="s">
        <v>21833</v>
      </c>
      <c r="W1021" t="s">
        <v>21832</v>
      </c>
      <c r="X1021" t="s">
        <v>21831</v>
      </c>
      <c r="Y1021" t="s">
        <v>13463</v>
      </c>
      <c r="Z1021" t="s">
        <v>7431</v>
      </c>
      <c r="AA1021" t="s">
        <v>17065</v>
      </c>
      <c r="AB1021" t="s">
        <v>21830</v>
      </c>
      <c r="AC1021" t="s">
        <v>13466</v>
      </c>
      <c r="AD1021" t="s">
        <v>13467</v>
      </c>
      <c r="AE1021" t="s">
        <v>13468</v>
      </c>
      <c r="AF1021" t="s">
        <v>74</v>
      </c>
      <c r="AG1021">
        <v>27</v>
      </c>
      <c r="AH1021">
        <v>13</v>
      </c>
      <c r="AI1021">
        <v>14</v>
      </c>
      <c r="AJ1021">
        <v>0</v>
      </c>
      <c r="AK1021">
        <v>11</v>
      </c>
      <c r="AL1021" t="s">
        <v>5465</v>
      </c>
      <c r="AM1021" t="s">
        <v>5466</v>
      </c>
      <c r="AN1021" t="s">
        <v>5467</v>
      </c>
      <c r="AO1021" t="s">
        <v>5468</v>
      </c>
      <c r="AP1021" t="s">
        <v>74</v>
      </c>
      <c r="AQ1021" t="s">
        <v>74</v>
      </c>
      <c r="AR1021" t="s">
        <v>5456</v>
      </c>
      <c r="AS1021" t="s">
        <v>5469</v>
      </c>
      <c r="AT1021" t="s">
        <v>8218</v>
      </c>
      <c r="AU1021">
        <v>2013</v>
      </c>
      <c r="AV1021">
        <v>8</v>
      </c>
      <c r="AW1021">
        <v>10</v>
      </c>
      <c r="AX1021" t="s">
        <v>74</v>
      </c>
      <c r="AY1021" t="s">
        <v>74</v>
      </c>
      <c r="AZ1021" t="s">
        <v>74</v>
      </c>
      <c r="BA1021" t="s">
        <v>74</v>
      </c>
      <c r="BB1021" t="s">
        <v>74</v>
      </c>
      <c r="BC1021" t="s">
        <v>74</v>
      </c>
      <c r="BD1021" t="s">
        <v>21829</v>
      </c>
      <c r="BE1021" t="s">
        <v>21828</v>
      </c>
      <c r="BF1021" t="str">
        <f>HYPERLINK("http://dx.doi.org/10.1371/journal.pone.0077073","http://dx.doi.org/10.1371/journal.pone.0077073")</f>
        <v>http://dx.doi.org/10.1371/journal.pone.0077073</v>
      </c>
      <c r="BG1021" t="s">
        <v>74</v>
      </c>
      <c r="BH1021" t="s">
        <v>74</v>
      </c>
      <c r="BI1021">
        <v>9</v>
      </c>
      <c r="BJ1021" t="s">
        <v>290</v>
      </c>
      <c r="BK1021" t="s">
        <v>101</v>
      </c>
      <c r="BL1021" t="s">
        <v>291</v>
      </c>
      <c r="BM1021" t="s">
        <v>21827</v>
      </c>
      <c r="BN1021">
        <v>24143201</v>
      </c>
      <c r="BO1021" t="s">
        <v>21826</v>
      </c>
      <c r="BP1021" t="s">
        <v>74</v>
      </c>
      <c r="BQ1021" t="s">
        <v>74</v>
      </c>
      <c r="BR1021" t="s">
        <v>104</v>
      </c>
      <c r="BS1021" t="s">
        <v>21825</v>
      </c>
      <c r="BT1021" t="str">
        <f>HYPERLINK("https%3A%2F%2Fwww.webofscience.com%2Fwos%2Fwoscc%2Ffull-record%2FWOS:000325894100036","View Full Record in Web of Science")</f>
        <v>View Full Record in Web of Science</v>
      </c>
    </row>
    <row r="1022" spans="1:72" x14ac:dyDescent="0.25">
      <c r="A1022" t="s">
        <v>72</v>
      </c>
      <c r="B1022" t="s">
        <v>21824</v>
      </c>
      <c r="C1022" t="s">
        <v>74</v>
      </c>
      <c r="D1022" t="s">
        <v>74</v>
      </c>
      <c r="E1022" t="s">
        <v>74</v>
      </c>
      <c r="F1022" t="s">
        <v>21823</v>
      </c>
      <c r="G1022" t="s">
        <v>74</v>
      </c>
      <c r="H1022" t="s">
        <v>74</v>
      </c>
      <c r="I1022" t="s">
        <v>21822</v>
      </c>
      <c r="J1022" t="s">
        <v>5456</v>
      </c>
      <c r="K1022" t="s">
        <v>74</v>
      </c>
      <c r="L1022" t="s">
        <v>74</v>
      </c>
      <c r="M1022" t="s">
        <v>78</v>
      </c>
      <c r="N1022" t="s">
        <v>79</v>
      </c>
      <c r="O1022" t="s">
        <v>74</v>
      </c>
      <c r="P1022" t="s">
        <v>74</v>
      </c>
      <c r="Q1022" t="s">
        <v>74</v>
      </c>
      <c r="R1022" t="s">
        <v>74</v>
      </c>
      <c r="S1022" t="s">
        <v>74</v>
      </c>
      <c r="T1022" t="s">
        <v>74</v>
      </c>
      <c r="U1022" t="s">
        <v>21821</v>
      </c>
      <c r="V1022" t="s">
        <v>21820</v>
      </c>
      <c r="W1022" t="s">
        <v>21819</v>
      </c>
      <c r="X1022" t="s">
        <v>21818</v>
      </c>
      <c r="Y1022" t="s">
        <v>21817</v>
      </c>
      <c r="Z1022" t="s">
        <v>12100</v>
      </c>
      <c r="AA1022" t="s">
        <v>21816</v>
      </c>
      <c r="AB1022" t="s">
        <v>21815</v>
      </c>
      <c r="AC1022" t="s">
        <v>21814</v>
      </c>
      <c r="AD1022" t="s">
        <v>21813</v>
      </c>
      <c r="AE1022" t="s">
        <v>21812</v>
      </c>
      <c r="AF1022" t="s">
        <v>74</v>
      </c>
      <c r="AG1022">
        <v>63</v>
      </c>
      <c r="AH1022">
        <v>75</v>
      </c>
      <c r="AI1022">
        <v>84</v>
      </c>
      <c r="AJ1022">
        <v>0</v>
      </c>
      <c r="AK1022">
        <v>6</v>
      </c>
      <c r="AL1022" t="s">
        <v>5465</v>
      </c>
      <c r="AM1022" t="s">
        <v>5466</v>
      </c>
      <c r="AN1022" t="s">
        <v>5467</v>
      </c>
      <c r="AO1022" t="s">
        <v>5468</v>
      </c>
      <c r="AP1022" t="s">
        <v>74</v>
      </c>
      <c r="AQ1022" t="s">
        <v>74</v>
      </c>
      <c r="AR1022" t="s">
        <v>5456</v>
      </c>
      <c r="AS1022" t="s">
        <v>5469</v>
      </c>
      <c r="AT1022" t="s">
        <v>21811</v>
      </c>
      <c r="AU1022">
        <v>2013</v>
      </c>
      <c r="AV1022">
        <v>8</v>
      </c>
      <c r="AW1022">
        <v>10</v>
      </c>
      <c r="AX1022" t="s">
        <v>74</v>
      </c>
      <c r="AY1022" t="s">
        <v>74</v>
      </c>
      <c r="AZ1022" t="s">
        <v>74</v>
      </c>
      <c r="BA1022" t="s">
        <v>74</v>
      </c>
      <c r="BB1022" t="s">
        <v>74</v>
      </c>
      <c r="BC1022" t="s">
        <v>74</v>
      </c>
      <c r="BD1022" t="s">
        <v>21810</v>
      </c>
      <c r="BE1022" t="s">
        <v>21809</v>
      </c>
      <c r="BF1022" t="str">
        <f>HYPERLINK("http://dx.doi.org/10.1371/journal.pone.0075415","http://dx.doi.org/10.1371/journal.pone.0075415")</f>
        <v>http://dx.doi.org/10.1371/journal.pone.0075415</v>
      </c>
      <c r="BG1022" t="s">
        <v>74</v>
      </c>
      <c r="BH1022" t="s">
        <v>74</v>
      </c>
      <c r="BI1022">
        <v>10</v>
      </c>
      <c r="BJ1022" t="s">
        <v>290</v>
      </c>
      <c r="BK1022" t="s">
        <v>101</v>
      </c>
      <c r="BL1022" t="s">
        <v>291</v>
      </c>
      <c r="BM1022" t="s">
        <v>21808</v>
      </c>
      <c r="BN1022">
        <v>24124488</v>
      </c>
      <c r="BO1022" t="s">
        <v>8974</v>
      </c>
      <c r="BP1022" t="s">
        <v>74</v>
      </c>
      <c r="BQ1022" t="s">
        <v>74</v>
      </c>
      <c r="BR1022" t="s">
        <v>104</v>
      </c>
      <c r="BS1022" t="s">
        <v>21807</v>
      </c>
      <c r="BT1022" t="str">
        <f>HYPERLINK("https%3A%2F%2Fwww.webofscience.com%2Fwos%2Fwoscc%2Ffull-record%2FWOS:000325489100045","View Full Record in Web of Science")</f>
        <v>View Full Record in Web of Science</v>
      </c>
    </row>
    <row r="1023" spans="1:72" x14ac:dyDescent="0.25">
      <c r="A1023" t="s">
        <v>72</v>
      </c>
      <c r="B1023" t="s">
        <v>21806</v>
      </c>
      <c r="C1023" t="s">
        <v>74</v>
      </c>
      <c r="D1023" t="s">
        <v>74</v>
      </c>
      <c r="E1023" t="s">
        <v>74</v>
      </c>
      <c r="F1023" t="s">
        <v>21805</v>
      </c>
      <c r="G1023" t="s">
        <v>74</v>
      </c>
      <c r="H1023" t="s">
        <v>74</v>
      </c>
      <c r="I1023" t="s">
        <v>21804</v>
      </c>
      <c r="J1023" t="s">
        <v>1348</v>
      </c>
      <c r="K1023" t="s">
        <v>74</v>
      </c>
      <c r="L1023" t="s">
        <v>74</v>
      </c>
      <c r="M1023" t="s">
        <v>1349</v>
      </c>
      <c r="N1023" t="s">
        <v>299</v>
      </c>
      <c r="O1023" t="s">
        <v>74</v>
      </c>
      <c r="P1023" t="s">
        <v>74</v>
      </c>
      <c r="Q1023" t="s">
        <v>74</v>
      </c>
      <c r="R1023" t="s">
        <v>74</v>
      </c>
      <c r="S1023" t="s">
        <v>74</v>
      </c>
      <c r="T1023" t="s">
        <v>21803</v>
      </c>
      <c r="U1023" t="s">
        <v>21802</v>
      </c>
      <c r="V1023" t="s">
        <v>21801</v>
      </c>
      <c r="W1023" t="s">
        <v>21800</v>
      </c>
      <c r="X1023" t="s">
        <v>21799</v>
      </c>
      <c r="Y1023" t="s">
        <v>21798</v>
      </c>
      <c r="Z1023" t="s">
        <v>10069</v>
      </c>
      <c r="AA1023" t="s">
        <v>20644</v>
      </c>
      <c r="AB1023" t="s">
        <v>21797</v>
      </c>
      <c r="AC1023" t="s">
        <v>74</v>
      </c>
      <c r="AD1023" t="s">
        <v>74</v>
      </c>
      <c r="AE1023" t="s">
        <v>74</v>
      </c>
      <c r="AF1023" t="s">
        <v>74</v>
      </c>
      <c r="AG1023">
        <v>143</v>
      </c>
      <c r="AH1023">
        <v>4</v>
      </c>
      <c r="AI1023">
        <v>5</v>
      </c>
      <c r="AJ1023">
        <v>0</v>
      </c>
      <c r="AK1023">
        <v>6</v>
      </c>
      <c r="AL1023" t="s">
        <v>1358</v>
      </c>
      <c r="AM1023" t="s">
        <v>1359</v>
      </c>
      <c r="AN1023" t="s">
        <v>1360</v>
      </c>
      <c r="AO1023" t="s">
        <v>1361</v>
      </c>
      <c r="AP1023" t="s">
        <v>1362</v>
      </c>
      <c r="AQ1023" t="s">
        <v>74</v>
      </c>
      <c r="AR1023" t="s">
        <v>1363</v>
      </c>
      <c r="AS1023" t="s">
        <v>1364</v>
      </c>
      <c r="AT1023" t="s">
        <v>420</v>
      </c>
      <c r="AU1023">
        <v>2013</v>
      </c>
      <c r="AV1023">
        <v>30</v>
      </c>
      <c r="AW1023">
        <v>8</v>
      </c>
      <c r="AX1023" t="s">
        <v>74</v>
      </c>
      <c r="AY1023" t="s">
        <v>74</v>
      </c>
      <c r="AZ1023" t="s">
        <v>74</v>
      </c>
      <c r="BA1023" t="s">
        <v>74</v>
      </c>
      <c r="BB1023">
        <v>613</v>
      </c>
      <c r="BC1023">
        <v>626</v>
      </c>
      <c r="BD1023" t="s">
        <v>74</v>
      </c>
      <c r="BE1023" t="s">
        <v>21796</v>
      </c>
      <c r="BF1023" t="str">
        <f>HYPERLINK("http://dx.doi.org/10.1016/j.rmr.2013.02.018","http://dx.doi.org/10.1016/j.rmr.2013.02.018")</f>
        <v>http://dx.doi.org/10.1016/j.rmr.2013.02.018</v>
      </c>
      <c r="BG1023" t="s">
        <v>74</v>
      </c>
      <c r="BH1023" t="s">
        <v>74</v>
      </c>
      <c r="BI1023">
        <v>14</v>
      </c>
      <c r="BJ1023" t="s">
        <v>228</v>
      </c>
      <c r="BK1023" t="s">
        <v>101</v>
      </c>
      <c r="BL1023" t="s">
        <v>228</v>
      </c>
      <c r="BM1023" t="s">
        <v>21795</v>
      </c>
      <c r="BN1023">
        <v>24182649</v>
      </c>
      <c r="BO1023" t="s">
        <v>74</v>
      </c>
      <c r="BP1023" t="s">
        <v>74</v>
      </c>
      <c r="BQ1023" t="s">
        <v>74</v>
      </c>
      <c r="BR1023" t="s">
        <v>104</v>
      </c>
      <c r="BS1023" t="s">
        <v>21794</v>
      </c>
      <c r="BT1023" t="str">
        <f>HYPERLINK("https%3A%2F%2Fwww.webofscience.com%2Fwos%2Fwoscc%2Ffull-record%2FWOS:000327904700004","View Full Record in Web of Science")</f>
        <v>View Full Record in Web of Science</v>
      </c>
    </row>
    <row r="1024" spans="1:72" x14ac:dyDescent="0.25">
      <c r="A1024" t="s">
        <v>72</v>
      </c>
      <c r="B1024" t="s">
        <v>21793</v>
      </c>
      <c r="C1024" t="s">
        <v>74</v>
      </c>
      <c r="D1024" t="s">
        <v>74</v>
      </c>
      <c r="E1024" t="s">
        <v>74</v>
      </c>
      <c r="F1024" t="s">
        <v>21792</v>
      </c>
      <c r="G1024" t="s">
        <v>74</v>
      </c>
      <c r="H1024" t="s">
        <v>74</v>
      </c>
      <c r="I1024" t="s">
        <v>21791</v>
      </c>
      <c r="J1024" t="s">
        <v>1047</v>
      </c>
      <c r="K1024" t="s">
        <v>74</v>
      </c>
      <c r="L1024" t="s">
        <v>74</v>
      </c>
      <c r="M1024" t="s">
        <v>78</v>
      </c>
      <c r="N1024" t="s">
        <v>299</v>
      </c>
      <c r="O1024" t="s">
        <v>74</v>
      </c>
      <c r="P1024" t="s">
        <v>74</v>
      </c>
      <c r="Q1024" t="s">
        <v>74</v>
      </c>
      <c r="R1024" t="s">
        <v>74</v>
      </c>
      <c r="S1024" t="s">
        <v>74</v>
      </c>
      <c r="T1024" t="s">
        <v>21790</v>
      </c>
      <c r="U1024" t="s">
        <v>21789</v>
      </c>
      <c r="V1024" t="s">
        <v>21788</v>
      </c>
      <c r="W1024" t="s">
        <v>21787</v>
      </c>
      <c r="X1024" t="s">
        <v>21786</v>
      </c>
      <c r="Y1024" t="s">
        <v>9997</v>
      </c>
      <c r="Z1024" t="s">
        <v>10035</v>
      </c>
      <c r="AA1024" t="s">
        <v>21785</v>
      </c>
      <c r="AB1024" t="s">
        <v>21784</v>
      </c>
      <c r="AC1024" t="s">
        <v>74</v>
      </c>
      <c r="AD1024" t="s">
        <v>74</v>
      </c>
      <c r="AE1024" t="s">
        <v>74</v>
      </c>
      <c r="AF1024" t="s">
        <v>74</v>
      </c>
      <c r="AG1024">
        <v>112</v>
      </c>
      <c r="AH1024">
        <v>46</v>
      </c>
      <c r="AI1024">
        <v>50</v>
      </c>
      <c r="AJ1024">
        <v>0</v>
      </c>
      <c r="AK1024">
        <v>10</v>
      </c>
      <c r="AL1024" t="s">
        <v>1054</v>
      </c>
      <c r="AM1024" t="s">
        <v>486</v>
      </c>
      <c r="AN1024" t="s">
        <v>1055</v>
      </c>
      <c r="AO1024" t="s">
        <v>1056</v>
      </c>
      <c r="AP1024" t="s">
        <v>1057</v>
      </c>
      <c r="AQ1024" t="s">
        <v>74</v>
      </c>
      <c r="AR1024" t="s">
        <v>1058</v>
      </c>
      <c r="AS1024" t="s">
        <v>1059</v>
      </c>
      <c r="AT1024" t="s">
        <v>420</v>
      </c>
      <c r="AU1024">
        <v>2013</v>
      </c>
      <c r="AV1024">
        <v>34</v>
      </c>
      <c r="AW1024">
        <v>5</v>
      </c>
      <c r="AX1024" t="s">
        <v>74</v>
      </c>
      <c r="AY1024" t="s">
        <v>74</v>
      </c>
      <c r="AZ1024" t="s">
        <v>74</v>
      </c>
      <c r="BA1024" t="s">
        <v>74</v>
      </c>
      <c r="BB1024">
        <v>714</v>
      </c>
      <c r="BC1024">
        <v>724</v>
      </c>
      <c r="BD1024" t="s">
        <v>74</v>
      </c>
      <c r="BE1024" t="s">
        <v>21783</v>
      </c>
      <c r="BF1024" t="str">
        <f>HYPERLINK("http://dx.doi.org/10.1055/s-0033-1356494","http://dx.doi.org/10.1055/s-0033-1356494")</f>
        <v>http://dx.doi.org/10.1055/s-0033-1356494</v>
      </c>
      <c r="BG1024" t="s">
        <v>74</v>
      </c>
      <c r="BH1024" t="s">
        <v>74</v>
      </c>
      <c r="BI1024">
        <v>11</v>
      </c>
      <c r="BJ1024" t="s">
        <v>341</v>
      </c>
      <c r="BK1024" t="s">
        <v>101</v>
      </c>
      <c r="BL1024" t="s">
        <v>342</v>
      </c>
      <c r="BM1024" t="s">
        <v>21728</v>
      </c>
      <c r="BN1024">
        <v>24037637</v>
      </c>
      <c r="BO1024" t="s">
        <v>74</v>
      </c>
      <c r="BP1024" t="s">
        <v>74</v>
      </c>
      <c r="BQ1024" t="s">
        <v>74</v>
      </c>
      <c r="BR1024" t="s">
        <v>104</v>
      </c>
      <c r="BS1024" t="s">
        <v>21782</v>
      </c>
      <c r="BT1024" t="str">
        <f>HYPERLINK("https%3A%2F%2Fwww.webofscience.com%2Fwos%2Fwoscc%2Ffull-record%2FWOS:000324401900015","View Full Record in Web of Science")</f>
        <v>View Full Record in Web of Science</v>
      </c>
    </row>
    <row r="1025" spans="1:72" x14ac:dyDescent="0.25">
      <c r="A1025" t="s">
        <v>72</v>
      </c>
      <c r="B1025" t="s">
        <v>1420</v>
      </c>
      <c r="C1025" t="s">
        <v>74</v>
      </c>
      <c r="D1025" t="s">
        <v>74</v>
      </c>
      <c r="E1025" t="s">
        <v>74</v>
      </c>
      <c r="F1025" t="s">
        <v>1421</v>
      </c>
      <c r="G1025" t="s">
        <v>74</v>
      </c>
      <c r="H1025" t="s">
        <v>74</v>
      </c>
      <c r="I1025" t="s">
        <v>21781</v>
      </c>
      <c r="J1025" t="s">
        <v>1047</v>
      </c>
      <c r="K1025" t="s">
        <v>74</v>
      </c>
      <c r="L1025" t="s">
        <v>74</v>
      </c>
      <c r="M1025" t="s">
        <v>78</v>
      </c>
      <c r="N1025" t="s">
        <v>140</v>
      </c>
      <c r="O1025" t="s">
        <v>74</v>
      </c>
      <c r="P1025" t="s">
        <v>74</v>
      </c>
      <c r="Q1025" t="s">
        <v>74</v>
      </c>
      <c r="R1025" t="s">
        <v>74</v>
      </c>
      <c r="S1025" t="s">
        <v>74</v>
      </c>
      <c r="T1025" t="s">
        <v>74</v>
      </c>
      <c r="U1025" t="s">
        <v>74</v>
      </c>
      <c r="V1025" t="s">
        <v>74</v>
      </c>
      <c r="W1025" t="s">
        <v>21780</v>
      </c>
      <c r="X1025" t="s">
        <v>21779</v>
      </c>
      <c r="Y1025" t="s">
        <v>21778</v>
      </c>
      <c r="Z1025" t="s">
        <v>4180</v>
      </c>
      <c r="AA1025" t="s">
        <v>144</v>
      </c>
      <c r="AB1025" t="s">
        <v>257</v>
      </c>
      <c r="AC1025" t="s">
        <v>74</v>
      </c>
      <c r="AD1025" t="s">
        <v>74</v>
      </c>
      <c r="AE1025" t="s">
        <v>74</v>
      </c>
      <c r="AF1025" t="s">
        <v>74</v>
      </c>
      <c r="AG1025">
        <v>0</v>
      </c>
      <c r="AH1025">
        <v>1</v>
      </c>
      <c r="AI1025">
        <v>1</v>
      </c>
      <c r="AJ1025">
        <v>0</v>
      </c>
      <c r="AK1025">
        <v>3</v>
      </c>
      <c r="AL1025" t="s">
        <v>1054</v>
      </c>
      <c r="AM1025" t="s">
        <v>486</v>
      </c>
      <c r="AN1025" t="s">
        <v>1055</v>
      </c>
      <c r="AO1025" t="s">
        <v>1056</v>
      </c>
      <c r="AP1025" t="s">
        <v>74</v>
      </c>
      <c r="AQ1025" t="s">
        <v>74</v>
      </c>
      <c r="AR1025" t="s">
        <v>1058</v>
      </c>
      <c r="AS1025" t="s">
        <v>1059</v>
      </c>
      <c r="AT1025" t="s">
        <v>420</v>
      </c>
      <c r="AU1025">
        <v>2013</v>
      </c>
      <c r="AV1025">
        <v>34</v>
      </c>
      <c r="AW1025">
        <v>5</v>
      </c>
      <c r="AX1025" t="s">
        <v>74</v>
      </c>
      <c r="AY1025" t="s">
        <v>74</v>
      </c>
      <c r="AZ1025" t="s">
        <v>74</v>
      </c>
      <c r="BA1025" t="s">
        <v>74</v>
      </c>
      <c r="BB1025">
        <v>549</v>
      </c>
      <c r="BC1025">
        <v>549</v>
      </c>
      <c r="BD1025" t="s">
        <v>74</v>
      </c>
      <c r="BE1025" t="s">
        <v>21777</v>
      </c>
      <c r="BF1025" t="str">
        <f>HYPERLINK("http://dx.doi.org/10.1055/s-0033-1356495","http://dx.doi.org/10.1055/s-0033-1356495")</f>
        <v>http://dx.doi.org/10.1055/s-0033-1356495</v>
      </c>
      <c r="BG1025" t="s">
        <v>74</v>
      </c>
      <c r="BH1025" t="s">
        <v>74</v>
      </c>
      <c r="BI1025">
        <v>1</v>
      </c>
      <c r="BJ1025" t="s">
        <v>341</v>
      </c>
      <c r="BK1025" t="s">
        <v>101</v>
      </c>
      <c r="BL1025" t="s">
        <v>342</v>
      </c>
      <c r="BM1025" t="s">
        <v>21728</v>
      </c>
      <c r="BN1025">
        <v>24037623</v>
      </c>
      <c r="BO1025" t="s">
        <v>74</v>
      </c>
      <c r="BP1025" t="s">
        <v>74</v>
      </c>
      <c r="BQ1025" t="s">
        <v>74</v>
      </c>
      <c r="BR1025" t="s">
        <v>104</v>
      </c>
      <c r="BS1025" t="s">
        <v>21776</v>
      </c>
      <c r="BT1025" t="str">
        <f>HYPERLINK("https%3A%2F%2Fwww.webofscience.com%2Fwos%2Fwoscc%2Ffull-record%2FWOS:000324401900001","View Full Record in Web of Science")</f>
        <v>View Full Record in Web of Science</v>
      </c>
    </row>
    <row r="1026" spans="1:72" x14ac:dyDescent="0.25">
      <c r="A1026" t="s">
        <v>72</v>
      </c>
      <c r="B1026" t="s">
        <v>21775</v>
      </c>
      <c r="C1026" t="s">
        <v>74</v>
      </c>
      <c r="D1026" t="s">
        <v>74</v>
      </c>
      <c r="E1026" t="s">
        <v>74</v>
      </c>
      <c r="F1026" t="s">
        <v>21774</v>
      </c>
      <c r="G1026" t="s">
        <v>74</v>
      </c>
      <c r="H1026" t="s">
        <v>74</v>
      </c>
      <c r="I1026" t="s">
        <v>21773</v>
      </c>
      <c r="J1026" t="s">
        <v>15500</v>
      </c>
      <c r="K1026" t="s">
        <v>74</v>
      </c>
      <c r="L1026" t="s">
        <v>74</v>
      </c>
      <c r="M1026" t="s">
        <v>78</v>
      </c>
      <c r="N1026" t="s">
        <v>52</v>
      </c>
      <c r="O1026" t="s">
        <v>21772</v>
      </c>
      <c r="P1026" t="s">
        <v>21771</v>
      </c>
      <c r="Q1026" t="s">
        <v>8167</v>
      </c>
      <c r="R1026" t="s">
        <v>10882</v>
      </c>
      <c r="S1026" t="s">
        <v>74</v>
      </c>
      <c r="T1026" t="s">
        <v>74</v>
      </c>
      <c r="U1026" t="s">
        <v>74</v>
      </c>
      <c r="V1026" t="s">
        <v>74</v>
      </c>
      <c r="W1026" t="s">
        <v>21770</v>
      </c>
      <c r="X1026" t="s">
        <v>21769</v>
      </c>
      <c r="Y1026" t="s">
        <v>74</v>
      </c>
      <c r="Z1026" t="s">
        <v>74</v>
      </c>
      <c r="AA1026" t="s">
        <v>21768</v>
      </c>
      <c r="AB1026" t="s">
        <v>21767</v>
      </c>
      <c r="AC1026" t="s">
        <v>74</v>
      </c>
      <c r="AD1026" t="s">
        <v>74</v>
      </c>
      <c r="AE1026" t="s">
        <v>74</v>
      </c>
      <c r="AF1026" t="s">
        <v>74</v>
      </c>
      <c r="AG1026">
        <v>0</v>
      </c>
      <c r="AH1026">
        <v>0</v>
      </c>
      <c r="AI1026">
        <v>0</v>
      </c>
      <c r="AJ1026">
        <v>0</v>
      </c>
      <c r="AK1026">
        <v>0</v>
      </c>
      <c r="AL1026" t="s">
        <v>10904</v>
      </c>
      <c r="AM1026" t="s">
        <v>170</v>
      </c>
      <c r="AN1026" t="s">
        <v>171</v>
      </c>
      <c r="AO1026" t="s">
        <v>15491</v>
      </c>
      <c r="AP1026" t="s">
        <v>16087</v>
      </c>
      <c r="AQ1026" t="s">
        <v>74</v>
      </c>
      <c r="AR1026" t="s">
        <v>16086</v>
      </c>
      <c r="AS1026" t="s">
        <v>15489</v>
      </c>
      <c r="AT1026" t="s">
        <v>420</v>
      </c>
      <c r="AU1026">
        <v>2013</v>
      </c>
      <c r="AV1026">
        <v>65</v>
      </c>
      <c r="AW1026" t="s">
        <v>74</v>
      </c>
      <c r="AX1026" t="s">
        <v>74</v>
      </c>
      <c r="AY1026">
        <v>10</v>
      </c>
      <c r="AZ1026" t="s">
        <v>1080</v>
      </c>
      <c r="BA1026">
        <v>2579</v>
      </c>
      <c r="BB1026" t="s">
        <v>21766</v>
      </c>
      <c r="BC1026" t="s">
        <v>21765</v>
      </c>
      <c r="BD1026" t="s">
        <v>74</v>
      </c>
      <c r="BE1026" t="s">
        <v>74</v>
      </c>
      <c r="BF1026" t="s">
        <v>74</v>
      </c>
      <c r="BG1026" t="s">
        <v>74</v>
      </c>
      <c r="BH1026" t="s">
        <v>74</v>
      </c>
      <c r="BI1026">
        <v>2</v>
      </c>
      <c r="BJ1026" t="s">
        <v>2369</v>
      </c>
      <c r="BK1026" t="s">
        <v>512</v>
      </c>
      <c r="BL1026" t="s">
        <v>2369</v>
      </c>
      <c r="BM1026" t="s">
        <v>21764</v>
      </c>
      <c r="BN1026" t="s">
        <v>74</v>
      </c>
      <c r="BO1026" t="s">
        <v>74</v>
      </c>
      <c r="BP1026" t="s">
        <v>74</v>
      </c>
      <c r="BQ1026" t="s">
        <v>74</v>
      </c>
      <c r="BR1026" t="s">
        <v>104</v>
      </c>
      <c r="BS1026" t="s">
        <v>21763</v>
      </c>
      <c r="BT1026" t="str">
        <f>HYPERLINK("https%3A%2F%2Fwww.webofscience.com%2Fwos%2Fwoscc%2Ffull-record%2FWOS:000325359206012","View Full Record in Web of Science")</f>
        <v>View Full Record in Web of Science</v>
      </c>
    </row>
    <row r="1027" spans="1:72" x14ac:dyDescent="0.25">
      <c r="A1027" t="s">
        <v>72</v>
      </c>
      <c r="B1027" t="s">
        <v>21762</v>
      </c>
      <c r="C1027" t="s">
        <v>74</v>
      </c>
      <c r="D1027" t="s">
        <v>74</v>
      </c>
      <c r="E1027" t="s">
        <v>74</v>
      </c>
      <c r="F1027" t="s">
        <v>21761</v>
      </c>
      <c r="G1027" t="s">
        <v>74</v>
      </c>
      <c r="H1027" t="s">
        <v>74</v>
      </c>
      <c r="I1027" t="s">
        <v>21760</v>
      </c>
      <c r="J1027" t="s">
        <v>324</v>
      </c>
      <c r="K1027" t="s">
        <v>74</v>
      </c>
      <c r="L1027" t="s">
        <v>74</v>
      </c>
      <c r="M1027" t="s">
        <v>78</v>
      </c>
      <c r="N1027" t="s">
        <v>52</v>
      </c>
      <c r="O1027" t="s">
        <v>74</v>
      </c>
      <c r="P1027" t="s">
        <v>74</v>
      </c>
      <c r="Q1027" t="s">
        <v>74</v>
      </c>
      <c r="R1027" t="s">
        <v>74</v>
      </c>
      <c r="S1027" t="s">
        <v>74</v>
      </c>
      <c r="T1027" t="s">
        <v>74</v>
      </c>
      <c r="U1027" t="s">
        <v>74</v>
      </c>
      <c r="V1027" t="s">
        <v>74</v>
      </c>
      <c r="W1027" t="s">
        <v>74</v>
      </c>
      <c r="X1027" t="s">
        <v>74</v>
      </c>
      <c r="Y1027" t="s">
        <v>74</v>
      </c>
      <c r="Z1027" t="s">
        <v>74</v>
      </c>
      <c r="AA1027" t="s">
        <v>21759</v>
      </c>
      <c r="AB1027" t="s">
        <v>1263</v>
      </c>
      <c r="AC1027" t="s">
        <v>74</v>
      </c>
      <c r="AD1027" t="s">
        <v>74</v>
      </c>
      <c r="AE1027" t="s">
        <v>74</v>
      </c>
      <c r="AF1027" t="s">
        <v>74</v>
      </c>
      <c r="AG1027">
        <v>0</v>
      </c>
      <c r="AH1027">
        <v>2</v>
      </c>
      <c r="AI1027">
        <v>2</v>
      </c>
      <c r="AJ1027">
        <v>0</v>
      </c>
      <c r="AK1027">
        <v>2</v>
      </c>
      <c r="AL1027" t="s">
        <v>11161</v>
      </c>
      <c r="AM1027" t="s">
        <v>14574</v>
      </c>
      <c r="AN1027" t="s">
        <v>14573</v>
      </c>
      <c r="AO1027" t="s">
        <v>337</v>
      </c>
      <c r="AP1027" t="s">
        <v>74</v>
      </c>
      <c r="AQ1027" t="s">
        <v>74</v>
      </c>
      <c r="AR1027" t="s">
        <v>324</v>
      </c>
      <c r="AS1027" t="s">
        <v>339</v>
      </c>
      <c r="AT1027" t="s">
        <v>420</v>
      </c>
      <c r="AU1027">
        <v>2013</v>
      </c>
      <c r="AV1027">
        <v>144</v>
      </c>
      <c r="AW1027">
        <v>4</v>
      </c>
      <c r="AX1027" t="s">
        <v>74</v>
      </c>
      <c r="AY1027" t="s">
        <v>998</v>
      </c>
      <c r="AZ1027" t="s">
        <v>74</v>
      </c>
      <c r="BA1027" t="s">
        <v>21758</v>
      </c>
      <c r="BB1027" t="s">
        <v>74</v>
      </c>
      <c r="BC1027" t="s">
        <v>74</v>
      </c>
      <c r="BD1027" t="s">
        <v>74</v>
      </c>
      <c r="BE1027" t="s">
        <v>21757</v>
      </c>
      <c r="BF1027" t="str">
        <f>HYPERLINK("http://dx.doi.org/10.1378/chest.1783307","http://dx.doi.org/10.1378/chest.1783307")</f>
        <v>http://dx.doi.org/10.1378/chest.1783307</v>
      </c>
      <c r="BG1027" t="s">
        <v>74</v>
      </c>
      <c r="BH1027" t="s">
        <v>74</v>
      </c>
      <c r="BI1027">
        <v>2</v>
      </c>
      <c r="BJ1027" t="s">
        <v>341</v>
      </c>
      <c r="BK1027" t="s">
        <v>101</v>
      </c>
      <c r="BL1027" t="s">
        <v>342</v>
      </c>
      <c r="BM1027" t="s">
        <v>21756</v>
      </c>
      <c r="BN1027" t="s">
        <v>74</v>
      </c>
      <c r="BO1027" t="s">
        <v>1194</v>
      </c>
      <c r="BP1027" t="s">
        <v>74</v>
      </c>
      <c r="BQ1027" t="s">
        <v>74</v>
      </c>
      <c r="BR1027" t="s">
        <v>104</v>
      </c>
      <c r="BS1027" t="s">
        <v>21755</v>
      </c>
      <c r="BT1027" t="str">
        <f>HYPERLINK("https%3A%2F%2Fwww.webofscience.com%2Fwos%2Fwoscc%2Ffull-record%2FWOS:000326864003225","View Full Record in Web of Science")</f>
        <v>View Full Record in Web of Science</v>
      </c>
    </row>
    <row r="1028" spans="1:72" x14ac:dyDescent="0.25">
      <c r="A1028" t="s">
        <v>72</v>
      </c>
      <c r="B1028" t="s">
        <v>21754</v>
      </c>
      <c r="C1028" t="s">
        <v>74</v>
      </c>
      <c r="D1028" t="s">
        <v>74</v>
      </c>
      <c r="E1028" t="s">
        <v>74</v>
      </c>
      <c r="F1028" t="s">
        <v>21753</v>
      </c>
      <c r="G1028" t="s">
        <v>74</v>
      </c>
      <c r="H1028" t="s">
        <v>74</v>
      </c>
      <c r="I1028" t="s">
        <v>21752</v>
      </c>
      <c r="J1028" t="s">
        <v>1047</v>
      </c>
      <c r="K1028" t="s">
        <v>74</v>
      </c>
      <c r="L1028" t="s">
        <v>74</v>
      </c>
      <c r="M1028" t="s">
        <v>78</v>
      </c>
      <c r="N1028" t="s">
        <v>299</v>
      </c>
      <c r="O1028" t="s">
        <v>74</v>
      </c>
      <c r="P1028" t="s">
        <v>74</v>
      </c>
      <c r="Q1028" t="s">
        <v>74</v>
      </c>
      <c r="R1028" t="s">
        <v>74</v>
      </c>
      <c r="S1028" t="s">
        <v>74</v>
      </c>
      <c r="T1028" t="s">
        <v>21751</v>
      </c>
      <c r="U1028" t="s">
        <v>21750</v>
      </c>
      <c r="V1028" t="s">
        <v>21749</v>
      </c>
      <c r="W1028" t="s">
        <v>21748</v>
      </c>
      <c r="X1028" t="s">
        <v>21747</v>
      </c>
      <c r="Y1028" t="s">
        <v>21746</v>
      </c>
      <c r="Z1028" t="s">
        <v>9023</v>
      </c>
      <c r="AA1028" t="s">
        <v>21745</v>
      </c>
      <c r="AB1028" t="s">
        <v>21744</v>
      </c>
      <c r="AC1028" t="s">
        <v>74</v>
      </c>
      <c r="AD1028" t="s">
        <v>74</v>
      </c>
      <c r="AE1028" t="s">
        <v>74</v>
      </c>
      <c r="AF1028" t="s">
        <v>74</v>
      </c>
      <c r="AG1028">
        <v>73</v>
      </c>
      <c r="AH1028">
        <v>10</v>
      </c>
      <c r="AI1028">
        <v>10</v>
      </c>
      <c r="AJ1028">
        <v>0</v>
      </c>
      <c r="AK1028">
        <v>17</v>
      </c>
      <c r="AL1028" t="s">
        <v>1054</v>
      </c>
      <c r="AM1028" t="s">
        <v>486</v>
      </c>
      <c r="AN1028" t="s">
        <v>1055</v>
      </c>
      <c r="AO1028" t="s">
        <v>1056</v>
      </c>
      <c r="AP1028" t="s">
        <v>1057</v>
      </c>
      <c r="AQ1028" t="s">
        <v>74</v>
      </c>
      <c r="AR1028" t="s">
        <v>1058</v>
      </c>
      <c r="AS1028" t="s">
        <v>1059</v>
      </c>
      <c r="AT1028" t="s">
        <v>420</v>
      </c>
      <c r="AU1028">
        <v>2013</v>
      </c>
      <c r="AV1028">
        <v>34</v>
      </c>
      <c r="AW1028">
        <v>5</v>
      </c>
      <c r="AX1028" t="s">
        <v>74</v>
      </c>
      <c r="AY1028" t="s">
        <v>74</v>
      </c>
      <c r="AZ1028" t="s">
        <v>74</v>
      </c>
      <c r="BA1028" t="s">
        <v>74</v>
      </c>
      <c r="BB1028">
        <v>560</v>
      </c>
      <c r="BC1028">
        <v>567</v>
      </c>
      <c r="BD1028" t="s">
        <v>74</v>
      </c>
      <c r="BE1028" t="s">
        <v>21743</v>
      </c>
      <c r="BF1028" t="str">
        <f>HYPERLINK("http://dx.doi.org/10.1055/s-0033-1355439","http://dx.doi.org/10.1055/s-0033-1355439")</f>
        <v>http://dx.doi.org/10.1055/s-0033-1355439</v>
      </c>
      <c r="BG1028" t="s">
        <v>74</v>
      </c>
      <c r="BH1028" t="s">
        <v>74</v>
      </c>
      <c r="BI1028">
        <v>8</v>
      </c>
      <c r="BJ1028" t="s">
        <v>341</v>
      </c>
      <c r="BK1028" t="s">
        <v>101</v>
      </c>
      <c r="BL1028" t="s">
        <v>342</v>
      </c>
      <c r="BM1028" t="s">
        <v>21728</v>
      </c>
      <c r="BN1028">
        <v>24037625</v>
      </c>
      <c r="BO1028" t="s">
        <v>74</v>
      </c>
      <c r="BP1028" t="s">
        <v>74</v>
      </c>
      <c r="BQ1028" t="s">
        <v>74</v>
      </c>
      <c r="BR1028" t="s">
        <v>104</v>
      </c>
      <c r="BS1028" t="s">
        <v>21742</v>
      </c>
      <c r="BT1028" t="str">
        <f>HYPERLINK("https%3A%2F%2Fwww.webofscience.com%2Fwos%2Fwoscc%2Ffull-record%2FWOS:000324401900003","View Full Record in Web of Science")</f>
        <v>View Full Record in Web of Science</v>
      </c>
    </row>
    <row r="1029" spans="1:72" x14ac:dyDescent="0.25">
      <c r="A1029" t="s">
        <v>72</v>
      </c>
      <c r="B1029" t="s">
        <v>21741</v>
      </c>
      <c r="C1029" t="s">
        <v>74</v>
      </c>
      <c r="D1029" t="s">
        <v>74</v>
      </c>
      <c r="E1029" t="s">
        <v>74</v>
      </c>
      <c r="F1029" t="s">
        <v>21740</v>
      </c>
      <c r="G1029" t="s">
        <v>74</v>
      </c>
      <c r="H1029" t="s">
        <v>74</v>
      </c>
      <c r="I1029" t="s">
        <v>21739</v>
      </c>
      <c r="J1029" t="s">
        <v>1047</v>
      </c>
      <c r="K1029" t="s">
        <v>74</v>
      </c>
      <c r="L1029" t="s">
        <v>74</v>
      </c>
      <c r="M1029" t="s">
        <v>78</v>
      </c>
      <c r="N1029" t="s">
        <v>299</v>
      </c>
      <c r="O1029" t="s">
        <v>74</v>
      </c>
      <c r="P1029" t="s">
        <v>74</v>
      </c>
      <c r="Q1029" t="s">
        <v>74</v>
      </c>
      <c r="R1029" t="s">
        <v>74</v>
      </c>
      <c r="S1029" t="s">
        <v>74</v>
      </c>
      <c r="T1029" t="s">
        <v>21738</v>
      </c>
      <c r="U1029" t="s">
        <v>21737</v>
      </c>
      <c r="V1029" t="s">
        <v>21736</v>
      </c>
      <c r="W1029" t="s">
        <v>21735</v>
      </c>
      <c r="X1029" t="s">
        <v>21734</v>
      </c>
      <c r="Y1029" t="s">
        <v>21733</v>
      </c>
      <c r="Z1029" t="s">
        <v>21732</v>
      </c>
      <c r="AA1029" t="s">
        <v>21731</v>
      </c>
      <c r="AB1029" t="s">
        <v>21730</v>
      </c>
      <c r="AC1029" t="s">
        <v>74</v>
      </c>
      <c r="AD1029" t="s">
        <v>74</v>
      </c>
      <c r="AE1029" t="s">
        <v>74</v>
      </c>
      <c r="AF1029" t="s">
        <v>74</v>
      </c>
      <c r="AG1029">
        <v>97</v>
      </c>
      <c r="AH1029">
        <v>11</v>
      </c>
      <c r="AI1029">
        <v>13</v>
      </c>
      <c r="AJ1029">
        <v>0</v>
      </c>
      <c r="AK1029">
        <v>8</v>
      </c>
      <c r="AL1029" t="s">
        <v>1054</v>
      </c>
      <c r="AM1029" t="s">
        <v>486</v>
      </c>
      <c r="AN1029" t="s">
        <v>1055</v>
      </c>
      <c r="AO1029" t="s">
        <v>1056</v>
      </c>
      <c r="AP1029" t="s">
        <v>1057</v>
      </c>
      <c r="AQ1029" t="s">
        <v>74</v>
      </c>
      <c r="AR1029" t="s">
        <v>1058</v>
      </c>
      <c r="AS1029" t="s">
        <v>1059</v>
      </c>
      <c r="AT1029" t="s">
        <v>420</v>
      </c>
      <c r="AU1029">
        <v>2013</v>
      </c>
      <c r="AV1029">
        <v>34</v>
      </c>
      <c r="AW1029">
        <v>5</v>
      </c>
      <c r="AX1029" t="s">
        <v>74</v>
      </c>
      <c r="AY1029" t="s">
        <v>74</v>
      </c>
      <c r="AZ1029" t="s">
        <v>74</v>
      </c>
      <c r="BA1029" t="s">
        <v>74</v>
      </c>
      <c r="BB1029">
        <v>645</v>
      </c>
      <c r="BC1029">
        <v>653</v>
      </c>
      <c r="BD1029" t="s">
        <v>74</v>
      </c>
      <c r="BE1029" t="s">
        <v>21729</v>
      </c>
      <c r="BF1029" t="str">
        <f>HYPERLINK("http://dx.doi.org/10.1055/s-0033-1356489","http://dx.doi.org/10.1055/s-0033-1356489")</f>
        <v>http://dx.doi.org/10.1055/s-0033-1356489</v>
      </c>
      <c r="BG1029" t="s">
        <v>74</v>
      </c>
      <c r="BH1029" t="s">
        <v>74</v>
      </c>
      <c r="BI1029">
        <v>9</v>
      </c>
      <c r="BJ1029" t="s">
        <v>341</v>
      </c>
      <c r="BK1029" t="s">
        <v>101</v>
      </c>
      <c r="BL1029" t="s">
        <v>342</v>
      </c>
      <c r="BM1029" t="s">
        <v>21728</v>
      </c>
      <c r="BN1029">
        <v>24037631</v>
      </c>
      <c r="BO1029" t="s">
        <v>74</v>
      </c>
      <c r="BP1029" t="s">
        <v>74</v>
      </c>
      <c r="BQ1029" t="s">
        <v>74</v>
      </c>
      <c r="BR1029" t="s">
        <v>104</v>
      </c>
      <c r="BS1029" t="s">
        <v>21727</v>
      </c>
      <c r="BT1029" t="str">
        <f>HYPERLINK("https%3A%2F%2Fwww.webofscience.com%2Fwos%2Fwoscc%2Ffull-record%2FWOS:000324401900009","View Full Record in Web of Science")</f>
        <v>View Full Record in Web of Science</v>
      </c>
    </row>
    <row r="1030" spans="1:72" x14ac:dyDescent="0.25">
      <c r="A1030" t="s">
        <v>72</v>
      </c>
      <c r="B1030" t="s">
        <v>21661</v>
      </c>
      <c r="C1030" t="s">
        <v>74</v>
      </c>
      <c r="D1030" t="s">
        <v>74</v>
      </c>
      <c r="E1030" t="s">
        <v>74</v>
      </c>
      <c r="F1030" t="s">
        <v>21660</v>
      </c>
      <c r="G1030" t="s">
        <v>74</v>
      </c>
      <c r="H1030" t="s">
        <v>74</v>
      </c>
      <c r="I1030" t="s">
        <v>21726</v>
      </c>
      <c r="J1030" t="s">
        <v>637</v>
      </c>
      <c r="K1030" t="s">
        <v>74</v>
      </c>
      <c r="L1030" t="s">
        <v>74</v>
      </c>
      <c r="M1030" t="s">
        <v>78</v>
      </c>
      <c r="N1030" t="s">
        <v>460</v>
      </c>
      <c r="O1030" t="s">
        <v>74</v>
      </c>
      <c r="P1030" t="s">
        <v>74</v>
      </c>
      <c r="Q1030" t="s">
        <v>74</v>
      </c>
      <c r="R1030" t="s">
        <v>74</v>
      </c>
      <c r="S1030" t="s">
        <v>74</v>
      </c>
      <c r="T1030" t="s">
        <v>74</v>
      </c>
      <c r="U1030" t="s">
        <v>21725</v>
      </c>
      <c r="V1030" t="s">
        <v>74</v>
      </c>
      <c r="W1030" t="s">
        <v>21724</v>
      </c>
      <c r="X1030" t="s">
        <v>21723</v>
      </c>
      <c r="Y1030" t="s">
        <v>21722</v>
      </c>
      <c r="Z1030" t="s">
        <v>74</v>
      </c>
      <c r="AA1030" t="s">
        <v>21721</v>
      </c>
      <c r="AB1030" t="s">
        <v>21720</v>
      </c>
      <c r="AC1030" t="s">
        <v>74</v>
      </c>
      <c r="AD1030" t="s">
        <v>74</v>
      </c>
      <c r="AE1030" t="s">
        <v>74</v>
      </c>
      <c r="AF1030" t="s">
        <v>74</v>
      </c>
      <c r="AG1030">
        <v>14</v>
      </c>
      <c r="AH1030">
        <v>38</v>
      </c>
      <c r="AI1030">
        <v>39</v>
      </c>
      <c r="AJ1030">
        <v>0</v>
      </c>
      <c r="AK1030">
        <v>27</v>
      </c>
      <c r="AL1030" t="s">
        <v>649</v>
      </c>
      <c r="AM1030" t="s">
        <v>486</v>
      </c>
      <c r="AN1030" t="s">
        <v>650</v>
      </c>
      <c r="AO1030" t="s">
        <v>651</v>
      </c>
      <c r="AP1030" t="s">
        <v>652</v>
      </c>
      <c r="AQ1030" t="s">
        <v>74</v>
      </c>
      <c r="AR1030" t="s">
        <v>653</v>
      </c>
      <c r="AS1030" t="s">
        <v>654</v>
      </c>
      <c r="AT1030" t="s">
        <v>5777</v>
      </c>
      <c r="AU1030">
        <v>2013</v>
      </c>
      <c r="AV1030">
        <v>188</v>
      </c>
      <c r="AW1030">
        <v>6</v>
      </c>
      <c r="AX1030" t="s">
        <v>74</v>
      </c>
      <c r="AY1030" t="s">
        <v>74</v>
      </c>
      <c r="AZ1030" t="s">
        <v>74</v>
      </c>
      <c r="BA1030" t="s">
        <v>74</v>
      </c>
      <c r="BB1030">
        <v>756</v>
      </c>
      <c r="BC1030">
        <v>759</v>
      </c>
      <c r="BD1030" t="s">
        <v>74</v>
      </c>
      <c r="BE1030" t="s">
        <v>21719</v>
      </c>
      <c r="BF1030" t="str">
        <f>HYPERLINK("http://dx.doi.org/10.1164/rccm.201303-0467LE","http://dx.doi.org/10.1164/rccm.201303-0467LE")</f>
        <v>http://dx.doi.org/10.1164/rccm.201303-0467LE</v>
      </c>
      <c r="BG1030" t="s">
        <v>74</v>
      </c>
      <c r="BH1030" t="s">
        <v>74</v>
      </c>
      <c r="BI1030">
        <v>5</v>
      </c>
      <c r="BJ1030" t="s">
        <v>341</v>
      </c>
      <c r="BK1030" t="s">
        <v>101</v>
      </c>
      <c r="BL1030" t="s">
        <v>342</v>
      </c>
      <c r="BM1030" t="s">
        <v>21718</v>
      </c>
      <c r="BN1030">
        <v>24032390</v>
      </c>
      <c r="BO1030" t="s">
        <v>74</v>
      </c>
      <c r="BP1030" t="s">
        <v>74</v>
      </c>
      <c r="BQ1030" t="s">
        <v>74</v>
      </c>
      <c r="BR1030" t="s">
        <v>104</v>
      </c>
      <c r="BS1030" t="s">
        <v>21717</v>
      </c>
      <c r="BT1030" t="str">
        <f>HYPERLINK("https%3A%2F%2Fwww.webofscience.com%2Fwos%2Fwoscc%2Ffull-record%2FWOS:000324516100026","View Full Record in Web of Science")</f>
        <v>View Full Record in Web of Science</v>
      </c>
    </row>
    <row r="1031" spans="1:72" x14ac:dyDescent="0.25">
      <c r="A1031" t="s">
        <v>72</v>
      </c>
      <c r="B1031" t="s">
        <v>21716</v>
      </c>
      <c r="C1031" t="s">
        <v>74</v>
      </c>
      <c r="D1031" t="s">
        <v>74</v>
      </c>
      <c r="E1031" t="s">
        <v>74</v>
      </c>
      <c r="F1031" t="s">
        <v>21715</v>
      </c>
      <c r="G1031" t="s">
        <v>74</v>
      </c>
      <c r="H1031" t="s">
        <v>74</v>
      </c>
      <c r="I1031" t="s">
        <v>21714</v>
      </c>
      <c r="J1031" t="s">
        <v>216</v>
      </c>
      <c r="K1031" t="s">
        <v>74</v>
      </c>
      <c r="L1031" t="s">
        <v>74</v>
      </c>
      <c r="M1031" t="s">
        <v>78</v>
      </c>
      <c r="N1031" t="s">
        <v>52</v>
      </c>
      <c r="O1031" t="s">
        <v>74</v>
      </c>
      <c r="P1031" t="s">
        <v>74</v>
      </c>
      <c r="Q1031" t="s">
        <v>74</v>
      </c>
      <c r="R1031" t="s">
        <v>74</v>
      </c>
      <c r="S1031" t="s">
        <v>74</v>
      </c>
      <c r="T1031" t="s">
        <v>1226</v>
      </c>
      <c r="U1031" t="s">
        <v>74</v>
      </c>
      <c r="V1031" t="s">
        <v>74</v>
      </c>
      <c r="W1031" t="s">
        <v>21713</v>
      </c>
      <c r="X1031" t="s">
        <v>3516</v>
      </c>
      <c r="Y1031" t="s">
        <v>74</v>
      </c>
      <c r="Z1031" t="s">
        <v>21712</v>
      </c>
      <c r="AA1031" t="s">
        <v>21711</v>
      </c>
      <c r="AB1031" t="s">
        <v>11914</v>
      </c>
      <c r="AC1031" t="s">
        <v>74</v>
      </c>
      <c r="AD1031" t="s">
        <v>74</v>
      </c>
      <c r="AE1031" t="s">
        <v>74</v>
      </c>
      <c r="AF1031" t="s">
        <v>74</v>
      </c>
      <c r="AG1031">
        <v>0</v>
      </c>
      <c r="AH1031">
        <v>0</v>
      </c>
      <c r="AI1031">
        <v>0</v>
      </c>
      <c r="AJ1031">
        <v>0</v>
      </c>
      <c r="AK1031">
        <v>0</v>
      </c>
      <c r="AL1031" t="s">
        <v>219</v>
      </c>
      <c r="AM1031" t="s">
        <v>220</v>
      </c>
      <c r="AN1031" t="s">
        <v>221</v>
      </c>
      <c r="AO1031" t="s">
        <v>222</v>
      </c>
      <c r="AP1031" t="s">
        <v>223</v>
      </c>
      <c r="AQ1031" t="s">
        <v>74</v>
      </c>
      <c r="AR1031" t="s">
        <v>224</v>
      </c>
      <c r="AS1031" t="s">
        <v>225</v>
      </c>
      <c r="AT1031" t="s">
        <v>529</v>
      </c>
      <c r="AU1031">
        <v>2013</v>
      </c>
      <c r="AV1031">
        <v>42</v>
      </c>
      <c r="AW1031" t="s">
        <v>74</v>
      </c>
      <c r="AX1031" t="s">
        <v>74</v>
      </c>
      <c r="AY1031">
        <v>57</v>
      </c>
      <c r="AZ1031" t="s">
        <v>74</v>
      </c>
      <c r="BA1031">
        <v>4146</v>
      </c>
      <c r="BB1031" t="s">
        <v>74</v>
      </c>
      <c r="BC1031" t="s">
        <v>74</v>
      </c>
      <c r="BD1031" t="s">
        <v>74</v>
      </c>
      <c r="BE1031" t="s">
        <v>74</v>
      </c>
      <c r="BF1031" t="s">
        <v>74</v>
      </c>
      <c r="BG1031" t="s">
        <v>74</v>
      </c>
      <c r="BH1031" t="s">
        <v>74</v>
      </c>
      <c r="BI1031">
        <v>1</v>
      </c>
      <c r="BJ1031" t="s">
        <v>228</v>
      </c>
      <c r="BK1031" t="s">
        <v>101</v>
      </c>
      <c r="BL1031" t="s">
        <v>228</v>
      </c>
      <c r="BM1031" t="s">
        <v>21500</v>
      </c>
      <c r="BN1031" t="s">
        <v>74</v>
      </c>
      <c r="BO1031" t="s">
        <v>74</v>
      </c>
      <c r="BP1031" t="s">
        <v>74</v>
      </c>
      <c r="BQ1031" t="s">
        <v>74</v>
      </c>
      <c r="BR1031" t="s">
        <v>104</v>
      </c>
      <c r="BS1031" t="s">
        <v>21710</v>
      </c>
      <c r="BT1031" t="str">
        <f>HYPERLINK("https%3A%2F%2Fwww.webofscience.com%2Fwos%2Fwoscc%2Ffull-record%2FWOS:000209370402654","View Full Record in Web of Science")</f>
        <v>View Full Record in Web of Science</v>
      </c>
    </row>
    <row r="1032" spans="1:72" x14ac:dyDescent="0.25">
      <c r="A1032" t="s">
        <v>72</v>
      </c>
      <c r="B1032" t="s">
        <v>21709</v>
      </c>
      <c r="C1032" t="s">
        <v>74</v>
      </c>
      <c r="D1032" t="s">
        <v>74</v>
      </c>
      <c r="E1032" t="s">
        <v>74</v>
      </c>
      <c r="F1032" t="s">
        <v>21708</v>
      </c>
      <c r="G1032" t="s">
        <v>74</v>
      </c>
      <c r="H1032" t="s">
        <v>74</v>
      </c>
      <c r="I1032" t="s">
        <v>21707</v>
      </c>
      <c r="J1032" t="s">
        <v>216</v>
      </c>
      <c r="K1032" t="s">
        <v>74</v>
      </c>
      <c r="L1032" t="s">
        <v>74</v>
      </c>
      <c r="M1032" t="s">
        <v>78</v>
      </c>
      <c r="N1032" t="s">
        <v>52</v>
      </c>
      <c r="O1032" t="s">
        <v>74</v>
      </c>
      <c r="P1032" t="s">
        <v>74</v>
      </c>
      <c r="Q1032" t="s">
        <v>74</v>
      </c>
      <c r="R1032" t="s">
        <v>74</v>
      </c>
      <c r="S1032" t="s">
        <v>74</v>
      </c>
      <c r="T1032" t="s">
        <v>21706</v>
      </c>
      <c r="U1032" t="s">
        <v>74</v>
      </c>
      <c r="V1032" t="s">
        <v>74</v>
      </c>
      <c r="W1032" t="s">
        <v>21705</v>
      </c>
      <c r="X1032" t="s">
        <v>21704</v>
      </c>
      <c r="Y1032" t="s">
        <v>74</v>
      </c>
      <c r="Z1032" t="s">
        <v>21703</v>
      </c>
      <c r="AA1032" t="s">
        <v>21702</v>
      </c>
      <c r="AB1032" t="s">
        <v>21701</v>
      </c>
      <c r="AC1032" t="s">
        <v>74</v>
      </c>
      <c r="AD1032" t="s">
        <v>74</v>
      </c>
      <c r="AE1032" t="s">
        <v>74</v>
      </c>
      <c r="AF1032" t="s">
        <v>74</v>
      </c>
      <c r="AG1032">
        <v>0</v>
      </c>
      <c r="AH1032">
        <v>0</v>
      </c>
      <c r="AI1032">
        <v>0</v>
      </c>
      <c r="AJ1032">
        <v>0</v>
      </c>
      <c r="AK1032">
        <v>1</v>
      </c>
      <c r="AL1032" t="s">
        <v>219</v>
      </c>
      <c r="AM1032" t="s">
        <v>220</v>
      </c>
      <c r="AN1032" t="s">
        <v>221</v>
      </c>
      <c r="AO1032" t="s">
        <v>222</v>
      </c>
      <c r="AP1032" t="s">
        <v>223</v>
      </c>
      <c r="AQ1032" t="s">
        <v>74</v>
      </c>
      <c r="AR1032" t="s">
        <v>224</v>
      </c>
      <c r="AS1032" t="s">
        <v>225</v>
      </c>
      <c r="AT1032" t="s">
        <v>529</v>
      </c>
      <c r="AU1032">
        <v>2013</v>
      </c>
      <c r="AV1032">
        <v>42</v>
      </c>
      <c r="AW1032" t="s">
        <v>74</v>
      </c>
      <c r="AX1032" t="s">
        <v>74</v>
      </c>
      <c r="AY1032">
        <v>57</v>
      </c>
      <c r="AZ1032" t="s">
        <v>74</v>
      </c>
      <c r="BA1032">
        <v>7184</v>
      </c>
      <c r="BB1032" t="s">
        <v>74</v>
      </c>
      <c r="BC1032" t="s">
        <v>74</v>
      </c>
      <c r="BD1032" t="s">
        <v>74</v>
      </c>
      <c r="BE1032" t="s">
        <v>74</v>
      </c>
      <c r="BF1032" t="s">
        <v>74</v>
      </c>
      <c r="BG1032" t="s">
        <v>74</v>
      </c>
      <c r="BH1032" t="s">
        <v>74</v>
      </c>
      <c r="BI1032">
        <v>1</v>
      </c>
      <c r="BJ1032" t="s">
        <v>228</v>
      </c>
      <c r="BK1032" t="s">
        <v>101</v>
      </c>
      <c r="BL1032" t="s">
        <v>228</v>
      </c>
      <c r="BM1032" t="s">
        <v>21500</v>
      </c>
      <c r="BN1032" t="s">
        <v>74</v>
      </c>
      <c r="BO1032" t="s">
        <v>74</v>
      </c>
      <c r="BP1032" t="s">
        <v>74</v>
      </c>
      <c r="BQ1032" t="s">
        <v>74</v>
      </c>
      <c r="BR1032" t="s">
        <v>104</v>
      </c>
      <c r="BS1032" t="s">
        <v>21700</v>
      </c>
      <c r="BT1032" t="str">
        <f>HYPERLINK("https%3A%2F%2Fwww.webofscience.com%2Fwos%2Fwoscc%2Ffull-record%2FWOS:000209370402644","View Full Record in Web of Science")</f>
        <v>View Full Record in Web of Science</v>
      </c>
    </row>
    <row r="1033" spans="1:72" x14ac:dyDescent="0.25">
      <c r="A1033" t="s">
        <v>72</v>
      </c>
      <c r="B1033" t="s">
        <v>21699</v>
      </c>
      <c r="C1033" t="s">
        <v>74</v>
      </c>
      <c r="D1033" t="s">
        <v>74</v>
      </c>
      <c r="E1033" t="s">
        <v>74</v>
      </c>
      <c r="F1033" t="s">
        <v>21698</v>
      </c>
      <c r="G1033" t="s">
        <v>74</v>
      </c>
      <c r="H1033" t="s">
        <v>74</v>
      </c>
      <c r="I1033" t="s">
        <v>21697</v>
      </c>
      <c r="J1033" t="s">
        <v>19215</v>
      </c>
      <c r="K1033" t="s">
        <v>74</v>
      </c>
      <c r="L1033" t="s">
        <v>74</v>
      </c>
      <c r="M1033" t="s">
        <v>78</v>
      </c>
      <c r="N1033" t="s">
        <v>299</v>
      </c>
      <c r="O1033" t="s">
        <v>74</v>
      </c>
      <c r="P1033" t="s">
        <v>74</v>
      </c>
      <c r="Q1033" t="s">
        <v>74</v>
      </c>
      <c r="R1033" t="s">
        <v>74</v>
      </c>
      <c r="S1033" t="s">
        <v>74</v>
      </c>
      <c r="T1033" t="s">
        <v>21696</v>
      </c>
      <c r="U1033" t="s">
        <v>21695</v>
      </c>
      <c r="V1033" t="s">
        <v>21694</v>
      </c>
      <c r="W1033" t="s">
        <v>21693</v>
      </c>
      <c r="X1033" t="s">
        <v>21692</v>
      </c>
      <c r="Y1033" t="s">
        <v>21691</v>
      </c>
      <c r="Z1033" t="s">
        <v>10035</v>
      </c>
      <c r="AA1033" t="s">
        <v>16075</v>
      </c>
      <c r="AB1033" t="s">
        <v>21690</v>
      </c>
      <c r="AC1033" t="s">
        <v>21689</v>
      </c>
      <c r="AD1033" t="s">
        <v>21688</v>
      </c>
      <c r="AE1033" t="s">
        <v>21687</v>
      </c>
      <c r="AF1033" t="s">
        <v>74</v>
      </c>
      <c r="AG1033">
        <v>114</v>
      </c>
      <c r="AH1033">
        <v>22</v>
      </c>
      <c r="AI1033">
        <v>23</v>
      </c>
      <c r="AJ1033">
        <v>0</v>
      </c>
      <c r="AK1033">
        <v>18</v>
      </c>
      <c r="AL1033" t="s">
        <v>148</v>
      </c>
      <c r="AM1033" t="s">
        <v>149</v>
      </c>
      <c r="AN1033" t="s">
        <v>150</v>
      </c>
      <c r="AO1033" t="s">
        <v>19204</v>
      </c>
      <c r="AP1033" t="s">
        <v>19203</v>
      </c>
      <c r="AQ1033" t="s">
        <v>74</v>
      </c>
      <c r="AR1033" t="s">
        <v>19202</v>
      </c>
      <c r="AS1033" t="s">
        <v>19201</v>
      </c>
      <c r="AT1033" t="s">
        <v>492</v>
      </c>
      <c r="AU1033">
        <v>2013</v>
      </c>
      <c r="AV1033">
        <v>9</v>
      </c>
      <c r="AW1033">
        <v>9</v>
      </c>
      <c r="AX1033" t="s">
        <v>74</v>
      </c>
      <c r="AY1033" t="s">
        <v>74</v>
      </c>
      <c r="AZ1033" t="s">
        <v>74</v>
      </c>
      <c r="BA1033" t="s">
        <v>74</v>
      </c>
      <c r="BB1033">
        <v>1193</v>
      </c>
      <c r="BC1033">
        <v>1205</v>
      </c>
      <c r="BD1033" t="s">
        <v>74</v>
      </c>
      <c r="BE1033" t="s">
        <v>21686</v>
      </c>
      <c r="BF1033" t="str">
        <f>HYPERLINK("http://dx.doi.org/10.1517/17425255.2013.804063","http://dx.doi.org/10.1517/17425255.2013.804063")</f>
        <v>http://dx.doi.org/10.1517/17425255.2013.804063</v>
      </c>
      <c r="BG1033" t="s">
        <v>74</v>
      </c>
      <c r="BH1033" t="s">
        <v>74</v>
      </c>
      <c r="BI1033">
        <v>13</v>
      </c>
      <c r="BJ1033" t="s">
        <v>19199</v>
      </c>
      <c r="BK1033" t="s">
        <v>101</v>
      </c>
      <c r="BL1033" t="s">
        <v>19199</v>
      </c>
      <c r="BM1033" t="s">
        <v>21685</v>
      </c>
      <c r="BN1033">
        <v>23944387</v>
      </c>
      <c r="BO1033" t="s">
        <v>74</v>
      </c>
      <c r="BP1033" t="s">
        <v>74</v>
      </c>
      <c r="BQ1033" t="s">
        <v>74</v>
      </c>
      <c r="BR1033" t="s">
        <v>104</v>
      </c>
      <c r="BS1033" t="s">
        <v>21684</v>
      </c>
      <c r="BT1033" t="str">
        <f>HYPERLINK("https%3A%2F%2Fwww.webofscience.com%2Fwos%2Fwoscc%2Ffull-record%2FWOS:000323220600009","View Full Record in Web of Science")</f>
        <v>View Full Record in Web of Science</v>
      </c>
    </row>
    <row r="1034" spans="1:72" x14ac:dyDescent="0.25">
      <c r="A1034" t="s">
        <v>72</v>
      </c>
      <c r="B1034" t="s">
        <v>21683</v>
      </c>
      <c r="C1034" t="s">
        <v>74</v>
      </c>
      <c r="D1034" t="s">
        <v>74</v>
      </c>
      <c r="E1034" t="s">
        <v>74</v>
      </c>
      <c r="F1034" t="s">
        <v>21682</v>
      </c>
      <c r="G1034" t="s">
        <v>74</v>
      </c>
      <c r="H1034" t="s">
        <v>74</v>
      </c>
      <c r="I1034" t="s">
        <v>21681</v>
      </c>
      <c r="J1034" t="s">
        <v>21680</v>
      </c>
      <c r="K1034" t="s">
        <v>74</v>
      </c>
      <c r="L1034" t="s">
        <v>74</v>
      </c>
      <c r="M1034" t="s">
        <v>78</v>
      </c>
      <c r="N1034" t="s">
        <v>79</v>
      </c>
      <c r="O1034" t="s">
        <v>74</v>
      </c>
      <c r="P1034" t="s">
        <v>74</v>
      </c>
      <c r="Q1034" t="s">
        <v>74</v>
      </c>
      <c r="R1034" t="s">
        <v>74</v>
      </c>
      <c r="S1034" t="s">
        <v>74</v>
      </c>
      <c r="T1034" t="s">
        <v>21679</v>
      </c>
      <c r="U1034" t="s">
        <v>21678</v>
      </c>
      <c r="V1034" t="s">
        <v>21677</v>
      </c>
      <c r="W1034" t="s">
        <v>21676</v>
      </c>
      <c r="X1034" t="s">
        <v>21675</v>
      </c>
      <c r="Y1034" t="s">
        <v>12605</v>
      </c>
      <c r="Z1034" t="s">
        <v>12606</v>
      </c>
      <c r="AA1034" t="s">
        <v>21674</v>
      </c>
      <c r="AB1034" t="s">
        <v>21673</v>
      </c>
      <c r="AC1034" t="s">
        <v>74</v>
      </c>
      <c r="AD1034" t="s">
        <v>74</v>
      </c>
      <c r="AE1034" t="s">
        <v>74</v>
      </c>
      <c r="AF1034" t="s">
        <v>74</v>
      </c>
      <c r="AG1034">
        <v>44</v>
      </c>
      <c r="AH1034">
        <v>22</v>
      </c>
      <c r="AI1034">
        <v>23</v>
      </c>
      <c r="AJ1034">
        <v>0</v>
      </c>
      <c r="AK1034">
        <v>19</v>
      </c>
      <c r="AL1034" t="s">
        <v>1817</v>
      </c>
      <c r="AM1034" t="s">
        <v>7882</v>
      </c>
      <c r="AN1034" t="s">
        <v>7883</v>
      </c>
      <c r="AO1034" t="s">
        <v>21672</v>
      </c>
      <c r="AP1034" t="s">
        <v>21671</v>
      </c>
      <c r="AQ1034" t="s">
        <v>74</v>
      </c>
      <c r="AR1034" t="s">
        <v>21670</v>
      </c>
      <c r="AS1034" t="s">
        <v>21669</v>
      </c>
      <c r="AT1034" t="s">
        <v>492</v>
      </c>
      <c r="AU1034">
        <v>2013</v>
      </c>
      <c r="AV1034">
        <v>305</v>
      </c>
      <c r="AW1034">
        <v>5</v>
      </c>
      <c r="AX1034" t="s">
        <v>74</v>
      </c>
      <c r="AY1034" t="s">
        <v>74</v>
      </c>
      <c r="AZ1034" t="s">
        <v>74</v>
      </c>
      <c r="BA1034" t="s">
        <v>74</v>
      </c>
      <c r="BB1034" t="s">
        <v>21668</v>
      </c>
      <c r="BC1034" t="s">
        <v>21667</v>
      </c>
      <c r="BD1034" t="s">
        <v>74</v>
      </c>
      <c r="BE1034" t="s">
        <v>21666</v>
      </c>
      <c r="BF1034" t="str">
        <f>HYPERLINK("http://dx.doi.org/10.1152/ajpheart.00258.2013","http://dx.doi.org/10.1152/ajpheart.00258.2013")</f>
        <v>http://dx.doi.org/10.1152/ajpheart.00258.2013</v>
      </c>
      <c r="BG1034" t="s">
        <v>74</v>
      </c>
      <c r="BH1034" t="s">
        <v>74</v>
      </c>
      <c r="BI1034">
        <v>9</v>
      </c>
      <c r="BJ1034" t="s">
        <v>21665</v>
      </c>
      <c r="BK1034" t="s">
        <v>101</v>
      </c>
      <c r="BL1034" t="s">
        <v>21664</v>
      </c>
      <c r="BM1034" t="s">
        <v>21663</v>
      </c>
      <c r="BN1034">
        <v>23792679</v>
      </c>
      <c r="BO1034" t="s">
        <v>74</v>
      </c>
      <c r="BP1034" t="s">
        <v>74</v>
      </c>
      <c r="BQ1034" t="s">
        <v>74</v>
      </c>
      <c r="BR1034" t="s">
        <v>104</v>
      </c>
      <c r="BS1034" t="s">
        <v>21662</v>
      </c>
      <c r="BT1034" t="str">
        <f>HYPERLINK("https%3A%2F%2Fwww.webofscience.com%2Fwos%2Fwoscc%2Ffull-record%2FWOS:000324097500017","View Full Record in Web of Science")</f>
        <v>View Full Record in Web of Science</v>
      </c>
    </row>
    <row r="1035" spans="1:72" x14ac:dyDescent="0.25">
      <c r="A1035" t="s">
        <v>72</v>
      </c>
      <c r="B1035" t="s">
        <v>21661</v>
      </c>
      <c r="C1035" t="s">
        <v>74</v>
      </c>
      <c r="D1035" t="s">
        <v>74</v>
      </c>
      <c r="E1035" t="s">
        <v>74</v>
      </c>
      <c r="F1035" t="s">
        <v>21660</v>
      </c>
      <c r="G1035" t="s">
        <v>74</v>
      </c>
      <c r="H1035" t="s">
        <v>74</v>
      </c>
      <c r="I1035" t="s">
        <v>21659</v>
      </c>
      <c r="J1035" t="s">
        <v>216</v>
      </c>
      <c r="K1035" t="s">
        <v>74</v>
      </c>
      <c r="L1035" t="s">
        <v>74</v>
      </c>
      <c r="M1035" t="s">
        <v>78</v>
      </c>
      <c r="N1035" t="s">
        <v>52</v>
      </c>
      <c r="O1035" t="s">
        <v>74</v>
      </c>
      <c r="P1035" t="s">
        <v>74</v>
      </c>
      <c r="Q1035" t="s">
        <v>74</v>
      </c>
      <c r="R1035" t="s">
        <v>74</v>
      </c>
      <c r="S1035" t="s">
        <v>74</v>
      </c>
      <c r="T1035" t="s">
        <v>21658</v>
      </c>
      <c r="U1035" t="s">
        <v>74</v>
      </c>
      <c r="V1035" t="s">
        <v>74</v>
      </c>
      <c r="W1035" t="s">
        <v>21657</v>
      </c>
      <c r="X1035" t="s">
        <v>21656</v>
      </c>
      <c r="Y1035" t="s">
        <v>74</v>
      </c>
      <c r="Z1035" t="s">
        <v>21655</v>
      </c>
      <c r="AA1035" t="s">
        <v>19727</v>
      </c>
      <c r="AB1035" t="s">
        <v>19726</v>
      </c>
      <c r="AC1035" t="s">
        <v>74</v>
      </c>
      <c r="AD1035" t="s">
        <v>74</v>
      </c>
      <c r="AE1035" t="s">
        <v>74</v>
      </c>
      <c r="AF1035" t="s">
        <v>74</v>
      </c>
      <c r="AG1035">
        <v>0</v>
      </c>
      <c r="AH1035">
        <v>0</v>
      </c>
      <c r="AI1035">
        <v>0</v>
      </c>
      <c r="AJ1035">
        <v>0</v>
      </c>
      <c r="AK1035">
        <v>3</v>
      </c>
      <c r="AL1035" t="s">
        <v>219</v>
      </c>
      <c r="AM1035" t="s">
        <v>220</v>
      </c>
      <c r="AN1035" t="s">
        <v>221</v>
      </c>
      <c r="AO1035" t="s">
        <v>222</v>
      </c>
      <c r="AP1035" t="s">
        <v>223</v>
      </c>
      <c r="AQ1035" t="s">
        <v>74</v>
      </c>
      <c r="AR1035" t="s">
        <v>224</v>
      </c>
      <c r="AS1035" t="s">
        <v>225</v>
      </c>
      <c r="AT1035" t="s">
        <v>529</v>
      </c>
      <c r="AU1035">
        <v>2013</v>
      </c>
      <c r="AV1035">
        <v>42</v>
      </c>
      <c r="AW1035" t="s">
        <v>74</v>
      </c>
      <c r="AX1035" t="s">
        <v>74</v>
      </c>
      <c r="AY1035">
        <v>57</v>
      </c>
      <c r="AZ1035" t="s">
        <v>74</v>
      </c>
      <c r="BA1035">
        <v>4279</v>
      </c>
      <c r="BB1035" t="s">
        <v>74</v>
      </c>
      <c r="BC1035" t="s">
        <v>74</v>
      </c>
      <c r="BD1035" t="s">
        <v>74</v>
      </c>
      <c r="BE1035" t="s">
        <v>74</v>
      </c>
      <c r="BF1035" t="s">
        <v>74</v>
      </c>
      <c r="BG1035" t="s">
        <v>74</v>
      </c>
      <c r="BH1035" t="s">
        <v>74</v>
      </c>
      <c r="BI1035">
        <v>1</v>
      </c>
      <c r="BJ1035" t="s">
        <v>228</v>
      </c>
      <c r="BK1035" t="s">
        <v>101</v>
      </c>
      <c r="BL1035" t="s">
        <v>228</v>
      </c>
      <c r="BM1035" t="s">
        <v>21500</v>
      </c>
      <c r="BN1035" t="s">
        <v>74</v>
      </c>
      <c r="BO1035" t="s">
        <v>74</v>
      </c>
      <c r="BP1035" t="s">
        <v>74</v>
      </c>
      <c r="BQ1035" t="s">
        <v>74</v>
      </c>
      <c r="BR1035" t="s">
        <v>104</v>
      </c>
      <c r="BS1035" t="s">
        <v>21654</v>
      </c>
      <c r="BT1035" t="str">
        <f>HYPERLINK("https%3A%2F%2Fwww.webofscience.com%2Fwos%2Fwoscc%2Ffull-record%2FWOS:000209370402655","View Full Record in Web of Science")</f>
        <v>View Full Record in Web of Science</v>
      </c>
    </row>
    <row r="1036" spans="1:72" x14ac:dyDescent="0.25">
      <c r="A1036" t="s">
        <v>72</v>
      </c>
      <c r="B1036" t="s">
        <v>21653</v>
      </c>
      <c r="C1036" t="s">
        <v>74</v>
      </c>
      <c r="D1036" t="s">
        <v>74</v>
      </c>
      <c r="E1036" t="s">
        <v>74</v>
      </c>
      <c r="F1036" t="s">
        <v>21652</v>
      </c>
      <c r="G1036" t="s">
        <v>74</v>
      </c>
      <c r="H1036" t="s">
        <v>74</v>
      </c>
      <c r="I1036" t="s">
        <v>21651</v>
      </c>
      <c r="J1036" t="s">
        <v>216</v>
      </c>
      <c r="K1036" t="s">
        <v>74</v>
      </c>
      <c r="L1036" t="s">
        <v>74</v>
      </c>
      <c r="M1036" t="s">
        <v>78</v>
      </c>
      <c r="N1036" t="s">
        <v>52</v>
      </c>
      <c r="O1036" t="s">
        <v>74</v>
      </c>
      <c r="P1036" t="s">
        <v>74</v>
      </c>
      <c r="Q1036" t="s">
        <v>74</v>
      </c>
      <c r="R1036" t="s">
        <v>74</v>
      </c>
      <c r="S1036" t="s">
        <v>74</v>
      </c>
      <c r="T1036" t="s">
        <v>12151</v>
      </c>
      <c r="U1036" t="s">
        <v>74</v>
      </c>
      <c r="V1036" t="s">
        <v>74</v>
      </c>
      <c r="W1036" t="s">
        <v>21650</v>
      </c>
      <c r="X1036" t="s">
        <v>21649</v>
      </c>
      <c r="Y1036" t="s">
        <v>74</v>
      </c>
      <c r="Z1036" t="s">
        <v>21648</v>
      </c>
      <c r="AA1036" t="s">
        <v>21647</v>
      </c>
      <c r="AB1036" t="s">
        <v>74</v>
      </c>
      <c r="AC1036" t="s">
        <v>74</v>
      </c>
      <c r="AD1036" t="s">
        <v>74</v>
      </c>
      <c r="AE1036" t="s">
        <v>74</v>
      </c>
      <c r="AF1036" t="s">
        <v>74</v>
      </c>
      <c r="AG1036">
        <v>0</v>
      </c>
      <c r="AH1036">
        <v>0</v>
      </c>
      <c r="AI1036">
        <v>0</v>
      </c>
      <c r="AJ1036">
        <v>0</v>
      </c>
      <c r="AK1036">
        <v>0</v>
      </c>
      <c r="AL1036" t="s">
        <v>219</v>
      </c>
      <c r="AM1036" t="s">
        <v>220</v>
      </c>
      <c r="AN1036" t="s">
        <v>221</v>
      </c>
      <c r="AO1036" t="s">
        <v>222</v>
      </c>
      <c r="AP1036" t="s">
        <v>223</v>
      </c>
      <c r="AQ1036" t="s">
        <v>74</v>
      </c>
      <c r="AR1036" t="s">
        <v>224</v>
      </c>
      <c r="AS1036" t="s">
        <v>225</v>
      </c>
      <c r="AT1036" t="s">
        <v>529</v>
      </c>
      <c r="AU1036">
        <v>2013</v>
      </c>
      <c r="AV1036">
        <v>42</v>
      </c>
      <c r="AW1036" t="s">
        <v>74</v>
      </c>
      <c r="AX1036" t="s">
        <v>74</v>
      </c>
      <c r="AY1036">
        <v>57</v>
      </c>
      <c r="AZ1036" t="s">
        <v>74</v>
      </c>
      <c r="BA1036">
        <v>3437</v>
      </c>
      <c r="BB1036" t="s">
        <v>74</v>
      </c>
      <c r="BC1036" t="s">
        <v>74</v>
      </c>
      <c r="BD1036" t="s">
        <v>74</v>
      </c>
      <c r="BE1036" t="s">
        <v>74</v>
      </c>
      <c r="BF1036" t="s">
        <v>74</v>
      </c>
      <c r="BG1036" t="s">
        <v>74</v>
      </c>
      <c r="BH1036" t="s">
        <v>74</v>
      </c>
      <c r="BI1036">
        <v>1</v>
      </c>
      <c r="BJ1036" t="s">
        <v>228</v>
      </c>
      <c r="BK1036" t="s">
        <v>101</v>
      </c>
      <c r="BL1036" t="s">
        <v>228</v>
      </c>
      <c r="BM1036" t="s">
        <v>21500</v>
      </c>
      <c r="BN1036" t="s">
        <v>74</v>
      </c>
      <c r="BO1036" t="s">
        <v>74</v>
      </c>
      <c r="BP1036" t="s">
        <v>74</v>
      </c>
      <c r="BQ1036" t="s">
        <v>74</v>
      </c>
      <c r="BR1036" t="s">
        <v>104</v>
      </c>
      <c r="BS1036" t="s">
        <v>21646</v>
      </c>
      <c r="BT1036" t="str">
        <f>HYPERLINK("https%3A%2F%2Fwww.webofscience.com%2Fwos%2Fwoscc%2Ffull-record%2FWOS:000209370403375","View Full Record in Web of Science")</f>
        <v>View Full Record in Web of Science</v>
      </c>
    </row>
    <row r="1037" spans="1:72" x14ac:dyDescent="0.25">
      <c r="A1037" t="s">
        <v>72</v>
      </c>
      <c r="B1037" t="s">
        <v>21645</v>
      </c>
      <c r="C1037" t="s">
        <v>74</v>
      </c>
      <c r="D1037" t="s">
        <v>74</v>
      </c>
      <c r="E1037" t="s">
        <v>74</v>
      </c>
      <c r="F1037" t="s">
        <v>21644</v>
      </c>
      <c r="G1037" t="s">
        <v>74</v>
      </c>
      <c r="H1037" t="s">
        <v>74</v>
      </c>
      <c r="I1037" t="s">
        <v>21643</v>
      </c>
      <c r="J1037" t="s">
        <v>216</v>
      </c>
      <c r="K1037" t="s">
        <v>74</v>
      </c>
      <c r="L1037" t="s">
        <v>74</v>
      </c>
      <c r="M1037" t="s">
        <v>78</v>
      </c>
      <c r="N1037" t="s">
        <v>52</v>
      </c>
      <c r="O1037" t="s">
        <v>74</v>
      </c>
      <c r="P1037" t="s">
        <v>74</v>
      </c>
      <c r="Q1037" t="s">
        <v>74</v>
      </c>
      <c r="R1037" t="s">
        <v>74</v>
      </c>
      <c r="S1037" t="s">
        <v>74</v>
      </c>
      <c r="T1037" t="s">
        <v>21633</v>
      </c>
      <c r="U1037" t="s">
        <v>74</v>
      </c>
      <c r="V1037" t="s">
        <v>74</v>
      </c>
      <c r="W1037" t="s">
        <v>21642</v>
      </c>
      <c r="X1037" t="s">
        <v>21641</v>
      </c>
      <c r="Y1037" t="s">
        <v>74</v>
      </c>
      <c r="Z1037" t="s">
        <v>21640</v>
      </c>
      <c r="AA1037" t="s">
        <v>21639</v>
      </c>
      <c r="AB1037" t="s">
        <v>21638</v>
      </c>
      <c r="AC1037" t="s">
        <v>74</v>
      </c>
      <c r="AD1037" t="s">
        <v>74</v>
      </c>
      <c r="AE1037" t="s">
        <v>74</v>
      </c>
      <c r="AF1037" t="s">
        <v>74</v>
      </c>
      <c r="AG1037">
        <v>0</v>
      </c>
      <c r="AH1037">
        <v>0</v>
      </c>
      <c r="AI1037">
        <v>0</v>
      </c>
      <c r="AJ1037">
        <v>0</v>
      </c>
      <c r="AK1037">
        <v>1</v>
      </c>
      <c r="AL1037" t="s">
        <v>219</v>
      </c>
      <c r="AM1037" t="s">
        <v>220</v>
      </c>
      <c r="AN1037" t="s">
        <v>221</v>
      </c>
      <c r="AO1037" t="s">
        <v>222</v>
      </c>
      <c r="AP1037" t="s">
        <v>223</v>
      </c>
      <c r="AQ1037" t="s">
        <v>74</v>
      </c>
      <c r="AR1037" t="s">
        <v>224</v>
      </c>
      <c r="AS1037" t="s">
        <v>225</v>
      </c>
      <c r="AT1037" t="s">
        <v>529</v>
      </c>
      <c r="AU1037">
        <v>2013</v>
      </c>
      <c r="AV1037">
        <v>42</v>
      </c>
      <c r="AW1037" t="s">
        <v>74</v>
      </c>
      <c r="AX1037" t="s">
        <v>74</v>
      </c>
      <c r="AY1037">
        <v>57</v>
      </c>
      <c r="AZ1037" t="s">
        <v>74</v>
      </c>
      <c r="BA1037">
        <v>3439</v>
      </c>
      <c r="BB1037" t="s">
        <v>74</v>
      </c>
      <c r="BC1037" t="s">
        <v>74</v>
      </c>
      <c r="BD1037" t="s">
        <v>74</v>
      </c>
      <c r="BE1037" t="s">
        <v>74</v>
      </c>
      <c r="BF1037" t="s">
        <v>74</v>
      </c>
      <c r="BG1037" t="s">
        <v>74</v>
      </c>
      <c r="BH1037" t="s">
        <v>74</v>
      </c>
      <c r="BI1037">
        <v>2</v>
      </c>
      <c r="BJ1037" t="s">
        <v>228</v>
      </c>
      <c r="BK1037" t="s">
        <v>101</v>
      </c>
      <c r="BL1037" t="s">
        <v>228</v>
      </c>
      <c r="BM1037" t="s">
        <v>21500</v>
      </c>
      <c r="BN1037" t="s">
        <v>74</v>
      </c>
      <c r="BO1037" t="s">
        <v>74</v>
      </c>
      <c r="BP1037" t="s">
        <v>74</v>
      </c>
      <c r="BQ1037" t="s">
        <v>74</v>
      </c>
      <c r="BR1037" t="s">
        <v>104</v>
      </c>
      <c r="BS1037" t="s">
        <v>21637</v>
      </c>
      <c r="BT1037" t="str">
        <f>HYPERLINK("https%3A%2F%2Fwww.webofscience.com%2Fwos%2Fwoscc%2Ffull-record%2FWOS:000209370400487","View Full Record in Web of Science")</f>
        <v>View Full Record in Web of Science</v>
      </c>
    </row>
    <row r="1038" spans="1:72" x14ac:dyDescent="0.25">
      <c r="A1038" t="s">
        <v>72</v>
      </c>
      <c r="B1038" t="s">
        <v>21636</v>
      </c>
      <c r="C1038" t="s">
        <v>74</v>
      </c>
      <c r="D1038" t="s">
        <v>74</v>
      </c>
      <c r="E1038" t="s">
        <v>74</v>
      </c>
      <c r="F1038" t="s">
        <v>21635</v>
      </c>
      <c r="G1038" t="s">
        <v>74</v>
      </c>
      <c r="H1038" t="s">
        <v>74</v>
      </c>
      <c r="I1038" t="s">
        <v>21634</v>
      </c>
      <c r="J1038" t="s">
        <v>216</v>
      </c>
      <c r="K1038" t="s">
        <v>74</v>
      </c>
      <c r="L1038" t="s">
        <v>74</v>
      </c>
      <c r="M1038" t="s">
        <v>78</v>
      </c>
      <c r="N1038" t="s">
        <v>52</v>
      </c>
      <c r="O1038" t="s">
        <v>74</v>
      </c>
      <c r="P1038" t="s">
        <v>74</v>
      </c>
      <c r="Q1038" t="s">
        <v>74</v>
      </c>
      <c r="R1038" t="s">
        <v>74</v>
      </c>
      <c r="S1038" t="s">
        <v>74</v>
      </c>
      <c r="T1038" t="s">
        <v>21633</v>
      </c>
      <c r="U1038" t="s">
        <v>74</v>
      </c>
      <c r="V1038" t="s">
        <v>74</v>
      </c>
      <c r="W1038" t="s">
        <v>21632</v>
      </c>
      <c r="X1038" t="s">
        <v>21631</v>
      </c>
      <c r="Y1038" t="s">
        <v>74</v>
      </c>
      <c r="Z1038" t="s">
        <v>21630</v>
      </c>
      <c r="AA1038" t="s">
        <v>21629</v>
      </c>
      <c r="AB1038" t="s">
        <v>21628</v>
      </c>
      <c r="AC1038" t="s">
        <v>74</v>
      </c>
      <c r="AD1038" t="s">
        <v>74</v>
      </c>
      <c r="AE1038" t="s">
        <v>74</v>
      </c>
      <c r="AF1038" t="s">
        <v>74</v>
      </c>
      <c r="AG1038">
        <v>0</v>
      </c>
      <c r="AH1038">
        <v>0</v>
      </c>
      <c r="AI1038">
        <v>0</v>
      </c>
      <c r="AJ1038">
        <v>0</v>
      </c>
      <c r="AK1038">
        <v>1</v>
      </c>
      <c r="AL1038" t="s">
        <v>219</v>
      </c>
      <c r="AM1038" t="s">
        <v>220</v>
      </c>
      <c r="AN1038" t="s">
        <v>221</v>
      </c>
      <c r="AO1038" t="s">
        <v>222</v>
      </c>
      <c r="AP1038" t="s">
        <v>223</v>
      </c>
      <c r="AQ1038" t="s">
        <v>74</v>
      </c>
      <c r="AR1038" t="s">
        <v>224</v>
      </c>
      <c r="AS1038" t="s">
        <v>225</v>
      </c>
      <c r="AT1038" t="s">
        <v>529</v>
      </c>
      <c r="AU1038">
        <v>2013</v>
      </c>
      <c r="AV1038">
        <v>42</v>
      </c>
      <c r="AW1038" t="s">
        <v>74</v>
      </c>
      <c r="AX1038" t="s">
        <v>74</v>
      </c>
      <c r="AY1038">
        <v>57</v>
      </c>
      <c r="AZ1038" t="s">
        <v>74</v>
      </c>
      <c r="BA1038">
        <v>3443</v>
      </c>
      <c r="BB1038" t="s">
        <v>74</v>
      </c>
      <c r="BC1038" t="s">
        <v>74</v>
      </c>
      <c r="BD1038" t="s">
        <v>74</v>
      </c>
      <c r="BE1038" t="s">
        <v>74</v>
      </c>
      <c r="BF1038" t="s">
        <v>74</v>
      </c>
      <c r="BG1038" t="s">
        <v>74</v>
      </c>
      <c r="BH1038" t="s">
        <v>74</v>
      </c>
      <c r="BI1038">
        <v>2</v>
      </c>
      <c r="BJ1038" t="s">
        <v>228</v>
      </c>
      <c r="BK1038" t="s">
        <v>101</v>
      </c>
      <c r="BL1038" t="s">
        <v>228</v>
      </c>
      <c r="BM1038" t="s">
        <v>21500</v>
      </c>
      <c r="BN1038" t="s">
        <v>74</v>
      </c>
      <c r="BO1038" t="s">
        <v>74</v>
      </c>
      <c r="BP1038" t="s">
        <v>74</v>
      </c>
      <c r="BQ1038" t="s">
        <v>74</v>
      </c>
      <c r="BR1038" t="s">
        <v>104</v>
      </c>
      <c r="BS1038" t="s">
        <v>21627</v>
      </c>
      <c r="BT1038" t="str">
        <f>HYPERLINK("https%3A%2F%2Fwww.webofscience.com%2Fwos%2Fwoscc%2Ffull-record%2FWOS:000209370400176","View Full Record in Web of Science")</f>
        <v>View Full Record in Web of Science</v>
      </c>
    </row>
    <row r="1039" spans="1:72" x14ac:dyDescent="0.25">
      <c r="A1039" t="s">
        <v>72</v>
      </c>
      <c r="B1039" t="s">
        <v>21626</v>
      </c>
      <c r="C1039" t="s">
        <v>74</v>
      </c>
      <c r="D1039" t="s">
        <v>74</v>
      </c>
      <c r="E1039" t="s">
        <v>74</v>
      </c>
      <c r="F1039" t="s">
        <v>21625</v>
      </c>
      <c r="G1039" t="s">
        <v>74</v>
      </c>
      <c r="H1039" t="s">
        <v>74</v>
      </c>
      <c r="I1039" t="s">
        <v>21624</v>
      </c>
      <c r="J1039" t="s">
        <v>216</v>
      </c>
      <c r="K1039" t="s">
        <v>74</v>
      </c>
      <c r="L1039" t="s">
        <v>74</v>
      </c>
      <c r="M1039" t="s">
        <v>78</v>
      </c>
      <c r="N1039" t="s">
        <v>52</v>
      </c>
      <c r="O1039" t="s">
        <v>74</v>
      </c>
      <c r="P1039" t="s">
        <v>74</v>
      </c>
      <c r="Q1039" t="s">
        <v>74</v>
      </c>
      <c r="R1039" t="s">
        <v>74</v>
      </c>
      <c r="S1039" t="s">
        <v>74</v>
      </c>
      <c r="T1039" t="s">
        <v>21581</v>
      </c>
      <c r="U1039" t="s">
        <v>74</v>
      </c>
      <c r="V1039" t="s">
        <v>74</v>
      </c>
      <c r="W1039" t="s">
        <v>21623</v>
      </c>
      <c r="X1039" t="s">
        <v>21622</v>
      </c>
      <c r="Y1039" t="s">
        <v>74</v>
      </c>
      <c r="Z1039" t="s">
        <v>21621</v>
      </c>
      <c r="AA1039" t="s">
        <v>21620</v>
      </c>
      <c r="AB1039" t="s">
        <v>1263</v>
      </c>
      <c r="AC1039" t="s">
        <v>74</v>
      </c>
      <c r="AD1039" t="s">
        <v>74</v>
      </c>
      <c r="AE1039" t="s">
        <v>74</v>
      </c>
      <c r="AF1039" t="s">
        <v>74</v>
      </c>
      <c r="AG1039">
        <v>0</v>
      </c>
      <c r="AH1039">
        <v>0</v>
      </c>
      <c r="AI1039">
        <v>0</v>
      </c>
      <c r="AJ1039">
        <v>0</v>
      </c>
      <c r="AK1039">
        <v>1</v>
      </c>
      <c r="AL1039" t="s">
        <v>219</v>
      </c>
      <c r="AM1039" t="s">
        <v>220</v>
      </c>
      <c r="AN1039" t="s">
        <v>221</v>
      </c>
      <c r="AO1039" t="s">
        <v>222</v>
      </c>
      <c r="AP1039" t="s">
        <v>223</v>
      </c>
      <c r="AQ1039" t="s">
        <v>74</v>
      </c>
      <c r="AR1039" t="s">
        <v>224</v>
      </c>
      <c r="AS1039" t="s">
        <v>225</v>
      </c>
      <c r="AT1039" t="s">
        <v>529</v>
      </c>
      <c r="AU1039">
        <v>2013</v>
      </c>
      <c r="AV1039">
        <v>42</v>
      </c>
      <c r="AW1039" t="s">
        <v>74</v>
      </c>
      <c r="AX1039" t="s">
        <v>74</v>
      </c>
      <c r="AY1039">
        <v>57</v>
      </c>
      <c r="AZ1039" t="s">
        <v>74</v>
      </c>
      <c r="BA1039">
        <v>2796</v>
      </c>
      <c r="BB1039" t="s">
        <v>74</v>
      </c>
      <c r="BC1039" t="s">
        <v>74</v>
      </c>
      <c r="BD1039" t="s">
        <v>74</v>
      </c>
      <c r="BE1039" t="s">
        <v>74</v>
      </c>
      <c r="BF1039" t="s">
        <v>74</v>
      </c>
      <c r="BG1039" t="s">
        <v>74</v>
      </c>
      <c r="BH1039" t="s">
        <v>74</v>
      </c>
      <c r="BI1039">
        <v>2</v>
      </c>
      <c r="BJ1039" t="s">
        <v>228</v>
      </c>
      <c r="BK1039" t="s">
        <v>101</v>
      </c>
      <c r="BL1039" t="s">
        <v>228</v>
      </c>
      <c r="BM1039" t="s">
        <v>21500</v>
      </c>
      <c r="BN1039" t="s">
        <v>74</v>
      </c>
      <c r="BO1039" t="s">
        <v>74</v>
      </c>
      <c r="BP1039" t="s">
        <v>74</v>
      </c>
      <c r="BQ1039" t="s">
        <v>74</v>
      </c>
      <c r="BR1039" t="s">
        <v>104</v>
      </c>
      <c r="BS1039" t="s">
        <v>21619</v>
      </c>
      <c r="BT1039" t="str">
        <f>HYPERLINK("https%3A%2F%2Fwww.webofscience.com%2Fwos%2Fwoscc%2Ffull-record%2FWOS:000209370400178","View Full Record in Web of Science")</f>
        <v>View Full Record in Web of Science</v>
      </c>
    </row>
    <row r="1040" spans="1:72" x14ac:dyDescent="0.25">
      <c r="A1040" t="s">
        <v>72</v>
      </c>
      <c r="B1040" t="s">
        <v>21618</v>
      </c>
      <c r="C1040" t="s">
        <v>74</v>
      </c>
      <c r="D1040" t="s">
        <v>74</v>
      </c>
      <c r="E1040" t="s">
        <v>74</v>
      </c>
      <c r="F1040" t="s">
        <v>21617</v>
      </c>
      <c r="G1040" t="s">
        <v>74</v>
      </c>
      <c r="H1040" t="s">
        <v>74</v>
      </c>
      <c r="I1040" t="s">
        <v>21616</v>
      </c>
      <c r="J1040" t="s">
        <v>216</v>
      </c>
      <c r="K1040" t="s">
        <v>74</v>
      </c>
      <c r="L1040" t="s">
        <v>74</v>
      </c>
      <c r="M1040" t="s">
        <v>78</v>
      </c>
      <c r="N1040" t="s">
        <v>52</v>
      </c>
      <c r="O1040" t="s">
        <v>74</v>
      </c>
      <c r="P1040" t="s">
        <v>74</v>
      </c>
      <c r="Q1040" t="s">
        <v>74</v>
      </c>
      <c r="R1040" t="s">
        <v>74</v>
      </c>
      <c r="S1040" t="s">
        <v>74</v>
      </c>
      <c r="T1040" t="s">
        <v>21607</v>
      </c>
      <c r="U1040" t="s">
        <v>74</v>
      </c>
      <c r="V1040" t="s">
        <v>74</v>
      </c>
      <c r="W1040" t="s">
        <v>21615</v>
      </c>
      <c r="X1040" t="s">
        <v>21614</v>
      </c>
      <c r="Y1040" t="s">
        <v>74</v>
      </c>
      <c r="Z1040" t="s">
        <v>21613</v>
      </c>
      <c r="AA1040" t="s">
        <v>21612</v>
      </c>
      <c r="AB1040" t="s">
        <v>8050</v>
      </c>
      <c r="AC1040" t="s">
        <v>74</v>
      </c>
      <c r="AD1040" t="s">
        <v>74</v>
      </c>
      <c r="AE1040" t="s">
        <v>74</v>
      </c>
      <c r="AF1040" t="s">
        <v>74</v>
      </c>
      <c r="AG1040">
        <v>0</v>
      </c>
      <c r="AH1040">
        <v>1</v>
      </c>
      <c r="AI1040">
        <v>1</v>
      </c>
      <c r="AJ1040">
        <v>0</v>
      </c>
      <c r="AK1040">
        <v>5</v>
      </c>
      <c r="AL1040" t="s">
        <v>219</v>
      </c>
      <c r="AM1040" t="s">
        <v>220</v>
      </c>
      <c r="AN1040" t="s">
        <v>221</v>
      </c>
      <c r="AO1040" t="s">
        <v>222</v>
      </c>
      <c r="AP1040" t="s">
        <v>223</v>
      </c>
      <c r="AQ1040" t="s">
        <v>74</v>
      </c>
      <c r="AR1040" t="s">
        <v>224</v>
      </c>
      <c r="AS1040" t="s">
        <v>225</v>
      </c>
      <c r="AT1040" t="s">
        <v>529</v>
      </c>
      <c r="AU1040">
        <v>2013</v>
      </c>
      <c r="AV1040">
        <v>42</v>
      </c>
      <c r="AW1040" t="s">
        <v>74</v>
      </c>
      <c r="AX1040" t="s">
        <v>74</v>
      </c>
      <c r="AY1040">
        <v>57</v>
      </c>
      <c r="AZ1040" t="s">
        <v>74</v>
      </c>
      <c r="BA1040">
        <v>789</v>
      </c>
      <c r="BB1040" t="s">
        <v>74</v>
      </c>
      <c r="BC1040" t="s">
        <v>74</v>
      </c>
      <c r="BD1040" t="s">
        <v>74</v>
      </c>
      <c r="BE1040" t="s">
        <v>74</v>
      </c>
      <c r="BF1040" t="s">
        <v>74</v>
      </c>
      <c r="BG1040" t="s">
        <v>74</v>
      </c>
      <c r="BH1040" t="s">
        <v>74</v>
      </c>
      <c r="BI1040">
        <v>1</v>
      </c>
      <c r="BJ1040" t="s">
        <v>228</v>
      </c>
      <c r="BK1040" t="s">
        <v>101</v>
      </c>
      <c r="BL1040" t="s">
        <v>228</v>
      </c>
      <c r="BM1040" t="s">
        <v>21500</v>
      </c>
      <c r="BN1040" t="s">
        <v>74</v>
      </c>
      <c r="BO1040" t="s">
        <v>74</v>
      </c>
      <c r="BP1040" t="s">
        <v>74</v>
      </c>
      <c r="BQ1040" t="s">
        <v>74</v>
      </c>
      <c r="BR1040" t="s">
        <v>104</v>
      </c>
      <c r="BS1040" t="s">
        <v>21611</v>
      </c>
      <c r="BT1040" t="str">
        <f>HYPERLINK("https%3A%2F%2Fwww.webofscience.com%2Fwos%2Fwoscc%2Ffull-record%2FWOS:000209370404343","View Full Record in Web of Science")</f>
        <v>View Full Record in Web of Science</v>
      </c>
    </row>
    <row r="1041" spans="1:72" x14ac:dyDescent="0.25">
      <c r="A1041" t="s">
        <v>72</v>
      </c>
      <c r="B1041" t="s">
        <v>21610</v>
      </c>
      <c r="C1041" t="s">
        <v>74</v>
      </c>
      <c r="D1041" t="s">
        <v>74</v>
      </c>
      <c r="E1041" t="s">
        <v>74</v>
      </c>
      <c r="F1041" t="s">
        <v>21609</v>
      </c>
      <c r="G1041" t="s">
        <v>74</v>
      </c>
      <c r="H1041" t="s">
        <v>74</v>
      </c>
      <c r="I1041" t="s">
        <v>21608</v>
      </c>
      <c r="J1041" t="s">
        <v>216</v>
      </c>
      <c r="K1041" t="s">
        <v>74</v>
      </c>
      <c r="L1041" t="s">
        <v>74</v>
      </c>
      <c r="M1041" t="s">
        <v>78</v>
      </c>
      <c r="N1041" t="s">
        <v>52</v>
      </c>
      <c r="O1041" t="s">
        <v>74</v>
      </c>
      <c r="P1041" t="s">
        <v>74</v>
      </c>
      <c r="Q1041" t="s">
        <v>74</v>
      </c>
      <c r="R1041" t="s">
        <v>74</v>
      </c>
      <c r="S1041" t="s">
        <v>74</v>
      </c>
      <c r="T1041" t="s">
        <v>21607</v>
      </c>
      <c r="U1041" t="s">
        <v>74</v>
      </c>
      <c r="V1041" t="s">
        <v>74</v>
      </c>
      <c r="W1041" t="s">
        <v>21606</v>
      </c>
      <c r="X1041" t="s">
        <v>21605</v>
      </c>
      <c r="Y1041" t="s">
        <v>74</v>
      </c>
      <c r="Z1041" t="s">
        <v>21604</v>
      </c>
      <c r="AA1041" t="s">
        <v>21603</v>
      </c>
      <c r="AB1041" t="s">
        <v>11924</v>
      </c>
      <c r="AC1041" t="s">
        <v>74</v>
      </c>
      <c r="AD1041" t="s">
        <v>74</v>
      </c>
      <c r="AE1041" t="s">
        <v>74</v>
      </c>
      <c r="AF1041" t="s">
        <v>74</v>
      </c>
      <c r="AG1041">
        <v>0</v>
      </c>
      <c r="AH1041">
        <v>0</v>
      </c>
      <c r="AI1041">
        <v>0</v>
      </c>
      <c r="AJ1041">
        <v>0</v>
      </c>
      <c r="AK1041">
        <v>0</v>
      </c>
      <c r="AL1041" t="s">
        <v>219</v>
      </c>
      <c r="AM1041" t="s">
        <v>220</v>
      </c>
      <c r="AN1041" t="s">
        <v>221</v>
      </c>
      <c r="AO1041" t="s">
        <v>222</v>
      </c>
      <c r="AP1041" t="s">
        <v>223</v>
      </c>
      <c r="AQ1041" t="s">
        <v>74</v>
      </c>
      <c r="AR1041" t="s">
        <v>224</v>
      </c>
      <c r="AS1041" t="s">
        <v>225</v>
      </c>
      <c r="AT1041" t="s">
        <v>529</v>
      </c>
      <c r="AU1041">
        <v>2013</v>
      </c>
      <c r="AV1041">
        <v>42</v>
      </c>
      <c r="AW1041" t="s">
        <v>74</v>
      </c>
      <c r="AX1041" t="s">
        <v>74</v>
      </c>
      <c r="AY1041">
        <v>57</v>
      </c>
      <c r="AZ1041" t="s">
        <v>74</v>
      </c>
      <c r="BA1041">
        <v>786</v>
      </c>
      <c r="BB1041" t="s">
        <v>74</v>
      </c>
      <c r="BC1041" t="s">
        <v>74</v>
      </c>
      <c r="BD1041" t="s">
        <v>74</v>
      </c>
      <c r="BE1041" t="s">
        <v>74</v>
      </c>
      <c r="BF1041" t="s">
        <v>74</v>
      </c>
      <c r="BG1041" t="s">
        <v>74</v>
      </c>
      <c r="BH1041" t="s">
        <v>74</v>
      </c>
      <c r="BI1041">
        <v>1</v>
      </c>
      <c r="BJ1041" t="s">
        <v>228</v>
      </c>
      <c r="BK1041" t="s">
        <v>101</v>
      </c>
      <c r="BL1041" t="s">
        <v>228</v>
      </c>
      <c r="BM1041" t="s">
        <v>21500</v>
      </c>
      <c r="BN1041" t="s">
        <v>74</v>
      </c>
      <c r="BO1041" t="s">
        <v>74</v>
      </c>
      <c r="BP1041" t="s">
        <v>74</v>
      </c>
      <c r="BQ1041" t="s">
        <v>74</v>
      </c>
      <c r="BR1041" t="s">
        <v>104</v>
      </c>
      <c r="BS1041" t="s">
        <v>21602</v>
      </c>
      <c r="BT1041" t="str">
        <f>HYPERLINK("https%3A%2F%2Fwww.webofscience.com%2Fwos%2Fwoscc%2Ffull-record%2FWOS:000209370400138","View Full Record in Web of Science")</f>
        <v>View Full Record in Web of Science</v>
      </c>
    </row>
    <row r="1042" spans="1:72" x14ac:dyDescent="0.25">
      <c r="A1042" t="s">
        <v>72</v>
      </c>
      <c r="B1042" t="s">
        <v>21601</v>
      </c>
      <c r="C1042" t="s">
        <v>74</v>
      </c>
      <c r="D1042" t="s">
        <v>74</v>
      </c>
      <c r="E1042" t="s">
        <v>74</v>
      </c>
      <c r="F1042" t="s">
        <v>21600</v>
      </c>
      <c r="G1042" t="s">
        <v>74</v>
      </c>
      <c r="H1042" t="s">
        <v>74</v>
      </c>
      <c r="I1042" t="s">
        <v>21599</v>
      </c>
      <c r="J1042" t="s">
        <v>216</v>
      </c>
      <c r="K1042" t="s">
        <v>74</v>
      </c>
      <c r="L1042" t="s">
        <v>74</v>
      </c>
      <c r="M1042" t="s">
        <v>78</v>
      </c>
      <c r="N1042" t="s">
        <v>52</v>
      </c>
      <c r="O1042" t="s">
        <v>74</v>
      </c>
      <c r="P1042" t="s">
        <v>74</v>
      </c>
      <c r="Q1042" t="s">
        <v>74</v>
      </c>
      <c r="R1042" t="s">
        <v>74</v>
      </c>
      <c r="S1042" t="s">
        <v>74</v>
      </c>
      <c r="T1042" t="s">
        <v>21598</v>
      </c>
      <c r="U1042" t="s">
        <v>74</v>
      </c>
      <c r="V1042" t="s">
        <v>74</v>
      </c>
      <c r="W1042" t="s">
        <v>21597</v>
      </c>
      <c r="X1042" t="s">
        <v>21596</v>
      </c>
      <c r="Y1042" t="s">
        <v>74</v>
      </c>
      <c r="Z1042" t="s">
        <v>21595</v>
      </c>
      <c r="AA1042" t="s">
        <v>218</v>
      </c>
      <c r="AB1042" t="s">
        <v>74</v>
      </c>
      <c r="AC1042" t="s">
        <v>74</v>
      </c>
      <c r="AD1042" t="s">
        <v>74</v>
      </c>
      <c r="AE1042" t="s">
        <v>74</v>
      </c>
      <c r="AF1042" t="s">
        <v>74</v>
      </c>
      <c r="AG1042">
        <v>0</v>
      </c>
      <c r="AH1042">
        <v>0</v>
      </c>
      <c r="AI1042">
        <v>0</v>
      </c>
      <c r="AJ1042">
        <v>0</v>
      </c>
      <c r="AK1042">
        <v>0</v>
      </c>
      <c r="AL1042" t="s">
        <v>219</v>
      </c>
      <c r="AM1042" t="s">
        <v>220</v>
      </c>
      <c r="AN1042" t="s">
        <v>221</v>
      </c>
      <c r="AO1042" t="s">
        <v>222</v>
      </c>
      <c r="AP1042" t="s">
        <v>223</v>
      </c>
      <c r="AQ1042" t="s">
        <v>74</v>
      </c>
      <c r="AR1042" t="s">
        <v>224</v>
      </c>
      <c r="AS1042" t="s">
        <v>225</v>
      </c>
      <c r="AT1042" t="s">
        <v>529</v>
      </c>
      <c r="AU1042">
        <v>2013</v>
      </c>
      <c r="AV1042">
        <v>42</v>
      </c>
      <c r="AW1042" t="s">
        <v>74</v>
      </c>
      <c r="AX1042" t="s">
        <v>74</v>
      </c>
      <c r="AY1042">
        <v>57</v>
      </c>
      <c r="AZ1042" t="s">
        <v>74</v>
      </c>
      <c r="BA1042">
        <v>4074</v>
      </c>
      <c r="BB1042" t="s">
        <v>74</v>
      </c>
      <c r="BC1042" t="s">
        <v>74</v>
      </c>
      <c r="BD1042" t="s">
        <v>74</v>
      </c>
      <c r="BE1042" t="s">
        <v>74</v>
      </c>
      <c r="BF1042" t="s">
        <v>74</v>
      </c>
      <c r="BG1042" t="s">
        <v>74</v>
      </c>
      <c r="BH1042" t="s">
        <v>74</v>
      </c>
      <c r="BI1042">
        <v>2</v>
      </c>
      <c r="BJ1042" t="s">
        <v>228</v>
      </c>
      <c r="BK1042" t="s">
        <v>101</v>
      </c>
      <c r="BL1042" t="s">
        <v>228</v>
      </c>
      <c r="BM1042" t="s">
        <v>21500</v>
      </c>
      <c r="BN1042" t="s">
        <v>74</v>
      </c>
      <c r="BO1042" t="s">
        <v>74</v>
      </c>
      <c r="BP1042" t="s">
        <v>74</v>
      </c>
      <c r="BQ1042" t="s">
        <v>74</v>
      </c>
      <c r="BR1042" t="s">
        <v>104</v>
      </c>
      <c r="BS1042" t="s">
        <v>21594</v>
      </c>
      <c r="BT1042" t="str">
        <f>HYPERLINK("https%3A%2F%2Fwww.webofscience.com%2Fwos%2Fwoscc%2Ffull-record%2FWOS:000209370402648","View Full Record in Web of Science")</f>
        <v>View Full Record in Web of Science</v>
      </c>
    </row>
    <row r="1043" spans="1:72" x14ac:dyDescent="0.25">
      <c r="A1043" t="s">
        <v>72</v>
      </c>
      <c r="B1043" t="s">
        <v>21593</v>
      </c>
      <c r="C1043" t="s">
        <v>74</v>
      </c>
      <c r="D1043" t="s">
        <v>74</v>
      </c>
      <c r="E1043" t="s">
        <v>74</v>
      </c>
      <c r="F1043" t="s">
        <v>21592</v>
      </c>
      <c r="G1043" t="s">
        <v>74</v>
      </c>
      <c r="H1043" t="s">
        <v>74</v>
      </c>
      <c r="I1043" t="s">
        <v>21591</v>
      </c>
      <c r="J1043" t="s">
        <v>216</v>
      </c>
      <c r="K1043" t="s">
        <v>74</v>
      </c>
      <c r="L1043" t="s">
        <v>74</v>
      </c>
      <c r="M1043" t="s">
        <v>78</v>
      </c>
      <c r="N1043" t="s">
        <v>52</v>
      </c>
      <c r="O1043" t="s">
        <v>74</v>
      </c>
      <c r="P1043" t="s">
        <v>74</v>
      </c>
      <c r="Q1043" t="s">
        <v>74</v>
      </c>
      <c r="R1043" t="s">
        <v>74</v>
      </c>
      <c r="S1043" t="s">
        <v>74</v>
      </c>
      <c r="T1043" t="s">
        <v>21590</v>
      </c>
      <c r="U1043" t="s">
        <v>74</v>
      </c>
      <c r="V1043" t="s">
        <v>74</v>
      </c>
      <c r="W1043" t="s">
        <v>21589</v>
      </c>
      <c r="X1043" t="s">
        <v>21588</v>
      </c>
      <c r="Y1043" t="s">
        <v>74</v>
      </c>
      <c r="Z1043" t="s">
        <v>21587</v>
      </c>
      <c r="AA1043" t="s">
        <v>21586</v>
      </c>
      <c r="AB1043" t="s">
        <v>74</v>
      </c>
      <c r="AC1043" t="s">
        <v>74</v>
      </c>
      <c r="AD1043" t="s">
        <v>74</v>
      </c>
      <c r="AE1043" t="s">
        <v>74</v>
      </c>
      <c r="AF1043" t="s">
        <v>74</v>
      </c>
      <c r="AG1043">
        <v>0</v>
      </c>
      <c r="AH1043">
        <v>1</v>
      </c>
      <c r="AI1043">
        <v>1</v>
      </c>
      <c r="AJ1043">
        <v>0</v>
      </c>
      <c r="AK1043">
        <v>1</v>
      </c>
      <c r="AL1043" t="s">
        <v>219</v>
      </c>
      <c r="AM1043" t="s">
        <v>220</v>
      </c>
      <c r="AN1043" t="s">
        <v>221</v>
      </c>
      <c r="AO1043" t="s">
        <v>222</v>
      </c>
      <c r="AP1043" t="s">
        <v>223</v>
      </c>
      <c r="AQ1043" t="s">
        <v>74</v>
      </c>
      <c r="AR1043" t="s">
        <v>224</v>
      </c>
      <c r="AS1043" t="s">
        <v>225</v>
      </c>
      <c r="AT1043" t="s">
        <v>529</v>
      </c>
      <c r="AU1043">
        <v>2013</v>
      </c>
      <c r="AV1043">
        <v>42</v>
      </c>
      <c r="AW1043" t="s">
        <v>74</v>
      </c>
      <c r="AX1043" t="s">
        <v>74</v>
      </c>
      <c r="AY1043">
        <v>57</v>
      </c>
      <c r="AZ1043" t="s">
        <v>74</v>
      </c>
      <c r="BA1043">
        <v>3207</v>
      </c>
      <c r="BB1043" t="s">
        <v>74</v>
      </c>
      <c r="BC1043" t="s">
        <v>74</v>
      </c>
      <c r="BD1043" t="s">
        <v>74</v>
      </c>
      <c r="BE1043" t="s">
        <v>74</v>
      </c>
      <c r="BF1043" t="s">
        <v>74</v>
      </c>
      <c r="BG1043" t="s">
        <v>74</v>
      </c>
      <c r="BH1043" t="s">
        <v>74</v>
      </c>
      <c r="BI1043">
        <v>2</v>
      </c>
      <c r="BJ1043" t="s">
        <v>228</v>
      </c>
      <c r="BK1043" t="s">
        <v>101</v>
      </c>
      <c r="BL1043" t="s">
        <v>228</v>
      </c>
      <c r="BM1043" t="s">
        <v>21500</v>
      </c>
      <c r="BN1043" t="s">
        <v>74</v>
      </c>
      <c r="BO1043" t="s">
        <v>74</v>
      </c>
      <c r="BP1043" t="s">
        <v>74</v>
      </c>
      <c r="BQ1043" t="s">
        <v>74</v>
      </c>
      <c r="BR1043" t="s">
        <v>104</v>
      </c>
      <c r="BS1043" t="s">
        <v>21585</v>
      </c>
      <c r="BT1043" t="str">
        <f>HYPERLINK("https%3A%2F%2Fwww.webofscience.com%2Fwos%2Fwoscc%2Ffull-record%2FWOS:000209370402661","View Full Record in Web of Science")</f>
        <v>View Full Record in Web of Science</v>
      </c>
    </row>
    <row r="1044" spans="1:72" x14ac:dyDescent="0.25">
      <c r="A1044" t="s">
        <v>72</v>
      </c>
      <c r="B1044" t="s">
        <v>21584</v>
      </c>
      <c r="C1044" t="s">
        <v>74</v>
      </c>
      <c r="D1044" t="s">
        <v>74</v>
      </c>
      <c r="E1044" t="s">
        <v>74</v>
      </c>
      <c r="F1044" t="s">
        <v>21583</v>
      </c>
      <c r="G1044" t="s">
        <v>74</v>
      </c>
      <c r="H1044" t="s">
        <v>74</v>
      </c>
      <c r="I1044" t="s">
        <v>21582</v>
      </c>
      <c r="J1044" t="s">
        <v>216</v>
      </c>
      <c r="K1044" t="s">
        <v>74</v>
      </c>
      <c r="L1044" t="s">
        <v>74</v>
      </c>
      <c r="M1044" t="s">
        <v>78</v>
      </c>
      <c r="N1044" t="s">
        <v>52</v>
      </c>
      <c r="O1044" t="s">
        <v>74</v>
      </c>
      <c r="P1044" t="s">
        <v>74</v>
      </c>
      <c r="Q1044" t="s">
        <v>74</v>
      </c>
      <c r="R1044" t="s">
        <v>74</v>
      </c>
      <c r="S1044" t="s">
        <v>74</v>
      </c>
      <c r="T1044" t="s">
        <v>21581</v>
      </c>
      <c r="U1044" t="s">
        <v>74</v>
      </c>
      <c r="V1044" t="s">
        <v>74</v>
      </c>
      <c r="W1044" t="s">
        <v>21580</v>
      </c>
      <c r="X1044" t="s">
        <v>21579</v>
      </c>
      <c r="Y1044" t="s">
        <v>74</v>
      </c>
      <c r="Z1044" t="s">
        <v>21578</v>
      </c>
      <c r="AA1044" t="s">
        <v>20958</v>
      </c>
      <c r="AB1044" t="s">
        <v>74</v>
      </c>
      <c r="AC1044" t="s">
        <v>74</v>
      </c>
      <c r="AD1044" t="s">
        <v>74</v>
      </c>
      <c r="AE1044" t="s">
        <v>74</v>
      </c>
      <c r="AF1044" t="s">
        <v>74</v>
      </c>
      <c r="AG1044">
        <v>0</v>
      </c>
      <c r="AH1044">
        <v>0</v>
      </c>
      <c r="AI1044">
        <v>0</v>
      </c>
      <c r="AJ1044">
        <v>0</v>
      </c>
      <c r="AK1044">
        <v>1</v>
      </c>
      <c r="AL1044" t="s">
        <v>219</v>
      </c>
      <c r="AM1044" t="s">
        <v>220</v>
      </c>
      <c r="AN1044" t="s">
        <v>221</v>
      </c>
      <c r="AO1044" t="s">
        <v>222</v>
      </c>
      <c r="AP1044" t="s">
        <v>223</v>
      </c>
      <c r="AQ1044" t="s">
        <v>74</v>
      </c>
      <c r="AR1044" t="s">
        <v>224</v>
      </c>
      <c r="AS1044" t="s">
        <v>225</v>
      </c>
      <c r="AT1044" t="s">
        <v>529</v>
      </c>
      <c r="AU1044">
        <v>2013</v>
      </c>
      <c r="AV1044">
        <v>42</v>
      </c>
      <c r="AW1044" t="s">
        <v>74</v>
      </c>
      <c r="AX1044" t="s">
        <v>74</v>
      </c>
      <c r="AY1044">
        <v>57</v>
      </c>
      <c r="AZ1044" t="s">
        <v>74</v>
      </c>
      <c r="BA1044">
        <v>2347</v>
      </c>
      <c r="BB1044" t="s">
        <v>74</v>
      </c>
      <c r="BC1044" t="s">
        <v>74</v>
      </c>
      <c r="BD1044" t="s">
        <v>74</v>
      </c>
      <c r="BE1044" t="s">
        <v>74</v>
      </c>
      <c r="BF1044" t="s">
        <v>74</v>
      </c>
      <c r="BG1044" t="s">
        <v>74</v>
      </c>
      <c r="BH1044" t="s">
        <v>74</v>
      </c>
      <c r="BI1044">
        <v>2</v>
      </c>
      <c r="BJ1044" t="s">
        <v>228</v>
      </c>
      <c r="BK1044" t="s">
        <v>101</v>
      </c>
      <c r="BL1044" t="s">
        <v>228</v>
      </c>
      <c r="BM1044" t="s">
        <v>21500</v>
      </c>
      <c r="BN1044" t="s">
        <v>74</v>
      </c>
      <c r="BO1044" t="s">
        <v>74</v>
      </c>
      <c r="BP1044" t="s">
        <v>74</v>
      </c>
      <c r="BQ1044" t="s">
        <v>74</v>
      </c>
      <c r="BR1044" t="s">
        <v>104</v>
      </c>
      <c r="BS1044" t="s">
        <v>21577</v>
      </c>
      <c r="BT1044" t="str">
        <f>HYPERLINK("https%3A%2F%2Fwww.webofscience.com%2Fwos%2Fwoscc%2Ffull-record%2FWOS:000209370400177","View Full Record in Web of Science")</f>
        <v>View Full Record in Web of Science</v>
      </c>
    </row>
    <row r="1045" spans="1:72" x14ac:dyDescent="0.25">
      <c r="A1045" t="s">
        <v>72</v>
      </c>
      <c r="B1045" t="s">
        <v>21576</v>
      </c>
      <c r="C1045" t="s">
        <v>74</v>
      </c>
      <c r="D1045" t="s">
        <v>74</v>
      </c>
      <c r="E1045" t="s">
        <v>74</v>
      </c>
      <c r="F1045" t="s">
        <v>21575</v>
      </c>
      <c r="G1045" t="s">
        <v>74</v>
      </c>
      <c r="H1045" t="s">
        <v>74</v>
      </c>
      <c r="I1045" t="s">
        <v>21574</v>
      </c>
      <c r="J1045" t="s">
        <v>216</v>
      </c>
      <c r="K1045" t="s">
        <v>74</v>
      </c>
      <c r="L1045" t="s">
        <v>74</v>
      </c>
      <c r="M1045" t="s">
        <v>78</v>
      </c>
      <c r="N1045" t="s">
        <v>52</v>
      </c>
      <c r="O1045" t="s">
        <v>74</v>
      </c>
      <c r="P1045" t="s">
        <v>74</v>
      </c>
      <c r="Q1045" t="s">
        <v>74</v>
      </c>
      <c r="R1045" t="s">
        <v>74</v>
      </c>
      <c r="S1045" t="s">
        <v>74</v>
      </c>
      <c r="T1045" t="s">
        <v>21573</v>
      </c>
      <c r="U1045" t="s">
        <v>74</v>
      </c>
      <c r="V1045" t="s">
        <v>74</v>
      </c>
      <c r="W1045" t="s">
        <v>21572</v>
      </c>
      <c r="X1045" t="s">
        <v>21571</v>
      </c>
      <c r="Y1045" t="s">
        <v>74</v>
      </c>
      <c r="Z1045" t="s">
        <v>21570</v>
      </c>
      <c r="AA1045" t="s">
        <v>21569</v>
      </c>
      <c r="AB1045" t="s">
        <v>21568</v>
      </c>
      <c r="AC1045" t="s">
        <v>74</v>
      </c>
      <c r="AD1045" t="s">
        <v>74</v>
      </c>
      <c r="AE1045" t="s">
        <v>74</v>
      </c>
      <c r="AF1045" t="s">
        <v>74</v>
      </c>
      <c r="AG1045">
        <v>0</v>
      </c>
      <c r="AH1045">
        <v>0</v>
      </c>
      <c r="AI1045">
        <v>0</v>
      </c>
      <c r="AJ1045">
        <v>0</v>
      </c>
      <c r="AK1045">
        <v>0</v>
      </c>
      <c r="AL1045" t="s">
        <v>219</v>
      </c>
      <c r="AM1045" t="s">
        <v>220</v>
      </c>
      <c r="AN1045" t="s">
        <v>221</v>
      </c>
      <c r="AO1045" t="s">
        <v>222</v>
      </c>
      <c r="AP1045" t="s">
        <v>223</v>
      </c>
      <c r="AQ1045" t="s">
        <v>74</v>
      </c>
      <c r="AR1045" t="s">
        <v>224</v>
      </c>
      <c r="AS1045" t="s">
        <v>225</v>
      </c>
      <c r="AT1045" t="s">
        <v>529</v>
      </c>
      <c r="AU1045">
        <v>2013</v>
      </c>
      <c r="AV1045">
        <v>42</v>
      </c>
      <c r="AW1045" t="s">
        <v>74</v>
      </c>
      <c r="AX1045" t="s">
        <v>74</v>
      </c>
      <c r="AY1045">
        <v>57</v>
      </c>
      <c r="AZ1045" t="s">
        <v>74</v>
      </c>
      <c r="BA1045">
        <v>5006</v>
      </c>
      <c r="BB1045" t="s">
        <v>74</v>
      </c>
      <c r="BC1045" t="s">
        <v>74</v>
      </c>
      <c r="BD1045" t="s">
        <v>74</v>
      </c>
      <c r="BE1045" t="s">
        <v>74</v>
      </c>
      <c r="BF1045" t="s">
        <v>74</v>
      </c>
      <c r="BG1045" t="s">
        <v>74</v>
      </c>
      <c r="BH1045" t="s">
        <v>74</v>
      </c>
      <c r="BI1045">
        <v>2</v>
      </c>
      <c r="BJ1045" t="s">
        <v>228</v>
      </c>
      <c r="BK1045" t="s">
        <v>101</v>
      </c>
      <c r="BL1045" t="s">
        <v>228</v>
      </c>
      <c r="BM1045" t="s">
        <v>21500</v>
      </c>
      <c r="BN1045" t="s">
        <v>74</v>
      </c>
      <c r="BO1045" t="s">
        <v>74</v>
      </c>
      <c r="BP1045" t="s">
        <v>74</v>
      </c>
      <c r="BQ1045" t="s">
        <v>74</v>
      </c>
      <c r="BR1045" t="s">
        <v>104</v>
      </c>
      <c r="BS1045" t="s">
        <v>21567</v>
      </c>
      <c r="BT1045" t="str">
        <f>HYPERLINK("https%3A%2F%2Fwww.webofscience.com%2Fwos%2Fwoscc%2Ffull-record%2FWOS:000209370402115","View Full Record in Web of Science")</f>
        <v>View Full Record in Web of Science</v>
      </c>
    </row>
    <row r="1046" spans="1:72" x14ac:dyDescent="0.25">
      <c r="A1046" t="s">
        <v>72</v>
      </c>
      <c r="B1046" t="s">
        <v>21566</v>
      </c>
      <c r="C1046" t="s">
        <v>74</v>
      </c>
      <c r="D1046" t="s">
        <v>74</v>
      </c>
      <c r="E1046" t="s">
        <v>74</v>
      </c>
      <c r="F1046" t="s">
        <v>21565</v>
      </c>
      <c r="G1046" t="s">
        <v>74</v>
      </c>
      <c r="H1046" t="s">
        <v>74</v>
      </c>
      <c r="I1046" t="s">
        <v>21564</v>
      </c>
      <c r="J1046" t="s">
        <v>216</v>
      </c>
      <c r="K1046" t="s">
        <v>74</v>
      </c>
      <c r="L1046" t="s">
        <v>74</v>
      </c>
      <c r="M1046" t="s">
        <v>78</v>
      </c>
      <c r="N1046" t="s">
        <v>52</v>
      </c>
      <c r="O1046" t="s">
        <v>74</v>
      </c>
      <c r="P1046" t="s">
        <v>74</v>
      </c>
      <c r="Q1046" t="s">
        <v>74</v>
      </c>
      <c r="R1046" t="s">
        <v>74</v>
      </c>
      <c r="S1046" t="s">
        <v>74</v>
      </c>
      <c r="T1046" t="s">
        <v>21563</v>
      </c>
      <c r="U1046" t="s">
        <v>74</v>
      </c>
      <c r="V1046" t="s">
        <v>74</v>
      </c>
      <c r="W1046" t="s">
        <v>21562</v>
      </c>
      <c r="X1046" t="s">
        <v>21561</v>
      </c>
      <c r="Y1046" t="s">
        <v>74</v>
      </c>
      <c r="Z1046" t="s">
        <v>21560</v>
      </c>
      <c r="AA1046" t="s">
        <v>21559</v>
      </c>
      <c r="AB1046" t="s">
        <v>5709</v>
      </c>
      <c r="AC1046" t="s">
        <v>74</v>
      </c>
      <c r="AD1046" t="s">
        <v>74</v>
      </c>
      <c r="AE1046" t="s">
        <v>74</v>
      </c>
      <c r="AF1046" t="s">
        <v>74</v>
      </c>
      <c r="AG1046">
        <v>0</v>
      </c>
      <c r="AH1046">
        <v>0</v>
      </c>
      <c r="AI1046">
        <v>0</v>
      </c>
      <c r="AJ1046">
        <v>0</v>
      </c>
      <c r="AK1046">
        <v>1</v>
      </c>
      <c r="AL1046" t="s">
        <v>219</v>
      </c>
      <c r="AM1046" t="s">
        <v>220</v>
      </c>
      <c r="AN1046" t="s">
        <v>221</v>
      </c>
      <c r="AO1046" t="s">
        <v>222</v>
      </c>
      <c r="AP1046" t="s">
        <v>223</v>
      </c>
      <c r="AQ1046" t="s">
        <v>74</v>
      </c>
      <c r="AR1046" t="s">
        <v>224</v>
      </c>
      <c r="AS1046" t="s">
        <v>225</v>
      </c>
      <c r="AT1046" t="s">
        <v>529</v>
      </c>
      <c r="AU1046">
        <v>2013</v>
      </c>
      <c r="AV1046">
        <v>42</v>
      </c>
      <c r="AW1046" t="s">
        <v>74</v>
      </c>
      <c r="AX1046" t="s">
        <v>74</v>
      </c>
      <c r="AY1046">
        <v>57</v>
      </c>
      <c r="AZ1046" t="s">
        <v>74</v>
      </c>
      <c r="BA1046">
        <v>2298</v>
      </c>
      <c r="BB1046" t="s">
        <v>74</v>
      </c>
      <c r="BC1046" t="s">
        <v>74</v>
      </c>
      <c r="BD1046" t="s">
        <v>74</v>
      </c>
      <c r="BE1046" t="s">
        <v>74</v>
      </c>
      <c r="BF1046" t="s">
        <v>74</v>
      </c>
      <c r="BG1046" t="s">
        <v>74</v>
      </c>
      <c r="BH1046" t="s">
        <v>74</v>
      </c>
      <c r="BI1046">
        <v>1</v>
      </c>
      <c r="BJ1046" t="s">
        <v>228</v>
      </c>
      <c r="BK1046" t="s">
        <v>101</v>
      </c>
      <c r="BL1046" t="s">
        <v>228</v>
      </c>
      <c r="BM1046" t="s">
        <v>21500</v>
      </c>
      <c r="BN1046" t="s">
        <v>74</v>
      </c>
      <c r="BO1046" t="s">
        <v>74</v>
      </c>
      <c r="BP1046" t="s">
        <v>74</v>
      </c>
      <c r="BQ1046" t="s">
        <v>74</v>
      </c>
      <c r="BR1046" t="s">
        <v>104</v>
      </c>
      <c r="BS1046" t="s">
        <v>21558</v>
      </c>
      <c r="BT1046" t="str">
        <f>HYPERLINK("https%3A%2F%2Fwww.webofscience.com%2Fwos%2Fwoscc%2Ffull-record%2FWOS:000209370404353","View Full Record in Web of Science")</f>
        <v>View Full Record in Web of Science</v>
      </c>
    </row>
    <row r="1047" spans="1:72" x14ac:dyDescent="0.25">
      <c r="A1047" t="s">
        <v>72</v>
      </c>
      <c r="B1047" t="s">
        <v>21557</v>
      </c>
      <c r="C1047" t="s">
        <v>74</v>
      </c>
      <c r="D1047" t="s">
        <v>74</v>
      </c>
      <c r="E1047" t="s">
        <v>74</v>
      </c>
      <c r="F1047" t="s">
        <v>21556</v>
      </c>
      <c r="G1047" t="s">
        <v>74</v>
      </c>
      <c r="H1047" t="s">
        <v>74</v>
      </c>
      <c r="I1047" t="s">
        <v>21555</v>
      </c>
      <c r="J1047" t="s">
        <v>216</v>
      </c>
      <c r="K1047" t="s">
        <v>74</v>
      </c>
      <c r="L1047" t="s">
        <v>74</v>
      </c>
      <c r="M1047" t="s">
        <v>78</v>
      </c>
      <c r="N1047" t="s">
        <v>52</v>
      </c>
      <c r="O1047" t="s">
        <v>74</v>
      </c>
      <c r="P1047" t="s">
        <v>74</v>
      </c>
      <c r="Q1047" t="s">
        <v>74</v>
      </c>
      <c r="R1047" t="s">
        <v>74</v>
      </c>
      <c r="S1047" t="s">
        <v>74</v>
      </c>
      <c r="T1047" t="s">
        <v>21554</v>
      </c>
      <c r="U1047" t="s">
        <v>74</v>
      </c>
      <c r="V1047" t="s">
        <v>74</v>
      </c>
      <c r="W1047" t="s">
        <v>21553</v>
      </c>
      <c r="X1047" t="s">
        <v>21552</v>
      </c>
      <c r="Y1047" t="s">
        <v>74</v>
      </c>
      <c r="Z1047" t="s">
        <v>21551</v>
      </c>
      <c r="AA1047" t="s">
        <v>21550</v>
      </c>
      <c r="AB1047" t="s">
        <v>21549</v>
      </c>
      <c r="AC1047" t="s">
        <v>74</v>
      </c>
      <c r="AD1047" t="s">
        <v>74</v>
      </c>
      <c r="AE1047" t="s">
        <v>74</v>
      </c>
      <c r="AF1047" t="s">
        <v>74</v>
      </c>
      <c r="AG1047">
        <v>0</v>
      </c>
      <c r="AH1047">
        <v>0</v>
      </c>
      <c r="AI1047">
        <v>0</v>
      </c>
      <c r="AJ1047">
        <v>0</v>
      </c>
      <c r="AK1047">
        <v>0</v>
      </c>
      <c r="AL1047" t="s">
        <v>219</v>
      </c>
      <c r="AM1047" t="s">
        <v>220</v>
      </c>
      <c r="AN1047" t="s">
        <v>221</v>
      </c>
      <c r="AO1047" t="s">
        <v>222</v>
      </c>
      <c r="AP1047" t="s">
        <v>223</v>
      </c>
      <c r="AQ1047" t="s">
        <v>74</v>
      </c>
      <c r="AR1047" t="s">
        <v>224</v>
      </c>
      <c r="AS1047" t="s">
        <v>225</v>
      </c>
      <c r="AT1047" t="s">
        <v>529</v>
      </c>
      <c r="AU1047">
        <v>2013</v>
      </c>
      <c r="AV1047">
        <v>42</v>
      </c>
      <c r="AW1047" t="s">
        <v>74</v>
      </c>
      <c r="AX1047" t="s">
        <v>74</v>
      </c>
      <c r="AY1047">
        <v>57</v>
      </c>
      <c r="AZ1047" t="s">
        <v>74</v>
      </c>
      <c r="BA1047">
        <v>4243</v>
      </c>
      <c r="BB1047" t="s">
        <v>74</v>
      </c>
      <c r="BC1047" t="s">
        <v>74</v>
      </c>
      <c r="BD1047" t="s">
        <v>74</v>
      </c>
      <c r="BE1047" t="s">
        <v>74</v>
      </c>
      <c r="BF1047" t="s">
        <v>74</v>
      </c>
      <c r="BG1047" t="s">
        <v>74</v>
      </c>
      <c r="BH1047" t="s">
        <v>74</v>
      </c>
      <c r="BI1047">
        <v>1</v>
      </c>
      <c r="BJ1047" t="s">
        <v>228</v>
      </c>
      <c r="BK1047" t="s">
        <v>101</v>
      </c>
      <c r="BL1047" t="s">
        <v>228</v>
      </c>
      <c r="BM1047" t="s">
        <v>21500</v>
      </c>
      <c r="BN1047" t="s">
        <v>74</v>
      </c>
      <c r="BO1047" t="s">
        <v>74</v>
      </c>
      <c r="BP1047" t="s">
        <v>74</v>
      </c>
      <c r="BQ1047" t="s">
        <v>74</v>
      </c>
      <c r="BR1047" t="s">
        <v>104</v>
      </c>
      <c r="BS1047" t="s">
        <v>21548</v>
      </c>
      <c r="BT1047" t="str">
        <f>HYPERLINK("https%3A%2F%2Fwww.webofscience.com%2Fwos%2Fwoscc%2Ffull-record%2FWOS:000209370404349","View Full Record in Web of Science")</f>
        <v>View Full Record in Web of Science</v>
      </c>
    </row>
    <row r="1048" spans="1:72" x14ac:dyDescent="0.25">
      <c r="A1048" t="s">
        <v>72</v>
      </c>
      <c r="B1048" t="s">
        <v>21171</v>
      </c>
      <c r="C1048" t="s">
        <v>74</v>
      </c>
      <c r="D1048" t="s">
        <v>74</v>
      </c>
      <c r="E1048" t="s">
        <v>74</v>
      </c>
      <c r="F1048" t="s">
        <v>21170</v>
      </c>
      <c r="G1048" t="s">
        <v>74</v>
      </c>
      <c r="H1048" t="s">
        <v>74</v>
      </c>
      <c r="I1048" t="s">
        <v>21547</v>
      </c>
      <c r="J1048" t="s">
        <v>216</v>
      </c>
      <c r="K1048" t="s">
        <v>74</v>
      </c>
      <c r="L1048" t="s">
        <v>74</v>
      </c>
      <c r="M1048" t="s">
        <v>78</v>
      </c>
      <c r="N1048" t="s">
        <v>52</v>
      </c>
      <c r="O1048" t="s">
        <v>74</v>
      </c>
      <c r="P1048" t="s">
        <v>74</v>
      </c>
      <c r="Q1048" t="s">
        <v>74</v>
      </c>
      <c r="R1048" t="s">
        <v>74</v>
      </c>
      <c r="S1048" t="s">
        <v>74</v>
      </c>
      <c r="T1048" t="s">
        <v>20513</v>
      </c>
      <c r="U1048" t="s">
        <v>74</v>
      </c>
      <c r="V1048" t="s">
        <v>74</v>
      </c>
      <c r="W1048" t="s">
        <v>21546</v>
      </c>
      <c r="X1048" t="s">
        <v>21545</v>
      </c>
      <c r="Y1048" t="s">
        <v>74</v>
      </c>
      <c r="Z1048" t="s">
        <v>21544</v>
      </c>
      <c r="AA1048" t="s">
        <v>21543</v>
      </c>
      <c r="AB1048" t="s">
        <v>19620</v>
      </c>
      <c r="AC1048" t="s">
        <v>74</v>
      </c>
      <c r="AD1048" t="s">
        <v>74</v>
      </c>
      <c r="AE1048" t="s">
        <v>74</v>
      </c>
      <c r="AF1048" t="s">
        <v>74</v>
      </c>
      <c r="AG1048">
        <v>0</v>
      </c>
      <c r="AH1048">
        <v>0</v>
      </c>
      <c r="AI1048">
        <v>0</v>
      </c>
      <c r="AJ1048">
        <v>0</v>
      </c>
      <c r="AK1048">
        <v>0</v>
      </c>
      <c r="AL1048" t="s">
        <v>219</v>
      </c>
      <c r="AM1048" t="s">
        <v>220</v>
      </c>
      <c r="AN1048" t="s">
        <v>221</v>
      </c>
      <c r="AO1048" t="s">
        <v>222</v>
      </c>
      <c r="AP1048" t="s">
        <v>223</v>
      </c>
      <c r="AQ1048" t="s">
        <v>74</v>
      </c>
      <c r="AR1048" t="s">
        <v>224</v>
      </c>
      <c r="AS1048" t="s">
        <v>225</v>
      </c>
      <c r="AT1048" t="s">
        <v>529</v>
      </c>
      <c r="AU1048">
        <v>2013</v>
      </c>
      <c r="AV1048">
        <v>42</v>
      </c>
      <c r="AW1048" t="s">
        <v>74</v>
      </c>
      <c r="AX1048" t="s">
        <v>74</v>
      </c>
      <c r="AY1048">
        <v>57</v>
      </c>
      <c r="AZ1048" t="s">
        <v>74</v>
      </c>
      <c r="BA1048">
        <v>787</v>
      </c>
      <c r="BB1048" t="s">
        <v>74</v>
      </c>
      <c r="BC1048" t="s">
        <v>74</v>
      </c>
      <c r="BD1048" t="s">
        <v>74</v>
      </c>
      <c r="BE1048" t="s">
        <v>74</v>
      </c>
      <c r="BF1048" t="s">
        <v>74</v>
      </c>
      <c r="BG1048" t="s">
        <v>74</v>
      </c>
      <c r="BH1048" t="s">
        <v>74</v>
      </c>
      <c r="BI1048">
        <v>2</v>
      </c>
      <c r="BJ1048" t="s">
        <v>228</v>
      </c>
      <c r="BK1048" t="s">
        <v>101</v>
      </c>
      <c r="BL1048" t="s">
        <v>228</v>
      </c>
      <c r="BM1048" t="s">
        <v>21500</v>
      </c>
      <c r="BN1048" t="s">
        <v>74</v>
      </c>
      <c r="BO1048" t="s">
        <v>74</v>
      </c>
      <c r="BP1048" t="s">
        <v>74</v>
      </c>
      <c r="BQ1048" t="s">
        <v>74</v>
      </c>
      <c r="BR1048" t="s">
        <v>104</v>
      </c>
      <c r="BS1048" t="s">
        <v>21542</v>
      </c>
      <c r="BT1048" t="str">
        <f>HYPERLINK("https%3A%2F%2Fwww.webofscience.com%2Fwos%2Fwoscc%2Ffull-record%2FWOS:000209370404108","View Full Record in Web of Science")</f>
        <v>View Full Record in Web of Science</v>
      </c>
    </row>
    <row r="1049" spans="1:72" x14ac:dyDescent="0.25">
      <c r="A1049" t="s">
        <v>72</v>
      </c>
      <c r="B1049" t="s">
        <v>21541</v>
      </c>
      <c r="C1049" t="s">
        <v>74</v>
      </c>
      <c r="D1049" t="s">
        <v>74</v>
      </c>
      <c r="E1049" t="s">
        <v>74</v>
      </c>
      <c r="F1049" t="s">
        <v>21540</v>
      </c>
      <c r="G1049" t="s">
        <v>74</v>
      </c>
      <c r="H1049" t="s">
        <v>74</v>
      </c>
      <c r="I1049" t="s">
        <v>21539</v>
      </c>
      <c r="J1049" t="s">
        <v>216</v>
      </c>
      <c r="K1049" t="s">
        <v>74</v>
      </c>
      <c r="L1049" t="s">
        <v>74</v>
      </c>
      <c r="M1049" t="s">
        <v>78</v>
      </c>
      <c r="N1049" t="s">
        <v>52</v>
      </c>
      <c r="O1049" t="s">
        <v>74</v>
      </c>
      <c r="P1049" t="s">
        <v>74</v>
      </c>
      <c r="Q1049" t="s">
        <v>74</v>
      </c>
      <c r="R1049" t="s">
        <v>74</v>
      </c>
      <c r="S1049" t="s">
        <v>74</v>
      </c>
      <c r="T1049" t="s">
        <v>21538</v>
      </c>
      <c r="U1049" t="s">
        <v>74</v>
      </c>
      <c r="V1049" t="s">
        <v>74</v>
      </c>
      <c r="W1049" t="s">
        <v>21537</v>
      </c>
      <c r="X1049" t="s">
        <v>21536</v>
      </c>
      <c r="Y1049" t="s">
        <v>74</v>
      </c>
      <c r="Z1049" t="s">
        <v>21535</v>
      </c>
      <c r="AA1049" t="s">
        <v>21534</v>
      </c>
      <c r="AB1049" t="s">
        <v>74</v>
      </c>
      <c r="AC1049" t="s">
        <v>74</v>
      </c>
      <c r="AD1049" t="s">
        <v>74</v>
      </c>
      <c r="AE1049" t="s">
        <v>74</v>
      </c>
      <c r="AF1049" t="s">
        <v>74</v>
      </c>
      <c r="AG1049">
        <v>0</v>
      </c>
      <c r="AH1049">
        <v>0</v>
      </c>
      <c r="AI1049">
        <v>0</v>
      </c>
      <c r="AJ1049">
        <v>0</v>
      </c>
      <c r="AK1049">
        <v>0</v>
      </c>
      <c r="AL1049" t="s">
        <v>219</v>
      </c>
      <c r="AM1049" t="s">
        <v>220</v>
      </c>
      <c r="AN1049" t="s">
        <v>221</v>
      </c>
      <c r="AO1049" t="s">
        <v>222</v>
      </c>
      <c r="AP1049" t="s">
        <v>223</v>
      </c>
      <c r="AQ1049" t="s">
        <v>74</v>
      </c>
      <c r="AR1049" t="s">
        <v>224</v>
      </c>
      <c r="AS1049" t="s">
        <v>225</v>
      </c>
      <c r="AT1049" t="s">
        <v>529</v>
      </c>
      <c r="AU1049">
        <v>2013</v>
      </c>
      <c r="AV1049">
        <v>42</v>
      </c>
      <c r="AW1049" t="s">
        <v>74</v>
      </c>
      <c r="AX1049" t="s">
        <v>74</v>
      </c>
      <c r="AY1049">
        <v>57</v>
      </c>
      <c r="AZ1049" t="s">
        <v>74</v>
      </c>
      <c r="BA1049">
        <v>7064</v>
      </c>
      <c r="BB1049" t="s">
        <v>74</v>
      </c>
      <c r="BC1049" t="s">
        <v>74</v>
      </c>
      <c r="BD1049" t="s">
        <v>74</v>
      </c>
      <c r="BE1049" t="s">
        <v>74</v>
      </c>
      <c r="BF1049" t="s">
        <v>74</v>
      </c>
      <c r="BG1049" t="s">
        <v>74</v>
      </c>
      <c r="BH1049" t="s">
        <v>74</v>
      </c>
      <c r="BI1049">
        <v>1</v>
      </c>
      <c r="BJ1049" t="s">
        <v>228</v>
      </c>
      <c r="BK1049" t="s">
        <v>101</v>
      </c>
      <c r="BL1049" t="s">
        <v>228</v>
      </c>
      <c r="BM1049" t="s">
        <v>21500</v>
      </c>
      <c r="BN1049" t="s">
        <v>74</v>
      </c>
      <c r="BO1049" t="s">
        <v>74</v>
      </c>
      <c r="BP1049" t="s">
        <v>74</v>
      </c>
      <c r="BQ1049" t="s">
        <v>74</v>
      </c>
      <c r="BR1049" t="s">
        <v>104</v>
      </c>
      <c r="BS1049" t="s">
        <v>21533</v>
      </c>
      <c r="BT1049" t="str">
        <f>HYPERLINK("https%3A%2F%2Fwww.webofscience.com%2Fwos%2Fwoscc%2Ffull-record%2FWOS:000209370400134","View Full Record in Web of Science")</f>
        <v>View Full Record in Web of Science</v>
      </c>
    </row>
    <row r="1050" spans="1:72" x14ac:dyDescent="0.25">
      <c r="A1050" t="s">
        <v>72</v>
      </c>
      <c r="B1050" t="s">
        <v>21532</v>
      </c>
      <c r="C1050" t="s">
        <v>74</v>
      </c>
      <c r="D1050" t="s">
        <v>74</v>
      </c>
      <c r="E1050" t="s">
        <v>74</v>
      </c>
      <c r="F1050" t="s">
        <v>21531</v>
      </c>
      <c r="G1050" t="s">
        <v>74</v>
      </c>
      <c r="H1050" t="s">
        <v>74</v>
      </c>
      <c r="I1050" t="s">
        <v>21530</v>
      </c>
      <c r="J1050" t="s">
        <v>216</v>
      </c>
      <c r="K1050" t="s">
        <v>74</v>
      </c>
      <c r="L1050" t="s">
        <v>74</v>
      </c>
      <c r="M1050" t="s">
        <v>78</v>
      </c>
      <c r="N1050" t="s">
        <v>52</v>
      </c>
      <c r="O1050" t="s">
        <v>74</v>
      </c>
      <c r="P1050" t="s">
        <v>74</v>
      </c>
      <c r="Q1050" t="s">
        <v>74</v>
      </c>
      <c r="R1050" t="s">
        <v>74</v>
      </c>
      <c r="S1050" t="s">
        <v>74</v>
      </c>
      <c r="T1050" t="s">
        <v>21529</v>
      </c>
      <c r="U1050" t="s">
        <v>74</v>
      </c>
      <c r="V1050" t="s">
        <v>74</v>
      </c>
      <c r="W1050" t="s">
        <v>21528</v>
      </c>
      <c r="X1050" t="s">
        <v>21527</v>
      </c>
      <c r="Y1050" t="s">
        <v>74</v>
      </c>
      <c r="Z1050" t="s">
        <v>21526</v>
      </c>
      <c r="AA1050" t="s">
        <v>21525</v>
      </c>
      <c r="AB1050" t="s">
        <v>21109</v>
      </c>
      <c r="AC1050" t="s">
        <v>74</v>
      </c>
      <c r="AD1050" t="s">
        <v>74</v>
      </c>
      <c r="AE1050" t="s">
        <v>74</v>
      </c>
      <c r="AF1050" t="s">
        <v>74</v>
      </c>
      <c r="AG1050">
        <v>0</v>
      </c>
      <c r="AH1050">
        <v>0</v>
      </c>
      <c r="AI1050">
        <v>0</v>
      </c>
      <c r="AJ1050">
        <v>0</v>
      </c>
      <c r="AK1050">
        <v>0</v>
      </c>
      <c r="AL1050" t="s">
        <v>219</v>
      </c>
      <c r="AM1050" t="s">
        <v>220</v>
      </c>
      <c r="AN1050" t="s">
        <v>221</v>
      </c>
      <c r="AO1050" t="s">
        <v>222</v>
      </c>
      <c r="AP1050" t="s">
        <v>223</v>
      </c>
      <c r="AQ1050" t="s">
        <v>74</v>
      </c>
      <c r="AR1050" t="s">
        <v>224</v>
      </c>
      <c r="AS1050" t="s">
        <v>225</v>
      </c>
      <c r="AT1050" t="s">
        <v>529</v>
      </c>
      <c r="AU1050">
        <v>2013</v>
      </c>
      <c r="AV1050">
        <v>42</v>
      </c>
      <c r="AW1050" t="s">
        <v>74</v>
      </c>
      <c r="AX1050" t="s">
        <v>74</v>
      </c>
      <c r="AY1050">
        <v>57</v>
      </c>
      <c r="AZ1050" t="s">
        <v>74</v>
      </c>
      <c r="BA1050">
        <v>3937</v>
      </c>
      <c r="BB1050" t="s">
        <v>74</v>
      </c>
      <c r="BC1050" t="s">
        <v>74</v>
      </c>
      <c r="BD1050" t="s">
        <v>74</v>
      </c>
      <c r="BE1050" t="s">
        <v>74</v>
      </c>
      <c r="BF1050" t="s">
        <v>74</v>
      </c>
      <c r="BG1050" t="s">
        <v>74</v>
      </c>
      <c r="BH1050" t="s">
        <v>74</v>
      </c>
      <c r="BI1050">
        <v>1</v>
      </c>
      <c r="BJ1050" t="s">
        <v>228</v>
      </c>
      <c r="BK1050" t="s">
        <v>101</v>
      </c>
      <c r="BL1050" t="s">
        <v>228</v>
      </c>
      <c r="BM1050" t="s">
        <v>21500</v>
      </c>
      <c r="BN1050" t="s">
        <v>74</v>
      </c>
      <c r="BO1050" t="s">
        <v>74</v>
      </c>
      <c r="BP1050" t="s">
        <v>74</v>
      </c>
      <c r="BQ1050" t="s">
        <v>74</v>
      </c>
      <c r="BR1050" t="s">
        <v>104</v>
      </c>
      <c r="BS1050" t="s">
        <v>21524</v>
      </c>
      <c r="BT1050" t="str">
        <f>HYPERLINK("https%3A%2F%2Fwww.webofscience.com%2Fwos%2Fwoscc%2Ffull-record%2FWOS:000209370402094","View Full Record in Web of Science")</f>
        <v>View Full Record in Web of Science</v>
      </c>
    </row>
    <row r="1051" spans="1:72" x14ac:dyDescent="0.25">
      <c r="A1051" t="s">
        <v>72</v>
      </c>
      <c r="B1051" t="s">
        <v>21523</v>
      </c>
      <c r="C1051" t="s">
        <v>74</v>
      </c>
      <c r="D1051" t="s">
        <v>74</v>
      </c>
      <c r="E1051" t="s">
        <v>74</v>
      </c>
      <c r="F1051" t="s">
        <v>21522</v>
      </c>
      <c r="G1051" t="s">
        <v>74</v>
      </c>
      <c r="H1051" t="s">
        <v>74</v>
      </c>
      <c r="I1051" t="s">
        <v>11902</v>
      </c>
      <c r="J1051" t="s">
        <v>216</v>
      </c>
      <c r="K1051" t="s">
        <v>74</v>
      </c>
      <c r="L1051" t="s">
        <v>74</v>
      </c>
      <c r="M1051" t="s">
        <v>78</v>
      </c>
      <c r="N1051" t="s">
        <v>52</v>
      </c>
      <c r="O1051" t="s">
        <v>74</v>
      </c>
      <c r="P1051" t="s">
        <v>74</v>
      </c>
      <c r="Q1051" t="s">
        <v>74</v>
      </c>
      <c r="R1051" t="s">
        <v>74</v>
      </c>
      <c r="S1051" t="s">
        <v>74</v>
      </c>
      <c r="T1051" t="s">
        <v>20600</v>
      </c>
      <c r="U1051" t="s">
        <v>74</v>
      </c>
      <c r="V1051" t="s">
        <v>74</v>
      </c>
      <c r="W1051" t="s">
        <v>21521</v>
      </c>
      <c r="X1051" t="s">
        <v>21520</v>
      </c>
      <c r="Y1051" t="s">
        <v>74</v>
      </c>
      <c r="Z1051" t="s">
        <v>21519</v>
      </c>
      <c r="AA1051" t="s">
        <v>21518</v>
      </c>
      <c r="AB1051" t="s">
        <v>11914</v>
      </c>
      <c r="AC1051" t="s">
        <v>74</v>
      </c>
      <c r="AD1051" t="s">
        <v>74</v>
      </c>
      <c r="AE1051" t="s">
        <v>74</v>
      </c>
      <c r="AF1051" t="s">
        <v>74</v>
      </c>
      <c r="AG1051">
        <v>0</v>
      </c>
      <c r="AH1051">
        <v>0</v>
      </c>
      <c r="AI1051">
        <v>0</v>
      </c>
      <c r="AJ1051">
        <v>0</v>
      </c>
      <c r="AK1051">
        <v>0</v>
      </c>
      <c r="AL1051" t="s">
        <v>219</v>
      </c>
      <c r="AM1051" t="s">
        <v>220</v>
      </c>
      <c r="AN1051" t="s">
        <v>221</v>
      </c>
      <c r="AO1051" t="s">
        <v>222</v>
      </c>
      <c r="AP1051" t="s">
        <v>223</v>
      </c>
      <c r="AQ1051" t="s">
        <v>74</v>
      </c>
      <c r="AR1051" t="s">
        <v>224</v>
      </c>
      <c r="AS1051" t="s">
        <v>225</v>
      </c>
      <c r="AT1051" t="s">
        <v>529</v>
      </c>
      <c r="AU1051">
        <v>2013</v>
      </c>
      <c r="AV1051">
        <v>42</v>
      </c>
      <c r="AW1051" t="s">
        <v>74</v>
      </c>
      <c r="AX1051" t="s">
        <v>74</v>
      </c>
      <c r="AY1051">
        <v>57</v>
      </c>
      <c r="AZ1051" t="s">
        <v>74</v>
      </c>
      <c r="BA1051">
        <v>3995</v>
      </c>
      <c r="BB1051" t="s">
        <v>74</v>
      </c>
      <c r="BC1051" t="s">
        <v>74</v>
      </c>
      <c r="BD1051" t="s">
        <v>74</v>
      </c>
      <c r="BE1051" t="s">
        <v>74</v>
      </c>
      <c r="BF1051" t="s">
        <v>74</v>
      </c>
      <c r="BG1051" t="s">
        <v>74</v>
      </c>
      <c r="BH1051" t="s">
        <v>74</v>
      </c>
      <c r="BI1051">
        <v>1</v>
      </c>
      <c r="BJ1051" t="s">
        <v>228</v>
      </c>
      <c r="BK1051" t="s">
        <v>101</v>
      </c>
      <c r="BL1051" t="s">
        <v>228</v>
      </c>
      <c r="BM1051" t="s">
        <v>21500</v>
      </c>
      <c r="BN1051" t="s">
        <v>74</v>
      </c>
      <c r="BO1051" t="s">
        <v>74</v>
      </c>
      <c r="BP1051" t="s">
        <v>74</v>
      </c>
      <c r="BQ1051" t="s">
        <v>74</v>
      </c>
      <c r="BR1051" t="s">
        <v>104</v>
      </c>
      <c r="BS1051" t="s">
        <v>21517</v>
      </c>
      <c r="BT1051" t="str">
        <f>HYPERLINK("https%3A%2F%2Fwww.webofscience.com%2Fwos%2Fwoscc%2Ffull-record%2FWOS:000209370402647","View Full Record in Web of Science")</f>
        <v>View Full Record in Web of Science</v>
      </c>
    </row>
    <row r="1052" spans="1:72" x14ac:dyDescent="0.25">
      <c r="A1052" t="s">
        <v>72</v>
      </c>
      <c r="B1052" t="s">
        <v>21516</v>
      </c>
      <c r="C1052" t="s">
        <v>74</v>
      </c>
      <c r="D1052" t="s">
        <v>74</v>
      </c>
      <c r="E1052" t="s">
        <v>74</v>
      </c>
      <c r="F1052" t="s">
        <v>21515</v>
      </c>
      <c r="G1052" t="s">
        <v>74</v>
      </c>
      <c r="H1052" t="s">
        <v>74</v>
      </c>
      <c r="I1052" t="s">
        <v>21514</v>
      </c>
      <c r="J1052" t="s">
        <v>216</v>
      </c>
      <c r="K1052" t="s">
        <v>74</v>
      </c>
      <c r="L1052" t="s">
        <v>74</v>
      </c>
      <c r="M1052" t="s">
        <v>78</v>
      </c>
      <c r="N1052" t="s">
        <v>52</v>
      </c>
      <c r="O1052" t="s">
        <v>74</v>
      </c>
      <c r="P1052" t="s">
        <v>74</v>
      </c>
      <c r="Q1052" t="s">
        <v>74</v>
      </c>
      <c r="R1052" t="s">
        <v>74</v>
      </c>
      <c r="S1052" t="s">
        <v>74</v>
      </c>
      <c r="T1052" t="s">
        <v>21513</v>
      </c>
      <c r="U1052" t="s">
        <v>74</v>
      </c>
      <c r="V1052" t="s">
        <v>74</v>
      </c>
      <c r="W1052" t="s">
        <v>21512</v>
      </c>
      <c r="X1052" t="s">
        <v>21511</v>
      </c>
      <c r="Y1052" t="s">
        <v>74</v>
      </c>
      <c r="Z1052" t="s">
        <v>21510</v>
      </c>
      <c r="AA1052" t="s">
        <v>21509</v>
      </c>
      <c r="AB1052" t="s">
        <v>9470</v>
      </c>
      <c r="AC1052" t="s">
        <v>74</v>
      </c>
      <c r="AD1052" t="s">
        <v>74</v>
      </c>
      <c r="AE1052" t="s">
        <v>74</v>
      </c>
      <c r="AF1052" t="s">
        <v>74</v>
      </c>
      <c r="AG1052">
        <v>0</v>
      </c>
      <c r="AH1052">
        <v>0</v>
      </c>
      <c r="AI1052">
        <v>0</v>
      </c>
      <c r="AJ1052">
        <v>0</v>
      </c>
      <c r="AK1052">
        <v>0</v>
      </c>
      <c r="AL1052" t="s">
        <v>219</v>
      </c>
      <c r="AM1052" t="s">
        <v>220</v>
      </c>
      <c r="AN1052" t="s">
        <v>221</v>
      </c>
      <c r="AO1052" t="s">
        <v>222</v>
      </c>
      <c r="AP1052" t="s">
        <v>223</v>
      </c>
      <c r="AQ1052" t="s">
        <v>74</v>
      </c>
      <c r="AR1052" t="s">
        <v>224</v>
      </c>
      <c r="AS1052" t="s">
        <v>225</v>
      </c>
      <c r="AT1052" t="s">
        <v>529</v>
      </c>
      <c r="AU1052">
        <v>2013</v>
      </c>
      <c r="AV1052">
        <v>42</v>
      </c>
      <c r="AW1052" t="s">
        <v>74</v>
      </c>
      <c r="AX1052" t="s">
        <v>74</v>
      </c>
      <c r="AY1052">
        <v>57</v>
      </c>
      <c r="AZ1052" t="s">
        <v>74</v>
      </c>
      <c r="BA1052">
        <v>2767</v>
      </c>
      <c r="BB1052" t="s">
        <v>74</v>
      </c>
      <c r="BC1052" t="s">
        <v>74</v>
      </c>
      <c r="BD1052" t="s">
        <v>74</v>
      </c>
      <c r="BE1052" t="s">
        <v>74</v>
      </c>
      <c r="BF1052" t="s">
        <v>74</v>
      </c>
      <c r="BG1052" t="s">
        <v>74</v>
      </c>
      <c r="BH1052" t="s">
        <v>74</v>
      </c>
      <c r="BI1052">
        <v>1</v>
      </c>
      <c r="BJ1052" t="s">
        <v>228</v>
      </c>
      <c r="BK1052" t="s">
        <v>101</v>
      </c>
      <c r="BL1052" t="s">
        <v>228</v>
      </c>
      <c r="BM1052" t="s">
        <v>21500</v>
      </c>
      <c r="BN1052" t="s">
        <v>74</v>
      </c>
      <c r="BO1052" t="s">
        <v>74</v>
      </c>
      <c r="BP1052" t="s">
        <v>74</v>
      </c>
      <c r="BQ1052" t="s">
        <v>74</v>
      </c>
      <c r="BR1052" t="s">
        <v>104</v>
      </c>
      <c r="BS1052" t="s">
        <v>21508</v>
      </c>
      <c r="BT1052" t="str">
        <f>HYPERLINK("https%3A%2F%2Fwww.webofscience.com%2Fwos%2Fwoscc%2Ffull-record%2FWOS:000209370400174","View Full Record in Web of Science")</f>
        <v>View Full Record in Web of Science</v>
      </c>
    </row>
    <row r="1053" spans="1:72" x14ac:dyDescent="0.25">
      <c r="A1053" t="s">
        <v>72</v>
      </c>
      <c r="B1053" t="s">
        <v>21507</v>
      </c>
      <c r="C1053" t="s">
        <v>74</v>
      </c>
      <c r="D1053" t="s">
        <v>74</v>
      </c>
      <c r="E1053" t="s">
        <v>74</v>
      </c>
      <c r="F1053" t="s">
        <v>21506</v>
      </c>
      <c r="G1053" t="s">
        <v>74</v>
      </c>
      <c r="H1053" t="s">
        <v>74</v>
      </c>
      <c r="I1053" t="s">
        <v>21505</v>
      </c>
      <c r="J1053" t="s">
        <v>216</v>
      </c>
      <c r="K1053" t="s">
        <v>74</v>
      </c>
      <c r="L1053" t="s">
        <v>74</v>
      </c>
      <c r="M1053" t="s">
        <v>78</v>
      </c>
      <c r="N1053" t="s">
        <v>52</v>
      </c>
      <c r="O1053" t="s">
        <v>74</v>
      </c>
      <c r="P1053" t="s">
        <v>74</v>
      </c>
      <c r="Q1053" t="s">
        <v>74</v>
      </c>
      <c r="R1053" t="s">
        <v>74</v>
      </c>
      <c r="S1053" t="s">
        <v>74</v>
      </c>
      <c r="T1053" t="s">
        <v>13221</v>
      </c>
      <c r="U1053" t="s">
        <v>74</v>
      </c>
      <c r="V1053" t="s">
        <v>74</v>
      </c>
      <c r="W1053" t="s">
        <v>21504</v>
      </c>
      <c r="X1053" t="s">
        <v>21503</v>
      </c>
      <c r="Y1053" t="s">
        <v>74</v>
      </c>
      <c r="Z1053" t="s">
        <v>21502</v>
      </c>
      <c r="AA1053" t="s">
        <v>21501</v>
      </c>
      <c r="AB1053" t="s">
        <v>5709</v>
      </c>
      <c r="AC1053" t="s">
        <v>74</v>
      </c>
      <c r="AD1053" t="s">
        <v>74</v>
      </c>
      <c r="AE1053" t="s">
        <v>74</v>
      </c>
      <c r="AF1053" t="s">
        <v>74</v>
      </c>
      <c r="AG1053">
        <v>0</v>
      </c>
      <c r="AH1053">
        <v>0</v>
      </c>
      <c r="AI1053">
        <v>0</v>
      </c>
      <c r="AJ1053">
        <v>0</v>
      </c>
      <c r="AK1053">
        <v>0</v>
      </c>
      <c r="AL1053" t="s">
        <v>219</v>
      </c>
      <c r="AM1053" t="s">
        <v>220</v>
      </c>
      <c r="AN1053" t="s">
        <v>221</v>
      </c>
      <c r="AO1053" t="s">
        <v>222</v>
      </c>
      <c r="AP1053" t="s">
        <v>223</v>
      </c>
      <c r="AQ1053" t="s">
        <v>74</v>
      </c>
      <c r="AR1053" t="s">
        <v>224</v>
      </c>
      <c r="AS1053" t="s">
        <v>225</v>
      </c>
      <c r="AT1053" t="s">
        <v>529</v>
      </c>
      <c r="AU1053">
        <v>2013</v>
      </c>
      <c r="AV1053">
        <v>42</v>
      </c>
      <c r="AW1053" t="s">
        <v>74</v>
      </c>
      <c r="AX1053" t="s">
        <v>74</v>
      </c>
      <c r="AY1053">
        <v>57</v>
      </c>
      <c r="AZ1053" t="s">
        <v>74</v>
      </c>
      <c r="BA1053">
        <v>3074</v>
      </c>
      <c r="BB1053" t="s">
        <v>74</v>
      </c>
      <c r="BC1053" t="s">
        <v>74</v>
      </c>
      <c r="BD1053" t="s">
        <v>74</v>
      </c>
      <c r="BE1053" t="s">
        <v>74</v>
      </c>
      <c r="BF1053" t="s">
        <v>74</v>
      </c>
      <c r="BG1053" t="s">
        <v>74</v>
      </c>
      <c r="BH1053" t="s">
        <v>74</v>
      </c>
      <c r="BI1053">
        <v>1</v>
      </c>
      <c r="BJ1053" t="s">
        <v>228</v>
      </c>
      <c r="BK1053" t="s">
        <v>101</v>
      </c>
      <c r="BL1053" t="s">
        <v>228</v>
      </c>
      <c r="BM1053" t="s">
        <v>21500</v>
      </c>
      <c r="BN1053" t="s">
        <v>74</v>
      </c>
      <c r="BO1053" t="s">
        <v>74</v>
      </c>
      <c r="BP1053" t="s">
        <v>74</v>
      </c>
      <c r="BQ1053" t="s">
        <v>74</v>
      </c>
      <c r="BR1053" t="s">
        <v>104</v>
      </c>
      <c r="BS1053" t="s">
        <v>21499</v>
      </c>
      <c r="BT1053" t="str">
        <f>HYPERLINK("https%3A%2F%2Fwww.webofscience.com%2Fwos%2Fwoscc%2Ffull-record%2FWOS:000209370400139","View Full Record in Web of Science")</f>
        <v>View Full Record in Web of Science</v>
      </c>
    </row>
    <row r="1054" spans="1:72" x14ac:dyDescent="0.25">
      <c r="A1054" t="s">
        <v>72</v>
      </c>
      <c r="B1054" t="s">
        <v>21498</v>
      </c>
      <c r="C1054" t="s">
        <v>74</v>
      </c>
      <c r="D1054" t="s">
        <v>74</v>
      </c>
      <c r="E1054" t="s">
        <v>74</v>
      </c>
      <c r="F1054" t="s">
        <v>21497</v>
      </c>
      <c r="G1054" t="s">
        <v>74</v>
      </c>
      <c r="H1054" t="s">
        <v>74</v>
      </c>
      <c r="I1054" t="s">
        <v>21496</v>
      </c>
      <c r="J1054" t="s">
        <v>324</v>
      </c>
      <c r="K1054" t="s">
        <v>74</v>
      </c>
      <c r="L1054" t="s">
        <v>74</v>
      </c>
      <c r="M1054" t="s">
        <v>78</v>
      </c>
      <c r="N1054" t="s">
        <v>79</v>
      </c>
      <c r="O1054" t="s">
        <v>74</v>
      </c>
      <c r="P1054" t="s">
        <v>74</v>
      </c>
      <c r="Q1054" t="s">
        <v>74</v>
      </c>
      <c r="R1054" t="s">
        <v>74</v>
      </c>
      <c r="S1054" t="s">
        <v>74</v>
      </c>
      <c r="T1054" t="s">
        <v>74</v>
      </c>
      <c r="U1054" t="s">
        <v>21495</v>
      </c>
      <c r="V1054" t="s">
        <v>21494</v>
      </c>
      <c r="W1054" t="s">
        <v>21493</v>
      </c>
      <c r="X1054" t="s">
        <v>21492</v>
      </c>
      <c r="Y1054" t="s">
        <v>21491</v>
      </c>
      <c r="Z1054" t="s">
        <v>3402</v>
      </c>
      <c r="AA1054" t="s">
        <v>21490</v>
      </c>
      <c r="AB1054" t="s">
        <v>21489</v>
      </c>
      <c r="AC1054" t="s">
        <v>19125</v>
      </c>
      <c r="AD1054" t="s">
        <v>19125</v>
      </c>
      <c r="AE1054" t="s">
        <v>21488</v>
      </c>
      <c r="AF1054" t="s">
        <v>74</v>
      </c>
      <c r="AG1054">
        <v>28</v>
      </c>
      <c r="AH1054">
        <v>147</v>
      </c>
      <c r="AI1054">
        <v>152</v>
      </c>
      <c r="AJ1054">
        <v>0</v>
      </c>
      <c r="AK1054">
        <v>14</v>
      </c>
      <c r="AL1054" t="s">
        <v>7467</v>
      </c>
      <c r="AM1054" t="s">
        <v>93</v>
      </c>
      <c r="AN1054" t="s">
        <v>7468</v>
      </c>
      <c r="AO1054" t="s">
        <v>337</v>
      </c>
      <c r="AP1054" t="s">
        <v>74</v>
      </c>
      <c r="AQ1054" t="s">
        <v>74</v>
      </c>
      <c r="AR1054" t="s">
        <v>324</v>
      </c>
      <c r="AS1054" t="s">
        <v>339</v>
      </c>
      <c r="AT1054" t="s">
        <v>725</v>
      </c>
      <c r="AU1054">
        <v>2013</v>
      </c>
      <c r="AV1054">
        <v>144</v>
      </c>
      <c r="AW1054">
        <v>2</v>
      </c>
      <c r="AX1054" t="s">
        <v>74</v>
      </c>
      <c r="AY1054" t="s">
        <v>74</v>
      </c>
      <c r="AZ1054" t="s">
        <v>74</v>
      </c>
      <c r="BA1054" t="s">
        <v>74</v>
      </c>
      <c r="BB1054">
        <v>411</v>
      </c>
      <c r="BC1054">
        <v>419</v>
      </c>
      <c r="BD1054" t="s">
        <v>74</v>
      </c>
      <c r="BE1054" t="s">
        <v>21487</v>
      </c>
      <c r="BF1054" t="str">
        <f>HYPERLINK("http://dx.doi.org/10.1378/chest.12-1961","http://dx.doi.org/10.1378/chest.12-1961")</f>
        <v>http://dx.doi.org/10.1378/chest.12-1961</v>
      </c>
      <c r="BG1054" t="s">
        <v>74</v>
      </c>
      <c r="BH1054" t="s">
        <v>74</v>
      </c>
      <c r="BI1054">
        <v>9</v>
      </c>
      <c r="BJ1054" t="s">
        <v>341</v>
      </c>
      <c r="BK1054" t="s">
        <v>101</v>
      </c>
      <c r="BL1054" t="s">
        <v>342</v>
      </c>
      <c r="BM1054" t="s">
        <v>21486</v>
      </c>
      <c r="BN1054">
        <v>23579324</v>
      </c>
      <c r="BO1054" t="s">
        <v>74</v>
      </c>
      <c r="BP1054" t="s">
        <v>74</v>
      </c>
      <c r="BQ1054" t="s">
        <v>74</v>
      </c>
      <c r="BR1054" t="s">
        <v>104</v>
      </c>
      <c r="BS1054" t="s">
        <v>21485</v>
      </c>
      <c r="BT1054" t="str">
        <f>HYPERLINK("https%3A%2F%2Fwww.webofscience.com%2Fwos%2Fwoscc%2Ffull-record%2FWOS:000323021400013","View Full Record in Web of Science")</f>
        <v>View Full Record in Web of Science</v>
      </c>
    </row>
    <row r="1055" spans="1:72" x14ac:dyDescent="0.25">
      <c r="A1055" t="s">
        <v>72</v>
      </c>
      <c r="B1055" t="s">
        <v>21484</v>
      </c>
      <c r="C1055" t="s">
        <v>74</v>
      </c>
      <c r="D1055" t="s">
        <v>74</v>
      </c>
      <c r="E1055" t="s">
        <v>74</v>
      </c>
      <c r="F1055" t="s">
        <v>21483</v>
      </c>
      <c r="G1055" t="s">
        <v>74</v>
      </c>
      <c r="H1055" t="s">
        <v>74</v>
      </c>
      <c r="I1055" t="s">
        <v>21482</v>
      </c>
      <c r="J1055" t="s">
        <v>1068</v>
      </c>
      <c r="K1055" t="s">
        <v>74</v>
      </c>
      <c r="L1055" t="s">
        <v>74</v>
      </c>
      <c r="M1055" t="s">
        <v>78</v>
      </c>
      <c r="N1055" t="s">
        <v>52</v>
      </c>
      <c r="O1055" t="s">
        <v>12342</v>
      </c>
      <c r="P1055" t="s">
        <v>21481</v>
      </c>
      <c r="Q1055" t="s">
        <v>16604</v>
      </c>
      <c r="R1055" t="s">
        <v>5566</v>
      </c>
      <c r="S1055" t="s">
        <v>74</v>
      </c>
      <c r="T1055" t="s">
        <v>74</v>
      </c>
      <c r="U1055" t="s">
        <v>74</v>
      </c>
      <c r="V1055" t="s">
        <v>74</v>
      </c>
      <c r="W1055" t="s">
        <v>21480</v>
      </c>
      <c r="X1055" t="s">
        <v>21479</v>
      </c>
      <c r="Y1055" t="s">
        <v>74</v>
      </c>
      <c r="Z1055" t="s">
        <v>74</v>
      </c>
      <c r="AA1055" t="s">
        <v>21478</v>
      </c>
      <c r="AB1055" t="s">
        <v>1489</v>
      </c>
      <c r="AC1055" t="s">
        <v>74</v>
      </c>
      <c r="AD1055" t="s">
        <v>74</v>
      </c>
      <c r="AE1055" t="s">
        <v>74</v>
      </c>
      <c r="AF1055" t="s">
        <v>74</v>
      </c>
      <c r="AG1055">
        <v>0</v>
      </c>
      <c r="AH1055">
        <v>0</v>
      </c>
      <c r="AI1055">
        <v>0</v>
      </c>
      <c r="AJ1055">
        <v>0</v>
      </c>
      <c r="AK1055">
        <v>2</v>
      </c>
      <c r="AL1055" t="s">
        <v>1073</v>
      </c>
      <c r="AM1055" t="s">
        <v>1074</v>
      </c>
      <c r="AN1055" t="s">
        <v>1075</v>
      </c>
      <c r="AO1055" t="s">
        <v>1076</v>
      </c>
      <c r="AP1055" t="s">
        <v>1077</v>
      </c>
      <c r="AQ1055" t="s">
        <v>74</v>
      </c>
      <c r="AR1055" t="s">
        <v>1078</v>
      </c>
      <c r="AS1055" t="s">
        <v>1079</v>
      </c>
      <c r="AT1055" t="s">
        <v>725</v>
      </c>
      <c r="AU1055">
        <v>2013</v>
      </c>
      <c r="AV1055">
        <v>34</v>
      </c>
      <c r="AW1055" t="s">
        <v>74</v>
      </c>
      <c r="AX1055" t="s">
        <v>74</v>
      </c>
      <c r="AY1055">
        <v>1</v>
      </c>
      <c r="AZ1055" t="s">
        <v>74</v>
      </c>
      <c r="BA1055" t="s">
        <v>74</v>
      </c>
      <c r="BB1055">
        <v>45</v>
      </c>
      <c r="BC1055">
        <v>46</v>
      </c>
      <c r="BD1055" t="s">
        <v>74</v>
      </c>
      <c r="BE1055" t="s">
        <v>74</v>
      </c>
      <c r="BF1055" t="s">
        <v>74</v>
      </c>
      <c r="BG1055" t="s">
        <v>74</v>
      </c>
      <c r="BH1055" t="s">
        <v>74</v>
      </c>
      <c r="BI1055">
        <v>2</v>
      </c>
      <c r="BJ1055" t="s">
        <v>132</v>
      </c>
      <c r="BK1055" t="s">
        <v>512</v>
      </c>
      <c r="BL1055" t="s">
        <v>133</v>
      </c>
      <c r="BM1055" t="s">
        <v>21477</v>
      </c>
      <c r="BN1055" t="s">
        <v>74</v>
      </c>
      <c r="BO1055" t="s">
        <v>74</v>
      </c>
      <c r="BP1055" t="s">
        <v>74</v>
      </c>
      <c r="BQ1055" t="s">
        <v>74</v>
      </c>
      <c r="BR1055" t="s">
        <v>104</v>
      </c>
      <c r="BS1055" t="s">
        <v>21476</v>
      </c>
      <c r="BT1055" t="str">
        <f>HYPERLINK("https%3A%2F%2Fwww.webofscience.com%2Fwos%2Fwoscc%2Ffull-record%2FWOS:000327744600155","View Full Record in Web of Science")</f>
        <v>View Full Record in Web of Science</v>
      </c>
    </row>
    <row r="1056" spans="1:72" x14ac:dyDescent="0.25">
      <c r="A1056" t="s">
        <v>72</v>
      </c>
      <c r="B1056" t="s">
        <v>21475</v>
      </c>
      <c r="C1056" t="s">
        <v>74</v>
      </c>
      <c r="D1056" t="s">
        <v>74</v>
      </c>
      <c r="E1056" t="s">
        <v>74</v>
      </c>
      <c r="F1056" t="s">
        <v>21474</v>
      </c>
      <c r="G1056" t="s">
        <v>74</v>
      </c>
      <c r="H1056" t="s">
        <v>74</v>
      </c>
      <c r="I1056" t="s">
        <v>21473</v>
      </c>
      <c r="J1056" t="s">
        <v>15500</v>
      </c>
      <c r="K1056" t="s">
        <v>74</v>
      </c>
      <c r="L1056" t="s">
        <v>74</v>
      </c>
      <c r="M1056" t="s">
        <v>78</v>
      </c>
      <c r="N1056" t="s">
        <v>79</v>
      </c>
      <c r="O1056" t="s">
        <v>74</v>
      </c>
      <c r="P1056" t="s">
        <v>74</v>
      </c>
      <c r="Q1056" t="s">
        <v>74</v>
      </c>
      <c r="R1056" t="s">
        <v>74</v>
      </c>
      <c r="S1056" t="s">
        <v>74</v>
      </c>
      <c r="T1056" t="s">
        <v>74</v>
      </c>
      <c r="U1056" t="s">
        <v>21472</v>
      </c>
      <c r="V1056" t="s">
        <v>21471</v>
      </c>
      <c r="W1056" t="s">
        <v>21470</v>
      </c>
      <c r="X1056" t="s">
        <v>21469</v>
      </c>
      <c r="Y1056" t="s">
        <v>21468</v>
      </c>
      <c r="Z1056" t="s">
        <v>13159</v>
      </c>
      <c r="AA1056" t="s">
        <v>21467</v>
      </c>
      <c r="AB1056" t="s">
        <v>21466</v>
      </c>
      <c r="AC1056" t="s">
        <v>21465</v>
      </c>
      <c r="AD1056" t="s">
        <v>21464</v>
      </c>
      <c r="AE1056" t="s">
        <v>21463</v>
      </c>
      <c r="AF1056" t="s">
        <v>74</v>
      </c>
      <c r="AG1056">
        <v>57</v>
      </c>
      <c r="AH1056">
        <v>198</v>
      </c>
      <c r="AI1056">
        <v>210</v>
      </c>
      <c r="AJ1056">
        <v>0</v>
      </c>
      <c r="AK1056">
        <v>13</v>
      </c>
      <c r="AL1056" t="s">
        <v>169</v>
      </c>
      <c r="AM1056" t="s">
        <v>170</v>
      </c>
      <c r="AN1056" t="s">
        <v>171</v>
      </c>
      <c r="AO1056" t="s">
        <v>15491</v>
      </c>
      <c r="AP1056" t="s">
        <v>16087</v>
      </c>
      <c r="AQ1056" t="s">
        <v>74</v>
      </c>
      <c r="AR1056" t="s">
        <v>16086</v>
      </c>
      <c r="AS1056" t="s">
        <v>15489</v>
      </c>
      <c r="AT1056" t="s">
        <v>725</v>
      </c>
      <c r="AU1056">
        <v>2013</v>
      </c>
      <c r="AV1056">
        <v>65</v>
      </c>
      <c r="AW1056">
        <v>9</v>
      </c>
      <c r="AX1056" t="s">
        <v>74</v>
      </c>
      <c r="AY1056" t="s">
        <v>74</v>
      </c>
      <c r="AZ1056" t="s">
        <v>74</v>
      </c>
      <c r="BA1056" t="s">
        <v>74</v>
      </c>
      <c r="BB1056">
        <v>2412</v>
      </c>
      <c r="BC1056">
        <v>2423</v>
      </c>
      <c r="BD1056" t="s">
        <v>74</v>
      </c>
      <c r="BE1056" t="s">
        <v>21462</v>
      </c>
      <c r="BF1056" t="str">
        <f>HYPERLINK("http://dx.doi.org/10.1002/art.38029","http://dx.doi.org/10.1002/art.38029")</f>
        <v>http://dx.doi.org/10.1002/art.38029</v>
      </c>
      <c r="BG1056" t="s">
        <v>74</v>
      </c>
      <c r="BH1056" t="s">
        <v>74</v>
      </c>
      <c r="BI1056">
        <v>12</v>
      </c>
      <c r="BJ1056" t="s">
        <v>2369</v>
      </c>
      <c r="BK1056" t="s">
        <v>101</v>
      </c>
      <c r="BL1056" t="s">
        <v>2369</v>
      </c>
      <c r="BM1056" t="s">
        <v>21461</v>
      </c>
      <c r="BN1056">
        <v>23740572</v>
      </c>
      <c r="BO1056" t="s">
        <v>74</v>
      </c>
      <c r="BP1056" t="s">
        <v>74</v>
      </c>
      <c r="BQ1056" t="s">
        <v>74</v>
      </c>
      <c r="BR1056" t="s">
        <v>104</v>
      </c>
      <c r="BS1056" t="s">
        <v>21460</v>
      </c>
      <c r="BT1056" t="str">
        <f>HYPERLINK("https%3A%2F%2Fwww.webofscience.com%2Fwos%2Fwoscc%2Ffull-record%2FWOS:000323481400024","View Full Record in Web of Science")</f>
        <v>View Full Record in Web of Science</v>
      </c>
    </row>
    <row r="1057" spans="1:72" x14ac:dyDescent="0.25">
      <c r="A1057" t="s">
        <v>72</v>
      </c>
      <c r="B1057" t="s">
        <v>21459</v>
      </c>
      <c r="C1057" t="s">
        <v>74</v>
      </c>
      <c r="D1057" t="s">
        <v>74</v>
      </c>
      <c r="E1057" t="s">
        <v>74</v>
      </c>
      <c r="F1057" t="s">
        <v>21458</v>
      </c>
      <c r="G1057" t="s">
        <v>74</v>
      </c>
      <c r="H1057" t="s">
        <v>74</v>
      </c>
      <c r="I1057" t="s">
        <v>21457</v>
      </c>
      <c r="J1057" t="s">
        <v>251</v>
      </c>
      <c r="K1057" t="s">
        <v>74</v>
      </c>
      <c r="L1057" t="s">
        <v>74</v>
      </c>
      <c r="M1057" t="s">
        <v>78</v>
      </c>
      <c r="N1057" t="s">
        <v>79</v>
      </c>
      <c r="O1057" t="s">
        <v>74</v>
      </c>
      <c r="P1057" t="s">
        <v>74</v>
      </c>
      <c r="Q1057" t="s">
        <v>74</v>
      </c>
      <c r="R1057" t="s">
        <v>74</v>
      </c>
      <c r="S1057" t="s">
        <v>74</v>
      </c>
      <c r="T1057" t="s">
        <v>21456</v>
      </c>
      <c r="U1057" t="s">
        <v>21455</v>
      </c>
      <c r="V1057" t="s">
        <v>21454</v>
      </c>
      <c r="W1057" t="s">
        <v>21453</v>
      </c>
      <c r="X1057" t="s">
        <v>21452</v>
      </c>
      <c r="Y1057" t="s">
        <v>21451</v>
      </c>
      <c r="Z1057" t="s">
        <v>4580</v>
      </c>
      <c r="AA1057" t="s">
        <v>21450</v>
      </c>
      <c r="AB1057" t="s">
        <v>21449</v>
      </c>
      <c r="AC1057" t="s">
        <v>21448</v>
      </c>
      <c r="AD1057" t="s">
        <v>18870</v>
      </c>
      <c r="AE1057" t="s">
        <v>21447</v>
      </c>
      <c r="AF1057" t="s">
        <v>74</v>
      </c>
      <c r="AG1057">
        <v>42</v>
      </c>
      <c r="AH1057">
        <v>91</v>
      </c>
      <c r="AI1057">
        <v>96</v>
      </c>
      <c r="AJ1057">
        <v>1</v>
      </c>
      <c r="AK1057">
        <v>23</v>
      </c>
      <c r="AL1057" t="s">
        <v>122</v>
      </c>
      <c r="AM1057" t="s">
        <v>123</v>
      </c>
      <c r="AN1057" t="s">
        <v>14769</v>
      </c>
      <c r="AO1057" t="s">
        <v>258</v>
      </c>
      <c r="AP1057" t="s">
        <v>259</v>
      </c>
      <c r="AQ1057" t="s">
        <v>74</v>
      </c>
      <c r="AR1057" t="s">
        <v>251</v>
      </c>
      <c r="AS1057" t="s">
        <v>260</v>
      </c>
      <c r="AT1057" t="s">
        <v>12401</v>
      </c>
      <c r="AU1057">
        <v>2013</v>
      </c>
      <c r="AV1057">
        <v>128</v>
      </c>
      <c r="AW1057">
        <v>5</v>
      </c>
      <c r="AX1057" t="s">
        <v>74</v>
      </c>
      <c r="AY1057" t="s">
        <v>74</v>
      </c>
      <c r="AZ1057" t="s">
        <v>74</v>
      </c>
      <c r="BA1057" t="s">
        <v>74</v>
      </c>
      <c r="BB1057">
        <v>512</v>
      </c>
      <c r="BC1057" t="s">
        <v>21446</v>
      </c>
      <c r="BD1057" t="s">
        <v>74</v>
      </c>
      <c r="BE1057" t="s">
        <v>21445</v>
      </c>
      <c r="BF1057" t="str">
        <f>HYPERLINK("http://dx.doi.org/10.1161/CIRCULATIONAHA.113.001585","http://dx.doi.org/10.1161/CIRCULATIONAHA.113.001585")</f>
        <v>http://dx.doi.org/10.1161/CIRCULATIONAHA.113.001585</v>
      </c>
      <c r="BG1057" t="s">
        <v>74</v>
      </c>
      <c r="BH1057" t="s">
        <v>74</v>
      </c>
      <c r="BI1057">
        <v>23</v>
      </c>
      <c r="BJ1057" t="s">
        <v>263</v>
      </c>
      <c r="BK1057" t="s">
        <v>101</v>
      </c>
      <c r="BL1057" t="s">
        <v>133</v>
      </c>
      <c r="BM1057" t="s">
        <v>21444</v>
      </c>
      <c r="BN1057">
        <v>23804254</v>
      </c>
      <c r="BO1057" t="s">
        <v>4500</v>
      </c>
      <c r="BP1057" t="s">
        <v>74</v>
      </c>
      <c r="BQ1057" t="s">
        <v>74</v>
      </c>
      <c r="BR1057" t="s">
        <v>104</v>
      </c>
      <c r="BS1057" t="s">
        <v>21443</v>
      </c>
      <c r="BT1057" t="str">
        <f>HYPERLINK("https%3A%2F%2Fwww.webofscience.com%2Fwos%2Fwoscc%2Ffull-record%2FWOS:000330533000011","View Full Record in Web of Science")</f>
        <v>View Full Record in Web of Science</v>
      </c>
    </row>
    <row r="1058" spans="1:72" x14ac:dyDescent="0.25">
      <c r="A1058" t="s">
        <v>72</v>
      </c>
      <c r="B1058" t="s">
        <v>21442</v>
      </c>
      <c r="C1058" t="s">
        <v>74</v>
      </c>
      <c r="D1058" t="s">
        <v>74</v>
      </c>
      <c r="E1058" t="s">
        <v>74</v>
      </c>
      <c r="F1058" t="s">
        <v>21441</v>
      </c>
      <c r="G1058" t="s">
        <v>74</v>
      </c>
      <c r="H1058" t="s">
        <v>74</v>
      </c>
      <c r="I1058" t="s">
        <v>21440</v>
      </c>
      <c r="J1058" t="s">
        <v>2276</v>
      </c>
      <c r="K1058" t="s">
        <v>74</v>
      </c>
      <c r="L1058" t="s">
        <v>74</v>
      </c>
      <c r="M1058" t="s">
        <v>78</v>
      </c>
      <c r="N1058" t="s">
        <v>79</v>
      </c>
      <c r="O1058" t="s">
        <v>74</v>
      </c>
      <c r="P1058" t="s">
        <v>74</v>
      </c>
      <c r="Q1058" t="s">
        <v>74</v>
      </c>
      <c r="R1058" t="s">
        <v>74</v>
      </c>
      <c r="S1058" t="s">
        <v>74</v>
      </c>
      <c r="T1058" t="s">
        <v>74</v>
      </c>
      <c r="U1058" t="s">
        <v>21439</v>
      </c>
      <c r="V1058" t="s">
        <v>21438</v>
      </c>
      <c r="W1058" t="s">
        <v>21437</v>
      </c>
      <c r="X1058" t="s">
        <v>21436</v>
      </c>
      <c r="Y1058" t="s">
        <v>21435</v>
      </c>
      <c r="Z1058" t="s">
        <v>10329</v>
      </c>
      <c r="AA1058" t="s">
        <v>21434</v>
      </c>
      <c r="AB1058" t="s">
        <v>21433</v>
      </c>
      <c r="AC1058" t="s">
        <v>21432</v>
      </c>
      <c r="AD1058" t="s">
        <v>21431</v>
      </c>
      <c r="AE1058" t="s">
        <v>21430</v>
      </c>
      <c r="AF1058" t="s">
        <v>74</v>
      </c>
      <c r="AG1058">
        <v>25</v>
      </c>
      <c r="AH1058">
        <v>547</v>
      </c>
      <c r="AI1058">
        <v>624</v>
      </c>
      <c r="AJ1058">
        <v>3</v>
      </c>
      <c r="AK1058">
        <v>93</v>
      </c>
      <c r="AL1058" t="s">
        <v>2284</v>
      </c>
      <c r="AM1058" t="s">
        <v>2285</v>
      </c>
      <c r="AN1058" t="s">
        <v>2286</v>
      </c>
      <c r="AO1058" t="s">
        <v>2287</v>
      </c>
      <c r="AP1058" t="s">
        <v>2288</v>
      </c>
      <c r="AQ1058" t="s">
        <v>74</v>
      </c>
      <c r="AR1058" t="s">
        <v>2289</v>
      </c>
      <c r="AS1058" t="s">
        <v>2290</v>
      </c>
      <c r="AT1058" t="s">
        <v>21413</v>
      </c>
      <c r="AU1058">
        <v>2013</v>
      </c>
      <c r="AV1058">
        <v>369</v>
      </c>
      <c r="AW1058">
        <v>4</v>
      </c>
      <c r="AX1058" t="s">
        <v>74</v>
      </c>
      <c r="AY1058" t="s">
        <v>74</v>
      </c>
      <c r="AZ1058" t="s">
        <v>74</v>
      </c>
      <c r="BA1058" t="s">
        <v>74</v>
      </c>
      <c r="BB1058">
        <v>330</v>
      </c>
      <c r="BC1058">
        <v>340</v>
      </c>
      <c r="BD1058" t="s">
        <v>74</v>
      </c>
      <c r="BE1058" t="s">
        <v>21429</v>
      </c>
      <c r="BF1058" t="str">
        <f>HYPERLINK("http://dx.doi.org/10.1056/NEJMoa1209655","http://dx.doi.org/10.1056/NEJMoa1209655")</f>
        <v>http://dx.doi.org/10.1056/NEJMoa1209655</v>
      </c>
      <c r="BG1058" t="s">
        <v>74</v>
      </c>
      <c r="BH1058" t="s">
        <v>74</v>
      </c>
      <c r="BI1058">
        <v>11</v>
      </c>
      <c r="BJ1058" t="s">
        <v>1152</v>
      </c>
      <c r="BK1058" t="s">
        <v>101</v>
      </c>
      <c r="BL1058" t="s">
        <v>1153</v>
      </c>
      <c r="BM1058" t="s">
        <v>21411</v>
      </c>
      <c r="BN1058">
        <v>23883378</v>
      </c>
      <c r="BO1058" t="s">
        <v>1194</v>
      </c>
      <c r="BP1058" t="s">
        <v>74</v>
      </c>
      <c r="BQ1058" t="s">
        <v>74</v>
      </c>
      <c r="BR1058" t="s">
        <v>104</v>
      </c>
      <c r="BS1058" t="s">
        <v>21428</v>
      </c>
      <c r="BT1058" t="str">
        <f>HYPERLINK("https%3A%2F%2Fwww.webofscience.com%2Fwos%2Fwoscc%2Ffull-record%2FWOS:000322223900008","View Full Record in Web of Science")</f>
        <v>View Full Record in Web of Science</v>
      </c>
    </row>
    <row r="1059" spans="1:72" x14ac:dyDescent="0.25">
      <c r="A1059" t="s">
        <v>72</v>
      </c>
      <c r="B1059" t="s">
        <v>21427</v>
      </c>
      <c r="C1059" t="s">
        <v>74</v>
      </c>
      <c r="D1059" t="s">
        <v>74</v>
      </c>
      <c r="E1059" t="s">
        <v>74</v>
      </c>
      <c r="F1059" t="s">
        <v>21426</v>
      </c>
      <c r="G1059" t="s">
        <v>74</v>
      </c>
      <c r="H1059" t="s">
        <v>74</v>
      </c>
      <c r="I1059" t="s">
        <v>21425</v>
      </c>
      <c r="J1059" t="s">
        <v>2276</v>
      </c>
      <c r="K1059" t="s">
        <v>74</v>
      </c>
      <c r="L1059" t="s">
        <v>74</v>
      </c>
      <c r="M1059" t="s">
        <v>78</v>
      </c>
      <c r="N1059" t="s">
        <v>79</v>
      </c>
      <c r="O1059" t="s">
        <v>74</v>
      </c>
      <c r="P1059" t="s">
        <v>74</v>
      </c>
      <c r="Q1059" t="s">
        <v>74</v>
      </c>
      <c r="R1059" t="s">
        <v>74</v>
      </c>
      <c r="S1059" t="s">
        <v>74</v>
      </c>
      <c r="T1059" t="s">
        <v>74</v>
      </c>
      <c r="U1059" t="s">
        <v>21424</v>
      </c>
      <c r="V1059" t="s">
        <v>21423</v>
      </c>
      <c r="W1059" t="s">
        <v>21422</v>
      </c>
      <c r="X1059" t="s">
        <v>21421</v>
      </c>
      <c r="Y1059" t="s">
        <v>21420</v>
      </c>
      <c r="Z1059" t="s">
        <v>21419</v>
      </c>
      <c r="AA1059" t="s">
        <v>21418</v>
      </c>
      <c r="AB1059" t="s">
        <v>21417</v>
      </c>
      <c r="AC1059" t="s">
        <v>21416</v>
      </c>
      <c r="AD1059" t="s">
        <v>21415</v>
      </c>
      <c r="AE1059" t="s">
        <v>21414</v>
      </c>
      <c r="AF1059" t="s">
        <v>74</v>
      </c>
      <c r="AG1059">
        <v>36</v>
      </c>
      <c r="AH1059">
        <v>367</v>
      </c>
      <c r="AI1059">
        <v>397</v>
      </c>
      <c r="AJ1059">
        <v>0</v>
      </c>
      <c r="AK1059">
        <v>38</v>
      </c>
      <c r="AL1059" t="s">
        <v>2284</v>
      </c>
      <c r="AM1059" t="s">
        <v>2285</v>
      </c>
      <c r="AN1059" t="s">
        <v>2286</v>
      </c>
      <c r="AO1059" t="s">
        <v>2287</v>
      </c>
      <c r="AP1059" t="s">
        <v>2288</v>
      </c>
      <c r="AQ1059" t="s">
        <v>74</v>
      </c>
      <c r="AR1059" t="s">
        <v>2289</v>
      </c>
      <c r="AS1059" t="s">
        <v>2290</v>
      </c>
      <c r="AT1059" t="s">
        <v>21413</v>
      </c>
      <c r="AU1059">
        <v>2013</v>
      </c>
      <c r="AV1059">
        <v>369</v>
      </c>
      <c r="AW1059">
        <v>4</v>
      </c>
      <c r="AX1059" t="s">
        <v>74</v>
      </c>
      <c r="AY1059" t="s">
        <v>74</v>
      </c>
      <c r="AZ1059" t="s">
        <v>74</v>
      </c>
      <c r="BA1059" t="s">
        <v>74</v>
      </c>
      <c r="BB1059">
        <v>351</v>
      </c>
      <c r="BC1059">
        <v>361</v>
      </c>
      <c r="BD1059" t="s">
        <v>74</v>
      </c>
      <c r="BE1059" t="s">
        <v>21412</v>
      </c>
      <c r="BF1059" t="str">
        <f>HYPERLINK("http://dx.doi.org/10.1056/NEJMoa1211097","http://dx.doi.org/10.1056/NEJMoa1211097")</f>
        <v>http://dx.doi.org/10.1056/NEJMoa1211097</v>
      </c>
      <c r="BG1059" t="s">
        <v>74</v>
      </c>
      <c r="BH1059" t="s">
        <v>74</v>
      </c>
      <c r="BI1059">
        <v>11</v>
      </c>
      <c r="BJ1059" t="s">
        <v>1152</v>
      </c>
      <c r="BK1059" t="s">
        <v>101</v>
      </c>
      <c r="BL1059" t="s">
        <v>1153</v>
      </c>
      <c r="BM1059" t="s">
        <v>21411</v>
      </c>
      <c r="BN1059">
        <v>23883380</v>
      </c>
      <c r="BO1059" t="s">
        <v>13079</v>
      </c>
      <c r="BP1059" t="s">
        <v>74</v>
      </c>
      <c r="BQ1059" t="s">
        <v>74</v>
      </c>
      <c r="BR1059" t="s">
        <v>104</v>
      </c>
      <c r="BS1059" t="s">
        <v>21410</v>
      </c>
      <c r="BT1059" t="str">
        <f>HYPERLINK("https%3A%2F%2Fwww.webofscience.com%2Fwos%2Fwoscc%2Ffull-record%2FWOS:000322223900010","View Full Record in Web of Science")</f>
        <v>View Full Record in Web of Science</v>
      </c>
    </row>
    <row r="1060" spans="1:72" x14ac:dyDescent="0.25">
      <c r="A1060" t="s">
        <v>72</v>
      </c>
      <c r="B1060" t="s">
        <v>21409</v>
      </c>
      <c r="C1060" t="s">
        <v>74</v>
      </c>
      <c r="D1060" t="s">
        <v>74</v>
      </c>
      <c r="E1060" t="s">
        <v>74</v>
      </c>
      <c r="F1060" t="s">
        <v>21408</v>
      </c>
      <c r="G1060" t="s">
        <v>74</v>
      </c>
      <c r="H1060" t="s">
        <v>74</v>
      </c>
      <c r="I1060" t="s">
        <v>1700</v>
      </c>
      <c r="J1060" t="s">
        <v>4851</v>
      </c>
      <c r="K1060" t="s">
        <v>74</v>
      </c>
      <c r="L1060" t="s">
        <v>74</v>
      </c>
      <c r="M1060" t="s">
        <v>78</v>
      </c>
      <c r="N1060" t="s">
        <v>299</v>
      </c>
      <c r="O1060" t="s">
        <v>74</v>
      </c>
      <c r="P1060" t="s">
        <v>74</v>
      </c>
      <c r="Q1060" t="s">
        <v>74</v>
      </c>
      <c r="R1060" t="s">
        <v>74</v>
      </c>
      <c r="S1060" t="s">
        <v>74</v>
      </c>
      <c r="T1060" t="s">
        <v>74</v>
      </c>
      <c r="U1060" t="s">
        <v>21407</v>
      </c>
      <c r="V1060" t="s">
        <v>21406</v>
      </c>
      <c r="W1060" t="s">
        <v>21405</v>
      </c>
      <c r="X1060" t="s">
        <v>21404</v>
      </c>
      <c r="Y1060" t="s">
        <v>21403</v>
      </c>
      <c r="Z1060" t="s">
        <v>6688</v>
      </c>
      <c r="AA1060" t="s">
        <v>21402</v>
      </c>
      <c r="AB1060" t="s">
        <v>21401</v>
      </c>
      <c r="AC1060" t="s">
        <v>21400</v>
      </c>
      <c r="AD1060" t="s">
        <v>21399</v>
      </c>
      <c r="AE1060" t="s">
        <v>21398</v>
      </c>
      <c r="AF1060" t="s">
        <v>74</v>
      </c>
      <c r="AG1060">
        <v>278</v>
      </c>
      <c r="AH1060">
        <v>219</v>
      </c>
      <c r="AI1060">
        <v>261</v>
      </c>
      <c r="AJ1060">
        <v>0</v>
      </c>
      <c r="AK1060">
        <v>48</v>
      </c>
      <c r="AL1060" t="s">
        <v>1854</v>
      </c>
      <c r="AM1060" t="s">
        <v>201</v>
      </c>
      <c r="AN1060" t="s">
        <v>1855</v>
      </c>
      <c r="AO1060" t="s">
        <v>74</v>
      </c>
      <c r="AP1060" t="s">
        <v>4861</v>
      </c>
      <c r="AQ1060" t="s">
        <v>74</v>
      </c>
      <c r="AR1060" t="s">
        <v>4862</v>
      </c>
      <c r="AS1060" t="s">
        <v>4863</v>
      </c>
      <c r="AT1060" t="s">
        <v>4586</v>
      </c>
      <c r="AU1060">
        <v>2013</v>
      </c>
      <c r="AV1060">
        <v>8</v>
      </c>
      <c r="AW1060" t="s">
        <v>74</v>
      </c>
      <c r="AX1060" t="s">
        <v>74</v>
      </c>
      <c r="AY1060" t="s">
        <v>74</v>
      </c>
      <c r="AZ1060" t="s">
        <v>74</v>
      </c>
      <c r="BA1060" t="s">
        <v>74</v>
      </c>
      <c r="BB1060" t="s">
        <v>74</v>
      </c>
      <c r="BC1060" t="s">
        <v>74</v>
      </c>
      <c r="BD1060">
        <v>97</v>
      </c>
      <c r="BE1060" t="s">
        <v>21397</v>
      </c>
      <c r="BF1060" t="str">
        <f>HYPERLINK("http://dx.doi.org/10.1186/1750-1172-8-97","http://dx.doi.org/10.1186/1750-1172-8-97")</f>
        <v>http://dx.doi.org/10.1186/1750-1172-8-97</v>
      </c>
      <c r="BG1060" t="s">
        <v>74</v>
      </c>
      <c r="BH1060" t="s">
        <v>74</v>
      </c>
      <c r="BI1060">
        <v>28</v>
      </c>
      <c r="BJ1060" t="s">
        <v>4865</v>
      </c>
      <c r="BK1060" t="s">
        <v>101</v>
      </c>
      <c r="BL1060" t="s">
        <v>4866</v>
      </c>
      <c r="BM1060" t="s">
        <v>21396</v>
      </c>
      <c r="BN1060">
        <v>23829793</v>
      </c>
      <c r="BO1060" t="s">
        <v>809</v>
      </c>
      <c r="BP1060" t="s">
        <v>74</v>
      </c>
      <c r="BQ1060" t="s">
        <v>74</v>
      </c>
      <c r="BR1060" t="s">
        <v>104</v>
      </c>
      <c r="BS1060" t="s">
        <v>21395</v>
      </c>
      <c r="BT1060" t="str">
        <f>HYPERLINK("https%3A%2F%2Fwww.webofscience.com%2Fwos%2Fwoscc%2Ffull-record%2FWOS:000323134000001","View Full Record in Web of Science")</f>
        <v>View Full Record in Web of Science</v>
      </c>
    </row>
    <row r="1061" spans="1:72" x14ac:dyDescent="0.25">
      <c r="A1061" t="s">
        <v>72</v>
      </c>
      <c r="B1061" t="s">
        <v>21394</v>
      </c>
      <c r="C1061" t="s">
        <v>74</v>
      </c>
      <c r="D1061" t="s">
        <v>74</v>
      </c>
      <c r="E1061" t="s">
        <v>74</v>
      </c>
      <c r="F1061" t="s">
        <v>21393</v>
      </c>
      <c r="G1061" t="s">
        <v>74</v>
      </c>
      <c r="H1061" t="s">
        <v>74</v>
      </c>
      <c r="I1061" t="s">
        <v>21392</v>
      </c>
      <c r="J1061" t="s">
        <v>216</v>
      </c>
      <c r="K1061" t="s">
        <v>74</v>
      </c>
      <c r="L1061" t="s">
        <v>74</v>
      </c>
      <c r="M1061" t="s">
        <v>78</v>
      </c>
      <c r="N1061" t="s">
        <v>299</v>
      </c>
      <c r="O1061" t="s">
        <v>74</v>
      </c>
      <c r="P1061" t="s">
        <v>74</v>
      </c>
      <c r="Q1061" t="s">
        <v>74</v>
      </c>
      <c r="R1061" t="s">
        <v>74</v>
      </c>
      <c r="S1061" t="s">
        <v>74</v>
      </c>
      <c r="T1061" t="s">
        <v>74</v>
      </c>
      <c r="U1061" t="s">
        <v>21391</v>
      </c>
      <c r="V1061" t="s">
        <v>21390</v>
      </c>
      <c r="W1061" t="s">
        <v>21389</v>
      </c>
      <c r="X1061" t="s">
        <v>21388</v>
      </c>
      <c r="Y1061" t="s">
        <v>21387</v>
      </c>
      <c r="Z1061" t="s">
        <v>3402</v>
      </c>
      <c r="AA1061" t="s">
        <v>21386</v>
      </c>
      <c r="AB1061" t="s">
        <v>21385</v>
      </c>
      <c r="AC1061" t="s">
        <v>74</v>
      </c>
      <c r="AD1061" t="s">
        <v>74</v>
      </c>
      <c r="AE1061" t="s">
        <v>74</v>
      </c>
      <c r="AF1061" t="s">
        <v>74</v>
      </c>
      <c r="AG1061">
        <v>63</v>
      </c>
      <c r="AH1061">
        <v>49</v>
      </c>
      <c r="AI1061">
        <v>52</v>
      </c>
      <c r="AJ1061">
        <v>0</v>
      </c>
      <c r="AK1061">
        <v>12</v>
      </c>
      <c r="AL1061" t="s">
        <v>219</v>
      </c>
      <c r="AM1061" t="s">
        <v>220</v>
      </c>
      <c r="AN1061" t="s">
        <v>221</v>
      </c>
      <c r="AO1061" t="s">
        <v>222</v>
      </c>
      <c r="AP1061" t="s">
        <v>223</v>
      </c>
      <c r="AQ1061" t="s">
        <v>74</v>
      </c>
      <c r="AR1061" t="s">
        <v>224</v>
      </c>
      <c r="AS1061" t="s">
        <v>225</v>
      </c>
      <c r="AT1061" t="s">
        <v>785</v>
      </c>
      <c r="AU1061">
        <v>2013</v>
      </c>
      <c r="AV1061">
        <v>42</v>
      </c>
      <c r="AW1061">
        <v>1</v>
      </c>
      <c r="AX1061" t="s">
        <v>74</v>
      </c>
      <c r="AY1061" t="s">
        <v>74</v>
      </c>
      <c r="AZ1061" t="s">
        <v>74</v>
      </c>
      <c r="BA1061" t="s">
        <v>74</v>
      </c>
      <c r="BB1061">
        <v>272</v>
      </c>
      <c r="BC1061">
        <v>279</v>
      </c>
      <c r="BD1061" t="s">
        <v>74</v>
      </c>
      <c r="BE1061" t="s">
        <v>21384</v>
      </c>
      <c r="BF1061" t="str">
        <f>HYPERLINK("http://dx.doi.org/10.1183/09031936.00087212","http://dx.doi.org/10.1183/09031936.00087212")</f>
        <v>http://dx.doi.org/10.1183/09031936.00087212</v>
      </c>
      <c r="BG1061" t="s">
        <v>74</v>
      </c>
      <c r="BH1061" t="s">
        <v>74</v>
      </c>
      <c r="BI1061">
        <v>8</v>
      </c>
      <c r="BJ1061" t="s">
        <v>228</v>
      </c>
      <c r="BK1061" t="s">
        <v>101</v>
      </c>
      <c r="BL1061" t="s">
        <v>228</v>
      </c>
      <c r="BM1061" t="s">
        <v>21383</v>
      </c>
      <c r="BN1061">
        <v>23258792</v>
      </c>
      <c r="BO1061" t="s">
        <v>1194</v>
      </c>
      <c r="BP1061" t="s">
        <v>74</v>
      </c>
      <c r="BQ1061" t="s">
        <v>74</v>
      </c>
      <c r="BR1061" t="s">
        <v>104</v>
      </c>
      <c r="BS1061" t="s">
        <v>21382</v>
      </c>
      <c r="BT1061" t="str">
        <f>HYPERLINK("https%3A%2F%2Fwww.webofscience.com%2Fwos%2Fwoscc%2Ffull-record%2FWOS:000321603400029","View Full Record in Web of Science")</f>
        <v>View Full Record in Web of Science</v>
      </c>
    </row>
    <row r="1062" spans="1:72" x14ac:dyDescent="0.25">
      <c r="A1062" t="s">
        <v>72</v>
      </c>
      <c r="B1062" t="s">
        <v>21377</v>
      </c>
      <c r="C1062" t="s">
        <v>74</v>
      </c>
      <c r="D1062" t="s">
        <v>74</v>
      </c>
      <c r="E1062" t="s">
        <v>74</v>
      </c>
      <c r="F1062" t="s">
        <v>21376</v>
      </c>
      <c r="G1062" t="s">
        <v>74</v>
      </c>
      <c r="H1062" t="s">
        <v>74</v>
      </c>
      <c r="I1062" t="s">
        <v>21375</v>
      </c>
      <c r="J1062" t="s">
        <v>1924</v>
      </c>
      <c r="K1062" t="s">
        <v>74</v>
      </c>
      <c r="L1062" t="s">
        <v>74</v>
      </c>
      <c r="M1062" t="s">
        <v>78</v>
      </c>
      <c r="N1062" t="s">
        <v>52</v>
      </c>
      <c r="O1062" t="s">
        <v>74</v>
      </c>
      <c r="P1062" t="s">
        <v>74</v>
      </c>
      <c r="Q1062" t="s">
        <v>74</v>
      </c>
      <c r="R1062" t="s">
        <v>74</v>
      </c>
      <c r="S1062" t="s">
        <v>74</v>
      </c>
      <c r="T1062" t="s">
        <v>21381</v>
      </c>
      <c r="U1062" t="s">
        <v>74</v>
      </c>
      <c r="V1062" t="s">
        <v>74</v>
      </c>
      <c r="W1062" t="s">
        <v>21380</v>
      </c>
      <c r="X1062" t="s">
        <v>21379</v>
      </c>
      <c r="Y1062" t="s">
        <v>74</v>
      </c>
      <c r="Z1062" t="s">
        <v>74</v>
      </c>
      <c r="AA1062" t="s">
        <v>18022</v>
      </c>
      <c r="AB1062" t="s">
        <v>74</v>
      </c>
      <c r="AC1062" t="s">
        <v>74</v>
      </c>
      <c r="AD1062" t="s">
        <v>74</v>
      </c>
      <c r="AE1062" t="s">
        <v>74</v>
      </c>
      <c r="AF1062" t="s">
        <v>74</v>
      </c>
      <c r="AG1062">
        <v>0</v>
      </c>
      <c r="AH1062">
        <v>0</v>
      </c>
      <c r="AI1062">
        <v>0</v>
      </c>
      <c r="AJ1062">
        <v>0</v>
      </c>
      <c r="AK1062">
        <v>0</v>
      </c>
      <c r="AL1062" t="s">
        <v>10904</v>
      </c>
      <c r="AM1062" t="s">
        <v>170</v>
      </c>
      <c r="AN1062" t="s">
        <v>171</v>
      </c>
      <c r="AO1062" t="s">
        <v>1929</v>
      </c>
      <c r="AP1062" t="s">
        <v>74</v>
      </c>
      <c r="AQ1062" t="s">
        <v>74</v>
      </c>
      <c r="AR1062" t="s">
        <v>1931</v>
      </c>
      <c r="AS1062" t="s">
        <v>1932</v>
      </c>
      <c r="AT1062" t="s">
        <v>1060</v>
      </c>
      <c r="AU1062">
        <v>2013</v>
      </c>
      <c r="AV1062">
        <v>27</v>
      </c>
      <c r="AW1062" t="s">
        <v>74</v>
      </c>
      <c r="AX1062" t="s">
        <v>74</v>
      </c>
      <c r="AY1062">
        <v>1</v>
      </c>
      <c r="AZ1062" t="s">
        <v>1080</v>
      </c>
      <c r="BA1062" t="s">
        <v>74</v>
      </c>
      <c r="BB1062">
        <v>6</v>
      </c>
      <c r="BC1062">
        <v>6</v>
      </c>
      <c r="BD1062" t="s">
        <v>74</v>
      </c>
      <c r="BE1062" t="s">
        <v>74</v>
      </c>
      <c r="BF1062" t="s">
        <v>74</v>
      </c>
      <c r="BG1062" t="s">
        <v>74</v>
      </c>
      <c r="BH1062" t="s">
        <v>74</v>
      </c>
      <c r="BI1062">
        <v>1</v>
      </c>
      <c r="BJ1062" t="s">
        <v>1477</v>
      </c>
      <c r="BK1062" t="s">
        <v>101</v>
      </c>
      <c r="BL1062" t="s">
        <v>1477</v>
      </c>
      <c r="BM1062" t="s">
        <v>21371</v>
      </c>
      <c r="BN1062" t="s">
        <v>74</v>
      </c>
      <c r="BO1062" t="s">
        <v>74</v>
      </c>
      <c r="BP1062" t="s">
        <v>74</v>
      </c>
      <c r="BQ1062" t="s">
        <v>74</v>
      </c>
      <c r="BR1062" t="s">
        <v>104</v>
      </c>
      <c r="BS1062" t="s">
        <v>21378</v>
      </c>
      <c r="BT1062" t="str">
        <f>HYPERLINK("https%3A%2F%2Fwww.webofscience.com%2Fwos%2Fwoscc%2Ffull-record%2FWOS:000318237200025","View Full Record in Web of Science")</f>
        <v>View Full Record in Web of Science</v>
      </c>
    </row>
    <row r="1063" spans="1:72" x14ac:dyDescent="0.25">
      <c r="A1063" t="s">
        <v>72</v>
      </c>
      <c r="B1063" t="s">
        <v>21377</v>
      </c>
      <c r="C1063" t="s">
        <v>74</v>
      </c>
      <c r="D1063" t="s">
        <v>74</v>
      </c>
      <c r="E1063" t="s">
        <v>74</v>
      </c>
      <c r="F1063" t="s">
        <v>21376</v>
      </c>
      <c r="G1063" t="s">
        <v>74</v>
      </c>
      <c r="H1063" t="s">
        <v>74</v>
      </c>
      <c r="I1063" t="s">
        <v>21375</v>
      </c>
      <c r="J1063" t="s">
        <v>1924</v>
      </c>
      <c r="K1063" t="s">
        <v>74</v>
      </c>
      <c r="L1063" t="s">
        <v>74</v>
      </c>
      <c r="M1063" t="s">
        <v>78</v>
      </c>
      <c r="N1063" t="s">
        <v>52</v>
      </c>
      <c r="O1063" t="s">
        <v>74</v>
      </c>
      <c r="P1063" t="s">
        <v>74</v>
      </c>
      <c r="Q1063" t="s">
        <v>74</v>
      </c>
      <c r="R1063" t="s">
        <v>74</v>
      </c>
      <c r="S1063" t="s">
        <v>74</v>
      </c>
      <c r="T1063" t="s">
        <v>21374</v>
      </c>
      <c r="U1063" t="s">
        <v>74</v>
      </c>
      <c r="V1063" t="s">
        <v>74</v>
      </c>
      <c r="W1063" t="s">
        <v>21373</v>
      </c>
      <c r="X1063" t="s">
        <v>21372</v>
      </c>
      <c r="Y1063" t="s">
        <v>74</v>
      </c>
      <c r="Z1063" t="s">
        <v>74</v>
      </c>
      <c r="AA1063" t="s">
        <v>15802</v>
      </c>
      <c r="AB1063" t="s">
        <v>74</v>
      </c>
      <c r="AC1063" t="s">
        <v>74</v>
      </c>
      <c r="AD1063" t="s">
        <v>74</v>
      </c>
      <c r="AE1063" t="s">
        <v>74</v>
      </c>
      <c r="AF1063" t="s">
        <v>74</v>
      </c>
      <c r="AG1063">
        <v>0</v>
      </c>
      <c r="AH1063">
        <v>0</v>
      </c>
      <c r="AI1063">
        <v>0</v>
      </c>
      <c r="AJ1063">
        <v>0</v>
      </c>
      <c r="AK1063">
        <v>0</v>
      </c>
      <c r="AL1063" t="s">
        <v>10904</v>
      </c>
      <c r="AM1063" t="s">
        <v>170</v>
      </c>
      <c r="AN1063" t="s">
        <v>171</v>
      </c>
      <c r="AO1063" t="s">
        <v>1929</v>
      </c>
      <c r="AP1063" t="s">
        <v>74</v>
      </c>
      <c r="AQ1063" t="s">
        <v>74</v>
      </c>
      <c r="AR1063" t="s">
        <v>1931</v>
      </c>
      <c r="AS1063" t="s">
        <v>1932</v>
      </c>
      <c r="AT1063" t="s">
        <v>1060</v>
      </c>
      <c r="AU1063">
        <v>2013</v>
      </c>
      <c r="AV1063">
        <v>27</v>
      </c>
      <c r="AW1063" t="s">
        <v>74</v>
      </c>
      <c r="AX1063" t="s">
        <v>74</v>
      </c>
      <c r="AY1063">
        <v>1</v>
      </c>
      <c r="AZ1063" t="s">
        <v>1080</v>
      </c>
      <c r="BA1063" t="s">
        <v>74</v>
      </c>
      <c r="BB1063">
        <v>80</v>
      </c>
      <c r="BC1063">
        <v>80</v>
      </c>
      <c r="BD1063" t="s">
        <v>74</v>
      </c>
      <c r="BE1063" t="s">
        <v>74</v>
      </c>
      <c r="BF1063" t="s">
        <v>74</v>
      </c>
      <c r="BG1063" t="s">
        <v>74</v>
      </c>
      <c r="BH1063" t="s">
        <v>74</v>
      </c>
      <c r="BI1063">
        <v>1</v>
      </c>
      <c r="BJ1063" t="s">
        <v>1477</v>
      </c>
      <c r="BK1063" t="s">
        <v>101</v>
      </c>
      <c r="BL1063" t="s">
        <v>1477</v>
      </c>
      <c r="BM1063" t="s">
        <v>21371</v>
      </c>
      <c r="BN1063" t="s">
        <v>74</v>
      </c>
      <c r="BO1063" t="s">
        <v>74</v>
      </c>
      <c r="BP1063" t="s">
        <v>74</v>
      </c>
      <c r="BQ1063" t="s">
        <v>74</v>
      </c>
      <c r="BR1063" t="s">
        <v>104</v>
      </c>
      <c r="BS1063" t="s">
        <v>21370</v>
      </c>
      <c r="BT1063" t="str">
        <f>HYPERLINK("https%3A%2F%2Fwww.webofscience.com%2Fwos%2Fwoscc%2Ffull-record%2FWOS:000318237200378","View Full Record in Web of Science")</f>
        <v>View Full Record in Web of Science</v>
      </c>
    </row>
    <row r="1064" spans="1:72" x14ac:dyDescent="0.25">
      <c r="A1064" t="s">
        <v>72</v>
      </c>
      <c r="B1064" t="s">
        <v>1420</v>
      </c>
      <c r="C1064" t="s">
        <v>74</v>
      </c>
      <c r="D1064" t="s">
        <v>74</v>
      </c>
      <c r="E1064" t="s">
        <v>74</v>
      </c>
      <c r="F1064" t="s">
        <v>2255</v>
      </c>
      <c r="G1064" t="s">
        <v>74</v>
      </c>
      <c r="H1064" t="s">
        <v>74</v>
      </c>
      <c r="I1064" t="s">
        <v>21369</v>
      </c>
      <c r="J1064" t="s">
        <v>2580</v>
      </c>
      <c r="K1064" t="s">
        <v>74</v>
      </c>
      <c r="L1064" t="s">
        <v>74</v>
      </c>
      <c r="M1064" t="s">
        <v>78</v>
      </c>
      <c r="N1064" t="s">
        <v>52</v>
      </c>
      <c r="O1064" t="s">
        <v>74</v>
      </c>
      <c r="P1064" t="s">
        <v>74</v>
      </c>
      <c r="Q1064" t="s">
        <v>74</v>
      </c>
      <c r="R1064" t="s">
        <v>74</v>
      </c>
      <c r="S1064" t="s">
        <v>74</v>
      </c>
      <c r="T1064" t="s">
        <v>74</v>
      </c>
      <c r="U1064" t="s">
        <v>74</v>
      </c>
      <c r="V1064" t="s">
        <v>74</v>
      </c>
      <c r="W1064" t="s">
        <v>21368</v>
      </c>
      <c r="X1064" t="s">
        <v>21367</v>
      </c>
      <c r="Y1064" t="s">
        <v>74</v>
      </c>
      <c r="Z1064" t="s">
        <v>74</v>
      </c>
      <c r="AA1064" t="s">
        <v>144</v>
      </c>
      <c r="AB1064" t="s">
        <v>74</v>
      </c>
      <c r="AC1064" t="s">
        <v>74</v>
      </c>
      <c r="AD1064" t="s">
        <v>74</v>
      </c>
      <c r="AE1064" t="s">
        <v>74</v>
      </c>
      <c r="AF1064" t="s">
        <v>74</v>
      </c>
      <c r="AG1064">
        <v>0</v>
      </c>
      <c r="AH1064">
        <v>0</v>
      </c>
      <c r="AI1064">
        <v>0</v>
      </c>
      <c r="AJ1064">
        <v>0</v>
      </c>
      <c r="AK1064">
        <v>1</v>
      </c>
      <c r="AL1064" t="s">
        <v>2590</v>
      </c>
      <c r="AM1064" t="s">
        <v>201</v>
      </c>
      <c r="AN1064" t="s">
        <v>2591</v>
      </c>
      <c r="AO1064" t="s">
        <v>2592</v>
      </c>
      <c r="AP1064" t="s">
        <v>2593</v>
      </c>
      <c r="AQ1064" t="s">
        <v>74</v>
      </c>
      <c r="AR1064" t="s">
        <v>2594</v>
      </c>
      <c r="AS1064" t="s">
        <v>2595</v>
      </c>
      <c r="AT1064" t="s">
        <v>1060</v>
      </c>
      <c r="AU1064">
        <v>2013</v>
      </c>
      <c r="AV1064">
        <v>72</v>
      </c>
      <c r="AW1064" t="s">
        <v>74</v>
      </c>
      <c r="AX1064" t="s">
        <v>74</v>
      </c>
      <c r="AY1064">
        <v>3</v>
      </c>
      <c r="AZ1064" t="s">
        <v>74</v>
      </c>
      <c r="BA1064" t="s">
        <v>74</v>
      </c>
      <c r="BB1064">
        <v>29</v>
      </c>
      <c r="BC1064">
        <v>29</v>
      </c>
      <c r="BD1064" t="s">
        <v>74</v>
      </c>
      <c r="BE1064" t="s">
        <v>74</v>
      </c>
      <c r="BF1064" t="s">
        <v>74</v>
      </c>
      <c r="BG1064" t="s">
        <v>74</v>
      </c>
      <c r="BH1064" t="s">
        <v>74</v>
      </c>
      <c r="BI1064">
        <v>1</v>
      </c>
      <c r="BJ1064" t="s">
        <v>2369</v>
      </c>
      <c r="BK1064" t="s">
        <v>101</v>
      </c>
      <c r="BL1064" t="s">
        <v>2369</v>
      </c>
      <c r="BM1064" t="s">
        <v>21361</v>
      </c>
      <c r="BN1064" t="s">
        <v>74</v>
      </c>
      <c r="BO1064" t="s">
        <v>74</v>
      </c>
      <c r="BP1064" t="s">
        <v>74</v>
      </c>
      <c r="BQ1064" t="s">
        <v>74</v>
      </c>
      <c r="BR1064" t="s">
        <v>104</v>
      </c>
      <c r="BS1064" t="s">
        <v>21366</v>
      </c>
      <c r="BT1064" t="str">
        <f>HYPERLINK("https%3A%2F%2Fwww.webofscience.com%2Fwos%2Fwoscc%2Ffull-record%2FWOS:000331587901122","View Full Record in Web of Science")</f>
        <v>View Full Record in Web of Science</v>
      </c>
    </row>
    <row r="1065" spans="1:72" x14ac:dyDescent="0.25">
      <c r="A1065" t="s">
        <v>72</v>
      </c>
      <c r="B1065" t="s">
        <v>21365</v>
      </c>
      <c r="C1065" t="s">
        <v>74</v>
      </c>
      <c r="D1065" t="s">
        <v>74</v>
      </c>
      <c r="E1065" t="s">
        <v>74</v>
      </c>
      <c r="F1065" t="s">
        <v>21364</v>
      </c>
      <c r="G1065" t="s">
        <v>74</v>
      </c>
      <c r="H1065" t="s">
        <v>74</v>
      </c>
      <c r="I1065" t="s">
        <v>13691</v>
      </c>
      <c r="J1065" t="s">
        <v>2580</v>
      </c>
      <c r="K1065" t="s">
        <v>74</v>
      </c>
      <c r="L1065" t="s">
        <v>74</v>
      </c>
      <c r="M1065" t="s">
        <v>78</v>
      </c>
      <c r="N1065" t="s">
        <v>52</v>
      </c>
      <c r="O1065" t="s">
        <v>74</v>
      </c>
      <c r="P1065" t="s">
        <v>74</v>
      </c>
      <c r="Q1065" t="s">
        <v>74</v>
      </c>
      <c r="R1065" t="s">
        <v>74</v>
      </c>
      <c r="S1065" t="s">
        <v>74</v>
      </c>
      <c r="T1065" t="s">
        <v>74</v>
      </c>
      <c r="U1065" t="s">
        <v>74</v>
      </c>
      <c r="V1065" t="s">
        <v>74</v>
      </c>
      <c r="W1065" t="s">
        <v>21363</v>
      </c>
      <c r="X1065" t="s">
        <v>13694</v>
      </c>
      <c r="Y1065" t="s">
        <v>74</v>
      </c>
      <c r="Z1065" t="s">
        <v>74</v>
      </c>
      <c r="AA1065" t="s">
        <v>21362</v>
      </c>
      <c r="AB1065" t="s">
        <v>13696</v>
      </c>
      <c r="AC1065" t="s">
        <v>74</v>
      </c>
      <c r="AD1065" t="s">
        <v>74</v>
      </c>
      <c r="AE1065" t="s">
        <v>74</v>
      </c>
      <c r="AF1065" t="s">
        <v>74</v>
      </c>
      <c r="AG1065">
        <v>0</v>
      </c>
      <c r="AH1065">
        <v>0</v>
      </c>
      <c r="AI1065">
        <v>0</v>
      </c>
      <c r="AJ1065">
        <v>0</v>
      </c>
      <c r="AK1065">
        <v>0</v>
      </c>
      <c r="AL1065" t="s">
        <v>2590</v>
      </c>
      <c r="AM1065" t="s">
        <v>201</v>
      </c>
      <c r="AN1065" t="s">
        <v>2591</v>
      </c>
      <c r="AO1065" t="s">
        <v>2592</v>
      </c>
      <c r="AP1065" t="s">
        <v>2593</v>
      </c>
      <c r="AQ1065" t="s">
        <v>74</v>
      </c>
      <c r="AR1065" t="s">
        <v>2594</v>
      </c>
      <c r="AS1065" t="s">
        <v>2595</v>
      </c>
      <c r="AT1065" t="s">
        <v>1060</v>
      </c>
      <c r="AU1065">
        <v>2013</v>
      </c>
      <c r="AV1065">
        <v>72</v>
      </c>
      <c r="AW1065" t="s">
        <v>74</v>
      </c>
      <c r="AX1065" t="s">
        <v>74</v>
      </c>
      <c r="AY1065">
        <v>3</v>
      </c>
      <c r="AZ1065" t="s">
        <v>74</v>
      </c>
      <c r="BA1065" t="s">
        <v>74</v>
      </c>
      <c r="BB1065">
        <v>146</v>
      </c>
      <c r="BC1065">
        <v>146</v>
      </c>
      <c r="BD1065" t="s">
        <v>74</v>
      </c>
      <c r="BE1065" t="s">
        <v>74</v>
      </c>
      <c r="BF1065" t="s">
        <v>74</v>
      </c>
      <c r="BG1065" t="s">
        <v>74</v>
      </c>
      <c r="BH1065" t="s">
        <v>74</v>
      </c>
      <c r="BI1065">
        <v>1</v>
      </c>
      <c r="BJ1065" t="s">
        <v>2369</v>
      </c>
      <c r="BK1065" t="s">
        <v>101</v>
      </c>
      <c r="BL1065" t="s">
        <v>2369</v>
      </c>
      <c r="BM1065" t="s">
        <v>21361</v>
      </c>
      <c r="BN1065" t="s">
        <v>74</v>
      </c>
      <c r="BO1065" t="s">
        <v>74</v>
      </c>
      <c r="BP1065" t="s">
        <v>74</v>
      </c>
      <c r="BQ1065" t="s">
        <v>74</v>
      </c>
      <c r="BR1065" t="s">
        <v>104</v>
      </c>
      <c r="BS1065" t="s">
        <v>21360</v>
      </c>
      <c r="BT1065" t="str">
        <f>HYPERLINK("https%3A%2F%2Fwww.webofscience.com%2Fwos%2Fwoscc%2Ffull-record%2FWOS:000331587901477","View Full Record in Web of Science")</f>
        <v>View Full Record in Web of Science</v>
      </c>
    </row>
    <row r="1066" spans="1:72" x14ac:dyDescent="0.25">
      <c r="A1066" t="s">
        <v>72</v>
      </c>
      <c r="B1066" t="s">
        <v>19771</v>
      </c>
      <c r="C1066" t="s">
        <v>74</v>
      </c>
      <c r="D1066" t="s">
        <v>74</v>
      </c>
      <c r="E1066" t="s">
        <v>74</v>
      </c>
      <c r="F1066" t="s">
        <v>21359</v>
      </c>
      <c r="G1066" t="s">
        <v>74</v>
      </c>
      <c r="H1066" t="s">
        <v>20149</v>
      </c>
      <c r="I1066" t="s">
        <v>21358</v>
      </c>
      <c r="J1066" t="s">
        <v>2580</v>
      </c>
      <c r="K1066" t="s">
        <v>74</v>
      </c>
      <c r="L1066" t="s">
        <v>74</v>
      </c>
      <c r="M1066" t="s">
        <v>78</v>
      </c>
      <c r="N1066" t="s">
        <v>52</v>
      </c>
      <c r="O1066" t="s">
        <v>74</v>
      </c>
      <c r="P1066" t="s">
        <v>74</v>
      </c>
      <c r="Q1066" t="s">
        <v>74</v>
      </c>
      <c r="R1066" t="s">
        <v>74</v>
      </c>
      <c r="S1066" t="s">
        <v>74</v>
      </c>
      <c r="T1066" t="s">
        <v>74</v>
      </c>
      <c r="U1066" t="s">
        <v>74</v>
      </c>
      <c r="V1066" t="s">
        <v>74</v>
      </c>
      <c r="W1066" t="s">
        <v>21357</v>
      </c>
      <c r="X1066" t="s">
        <v>21356</v>
      </c>
      <c r="Y1066" t="s">
        <v>74</v>
      </c>
      <c r="Z1066" t="s">
        <v>74</v>
      </c>
      <c r="AA1066" t="s">
        <v>21355</v>
      </c>
      <c r="AB1066" t="s">
        <v>13185</v>
      </c>
      <c r="AC1066" t="s">
        <v>74</v>
      </c>
      <c r="AD1066" t="s">
        <v>74</v>
      </c>
      <c r="AE1066" t="s">
        <v>74</v>
      </c>
      <c r="AF1066" t="s">
        <v>74</v>
      </c>
      <c r="AG1066">
        <v>0</v>
      </c>
      <c r="AH1066">
        <v>0</v>
      </c>
      <c r="AI1066">
        <v>0</v>
      </c>
      <c r="AJ1066">
        <v>0</v>
      </c>
      <c r="AK1066">
        <v>1</v>
      </c>
      <c r="AL1066" t="s">
        <v>2590</v>
      </c>
      <c r="AM1066" t="s">
        <v>201</v>
      </c>
      <c r="AN1066" t="s">
        <v>2591</v>
      </c>
      <c r="AO1066" t="s">
        <v>2592</v>
      </c>
      <c r="AP1066" t="s">
        <v>2593</v>
      </c>
      <c r="AQ1066" t="s">
        <v>74</v>
      </c>
      <c r="AR1066" t="s">
        <v>2594</v>
      </c>
      <c r="AS1066" t="s">
        <v>2595</v>
      </c>
      <c r="AT1066" t="s">
        <v>1060</v>
      </c>
      <c r="AU1066">
        <v>2013</v>
      </c>
      <c r="AV1066">
        <v>71</v>
      </c>
      <c r="AW1066" t="s">
        <v>74</v>
      </c>
      <c r="AX1066" t="s">
        <v>74</v>
      </c>
      <c r="AY1066">
        <v>3</v>
      </c>
      <c r="AZ1066" t="s">
        <v>74</v>
      </c>
      <c r="BA1066" t="s">
        <v>74</v>
      </c>
      <c r="BB1066">
        <v>397</v>
      </c>
      <c r="BC1066">
        <v>397</v>
      </c>
      <c r="BD1066" t="s">
        <v>74</v>
      </c>
      <c r="BE1066" t="s">
        <v>21354</v>
      </c>
      <c r="BF1066" t="str">
        <f>HYPERLINK("http://dx.doi.org/10.1136/annrheumdis-2012-eular.2702","http://dx.doi.org/10.1136/annrheumdis-2012-eular.2702")</f>
        <v>http://dx.doi.org/10.1136/annrheumdis-2012-eular.2702</v>
      </c>
      <c r="BG1066" t="s">
        <v>74</v>
      </c>
      <c r="BH1066" t="s">
        <v>74</v>
      </c>
      <c r="BI1066">
        <v>1</v>
      </c>
      <c r="BJ1066" t="s">
        <v>2369</v>
      </c>
      <c r="BK1066" t="s">
        <v>101</v>
      </c>
      <c r="BL1066" t="s">
        <v>2369</v>
      </c>
      <c r="BM1066" t="s">
        <v>21353</v>
      </c>
      <c r="BN1066" t="s">
        <v>74</v>
      </c>
      <c r="BO1066" t="s">
        <v>74</v>
      </c>
      <c r="BP1066" t="s">
        <v>74</v>
      </c>
      <c r="BQ1066" t="s">
        <v>74</v>
      </c>
      <c r="BR1066" t="s">
        <v>104</v>
      </c>
      <c r="BS1066" t="s">
        <v>21352</v>
      </c>
      <c r="BT1066" t="str">
        <f>HYPERLINK("https%3A%2F%2Fwww.webofscience.com%2Fwos%2Fwoscc%2Ffull-record%2FWOS:000208898502136","View Full Record in Web of Science")</f>
        <v>View Full Record in Web of Science</v>
      </c>
    </row>
    <row r="1067" spans="1:72" x14ac:dyDescent="0.25">
      <c r="A1067" t="s">
        <v>72</v>
      </c>
      <c r="B1067" t="s">
        <v>21351</v>
      </c>
      <c r="C1067" t="s">
        <v>74</v>
      </c>
      <c r="D1067" t="s">
        <v>74</v>
      </c>
      <c r="E1067" t="s">
        <v>74</v>
      </c>
      <c r="F1067" t="s">
        <v>21350</v>
      </c>
      <c r="G1067" t="s">
        <v>74</v>
      </c>
      <c r="H1067" t="s">
        <v>74</v>
      </c>
      <c r="I1067" t="s">
        <v>21349</v>
      </c>
      <c r="J1067" t="s">
        <v>216</v>
      </c>
      <c r="K1067" t="s">
        <v>74</v>
      </c>
      <c r="L1067" t="s">
        <v>74</v>
      </c>
      <c r="M1067" t="s">
        <v>78</v>
      </c>
      <c r="N1067" t="s">
        <v>79</v>
      </c>
      <c r="O1067" t="s">
        <v>74</v>
      </c>
      <c r="P1067" t="s">
        <v>74</v>
      </c>
      <c r="Q1067" t="s">
        <v>74</v>
      </c>
      <c r="R1067" t="s">
        <v>74</v>
      </c>
      <c r="S1067" t="s">
        <v>74</v>
      </c>
      <c r="T1067" t="s">
        <v>21348</v>
      </c>
      <c r="U1067" t="s">
        <v>21347</v>
      </c>
      <c r="V1067" t="s">
        <v>21346</v>
      </c>
      <c r="W1067" t="s">
        <v>21345</v>
      </c>
      <c r="X1067" t="s">
        <v>21344</v>
      </c>
      <c r="Y1067" t="s">
        <v>21343</v>
      </c>
      <c r="Z1067" t="s">
        <v>1689</v>
      </c>
      <c r="AA1067" t="s">
        <v>21342</v>
      </c>
      <c r="AB1067" t="s">
        <v>21341</v>
      </c>
      <c r="AC1067" t="s">
        <v>74</v>
      </c>
      <c r="AD1067" t="s">
        <v>74</v>
      </c>
      <c r="AE1067" t="s">
        <v>74</v>
      </c>
      <c r="AF1067" t="s">
        <v>74</v>
      </c>
      <c r="AG1067">
        <v>21</v>
      </c>
      <c r="AH1067">
        <v>113</v>
      </c>
      <c r="AI1067">
        <v>116</v>
      </c>
      <c r="AJ1067">
        <v>0</v>
      </c>
      <c r="AK1067">
        <v>6</v>
      </c>
      <c r="AL1067" t="s">
        <v>219</v>
      </c>
      <c r="AM1067" t="s">
        <v>220</v>
      </c>
      <c r="AN1067" t="s">
        <v>221</v>
      </c>
      <c r="AO1067" t="s">
        <v>222</v>
      </c>
      <c r="AP1067" t="s">
        <v>223</v>
      </c>
      <c r="AQ1067" t="s">
        <v>74</v>
      </c>
      <c r="AR1067" t="s">
        <v>224</v>
      </c>
      <c r="AS1067" t="s">
        <v>225</v>
      </c>
      <c r="AT1067" t="s">
        <v>1060</v>
      </c>
      <c r="AU1067">
        <v>2013</v>
      </c>
      <c r="AV1067">
        <v>41</v>
      </c>
      <c r="AW1067">
        <v>6</v>
      </c>
      <c r="AX1067" t="s">
        <v>74</v>
      </c>
      <c r="AY1067" t="s">
        <v>74</v>
      </c>
      <c r="AZ1067" t="s">
        <v>74</v>
      </c>
      <c r="BA1067" t="s">
        <v>74</v>
      </c>
      <c r="BB1067">
        <v>1302</v>
      </c>
      <c r="BC1067">
        <v>1307</v>
      </c>
      <c r="BD1067" t="s">
        <v>74</v>
      </c>
      <c r="BE1067" t="s">
        <v>21340</v>
      </c>
      <c r="BF1067" t="str">
        <f>HYPERLINK("http://dx.doi.org/10.1183/09031936.00089212","http://dx.doi.org/10.1183/09031936.00089212")</f>
        <v>http://dx.doi.org/10.1183/09031936.00089212</v>
      </c>
      <c r="BG1067" t="s">
        <v>74</v>
      </c>
      <c r="BH1067" t="s">
        <v>74</v>
      </c>
      <c r="BI1067">
        <v>6</v>
      </c>
      <c r="BJ1067" t="s">
        <v>228</v>
      </c>
      <c r="BK1067" t="s">
        <v>101</v>
      </c>
      <c r="BL1067" t="s">
        <v>228</v>
      </c>
      <c r="BM1067" t="s">
        <v>21339</v>
      </c>
      <c r="BN1067">
        <v>23143546</v>
      </c>
      <c r="BO1067" t="s">
        <v>1194</v>
      </c>
      <c r="BP1067" t="s">
        <v>74</v>
      </c>
      <c r="BQ1067" t="s">
        <v>74</v>
      </c>
      <c r="BR1067" t="s">
        <v>104</v>
      </c>
      <c r="BS1067" t="s">
        <v>21338</v>
      </c>
      <c r="BT1067" t="str">
        <f>HYPERLINK("https%3A%2F%2Fwww.webofscience.com%2Fwos%2Fwoscc%2Ffull-record%2FWOS:000320211700011","View Full Record in Web of Science")</f>
        <v>View Full Record in Web of Science</v>
      </c>
    </row>
    <row r="1068" spans="1:72" x14ac:dyDescent="0.25">
      <c r="A1068" t="s">
        <v>72</v>
      </c>
      <c r="B1068" t="s">
        <v>21337</v>
      </c>
      <c r="C1068" t="s">
        <v>74</v>
      </c>
      <c r="D1068" t="s">
        <v>74</v>
      </c>
      <c r="E1068" t="s">
        <v>74</v>
      </c>
      <c r="F1068" t="s">
        <v>21336</v>
      </c>
      <c r="G1068" t="s">
        <v>74</v>
      </c>
      <c r="H1068" t="s">
        <v>74</v>
      </c>
      <c r="I1068" t="s">
        <v>21335</v>
      </c>
      <c r="J1068" t="s">
        <v>2105</v>
      </c>
      <c r="K1068" t="s">
        <v>74</v>
      </c>
      <c r="L1068" t="s">
        <v>74</v>
      </c>
      <c r="M1068" t="s">
        <v>1349</v>
      </c>
      <c r="N1068" t="s">
        <v>299</v>
      </c>
      <c r="O1068" t="s">
        <v>74</v>
      </c>
      <c r="P1068" t="s">
        <v>74</v>
      </c>
      <c r="Q1068" t="s">
        <v>74</v>
      </c>
      <c r="R1068" t="s">
        <v>74</v>
      </c>
      <c r="S1068" t="s">
        <v>74</v>
      </c>
      <c r="T1068" t="s">
        <v>74</v>
      </c>
      <c r="U1068" t="s">
        <v>21334</v>
      </c>
      <c r="V1068" t="s">
        <v>21333</v>
      </c>
      <c r="W1068" t="s">
        <v>21332</v>
      </c>
      <c r="X1068" t="s">
        <v>21331</v>
      </c>
      <c r="Y1068" t="s">
        <v>21330</v>
      </c>
      <c r="Z1068" t="s">
        <v>7876</v>
      </c>
      <c r="AA1068" t="s">
        <v>13400</v>
      </c>
      <c r="AB1068" t="s">
        <v>13401</v>
      </c>
      <c r="AC1068" t="s">
        <v>74</v>
      </c>
      <c r="AD1068" t="s">
        <v>74</v>
      </c>
      <c r="AE1068" t="s">
        <v>74</v>
      </c>
      <c r="AF1068" t="s">
        <v>74</v>
      </c>
      <c r="AG1068">
        <v>57</v>
      </c>
      <c r="AH1068">
        <v>8</v>
      </c>
      <c r="AI1068">
        <v>8</v>
      </c>
      <c r="AJ1068">
        <v>0</v>
      </c>
      <c r="AK1068">
        <v>8</v>
      </c>
      <c r="AL1068" t="s">
        <v>2113</v>
      </c>
      <c r="AM1068" t="s">
        <v>2114</v>
      </c>
      <c r="AN1068" t="s">
        <v>2115</v>
      </c>
      <c r="AO1068" t="s">
        <v>2116</v>
      </c>
      <c r="AP1068" t="s">
        <v>2117</v>
      </c>
      <c r="AQ1068" t="s">
        <v>74</v>
      </c>
      <c r="AR1068" t="s">
        <v>2118</v>
      </c>
      <c r="AS1068" t="s">
        <v>2119</v>
      </c>
      <c r="AT1068" t="s">
        <v>21329</v>
      </c>
      <c r="AU1068">
        <v>2013</v>
      </c>
      <c r="AV1068">
        <v>29</v>
      </c>
      <c r="AW1068" t="s">
        <v>21328</v>
      </c>
      <c r="AX1068" t="s">
        <v>74</v>
      </c>
      <c r="AY1068" t="s">
        <v>74</v>
      </c>
      <c r="AZ1068" t="s">
        <v>74</v>
      </c>
      <c r="BA1068" t="s">
        <v>74</v>
      </c>
      <c r="BB1068">
        <v>607</v>
      </c>
      <c r="BC1068">
        <v>616</v>
      </c>
      <c r="BD1068" t="s">
        <v>74</v>
      </c>
      <c r="BE1068" t="s">
        <v>21327</v>
      </c>
      <c r="BF1068" t="str">
        <f>HYPERLINK("http://dx.doi.org/10.1051/medsci/2013296013","http://dx.doi.org/10.1051/medsci/2013296013")</f>
        <v>http://dx.doi.org/10.1051/medsci/2013296013</v>
      </c>
      <c r="BG1068" t="s">
        <v>74</v>
      </c>
      <c r="BH1068" t="s">
        <v>74</v>
      </c>
      <c r="BI1068">
        <v>10</v>
      </c>
      <c r="BJ1068" t="s">
        <v>2122</v>
      </c>
      <c r="BK1068" t="s">
        <v>101</v>
      </c>
      <c r="BL1068" t="s">
        <v>2123</v>
      </c>
      <c r="BM1068" t="s">
        <v>21326</v>
      </c>
      <c r="BN1068">
        <v>23859515</v>
      </c>
      <c r="BO1068" t="s">
        <v>1194</v>
      </c>
      <c r="BP1068" t="s">
        <v>74</v>
      </c>
      <c r="BQ1068" t="s">
        <v>74</v>
      </c>
      <c r="BR1068" t="s">
        <v>104</v>
      </c>
      <c r="BS1068" t="s">
        <v>21325</v>
      </c>
      <c r="BT1068" t="str">
        <f>HYPERLINK("https%3A%2F%2Fwww.webofscience.com%2Fwos%2Fwoscc%2Ffull-record%2FWOS:000322289000023","View Full Record in Web of Science")</f>
        <v>View Full Record in Web of Science</v>
      </c>
    </row>
    <row r="1069" spans="1:72" x14ac:dyDescent="0.25">
      <c r="A1069" t="s">
        <v>72</v>
      </c>
      <c r="B1069" t="s">
        <v>21324</v>
      </c>
      <c r="C1069" t="s">
        <v>74</v>
      </c>
      <c r="D1069" t="s">
        <v>74</v>
      </c>
      <c r="E1069" t="s">
        <v>74</v>
      </c>
      <c r="F1069" t="s">
        <v>21323</v>
      </c>
      <c r="G1069" t="s">
        <v>74</v>
      </c>
      <c r="H1069" t="s">
        <v>74</v>
      </c>
      <c r="I1069" t="s">
        <v>21322</v>
      </c>
      <c r="J1069" t="s">
        <v>5456</v>
      </c>
      <c r="K1069" t="s">
        <v>74</v>
      </c>
      <c r="L1069" t="s">
        <v>74</v>
      </c>
      <c r="M1069" t="s">
        <v>78</v>
      </c>
      <c r="N1069" t="s">
        <v>79</v>
      </c>
      <c r="O1069" t="s">
        <v>74</v>
      </c>
      <c r="P1069" t="s">
        <v>74</v>
      </c>
      <c r="Q1069" t="s">
        <v>74</v>
      </c>
      <c r="R1069" t="s">
        <v>74</v>
      </c>
      <c r="S1069" t="s">
        <v>74</v>
      </c>
      <c r="T1069" t="s">
        <v>74</v>
      </c>
      <c r="U1069" t="s">
        <v>21321</v>
      </c>
      <c r="V1069" t="s">
        <v>21320</v>
      </c>
      <c r="W1069" t="s">
        <v>21319</v>
      </c>
      <c r="X1069" t="s">
        <v>21318</v>
      </c>
      <c r="Y1069" t="s">
        <v>21317</v>
      </c>
      <c r="Z1069" t="s">
        <v>12884</v>
      </c>
      <c r="AA1069" t="s">
        <v>21316</v>
      </c>
      <c r="AB1069" t="s">
        <v>21315</v>
      </c>
      <c r="AC1069" t="s">
        <v>21314</v>
      </c>
      <c r="AD1069" t="s">
        <v>21313</v>
      </c>
      <c r="AE1069" t="s">
        <v>21312</v>
      </c>
      <c r="AF1069" t="s">
        <v>74</v>
      </c>
      <c r="AG1069">
        <v>19</v>
      </c>
      <c r="AH1069">
        <v>9</v>
      </c>
      <c r="AI1069">
        <v>9</v>
      </c>
      <c r="AJ1069">
        <v>0</v>
      </c>
      <c r="AK1069">
        <v>2</v>
      </c>
      <c r="AL1069" t="s">
        <v>5465</v>
      </c>
      <c r="AM1069" t="s">
        <v>5466</v>
      </c>
      <c r="AN1069" t="s">
        <v>5467</v>
      </c>
      <c r="AO1069" t="s">
        <v>5468</v>
      </c>
      <c r="AP1069" t="s">
        <v>74</v>
      </c>
      <c r="AQ1069" t="s">
        <v>74</v>
      </c>
      <c r="AR1069" t="s">
        <v>5456</v>
      </c>
      <c r="AS1069" t="s">
        <v>5469</v>
      </c>
      <c r="AT1069" t="s">
        <v>19559</v>
      </c>
      <c r="AU1069">
        <v>2013</v>
      </c>
      <c r="AV1069">
        <v>8</v>
      </c>
      <c r="AW1069">
        <v>5</v>
      </c>
      <c r="AX1069" t="s">
        <v>74</v>
      </c>
      <c r="AY1069" t="s">
        <v>74</v>
      </c>
      <c r="AZ1069" t="s">
        <v>74</v>
      </c>
      <c r="BA1069" t="s">
        <v>74</v>
      </c>
      <c r="BB1069" t="s">
        <v>74</v>
      </c>
      <c r="BC1069" t="s">
        <v>74</v>
      </c>
      <c r="BD1069" t="s">
        <v>21311</v>
      </c>
      <c r="BE1069" t="s">
        <v>21310</v>
      </c>
      <c r="BF1069" t="str">
        <f>HYPERLINK("http://dx.doi.org/10.1371/journal.pone.0065090","http://dx.doi.org/10.1371/journal.pone.0065090")</f>
        <v>http://dx.doi.org/10.1371/journal.pone.0065090</v>
      </c>
      <c r="BG1069" t="s">
        <v>74</v>
      </c>
      <c r="BH1069" t="s">
        <v>74</v>
      </c>
      <c r="BI1069">
        <v>7</v>
      </c>
      <c r="BJ1069" t="s">
        <v>290</v>
      </c>
      <c r="BK1069" t="s">
        <v>101</v>
      </c>
      <c r="BL1069" t="s">
        <v>291</v>
      </c>
      <c r="BM1069" t="s">
        <v>21309</v>
      </c>
      <c r="BN1069">
        <v>23741466</v>
      </c>
      <c r="BO1069" t="s">
        <v>1862</v>
      </c>
      <c r="BP1069" t="s">
        <v>74</v>
      </c>
      <c r="BQ1069" t="s">
        <v>74</v>
      </c>
      <c r="BR1069" t="s">
        <v>104</v>
      </c>
      <c r="BS1069" t="s">
        <v>21308</v>
      </c>
      <c r="BT1069" t="str">
        <f>HYPERLINK("https%3A%2F%2Fwww.webofscience.com%2Fwos%2Fwoscc%2Ffull-record%2FWOS:000319799900179","View Full Record in Web of Science")</f>
        <v>View Full Record in Web of Science</v>
      </c>
    </row>
    <row r="1070" spans="1:72" x14ac:dyDescent="0.25">
      <c r="A1070" t="s">
        <v>72</v>
      </c>
      <c r="B1070" t="s">
        <v>21307</v>
      </c>
      <c r="C1070" t="s">
        <v>74</v>
      </c>
      <c r="D1070" t="s">
        <v>74</v>
      </c>
      <c r="E1070" t="s">
        <v>74</v>
      </c>
      <c r="F1070" t="s">
        <v>21306</v>
      </c>
      <c r="G1070" t="s">
        <v>74</v>
      </c>
      <c r="H1070" t="s">
        <v>74</v>
      </c>
      <c r="I1070" t="s">
        <v>21305</v>
      </c>
      <c r="J1070" t="s">
        <v>637</v>
      </c>
      <c r="K1070" t="s">
        <v>74</v>
      </c>
      <c r="L1070" t="s">
        <v>74</v>
      </c>
      <c r="M1070" t="s">
        <v>78</v>
      </c>
      <c r="N1070" t="s">
        <v>460</v>
      </c>
      <c r="O1070" t="s">
        <v>74</v>
      </c>
      <c r="P1070" t="s">
        <v>74</v>
      </c>
      <c r="Q1070" t="s">
        <v>74</v>
      </c>
      <c r="R1070" t="s">
        <v>74</v>
      </c>
      <c r="S1070" t="s">
        <v>74</v>
      </c>
      <c r="T1070" t="s">
        <v>74</v>
      </c>
      <c r="U1070" t="s">
        <v>21304</v>
      </c>
      <c r="V1070" t="s">
        <v>74</v>
      </c>
      <c r="W1070" t="s">
        <v>21303</v>
      </c>
      <c r="X1070" t="s">
        <v>21302</v>
      </c>
      <c r="Y1070" t="s">
        <v>21301</v>
      </c>
      <c r="Z1070" t="s">
        <v>74</v>
      </c>
      <c r="AA1070" t="s">
        <v>415</v>
      </c>
      <c r="AB1070" t="s">
        <v>21300</v>
      </c>
      <c r="AC1070" t="s">
        <v>74</v>
      </c>
      <c r="AD1070" t="s">
        <v>74</v>
      </c>
      <c r="AE1070" t="s">
        <v>74</v>
      </c>
      <c r="AF1070" t="s">
        <v>74</v>
      </c>
      <c r="AG1070">
        <v>12</v>
      </c>
      <c r="AH1070">
        <v>0</v>
      </c>
      <c r="AI1070">
        <v>1</v>
      </c>
      <c r="AJ1070">
        <v>0</v>
      </c>
      <c r="AK1070">
        <v>2</v>
      </c>
      <c r="AL1070" t="s">
        <v>649</v>
      </c>
      <c r="AM1070" t="s">
        <v>486</v>
      </c>
      <c r="AN1070" t="s">
        <v>17481</v>
      </c>
      <c r="AO1070" t="s">
        <v>651</v>
      </c>
      <c r="AP1070" t="s">
        <v>74</v>
      </c>
      <c r="AQ1070" t="s">
        <v>74</v>
      </c>
      <c r="AR1070" t="s">
        <v>653</v>
      </c>
      <c r="AS1070" t="s">
        <v>654</v>
      </c>
      <c r="AT1070" t="s">
        <v>8773</v>
      </c>
      <c r="AU1070">
        <v>2013</v>
      </c>
      <c r="AV1070">
        <v>187</v>
      </c>
      <c r="AW1070">
        <v>10</v>
      </c>
      <c r="AX1070" t="s">
        <v>74</v>
      </c>
      <c r="AY1070" t="s">
        <v>74</v>
      </c>
      <c r="AZ1070" t="s">
        <v>74</v>
      </c>
      <c r="BA1070" t="s">
        <v>74</v>
      </c>
      <c r="BB1070">
        <v>1139</v>
      </c>
      <c r="BC1070">
        <v>1140</v>
      </c>
      <c r="BD1070" t="s">
        <v>74</v>
      </c>
      <c r="BE1070" t="s">
        <v>21299</v>
      </c>
      <c r="BF1070" t="str">
        <f>HYPERLINK("http://dx.doi.org/10.1164/rccm.201301-0109LE","http://dx.doi.org/10.1164/rccm.201301-0109LE")</f>
        <v>http://dx.doi.org/10.1164/rccm.201301-0109LE</v>
      </c>
      <c r="BG1070" t="s">
        <v>74</v>
      </c>
      <c r="BH1070" t="s">
        <v>74</v>
      </c>
      <c r="BI1070">
        <v>3</v>
      </c>
      <c r="BJ1070" t="s">
        <v>341</v>
      </c>
      <c r="BK1070" t="s">
        <v>101</v>
      </c>
      <c r="BL1070" t="s">
        <v>342</v>
      </c>
      <c r="BM1070" t="s">
        <v>21298</v>
      </c>
      <c r="BN1070">
        <v>23675720</v>
      </c>
      <c r="BO1070" t="s">
        <v>74</v>
      </c>
      <c r="BP1070" t="s">
        <v>74</v>
      </c>
      <c r="BQ1070" t="s">
        <v>74</v>
      </c>
      <c r="BR1070" t="s">
        <v>104</v>
      </c>
      <c r="BS1070" t="s">
        <v>21297</v>
      </c>
      <c r="BT1070" t="str">
        <f>HYPERLINK("https%3A%2F%2Fwww.webofscience.com%2Fwos%2Fwoscc%2Ffull-record%2FWOS:000319035400025","View Full Record in Web of Science")</f>
        <v>View Full Record in Web of Science</v>
      </c>
    </row>
    <row r="1071" spans="1:72" x14ac:dyDescent="0.25">
      <c r="A1071" t="s">
        <v>72</v>
      </c>
      <c r="B1071" t="s">
        <v>21296</v>
      </c>
      <c r="C1071" t="s">
        <v>74</v>
      </c>
      <c r="D1071" t="s">
        <v>74</v>
      </c>
      <c r="E1071" t="s">
        <v>74</v>
      </c>
      <c r="F1071" t="s">
        <v>21295</v>
      </c>
      <c r="G1071" t="s">
        <v>74</v>
      </c>
      <c r="H1071" t="s">
        <v>74</v>
      </c>
      <c r="I1071" t="s">
        <v>21294</v>
      </c>
      <c r="J1071" t="s">
        <v>324</v>
      </c>
      <c r="K1071" t="s">
        <v>74</v>
      </c>
      <c r="L1071" t="s">
        <v>74</v>
      </c>
      <c r="M1071" t="s">
        <v>78</v>
      </c>
      <c r="N1071" t="s">
        <v>79</v>
      </c>
      <c r="O1071" t="s">
        <v>74</v>
      </c>
      <c r="P1071" t="s">
        <v>74</v>
      </c>
      <c r="Q1071" t="s">
        <v>74</v>
      </c>
      <c r="R1071" t="s">
        <v>74</v>
      </c>
      <c r="S1071" t="s">
        <v>74</v>
      </c>
      <c r="T1071" t="s">
        <v>74</v>
      </c>
      <c r="U1071" t="s">
        <v>21293</v>
      </c>
      <c r="V1071" t="s">
        <v>21292</v>
      </c>
      <c r="W1071" t="s">
        <v>21291</v>
      </c>
      <c r="X1071" t="s">
        <v>21290</v>
      </c>
      <c r="Y1071" t="s">
        <v>21289</v>
      </c>
      <c r="Z1071" t="s">
        <v>12606</v>
      </c>
      <c r="AA1071" t="s">
        <v>21288</v>
      </c>
      <c r="AB1071" t="s">
        <v>21287</v>
      </c>
      <c r="AC1071" t="s">
        <v>74</v>
      </c>
      <c r="AD1071" t="s">
        <v>74</v>
      </c>
      <c r="AE1071" t="s">
        <v>74</v>
      </c>
      <c r="AF1071" t="s">
        <v>74</v>
      </c>
      <c r="AG1071">
        <v>44</v>
      </c>
      <c r="AH1071">
        <v>34</v>
      </c>
      <c r="AI1071">
        <v>35</v>
      </c>
      <c r="AJ1071">
        <v>0</v>
      </c>
      <c r="AK1071">
        <v>5</v>
      </c>
      <c r="AL1071" t="s">
        <v>7467</v>
      </c>
      <c r="AM1071" t="s">
        <v>93</v>
      </c>
      <c r="AN1071" t="s">
        <v>7468</v>
      </c>
      <c r="AO1071" t="s">
        <v>337</v>
      </c>
      <c r="AP1071" t="s">
        <v>74</v>
      </c>
      <c r="AQ1071" t="s">
        <v>74</v>
      </c>
      <c r="AR1071" t="s">
        <v>324</v>
      </c>
      <c r="AS1071" t="s">
        <v>339</v>
      </c>
      <c r="AT1071" t="s">
        <v>2097</v>
      </c>
      <c r="AU1071">
        <v>2013</v>
      </c>
      <c r="AV1071">
        <v>143</v>
      </c>
      <c r="AW1071">
        <v>5</v>
      </c>
      <c r="AX1071" t="s">
        <v>74</v>
      </c>
      <c r="AY1071" t="s">
        <v>74</v>
      </c>
      <c r="AZ1071" t="s">
        <v>74</v>
      </c>
      <c r="BA1071" t="s">
        <v>74</v>
      </c>
      <c r="BB1071">
        <v>1343</v>
      </c>
      <c r="BC1071">
        <v>1350</v>
      </c>
      <c r="BD1071" t="s">
        <v>74</v>
      </c>
      <c r="BE1071" t="s">
        <v>21286</v>
      </c>
      <c r="BF1071" t="str">
        <f>HYPERLINK("http://dx.doi.org/10.1378/chest.12-1880","http://dx.doi.org/10.1378/chest.12-1880")</f>
        <v>http://dx.doi.org/10.1378/chest.12-1880</v>
      </c>
      <c r="BG1071" t="s">
        <v>74</v>
      </c>
      <c r="BH1071" t="s">
        <v>74</v>
      </c>
      <c r="BI1071">
        <v>8</v>
      </c>
      <c r="BJ1071" t="s">
        <v>341</v>
      </c>
      <c r="BK1071" t="s">
        <v>101</v>
      </c>
      <c r="BL1071" t="s">
        <v>342</v>
      </c>
      <c r="BM1071" t="s">
        <v>21285</v>
      </c>
      <c r="BN1071">
        <v>23715528</v>
      </c>
      <c r="BO1071" t="s">
        <v>74</v>
      </c>
      <c r="BP1071" t="s">
        <v>74</v>
      </c>
      <c r="BQ1071" t="s">
        <v>74</v>
      </c>
      <c r="BR1071" t="s">
        <v>104</v>
      </c>
      <c r="BS1071" t="s">
        <v>21284</v>
      </c>
      <c r="BT1071" t="str">
        <f>HYPERLINK("https%3A%2F%2Fwww.webofscience.com%2Fwos%2Fwoscc%2Ffull-record%2FWOS:000318461700026","View Full Record in Web of Science")</f>
        <v>View Full Record in Web of Science</v>
      </c>
    </row>
    <row r="1072" spans="1:72" x14ac:dyDescent="0.25">
      <c r="A1072" t="s">
        <v>72</v>
      </c>
      <c r="B1072" t="s">
        <v>21283</v>
      </c>
      <c r="C1072" t="s">
        <v>74</v>
      </c>
      <c r="D1072" t="s">
        <v>74</v>
      </c>
      <c r="E1072" t="s">
        <v>74</v>
      </c>
      <c r="F1072" t="s">
        <v>21282</v>
      </c>
      <c r="G1072" t="s">
        <v>74</v>
      </c>
      <c r="H1072" t="s">
        <v>74</v>
      </c>
      <c r="I1072" t="s">
        <v>21281</v>
      </c>
      <c r="J1072" t="s">
        <v>13852</v>
      </c>
      <c r="K1072" t="s">
        <v>74</v>
      </c>
      <c r="L1072" t="s">
        <v>74</v>
      </c>
      <c r="M1072" t="s">
        <v>78</v>
      </c>
      <c r="N1072" t="s">
        <v>79</v>
      </c>
      <c r="O1072" t="s">
        <v>74</v>
      </c>
      <c r="P1072" t="s">
        <v>74</v>
      </c>
      <c r="Q1072" t="s">
        <v>74</v>
      </c>
      <c r="R1072" t="s">
        <v>74</v>
      </c>
      <c r="S1072" t="s">
        <v>74</v>
      </c>
      <c r="T1072" t="s">
        <v>74</v>
      </c>
      <c r="U1072" t="s">
        <v>21280</v>
      </c>
      <c r="V1072" t="s">
        <v>21279</v>
      </c>
      <c r="W1072" t="s">
        <v>21278</v>
      </c>
      <c r="X1072" t="s">
        <v>21277</v>
      </c>
      <c r="Y1072" t="s">
        <v>21276</v>
      </c>
      <c r="Z1072" t="s">
        <v>7825</v>
      </c>
      <c r="AA1072" t="s">
        <v>21275</v>
      </c>
      <c r="AB1072" t="s">
        <v>21274</v>
      </c>
      <c r="AC1072" t="s">
        <v>21273</v>
      </c>
      <c r="AD1072" t="s">
        <v>21272</v>
      </c>
      <c r="AE1072" t="s">
        <v>21271</v>
      </c>
      <c r="AF1072" t="s">
        <v>74</v>
      </c>
      <c r="AG1072">
        <v>31</v>
      </c>
      <c r="AH1072">
        <v>88</v>
      </c>
      <c r="AI1072">
        <v>99</v>
      </c>
      <c r="AJ1072">
        <v>0</v>
      </c>
      <c r="AK1072">
        <v>46</v>
      </c>
      <c r="AL1072" t="s">
        <v>7501</v>
      </c>
      <c r="AM1072" t="s">
        <v>486</v>
      </c>
      <c r="AN1072" t="s">
        <v>9667</v>
      </c>
      <c r="AO1072" t="s">
        <v>13863</v>
      </c>
      <c r="AP1072" t="s">
        <v>13864</v>
      </c>
      <c r="AQ1072" t="s">
        <v>74</v>
      </c>
      <c r="AR1072" t="s">
        <v>13865</v>
      </c>
      <c r="AS1072" t="s">
        <v>13866</v>
      </c>
      <c r="AT1072" t="s">
        <v>2097</v>
      </c>
      <c r="AU1072">
        <v>2013</v>
      </c>
      <c r="AV1072">
        <v>45</v>
      </c>
      <c r="AW1072">
        <v>5</v>
      </c>
      <c r="AX1072" t="s">
        <v>74</v>
      </c>
      <c r="AY1072" t="s">
        <v>74</v>
      </c>
      <c r="AZ1072" t="s">
        <v>74</v>
      </c>
      <c r="BA1072" t="s">
        <v>74</v>
      </c>
      <c r="BB1072">
        <v>518</v>
      </c>
      <c r="BC1072" t="s">
        <v>21270</v>
      </c>
      <c r="BD1072" t="s">
        <v>74</v>
      </c>
      <c r="BE1072" t="s">
        <v>21269</v>
      </c>
      <c r="BF1072" t="str">
        <f>HYPERLINK("http://dx.doi.org/10.1038/ng.2581","http://dx.doi.org/10.1038/ng.2581")</f>
        <v>http://dx.doi.org/10.1038/ng.2581</v>
      </c>
      <c r="BG1072" t="s">
        <v>74</v>
      </c>
      <c r="BH1072" t="s">
        <v>74</v>
      </c>
      <c r="BI1072">
        <v>6</v>
      </c>
      <c r="BJ1072" t="s">
        <v>4407</v>
      </c>
      <c r="BK1072" t="s">
        <v>101</v>
      </c>
      <c r="BL1072" t="s">
        <v>4407</v>
      </c>
      <c r="BM1072" t="s">
        <v>21268</v>
      </c>
      <c r="BN1072">
        <v>23502781</v>
      </c>
      <c r="BO1072" t="s">
        <v>4589</v>
      </c>
      <c r="BP1072" t="s">
        <v>74</v>
      </c>
      <c r="BQ1072" t="s">
        <v>74</v>
      </c>
      <c r="BR1072" t="s">
        <v>104</v>
      </c>
      <c r="BS1072" t="s">
        <v>21267</v>
      </c>
      <c r="BT1072" t="str">
        <f>HYPERLINK("https%3A%2F%2Fwww.webofscience.com%2Fwos%2Fwoscc%2Ffull-record%2FWOS:000318158200013","View Full Record in Web of Science")</f>
        <v>View Full Record in Web of Science</v>
      </c>
    </row>
    <row r="1073" spans="1:72" x14ac:dyDescent="0.25">
      <c r="A1073" t="s">
        <v>72</v>
      </c>
      <c r="B1073" t="s">
        <v>21266</v>
      </c>
      <c r="C1073" t="s">
        <v>74</v>
      </c>
      <c r="D1073" t="s">
        <v>74</v>
      </c>
      <c r="E1073" t="s">
        <v>74</v>
      </c>
      <c r="F1073" t="s">
        <v>21265</v>
      </c>
      <c r="G1073" t="s">
        <v>74</v>
      </c>
      <c r="H1073" t="s">
        <v>74</v>
      </c>
      <c r="I1073" t="s">
        <v>21264</v>
      </c>
      <c r="J1073" t="s">
        <v>1529</v>
      </c>
      <c r="K1073" t="s">
        <v>74</v>
      </c>
      <c r="L1073" t="s">
        <v>74</v>
      </c>
      <c r="M1073" t="s">
        <v>78</v>
      </c>
      <c r="N1073" t="s">
        <v>8016</v>
      </c>
      <c r="O1073" t="s">
        <v>21263</v>
      </c>
      <c r="P1073" t="s">
        <v>21262</v>
      </c>
      <c r="Q1073" t="s">
        <v>21261</v>
      </c>
      <c r="R1073" t="s">
        <v>74</v>
      </c>
      <c r="S1073" t="s">
        <v>21260</v>
      </c>
      <c r="T1073" t="s">
        <v>74</v>
      </c>
      <c r="U1073" t="s">
        <v>21259</v>
      </c>
      <c r="V1073" t="s">
        <v>74</v>
      </c>
      <c r="W1073" t="s">
        <v>21258</v>
      </c>
      <c r="X1073" t="s">
        <v>21257</v>
      </c>
      <c r="Y1073" t="s">
        <v>21256</v>
      </c>
      <c r="Z1073" t="s">
        <v>20620</v>
      </c>
      <c r="AA1073" t="s">
        <v>21255</v>
      </c>
      <c r="AB1073" t="s">
        <v>21254</v>
      </c>
      <c r="AC1073" t="s">
        <v>74</v>
      </c>
      <c r="AD1073" t="s">
        <v>74</v>
      </c>
      <c r="AE1073" t="s">
        <v>74</v>
      </c>
      <c r="AF1073" t="s">
        <v>74</v>
      </c>
      <c r="AG1073">
        <v>16</v>
      </c>
      <c r="AH1073">
        <v>19</v>
      </c>
      <c r="AI1073">
        <v>22</v>
      </c>
      <c r="AJ1073">
        <v>0</v>
      </c>
      <c r="AK1073">
        <v>5</v>
      </c>
      <c r="AL1073" t="s">
        <v>1358</v>
      </c>
      <c r="AM1073" t="s">
        <v>1359</v>
      </c>
      <c r="AN1073" t="s">
        <v>1360</v>
      </c>
      <c r="AO1073" t="s">
        <v>1533</v>
      </c>
      <c r="AP1073" t="s">
        <v>1534</v>
      </c>
      <c r="AQ1073" t="s">
        <v>74</v>
      </c>
      <c r="AR1073" t="s">
        <v>1535</v>
      </c>
      <c r="AS1073" t="s">
        <v>1536</v>
      </c>
      <c r="AT1073" t="s">
        <v>997</v>
      </c>
      <c r="AU1073">
        <v>2013</v>
      </c>
      <c r="AV1073">
        <v>42</v>
      </c>
      <c r="AW1073">
        <v>4</v>
      </c>
      <c r="AX1073">
        <v>2</v>
      </c>
      <c r="AY1073" t="s">
        <v>74</v>
      </c>
      <c r="AZ1073" t="s">
        <v>74</v>
      </c>
      <c r="BA1073" t="s">
        <v>74</v>
      </c>
      <c r="BB1073">
        <v>507</v>
      </c>
      <c r="BC1073">
        <v>510</v>
      </c>
      <c r="BD1073" t="s">
        <v>74</v>
      </c>
      <c r="BE1073" t="s">
        <v>21253</v>
      </c>
      <c r="BF1073" t="str">
        <f>HYPERLINK("http://dx.doi.org/10.1016/j.lpm.2013.02.308","http://dx.doi.org/10.1016/j.lpm.2013.02.308")</f>
        <v>http://dx.doi.org/10.1016/j.lpm.2013.02.308</v>
      </c>
      <c r="BG1073" t="s">
        <v>74</v>
      </c>
      <c r="BH1073" t="s">
        <v>74</v>
      </c>
      <c r="BI1073">
        <v>5</v>
      </c>
      <c r="BJ1073" t="s">
        <v>1152</v>
      </c>
      <c r="BK1073" t="s">
        <v>512</v>
      </c>
      <c r="BL1073" t="s">
        <v>1153</v>
      </c>
      <c r="BM1073" t="s">
        <v>21252</v>
      </c>
      <c r="BN1073">
        <v>23490637</v>
      </c>
      <c r="BO1073" t="s">
        <v>74</v>
      </c>
      <c r="BP1073" t="s">
        <v>74</v>
      </c>
      <c r="BQ1073" t="s">
        <v>74</v>
      </c>
      <c r="BR1073" t="s">
        <v>104</v>
      </c>
      <c r="BS1073" t="s">
        <v>21251</v>
      </c>
      <c r="BT1073" t="str">
        <f>HYPERLINK("https%3A%2F%2Fwww.webofscience.com%2Fwos%2Fwoscc%2Ffull-record%2FWOS:000330978500006","View Full Record in Web of Science")</f>
        <v>View Full Record in Web of Science</v>
      </c>
    </row>
    <row r="1074" spans="1:72" x14ac:dyDescent="0.25">
      <c r="A1074" t="s">
        <v>72</v>
      </c>
      <c r="B1074" t="s">
        <v>21250</v>
      </c>
      <c r="C1074" t="s">
        <v>74</v>
      </c>
      <c r="D1074" t="s">
        <v>74</v>
      </c>
      <c r="E1074" t="s">
        <v>74</v>
      </c>
      <c r="F1074" t="s">
        <v>21249</v>
      </c>
      <c r="G1074" t="s">
        <v>74</v>
      </c>
      <c r="H1074" t="s">
        <v>74</v>
      </c>
      <c r="I1074" t="s">
        <v>21248</v>
      </c>
      <c r="J1074" t="s">
        <v>983</v>
      </c>
      <c r="K1074" t="s">
        <v>74</v>
      </c>
      <c r="L1074" t="s">
        <v>74</v>
      </c>
      <c r="M1074" t="s">
        <v>78</v>
      </c>
      <c r="N1074" t="s">
        <v>52</v>
      </c>
      <c r="O1074" t="s">
        <v>21237</v>
      </c>
      <c r="P1074" t="s">
        <v>21236</v>
      </c>
      <c r="Q1074" t="s">
        <v>6527</v>
      </c>
      <c r="R1074" t="s">
        <v>987</v>
      </c>
      <c r="S1074" t="s">
        <v>74</v>
      </c>
      <c r="T1074" t="s">
        <v>74</v>
      </c>
      <c r="U1074" t="s">
        <v>74</v>
      </c>
      <c r="V1074" t="s">
        <v>74</v>
      </c>
      <c r="W1074" t="s">
        <v>21247</v>
      </c>
      <c r="X1074" t="s">
        <v>21246</v>
      </c>
      <c r="Y1074" t="s">
        <v>74</v>
      </c>
      <c r="Z1074" t="s">
        <v>74</v>
      </c>
      <c r="AA1074" t="s">
        <v>21245</v>
      </c>
      <c r="AB1074" t="s">
        <v>21244</v>
      </c>
      <c r="AC1074" t="s">
        <v>74</v>
      </c>
      <c r="AD1074" t="s">
        <v>74</v>
      </c>
      <c r="AE1074" t="s">
        <v>74</v>
      </c>
      <c r="AF1074" t="s">
        <v>74</v>
      </c>
      <c r="AG1074">
        <v>0</v>
      </c>
      <c r="AH1074">
        <v>0</v>
      </c>
      <c r="AI1074">
        <v>0</v>
      </c>
      <c r="AJ1074">
        <v>0</v>
      </c>
      <c r="AK1074">
        <v>1</v>
      </c>
      <c r="AL1074" t="s">
        <v>991</v>
      </c>
      <c r="AM1074" t="s">
        <v>486</v>
      </c>
      <c r="AN1074" t="s">
        <v>8530</v>
      </c>
      <c r="AO1074" t="s">
        <v>993</v>
      </c>
      <c r="AP1074" t="s">
        <v>74</v>
      </c>
      <c r="AQ1074" t="s">
        <v>74</v>
      </c>
      <c r="AR1074" t="s">
        <v>995</v>
      </c>
      <c r="AS1074" t="s">
        <v>996</v>
      </c>
      <c r="AT1074" t="s">
        <v>997</v>
      </c>
      <c r="AU1074">
        <v>2013</v>
      </c>
      <c r="AV1074">
        <v>32</v>
      </c>
      <c r="AW1074">
        <v>4</v>
      </c>
      <c r="AX1074" t="s">
        <v>74</v>
      </c>
      <c r="AY1074" t="s">
        <v>998</v>
      </c>
      <c r="AZ1074" t="s">
        <v>74</v>
      </c>
      <c r="BA1074">
        <v>263</v>
      </c>
      <c r="BB1074" t="s">
        <v>21243</v>
      </c>
      <c r="BC1074" t="s">
        <v>21243</v>
      </c>
      <c r="BD1074" t="s">
        <v>74</v>
      </c>
      <c r="BE1074" t="s">
        <v>21242</v>
      </c>
      <c r="BF1074" t="str">
        <f>HYPERLINK("http://dx.doi.org/10.1016/j.healun.2013.01.1030","http://dx.doi.org/10.1016/j.healun.2013.01.1030")</f>
        <v>http://dx.doi.org/10.1016/j.healun.2013.01.1030</v>
      </c>
      <c r="BG1074" t="s">
        <v>74</v>
      </c>
      <c r="BH1074" t="s">
        <v>74</v>
      </c>
      <c r="BI1074">
        <v>1</v>
      </c>
      <c r="BJ1074" t="s">
        <v>1000</v>
      </c>
      <c r="BK1074" t="s">
        <v>512</v>
      </c>
      <c r="BL1074" t="s">
        <v>1001</v>
      </c>
      <c r="BM1074" t="s">
        <v>21231</v>
      </c>
      <c r="BN1074" t="s">
        <v>74</v>
      </c>
      <c r="BO1074" t="s">
        <v>74</v>
      </c>
      <c r="BP1074" t="s">
        <v>74</v>
      </c>
      <c r="BQ1074" t="s">
        <v>74</v>
      </c>
      <c r="BR1074" t="s">
        <v>104</v>
      </c>
      <c r="BS1074" t="s">
        <v>21241</v>
      </c>
      <c r="BT1074" t="str">
        <f>HYPERLINK("https%3A%2F%2Fwww.webofscience.com%2Fwos%2Fwoscc%2Ffull-record%2FWOS:000316712100263","View Full Record in Web of Science")</f>
        <v>View Full Record in Web of Science</v>
      </c>
    </row>
    <row r="1075" spans="1:72" x14ac:dyDescent="0.25">
      <c r="A1075" t="s">
        <v>72</v>
      </c>
      <c r="B1075" t="s">
        <v>21240</v>
      </c>
      <c r="C1075" t="s">
        <v>74</v>
      </c>
      <c r="D1075" t="s">
        <v>74</v>
      </c>
      <c r="E1075" t="s">
        <v>74</v>
      </c>
      <c r="F1075" t="s">
        <v>21239</v>
      </c>
      <c r="G1075" t="s">
        <v>74</v>
      </c>
      <c r="H1075" t="s">
        <v>74</v>
      </c>
      <c r="I1075" t="s">
        <v>21238</v>
      </c>
      <c r="J1075" t="s">
        <v>983</v>
      </c>
      <c r="K1075" t="s">
        <v>74</v>
      </c>
      <c r="L1075" t="s">
        <v>74</v>
      </c>
      <c r="M1075" t="s">
        <v>78</v>
      </c>
      <c r="N1075" t="s">
        <v>52</v>
      </c>
      <c r="O1075" t="s">
        <v>21237</v>
      </c>
      <c r="P1075" t="s">
        <v>21236</v>
      </c>
      <c r="Q1075" t="s">
        <v>6527</v>
      </c>
      <c r="R1075" t="s">
        <v>987</v>
      </c>
      <c r="S1075" t="s">
        <v>74</v>
      </c>
      <c r="T1075" t="s">
        <v>74</v>
      </c>
      <c r="U1075" t="s">
        <v>74</v>
      </c>
      <c r="V1075" t="s">
        <v>74</v>
      </c>
      <c r="W1075" t="s">
        <v>21235</v>
      </c>
      <c r="X1075" t="s">
        <v>21234</v>
      </c>
      <c r="Y1075" t="s">
        <v>74</v>
      </c>
      <c r="Z1075" t="s">
        <v>74</v>
      </c>
      <c r="AA1075" t="s">
        <v>144</v>
      </c>
      <c r="AB1075" t="s">
        <v>74</v>
      </c>
      <c r="AC1075" t="s">
        <v>74</v>
      </c>
      <c r="AD1075" t="s">
        <v>74</v>
      </c>
      <c r="AE1075" t="s">
        <v>74</v>
      </c>
      <c r="AF1075" t="s">
        <v>74</v>
      </c>
      <c r="AG1075">
        <v>0</v>
      </c>
      <c r="AH1075">
        <v>0</v>
      </c>
      <c r="AI1075">
        <v>0</v>
      </c>
      <c r="AJ1075">
        <v>0</v>
      </c>
      <c r="AK1075">
        <v>0</v>
      </c>
      <c r="AL1075" t="s">
        <v>991</v>
      </c>
      <c r="AM1075" t="s">
        <v>486</v>
      </c>
      <c r="AN1075" t="s">
        <v>8530</v>
      </c>
      <c r="AO1075" t="s">
        <v>993</v>
      </c>
      <c r="AP1075" t="s">
        <v>74</v>
      </c>
      <c r="AQ1075" t="s">
        <v>74</v>
      </c>
      <c r="AR1075" t="s">
        <v>995</v>
      </c>
      <c r="AS1075" t="s">
        <v>996</v>
      </c>
      <c r="AT1075" t="s">
        <v>997</v>
      </c>
      <c r="AU1075">
        <v>2013</v>
      </c>
      <c r="AV1075">
        <v>32</v>
      </c>
      <c r="AW1075">
        <v>4</v>
      </c>
      <c r="AX1075" t="s">
        <v>74</v>
      </c>
      <c r="AY1075" t="s">
        <v>998</v>
      </c>
      <c r="AZ1075" t="s">
        <v>74</v>
      </c>
      <c r="BA1075">
        <v>192</v>
      </c>
      <c r="BB1075" t="s">
        <v>21233</v>
      </c>
      <c r="BC1075" t="s">
        <v>21233</v>
      </c>
      <c r="BD1075" t="s">
        <v>74</v>
      </c>
      <c r="BE1075" t="s">
        <v>21232</v>
      </c>
      <c r="BF1075" t="str">
        <f>HYPERLINK("http://dx.doi.org/10.1016/j.healun.2013.01.195","http://dx.doi.org/10.1016/j.healun.2013.01.195")</f>
        <v>http://dx.doi.org/10.1016/j.healun.2013.01.195</v>
      </c>
      <c r="BG1075" t="s">
        <v>74</v>
      </c>
      <c r="BH1075" t="s">
        <v>74</v>
      </c>
      <c r="BI1075">
        <v>1</v>
      </c>
      <c r="BJ1075" t="s">
        <v>1000</v>
      </c>
      <c r="BK1075" t="s">
        <v>512</v>
      </c>
      <c r="BL1075" t="s">
        <v>1001</v>
      </c>
      <c r="BM1075" t="s">
        <v>21231</v>
      </c>
      <c r="BN1075" t="s">
        <v>74</v>
      </c>
      <c r="BO1075" t="s">
        <v>1194</v>
      </c>
      <c r="BP1075" t="s">
        <v>74</v>
      </c>
      <c r="BQ1075" t="s">
        <v>74</v>
      </c>
      <c r="BR1075" t="s">
        <v>104</v>
      </c>
      <c r="BS1075" t="s">
        <v>21230</v>
      </c>
      <c r="BT1075" t="str">
        <f>HYPERLINK("https%3A%2F%2Fwww.webofscience.com%2Fwos%2Fwoscc%2Ffull-record%2FWOS:000316712100193","View Full Record in Web of Science")</f>
        <v>View Full Record in Web of Science</v>
      </c>
    </row>
    <row r="1076" spans="1:72" x14ac:dyDescent="0.25">
      <c r="A1076" t="s">
        <v>72</v>
      </c>
      <c r="B1076" t="s">
        <v>1420</v>
      </c>
      <c r="C1076" t="s">
        <v>74</v>
      </c>
      <c r="D1076" t="s">
        <v>74</v>
      </c>
      <c r="E1076" t="s">
        <v>74</v>
      </c>
      <c r="F1076" t="s">
        <v>1421</v>
      </c>
      <c r="G1076" t="s">
        <v>74</v>
      </c>
      <c r="H1076" t="s">
        <v>74</v>
      </c>
      <c r="I1076" t="s">
        <v>21229</v>
      </c>
      <c r="J1076" t="s">
        <v>251</v>
      </c>
      <c r="K1076" t="s">
        <v>74</v>
      </c>
      <c r="L1076" t="s">
        <v>74</v>
      </c>
      <c r="M1076" t="s">
        <v>78</v>
      </c>
      <c r="N1076" t="s">
        <v>140</v>
      </c>
      <c r="O1076" t="s">
        <v>74</v>
      </c>
      <c r="P1076" t="s">
        <v>74</v>
      </c>
      <c r="Q1076" t="s">
        <v>74</v>
      </c>
      <c r="R1076" t="s">
        <v>74</v>
      </c>
      <c r="S1076" t="s">
        <v>74</v>
      </c>
      <c r="T1076" t="s">
        <v>21228</v>
      </c>
      <c r="U1076" t="s">
        <v>21227</v>
      </c>
      <c r="V1076" t="s">
        <v>74</v>
      </c>
      <c r="W1076" t="s">
        <v>21226</v>
      </c>
      <c r="X1076" t="s">
        <v>21225</v>
      </c>
      <c r="Y1076" t="s">
        <v>13811</v>
      </c>
      <c r="Z1076" t="s">
        <v>3402</v>
      </c>
      <c r="AA1076" t="s">
        <v>144</v>
      </c>
      <c r="AB1076" t="s">
        <v>257</v>
      </c>
      <c r="AC1076" t="s">
        <v>74</v>
      </c>
      <c r="AD1076" t="s">
        <v>74</v>
      </c>
      <c r="AE1076" t="s">
        <v>74</v>
      </c>
      <c r="AF1076" t="s">
        <v>74</v>
      </c>
      <c r="AG1076">
        <v>24</v>
      </c>
      <c r="AH1076">
        <v>25</v>
      </c>
      <c r="AI1076">
        <v>27</v>
      </c>
      <c r="AJ1076">
        <v>0</v>
      </c>
      <c r="AK1076">
        <v>1</v>
      </c>
      <c r="AL1076" t="s">
        <v>122</v>
      </c>
      <c r="AM1076" t="s">
        <v>123</v>
      </c>
      <c r="AN1076" t="s">
        <v>124</v>
      </c>
      <c r="AO1076" t="s">
        <v>258</v>
      </c>
      <c r="AP1076" t="s">
        <v>259</v>
      </c>
      <c r="AQ1076" t="s">
        <v>74</v>
      </c>
      <c r="AR1076" t="s">
        <v>251</v>
      </c>
      <c r="AS1076" t="s">
        <v>260</v>
      </c>
      <c r="AT1076" t="s">
        <v>21224</v>
      </c>
      <c r="AU1076">
        <v>2013</v>
      </c>
      <c r="AV1076">
        <v>127</v>
      </c>
      <c r="AW1076">
        <v>10</v>
      </c>
      <c r="AX1076" t="s">
        <v>74</v>
      </c>
      <c r="AY1076" t="s">
        <v>74</v>
      </c>
      <c r="AZ1076" t="s">
        <v>74</v>
      </c>
      <c r="BA1076" t="s">
        <v>74</v>
      </c>
      <c r="BB1076">
        <v>1098</v>
      </c>
      <c r="BC1076">
        <v>1100</v>
      </c>
      <c r="BD1076" t="s">
        <v>74</v>
      </c>
      <c r="BE1076" t="s">
        <v>21223</v>
      </c>
      <c r="BF1076" t="str">
        <f>HYPERLINK("http://dx.doi.org/10.1161/CIRCULATIONAHA.113.001460","http://dx.doi.org/10.1161/CIRCULATIONAHA.113.001460")</f>
        <v>http://dx.doi.org/10.1161/CIRCULATIONAHA.113.001460</v>
      </c>
      <c r="BG1076" t="s">
        <v>74</v>
      </c>
      <c r="BH1076" t="s">
        <v>74</v>
      </c>
      <c r="BI1076">
        <v>3</v>
      </c>
      <c r="BJ1076" t="s">
        <v>263</v>
      </c>
      <c r="BK1076" t="s">
        <v>101</v>
      </c>
      <c r="BL1076" t="s">
        <v>133</v>
      </c>
      <c r="BM1076" t="s">
        <v>21222</v>
      </c>
      <c r="BN1076">
        <v>23479665</v>
      </c>
      <c r="BO1076" t="s">
        <v>74</v>
      </c>
      <c r="BP1076" t="s">
        <v>74</v>
      </c>
      <c r="BQ1076" t="s">
        <v>74</v>
      </c>
      <c r="BR1076" t="s">
        <v>104</v>
      </c>
      <c r="BS1076" t="s">
        <v>21221</v>
      </c>
      <c r="BT1076" t="str">
        <f>HYPERLINK("https%3A%2F%2Fwww.webofscience.com%2Fwos%2Fwoscc%2Ffull-record%2FWOS:000316000300008","View Full Record in Web of Science")</f>
        <v>View Full Record in Web of Science</v>
      </c>
    </row>
    <row r="1077" spans="1:72" x14ac:dyDescent="0.25">
      <c r="A1077" t="s">
        <v>72</v>
      </c>
      <c r="B1077" t="s">
        <v>21220</v>
      </c>
      <c r="C1077" t="s">
        <v>74</v>
      </c>
      <c r="D1077" t="s">
        <v>74</v>
      </c>
      <c r="E1077" t="s">
        <v>74</v>
      </c>
      <c r="F1077" t="s">
        <v>21219</v>
      </c>
      <c r="G1077" t="s">
        <v>74</v>
      </c>
      <c r="H1077" t="s">
        <v>74</v>
      </c>
      <c r="I1077" t="s">
        <v>21218</v>
      </c>
      <c r="J1077" t="s">
        <v>216</v>
      </c>
      <c r="K1077" t="s">
        <v>74</v>
      </c>
      <c r="L1077" t="s">
        <v>74</v>
      </c>
      <c r="M1077" t="s">
        <v>78</v>
      </c>
      <c r="N1077" t="s">
        <v>79</v>
      </c>
      <c r="O1077" t="s">
        <v>74</v>
      </c>
      <c r="P1077" t="s">
        <v>74</v>
      </c>
      <c r="Q1077" t="s">
        <v>74</v>
      </c>
      <c r="R1077" t="s">
        <v>74</v>
      </c>
      <c r="S1077" t="s">
        <v>74</v>
      </c>
      <c r="T1077" t="s">
        <v>21217</v>
      </c>
      <c r="U1077" t="s">
        <v>21216</v>
      </c>
      <c r="V1077" t="s">
        <v>21215</v>
      </c>
      <c r="W1077" t="s">
        <v>21214</v>
      </c>
      <c r="X1077" t="s">
        <v>21213</v>
      </c>
      <c r="Y1077" t="s">
        <v>21212</v>
      </c>
      <c r="Z1077" t="s">
        <v>21037</v>
      </c>
      <c r="AA1077" t="s">
        <v>21211</v>
      </c>
      <c r="AB1077" t="s">
        <v>3302</v>
      </c>
      <c r="AC1077" t="s">
        <v>21210</v>
      </c>
      <c r="AD1077" t="s">
        <v>21209</v>
      </c>
      <c r="AE1077" t="s">
        <v>21208</v>
      </c>
      <c r="AF1077" t="s">
        <v>74</v>
      </c>
      <c r="AG1077">
        <v>39</v>
      </c>
      <c r="AH1077">
        <v>81</v>
      </c>
      <c r="AI1077">
        <v>84</v>
      </c>
      <c r="AJ1077">
        <v>0</v>
      </c>
      <c r="AK1077">
        <v>7</v>
      </c>
      <c r="AL1077" t="s">
        <v>219</v>
      </c>
      <c r="AM1077" t="s">
        <v>220</v>
      </c>
      <c r="AN1077" t="s">
        <v>221</v>
      </c>
      <c r="AO1077" t="s">
        <v>222</v>
      </c>
      <c r="AP1077" t="s">
        <v>223</v>
      </c>
      <c r="AQ1077" t="s">
        <v>74</v>
      </c>
      <c r="AR1077" t="s">
        <v>224</v>
      </c>
      <c r="AS1077" t="s">
        <v>225</v>
      </c>
      <c r="AT1077" t="s">
        <v>98</v>
      </c>
      <c r="AU1077">
        <v>2013</v>
      </c>
      <c r="AV1077">
        <v>41</v>
      </c>
      <c r="AW1077">
        <v>3</v>
      </c>
      <c r="AX1077" t="s">
        <v>74</v>
      </c>
      <c r="AY1077" t="s">
        <v>74</v>
      </c>
      <c r="AZ1077" t="s">
        <v>74</v>
      </c>
      <c r="BA1077" t="s">
        <v>74</v>
      </c>
      <c r="BB1077">
        <v>578</v>
      </c>
      <c r="BC1077">
        <v>587</v>
      </c>
      <c r="BD1077" t="s">
        <v>74</v>
      </c>
      <c r="BE1077" t="s">
        <v>21207</v>
      </c>
      <c r="BF1077" t="str">
        <f>HYPERLINK("http://dx.doi.org/10.1183/09031936.00223611","http://dx.doi.org/10.1183/09031936.00223611")</f>
        <v>http://dx.doi.org/10.1183/09031936.00223611</v>
      </c>
      <c r="BG1077" t="s">
        <v>74</v>
      </c>
      <c r="BH1077" t="s">
        <v>74</v>
      </c>
      <c r="BI1077">
        <v>10</v>
      </c>
      <c r="BJ1077" t="s">
        <v>228</v>
      </c>
      <c r="BK1077" t="s">
        <v>101</v>
      </c>
      <c r="BL1077" t="s">
        <v>228</v>
      </c>
      <c r="BM1077" t="s">
        <v>21206</v>
      </c>
      <c r="BN1077">
        <v>22790921</v>
      </c>
      <c r="BO1077" t="s">
        <v>1194</v>
      </c>
      <c r="BP1077" t="s">
        <v>74</v>
      </c>
      <c r="BQ1077" t="s">
        <v>74</v>
      </c>
      <c r="BR1077" t="s">
        <v>104</v>
      </c>
      <c r="BS1077" t="s">
        <v>21205</v>
      </c>
      <c r="BT1077" t="str">
        <f>HYPERLINK("https%3A%2F%2Fwww.webofscience.com%2Fwos%2Fwoscc%2Ffull-record%2FWOS:000316158900014","View Full Record in Web of Science")</f>
        <v>View Full Record in Web of Science</v>
      </c>
    </row>
    <row r="1078" spans="1:72" x14ac:dyDescent="0.25">
      <c r="A1078" t="s">
        <v>72</v>
      </c>
      <c r="B1078" t="s">
        <v>21204</v>
      </c>
      <c r="C1078" t="s">
        <v>74</v>
      </c>
      <c r="D1078" t="s">
        <v>74</v>
      </c>
      <c r="E1078" t="s">
        <v>74</v>
      </c>
      <c r="F1078" t="s">
        <v>21203</v>
      </c>
      <c r="G1078" t="s">
        <v>74</v>
      </c>
      <c r="H1078" t="s">
        <v>21202</v>
      </c>
      <c r="I1078" t="s">
        <v>21201</v>
      </c>
      <c r="J1078" t="s">
        <v>324</v>
      </c>
      <c r="K1078" t="s">
        <v>74</v>
      </c>
      <c r="L1078" t="s">
        <v>74</v>
      </c>
      <c r="M1078" t="s">
        <v>78</v>
      </c>
      <c r="N1078" t="s">
        <v>79</v>
      </c>
      <c r="O1078" t="s">
        <v>74</v>
      </c>
      <c r="P1078" t="s">
        <v>74</v>
      </c>
      <c r="Q1078" t="s">
        <v>74</v>
      </c>
      <c r="R1078" t="s">
        <v>74</v>
      </c>
      <c r="S1078" t="s">
        <v>74</v>
      </c>
      <c r="T1078" t="s">
        <v>74</v>
      </c>
      <c r="U1078" t="s">
        <v>21200</v>
      </c>
      <c r="V1078" t="s">
        <v>21199</v>
      </c>
      <c r="W1078" t="s">
        <v>21198</v>
      </c>
      <c r="X1078" t="s">
        <v>21197</v>
      </c>
      <c r="Y1078" t="s">
        <v>21196</v>
      </c>
      <c r="Z1078" t="s">
        <v>21195</v>
      </c>
      <c r="AA1078" t="s">
        <v>21194</v>
      </c>
      <c r="AB1078" t="s">
        <v>21193</v>
      </c>
      <c r="AC1078" t="s">
        <v>21192</v>
      </c>
      <c r="AD1078" t="s">
        <v>21191</v>
      </c>
      <c r="AE1078" t="s">
        <v>21190</v>
      </c>
      <c r="AF1078" t="s">
        <v>74</v>
      </c>
      <c r="AG1078">
        <v>16</v>
      </c>
      <c r="AH1078">
        <v>70</v>
      </c>
      <c r="AI1078">
        <v>72</v>
      </c>
      <c r="AJ1078">
        <v>0</v>
      </c>
      <c r="AK1078">
        <v>8</v>
      </c>
      <c r="AL1078" t="s">
        <v>92</v>
      </c>
      <c r="AM1078" t="s">
        <v>93</v>
      </c>
      <c r="AN1078" t="s">
        <v>94</v>
      </c>
      <c r="AO1078" t="s">
        <v>337</v>
      </c>
      <c r="AP1078" t="s">
        <v>338</v>
      </c>
      <c r="AQ1078" t="s">
        <v>74</v>
      </c>
      <c r="AR1078" t="s">
        <v>324</v>
      </c>
      <c r="AS1078" t="s">
        <v>339</v>
      </c>
      <c r="AT1078" t="s">
        <v>129</v>
      </c>
      <c r="AU1078">
        <v>2013</v>
      </c>
      <c r="AV1078">
        <v>143</v>
      </c>
      <c r="AW1078">
        <v>2</v>
      </c>
      <c r="AX1078" t="s">
        <v>74</v>
      </c>
      <c r="AY1078" t="s">
        <v>74</v>
      </c>
      <c r="AZ1078" t="s">
        <v>74</v>
      </c>
      <c r="BA1078" t="s">
        <v>74</v>
      </c>
      <c r="BB1078">
        <v>398</v>
      </c>
      <c r="BC1078">
        <v>405</v>
      </c>
      <c r="BD1078" t="s">
        <v>74</v>
      </c>
      <c r="BE1078" t="s">
        <v>21189</v>
      </c>
      <c r="BF1078" t="str">
        <f>HYPERLINK("http://dx.doi.org/10.1378/chest.12-1372","http://dx.doi.org/10.1378/chest.12-1372")</f>
        <v>http://dx.doi.org/10.1378/chest.12-1372</v>
      </c>
      <c r="BG1078" t="s">
        <v>74</v>
      </c>
      <c r="BH1078" t="s">
        <v>74</v>
      </c>
      <c r="BI1078">
        <v>8</v>
      </c>
      <c r="BJ1078" t="s">
        <v>341</v>
      </c>
      <c r="BK1078" t="s">
        <v>101</v>
      </c>
      <c r="BL1078" t="s">
        <v>342</v>
      </c>
      <c r="BM1078" t="s">
        <v>21188</v>
      </c>
      <c r="BN1078">
        <v>23505637</v>
      </c>
      <c r="BO1078" t="s">
        <v>74</v>
      </c>
      <c r="BP1078" t="s">
        <v>74</v>
      </c>
      <c r="BQ1078" t="s">
        <v>74</v>
      </c>
      <c r="BR1078" t="s">
        <v>104</v>
      </c>
      <c r="BS1078" t="s">
        <v>21187</v>
      </c>
      <c r="BT1078" t="str">
        <f>HYPERLINK("https%3A%2F%2Fwww.webofscience.com%2Fwos%2Fwoscc%2Ffull-record%2FWOS:000317871100020","View Full Record in Web of Science")</f>
        <v>View Full Record in Web of Science</v>
      </c>
    </row>
    <row r="1079" spans="1:72" x14ac:dyDescent="0.25">
      <c r="A1079" t="s">
        <v>72</v>
      </c>
      <c r="B1079" t="s">
        <v>21186</v>
      </c>
      <c r="C1079" t="s">
        <v>74</v>
      </c>
      <c r="D1079" t="s">
        <v>74</v>
      </c>
      <c r="E1079" t="s">
        <v>74</v>
      </c>
      <c r="F1079" t="s">
        <v>21185</v>
      </c>
      <c r="G1079" t="s">
        <v>74</v>
      </c>
      <c r="H1079" t="s">
        <v>74</v>
      </c>
      <c r="I1079" t="s">
        <v>21184</v>
      </c>
      <c r="J1079" t="s">
        <v>19453</v>
      </c>
      <c r="K1079" t="s">
        <v>74</v>
      </c>
      <c r="L1079" t="s">
        <v>74</v>
      </c>
      <c r="M1079" t="s">
        <v>78</v>
      </c>
      <c r="N1079" t="s">
        <v>299</v>
      </c>
      <c r="O1079" t="s">
        <v>74</v>
      </c>
      <c r="P1079" t="s">
        <v>74</v>
      </c>
      <c r="Q1079" t="s">
        <v>74</v>
      </c>
      <c r="R1079" t="s">
        <v>74</v>
      </c>
      <c r="S1079" t="s">
        <v>74</v>
      </c>
      <c r="T1079" t="s">
        <v>21183</v>
      </c>
      <c r="U1079" t="s">
        <v>21182</v>
      </c>
      <c r="V1079" t="s">
        <v>21181</v>
      </c>
      <c r="W1079" t="s">
        <v>21180</v>
      </c>
      <c r="X1079" t="s">
        <v>21179</v>
      </c>
      <c r="Y1079" t="s">
        <v>21178</v>
      </c>
      <c r="Z1079" t="s">
        <v>21177</v>
      </c>
      <c r="AA1079" t="s">
        <v>21176</v>
      </c>
      <c r="AB1079" t="s">
        <v>15884</v>
      </c>
      <c r="AC1079" t="s">
        <v>74</v>
      </c>
      <c r="AD1079" t="s">
        <v>74</v>
      </c>
      <c r="AE1079" t="s">
        <v>74</v>
      </c>
      <c r="AF1079" t="s">
        <v>74</v>
      </c>
      <c r="AG1079">
        <v>85</v>
      </c>
      <c r="AH1079">
        <v>80</v>
      </c>
      <c r="AI1079">
        <v>91</v>
      </c>
      <c r="AJ1079">
        <v>3</v>
      </c>
      <c r="AK1079">
        <v>14</v>
      </c>
      <c r="AL1079" t="s">
        <v>12944</v>
      </c>
      <c r="AM1079" t="s">
        <v>12945</v>
      </c>
      <c r="AN1079" t="s">
        <v>19444</v>
      </c>
      <c r="AO1079" t="s">
        <v>19443</v>
      </c>
      <c r="AP1079" t="s">
        <v>21175</v>
      </c>
      <c r="AQ1079" t="s">
        <v>74</v>
      </c>
      <c r="AR1079" t="s">
        <v>19442</v>
      </c>
      <c r="AS1079" t="s">
        <v>19441</v>
      </c>
      <c r="AT1079" t="s">
        <v>129</v>
      </c>
      <c r="AU1079">
        <v>2013</v>
      </c>
      <c r="AV1079">
        <v>44</v>
      </c>
      <c r="AW1079">
        <v>1</v>
      </c>
      <c r="AX1079" t="s">
        <v>74</v>
      </c>
      <c r="AY1079" t="s">
        <v>74</v>
      </c>
      <c r="AZ1079" t="s">
        <v>74</v>
      </c>
      <c r="BA1079" t="s">
        <v>74</v>
      </c>
      <c r="BB1079">
        <v>31</v>
      </c>
      <c r="BC1079">
        <v>38</v>
      </c>
      <c r="BD1079" t="s">
        <v>74</v>
      </c>
      <c r="BE1079" t="s">
        <v>21174</v>
      </c>
      <c r="BF1079" t="str">
        <f>HYPERLINK("http://dx.doi.org/10.1007/s12016-011-8265-z","http://dx.doi.org/10.1007/s12016-011-8265-z")</f>
        <v>http://dx.doi.org/10.1007/s12016-011-8265-z</v>
      </c>
      <c r="BG1079" t="s">
        <v>74</v>
      </c>
      <c r="BH1079" t="s">
        <v>74</v>
      </c>
      <c r="BI1079">
        <v>8</v>
      </c>
      <c r="BJ1079" t="s">
        <v>3085</v>
      </c>
      <c r="BK1079" t="s">
        <v>101</v>
      </c>
      <c r="BL1079" t="s">
        <v>3085</v>
      </c>
      <c r="BM1079" t="s">
        <v>21173</v>
      </c>
      <c r="BN1079">
        <v>21394427</v>
      </c>
      <c r="BO1079" t="s">
        <v>74</v>
      </c>
      <c r="BP1079" t="s">
        <v>74</v>
      </c>
      <c r="BQ1079" t="s">
        <v>74</v>
      </c>
      <c r="BR1079" t="s">
        <v>104</v>
      </c>
      <c r="BS1079" t="s">
        <v>21172</v>
      </c>
      <c r="BT1079" t="str">
        <f>HYPERLINK("https%3A%2F%2Fwww.webofscience.com%2Fwos%2Fwoscc%2Ffull-record%2FWOS:000313800000005","View Full Record in Web of Science")</f>
        <v>View Full Record in Web of Science</v>
      </c>
    </row>
    <row r="1080" spans="1:72" x14ac:dyDescent="0.25">
      <c r="A1080" t="s">
        <v>72</v>
      </c>
      <c r="B1080" t="s">
        <v>21171</v>
      </c>
      <c r="C1080" t="s">
        <v>74</v>
      </c>
      <c r="D1080" t="s">
        <v>74</v>
      </c>
      <c r="E1080" t="s">
        <v>74</v>
      </c>
      <c r="F1080" t="s">
        <v>21170</v>
      </c>
      <c r="G1080" t="s">
        <v>74</v>
      </c>
      <c r="H1080" t="s">
        <v>74</v>
      </c>
      <c r="I1080" t="s">
        <v>21169</v>
      </c>
      <c r="J1080" t="s">
        <v>637</v>
      </c>
      <c r="K1080" t="s">
        <v>74</v>
      </c>
      <c r="L1080" t="s">
        <v>74</v>
      </c>
      <c r="M1080" t="s">
        <v>78</v>
      </c>
      <c r="N1080" t="s">
        <v>79</v>
      </c>
      <c r="O1080" t="s">
        <v>74</v>
      </c>
      <c r="P1080" t="s">
        <v>74</v>
      </c>
      <c r="Q1080" t="s">
        <v>74</v>
      </c>
      <c r="R1080" t="s">
        <v>74</v>
      </c>
      <c r="S1080" t="s">
        <v>74</v>
      </c>
      <c r="T1080" t="s">
        <v>21168</v>
      </c>
      <c r="U1080" t="s">
        <v>21167</v>
      </c>
      <c r="V1080" t="s">
        <v>21166</v>
      </c>
      <c r="W1080" t="s">
        <v>21165</v>
      </c>
      <c r="X1080" t="s">
        <v>21164</v>
      </c>
      <c r="Y1080" t="s">
        <v>12787</v>
      </c>
      <c r="Z1080" t="s">
        <v>756</v>
      </c>
      <c r="AA1080" t="s">
        <v>21163</v>
      </c>
      <c r="AB1080" t="s">
        <v>21162</v>
      </c>
      <c r="AC1080" t="s">
        <v>21161</v>
      </c>
      <c r="AD1080" t="s">
        <v>21160</v>
      </c>
      <c r="AE1080" t="s">
        <v>21159</v>
      </c>
      <c r="AF1080" t="s">
        <v>74</v>
      </c>
      <c r="AG1080">
        <v>51</v>
      </c>
      <c r="AH1080">
        <v>44</v>
      </c>
      <c r="AI1080">
        <v>47</v>
      </c>
      <c r="AJ1080">
        <v>0</v>
      </c>
      <c r="AK1080">
        <v>6</v>
      </c>
      <c r="AL1080" t="s">
        <v>649</v>
      </c>
      <c r="AM1080" t="s">
        <v>486</v>
      </c>
      <c r="AN1080" t="s">
        <v>650</v>
      </c>
      <c r="AO1080" t="s">
        <v>651</v>
      </c>
      <c r="AP1080" t="s">
        <v>652</v>
      </c>
      <c r="AQ1080" t="s">
        <v>74</v>
      </c>
      <c r="AR1080" t="s">
        <v>653</v>
      </c>
      <c r="AS1080" t="s">
        <v>654</v>
      </c>
      <c r="AT1080" t="s">
        <v>21158</v>
      </c>
      <c r="AU1080">
        <v>2013</v>
      </c>
      <c r="AV1080">
        <v>187</v>
      </c>
      <c r="AW1080">
        <v>2</v>
      </c>
      <c r="AX1080" t="s">
        <v>74</v>
      </c>
      <c r="AY1080" t="s">
        <v>74</v>
      </c>
      <c r="AZ1080" t="s">
        <v>74</v>
      </c>
      <c r="BA1080" t="s">
        <v>74</v>
      </c>
      <c r="BB1080">
        <v>189</v>
      </c>
      <c r="BC1080">
        <v>196</v>
      </c>
      <c r="BD1080" t="s">
        <v>74</v>
      </c>
      <c r="BE1080" t="s">
        <v>21157</v>
      </c>
      <c r="BF1080" t="str">
        <f>HYPERLINK("http://dx.doi.org/10.1164/rccm.201208-1364OC","http://dx.doi.org/10.1164/rccm.201208-1364OC")</f>
        <v>http://dx.doi.org/10.1164/rccm.201208-1364OC</v>
      </c>
      <c r="BG1080" t="s">
        <v>74</v>
      </c>
      <c r="BH1080" t="s">
        <v>74</v>
      </c>
      <c r="BI1080">
        <v>8</v>
      </c>
      <c r="BJ1080" t="s">
        <v>341</v>
      </c>
      <c r="BK1080" t="s">
        <v>101</v>
      </c>
      <c r="BL1080" t="s">
        <v>342</v>
      </c>
      <c r="BM1080" t="s">
        <v>21156</v>
      </c>
      <c r="BN1080">
        <v>23220918</v>
      </c>
      <c r="BO1080" t="s">
        <v>74</v>
      </c>
      <c r="BP1080" t="s">
        <v>74</v>
      </c>
      <c r="BQ1080" t="s">
        <v>74</v>
      </c>
      <c r="BR1080" t="s">
        <v>104</v>
      </c>
      <c r="BS1080" t="s">
        <v>21155</v>
      </c>
      <c r="BT1080" t="str">
        <f>HYPERLINK("https%3A%2F%2Fwww.webofscience.com%2Fwos%2Fwoscc%2Ffull-record%2FWOS:000313924600015","View Full Record in Web of Science")</f>
        <v>View Full Record in Web of Science</v>
      </c>
    </row>
    <row r="1081" spans="1:72" x14ac:dyDescent="0.25">
      <c r="A1081" t="s">
        <v>72</v>
      </c>
      <c r="B1081" t="s">
        <v>21154</v>
      </c>
      <c r="C1081" t="s">
        <v>74</v>
      </c>
      <c r="D1081" t="s">
        <v>74</v>
      </c>
      <c r="E1081" t="s">
        <v>74</v>
      </c>
      <c r="F1081" t="s">
        <v>21153</v>
      </c>
      <c r="G1081" t="s">
        <v>74</v>
      </c>
      <c r="H1081" t="s">
        <v>74</v>
      </c>
      <c r="I1081" t="s">
        <v>21152</v>
      </c>
      <c r="J1081" t="s">
        <v>9316</v>
      </c>
      <c r="K1081" t="s">
        <v>74</v>
      </c>
      <c r="L1081" t="s">
        <v>74</v>
      </c>
      <c r="M1081" t="s">
        <v>78</v>
      </c>
      <c r="N1081" t="s">
        <v>79</v>
      </c>
      <c r="O1081" t="s">
        <v>74</v>
      </c>
      <c r="P1081" t="s">
        <v>74</v>
      </c>
      <c r="Q1081" t="s">
        <v>74</v>
      </c>
      <c r="R1081" t="s">
        <v>74</v>
      </c>
      <c r="S1081" t="s">
        <v>74</v>
      </c>
      <c r="T1081" t="s">
        <v>21151</v>
      </c>
      <c r="U1081" t="s">
        <v>21150</v>
      </c>
      <c r="V1081" t="s">
        <v>21149</v>
      </c>
      <c r="W1081" t="s">
        <v>21148</v>
      </c>
      <c r="X1081" t="s">
        <v>21147</v>
      </c>
      <c r="Y1081" t="s">
        <v>21146</v>
      </c>
      <c r="Z1081" t="s">
        <v>3864</v>
      </c>
      <c r="AA1081" t="s">
        <v>14164</v>
      </c>
      <c r="AB1081" t="s">
        <v>21145</v>
      </c>
      <c r="AC1081" t="s">
        <v>74</v>
      </c>
      <c r="AD1081" t="s">
        <v>74</v>
      </c>
      <c r="AE1081" t="s">
        <v>74</v>
      </c>
      <c r="AF1081" t="s">
        <v>74</v>
      </c>
      <c r="AG1081">
        <v>37</v>
      </c>
      <c r="AH1081">
        <v>17</v>
      </c>
      <c r="AI1081">
        <v>17</v>
      </c>
      <c r="AJ1081">
        <v>0</v>
      </c>
      <c r="AK1081">
        <v>7</v>
      </c>
      <c r="AL1081" t="s">
        <v>9328</v>
      </c>
      <c r="AM1081" t="s">
        <v>1114</v>
      </c>
      <c r="AN1081" t="s">
        <v>9329</v>
      </c>
      <c r="AO1081" t="s">
        <v>9330</v>
      </c>
      <c r="AP1081" t="s">
        <v>9331</v>
      </c>
      <c r="AQ1081" t="s">
        <v>74</v>
      </c>
      <c r="AR1081" t="s">
        <v>9316</v>
      </c>
      <c r="AS1081" t="s">
        <v>9332</v>
      </c>
      <c r="AT1081" t="s">
        <v>74</v>
      </c>
      <c r="AU1081">
        <v>2013</v>
      </c>
      <c r="AV1081">
        <v>85</v>
      </c>
      <c r="AW1081">
        <v>6</v>
      </c>
      <c r="AX1081" t="s">
        <v>74</v>
      </c>
      <c r="AY1081" t="s">
        <v>74</v>
      </c>
      <c r="AZ1081" t="s">
        <v>74</v>
      </c>
      <c r="BA1081" t="s">
        <v>74</v>
      </c>
      <c r="BB1081">
        <v>471</v>
      </c>
      <c r="BC1081">
        <v>477</v>
      </c>
      <c r="BD1081" t="s">
        <v>74</v>
      </c>
      <c r="BE1081" t="s">
        <v>21144</v>
      </c>
      <c r="BF1081" t="str">
        <f>HYPERLINK("http://dx.doi.org/10.1159/000339595","http://dx.doi.org/10.1159/000339595")</f>
        <v>http://dx.doi.org/10.1159/000339595</v>
      </c>
      <c r="BG1081" t="s">
        <v>74</v>
      </c>
      <c r="BH1081" t="s">
        <v>74</v>
      </c>
      <c r="BI1081">
        <v>7</v>
      </c>
      <c r="BJ1081" t="s">
        <v>228</v>
      </c>
      <c r="BK1081" t="s">
        <v>101</v>
      </c>
      <c r="BL1081" t="s">
        <v>228</v>
      </c>
      <c r="BM1081" t="s">
        <v>20913</v>
      </c>
      <c r="BN1081">
        <v>22890046</v>
      </c>
      <c r="BO1081" t="s">
        <v>1194</v>
      </c>
      <c r="BP1081" t="s">
        <v>74</v>
      </c>
      <c r="BQ1081" t="s">
        <v>74</v>
      </c>
      <c r="BR1081" t="s">
        <v>104</v>
      </c>
      <c r="BS1081" t="s">
        <v>21143</v>
      </c>
      <c r="BT1081" t="str">
        <f>HYPERLINK("https%3A%2F%2Fwww.webofscience.com%2Fwos%2Fwoscc%2Ffull-record%2FWOS:000319506200005","View Full Record in Web of Science")</f>
        <v>View Full Record in Web of Science</v>
      </c>
    </row>
    <row r="1082" spans="1:72" x14ac:dyDescent="0.25">
      <c r="A1082" t="s">
        <v>998</v>
      </c>
      <c r="B1082" t="s">
        <v>21142</v>
      </c>
      <c r="C1082" t="s">
        <v>74</v>
      </c>
      <c r="D1082" t="s">
        <v>21083</v>
      </c>
      <c r="E1082" t="s">
        <v>74</v>
      </c>
      <c r="F1082" t="s">
        <v>21141</v>
      </c>
      <c r="G1082" t="s">
        <v>74</v>
      </c>
      <c r="H1082" t="s">
        <v>74</v>
      </c>
      <c r="I1082" t="s">
        <v>21140</v>
      </c>
      <c r="J1082" t="s">
        <v>21080</v>
      </c>
      <c r="K1082" t="s">
        <v>21079</v>
      </c>
      <c r="L1082" t="s">
        <v>74</v>
      </c>
      <c r="M1082" t="s">
        <v>78</v>
      </c>
      <c r="N1082" t="s">
        <v>8065</v>
      </c>
      <c r="O1082" t="s">
        <v>74</v>
      </c>
      <c r="P1082" t="s">
        <v>74</v>
      </c>
      <c r="Q1082" t="s">
        <v>74</v>
      </c>
      <c r="R1082" t="s">
        <v>74</v>
      </c>
      <c r="S1082" t="s">
        <v>74</v>
      </c>
      <c r="T1082" t="s">
        <v>21139</v>
      </c>
      <c r="U1082" t="s">
        <v>21138</v>
      </c>
      <c r="V1082" t="s">
        <v>21137</v>
      </c>
      <c r="W1082" t="s">
        <v>21136</v>
      </c>
      <c r="X1082" t="s">
        <v>21135</v>
      </c>
      <c r="Y1082" t="s">
        <v>21134</v>
      </c>
      <c r="Z1082" t="s">
        <v>21133</v>
      </c>
      <c r="AA1082" t="s">
        <v>144</v>
      </c>
      <c r="AB1082" t="s">
        <v>257</v>
      </c>
      <c r="AC1082" t="s">
        <v>74</v>
      </c>
      <c r="AD1082" t="s">
        <v>74</v>
      </c>
      <c r="AE1082" t="s">
        <v>74</v>
      </c>
      <c r="AF1082" t="s">
        <v>74</v>
      </c>
      <c r="AG1082">
        <v>155</v>
      </c>
      <c r="AH1082">
        <v>26</v>
      </c>
      <c r="AI1082">
        <v>28</v>
      </c>
      <c r="AJ1082">
        <v>1</v>
      </c>
      <c r="AK1082">
        <v>9</v>
      </c>
      <c r="AL1082" t="s">
        <v>21075</v>
      </c>
      <c r="AM1082" t="s">
        <v>283</v>
      </c>
      <c r="AN1082" t="s">
        <v>21074</v>
      </c>
      <c r="AO1082" t="s">
        <v>21073</v>
      </c>
      <c r="AP1082" t="s">
        <v>74</v>
      </c>
      <c r="AQ1082" t="s">
        <v>21072</v>
      </c>
      <c r="AR1082" t="s">
        <v>21071</v>
      </c>
      <c r="AS1082" t="s">
        <v>21070</v>
      </c>
      <c r="AT1082" t="s">
        <v>74</v>
      </c>
      <c r="AU1082">
        <v>2013</v>
      </c>
      <c r="AV1082">
        <v>218</v>
      </c>
      <c r="AW1082" t="s">
        <v>74</v>
      </c>
      <c r="AX1082" t="s">
        <v>74</v>
      </c>
      <c r="AY1082" t="s">
        <v>74</v>
      </c>
      <c r="AZ1082" t="s">
        <v>74</v>
      </c>
      <c r="BA1082" t="s">
        <v>74</v>
      </c>
      <c r="BB1082">
        <v>199</v>
      </c>
      <c r="BC1082">
        <v>227</v>
      </c>
      <c r="BD1082" t="s">
        <v>74</v>
      </c>
      <c r="BE1082" t="s">
        <v>21132</v>
      </c>
      <c r="BF1082" t="str">
        <f>HYPERLINK("http://dx.doi.org/10.1007/978-3-642-38664-0_9","http://dx.doi.org/10.1007/978-3-642-38664-0_9")</f>
        <v>http://dx.doi.org/10.1007/978-3-642-38664-0_9</v>
      </c>
      <c r="BG1082" t="s">
        <v>21067</v>
      </c>
      <c r="BH1082" t="s">
        <v>74</v>
      </c>
      <c r="BI1082">
        <v>29</v>
      </c>
      <c r="BJ1082" t="s">
        <v>1477</v>
      </c>
      <c r="BK1082" t="s">
        <v>8073</v>
      </c>
      <c r="BL1082" t="s">
        <v>1477</v>
      </c>
      <c r="BM1082" t="s">
        <v>21066</v>
      </c>
      <c r="BN1082">
        <v>24092342</v>
      </c>
      <c r="BO1082" t="s">
        <v>74</v>
      </c>
      <c r="BP1082" t="s">
        <v>74</v>
      </c>
      <c r="BQ1082" t="s">
        <v>74</v>
      </c>
      <c r="BR1082" t="s">
        <v>104</v>
      </c>
      <c r="BS1082" t="s">
        <v>21131</v>
      </c>
      <c r="BT1082" t="str">
        <f>HYPERLINK("https%3A%2F%2Fwww.webofscience.com%2Fwos%2Fwoscc%2Ffull-record%2FWOS:000329227200010","View Full Record in Web of Science")</f>
        <v>View Full Record in Web of Science</v>
      </c>
    </row>
    <row r="1083" spans="1:72" x14ac:dyDescent="0.25">
      <c r="A1083" t="s">
        <v>72</v>
      </c>
      <c r="B1083" t="s">
        <v>21130</v>
      </c>
      <c r="C1083" t="s">
        <v>74</v>
      </c>
      <c r="D1083" t="s">
        <v>74</v>
      </c>
      <c r="E1083" t="s">
        <v>74</v>
      </c>
      <c r="F1083" t="s">
        <v>21129</v>
      </c>
      <c r="G1083" t="s">
        <v>74</v>
      </c>
      <c r="H1083" t="s">
        <v>74</v>
      </c>
      <c r="I1083" t="s">
        <v>21128</v>
      </c>
      <c r="J1083" t="s">
        <v>637</v>
      </c>
      <c r="K1083" t="s">
        <v>74</v>
      </c>
      <c r="L1083" t="s">
        <v>74</v>
      </c>
      <c r="M1083" t="s">
        <v>78</v>
      </c>
      <c r="N1083" t="s">
        <v>52</v>
      </c>
      <c r="O1083" t="s">
        <v>74</v>
      </c>
      <c r="P1083" t="s">
        <v>74</v>
      </c>
      <c r="Q1083" t="s">
        <v>74</v>
      </c>
      <c r="R1083" t="s">
        <v>74</v>
      </c>
      <c r="S1083" t="s">
        <v>74</v>
      </c>
      <c r="T1083" t="s">
        <v>74</v>
      </c>
      <c r="U1083" t="s">
        <v>74</v>
      </c>
      <c r="V1083" t="s">
        <v>74</v>
      </c>
      <c r="W1083" t="s">
        <v>21127</v>
      </c>
      <c r="X1083" t="s">
        <v>21126</v>
      </c>
      <c r="Y1083" t="s">
        <v>74</v>
      </c>
      <c r="Z1083" t="s">
        <v>21125</v>
      </c>
      <c r="AA1083" t="s">
        <v>21124</v>
      </c>
      <c r="AB1083" t="s">
        <v>11924</v>
      </c>
      <c r="AC1083" t="s">
        <v>74</v>
      </c>
      <c r="AD1083" t="s">
        <v>74</v>
      </c>
      <c r="AE1083" t="s">
        <v>74</v>
      </c>
      <c r="AF1083" t="s">
        <v>74</v>
      </c>
      <c r="AG1083">
        <v>0</v>
      </c>
      <c r="AH1083">
        <v>0</v>
      </c>
      <c r="AI1083">
        <v>0</v>
      </c>
      <c r="AJ1083">
        <v>0</v>
      </c>
      <c r="AK1083">
        <v>0</v>
      </c>
      <c r="AL1083" t="s">
        <v>649</v>
      </c>
      <c r="AM1083" t="s">
        <v>486</v>
      </c>
      <c r="AN1083" t="s">
        <v>650</v>
      </c>
      <c r="AO1083" t="s">
        <v>651</v>
      </c>
      <c r="AP1083" t="s">
        <v>652</v>
      </c>
      <c r="AQ1083" t="s">
        <v>74</v>
      </c>
      <c r="AR1083" t="s">
        <v>653</v>
      </c>
      <c r="AS1083" t="s">
        <v>654</v>
      </c>
      <c r="AT1083" t="s">
        <v>74</v>
      </c>
      <c r="AU1083">
        <v>2013</v>
      </c>
      <c r="AV1083">
        <v>187</v>
      </c>
      <c r="AW1083" t="s">
        <v>74</v>
      </c>
      <c r="AX1083" t="s">
        <v>74</v>
      </c>
      <c r="AY1083" t="s">
        <v>74</v>
      </c>
      <c r="AZ1083" t="s">
        <v>74</v>
      </c>
      <c r="BA1083" t="s">
        <v>21123</v>
      </c>
      <c r="BB1083" t="s">
        <v>74</v>
      </c>
      <c r="BC1083" t="s">
        <v>74</v>
      </c>
      <c r="BD1083" t="s">
        <v>74</v>
      </c>
      <c r="BE1083" t="s">
        <v>74</v>
      </c>
      <c r="BF1083" t="s">
        <v>74</v>
      </c>
      <c r="BG1083" t="s">
        <v>74</v>
      </c>
      <c r="BH1083" t="s">
        <v>74</v>
      </c>
      <c r="BI1083">
        <v>1</v>
      </c>
      <c r="BJ1083" t="s">
        <v>341</v>
      </c>
      <c r="BK1083" t="s">
        <v>101</v>
      </c>
      <c r="BL1083" t="s">
        <v>342</v>
      </c>
      <c r="BM1083" t="s">
        <v>20905</v>
      </c>
      <c r="BN1083" t="s">
        <v>74</v>
      </c>
      <c r="BO1083" t="s">
        <v>74</v>
      </c>
      <c r="BP1083" t="s">
        <v>74</v>
      </c>
      <c r="BQ1083" t="s">
        <v>74</v>
      </c>
      <c r="BR1083" t="s">
        <v>104</v>
      </c>
      <c r="BS1083" t="s">
        <v>21122</v>
      </c>
      <c r="BT1083" t="str">
        <f>HYPERLINK("https%3A%2F%2Fwww.webofscience.com%2Fwos%2Fwoscc%2Ffull-record%2FWOS:000209839100716","View Full Record in Web of Science")</f>
        <v>View Full Record in Web of Science</v>
      </c>
    </row>
    <row r="1084" spans="1:72" x14ac:dyDescent="0.25">
      <c r="A1084" t="s">
        <v>72</v>
      </c>
      <c r="B1084" t="s">
        <v>21121</v>
      </c>
      <c r="C1084" t="s">
        <v>74</v>
      </c>
      <c r="D1084" t="s">
        <v>74</v>
      </c>
      <c r="E1084" t="s">
        <v>74</v>
      </c>
      <c r="F1084" t="s">
        <v>21120</v>
      </c>
      <c r="G1084" t="s">
        <v>74</v>
      </c>
      <c r="H1084" t="s">
        <v>74</v>
      </c>
      <c r="I1084" t="s">
        <v>21119</v>
      </c>
      <c r="J1084" t="s">
        <v>637</v>
      </c>
      <c r="K1084" t="s">
        <v>74</v>
      </c>
      <c r="L1084" t="s">
        <v>74</v>
      </c>
      <c r="M1084" t="s">
        <v>78</v>
      </c>
      <c r="N1084" t="s">
        <v>52</v>
      </c>
      <c r="O1084" t="s">
        <v>74</v>
      </c>
      <c r="P1084" t="s">
        <v>74</v>
      </c>
      <c r="Q1084" t="s">
        <v>74</v>
      </c>
      <c r="R1084" t="s">
        <v>74</v>
      </c>
      <c r="S1084" t="s">
        <v>74</v>
      </c>
      <c r="T1084" t="s">
        <v>74</v>
      </c>
      <c r="U1084" t="s">
        <v>74</v>
      </c>
      <c r="V1084" t="s">
        <v>74</v>
      </c>
      <c r="W1084" t="s">
        <v>21118</v>
      </c>
      <c r="X1084" t="s">
        <v>21117</v>
      </c>
      <c r="Y1084" t="s">
        <v>74</v>
      </c>
      <c r="Z1084" t="s">
        <v>74</v>
      </c>
      <c r="AA1084" t="s">
        <v>144</v>
      </c>
      <c r="AB1084" t="s">
        <v>74</v>
      </c>
      <c r="AC1084" t="s">
        <v>74</v>
      </c>
      <c r="AD1084" t="s">
        <v>74</v>
      </c>
      <c r="AE1084" t="s">
        <v>74</v>
      </c>
      <c r="AF1084" t="s">
        <v>74</v>
      </c>
      <c r="AG1084">
        <v>0</v>
      </c>
      <c r="AH1084">
        <v>0</v>
      </c>
      <c r="AI1084">
        <v>0</v>
      </c>
      <c r="AJ1084">
        <v>0</v>
      </c>
      <c r="AK1084">
        <v>0</v>
      </c>
      <c r="AL1084" t="s">
        <v>649</v>
      </c>
      <c r="AM1084" t="s">
        <v>486</v>
      </c>
      <c r="AN1084" t="s">
        <v>650</v>
      </c>
      <c r="AO1084" t="s">
        <v>651</v>
      </c>
      <c r="AP1084" t="s">
        <v>652</v>
      </c>
      <c r="AQ1084" t="s">
        <v>74</v>
      </c>
      <c r="AR1084" t="s">
        <v>653</v>
      </c>
      <c r="AS1084" t="s">
        <v>654</v>
      </c>
      <c r="AT1084" t="s">
        <v>74</v>
      </c>
      <c r="AU1084">
        <v>2013</v>
      </c>
      <c r="AV1084">
        <v>187</v>
      </c>
      <c r="AW1084" t="s">
        <v>74</v>
      </c>
      <c r="AX1084" t="s">
        <v>74</v>
      </c>
      <c r="AY1084" t="s">
        <v>74</v>
      </c>
      <c r="AZ1084" t="s">
        <v>74</v>
      </c>
      <c r="BA1084" t="s">
        <v>21116</v>
      </c>
      <c r="BB1084" t="s">
        <v>74</v>
      </c>
      <c r="BC1084" t="s">
        <v>74</v>
      </c>
      <c r="BD1084" t="s">
        <v>74</v>
      </c>
      <c r="BE1084" t="s">
        <v>74</v>
      </c>
      <c r="BF1084" t="s">
        <v>74</v>
      </c>
      <c r="BG1084" t="s">
        <v>74</v>
      </c>
      <c r="BH1084" t="s">
        <v>74</v>
      </c>
      <c r="BI1084">
        <v>1</v>
      </c>
      <c r="BJ1084" t="s">
        <v>341</v>
      </c>
      <c r="BK1084" t="s">
        <v>101</v>
      </c>
      <c r="BL1084" t="s">
        <v>342</v>
      </c>
      <c r="BM1084" t="s">
        <v>20905</v>
      </c>
      <c r="BN1084" t="s">
        <v>74</v>
      </c>
      <c r="BO1084" t="s">
        <v>74</v>
      </c>
      <c r="BP1084" t="s">
        <v>74</v>
      </c>
      <c r="BQ1084" t="s">
        <v>74</v>
      </c>
      <c r="BR1084" t="s">
        <v>104</v>
      </c>
      <c r="BS1084" t="s">
        <v>21115</v>
      </c>
      <c r="BT1084" t="str">
        <f>HYPERLINK("https%3A%2F%2Fwww.webofscience.com%2Fwos%2Fwoscc%2Ffull-record%2FWOS:000209839101363","View Full Record in Web of Science")</f>
        <v>View Full Record in Web of Science</v>
      </c>
    </row>
    <row r="1085" spans="1:72" x14ac:dyDescent="0.25">
      <c r="A1085" t="s">
        <v>72</v>
      </c>
      <c r="B1085" t="s">
        <v>21114</v>
      </c>
      <c r="C1085" t="s">
        <v>74</v>
      </c>
      <c r="D1085" t="s">
        <v>74</v>
      </c>
      <c r="E1085" t="s">
        <v>74</v>
      </c>
      <c r="F1085" t="s">
        <v>21113</v>
      </c>
      <c r="G1085" t="s">
        <v>74</v>
      </c>
      <c r="H1085" t="s">
        <v>74</v>
      </c>
      <c r="I1085" t="s">
        <v>21112</v>
      </c>
      <c r="J1085" t="s">
        <v>637</v>
      </c>
      <c r="K1085" t="s">
        <v>74</v>
      </c>
      <c r="L1085" t="s">
        <v>74</v>
      </c>
      <c r="M1085" t="s">
        <v>78</v>
      </c>
      <c r="N1085" t="s">
        <v>52</v>
      </c>
      <c r="O1085" t="s">
        <v>74</v>
      </c>
      <c r="P1085" t="s">
        <v>74</v>
      </c>
      <c r="Q1085" t="s">
        <v>74</v>
      </c>
      <c r="R1085" t="s">
        <v>74</v>
      </c>
      <c r="S1085" t="s">
        <v>74</v>
      </c>
      <c r="T1085" t="s">
        <v>74</v>
      </c>
      <c r="U1085" t="s">
        <v>74</v>
      </c>
      <c r="V1085" t="s">
        <v>74</v>
      </c>
      <c r="W1085" t="s">
        <v>21111</v>
      </c>
      <c r="X1085" t="s">
        <v>1547</v>
      </c>
      <c r="Y1085" t="s">
        <v>74</v>
      </c>
      <c r="Z1085" t="s">
        <v>15038</v>
      </c>
      <c r="AA1085" t="s">
        <v>21110</v>
      </c>
      <c r="AB1085" t="s">
        <v>21109</v>
      </c>
      <c r="AC1085" t="s">
        <v>74</v>
      </c>
      <c r="AD1085" t="s">
        <v>74</v>
      </c>
      <c r="AE1085" t="s">
        <v>74</v>
      </c>
      <c r="AF1085" t="s">
        <v>74</v>
      </c>
      <c r="AG1085">
        <v>0</v>
      </c>
      <c r="AH1085">
        <v>0</v>
      </c>
      <c r="AI1085">
        <v>0</v>
      </c>
      <c r="AJ1085">
        <v>0</v>
      </c>
      <c r="AK1085">
        <v>0</v>
      </c>
      <c r="AL1085" t="s">
        <v>649</v>
      </c>
      <c r="AM1085" t="s">
        <v>486</v>
      </c>
      <c r="AN1085" t="s">
        <v>650</v>
      </c>
      <c r="AO1085" t="s">
        <v>651</v>
      </c>
      <c r="AP1085" t="s">
        <v>652</v>
      </c>
      <c r="AQ1085" t="s">
        <v>74</v>
      </c>
      <c r="AR1085" t="s">
        <v>653</v>
      </c>
      <c r="AS1085" t="s">
        <v>654</v>
      </c>
      <c r="AT1085" t="s">
        <v>74</v>
      </c>
      <c r="AU1085">
        <v>2013</v>
      </c>
      <c r="AV1085">
        <v>187</v>
      </c>
      <c r="AW1085" t="s">
        <v>74</v>
      </c>
      <c r="AX1085" t="s">
        <v>74</v>
      </c>
      <c r="AY1085" t="s">
        <v>74</v>
      </c>
      <c r="AZ1085" t="s">
        <v>74</v>
      </c>
      <c r="BA1085" t="s">
        <v>21108</v>
      </c>
      <c r="BB1085" t="s">
        <v>74</v>
      </c>
      <c r="BC1085" t="s">
        <v>74</v>
      </c>
      <c r="BD1085" t="s">
        <v>74</v>
      </c>
      <c r="BE1085" t="s">
        <v>74</v>
      </c>
      <c r="BF1085" t="s">
        <v>74</v>
      </c>
      <c r="BG1085" t="s">
        <v>74</v>
      </c>
      <c r="BH1085" t="s">
        <v>74</v>
      </c>
      <c r="BI1085">
        <v>2</v>
      </c>
      <c r="BJ1085" t="s">
        <v>341</v>
      </c>
      <c r="BK1085" t="s">
        <v>101</v>
      </c>
      <c r="BL1085" t="s">
        <v>342</v>
      </c>
      <c r="BM1085" t="s">
        <v>20966</v>
      </c>
      <c r="BN1085" t="s">
        <v>74</v>
      </c>
      <c r="BO1085" t="s">
        <v>74</v>
      </c>
      <c r="BP1085" t="s">
        <v>74</v>
      </c>
      <c r="BQ1085" t="s">
        <v>74</v>
      </c>
      <c r="BR1085" t="s">
        <v>104</v>
      </c>
      <c r="BS1085" t="s">
        <v>21107</v>
      </c>
      <c r="BT1085" t="str">
        <f>HYPERLINK("https%3A%2F%2Fwww.webofscience.com%2Fwos%2Fwoscc%2Ffull-record%2FWOS:000209838401320","View Full Record in Web of Science")</f>
        <v>View Full Record in Web of Science</v>
      </c>
    </row>
    <row r="1086" spans="1:72" x14ac:dyDescent="0.25">
      <c r="A1086" t="s">
        <v>72</v>
      </c>
      <c r="B1086" t="s">
        <v>21106</v>
      </c>
      <c r="C1086" t="s">
        <v>74</v>
      </c>
      <c r="D1086" t="s">
        <v>74</v>
      </c>
      <c r="E1086" t="s">
        <v>74</v>
      </c>
      <c r="F1086" t="s">
        <v>21105</v>
      </c>
      <c r="G1086" t="s">
        <v>74</v>
      </c>
      <c r="H1086" t="s">
        <v>74</v>
      </c>
      <c r="I1086" t="s">
        <v>21104</v>
      </c>
      <c r="J1086" t="s">
        <v>637</v>
      </c>
      <c r="K1086" t="s">
        <v>74</v>
      </c>
      <c r="L1086" t="s">
        <v>74</v>
      </c>
      <c r="M1086" t="s">
        <v>78</v>
      </c>
      <c r="N1086" t="s">
        <v>52</v>
      </c>
      <c r="O1086" t="s">
        <v>74</v>
      </c>
      <c r="P1086" t="s">
        <v>74</v>
      </c>
      <c r="Q1086" t="s">
        <v>74</v>
      </c>
      <c r="R1086" t="s">
        <v>74</v>
      </c>
      <c r="S1086" t="s">
        <v>74</v>
      </c>
      <c r="T1086" t="s">
        <v>74</v>
      </c>
      <c r="U1086" t="s">
        <v>74</v>
      </c>
      <c r="V1086" t="s">
        <v>74</v>
      </c>
      <c r="W1086" t="s">
        <v>21103</v>
      </c>
      <c r="X1086" t="s">
        <v>21102</v>
      </c>
      <c r="Y1086" t="s">
        <v>74</v>
      </c>
      <c r="Z1086" t="s">
        <v>3402</v>
      </c>
      <c r="AA1086" t="s">
        <v>21101</v>
      </c>
      <c r="AB1086" t="s">
        <v>74</v>
      </c>
      <c r="AC1086" t="s">
        <v>74</v>
      </c>
      <c r="AD1086" t="s">
        <v>74</v>
      </c>
      <c r="AE1086" t="s">
        <v>74</v>
      </c>
      <c r="AF1086" t="s">
        <v>74</v>
      </c>
      <c r="AG1086">
        <v>0</v>
      </c>
      <c r="AH1086">
        <v>4</v>
      </c>
      <c r="AI1086">
        <v>4</v>
      </c>
      <c r="AJ1086">
        <v>0</v>
      </c>
      <c r="AK1086">
        <v>1</v>
      </c>
      <c r="AL1086" t="s">
        <v>649</v>
      </c>
      <c r="AM1086" t="s">
        <v>486</v>
      </c>
      <c r="AN1086" t="s">
        <v>650</v>
      </c>
      <c r="AO1086" t="s">
        <v>651</v>
      </c>
      <c r="AP1086" t="s">
        <v>652</v>
      </c>
      <c r="AQ1086" t="s">
        <v>74</v>
      </c>
      <c r="AR1086" t="s">
        <v>653</v>
      </c>
      <c r="AS1086" t="s">
        <v>654</v>
      </c>
      <c r="AT1086" t="s">
        <v>74</v>
      </c>
      <c r="AU1086">
        <v>2013</v>
      </c>
      <c r="AV1086">
        <v>187</v>
      </c>
      <c r="AW1086" t="s">
        <v>74</v>
      </c>
      <c r="AX1086" t="s">
        <v>74</v>
      </c>
      <c r="AY1086" t="s">
        <v>74</v>
      </c>
      <c r="AZ1086" t="s">
        <v>74</v>
      </c>
      <c r="BA1086" t="s">
        <v>21100</v>
      </c>
      <c r="BB1086" t="s">
        <v>74</v>
      </c>
      <c r="BC1086" t="s">
        <v>74</v>
      </c>
      <c r="BD1086" t="s">
        <v>74</v>
      </c>
      <c r="BE1086" t="s">
        <v>74</v>
      </c>
      <c r="BF1086" t="s">
        <v>74</v>
      </c>
      <c r="BG1086" t="s">
        <v>74</v>
      </c>
      <c r="BH1086" t="s">
        <v>74</v>
      </c>
      <c r="BI1086">
        <v>2</v>
      </c>
      <c r="BJ1086" t="s">
        <v>341</v>
      </c>
      <c r="BK1086" t="s">
        <v>101</v>
      </c>
      <c r="BL1086" t="s">
        <v>342</v>
      </c>
      <c r="BM1086" t="s">
        <v>20905</v>
      </c>
      <c r="BN1086" t="s">
        <v>74</v>
      </c>
      <c r="BO1086" t="s">
        <v>74</v>
      </c>
      <c r="BP1086" t="s">
        <v>74</v>
      </c>
      <c r="BQ1086" t="s">
        <v>74</v>
      </c>
      <c r="BR1086" t="s">
        <v>104</v>
      </c>
      <c r="BS1086" t="s">
        <v>21099</v>
      </c>
      <c r="BT1086" t="str">
        <f>HYPERLINK("https%3A%2F%2Fwww.webofscience.com%2Fwos%2Fwoscc%2Ffull-record%2FWOS:000209839103107","View Full Record in Web of Science")</f>
        <v>View Full Record in Web of Science</v>
      </c>
    </row>
    <row r="1087" spans="1:72" x14ac:dyDescent="0.25">
      <c r="A1087" t="s">
        <v>72</v>
      </c>
      <c r="B1087" t="s">
        <v>1420</v>
      </c>
      <c r="C1087" t="s">
        <v>74</v>
      </c>
      <c r="D1087" t="s">
        <v>74</v>
      </c>
      <c r="E1087" t="s">
        <v>74</v>
      </c>
      <c r="F1087" t="s">
        <v>1421</v>
      </c>
      <c r="G1087" t="s">
        <v>74</v>
      </c>
      <c r="H1087" t="s">
        <v>74</v>
      </c>
      <c r="I1087" t="s">
        <v>21098</v>
      </c>
      <c r="J1087" t="s">
        <v>216</v>
      </c>
      <c r="K1087" t="s">
        <v>74</v>
      </c>
      <c r="L1087" t="s">
        <v>74</v>
      </c>
      <c r="M1087" t="s">
        <v>78</v>
      </c>
      <c r="N1087" t="s">
        <v>140</v>
      </c>
      <c r="O1087" t="s">
        <v>74</v>
      </c>
      <c r="P1087" t="s">
        <v>74</v>
      </c>
      <c r="Q1087" t="s">
        <v>74</v>
      </c>
      <c r="R1087" t="s">
        <v>74</v>
      </c>
      <c r="S1087" t="s">
        <v>74</v>
      </c>
      <c r="T1087" t="s">
        <v>74</v>
      </c>
      <c r="U1087" t="s">
        <v>74</v>
      </c>
      <c r="V1087" t="s">
        <v>74</v>
      </c>
      <c r="W1087" t="s">
        <v>21097</v>
      </c>
      <c r="X1087" t="s">
        <v>13419</v>
      </c>
      <c r="Y1087" t="s">
        <v>21096</v>
      </c>
      <c r="Z1087" t="s">
        <v>3402</v>
      </c>
      <c r="AA1087" t="s">
        <v>144</v>
      </c>
      <c r="AB1087" t="s">
        <v>257</v>
      </c>
      <c r="AC1087" t="s">
        <v>74</v>
      </c>
      <c r="AD1087" t="s">
        <v>74</v>
      </c>
      <c r="AE1087" t="s">
        <v>74</v>
      </c>
      <c r="AF1087" t="s">
        <v>74</v>
      </c>
      <c r="AG1087">
        <v>12</v>
      </c>
      <c r="AH1087">
        <v>6</v>
      </c>
      <c r="AI1087">
        <v>6</v>
      </c>
      <c r="AJ1087">
        <v>0</v>
      </c>
      <c r="AK1087">
        <v>3</v>
      </c>
      <c r="AL1087" t="s">
        <v>219</v>
      </c>
      <c r="AM1087" t="s">
        <v>220</v>
      </c>
      <c r="AN1087" t="s">
        <v>221</v>
      </c>
      <c r="AO1087" t="s">
        <v>222</v>
      </c>
      <c r="AP1087" t="s">
        <v>223</v>
      </c>
      <c r="AQ1087" t="s">
        <v>74</v>
      </c>
      <c r="AR1087" t="s">
        <v>224</v>
      </c>
      <c r="AS1087" t="s">
        <v>225</v>
      </c>
      <c r="AT1087" t="s">
        <v>176</v>
      </c>
      <c r="AU1087">
        <v>2013</v>
      </c>
      <c r="AV1087">
        <v>41</v>
      </c>
      <c r="AW1087">
        <v>1</v>
      </c>
      <c r="AX1087" t="s">
        <v>74</v>
      </c>
      <c r="AY1087" t="s">
        <v>74</v>
      </c>
      <c r="AZ1087" t="s">
        <v>74</v>
      </c>
      <c r="BA1087" t="s">
        <v>74</v>
      </c>
      <c r="BB1087">
        <v>1</v>
      </c>
      <c r="BC1087">
        <v>2</v>
      </c>
      <c r="BD1087" t="s">
        <v>74</v>
      </c>
      <c r="BE1087" t="s">
        <v>21095</v>
      </c>
      <c r="BF1087" t="str">
        <f>HYPERLINK("http://dx.doi.org/10.1183/09031936.00181812","http://dx.doi.org/10.1183/09031936.00181812")</f>
        <v>http://dx.doi.org/10.1183/09031936.00181812</v>
      </c>
      <c r="BG1087" t="s">
        <v>74</v>
      </c>
      <c r="BH1087" t="s">
        <v>74</v>
      </c>
      <c r="BI1087">
        <v>2</v>
      </c>
      <c r="BJ1087" t="s">
        <v>228</v>
      </c>
      <c r="BK1087" t="s">
        <v>101</v>
      </c>
      <c r="BL1087" t="s">
        <v>228</v>
      </c>
      <c r="BM1087" t="s">
        <v>20934</v>
      </c>
      <c r="BN1087">
        <v>23277513</v>
      </c>
      <c r="BO1087" t="s">
        <v>1194</v>
      </c>
      <c r="BP1087" t="s">
        <v>74</v>
      </c>
      <c r="BQ1087" t="s">
        <v>74</v>
      </c>
      <c r="BR1087" t="s">
        <v>104</v>
      </c>
      <c r="BS1087" t="s">
        <v>21094</v>
      </c>
      <c r="BT1087" t="str">
        <f>HYPERLINK("https%3A%2F%2Fwww.webofscience.com%2Fwos%2Fwoscc%2Ffull-record%2FWOS:000313384700001","View Full Record in Web of Science")</f>
        <v>View Full Record in Web of Science</v>
      </c>
    </row>
    <row r="1088" spans="1:72" x14ac:dyDescent="0.25">
      <c r="A1088" t="s">
        <v>998</v>
      </c>
      <c r="B1088" t="s">
        <v>21093</v>
      </c>
      <c r="C1088" t="s">
        <v>74</v>
      </c>
      <c r="D1088" t="s">
        <v>21083</v>
      </c>
      <c r="E1088" t="s">
        <v>74</v>
      </c>
      <c r="F1088" t="s">
        <v>21092</v>
      </c>
      <c r="G1088" t="s">
        <v>74</v>
      </c>
      <c r="H1088" t="s">
        <v>74</v>
      </c>
      <c r="I1088" t="s">
        <v>21091</v>
      </c>
      <c r="J1088" t="s">
        <v>21080</v>
      </c>
      <c r="K1088" t="s">
        <v>21079</v>
      </c>
      <c r="L1088" t="s">
        <v>74</v>
      </c>
      <c r="M1088" t="s">
        <v>78</v>
      </c>
      <c r="N1088" t="s">
        <v>8065</v>
      </c>
      <c r="O1088" t="s">
        <v>74</v>
      </c>
      <c r="P1088" t="s">
        <v>74</v>
      </c>
      <c r="Q1088" t="s">
        <v>74</v>
      </c>
      <c r="R1088" t="s">
        <v>74</v>
      </c>
      <c r="S1088" t="s">
        <v>74</v>
      </c>
      <c r="T1088" t="s">
        <v>21090</v>
      </c>
      <c r="U1088" t="s">
        <v>21089</v>
      </c>
      <c r="V1088" t="s">
        <v>21088</v>
      </c>
      <c r="W1088" t="s">
        <v>21087</v>
      </c>
      <c r="X1088" t="s">
        <v>21086</v>
      </c>
      <c r="Y1088" t="s">
        <v>21076</v>
      </c>
      <c r="Z1088" t="s">
        <v>10573</v>
      </c>
      <c r="AA1088" t="s">
        <v>17424</v>
      </c>
      <c r="AB1088" t="s">
        <v>3168</v>
      </c>
      <c r="AC1088" t="s">
        <v>74</v>
      </c>
      <c r="AD1088" t="s">
        <v>74</v>
      </c>
      <c r="AE1088" t="s">
        <v>74</v>
      </c>
      <c r="AF1088" t="s">
        <v>74</v>
      </c>
      <c r="AG1088">
        <v>113</v>
      </c>
      <c r="AH1088">
        <v>38</v>
      </c>
      <c r="AI1088">
        <v>43</v>
      </c>
      <c r="AJ1088">
        <v>11</v>
      </c>
      <c r="AK1088">
        <v>101</v>
      </c>
      <c r="AL1088" t="s">
        <v>21075</v>
      </c>
      <c r="AM1088" t="s">
        <v>283</v>
      </c>
      <c r="AN1088" t="s">
        <v>21074</v>
      </c>
      <c r="AO1088" t="s">
        <v>21073</v>
      </c>
      <c r="AP1088" t="s">
        <v>74</v>
      </c>
      <c r="AQ1088" t="s">
        <v>21072</v>
      </c>
      <c r="AR1088" t="s">
        <v>21071</v>
      </c>
      <c r="AS1088" t="s">
        <v>21070</v>
      </c>
      <c r="AT1088" t="s">
        <v>74</v>
      </c>
      <c r="AU1088">
        <v>2013</v>
      </c>
      <c r="AV1088">
        <v>218</v>
      </c>
      <c r="AW1088" t="s">
        <v>74</v>
      </c>
      <c r="AX1088" t="s">
        <v>74</v>
      </c>
      <c r="AY1088" t="s">
        <v>74</v>
      </c>
      <c r="AZ1088" t="s">
        <v>74</v>
      </c>
      <c r="BA1088" t="s">
        <v>74</v>
      </c>
      <c r="BB1088">
        <v>3</v>
      </c>
      <c r="BC1088">
        <v>29</v>
      </c>
      <c r="BD1088" t="s">
        <v>74</v>
      </c>
      <c r="BE1088" t="s">
        <v>21085</v>
      </c>
      <c r="BF1088" t="str">
        <f>HYPERLINK("http://dx.doi.org/10.1007/978-3-642-38664-0_1","http://dx.doi.org/10.1007/978-3-642-38664-0_1")</f>
        <v>http://dx.doi.org/10.1007/978-3-642-38664-0_1</v>
      </c>
      <c r="BG1088" t="s">
        <v>21067</v>
      </c>
      <c r="BH1088" t="s">
        <v>74</v>
      </c>
      <c r="BI1088">
        <v>27</v>
      </c>
      <c r="BJ1088" t="s">
        <v>1477</v>
      </c>
      <c r="BK1088" t="s">
        <v>8073</v>
      </c>
      <c r="BL1088" t="s">
        <v>1477</v>
      </c>
      <c r="BM1088" t="s">
        <v>21066</v>
      </c>
      <c r="BN1088">
        <v>24092334</v>
      </c>
      <c r="BO1088" t="s">
        <v>74</v>
      </c>
      <c r="BP1088" t="s">
        <v>74</v>
      </c>
      <c r="BQ1088" t="s">
        <v>74</v>
      </c>
      <c r="BR1088" t="s">
        <v>104</v>
      </c>
      <c r="BS1088" t="s">
        <v>21084</v>
      </c>
      <c r="BT1088" t="str">
        <f>HYPERLINK("https%3A%2F%2Fwww.webofscience.com%2Fwos%2Fwoscc%2Ffull-record%2FWOS:000329227200002","View Full Record in Web of Science")</f>
        <v>View Full Record in Web of Science</v>
      </c>
    </row>
    <row r="1089" spans="1:72" x14ac:dyDescent="0.25">
      <c r="A1089" t="s">
        <v>998</v>
      </c>
      <c r="B1089" t="s">
        <v>21083</v>
      </c>
      <c r="C1089" t="s">
        <v>74</v>
      </c>
      <c r="D1089" t="s">
        <v>21083</v>
      </c>
      <c r="E1089" t="s">
        <v>74</v>
      </c>
      <c r="F1089" t="s">
        <v>21082</v>
      </c>
      <c r="G1089" t="s">
        <v>74</v>
      </c>
      <c r="H1089" t="s">
        <v>74</v>
      </c>
      <c r="I1089" t="s">
        <v>21081</v>
      </c>
      <c r="J1089" t="s">
        <v>21080</v>
      </c>
      <c r="K1089" t="s">
        <v>21079</v>
      </c>
      <c r="L1089" t="s">
        <v>74</v>
      </c>
      <c r="M1089" t="s">
        <v>78</v>
      </c>
      <c r="N1089" t="s">
        <v>20025</v>
      </c>
      <c r="O1089" t="s">
        <v>74</v>
      </c>
      <c r="P1089" t="s">
        <v>74</v>
      </c>
      <c r="Q1089" t="s">
        <v>74</v>
      </c>
      <c r="R1089" t="s">
        <v>74</v>
      </c>
      <c r="S1089" t="s">
        <v>74</v>
      </c>
      <c r="T1089" t="s">
        <v>74</v>
      </c>
      <c r="U1089" t="s">
        <v>74</v>
      </c>
      <c r="V1089" t="s">
        <v>74</v>
      </c>
      <c r="W1089" t="s">
        <v>21078</v>
      </c>
      <c r="X1089" t="s">
        <v>21077</v>
      </c>
      <c r="Y1089" t="s">
        <v>21076</v>
      </c>
      <c r="Z1089" t="s">
        <v>74</v>
      </c>
      <c r="AA1089" t="s">
        <v>144</v>
      </c>
      <c r="AB1089" t="s">
        <v>74</v>
      </c>
      <c r="AC1089" t="s">
        <v>74</v>
      </c>
      <c r="AD1089" t="s">
        <v>74</v>
      </c>
      <c r="AE1089" t="s">
        <v>74</v>
      </c>
      <c r="AF1089" t="s">
        <v>74</v>
      </c>
      <c r="AG1089">
        <v>0</v>
      </c>
      <c r="AH1089">
        <v>0</v>
      </c>
      <c r="AI1089">
        <v>0</v>
      </c>
      <c r="AJ1089">
        <v>0</v>
      </c>
      <c r="AK1089">
        <v>0</v>
      </c>
      <c r="AL1089" t="s">
        <v>21075</v>
      </c>
      <c r="AM1089" t="s">
        <v>283</v>
      </c>
      <c r="AN1089" t="s">
        <v>21074</v>
      </c>
      <c r="AO1089" t="s">
        <v>21073</v>
      </c>
      <c r="AP1089" t="s">
        <v>74</v>
      </c>
      <c r="AQ1089" t="s">
        <v>21072</v>
      </c>
      <c r="AR1089" t="s">
        <v>21071</v>
      </c>
      <c r="AS1089" t="s">
        <v>21070</v>
      </c>
      <c r="AT1089" t="s">
        <v>74</v>
      </c>
      <c r="AU1089">
        <v>2013</v>
      </c>
      <c r="AV1089">
        <v>218</v>
      </c>
      <c r="AW1089" t="s">
        <v>74</v>
      </c>
      <c r="AX1089" t="s">
        <v>74</v>
      </c>
      <c r="AY1089" t="s">
        <v>74</v>
      </c>
      <c r="AZ1089" t="s">
        <v>74</v>
      </c>
      <c r="BA1089" t="s">
        <v>74</v>
      </c>
      <c r="BB1089" t="s">
        <v>21069</v>
      </c>
      <c r="BC1089" t="s">
        <v>21068</v>
      </c>
      <c r="BD1089" t="s">
        <v>74</v>
      </c>
      <c r="BE1089" t="s">
        <v>74</v>
      </c>
      <c r="BF1089" t="s">
        <v>74</v>
      </c>
      <c r="BG1089" t="s">
        <v>21067</v>
      </c>
      <c r="BH1089" t="s">
        <v>74</v>
      </c>
      <c r="BI1089">
        <v>2</v>
      </c>
      <c r="BJ1089" t="s">
        <v>1477</v>
      </c>
      <c r="BK1089" t="s">
        <v>8073</v>
      </c>
      <c r="BL1089" t="s">
        <v>1477</v>
      </c>
      <c r="BM1089" t="s">
        <v>21066</v>
      </c>
      <c r="BN1089" t="s">
        <v>74</v>
      </c>
      <c r="BO1089" t="s">
        <v>74</v>
      </c>
      <c r="BP1089" t="s">
        <v>74</v>
      </c>
      <c r="BQ1089" t="s">
        <v>74</v>
      </c>
      <c r="BR1089" t="s">
        <v>104</v>
      </c>
      <c r="BS1089" t="s">
        <v>21065</v>
      </c>
      <c r="BT1089" t="str">
        <f>HYPERLINK("https%3A%2F%2Fwww.webofscience.com%2Fwos%2Fwoscc%2Ffull-record%2FWOS:000329227200001","View Full Record in Web of Science")</f>
        <v>View Full Record in Web of Science</v>
      </c>
    </row>
    <row r="1090" spans="1:72" x14ac:dyDescent="0.25">
      <c r="A1090" t="s">
        <v>72</v>
      </c>
      <c r="B1090" t="s">
        <v>21064</v>
      </c>
      <c r="C1090" t="s">
        <v>74</v>
      </c>
      <c r="D1090" t="s">
        <v>74</v>
      </c>
      <c r="E1090" t="s">
        <v>74</v>
      </c>
      <c r="F1090" t="s">
        <v>21063</v>
      </c>
      <c r="G1090" t="s">
        <v>74</v>
      </c>
      <c r="H1090" t="s">
        <v>74</v>
      </c>
      <c r="I1090" t="s">
        <v>21062</v>
      </c>
      <c r="J1090" t="s">
        <v>324</v>
      </c>
      <c r="K1090" t="s">
        <v>74</v>
      </c>
      <c r="L1090" t="s">
        <v>74</v>
      </c>
      <c r="M1090" t="s">
        <v>78</v>
      </c>
      <c r="N1090" t="s">
        <v>79</v>
      </c>
      <c r="O1090" t="s">
        <v>74</v>
      </c>
      <c r="P1090" t="s">
        <v>74</v>
      </c>
      <c r="Q1090" t="s">
        <v>74</v>
      </c>
      <c r="R1090" t="s">
        <v>74</v>
      </c>
      <c r="S1090" t="s">
        <v>74</v>
      </c>
      <c r="T1090" t="s">
        <v>74</v>
      </c>
      <c r="U1090" t="s">
        <v>21061</v>
      </c>
      <c r="V1090" t="s">
        <v>21060</v>
      </c>
      <c r="W1090" t="s">
        <v>21059</v>
      </c>
      <c r="X1090" t="s">
        <v>21058</v>
      </c>
      <c r="Y1090" t="s">
        <v>21057</v>
      </c>
      <c r="Z1090" t="s">
        <v>21056</v>
      </c>
      <c r="AA1090" t="s">
        <v>144</v>
      </c>
      <c r="AB1090" t="s">
        <v>21055</v>
      </c>
      <c r="AC1090" t="s">
        <v>21054</v>
      </c>
      <c r="AD1090" t="s">
        <v>21054</v>
      </c>
      <c r="AE1090" t="s">
        <v>21053</v>
      </c>
      <c r="AF1090" t="s">
        <v>74</v>
      </c>
      <c r="AG1090">
        <v>36</v>
      </c>
      <c r="AH1090">
        <v>85</v>
      </c>
      <c r="AI1090">
        <v>91</v>
      </c>
      <c r="AJ1090">
        <v>0</v>
      </c>
      <c r="AK1090">
        <v>4</v>
      </c>
      <c r="AL1090" t="s">
        <v>7467</v>
      </c>
      <c r="AM1090" t="s">
        <v>93</v>
      </c>
      <c r="AN1090" t="s">
        <v>7468</v>
      </c>
      <c r="AO1090" t="s">
        <v>337</v>
      </c>
      <c r="AP1090" t="s">
        <v>74</v>
      </c>
      <c r="AQ1090" t="s">
        <v>74</v>
      </c>
      <c r="AR1090" t="s">
        <v>324</v>
      </c>
      <c r="AS1090" t="s">
        <v>339</v>
      </c>
      <c r="AT1090" t="s">
        <v>176</v>
      </c>
      <c r="AU1090">
        <v>2013</v>
      </c>
      <c r="AV1090">
        <v>143</v>
      </c>
      <c r="AW1090">
        <v>1</v>
      </c>
      <c r="AX1090" t="s">
        <v>74</v>
      </c>
      <c r="AY1090" t="s">
        <v>74</v>
      </c>
      <c r="AZ1090" t="s">
        <v>74</v>
      </c>
      <c r="BA1090" t="s">
        <v>74</v>
      </c>
      <c r="BB1090">
        <v>47</v>
      </c>
      <c r="BC1090">
        <v>55</v>
      </c>
      <c r="BD1090" t="s">
        <v>74</v>
      </c>
      <c r="BE1090" t="s">
        <v>21052</v>
      </c>
      <c r="BF1090" t="str">
        <f>HYPERLINK("http://dx.doi.org/10.1378/chest.11-3124","http://dx.doi.org/10.1378/chest.11-3124")</f>
        <v>http://dx.doi.org/10.1378/chest.11-3124</v>
      </c>
      <c r="BG1090" t="s">
        <v>74</v>
      </c>
      <c r="BH1090" t="s">
        <v>74</v>
      </c>
      <c r="BI1090">
        <v>9</v>
      </c>
      <c r="BJ1090" t="s">
        <v>341</v>
      </c>
      <c r="BK1090" t="s">
        <v>101</v>
      </c>
      <c r="BL1090" t="s">
        <v>342</v>
      </c>
      <c r="BM1090" t="s">
        <v>21051</v>
      </c>
      <c r="BN1090">
        <v>22878784</v>
      </c>
      <c r="BO1090" t="s">
        <v>74</v>
      </c>
      <c r="BP1090" t="s">
        <v>74</v>
      </c>
      <c r="BQ1090" t="s">
        <v>74</v>
      </c>
      <c r="BR1090" t="s">
        <v>104</v>
      </c>
      <c r="BS1090" t="s">
        <v>21050</v>
      </c>
      <c r="BT1090" t="str">
        <f>HYPERLINK("https%3A%2F%2Fwww.webofscience.com%2Fwos%2Fwoscc%2Ffull-record%2FWOS:000313531200012","View Full Record in Web of Science")</f>
        <v>View Full Record in Web of Science</v>
      </c>
    </row>
    <row r="1091" spans="1:72" x14ac:dyDescent="0.25">
      <c r="A1091" t="s">
        <v>72</v>
      </c>
      <c r="B1091" t="s">
        <v>21049</v>
      </c>
      <c r="C1091" t="s">
        <v>74</v>
      </c>
      <c r="D1091" t="s">
        <v>74</v>
      </c>
      <c r="E1091" t="s">
        <v>74</v>
      </c>
      <c r="F1091" t="s">
        <v>21048</v>
      </c>
      <c r="G1091" t="s">
        <v>74</v>
      </c>
      <c r="H1091" t="s">
        <v>74</v>
      </c>
      <c r="I1091" t="s">
        <v>21047</v>
      </c>
      <c r="J1091" t="s">
        <v>637</v>
      </c>
      <c r="K1091" t="s">
        <v>74</v>
      </c>
      <c r="L1091" t="s">
        <v>74</v>
      </c>
      <c r="M1091" t="s">
        <v>78</v>
      </c>
      <c r="N1091" t="s">
        <v>52</v>
      </c>
      <c r="O1091" t="s">
        <v>74</v>
      </c>
      <c r="P1091" t="s">
        <v>74</v>
      </c>
      <c r="Q1091" t="s">
        <v>74</v>
      </c>
      <c r="R1091" t="s">
        <v>74</v>
      </c>
      <c r="S1091" t="s">
        <v>74</v>
      </c>
      <c r="T1091" t="s">
        <v>74</v>
      </c>
      <c r="U1091" t="s">
        <v>74</v>
      </c>
      <c r="V1091" t="s">
        <v>74</v>
      </c>
      <c r="W1091" t="s">
        <v>21046</v>
      </c>
      <c r="X1091" t="s">
        <v>21045</v>
      </c>
      <c r="Y1091" t="s">
        <v>74</v>
      </c>
      <c r="Z1091" t="s">
        <v>74</v>
      </c>
      <c r="AA1091" t="s">
        <v>20958</v>
      </c>
      <c r="AB1091" t="s">
        <v>74</v>
      </c>
      <c r="AC1091" t="s">
        <v>74</v>
      </c>
      <c r="AD1091" t="s">
        <v>74</v>
      </c>
      <c r="AE1091" t="s">
        <v>74</v>
      </c>
      <c r="AF1091" t="s">
        <v>74</v>
      </c>
      <c r="AG1091">
        <v>0</v>
      </c>
      <c r="AH1091">
        <v>1</v>
      </c>
      <c r="AI1091">
        <v>1</v>
      </c>
      <c r="AJ1091">
        <v>0</v>
      </c>
      <c r="AK1091">
        <v>0</v>
      </c>
      <c r="AL1091" t="s">
        <v>649</v>
      </c>
      <c r="AM1091" t="s">
        <v>486</v>
      </c>
      <c r="AN1091" t="s">
        <v>650</v>
      </c>
      <c r="AO1091" t="s">
        <v>651</v>
      </c>
      <c r="AP1091" t="s">
        <v>652</v>
      </c>
      <c r="AQ1091" t="s">
        <v>74</v>
      </c>
      <c r="AR1091" t="s">
        <v>653</v>
      </c>
      <c r="AS1091" t="s">
        <v>654</v>
      </c>
      <c r="AT1091" t="s">
        <v>74</v>
      </c>
      <c r="AU1091">
        <v>2013</v>
      </c>
      <c r="AV1091">
        <v>187</v>
      </c>
      <c r="AW1091" t="s">
        <v>74</v>
      </c>
      <c r="AX1091" t="s">
        <v>74</v>
      </c>
      <c r="AY1091" t="s">
        <v>74</v>
      </c>
      <c r="AZ1091" t="s">
        <v>74</v>
      </c>
      <c r="BA1091" t="s">
        <v>21044</v>
      </c>
      <c r="BB1091" t="s">
        <v>74</v>
      </c>
      <c r="BC1091" t="s">
        <v>74</v>
      </c>
      <c r="BD1091" t="s">
        <v>74</v>
      </c>
      <c r="BE1091" t="s">
        <v>74</v>
      </c>
      <c r="BF1091" t="s">
        <v>74</v>
      </c>
      <c r="BG1091" t="s">
        <v>74</v>
      </c>
      <c r="BH1091" t="s">
        <v>74</v>
      </c>
      <c r="BI1091">
        <v>2</v>
      </c>
      <c r="BJ1091" t="s">
        <v>341</v>
      </c>
      <c r="BK1091" t="s">
        <v>101</v>
      </c>
      <c r="BL1091" t="s">
        <v>342</v>
      </c>
      <c r="BM1091" t="s">
        <v>20905</v>
      </c>
      <c r="BN1091" t="s">
        <v>74</v>
      </c>
      <c r="BO1091" t="s">
        <v>74</v>
      </c>
      <c r="BP1091" t="s">
        <v>74</v>
      </c>
      <c r="BQ1091" t="s">
        <v>74</v>
      </c>
      <c r="BR1091" t="s">
        <v>104</v>
      </c>
      <c r="BS1091" t="s">
        <v>21043</v>
      </c>
      <c r="BT1091" t="str">
        <f>HYPERLINK("https%3A%2F%2Fwww.webofscience.com%2Fwos%2Fwoscc%2Ffull-record%2FWOS:000209839103105","View Full Record in Web of Science")</f>
        <v>View Full Record in Web of Science</v>
      </c>
    </row>
    <row r="1092" spans="1:72" x14ac:dyDescent="0.25">
      <c r="A1092" t="s">
        <v>72</v>
      </c>
      <c r="B1092" t="s">
        <v>21042</v>
      </c>
      <c r="C1092" t="s">
        <v>74</v>
      </c>
      <c r="D1092" t="s">
        <v>74</v>
      </c>
      <c r="E1092" t="s">
        <v>74</v>
      </c>
      <c r="F1092" t="s">
        <v>21041</v>
      </c>
      <c r="G1092" t="s">
        <v>74</v>
      </c>
      <c r="H1092" t="s">
        <v>74</v>
      </c>
      <c r="I1092" t="s">
        <v>21040</v>
      </c>
      <c r="J1092" t="s">
        <v>637</v>
      </c>
      <c r="K1092" t="s">
        <v>74</v>
      </c>
      <c r="L1092" t="s">
        <v>74</v>
      </c>
      <c r="M1092" t="s">
        <v>78</v>
      </c>
      <c r="N1092" t="s">
        <v>52</v>
      </c>
      <c r="O1092" t="s">
        <v>74</v>
      </c>
      <c r="P1092" t="s">
        <v>74</v>
      </c>
      <c r="Q1092" t="s">
        <v>74</v>
      </c>
      <c r="R1092" t="s">
        <v>74</v>
      </c>
      <c r="S1092" t="s">
        <v>74</v>
      </c>
      <c r="T1092" t="s">
        <v>74</v>
      </c>
      <c r="U1092" t="s">
        <v>74</v>
      </c>
      <c r="V1092" t="s">
        <v>74</v>
      </c>
      <c r="W1092" t="s">
        <v>21039</v>
      </c>
      <c r="X1092" t="s">
        <v>21038</v>
      </c>
      <c r="Y1092" t="s">
        <v>74</v>
      </c>
      <c r="Z1092" t="s">
        <v>21037</v>
      </c>
      <c r="AA1092" t="s">
        <v>21036</v>
      </c>
      <c r="AB1092" t="s">
        <v>5709</v>
      </c>
      <c r="AC1092" t="s">
        <v>74</v>
      </c>
      <c r="AD1092" t="s">
        <v>74</v>
      </c>
      <c r="AE1092" t="s">
        <v>74</v>
      </c>
      <c r="AF1092" t="s">
        <v>74</v>
      </c>
      <c r="AG1092">
        <v>0</v>
      </c>
      <c r="AH1092">
        <v>0</v>
      </c>
      <c r="AI1092">
        <v>0</v>
      </c>
      <c r="AJ1092">
        <v>0</v>
      </c>
      <c r="AK1092">
        <v>0</v>
      </c>
      <c r="AL1092" t="s">
        <v>649</v>
      </c>
      <c r="AM1092" t="s">
        <v>486</v>
      </c>
      <c r="AN1092" t="s">
        <v>650</v>
      </c>
      <c r="AO1092" t="s">
        <v>651</v>
      </c>
      <c r="AP1092" t="s">
        <v>652</v>
      </c>
      <c r="AQ1092" t="s">
        <v>74</v>
      </c>
      <c r="AR1092" t="s">
        <v>653</v>
      </c>
      <c r="AS1092" t="s">
        <v>654</v>
      </c>
      <c r="AT1092" t="s">
        <v>74</v>
      </c>
      <c r="AU1092">
        <v>2013</v>
      </c>
      <c r="AV1092">
        <v>187</v>
      </c>
      <c r="AW1092" t="s">
        <v>74</v>
      </c>
      <c r="AX1092" t="s">
        <v>74</v>
      </c>
      <c r="AY1092" t="s">
        <v>74</v>
      </c>
      <c r="AZ1092" t="s">
        <v>74</v>
      </c>
      <c r="BA1092" t="s">
        <v>21035</v>
      </c>
      <c r="BB1092" t="s">
        <v>74</v>
      </c>
      <c r="BC1092" t="s">
        <v>74</v>
      </c>
      <c r="BD1092" t="s">
        <v>74</v>
      </c>
      <c r="BE1092" t="s">
        <v>74</v>
      </c>
      <c r="BF1092" t="s">
        <v>74</v>
      </c>
      <c r="BG1092" t="s">
        <v>74</v>
      </c>
      <c r="BH1092" t="s">
        <v>74</v>
      </c>
      <c r="BI1092">
        <v>1</v>
      </c>
      <c r="BJ1092" t="s">
        <v>341</v>
      </c>
      <c r="BK1092" t="s">
        <v>101</v>
      </c>
      <c r="BL1092" t="s">
        <v>342</v>
      </c>
      <c r="BM1092" t="s">
        <v>20905</v>
      </c>
      <c r="BN1092" t="s">
        <v>74</v>
      </c>
      <c r="BO1092" t="s">
        <v>74</v>
      </c>
      <c r="BP1092" t="s">
        <v>74</v>
      </c>
      <c r="BQ1092" t="s">
        <v>74</v>
      </c>
      <c r="BR1092" t="s">
        <v>104</v>
      </c>
      <c r="BS1092" t="s">
        <v>21034</v>
      </c>
      <c r="BT1092" t="str">
        <f>HYPERLINK("https%3A%2F%2Fwww.webofscience.com%2Fwos%2Fwoscc%2Ffull-record%2FWOS:000209839101711","View Full Record in Web of Science")</f>
        <v>View Full Record in Web of Science</v>
      </c>
    </row>
    <row r="1093" spans="1:72" x14ac:dyDescent="0.25">
      <c r="A1093" t="s">
        <v>72</v>
      </c>
      <c r="B1093" t="s">
        <v>21033</v>
      </c>
      <c r="C1093" t="s">
        <v>74</v>
      </c>
      <c r="D1093" t="s">
        <v>74</v>
      </c>
      <c r="E1093" t="s">
        <v>74</v>
      </c>
      <c r="F1093" t="s">
        <v>21032</v>
      </c>
      <c r="G1093" t="s">
        <v>74</v>
      </c>
      <c r="H1093" t="s">
        <v>74</v>
      </c>
      <c r="I1093" t="s">
        <v>21031</v>
      </c>
      <c r="J1093" t="s">
        <v>637</v>
      </c>
      <c r="K1093" t="s">
        <v>74</v>
      </c>
      <c r="L1093" t="s">
        <v>74</v>
      </c>
      <c r="M1093" t="s">
        <v>78</v>
      </c>
      <c r="N1093" t="s">
        <v>52</v>
      </c>
      <c r="O1093" t="s">
        <v>74</v>
      </c>
      <c r="P1093" t="s">
        <v>74</v>
      </c>
      <c r="Q1093" t="s">
        <v>74</v>
      </c>
      <c r="R1093" t="s">
        <v>74</v>
      </c>
      <c r="S1093" t="s">
        <v>74</v>
      </c>
      <c r="T1093" t="s">
        <v>74</v>
      </c>
      <c r="U1093" t="s">
        <v>74</v>
      </c>
      <c r="V1093" t="s">
        <v>74</v>
      </c>
      <c r="W1093" t="s">
        <v>21030</v>
      </c>
      <c r="X1093" t="s">
        <v>21029</v>
      </c>
      <c r="Y1093" t="s">
        <v>74</v>
      </c>
      <c r="Z1093" t="s">
        <v>21028</v>
      </c>
      <c r="AA1093" t="s">
        <v>20490</v>
      </c>
      <c r="AB1093" t="s">
        <v>74</v>
      </c>
      <c r="AC1093" t="s">
        <v>74</v>
      </c>
      <c r="AD1093" t="s">
        <v>74</v>
      </c>
      <c r="AE1093" t="s">
        <v>74</v>
      </c>
      <c r="AF1093" t="s">
        <v>74</v>
      </c>
      <c r="AG1093">
        <v>0</v>
      </c>
      <c r="AH1093">
        <v>0</v>
      </c>
      <c r="AI1093">
        <v>0</v>
      </c>
      <c r="AJ1093">
        <v>0</v>
      </c>
      <c r="AK1093">
        <v>0</v>
      </c>
      <c r="AL1093" t="s">
        <v>649</v>
      </c>
      <c r="AM1093" t="s">
        <v>486</v>
      </c>
      <c r="AN1093" t="s">
        <v>650</v>
      </c>
      <c r="AO1093" t="s">
        <v>651</v>
      </c>
      <c r="AP1093" t="s">
        <v>652</v>
      </c>
      <c r="AQ1093" t="s">
        <v>74</v>
      </c>
      <c r="AR1093" t="s">
        <v>653</v>
      </c>
      <c r="AS1093" t="s">
        <v>654</v>
      </c>
      <c r="AT1093" t="s">
        <v>74</v>
      </c>
      <c r="AU1093">
        <v>2013</v>
      </c>
      <c r="AV1093">
        <v>187</v>
      </c>
      <c r="AW1093" t="s">
        <v>74</v>
      </c>
      <c r="AX1093" t="s">
        <v>74</v>
      </c>
      <c r="AY1093" t="s">
        <v>74</v>
      </c>
      <c r="AZ1093" t="s">
        <v>74</v>
      </c>
      <c r="BA1093" t="s">
        <v>21027</v>
      </c>
      <c r="BB1093" t="s">
        <v>74</v>
      </c>
      <c r="BC1093" t="s">
        <v>74</v>
      </c>
      <c r="BD1093" t="s">
        <v>74</v>
      </c>
      <c r="BE1093" t="s">
        <v>74</v>
      </c>
      <c r="BF1093" t="s">
        <v>74</v>
      </c>
      <c r="BG1093" t="s">
        <v>74</v>
      </c>
      <c r="BH1093" t="s">
        <v>74</v>
      </c>
      <c r="BI1093">
        <v>1</v>
      </c>
      <c r="BJ1093" t="s">
        <v>341</v>
      </c>
      <c r="BK1093" t="s">
        <v>101</v>
      </c>
      <c r="BL1093" t="s">
        <v>342</v>
      </c>
      <c r="BM1093" t="s">
        <v>20966</v>
      </c>
      <c r="BN1093" t="s">
        <v>74</v>
      </c>
      <c r="BO1093" t="s">
        <v>74</v>
      </c>
      <c r="BP1093" t="s">
        <v>74</v>
      </c>
      <c r="BQ1093" t="s">
        <v>74</v>
      </c>
      <c r="BR1093" t="s">
        <v>104</v>
      </c>
      <c r="BS1093" t="s">
        <v>21026</v>
      </c>
      <c r="BT1093" t="str">
        <f>HYPERLINK("https%3A%2F%2Fwww.webofscience.com%2Fwos%2Fwoscc%2Ffull-record%2FWOS:000209838400418","View Full Record in Web of Science")</f>
        <v>View Full Record in Web of Science</v>
      </c>
    </row>
    <row r="1094" spans="1:72" x14ac:dyDescent="0.25">
      <c r="A1094" t="s">
        <v>72</v>
      </c>
      <c r="B1094" t="s">
        <v>21025</v>
      </c>
      <c r="C1094" t="s">
        <v>74</v>
      </c>
      <c r="D1094" t="s">
        <v>74</v>
      </c>
      <c r="E1094" t="s">
        <v>74</v>
      </c>
      <c r="F1094" t="s">
        <v>21024</v>
      </c>
      <c r="G1094" t="s">
        <v>74</v>
      </c>
      <c r="H1094" t="s">
        <v>74</v>
      </c>
      <c r="I1094" t="s">
        <v>21023</v>
      </c>
      <c r="J1094" t="s">
        <v>16660</v>
      </c>
      <c r="K1094" t="s">
        <v>74</v>
      </c>
      <c r="L1094" t="s">
        <v>74</v>
      </c>
      <c r="M1094" t="s">
        <v>78</v>
      </c>
      <c r="N1094" t="s">
        <v>79</v>
      </c>
      <c r="O1094" t="s">
        <v>74</v>
      </c>
      <c r="P1094" t="s">
        <v>74</v>
      </c>
      <c r="Q1094" t="s">
        <v>74</v>
      </c>
      <c r="R1094" t="s">
        <v>74</v>
      </c>
      <c r="S1094" t="s">
        <v>74</v>
      </c>
      <c r="T1094" t="s">
        <v>21022</v>
      </c>
      <c r="U1094" t="s">
        <v>21021</v>
      </c>
      <c r="V1094" t="s">
        <v>21020</v>
      </c>
      <c r="W1094" t="s">
        <v>21019</v>
      </c>
      <c r="X1094" t="s">
        <v>21018</v>
      </c>
      <c r="Y1094" t="s">
        <v>21017</v>
      </c>
      <c r="Z1094" t="s">
        <v>7825</v>
      </c>
      <c r="AA1094" t="s">
        <v>21016</v>
      </c>
      <c r="AB1094" t="s">
        <v>21015</v>
      </c>
      <c r="AC1094" t="s">
        <v>21014</v>
      </c>
      <c r="AD1094" t="s">
        <v>21013</v>
      </c>
      <c r="AE1094" t="s">
        <v>21012</v>
      </c>
      <c r="AF1094" t="s">
        <v>74</v>
      </c>
      <c r="AG1094">
        <v>34</v>
      </c>
      <c r="AH1094">
        <v>37</v>
      </c>
      <c r="AI1094">
        <v>39</v>
      </c>
      <c r="AJ1094">
        <v>0</v>
      </c>
      <c r="AK1094">
        <v>13</v>
      </c>
      <c r="AL1094" t="s">
        <v>169</v>
      </c>
      <c r="AM1094" t="s">
        <v>170</v>
      </c>
      <c r="AN1094" t="s">
        <v>171</v>
      </c>
      <c r="AO1094" t="s">
        <v>16649</v>
      </c>
      <c r="AP1094" t="s">
        <v>16648</v>
      </c>
      <c r="AQ1094" t="s">
        <v>74</v>
      </c>
      <c r="AR1094" t="s">
        <v>16647</v>
      </c>
      <c r="AS1094" t="s">
        <v>16646</v>
      </c>
      <c r="AT1094" t="s">
        <v>176</v>
      </c>
      <c r="AU1094">
        <v>2013</v>
      </c>
      <c r="AV1094">
        <v>43</v>
      </c>
      <c r="AW1094">
        <v>1</v>
      </c>
      <c r="AX1094" t="s">
        <v>74</v>
      </c>
      <c r="AY1094" t="s">
        <v>74</v>
      </c>
      <c r="AZ1094" t="s">
        <v>74</v>
      </c>
      <c r="BA1094" t="s">
        <v>74</v>
      </c>
      <c r="BB1094">
        <v>64</v>
      </c>
      <c r="BC1094">
        <v>71</v>
      </c>
      <c r="BD1094" t="s">
        <v>74</v>
      </c>
      <c r="BE1094" t="s">
        <v>21011</v>
      </c>
      <c r="BF1094" t="str">
        <f>HYPERLINK("http://dx.doi.org/10.1111/eci.12018","http://dx.doi.org/10.1111/eci.12018")</f>
        <v>http://dx.doi.org/10.1111/eci.12018</v>
      </c>
      <c r="BG1094" t="s">
        <v>74</v>
      </c>
      <c r="BH1094" t="s">
        <v>74</v>
      </c>
      <c r="BI1094">
        <v>8</v>
      </c>
      <c r="BJ1094" t="s">
        <v>16644</v>
      </c>
      <c r="BK1094" t="s">
        <v>101</v>
      </c>
      <c r="BL1094" t="s">
        <v>16643</v>
      </c>
      <c r="BM1094" t="s">
        <v>21010</v>
      </c>
      <c r="BN1094">
        <v>23176388</v>
      </c>
      <c r="BO1094" t="s">
        <v>74</v>
      </c>
      <c r="BP1094" t="s">
        <v>74</v>
      </c>
      <c r="BQ1094" t="s">
        <v>74</v>
      </c>
      <c r="BR1094" t="s">
        <v>104</v>
      </c>
      <c r="BS1094" t="s">
        <v>21009</v>
      </c>
      <c r="BT1094" t="str">
        <f>HYPERLINK("https%3A%2F%2Fwww.webofscience.com%2Fwos%2Fwoscc%2Ffull-record%2FWOS:000313816400009","View Full Record in Web of Science")</f>
        <v>View Full Record in Web of Science</v>
      </c>
    </row>
    <row r="1095" spans="1:72" x14ac:dyDescent="0.25">
      <c r="A1095" t="s">
        <v>72</v>
      </c>
      <c r="B1095" t="s">
        <v>21008</v>
      </c>
      <c r="C1095" t="s">
        <v>74</v>
      </c>
      <c r="D1095" t="s">
        <v>74</v>
      </c>
      <c r="E1095" t="s">
        <v>74</v>
      </c>
      <c r="F1095" t="s">
        <v>21007</v>
      </c>
      <c r="G1095" t="s">
        <v>74</v>
      </c>
      <c r="H1095" t="s">
        <v>74</v>
      </c>
      <c r="I1095" t="s">
        <v>21006</v>
      </c>
      <c r="J1095" t="s">
        <v>637</v>
      </c>
      <c r="K1095" t="s">
        <v>74</v>
      </c>
      <c r="L1095" t="s">
        <v>74</v>
      </c>
      <c r="M1095" t="s">
        <v>78</v>
      </c>
      <c r="N1095" t="s">
        <v>52</v>
      </c>
      <c r="O1095" t="s">
        <v>74</v>
      </c>
      <c r="P1095" t="s">
        <v>74</v>
      </c>
      <c r="Q1095" t="s">
        <v>74</v>
      </c>
      <c r="R1095" t="s">
        <v>74</v>
      </c>
      <c r="S1095" t="s">
        <v>74</v>
      </c>
      <c r="T1095" t="s">
        <v>74</v>
      </c>
      <c r="U1095" t="s">
        <v>74</v>
      </c>
      <c r="V1095" t="s">
        <v>74</v>
      </c>
      <c r="W1095" t="s">
        <v>21005</v>
      </c>
      <c r="X1095" t="s">
        <v>21004</v>
      </c>
      <c r="Y1095" t="s">
        <v>74</v>
      </c>
      <c r="Z1095" t="s">
        <v>74</v>
      </c>
      <c r="AA1095" t="s">
        <v>20644</v>
      </c>
      <c r="AB1095" t="s">
        <v>74</v>
      </c>
      <c r="AC1095" t="s">
        <v>74</v>
      </c>
      <c r="AD1095" t="s">
        <v>74</v>
      </c>
      <c r="AE1095" t="s">
        <v>74</v>
      </c>
      <c r="AF1095" t="s">
        <v>74</v>
      </c>
      <c r="AG1095">
        <v>0</v>
      </c>
      <c r="AH1095">
        <v>3</v>
      </c>
      <c r="AI1095">
        <v>3</v>
      </c>
      <c r="AJ1095">
        <v>0</v>
      </c>
      <c r="AK1095">
        <v>0</v>
      </c>
      <c r="AL1095" t="s">
        <v>649</v>
      </c>
      <c r="AM1095" t="s">
        <v>486</v>
      </c>
      <c r="AN1095" t="s">
        <v>650</v>
      </c>
      <c r="AO1095" t="s">
        <v>651</v>
      </c>
      <c r="AP1095" t="s">
        <v>652</v>
      </c>
      <c r="AQ1095" t="s">
        <v>74</v>
      </c>
      <c r="AR1095" t="s">
        <v>653</v>
      </c>
      <c r="AS1095" t="s">
        <v>654</v>
      </c>
      <c r="AT1095" t="s">
        <v>74</v>
      </c>
      <c r="AU1095">
        <v>2013</v>
      </c>
      <c r="AV1095">
        <v>187</v>
      </c>
      <c r="AW1095" t="s">
        <v>74</v>
      </c>
      <c r="AX1095" t="s">
        <v>74</v>
      </c>
      <c r="AY1095" t="s">
        <v>74</v>
      </c>
      <c r="AZ1095" t="s">
        <v>74</v>
      </c>
      <c r="BA1095" t="s">
        <v>21003</v>
      </c>
      <c r="BB1095" t="s">
        <v>74</v>
      </c>
      <c r="BC1095" t="s">
        <v>74</v>
      </c>
      <c r="BD1095" t="s">
        <v>74</v>
      </c>
      <c r="BE1095" t="s">
        <v>74</v>
      </c>
      <c r="BF1095" t="s">
        <v>74</v>
      </c>
      <c r="BG1095" t="s">
        <v>74</v>
      </c>
      <c r="BH1095" t="s">
        <v>74</v>
      </c>
      <c r="BI1095">
        <v>1</v>
      </c>
      <c r="BJ1095" t="s">
        <v>341</v>
      </c>
      <c r="BK1095" t="s">
        <v>101</v>
      </c>
      <c r="BL1095" t="s">
        <v>342</v>
      </c>
      <c r="BM1095" t="s">
        <v>20966</v>
      </c>
      <c r="BN1095" t="s">
        <v>74</v>
      </c>
      <c r="BO1095" t="s">
        <v>74</v>
      </c>
      <c r="BP1095" t="s">
        <v>74</v>
      </c>
      <c r="BQ1095" t="s">
        <v>74</v>
      </c>
      <c r="BR1095" t="s">
        <v>104</v>
      </c>
      <c r="BS1095" t="s">
        <v>21002</v>
      </c>
      <c r="BT1095" t="str">
        <f>HYPERLINK("https%3A%2F%2Fwww.webofscience.com%2Fwos%2Fwoscc%2Ffull-record%2FWOS:000209838400298","View Full Record in Web of Science")</f>
        <v>View Full Record in Web of Science</v>
      </c>
    </row>
    <row r="1096" spans="1:72" x14ac:dyDescent="0.25">
      <c r="A1096" t="s">
        <v>72</v>
      </c>
      <c r="B1096" t="s">
        <v>21001</v>
      </c>
      <c r="C1096" t="s">
        <v>74</v>
      </c>
      <c r="D1096" t="s">
        <v>74</v>
      </c>
      <c r="E1096" t="s">
        <v>74</v>
      </c>
      <c r="F1096" t="s">
        <v>21000</v>
      </c>
      <c r="G1096" t="s">
        <v>74</v>
      </c>
      <c r="H1096" t="s">
        <v>74</v>
      </c>
      <c r="I1096" t="s">
        <v>20999</v>
      </c>
      <c r="J1096" t="s">
        <v>216</v>
      </c>
      <c r="K1096" t="s">
        <v>74</v>
      </c>
      <c r="L1096" t="s">
        <v>74</v>
      </c>
      <c r="M1096" t="s">
        <v>78</v>
      </c>
      <c r="N1096" t="s">
        <v>140</v>
      </c>
      <c r="O1096" t="s">
        <v>74</v>
      </c>
      <c r="P1096" t="s">
        <v>74</v>
      </c>
      <c r="Q1096" t="s">
        <v>74</v>
      </c>
      <c r="R1096" t="s">
        <v>74</v>
      </c>
      <c r="S1096" t="s">
        <v>74</v>
      </c>
      <c r="T1096" t="s">
        <v>74</v>
      </c>
      <c r="U1096" t="s">
        <v>74</v>
      </c>
      <c r="V1096" t="s">
        <v>74</v>
      </c>
      <c r="W1096" t="s">
        <v>20998</v>
      </c>
      <c r="X1096" t="s">
        <v>20997</v>
      </c>
      <c r="Y1096" t="s">
        <v>20996</v>
      </c>
      <c r="Z1096" t="s">
        <v>20995</v>
      </c>
      <c r="AA1096" t="s">
        <v>20994</v>
      </c>
      <c r="AB1096" t="s">
        <v>2803</v>
      </c>
      <c r="AC1096" t="s">
        <v>74</v>
      </c>
      <c r="AD1096" t="s">
        <v>74</v>
      </c>
      <c r="AE1096" t="s">
        <v>74</v>
      </c>
      <c r="AF1096" t="s">
        <v>74</v>
      </c>
      <c r="AG1096">
        <v>16</v>
      </c>
      <c r="AH1096">
        <v>17</v>
      </c>
      <c r="AI1096">
        <v>19</v>
      </c>
      <c r="AJ1096">
        <v>0</v>
      </c>
      <c r="AK1096">
        <v>3</v>
      </c>
      <c r="AL1096" t="s">
        <v>219</v>
      </c>
      <c r="AM1096" t="s">
        <v>220</v>
      </c>
      <c r="AN1096" t="s">
        <v>221</v>
      </c>
      <c r="AO1096" t="s">
        <v>222</v>
      </c>
      <c r="AP1096" t="s">
        <v>223</v>
      </c>
      <c r="AQ1096" t="s">
        <v>74</v>
      </c>
      <c r="AR1096" t="s">
        <v>224</v>
      </c>
      <c r="AS1096" t="s">
        <v>225</v>
      </c>
      <c r="AT1096" t="s">
        <v>176</v>
      </c>
      <c r="AU1096">
        <v>2013</v>
      </c>
      <c r="AV1096">
        <v>41</v>
      </c>
      <c r="AW1096">
        <v>1</v>
      </c>
      <c r="AX1096" t="s">
        <v>74</v>
      </c>
      <c r="AY1096" t="s">
        <v>74</v>
      </c>
      <c r="AZ1096" t="s">
        <v>74</v>
      </c>
      <c r="BA1096" t="s">
        <v>74</v>
      </c>
      <c r="BB1096">
        <v>8</v>
      </c>
      <c r="BC1096">
        <v>9</v>
      </c>
      <c r="BD1096" t="s">
        <v>74</v>
      </c>
      <c r="BE1096" t="s">
        <v>20993</v>
      </c>
      <c r="BF1096" t="str">
        <f>HYPERLINK("http://dx.doi.org/10.1183/09031936.00181212","http://dx.doi.org/10.1183/09031936.00181212")</f>
        <v>http://dx.doi.org/10.1183/09031936.00181212</v>
      </c>
      <c r="BG1096" t="s">
        <v>74</v>
      </c>
      <c r="BH1096" t="s">
        <v>74</v>
      </c>
      <c r="BI1096">
        <v>2</v>
      </c>
      <c r="BJ1096" t="s">
        <v>228</v>
      </c>
      <c r="BK1096" t="s">
        <v>101</v>
      </c>
      <c r="BL1096" t="s">
        <v>228</v>
      </c>
      <c r="BM1096" t="s">
        <v>20934</v>
      </c>
      <c r="BN1096">
        <v>23277517</v>
      </c>
      <c r="BO1096" t="s">
        <v>74</v>
      </c>
      <c r="BP1096" t="s">
        <v>74</v>
      </c>
      <c r="BQ1096" t="s">
        <v>74</v>
      </c>
      <c r="BR1096" t="s">
        <v>104</v>
      </c>
      <c r="BS1096" t="s">
        <v>20992</v>
      </c>
      <c r="BT1096" t="str">
        <f>HYPERLINK("https%3A%2F%2Fwww.webofscience.com%2Fwos%2Fwoscc%2Ffull-record%2FWOS:000313384700005","View Full Record in Web of Science")</f>
        <v>View Full Record in Web of Science</v>
      </c>
    </row>
    <row r="1097" spans="1:72" x14ac:dyDescent="0.25">
      <c r="A1097" t="s">
        <v>72</v>
      </c>
      <c r="B1097" t="s">
        <v>20991</v>
      </c>
      <c r="C1097" t="s">
        <v>74</v>
      </c>
      <c r="D1097" t="s">
        <v>74</v>
      </c>
      <c r="E1097" t="s">
        <v>74</v>
      </c>
      <c r="F1097" t="s">
        <v>20990</v>
      </c>
      <c r="G1097" t="s">
        <v>74</v>
      </c>
      <c r="H1097" t="s">
        <v>74</v>
      </c>
      <c r="I1097" t="s">
        <v>20989</v>
      </c>
      <c r="J1097" t="s">
        <v>637</v>
      </c>
      <c r="K1097" t="s">
        <v>74</v>
      </c>
      <c r="L1097" t="s">
        <v>74</v>
      </c>
      <c r="M1097" t="s">
        <v>78</v>
      </c>
      <c r="N1097" t="s">
        <v>52</v>
      </c>
      <c r="O1097" t="s">
        <v>74</v>
      </c>
      <c r="P1097" t="s">
        <v>74</v>
      </c>
      <c r="Q1097" t="s">
        <v>74</v>
      </c>
      <c r="R1097" t="s">
        <v>74</v>
      </c>
      <c r="S1097" t="s">
        <v>74</v>
      </c>
      <c r="T1097" t="s">
        <v>74</v>
      </c>
      <c r="U1097" t="s">
        <v>74</v>
      </c>
      <c r="V1097" t="s">
        <v>74</v>
      </c>
      <c r="W1097" t="s">
        <v>20988</v>
      </c>
      <c r="X1097" t="s">
        <v>20987</v>
      </c>
      <c r="Y1097" t="s">
        <v>74</v>
      </c>
      <c r="Z1097" t="s">
        <v>13011</v>
      </c>
      <c r="AA1097" t="s">
        <v>20986</v>
      </c>
      <c r="AB1097" t="s">
        <v>20985</v>
      </c>
      <c r="AC1097" t="s">
        <v>74</v>
      </c>
      <c r="AD1097" t="s">
        <v>74</v>
      </c>
      <c r="AE1097" t="s">
        <v>74</v>
      </c>
      <c r="AF1097" t="s">
        <v>74</v>
      </c>
      <c r="AG1097">
        <v>0</v>
      </c>
      <c r="AH1097">
        <v>1</v>
      </c>
      <c r="AI1097">
        <v>1</v>
      </c>
      <c r="AJ1097">
        <v>0</v>
      </c>
      <c r="AK1097">
        <v>0</v>
      </c>
      <c r="AL1097" t="s">
        <v>649</v>
      </c>
      <c r="AM1097" t="s">
        <v>486</v>
      </c>
      <c r="AN1097" t="s">
        <v>650</v>
      </c>
      <c r="AO1097" t="s">
        <v>651</v>
      </c>
      <c r="AP1097" t="s">
        <v>652</v>
      </c>
      <c r="AQ1097" t="s">
        <v>74</v>
      </c>
      <c r="AR1097" t="s">
        <v>653</v>
      </c>
      <c r="AS1097" t="s">
        <v>654</v>
      </c>
      <c r="AT1097" t="s">
        <v>74</v>
      </c>
      <c r="AU1097">
        <v>2013</v>
      </c>
      <c r="AV1097">
        <v>187</v>
      </c>
      <c r="AW1097" t="s">
        <v>74</v>
      </c>
      <c r="AX1097" t="s">
        <v>74</v>
      </c>
      <c r="AY1097" t="s">
        <v>74</v>
      </c>
      <c r="AZ1097" t="s">
        <v>74</v>
      </c>
      <c r="BA1097" t="s">
        <v>20984</v>
      </c>
      <c r="BB1097" t="s">
        <v>74</v>
      </c>
      <c r="BC1097" t="s">
        <v>74</v>
      </c>
      <c r="BD1097" t="s">
        <v>74</v>
      </c>
      <c r="BE1097" t="s">
        <v>74</v>
      </c>
      <c r="BF1097" t="s">
        <v>74</v>
      </c>
      <c r="BG1097" t="s">
        <v>74</v>
      </c>
      <c r="BH1097" t="s">
        <v>74</v>
      </c>
      <c r="BI1097">
        <v>1</v>
      </c>
      <c r="BJ1097" t="s">
        <v>341</v>
      </c>
      <c r="BK1097" t="s">
        <v>101</v>
      </c>
      <c r="BL1097" t="s">
        <v>342</v>
      </c>
      <c r="BM1097" t="s">
        <v>20966</v>
      </c>
      <c r="BN1097" t="s">
        <v>74</v>
      </c>
      <c r="BO1097" t="s">
        <v>74</v>
      </c>
      <c r="BP1097" t="s">
        <v>74</v>
      </c>
      <c r="BQ1097" t="s">
        <v>74</v>
      </c>
      <c r="BR1097" t="s">
        <v>104</v>
      </c>
      <c r="BS1097" t="s">
        <v>20983</v>
      </c>
      <c r="BT1097" t="str">
        <f>HYPERLINK("https%3A%2F%2Fwww.webofscience.com%2Fwos%2Fwoscc%2Ffull-record%2FWOS:000209838401352","View Full Record in Web of Science")</f>
        <v>View Full Record in Web of Science</v>
      </c>
    </row>
    <row r="1098" spans="1:72" x14ac:dyDescent="0.25">
      <c r="A1098" t="s">
        <v>72</v>
      </c>
      <c r="B1098" t="s">
        <v>20982</v>
      </c>
      <c r="C1098" t="s">
        <v>74</v>
      </c>
      <c r="D1098" t="s">
        <v>74</v>
      </c>
      <c r="E1098" t="s">
        <v>74</v>
      </c>
      <c r="F1098" t="s">
        <v>20981</v>
      </c>
      <c r="G1098" t="s">
        <v>74</v>
      </c>
      <c r="H1098" t="s">
        <v>74</v>
      </c>
      <c r="I1098" t="s">
        <v>20980</v>
      </c>
      <c r="J1098" t="s">
        <v>637</v>
      </c>
      <c r="K1098" t="s">
        <v>74</v>
      </c>
      <c r="L1098" t="s">
        <v>74</v>
      </c>
      <c r="M1098" t="s">
        <v>78</v>
      </c>
      <c r="N1098" t="s">
        <v>52</v>
      </c>
      <c r="O1098" t="s">
        <v>74</v>
      </c>
      <c r="P1098" t="s">
        <v>74</v>
      </c>
      <c r="Q1098" t="s">
        <v>74</v>
      </c>
      <c r="R1098" t="s">
        <v>74</v>
      </c>
      <c r="S1098" t="s">
        <v>74</v>
      </c>
      <c r="T1098" t="s">
        <v>74</v>
      </c>
      <c r="U1098" t="s">
        <v>74</v>
      </c>
      <c r="V1098" t="s">
        <v>74</v>
      </c>
      <c r="W1098" t="s">
        <v>20979</v>
      </c>
      <c r="X1098" t="s">
        <v>20978</v>
      </c>
      <c r="Y1098" t="s">
        <v>74</v>
      </c>
      <c r="Z1098" t="s">
        <v>7876</v>
      </c>
      <c r="AA1098" t="s">
        <v>20977</v>
      </c>
      <c r="AB1098" t="s">
        <v>19614</v>
      </c>
      <c r="AC1098" t="s">
        <v>74</v>
      </c>
      <c r="AD1098" t="s">
        <v>74</v>
      </c>
      <c r="AE1098" t="s">
        <v>74</v>
      </c>
      <c r="AF1098" t="s">
        <v>74</v>
      </c>
      <c r="AG1098">
        <v>0</v>
      </c>
      <c r="AH1098">
        <v>0</v>
      </c>
      <c r="AI1098">
        <v>0</v>
      </c>
      <c r="AJ1098">
        <v>0</v>
      </c>
      <c r="AK1098">
        <v>0</v>
      </c>
      <c r="AL1098" t="s">
        <v>649</v>
      </c>
      <c r="AM1098" t="s">
        <v>486</v>
      </c>
      <c r="AN1098" t="s">
        <v>650</v>
      </c>
      <c r="AO1098" t="s">
        <v>651</v>
      </c>
      <c r="AP1098" t="s">
        <v>652</v>
      </c>
      <c r="AQ1098" t="s">
        <v>74</v>
      </c>
      <c r="AR1098" t="s">
        <v>653</v>
      </c>
      <c r="AS1098" t="s">
        <v>654</v>
      </c>
      <c r="AT1098" t="s">
        <v>74</v>
      </c>
      <c r="AU1098">
        <v>2013</v>
      </c>
      <c r="AV1098">
        <v>187</v>
      </c>
      <c r="AW1098" t="s">
        <v>74</v>
      </c>
      <c r="AX1098" t="s">
        <v>74</v>
      </c>
      <c r="AY1098" t="s">
        <v>74</v>
      </c>
      <c r="AZ1098" t="s">
        <v>74</v>
      </c>
      <c r="BA1098" t="s">
        <v>20976</v>
      </c>
      <c r="BB1098" t="s">
        <v>74</v>
      </c>
      <c r="BC1098" t="s">
        <v>74</v>
      </c>
      <c r="BD1098" t="s">
        <v>74</v>
      </c>
      <c r="BE1098" t="s">
        <v>74</v>
      </c>
      <c r="BF1098" t="s">
        <v>74</v>
      </c>
      <c r="BG1098" t="s">
        <v>74</v>
      </c>
      <c r="BH1098" t="s">
        <v>74</v>
      </c>
      <c r="BI1098">
        <v>1</v>
      </c>
      <c r="BJ1098" t="s">
        <v>341</v>
      </c>
      <c r="BK1098" t="s">
        <v>101</v>
      </c>
      <c r="BL1098" t="s">
        <v>342</v>
      </c>
      <c r="BM1098" t="s">
        <v>20905</v>
      </c>
      <c r="BN1098" t="s">
        <v>74</v>
      </c>
      <c r="BO1098" t="s">
        <v>74</v>
      </c>
      <c r="BP1098" t="s">
        <v>74</v>
      </c>
      <c r="BQ1098" t="s">
        <v>74</v>
      </c>
      <c r="BR1098" t="s">
        <v>104</v>
      </c>
      <c r="BS1098" t="s">
        <v>20975</v>
      </c>
      <c r="BT1098" t="str">
        <f>HYPERLINK("https%3A%2F%2Fwww.webofscience.com%2Fwos%2Fwoscc%2Ffull-record%2FWOS:000209839100723","View Full Record in Web of Science")</f>
        <v>View Full Record in Web of Science</v>
      </c>
    </row>
    <row r="1099" spans="1:72" x14ac:dyDescent="0.25">
      <c r="A1099" t="s">
        <v>72</v>
      </c>
      <c r="B1099" t="s">
        <v>20974</v>
      </c>
      <c r="C1099" t="s">
        <v>74</v>
      </c>
      <c r="D1099" t="s">
        <v>74</v>
      </c>
      <c r="E1099" t="s">
        <v>74</v>
      </c>
      <c r="F1099" t="s">
        <v>20973</v>
      </c>
      <c r="G1099" t="s">
        <v>74</v>
      </c>
      <c r="H1099" t="s">
        <v>74</v>
      </c>
      <c r="I1099" t="s">
        <v>20972</v>
      </c>
      <c r="J1099" t="s">
        <v>637</v>
      </c>
      <c r="K1099" t="s">
        <v>74</v>
      </c>
      <c r="L1099" t="s">
        <v>74</v>
      </c>
      <c r="M1099" t="s">
        <v>78</v>
      </c>
      <c r="N1099" t="s">
        <v>52</v>
      </c>
      <c r="O1099" t="s">
        <v>74</v>
      </c>
      <c r="P1099" t="s">
        <v>74</v>
      </c>
      <c r="Q1099" t="s">
        <v>74</v>
      </c>
      <c r="R1099" t="s">
        <v>74</v>
      </c>
      <c r="S1099" t="s">
        <v>74</v>
      </c>
      <c r="T1099" t="s">
        <v>74</v>
      </c>
      <c r="U1099" t="s">
        <v>74</v>
      </c>
      <c r="V1099" t="s">
        <v>74</v>
      </c>
      <c r="W1099" t="s">
        <v>20971</v>
      </c>
      <c r="X1099" t="s">
        <v>20970</v>
      </c>
      <c r="Y1099" t="s">
        <v>74</v>
      </c>
      <c r="Z1099" t="s">
        <v>20969</v>
      </c>
      <c r="AA1099" t="s">
        <v>20968</v>
      </c>
      <c r="AB1099" t="s">
        <v>74</v>
      </c>
      <c r="AC1099" t="s">
        <v>74</v>
      </c>
      <c r="AD1099" t="s">
        <v>74</v>
      </c>
      <c r="AE1099" t="s">
        <v>74</v>
      </c>
      <c r="AF1099" t="s">
        <v>74</v>
      </c>
      <c r="AG1099">
        <v>0</v>
      </c>
      <c r="AH1099">
        <v>0</v>
      </c>
      <c r="AI1099">
        <v>0</v>
      </c>
      <c r="AJ1099">
        <v>0</v>
      </c>
      <c r="AK1099">
        <v>0</v>
      </c>
      <c r="AL1099" t="s">
        <v>649</v>
      </c>
      <c r="AM1099" t="s">
        <v>486</v>
      </c>
      <c r="AN1099" t="s">
        <v>650</v>
      </c>
      <c r="AO1099" t="s">
        <v>651</v>
      </c>
      <c r="AP1099" t="s">
        <v>652</v>
      </c>
      <c r="AQ1099" t="s">
        <v>74</v>
      </c>
      <c r="AR1099" t="s">
        <v>653</v>
      </c>
      <c r="AS1099" t="s">
        <v>654</v>
      </c>
      <c r="AT1099" t="s">
        <v>74</v>
      </c>
      <c r="AU1099">
        <v>2013</v>
      </c>
      <c r="AV1099">
        <v>187</v>
      </c>
      <c r="AW1099" t="s">
        <v>74</v>
      </c>
      <c r="AX1099" t="s">
        <v>74</v>
      </c>
      <c r="AY1099" t="s">
        <v>74</v>
      </c>
      <c r="AZ1099" t="s">
        <v>74</v>
      </c>
      <c r="BA1099" t="s">
        <v>20967</v>
      </c>
      <c r="BB1099" t="s">
        <v>74</v>
      </c>
      <c r="BC1099" t="s">
        <v>74</v>
      </c>
      <c r="BD1099" t="s">
        <v>74</v>
      </c>
      <c r="BE1099" t="s">
        <v>74</v>
      </c>
      <c r="BF1099" t="s">
        <v>74</v>
      </c>
      <c r="BG1099" t="s">
        <v>74</v>
      </c>
      <c r="BH1099" t="s">
        <v>74</v>
      </c>
      <c r="BI1099">
        <v>1</v>
      </c>
      <c r="BJ1099" t="s">
        <v>341</v>
      </c>
      <c r="BK1099" t="s">
        <v>101</v>
      </c>
      <c r="BL1099" t="s">
        <v>342</v>
      </c>
      <c r="BM1099" t="s">
        <v>20966</v>
      </c>
      <c r="BN1099" t="s">
        <v>74</v>
      </c>
      <c r="BO1099" t="s">
        <v>74</v>
      </c>
      <c r="BP1099" t="s">
        <v>74</v>
      </c>
      <c r="BQ1099" t="s">
        <v>74</v>
      </c>
      <c r="BR1099" t="s">
        <v>104</v>
      </c>
      <c r="BS1099" t="s">
        <v>20965</v>
      </c>
      <c r="BT1099" t="str">
        <f>HYPERLINK("https%3A%2F%2Fwww.webofscience.com%2Fwos%2Fwoscc%2Ffull-record%2FWOS:000209838400404","View Full Record in Web of Science")</f>
        <v>View Full Record in Web of Science</v>
      </c>
    </row>
    <row r="1100" spans="1:72" x14ac:dyDescent="0.25">
      <c r="A1100" t="s">
        <v>72</v>
      </c>
      <c r="B1100" t="s">
        <v>20964</v>
      </c>
      <c r="C1100" t="s">
        <v>74</v>
      </c>
      <c r="D1100" t="s">
        <v>74</v>
      </c>
      <c r="E1100" t="s">
        <v>74</v>
      </c>
      <c r="F1100" t="s">
        <v>20963</v>
      </c>
      <c r="G1100" t="s">
        <v>74</v>
      </c>
      <c r="H1100" t="s">
        <v>74</v>
      </c>
      <c r="I1100" t="s">
        <v>20962</v>
      </c>
      <c r="J1100" t="s">
        <v>637</v>
      </c>
      <c r="K1100" t="s">
        <v>74</v>
      </c>
      <c r="L1100" t="s">
        <v>74</v>
      </c>
      <c r="M1100" t="s">
        <v>78</v>
      </c>
      <c r="N1100" t="s">
        <v>52</v>
      </c>
      <c r="O1100" t="s">
        <v>74</v>
      </c>
      <c r="P1100" t="s">
        <v>74</v>
      </c>
      <c r="Q1100" t="s">
        <v>74</v>
      </c>
      <c r="R1100" t="s">
        <v>74</v>
      </c>
      <c r="S1100" t="s">
        <v>74</v>
      </c>
      <c r="T1100" t="s">
        <v>74</v>
      </c>
      <c r="U1100" t="s">
        <v>74</v>
      </c>
      <c r="V1100" t="s">
        <v>74</v>
      </c>
      <c r="W1100" t="s">
        <v>20961</v>
      </c>
      <c r="X1100" t="s">
        <v>20960</v>
      </c>
      <c r="Y1100" t="s">
        <v>74</v>
      </c>
      <c r="Z1100" t="s">
        <v>20959</v>
      </c>
      <c r="AA1100" t="s">
        <v>20958</v>
      </c>
      <c r="AB1100" t="s">
        <v>74</v>
      </c>
      <c r="AC1100" t="s">
        <v>74</v>
      </c>
      <c r="AD1100" t="s">
        <v>74</v>
      </c>
      <c r="AE1100" t="s">
        <v>74</v>
      </c>
      <c r="AF1100" t="s">
        <v>74</v>
      </c>
      <c r="AG1100">
        <v>0</v>
      </c>
      <c r="AH1100">
        <v>7</v>
      </c>
      <c r="AI1100">
        <v>7</v>
      </c>
      <c r="AJ1100">
        <v>0</v>
      </c>
      <c r="AK1100">
        <v>0</v>
      </c>
      <c r="AL1100" t="s">
        <v>649</v>
      </c>
      <c r="AM1100" t="s">
        <v>486</v>
      </c>
      <c r="AN1100" t="s">
        <v>650</v>
      </c>
      <c r="AO1100" t="s">
        <v>651</v>
      </c>
      <c r="AP1100" t="s">
        <v>652</v>
      </c>
      <c r="AQ1100" t="s">
        <v>74</v>
      </c>
      <c r="AR1100" t="s">
        <v>653</v>
      </c>
      <c r="AS1100" t="s">
        <v>654</v>
      </c>
      <c r="AT1100" t="s">
        <v>74</v>
      </c>
      <c r="AU1100">
        <v>2013</v>
      </c>
      <c r="AV1100">
        <v>187</v>
      </c>
      <c r="AW1100" t="s">
        <v>74</v>
      </c>
      <c r="AX1100" t="s">
        <v>74</v>
      </c>
      <c r="AY1100" t="s">
        <v>74</v>
      </c>
      <c r="AZ1100" t="s">
        <v>74</v>
      </c>
      <c r="BA1100" t="s">
        <v>20957</v>
      </c>
      <c r="BB1100" t="s">
        <v>74</v>
      </c>
      <c r="BC1100" t="s">
        <v>74</v>
      </c>
      <c r="BD1100" t="s">
        <v>74</v>
      </c>
      <c r="BE1100" t="s">
        <v>74</v>
      </c>
      <c r="BF1100" t="s">
        <v>74</v>
      </c>
      <c r="BG1100" t="s">
        <v>74</v>
      </c>
      <c r="BH1100" t="s">
        <v>74</v>
      </c>
      <c r="BI1100">
        <v>2</v>
      </c>
      <c r="BJ1100" t="s">
        <v>341</v>
      </c>
      <c r="BK1100" t="s">
        <v>101</v>
      </c>
      <c r="BL1100" t="s">
        <v>342</v>
      </c>
      <c r="BM1100" t="s">
        <v>20905</v>
      </c>
      <c r="BN1100" t="s">
        <v>74</v>
      </c>
      <c r="BO1100" t="s">
        <v>74</v>
      </c>
      <c r="BP1100" t="s">
        <v>74</v>
      </c>
      <c r="BQ1100" t="s">
        <v>74</v>
      </c>
      <c r="BR1100" t="s">
        <v>104</v>
      </c>
      <c r="BS1100" t="s">
        <v>20956</v>
      </c>
      <c r="BT1100" t="str">
        <f>HYPERLINK("https%3A%2F%2Fwww.webofscience.com%2Fwos%2Fwoscc%2Ffull-record%2FWOS:000209839103104","View Full Record in Web of Science")</f>
        <v>View Full Record in Web of Science</v>
      </c>
    </row>
    <row r="1101" spans="1:72" x14ac:dyDescent="0.25">
      <c r="A1101" t="s">
        <v>72</v>
      </c>
      <c r="B1101" t="s">
        <v>20955</v>
      </c>
      <c r="C1101" t="s">
        <v>74</v>
      </c>
      <c r="D1101" t="s">
        <v>74</v>
      </c>
      <c r="E1101" t="s">
        <v>74</v>
      </c>
      <c r="F1101" t="s">
        <v>20954</v>
      </c>
      <c r="G1101" t="s">
        <v>74</v>
      </c>
      <c r="H1101" t="s">
        <v>74</v>
      </c>
      <c r="I1101" t="s">
        <v>20953</v>
      </c>
      <c r="J1101" t="s">
        <v>637</v>
      </c>
      <c r="K1101" t="s">
        <v>74</v>
      </c>
      <c r="L1101" t="s">
        <v>74</v>
      </c>
      <c r="M1101" t="s">
        <v>78</v>
      </c>
      <c r="N1101" t="s">
        <v>52</v>
      </c>
      <c r="O1101" t="s">
        <v>74</v>
      </c>
      <c r="P1101" t="s">
        <v>74</v>
      </c>
      <c r="Q1101" t="s">
        <v>74</v>
      </c>
      <c r="R1101" t="s">
        <v>74</v>
      </c>
      <c r="S1101" t="s">
        <v>74</v>
      </c>
      <c r="T1101" t="s">
        <v>74</v>
      </c>
      <c r="U1101" t="s">
        <v>74</v>
      </c>
      <c r="V1101" t="s">
        <v>74</v>
      </c>
      <c r="W1101" t="s">
        <v>20952</v>
      </c>
      <c r="X1101" t="s">
        <v>20951</v>
      </c>
      <c r="Y1101" t="s">
        <v>74</v>
      </c>
      <c r="Z1101" t="s">
        <v>12884</v>
      </c>
      <c r="AA1101" t="s">
        <v>20950</v>
      </c>
      <c r="AB1101" t="s">
        <v>20949</v>
      </c>
      <c r="AC1101" t="s">
        <v>74</v>
      </c>
      <c r="AD1101" t="s">
        <v>74</v>
      </c>
      <c r="AE1101" t="s">
        <v>74</v>
      </c>
      <c r="AF1101" t="s">
        <v>74</v>
      </c>
      <c r="AG1101">
        <v>0</v>
      </c>
      <c r="AH1101">
        <v>0</v>
      </c>
      <c r="AI1101">
        <v>0</v>
      </c>
      <c r="AJ1101">
        <v>0</v>
      </c>
      <c r="AK1101">
        <v>0</v>
      </c>
      <c r="AL1101" t="s">
        <v>649</v>
      </c>
      <c r="AM1101" t="s">
        <v>486</v>
      </c>
      <c r="AN1101" t="s">
        <v>650</v>
      </c>
      <c r="AO1101" t="s">
        <v>651</v>
      </c>
      <c r="AP1101" t="s">
        <v>652</v>
      </c>
      <c r="AQ1101" t="s">
        <v>74</v>
      </c>
      <c r="AR1101" t="s">
        <v>653</v>
      </c>
      <c r="AS1101" t="s">
        <v>654</v>
      </c>
      <c r="AT1101" t="s">
        <v>74</v>
      </c>
      <c r="AU1101">
        <v>2013</v>
      </c>
      <c r="AV1101">
        <v>187</v>
      </c>
      <c r="AW1101" t="s">
        <v>74</v>
      </c>
      <c r="AX1101" t="s">
        <v>74</v>
      </c>
      <c r="AY1101" t="s">
        <v>74</v>
      </c>
      <c r="AZ1101" t="s">
        <v>74</v>
      </c>
      <c r="BA1101" t="s">
        <v>20948</v>
      </c>
      <c r="BB1101" t="s">
        <v>74</v>
      </c>
      <c r="BC1101" t="s">
        <v>74</v>
      </c>
      <c r="BD1101" t="s">
        <v>74</v>
      </c>
      <c r="BE1101" t="s">
        <v>74</v>
      </c>
      <c r="BF1101" t="s">
        <v>74</v>
      </c>
      <c r="BG1101" t="s">
        <v>74</v>
      </c>
      <c r="BH1101" t="s">
        <v>74</v>
      </c>
      <c r="BI1101">
        <v>1</v>
      </c>
      <c r="BJ1101" t="s">
        <v>341</v>
      </c>
      <c r="BK1101" t="s">
        <v>101</v>
      </c>
      <c r="BL1101" t="s">
        <v>342</v>
      </c>
      <c r="BM1101" t="s">
        <v>20905</v>
      </c>
      <c r="BN1101" t="s">
        <v>74</v>
      </c>
      <c r="BO1101" t="s">
        <v>74</v>
      </c>
      <c r="BP1101" t="s">
        <v>74</v>
      </c>
      <c r="BQ1101" t="s">
        <v>74</v>
      </c>
      <c r="BR1101" t="s">
        <v>104</v>
      </c>
      <c r="BS1101" t="s">
        <v>20947</v>
      </c>
      <c r="BT1101" t="str">
        <f>HYPERLINK("https%3A%2F%2Fwww.webofscience.com%2Fwos%2Fwoscc%2Ffull-record%2FWOS:000209839102005","View Full Record in Web of Science")</f>
        <v>View Full Record in Web of Science</v>
      </c>
    </row>
    <row r="1102" spans="1:72" x14ac:dyDescent="0.25">
      <c r="A1102" t="s">
        <v>72</v>
      </c>
      <c r="B1102" t="s">
        <v>20946</v>
      </c>
      <c r="C1102" t="s">
        <v>74</v>
      </c>
      <c r="D1102" t="s">
        <v>74</v>
      </c>
      <c r="E1102" t="s">
        <v>74</v>
      </c>
      <c r="F1102" t="s">
        <v>20945</v>
      </c>
      <c r="G1102" t="s">
        <v>74</v>
      </c>
      <c r="H1102" t="s">
        <v>74</v>
      </c>
      <c r="I1102" t="s">
        <v>20944</v>
      </c>
      <c r="J1102" t="s">
        <v>216</v>
      </c>
      <c r="K1102" t="s">
        <v>74</v>
      </c>
      <c r="L1102" t="s">
        <v>74</v>
      </c>
      <c r="M1102" t="s">
        <v>78</v>
      </c>
      <c r="N1102" t="s">
        <v>79</v>
      </c>
      <c r="O1102" t="s">
        <v>74</v>
      </c>
      <c r="P1102" t="s">
        <v>74</v>
      </c>
      <c r="Q1102" t="s">
        <v>74</v>
      </c>
      <c r="R1102" t="s">
        <v>74</v>
      </c>
      <c r="S1102" t="s">
        <v>74</v>
      </c>
      <c r="T1102" t="s">
        <v>20943</v>
      </c>
      <c r="U1102" t="s">
        <v>20942</v>
      </c>
      <c r="V1102" t="s">
        <v>20941</v>
      </c>
      <c r="W1102" t="s">
        <v>20940</v>
      </c>
      <c r="X1102" t="s">
        <v>20939</v>
      </c>
      <c r="Y1102" t="s">
        <v>20938</v>
      </c>
      <c r="Z1102" t="s">
        <v>6688</v>
      </c>
      <c r="AA1102" t="s">
        <v>20937</v>
      </c>
      <c r="AB1102" t="s">
        <v>20936</v>
      </c>
      <c r="AC1102" t="s">
        <v>74</v>
      </c>
      <c r="AD1102" t="s">
        <v>74</v>
      </c>
      <c r="AE1102" t="s">
        <v>74</v>
      </c>
      <c r="AF1102" t="s">
        <v>74</v>
      </c>
      <c r="AG1102">
        <v>39</v>
      </c>
      <c r="AH1102">
        <v>72</v>
      </c>
      <c r="AI1102">
        <v>74</v>
      </c>
      <c r="AJ1102">
        <v>0</v>
      </c>
      <c r="AK1102">
        <v>3</v>
      </c>
      <c r="AL1102" t="s">
        <v>219</v>
      </c>
      <c r="AM1102" t="s">
        <v>220</v>
      </c>
      <c r="AN1102" t="s">
        <v>221</v>
      </c>
      <c r="AO1102" t="s">
        <v>222</v>
      </c>
      <c r="AP1102" t="s">
        <v>223</v>
      </c>
      <c r="AQ1102" t="s">
        <v>74</v>
      </c>
      <c r="AR1102" t="s">
        <v>224</v>
      </c>
      <c r="AS1102" t="s">
        <v>225</v>
      </c>
      <c r="AT1102" t="s">
        <v>176</v>
      </c>
      <c r="AU1102">
        <v>2013</v>
      </c>
      <c r="AV1102">
        <v>41</v>
      </c>
      <c r="AW1102">
        <v>1</v>
      </c>
      <c r="AX1102" t="s">
        <v>74</v>
      </c>
      <c r="AY1102" t="s">
        <v>74</v>
      </c>
      <c r="AZ1102" t="s">
        <v>74</v>
      </c>
      <c r="BA1102" t="s">
        <v>74</v>
      </c>
      <c r="BB1102">
        <v>96</v>
      </c>
      <c r="BC1102">
        <v>103</v>
      </c>
      <c r="BD1102" t="s">
        <v>74</v>
      </c>
      <c r="BE1102" t="s">
        <v>20935</v>
      </c>
      <c r="BF1102" t="str">
        <f>HYPERLINK("http://dx.doi.org/10.1183/09031936.00117511","http://dx.doi.org/10.1183/09031936.00117511")</f>
        <v>http://dx.doi.org/10.1183/09031936.00117511</v>
      </c>
      <c r="BG1102" t="s">
        <v>74</v>
      </c>
      <c r="BH1102" t="s">
        <v>74</v>
      </c>
      <c r="BI1102">
        <v>8</v>
      </c>
      <c r="BJ1102" t="s">
        <v>228</v>
      </c>
      <c r="BK1102" t="s">
        <v>101</v>
      </c>
      <c r="BL1102" t="s">
        <v>228</v>
      </c>
      <c r="BM1102" t="s">
        <v>20934</v>
      </c>
      <c r="BN1102">
        <v>22653773</v>
      </c>
      <c r="BO1102" t="s">
        <v>3737</v>
      </c>
      <c r="BP1102" t="s">
        <v>74</v>
      </c>
      <c r="BQ1102" t="s">
        <v>74</v>
      </c>
      <c r="BR1102" t="s">
        <v>104</v>
      </c>
      <c r="BS1102" t="s">
        <v>20933</v>
      </c>
      <c r="BT1102" t="str">
        <f>HYPERLINK("https%3A%2F%2Fwww.webofscience.com%2Fwos%2Fwoscc%2Ffull-record%2FWOS:000313384700018","View Full Record in Web of Science")</f>
        <v>View Full Record in Web of Science</v>
      </c>
    </row>
    <row r="1103" spans="1:72" x14ac:dyDescent="0.25">
      <c r="A1103" t="s">
        <v>72</v>
      </c>
      <c r="B1103" t="s">
        <v>20932</v>
      </c>
      <c r="C1103" t="s">
        <v>74</v>
      </c>
      <c r="D1103" t="s">
        <v>74</v>
      </c>
      <c r="E1103" t="s">
        <v>74</v>
      </c>
      <c r="F1103" t="s">
        <v>20931</v>
      </c>
      <c r="G1103" t="s">
        <v>74</v>
      </c>
      <c r="H1103" t="s">
        <v>74</v>
      </c>
      <c r="I1103" t="s">
        <v>20930</v>
      </c>
      <c r="J1103" t="s">
        <v>637</v>
      </c>
      <c r="K1103" t="s">
        <v>74</v>
      </c>
      <c r="L1103" t="s">
        <v>74</v>
      </c>
      <c r="M1103" t="s">
        <v>78</v>
      </c>
      <c r="N1103" t="s">
        <v>52</v>
      </c>
      <c r="O1103" t="s">
        <v>74</v>
      </c>
      <c r="P1103" t="s">
        <v>74</v>
      </c>
      <c r="Q1103" t="s">
        <v>74</v>
      </c>
      <c r="R1103" t="s">
        <v>74</v>
      </c>
      <c r="S1103" t="s">
        <v>74</v>
      </c>
      <c r="T1103" t="s">
        <v>74</v>
      </c>
      <c r="U1103" t="s">
        <v>74</v>
      </c>
      <c r="V1103" t="s">
        <v>74</v>
      </c>
      <c r="W1103" t="s">
        <v>20929</v>
      </c>
      <c r="X1103" t="s">
        <v>13974</v>
      </c>
      <c r="Y1103" t="s">
        <v>74</v>
      </c>
      <c r="Z1103" t="s">
        <v>276</v>
      </c>
      <c r="AA1103" t="s">
        <v>20928</v>
      </c>
      <c r="AB1103" t="s">
        <v>74</v>
      </c>
      <c r="AC1103" t="s">
        <v>74</v>
      </c>
      <c r="AD1103" t="s">
        <v>74</v>
      </c>
      <c r="AE1103" t="s">
        <v>74</v>
      </c>
      <c r="AF1103" t="s">
        <v>74</v>
      </c>
      <c r="AG1103">
        <v>0</v>
      </c>
      <c r="AH1103">
        <v>0</v>
      </c>
      <c r="AI1103">
        <v>0</v>
      </c>
      <c r="AJ1103">
        <v>0</v>
      </c>
      <c r="AK1103">
        <v>0</v>
      </c>
      <c r="AL1103" t="s">
        <v>649</v>
      </c>
      <c r="AM1103" t="s">
        <v>486</v>
      </c>
      <c r="AN1103" t="s">
        <v>650</v>
      </c>
      <c r="AO1103" t="s">
        <v>651</v>
      </c>
      <c r="AP1103" t="s">
        <v>652</v>
      </c>
      <c r="AQ1103" t="s">
        <v>74</v>
      </c>
      <c r="AR1103" t="s">
        <v>653</v>
      </c>
      <c r="AS1103" t="s">
        <v>654</v>
      </c>
      <c r="AT1103" t="s">
        <v>74</v>
      </c>
      <c r="AU1103">
        <v>2013</v>
      </c>
      <c r="AV1103">
        <v>187</v>
      </c>
      <c r="AW1103" t="s">
        <v>74</v>
      </c>
      <c r="AX1103" t="s">
        <v>74</v>
      </c>
      <c r="AY1103" t="s">
        <v>74</v>
      </c>
      <c r="AZ1103" t="s">
        <v>74</v>
      </c>
      <c r="BA1103" t="s">
        <v>20927</v>
      </c>
      <c r="BB1103" t="s">
        <v>74</v>
      </c>
      <c r="BC1103" t="s">
        <v>74</v>
      </c>
      <c r="BD1103" t="s">
        <v>74</v>
      </c>
      <c r="BE1103" t="s">
        <v>74</v>
      </c>
      <c r="BF1103" t="s">
        <v>74</v>
      </c>
      <c r="BG1103" t="s">
        <v>74</v>
      </c>
      <c r="BH1103" t="s">
        <v>74</v>
      </c>
      <c r="BI1103">
        <v>1</v>
      </c>
      <c r="BJ1103" t="s">
        <v>341</v>
      </c>
      <c r="BK1103" t="s">
        <v>101</v>
      </c>
      <c r="BL1103" t="s">
        <v>342</v>
      </c>
      <c r="BM1103" t="s">
        <v>20905</v>
      </c>
      <c r="BN1103" t="s">
        <v>74</v>
      </c>
      <c r="BO1103" t="s">
        <v>74</v>
      </c>
      <c r="BP1103" t="s">
        <v>74</v>
      </c>
      <c r="BQ1103" t="s">
        <v>74</v>
      </c>
      <c r="BR1103" t="s">
        <v>104</v>
      </c>
      <c r="BS1103" t="s">
        <v>20926</v>
      </c>
      <c r="BT1103" t="str">
        <f>HYPERLINK("https%3A%2F%2Fwww.webofscience.com%2Fwos%2Fwoscc%2Ffull-record%2FWOS:000209839100720","View Full Record in Web of Science")</f>
        <v>View Full Record in Web of Science</v>
      </c>
    </row>
    <row r="1104" spans="1:72" x14ac:dyDescent="0.25">
      <c r="A1104" t="s">
        <v>72</v>
      </c>
      <c r="B1104" t="s">
        <v>20925</v>
      </c>
      <c r="C1104" t="s">
        <v>74</v>
      </c>
      <c r="D1104" t="s">
        <v>74</v>
      </c>
      <c r="E1104" t="s">
        <v>74</v>
      </c>
      <c r="F1104" t="s">
        <v>20924</v>
      </c>
      <c r="G1104" t="s">
        <v>74</v>
      </c>
      <c r="H1104" t="s">
        <v>74</v>
      </c>
      <c r="I1104" t="s">
        <v>20923</v>
      </c>
      <c r="J1104" t="s">
        <v>9316</v>
      </c>
      <c r="K1104" t="s">
        <v>74</v>
      </c>
      <c r="L1104" t="s">
        <v>74</v>
      </c>
      <c r="M1104" t="s">
        <v>78</v>
      </c>
      <c r="N1104" t="s">
        <v>79</v>
      </c>
      <c r="O1104" t="s">
        <v>74</v>
      </c>
      <c r="P1104" t="s">
        <v>74</v>
      </c>
      <c r="Q1104" t="s">
        <v>74</v>
      </c>
      <c r="R1104" t="s">
        <v>74</v>
      </c>
      <c r="S1104" t="s">
        <v>74</v>
      </c>
      <c r="T1104" t="s">
        <v>20922</v>
      </c>
      <c r="U1104" t="s">
        <v>20921</v>
      </c>
      <c r="V1104" t="s">
        <v>20920</v>
      </c>
      <c r="W1104" t="s">
        <v>20919</v>
      </c>
      <c r="X1104" t="s">
        <v>20918</v>
      </c>
      <c r="Y1104" t="s">
        <v>20917</v>
      </c>
      <c r="Z1104" t="s">
        <v>16133</v>
      </c>
      <c r="AA1104" t="s">
        <v>20916</v>
      </c>
      <c r="AB1104" t="s">
        <v>20915</v>
      </c>
      <c r="AC1104" t="s">
        <v>74</v>
      </c>
      <c r="AD1104" t="s">
        <v>74</v>
      </c>
      <c r="AE1104" t="s">
        <v>74</v>
      </c>
      <c r="AF1104" t="s">
        <v>74</v>
      </c>
      <c r="AG1104">
        <v>26</v>
      </c>
      <c r="AH1104">
        <v>13</v>
      </c>
      <c r="AI1104">
        <v>13</v>
      </c>
      <c r="AJ1104">
        <v>0</v>
      </c>
      <c r="AK1104">
        <v>2</v>
      </c>
      <c r="AL1104" t="s">
        <v>9328</v>
      </c>
      <c r="AM1104" t="s">
        <v>1114</v>
      </c>
      <c r="AN1104" t="s">
        <v>9329</v>
      </c>
      <c r="AO1104" t="s">
        <v>9330</v>
      </c>
      <c r="AP1104" t="s">
        <v>9331</v>
      </c>
      <c r="AQ1104" t="s">
        <v>74</v>
      </c>
      <c r="AR1104" t="s">
        <v>9316</v>
      </c>
      <c r="AS1104" t="s">
        <v>9332</v>
      </c>
      <c r="AT1104" t="s">
        <v>74</v>
      </c>
      <c r="AU1104">
        <v>2013</v>
      </c>
      <c r="AV1104">
        <v>85</v>
      </c>
      <c r="AW1104">
        <v>6</v>
      </c>
      <c r="AX1104" t="s">
        <v>74</v>
      </c>
      <c r="AY1104" t="s">
        <v>74</v>
      </c>
      <c r="AZ1104" t="s">
        <v>74</v>
      </c>
      <c r="BA1104" t="s">
        <v>74</v>
      </c>
      <c r="BB1104">
        <v>464</v>
      </c>
      <c r="BC1104">
        <v>470</v>
      </c>
      <c r="BD1104" t="s">
        <v>74</v>
      </c>
      <c r="BE1104" t="s">
        <v>20914</v>
      </c>
      <c r="BF1104" t="str">
        <f>HYPERLINK("http://dx.doi.org/10.1159/000339346","http://dx.doi.org/10.1159/000339346")</f>
        <v>http://dx.doi.org/10.1159/000339346</v>
      </c>
      <c r="BG1104" t="s">
        <v>74</v>
      </c>
      <c r="BH1104" t="s">
        <v>74</v>
      </c>
      <c r="BI1104">
        <v>7</v>
      </c>
      <c r="BJ1104" t="s">
        <v>228</v>
      </c>
      <c r="BK1104" t="s">
        <v>101</v>
      </c>
      <c r="BL1104" t="s">
        <v>228</v>
      </c>
      <c r="BM1104" t="s">
        <v>20913</v>
      </c>
      <c r="BN1104">
        <v>22906846</v>
      </c>
      <c r="BO1104" t="s">
        <v>1194</v>
      </c>
      <c r="BP1104" t="s">
        <v>74</v>
      </c>
      <c r="BQ1104" t="s">
        <v>74</v>
      </c>
      <c r="BR1104" t="s">
        <v>104</v>
      </c>
      <c r="BS1104" t="s">
        <v>20912</v>
      </c>
      <c r="BT1104" t="str">
        <f>HYPERLINK("https%3A%2F%2Fwww.webofscience.com%2Fwos%2Fwoscc%2Ffull-record%2FWOS:000319506200004","View Full Record in Web of Science")</f>
        <v>View Full Record in Web of Science</v>
      </c>
    </row>
    <row r="1105" spans="1:72" x14ac:dyDescent="0.25">
      <c r="A1105" t="s">
        <v>72</v>
      </c>
      <c r="B1105" t="s">
        <v>20911</v>
      </c>
      <c r="C1105" t="s">
        <v>74</v>
      </c>
      <c r="D1105" t="s">
        <v>74</v>
      </c>
      <c r="E1105" t="s">
        <v>74</v>
      </c>
      <c r="F1105" t="s">
        <v>20910</v>
      </c>
      <c r="G1105" t="s">
        <v>74</v>
      </c>
      <c r="H1105" t="s">
        <v>74</v>
      </c>
      <c r="I1105" t="s">
        <v>20909</v>
      </c>
      <c r="J1105" t="s">
        <v>637</v>
      </c>
      <c r="K1105" t="s">
        <v>74</v>
      </c>
      <c r="L1105" t="s">
        <v>74</v>
      </c>
      <c r="M1105" t="s">
        <v>78</v>
      </c>
      <c r="N1105" t="s">
        <v>52</v>
      </c>
      <c r="O1105" t="s">
        <v>74</v>
      </c>
      <c r="P1105" t="s">
        <v>74</v>
      </c>
      <c r="Q1105" t="s">
        <v>74</v>
      </c>
      <c r="R1105" t="s">
        <v>74</v>
      </c>
      <c r="S1105" t="s">
        <v>74</v>
      </c>
      <c r="T1105" t="s">
        <v>74</v>
      </c>
      <c r="U1105" t="s">
        <v>74</v>
      </c>
      <c r="V1105" t="s">
        <v>74</v>
      </c>
      <c r="W1105" t="s">
        <v>20908</v>
      </c>
      <c r="X1105" t="s">
        <v>11708</v>
      </c>
      <c r="Y1105" t="s">
        <v>74</v>
      </c>
      <c r="Z1105" t="s">
        <v>276</v>
      </c>
      <c r="AA1105" t="s">
        <v>20907</v>
      </c>
      <c r="AB1105" t="s">
        <v>5709</v>
      </c>
      <c r="AC1105" t="s">
        <v>74</v>
      </c>
      <c r="AD1105" t="s">
        <v>74</v>
      </c>
      <c r="AE1105" t="s">
        <v>74</v>
      </c>
      <c r="AF1105" t="s">
        <v>74</v>
      </c>
      <c r="AG1105">
        <v>0</v>
      </c>
      <c r="AH1105">
        <v>6</v>
      </c>
      <c r="AI1105">
        <v>6</v>
      </c>
      <c r="AJ1105">
        <v>0</v>
      </c>
      <c r="AK1105">
        <v>1</v>
      </c>
      <c r="AL1105" t="s">
        <v>649</v>
      </c>
      <c r="AM1105" t="s">
        <v>486</v>
      </c>
      <c r="AN1105" t="s">
        <v>650</v>
      </c>
      <c r="AO1105" t="s">
        <v>651</v>
      </c>
      <c r="AP1105" t="s">
        <v>652</v>
      </c>
      <c r="AQ1105" t="s">
        <v>74</v>
      </c>
      <c r="AR1105" t="s">
        <v>653</v>
      </c>
      <c r="AS1105" t="s">
        <v>654</v>
      </c>
      <c r="AT1105" t="s">
        <v>74</v>
      </c>
      <c r="AU1105">
        <v>2013</v>
      </c>
      <c r="AV1105">
        <v>187</v>
      </c>
      <c r="AW1105" t="s">
        <v>74</v>
      </c>
      <c r="AX1105" t="s">
        <v>74</v>
      </c>
      <c r="AY1105" t="s">
        <v>74</v>
      </c>
      <c r="AZ1105" t="s">
        <v>74</v>
      </c>
      <c r="BA1105" t="s">
        <v>20906</v>
      </c>
      <c r="BB1105" t="s">
        <v>74</v>
      </c>
      <c r="BC1105" t="s">
        <v>74</v>
      </c>
      <c r="BD1105" t="s">
        <v>74</v>
      </c>
      <c r="BE1105" t="s">
        <v>74</v>
      </c>
      <c r="BF1105" t="s">
        <v>74</v>
      </c>
      <c r="BG1105" t="s">
        <v>74</v>
      </c>
      <c r="BH1105" t="s">
        <v>74</v>
      </c>
      <c r="BI1105">
        <v>1</v>
      </c>
      <c r="BJ1105" t="s">
        <v>341</v>
      </c>
      <c r="BK1105" t="s">
        <v>101</v>
      </c>
      <c r="BL1105" t="s">
        <v>342</v>
      </c>
      <c r="BM1105" t="s">
        <v>20905</v>
      </c>
      <c r="BN1105" t="s">
        <v>74</v>
      </c>
      <c r="BO1105" t="s">
        <v>74</v>
      </c>
      <c r="BP1105" t="s">
        <v>74</v>
      </c>
      <c r="BQ1105" t="s">
        <v>74</v>
      </c>
      <c r="BR1105" t="s">
        <v>104</v>
      </c>
      <c r="BS1105" t="s">
        <v>20904</v>
      </c>
      <c r="BT1105" t="str">
        <f>HYPERLINK("https%3A%2F%2Fwww.webofscience.com%2Fwos%2Fwoscc%2Ffull-record%2FWOS:000209839100721","View Full Record in Web of Science")</f>
        <v>View Full Record in Web of Science</v>
      </c>
    </row>
    <row r="1106" spans="1:72" x14ac:dyDescent="0.25">
      <c r="A1106" t="s">
        <v>72</v>
      </c>
      <c r="B1106" t="s">
        <v>20903</v>
      </c>
      <c r="C1106" t="s">
        <v>74</v>
      </c>
      <c r="D1106" t="s">
        <v>74</v>
      </c>
      <c r="E1106" t="s">
        <v>74</v>
      </c>
      <c r="F1106" t="s">
        <v>20902</v>
      </c>
      <c r="G1106" t="s">
        <v>74</v>
      </c>
      <c r="H1106" t="s">
        <v>74</v>
      </c>
      <c r="I1106" t="s">
        <v>20901</v>
      </c>
      <c r="J1106" t="s">
        <v>20896</v>
      </c>
      <c r="K1106" t="s">
        <v>74</v>
      </c>
      <c r="L1106" t="s">
        <v>74</v>
      </c>
      <c r="M1106" t="s">
        <v>78</v>
      </c>
      <c r="N1106" t="s">
        <v>52</v>
      </c>
      <c r="O1106" t="s">
        <v>74</v>
      </c>
      <c r="P1106" t="s">
        <v>74</v>
      </c>
      <c r="Q1106" t="s">
        <v>74</v>
      </c>
      <c r="R1106" t="s">
        <v>74</v>
      </c>
      <c r="S1106" t="s">
        <v>74</v>
      </c>
      <c r="T1106" t="s">
        <v>74</v>
      </c>
      <c r="U1106" t="s">
        <v>74</v>
      </c>
      <c r="V1106" t="s">
        <v>74</v>
      </c>
      <c r="W1106" t="s">
        <v>20900</v>
      </c>
      <c r="X1106" t="s">
        <v>20899</v>
      </c>
      <c r="Y1106" t="s">
        <v>74</v>
      </c>
      <c r="Z1106" t="s">
        <v>74</v>
      </c>
      <c r="AA1106" t="s">
        <v>20898</v>
      </c>
      <c r="AB1106" t="s">
        <v>1263</v>
      </c>
      <c r="AC1106" t="s">
        <v>74</v>
      </c>
      <c r="AD1106" t="s">
        <v>74</v>
      </c>
      <c r="AE1106" t="s">
        <v>74</v>
      </c>
      <c r="AF1106" t="s">
        <v>74</v>
      </c>
      <c r="AG1106">
        <v>0</v>
      </c>
      <c r="AH1106">
        <v>0</v>
      </c>
      <c r="AI1106">
        <v>0</v>
      </c>
      <c r="AJ1106">
        <v>0</v>
      </c>
      <c r="AK1106">
        <v>3</v>
      </c>
      <c r="AL1106" t="s">
        <v>9328</v>
      </c>
      <c r="AM1106" t="s">
        <v>1114</v>
      </c>
      <c r="AN1106" t="s">
        <v>9329</v>
      </c>
      <c r="AO1106" t="s">
        <v>20897</v>
      </c>
      <c r="AP1106" t="s">
        <v>74</v>
      </c>
      <c r="AQ1106" t="s">
        <v>74</v>
      </c>
      <c r="AR1106" t="s">
        <v>20896</v>
      </c>
      <c r="AS1106" t="s">
        <v>20895</v>
      </c>
      <c r="AT1106" t="s">
        <v>74</v>
      </c>
      <c r="AU1106">
        <v>2013</v>
      </c>
      <c r="AV1106">
        <v>126</v>
      </c>
      <c r="AW1106" t="s">
        <v>74</v>
      </c>
      <c r="AX1106" t="s">
        <v>74</v>
      </c>
      <c r="AY1106">
        <v>1</v>
      </c>
      <c r="AZ1106" t="s">
        <v>74</v>
      </c>
      <c r="BA1106" t="s">
        <v>74</v>
      </c>
      <c r="BB1106">
        <v>8</v>
      </c>
      <c r="BC1106">
        <v>8</v>
      </c>
      <c r="BD1106" t="s">
        <v>74</v>
      </c>
      <c r="BE1106" t="s">
        <v>74</v>
      </c>
      <c r="BF1106" t="s">
        <v>74</v>
      </c>
      <c r="BG1106" t="s">
        <v>74</v>
      </c>
      <c r="BH1106" t="s">
        <v>74</v>
      </c>
      <c r="BI1106">
        <v>1</v>
      </c>
      <c r="BJ1106" t="s">
        <v>132</v>
      </c>
      <c r="BK1106" t="s">
        <v>101</v>
      </c>
      <c r="BL1106" t="s">
        <v>133</v>
      </c>
      <c r="BM1106" t="s">
        <v>20894</v>
      </c>
      <c r="BN1106" t="s">
        <v>74</v>
      </c>
      <c r="BO1106" t="s">
        <v>74</v>
      </c>
      <c r="BP1106" t="s">
        <v>74</v>
      </c>
      <c r="BQ1106" t="s">
        <v>74</v>
      </c>
      <c r="BR1106" t="s">
        <v>104</v>
      </c>
      <c r="BS1106" t="s">
        <v>20893</v>
      </c>
      <c r="BT1106" t="str">
        <f>HYPERLINK("https%3A%2F%2Fwww.webofscience.com%2Fwos%2Fwoscc%2Ffull-record%2FWOS:000325412900022","View Full Record in Web of Science")</f>
        <v>View Full Record in Web of Science</v>
      </c>
    </row>
    <row r="1107" spans="1:72" x14ac:dyDescent="0.25">
      <c r="A1107" t="s">
        <v>72</v>
      </c>
      <c r="B1107" t="s">
        <v>20892</v>
      </c>
      <c r="C1107" t="s">
        <v>74</v>
      </c>
      <c r="D1107" t="s">
        <v>74</v>
      </c>
      <c r="E1107" t="s">
        <v>74</v>
      </c>
      <c r="F1107" t="s">
        <v>20891</v>
      </c>
      <c r="G1107" t="s">
        <v>74</v>
      </c>
      <c r="H1107" t="s">
        <v>74</v>
      </c>
      <c r="I1107" t="s">
        <v>20890</v>
      </c>
      <c r="J1107" t="s">
        <v>324</v>
      </c>
      <c r="K1107" t="s">
        <v>74</v>
      </c>
      <c r="L1107" t="s">
        <v>74</v>
      </c>
      <c r="M1107" t="s">
        <v>78</v>
      </c>
      <c r="N1107" t="s">
        <v>79</v>
      </c>
      <c r="O1107" t="s">
        <v>74</v>
      </c>
      <c r="P1107" t="s">
        <v>74</v>
      </c>
      <c r="Q1107" t="s">
        <v>74</v>
      </c>
      <c r="R1107" t="s">
        <v>74</v>
      </c>
      <c r="S1107" t="s">
        <v>74</v>
      </c>
      <c r="T1107" t="s">
        <v>74</v>
      </c>
      <c r="U1107" t="s">
        <v>20889</v>
      </c>
      <c r="V1107" t="s">
        <v>20888</v>
      </c>
      <c r="W1107" t="s">
        <v>20887</v>
      </c>
      <c r="X1107" t="s">
        <v>20886</v>
      </c>
      <c r="Y1107" t="s">
        <v>20885</v>
      </c>
      <c r="Z1107" t="s">
        <v>3864</v>
      </c>
      <c r="AA1107" t="s">
        <v>144</v>
      </c>
      <c r="AB1107" t="s">
        <v>257</v>
      </c>
      <c r="AC1107" t="s">
        <v>74</v>
      </c>
      <c r="AD1107" t="s">
        <v>74</v>
      </c>
      <c r="AE1107" t="s">
        <v>74</v>
      </c>
      <c r="AF1107" t="s">
        <v>74</v>
      </c>
      <c r="AG1107">
        <v>15</v>
      </c>
      <c r="AH1107">
        <v>17</v>
      </c>
      <c r="AI1107">
        <v>18</v>
      </c>
      <c r="AJ1107">
        <v>0</v>
      </c>
      <c r="AK1107">
        <v>6</v>
      </c>
      <c r="AL1107" t="s">
        <v>11161</v>
      </c>
      <c r="AM1107" t="s">
        <v>14574</v>
      </c>
      <c r="AN1107" t="s">
        <v>14573</v>
      </c>
      <c r="AO1107" t="s">
        <v>337</v>
      </c>
      <c r="AP1107" t="s">
        <v>74</v>
      </c>
      <c r="AQ1107" t="s">
        <v>74</v>
      </c>
      <c r="AR1107" t="s">
        <v>324</v>
      </c>
      <c r="AS1107" t="s">
        <v>339</v>
      </c>
      <c r="AT1107" t="s">
        <v>226</v>
      </c>
      <c r="AU1107">
        <v>2012</v>
      </c>
      <c r="AV1107">
        <v>142</v>
      </c>
      <c r="AW1107">
        <v>6</v>
      </c>
      <c r="AX1107" t="s">
        <v>74</v>
      </c>
      <c r="AY1107" t="s">
        <v>74</v>
      </c>
      <c r="AZ1107" t="s">
        <v>74</v>
      </c>
      <c r="BA1107" t="s">
        <v>74</v>
      </c>
      <c r="BB1107">
        <v>1654</v>
      </c>
      <c r="BC1107">
        <v>1658</v>
      </c>
      <c r="BD1107" t="s">
        <v>74</v>
      </c>
      <c r="BE1107" t="s">
        <v>20884</v>
      </c>
      <c r="BF1107" t="str">
        <f>HYPERLINK("http://dx.doi.org/10.1378/chest.11-2816","http://dx.doi.org/10.1378/chest.11-2816")</f>
        <v>http://dx.doi.org/10.1378/chest.11-2816</v>
      </c>
      <c r="BG1107" t="s">
        <v>74</v>
      </c>
      <c r="BH1107" t="s">
        <v>74</v>
      </c>
      <c r="BI1107">
        <v>5</v>
      </c>
      <c r="BJ1107" t="s">
        <v>341</v>
      </c>
      <c r="BK1107" t="s">
        <v>101</v>
      </c>
      <c r="BL1107" t="s">
        <v>342</v>
      </c>
      <c r="BM1107" t="s">
        <v>20883</v>
      </c>
      <c r="BN1107">
        <v>23208339</v>
      </c>
      <c r="BO1107" t="s">
        <v>74</v>
      </c>
      <c r="BP1107" t="s">
        <v>74</v>
      </c>
      <c r="BQ1107" t="s">
        <v>74</v>
      </c>
      <c r="BR1107" t="s">
        <v>104</v>
      </c>
      <c r="BS1107" t="s">
        <v>20882</v>
      </c>
      <c r="BT1107" t="str">
        <f>HYPERLINK("https%3A%2F%2Fwww.webofscience.com%2Fwos%2Fwoscc%2Ffull-record%2FWOS:000312283800045","View Full Record in Web of Science")</f>
        <v>View Full Record in Web of Science</v>
      </c>
    </row>
    <row r="1108" spans="1:72" x14ac:dyDescent="0.25">
      <c r="A1108" t="s">
        <v>72</v>
      </c>
      <c r="B1108" t="s">
        <v>20881</v>
      </c>
      <c r="C1108" t="s">
        <v>74</v>
      </c>
      <c r="D1108" t="s">
        <v>74</v>
      </c>
      <c r="E1108" t="s">
        <v>74</v>
      </c>
      <c r="F1108" t="s">
        <v>20880</v>
      </c>
      <c r="G1108" t="s">
        <v>74</v>
      </c>
      <c r="H1108" t="s">
        <v>74</v>
      </c>
      <c r="I1108" t="s">
        <v>20879</v>
      </c>
      <c r="J1108" t="s">
        <v>13097</v>
      </c>
      <c r="K1108" t="s">
        <v>74</v>
      </c>
      <c r="L1108" t="s">
        <v>74</v>
      </c>
      <c r="M1108" t="s">
        <v>78</v>
      </c>
      <c r="N1108" t="s">
        <v>79</v>
      </c>
      <c r="O1108" t="s">
        <v>74</v>
      </c>
      <c r="P1108" t="s">
        <v>74</v>
      </c>
      <c r="Q1108" t="s">
        <v>74</v>
      </c>
      <c r="R1108" t="s">
        <v>74</v>
      </c>
      <c r="S1108" t="s">
        <v>74</v>
      </c>
      <c r="T1108" t="s">
        <v>20878</v>
      </c>
      <c r="U1108" t="s">
        <v>20877</v>
      </c>
      <c r="V1108" t="s">
        <v>20876</v>
      </c>
      <c r="W1108" t="s">
        <v>20875</v>
      </c>
      <c r="X1108" t="s">
        <v>20874</v>
      </c>
      <c r="Y1108" t="s">
        <v>20873</v>
      </c>
      <c r="Z1108" t="s">
        <v>20872</v>
      </c>
      <c r="AA1108" t="s">
        <v>20871</v>
      </c>
      <c r="AB1108" t="s">
        <v>20870</v>
      </c>
      <c r="AC1108" t="s">
        <v>20869</v>
      </c>
      <c r="AD1108" t="s">
        <v>20868</v>
      </c>
      <c r="AE1108" t="s">
        <v>20867</v>
      </c>
      <c r="AF1108" t="s">
        <v>74</v>
      </c>
      <c r="AG1108">
        <v>32</v>
      </c>
      <c r="AH1108">
        <v>11</v>
      </c>
      <c r="AI1108">
        <v>15</v>
      </c>
      <c r="AJ1108">
        <v>0</v>
      </c>
      <c r="AK1108">
        <v>8</v>
      </c>
      <c r="AL1108" t="s">
        <v>4990</v>
      </c>
      <c r="AM1108" t="s">
        <v>4991</v>
      </c>
      <c r="AN1108" t="s">
        <v>4992</v>
      </c>
      <c r="AO1108" t="s">
        <v>13109</v>
      </c>
      <c r="AP1108" t="s">
        <v>13110</v>
      </c>
      <c r="AQ1108" t="s">
        <v>74</v>
      </c>
      <c r="AR1108" t="s">
        <v>13111</v>
      </c>
      <c r="AS1108" t="s">
        <v>13112</v>
      </c>
      <c r="AT1108" t="s">
        <v>226</v>
      </c>
      <c r="AU1108">
        <v>2012</v>
      </c>
      <c r="AV1108">
        <v>108</v>
      </c>
      <c r="AW1108">
        <v>6</v>
      </c>
      <c r="AX1108" t="s">
        <v>74</v>
      </c>
      <c r="AY1108" t="s">
        <v>74</v>
      </c>
      <c r="AZ1108" t="s">
        <v>74</v>
      </c>
      <c r="BA1108" t="s">
        <v>74</v>
      </c>
      <c r="BB1108">
        <v>1049</v>
      </c>
      <c r="BC1108">
        <v>1060</v>
      </c>
      <c r="BD1108" t="s">
        <v>74</v>
      </c>
      <c r="BE1108" t="s">
        <v>20866</v>
      </c>
      <c r="BF1108" t="str">
        <f>HYPERLINK("http://dx.doi.org/10.1160/TH11-11-0821","http://dx.doi.org/10.1160/TH11-11-0821")</f>
        <v>http://dx.doi.org/10.1160/TH11-11-0821</v>
      </c>
      <c r="BG1108" t="s">
        <v>74</v>
      </c>
      <c r="BH1108" t="s">
        <v>74</v>
      </c>
      <c r="BI1108">
        <v>12</v>
      </c>
      <c r="BJ1108" t="s">
        <v>6635</v>
      </c>
      <c r="BK1108" t="s">
        <v>101</v>
      </c>
      <c r="BL1108" t="s">
        <v>6636</v>
      </c>
      <c r="BM1108" t="s">
        <v>20865</v>
      </c>
      <c r="BN1108">
        <v>22955290</v>
      </c>
      <c r="BO1108" t="s">
        <v>74</v>
      </c>
      <c r="BP1108" t="s">
        <v>74</v>
      </c>
      <c r="BQ1108" t="s">
        <v>74</v>
      </c>
      <c r="BR1108" t="s">
        <v>104</v>
      </c>
      <c r="BS1108" t="s">
        <v>20864</v>
      </c>
      <c r="BT1108" t="str">
        <f>HYPERLINK("https%3A%2F%2Fwww.webofscience.com%2Fwos%2Fwoscc%2Ffull-record%2FWOS:000312431700009","View Full Record in Web of Science")</f>
        <v>View Full Record in Web of Science</v>
      </c>
    </row>
    <row r="1109" spans="1:72" x14ac:dyDescent="0.25">
      <c r="A1109" t="s">
        <v>72</v>
      </c>
      <c r="B1109" t="s">
        <v>20863</v>
      </c>
      <c r="C1109" t="s">
        <v>74</v>
      </c>
      <c r="D1109" t="s">
        <v>74</v>
      </c>
      <c r="E1109" t="s">
        <v>74</v>
      </c>
      <c r="F1109" t="s">
        <v>20862</v>
      </c>
      <c r="G1109" t="s">
        <v>74</v>
      </c>
      <c r="H1109" t="s">
        <v>20861</v>
      </c>
      <c r="I1109" t="s">
        <v>20860</v>
      </c>
      <c r="J1109" t="s">
        <v>4427</v>
      </c>
      <c r="K1109" t="s">
        <v>74</v>
      </c>
      <c r="L1109" t="s">
        <v>74</v>
      </c>
      <c r="M1109" t="s">
        <v>78</v>
      </c>
      <c r="N1109" t="s">
        <v>79</v>
      </c>
      <c r="O1109" t="s">
        <v>74</v>
      </c>
      <c r="P1109" t="s">
        <v>74</v>
      </c>
      <c r="Q1109" t="s">
        <v>74</v>
      </c>
      <c r="R1109" t="s">
        <v>74</v>
      </c>
      <c r="S1109" t="s">
        <v>74</v>
      </c>
      <c r="T1109" t="s">
        <v>20859</v>
      </c>
      <c r="U1109" t="s">
        <v>20858</v>
      </c>
      <c r="V1109" t="s">
        <v>20857</v>
      </c>
      <c r="W1109" t="s">
        <v>20856</v>
      </c>
      <c r="X1109" t="s">
        <v>20855</v>
      </c>
      <c r="Y1109" t="s">
        <v>20854</v>
      </c>
      <c r="Z1109" t="s">
        <v>17756</v>
      </c>
      <c r="AA1109" t="s">
        <v>20853</v>
      </c>
      <c r="AB1109" t="s">
        <v>20852</v>
      </c>
      <c r="AC1109" t="s">
        <v>20851</v>
      </c>
      <c r="AD1109" t="s">
        <v>20850</v>
      </c>
      <c r="AE1109" t="s">
        <v>20849</v>
      </c>
      <c r="AF1109" t="s">
        <v>74</v>
      </c>
      <c r="AG1109">
        <v>105</v>
      </c>
      <c r="AH1109">
        <v>455</v>
      </c>
      <c r="AI1109">
        <v>515</v>
      </c>
      <c r="AJ1109">
        <v>4</v>
      </c>
      <c r="AK1109">
        <v>357</v>
      </c>
      <c r="AL1109" t="s">
        <v>485</v>
      </c>
      <c r="AM1109" t="s">
        <v>486</v>
      </c>
      <c r="AN1109" t="s">
        <v>487</v>
      </c>
      <c r="AO1109" t="s">
        <v>4433</v>
      </c>
      <c r="AP1109" t="s">
        <v>4434</v>
      </c>
      <c r="AQ1109" t="s">
        <v>74</v>
      </c>
      <c r="AR1109" t="s">
        <v>4435</v>
      </c>
      <c r="AS1109" t="s">
        <v>4436</v>
      </c>
      <c r="AT1109" t="s">
        <v>315</v>
      </c>
      <c r="AU1109">
        <v>2012</v>
      </c>
      <c r="AV1109">
        <v>130</v>
      </c>
      <c r="AW1109">
        <v>5</v>
      </c>
      <c r="AX1109" t="s">
        <v>74</v>
      </c>
      <c r="AY1109" t="s">
        <v>74</v>
      </c>
      <c r="AZ1109" t="s">
        <v>74</v>
      </c>
      <c r="BA1109" t="s">
        <v>74</v>
      </c>
      <c r="BB1109">
        <v>1049</v>
      </c>
      <c r="BC1109">
        <v>1062</v>
      </c>
      <c r="BD1109" t="s">
        <v>74</v>
      </c>
      <c r="BE1109" t="s">
        <v>20848</v>
      </c>
      <c r="BF1109" t="str">
        <f>HYPERLINK("http://dx.doi.org/10.1016/j.jaci.2012.07.053","http://dx.doi.org/10.1016/j.jaci.2012.07.053")</f>
        <v>http://dx.doi.org/10.1016/j.jaci.2012.07.053</v>
      </c>
      <c r="BG1109" t="s">
        <v>74</v>
      </c>
      <c r="BH1109" t="s">
        <v>74</v>
      </c>
      <c r="BI1109">
        <v>14</v>
      </c>
      <c r="BJ1109" t="s">
        <v>3085</v>
      </c>
      <c r="BK1109" t="s">
        <v>101</v>
      </c>
      <c r="BL1109" t="s">
        <v>3085</v>
      </c>
      <c r="BM1109" t="s">
        <v>20847</v>
      </c>
      <c r="BN1109">
        <v>23040884</v>
      </c>
      <c r="BO1109" t="s">
        <v>18388</v>
      </c>
      <c r="BP1109" t="s">
        <v>74</v>
      </c>
      <c r="BQ1109" t="s">
        <v>74</v>
      </c>
      <c r="BR1109" t="s">
        <v>104</v>
      </c>
      <c r="BS1109" t="s">
        <v>20846</v>
      </c>
      <c r="BT1109" t="str">
        <f>HYPERLINK("https%3A%2F%2Fwww.webofscience.com%2Fwos%2Fwoscc%2Ffull-record%2FWOS:000310571400003","View Full Record in Web of Science")</f>
        <v>View Full Record in Web of Science</v>
      </c>
    </row>
    <row r="1110" spans="1:72" x14ac:dyDescent="0.25">
      <c r="A1110" t="s">
        <v>72</v>
      </c>
      <c r="B1110" t="s">
        <v>20845</v>
      </c>
      <c r="C1110" t="s">
        <v>74</v>
      </c>
      <c r="D1110" t="s">
        <v>74</v>
      </c>
      <c r="E1110" t="s">
        <v>74</v>
      </c>
      <c r="F1110" t="s">
        <v>20844</v>
      </c>
      <c r="G1110" t="s">
        <v>74</v>
      </c>
      <c r="H1110" t="s">
        <v>74</v>
      </c>
      <c r="I1110" t="s">
        <v>20843</v>
      </c>
      <c r="J1110" t="s">
        <v>2580</v>
      </c>
      <c r="K1110" t="s">
        <v>74</v>
      </c>
      <c r="L1110" t="s">
        <v>74</v>
      </c>
      <c r="M1110" t="s">
        <v>78</v>
      </c>
      <c r="N1110" t="s">
        <v>79</v>
      </c>
      <c r="O1110" t="s">
        <v>74</v>
      </c>
      <c r="P1110" t="s">
        <v>74</v>
      </c>
      <c r="Q1110" t="s">
        <v>74</v>
      </c>
      <c r="R1110" t="s">
        <v>74</v>
      </c>
      <c r="S1110" t="s">
        <v>74</v>
      </c>
      <c r="T1110" t="s">
        <v>74</v>
      </c>
      <c r="U1110" t="s">
        <v>20842</v>
      </c>
      <c r="V1110" t="s">
        <v>20841</v>
      </c>
      <c r="W1110" t="s">
        <v>20840</v>
      </c>
      <c r="X1110" t="s">
        <v>20839</v>
      </c>
      <c r="Y1110" t="s">
        <v>20838</v>
      </c>
      <c r="Z1110" t="s">
        <v>9323</v>
      </c>
      <c r="AA1110" t="s">
        <v>20837</v>
      </c>
      <c r="AB1110" t="s">
        <v>20836</v>
      </c>
      <c r="AC1110" t="s">
        <v>20835</v>
      </c>
      <c r="AD1110" t="s">
        <v>20834</v>
      </c>
      <c r="AE1110" t="s">
        <v>20833</v>
      </c>
      <c r="AF1110" t="s">
        <v>74</v>
      </c>
      <c r="AG1110">
        <v>16</v>
      </c>
      <c r="AH1110">
        <v>18</v>
      </c>
      <c r="AI1110">
        <v>19</v>
      </c>
      <c r="AJ1110">
        <v>0</v>
      </c>
      <c r="AK1110">
        <v>11</v>
      </c>
      <c r="AL1110" t="s">
        <v>2590</v>
      </c>
      <c r="AM1110" t="s">
        <v>201</v>
      </c>
      <c r="AN1110" t="s">
        <v>2591</v>
      </c>
      <c r="AO1110" t="s">
        <v>2592</v>
      </c>
      <c r="AP1110" t="s">
        <v>74</v>
      </c>
      <c r="AQ1110" t="s">
        <v>74</v>
      </c>
      <c r="AR1110" t="s">
        <v>2594</v>
      </c>
      <c r="AS1110" t="s">
        <v>2595</v>
      </c>
      <c r="AT1110" t="s">
        <v>315</v>
      </c>
      <c r="AU1110">
        <v>2012</v>
      </c>
      <c r="AV1110">
        <v>71</v>
      </c>
      <c r="AW1110">
        <v>11</v>
      </c>
      <c r="AX1110" t="s">
        <v>74</v>
      </c>
      <c r="AY1110" t="s">
        <v>74</v>
      </c>
      <c r="AZ1110" t="s">
        <v>74</v>
      </c>
      <c r="BA1110" t="s">
        <v>74</v>
      </c>
      <c r="BB1110">
        <v>1900</v>
      </c>
      <c r="BC1110">
        <v>1903</v>
      </c>
      <c r="BD1110" t="s">
        <v>74</v>
      </c>
      <c r="BE1110" t="s">
        <v>20832</v>
      </c>
      <c r="BF1110" t="str">
        <f>HYPERLINK("http://dx.doi.org/10.1136/annrheumdis-2012-201755","http://dx.doi.org/10.1136/annrheumdis-2012-201755")</f>
        <v>http://dx.doi.org/10.1136/annrheumdis-2012-201755</v>
      </c>
      <c r="BG1110" t="s">
        <v>74</v>
      </c>
      <c r="BH1110" t="s">
        <v>74</v>
      </c>
      <c r="BI1110">
        <v>4</v>
      </c>
      <c r="BJ1110" t="s">
        <v>2369</v>
      </c>
      <c r="BK1110" t="s">
        <v>101</v>
      </c>
      <c r="BL1110" t="s">
        <v>2369</v>
      </c>
      <c r="BM1110" t="s">
        <v>20831</v>
      </c>
      <c r="BN1110">
        <v>22896741</v>
      </c>
      <c r="BO1110" t="s">
        <v>3262</v>
      </c>
      <c r="BP1110" t="s">
        <v>74</v>
      </c>
      <c r="BQ1110" t="s">
        <v>74</v>
      </c>
      <c r="BR1110" t="s">
        <v>104</v>
      </c>
      <c r="BS1110" t="s">
        <v>20830</v>
      </c>
      <c r="BT1110" t="str">
        <f>HYPERLINK("https%3A%2F%2Fwww.webofscience.com%2Fwos%2Fwoscc%2Ffull-record%2FWOS:000309654900024","View Full Record in Web of Science")</f>
        <v>View Full Record in Web of Science</v>
      </c>
    </row>
    <row r="1111" spans="1:72" x14ac:dyDescent="0.25">
      <c r="A1111" t="s">
        <v>72</v>
      </c>
      <c r="B1111" t="s">
        <v>20829</v>
      </c>
      <c r="C1111" t="s">
        <v>74</v>
      </c>
      <c r="D1111" t="s">
        <v>74</v>
      </c>
      <c r="E1111" t="s">
        <v>74</v>
      </c>
      <c r="F1111" t="s">
        <v>20828</v>
      </c>
      <c r="G1111" t="s">
        <v>74</v>
      </c>
      <c r="H1111" t="s">
        <v>74</v>
      </c>
      <c r="I1111" t="s">
        <v>20827</v>
      </c>
      <c r="J1111" t="s">
        <v>324</v>
      </c>
      <c r="K1111" t="s">
        <v>74</v>
      </c>
      <c r="L1111" t="s">
        <v>74</v>
      </c>
      <c r="M1111" t="s">
        <v>78</v>
      </c>
      <c r="N1111" t="s">
        <v>79</v>
      </c>
      <c r="O1111" t="s">
        <v>74</v>
      </c>
      <c r="P1111" t="s">
        <v>74</v>
      </c>
      <c r="Q1111" t="s">
        <v>74</v>
      </c>
      <c r="R1111" t="s">
        <v>74</v>
      </c>
      <c r="S1111" t="s">
        <v>74</v>
      </c>
      <c r="T1111" t="s">
        <v>74</v>
      </c>
      <c r="U1111" t="s">
        <v>20826</v>
      </c>
      <c r="V1111" t="s">
        <v>20825</v>
      </c>
      <c r="W1111" t="s">
        <v>20824</v>
      </c>
      <c r="X1111" t="s">
        <v>20823</v>
      </c>
      <c r="Y1111" t="s">
        <v>20822</v>
      </c>
      <c r="Z1111" t="s">
        <v>19998</v>
      </c>
      <c r="AA1111" t="s">
        <v>20821</v>
      </c>
      <c r="AB1111" t="s">
        <v>20820</v>
      </c>
      <c r="AC1111" t="s">
        <v>20819</v>
      </c>
      <c r="AD1111" t="s">
        <v>20819</v>
      </c>
      <c r="AE1111" t="s">
        <v>20818</v>
      </c>
      <c r="AF1111" t="s">
        <v>74</v>
      </c>
      <c r="AG1111">
        <v>31</v>
      </c>
      <c r="AH1111">
        <v>80</v>
      </c>
      <c r="AI1111">
        <v>80</v>
      </c>
      <c r="AJ1111">
        <v>1</v>
      </c>
      <c r="AK1111">
        <v>7</v>
      </c>
      <c r="AL1111" t="s">
        <v>92</v>
      </c>
      <c r="AM1111" t="s">
        <v>93</v>
      </c>
      <c r="AN1111" t="s">
        <v>94</v>
      </c>
      <c r="AO1111" t="s">
        <v>337</v>
      </c>
      <c r="AP1111" t="s">
        <v>338</v>
      </c>
      <c r="AQ1111" t="s">
        <v>74</v>
      </c>
      <c r="AR1111" t="s">
        <v>324</v>
      </c>
      <c r="AS1111" t="s">
        <v>339</v>
      </c>
      <c r="AT1111" t="s">
        <v>315</v>
      </c>
      <c r="AU1111">
        <v>2012</v>
      </c>
      <c r="AV1111">
        <v>142</v>
      </c>
      <c r="AW1111">
        <v>5</v>
      </c>
      <c r="AX1111" t="s">
        <v>74</v>
      </c>
      <c r="AY1111" t="s">
        <v>74</v>
      </c>
      <c r="AZ1111" t="s">
        <v>74</v>
      </c>
      <c r="BA1111" t="s">
        <v>74</v>
      </c>
      <c r="BB1111">
        <v>1150</v>
      </c>
      <c r="BC1111">
        <v>1157</v>
      </c>
      <c r="BD1111" t="s">
        <v>74</v>
      </c>
      <c r="BE1111" t="s">
        <v>20817</v>
      </c>
      <c r="BF1111" t="str">
        <f>HYPERLINK("http://dx.doi.org/10.1378/chest.11-2490","http://dx.doi.org/10.1378/chest.11-2490")</f>
        <v>http://dx.doi.org/10.1378/chest.11-2490</v>
      </c>
      <c r="BG1111" t="s">
        <v>74</v>
      </c>
      <c r="BH1111" t="s">
        <v>74</v>
      </c>
      <c r="BI1111">
        <v>8</v>
      </c>
      <c r="BJ1111" t="s">
        <v>341</v>
      </c>
      <c r="BK1111" t="s">
        <v>101</v>
      </c>
      <c r="BL1111" t="s">
        <v>342</v>
      </c>
      <c r="BM1111" t="s">
        <v>20816</v>
      </c>
      <c r="BN1111">
        <v>22459770</v>
      </c>
      <c r="BO1111" t="s">
        <v>74</v>
      </c>
      <c r="BP1111" t="s">
        <v>74</v>
      </c>
      <c r="BQ1111" t="s">
        <v>74</v>
      </c>
      <c r="BR1111" t="s">
        <v>104</v>
      </c>
      <c r="BS1111" t="s">
        <v>20815</v>
      </c>
      <c r="BT1111" t="str">
        <f>HYPERLINK("https%3A%2F%2Fwww.webofscience.com%2Fwos%2Fwoscc%2Ffull-record%2FWOS:000311010100016","View Full Record in Web of Science")</f>
        <v>View Full Record in Web of Science</v>
      </c>
    </row>
    <row r="1112" spans="1:72" x14ac:dyDescent="0.25">
      <c r="A1112" t="s">
        <v>72</v>
      </c>
      <c r="B1112" t="s">
        <v>20814</v>
      </c>
      <c r="C1112" t="s">
        <v>74</v>
      </c>
      <c r="D1112" t="s">
        <v>74</v>
      </c>
      <c r="E1112" t="s">
        <v>74</v>
      </c>
      <c r="F1112" t="s">
        <v>20813</v>
      </c>
      <c r="G1112" t="s">
        <v>74</v>
      </c>
      <c r="H1112" t="s">
        <v>74</v>
      </c>
      <c r="I1112" t="s">
        <v>20812</v>
      </c>
      <c r="J1112" t="s">
        <v>216</v>
      </c>
      <c r="K1112" t="s">
        <v>74</v>
      </c>
      <c r="L1112" t="s">
        <v>74</v>
      </c>
      <c r="M1112" t="s">
        <v>78</v>
      </c>
      <c r="N1112" t="s">
        <v>79</v>
      </c>
      <c r="O1112" t="s">
        <v>74</v>
      </c>
      <c r="P1112" t="s">
        <v>74</v>
      </c>
      <c r="Q1112" t="s">
        <v>74</v>
      </c>
      <c r="R1112" t="s">
        <v>74</v>
      </c>
      <c r="S1112" t="s">
        <v>74</v>
      </c>
      <c r="T1112" t="s">
        <v>20811</v>
      </c>
      <c r="U1112" t="s">
        <v>20810</v>
      </c>
      <c r="V1112" t="s">
        <v>20809</v>
      </c>
      <c r="W1112" t="s">
        <v>20808</v>
      </c>
      <c r="X1112" t="s">
        <v>20807</v>
      </c>
      <c r="Y1112" t="s">
        <v>20806</v>
      </c>
      <c r="Z1112" t="s">
        <v>74</v>
      </c>
      <c r="AA1112" t="s">
        <v>20805</v>
      </c>
      <c r="AB1112" t="s">
        <v>20804</v>
      </c>
      <c r="AC1112" t="s">
        <v>74</v>
      </c>
      <c r="AD1112" t="s">
        <v>74</v>
      </c>
      <c r="AE1112" t="s">
        <v>74</v>
      </c>
      <c r="AF1112" t="s">
        <v>74</v>
      </c>
      <c r="AG1112">
        <v>34</v>
      </c>
      <c r="AH1112">
        <v>60</v>
      </c>
      <c r="AI1112">
        <v>63</v>
      </c>
      <c r="AJ1112">
        <v>0</v>
      </c>
      <c r="AK1112">
        <v>11</v>
      </c>
      <c r="AL1112" t="s">
        <v>219</v>
      </c>
      <c r="AM1112" t="s">
        <v>220</v>
      </c>
      <c r="AN1112" t="s">
        <v>221</v>
      </c>
      <c r="AO1112" t="s">
        <v>222</v>
      </c>
      <c r="AP1112" t="s">
        <v>223</v>
      </c>
      <c r="AQ1112" t="s">
        <v>74</v>
      </c>
      <c r="AR1112" t="s">
        <v>224</v>
      </c>
      <c r="AS1112" t="s">
        <v>225</v>
      </c>
      <c r="AT1112" t="s">
        <v>315</v>
      </c>
      <c r="AU1112">
        <v>2012</v>
      </c>
      <c r="AV1112">
        <v>40</v>
      </c>
      <c r="AW1112">
        <v>5</v>
      </c>
      <c r="AX1112" t="s">
        <v>74</v>
      </c>
      <c r="AY1112" t="s">
        <v>74</v>
      </c>
      <c r="AZ1112" t="s">
        <v>74</v>
      </c>
      <c r="BA1112" t="s">
        <v>74</v>
      </c>
      <c r="BB1112">
        <v>1164</v>
      </c>
      <c r="BC1112">
        <v>1172</v>
      </c>
      <c r="BD1112" t="s">
        <v>74</v>
      </c>
      <c r="BE1112" t="s">
        <v>20803</v>
      </c>
      <c r="BF1112" t="str">
        <f>HYPERLINK("http://dx.doi.org/10.1183/09031936.00188611","http://dx.doi.org/10.1183/09031936.00188611")</f>
        <v>http://dx.doi.org/10.1183/09031936.00188611</v>
      </c>
      <c r="BG1112" t="s">
        <v>74</v>
      </c>
      <c r="BH1112" t="s">
        <v>74</v>
      </c>
      <c r="BI1112">
        <v>9</v>
      </c>
      <c r="BJ1112" t="s">
        <v>228</v>
      </c>
      <c r="BK1112" t="s">
        <v>101</v>
      </c>
      <c r="BL1112" t="s">
        <v>228</v>
      </c>
      <c r="BM1112" t="s">
        <v>20802</v>
      </c>
      <c r="BN1112">
        <v>22523367</v>
      </c>
      <c r="BO1112" t="s">
        <v>1194</v>
      </c>
      <c r="BP1112" t="s">
        <v>74</v>
      </c>
      <c r="BQ1112" t="s">
        <v>74</v>
      </c>
      <c r="BR1112" t="s">
        <v>104</v>
      </c>
      <c r="BS1112" t="s">
        <v>20801</v>
      </c>
      <c r="BT1112" t="str">
        <f>HYPERLINK("https%3A%2F%2Fwww.webofscience.com%2Fwos%2Fwoscc%2Ffull-record%2FWOS:000311461900018","View Full Record in Web of Science")</f>
        <v>View Full Record in Web of Science</v>
      </c>
    </row>
    <row r="1113" spans="1:72" x14ac:dyDescent="0.25">
      <c r="A1113" t="s">
        <v>72</v>
      </c>
      <c r="B1113" t="s">
        <v>20800</v>
      </c>
      <c r="C1113" t="s">
        <v>74</v>
      </c>
      <c r="D1113" t="s">
        <v>74</v>
      </c>
      <c r="E1113" t="s">
        <v>74</v>
      </c>
      <c r="F1113" t="s">
        <v>20799</v>
      </c>
      <c r="G1113" t="s">
        <v>74</v>
      </c>
      <c r="H1113" t="s">
        <v>74</v>
      </c>
      <c r="I1113" t="s">
        <v>20798</v>
      </c>
      <c r="J1113" t="s">
        <v>637</v>
      </c>
      <c r="K1113" t="s">
        <v>74</v>
      </c>
      <c r="L1113" t="s">
        <v>74</v>
      </c>
      <c r="M1113" t="s">
        <v>78</v>
      </c>
      <c r="N1113" t="s">
        <v>79</v>
      </c>
      <c r="O1113" t="s">
        <v>74</v>
      </c>
      <c r="P1113" t="s">
        <v>74</v>
      </c>
      <c r="Q1113" t="s">
        <v>74</v>
      </c>
      <c r="R1113" t="s">
        <v>74</v>
      </c>
      <c r="S1113" t="s">
        <v>74</v>
      </c>
      <c r="T1113" t="s">
        <v>20797</v>
      </c>
      <c r="U1113" t="s">
        <v>20796</v>
      </c>
      <c r="V1113" t="s">
        <v>20795</v>
      </c>
      <c r="W1113" t="s">
        <v>20794</v>
      </c>
      <c r="X1113" t="s">
        <v>20793</v>
      </c>
      <c r="Y1113" t="s">
        <v>20792</v>
      </c>
      <c r="Z1113" t="s">
        <v>11254</v>
      </c>
      <c r="AA1113" t="s">
        <v>20791</v>
      </c>
      <c r="AB1113" t="s">
        <v>20790</v>
      </c>
      <c r="AC1113" t="s">
        <v>20789</v>
      </c>
      <c r="AD1113" t="s">
        <v>20788</v>
      </c>
      <c r="AE1113" t="s">
        <v>20787</v>
      </c>
      <c r="AF1113" t="s">
        <v>74</v>
      </c>
      <c r="AG1113">
        <v>38</v>
      </c>
      <c r="AH1113">
        <v>267</v>
      </c>
      <c r="AI1113">
        <v>274</v>
      </c>
      <c r="AJ1113">
        <v>0</v>
      </c>
      <c r="AK1113">
        <v>17</v>
      </c>
      <c r="AL1113" t="s">
        <v>649</v>
      </c>
      <c r="AM1113" t="s">
        <v>486</v>
      </c>
      <c r="AN1113" t="s">
        <v>650</v>
      </c>
      <c r="AO1113" t="s">
        <v>651</v>
      </c>
      <c r="AP1113" t="s">
        <v>652</v>
      </c>
      <c r="AQ1113" t="s">
        <v>74</v>
      </c>
      <c r="AR1113" t="s">
        <v>653</v>
      </c>
      <c r="AS1113" t="s">
        <v>654</v>
      </c>
      <c r="AT1113" t="s">
        <v>8218</v>
      </c>
      <c r="AU1113">
        <v>2012</v>
      </c>
      <c r="AV1113">
        <v>186</v>
      </c>
      <c r="AW1113">
        <v>8</v>
      </c>
      <c r="AX1113" t="s">
        <v>74</v>
      </c>
      <c r="AY1113" t="s">
        <v>74</v>
      </c>
      <c r="AZ1113" t="s">
        <v>74</v>
      </c>
      <c r="BA1113" t="s">
        <v>74</v>
      </c>
      <c r="BB1113">
        <v>780</v>
      </c>
      <c r="BC1113">
        <v>789</v>
      </c>
      <c r="BD1113" t="s">
        <v>74</v>
      </c>
      <c r="BE1113" t="s">
        <v>20786</v>
      </c>
      <c r="BF1113" t="str">
        <f>HYPERLINK("http://dx.doi.org/10.1164/rccm.201203-0411OC","http://dx.doi.org/10.1164/rccm.201203-0411OC")</f>
        <v>http://dx.doi.org/10.1164/rccm.201203-0411OC</v>
      </c>
      <c r="BG1113" t="s">
        <v>74</v>
      </c>
      <c r="BH1113" t="s">
        <v>74</v>
      </c>
      <c r="BI1113">
        <v>10</v>
      </c>
      <c r="BJ1113" t="s">
        <v>341</v>
      </c>
      <c r="BK1113" t="s">
        <v>101</v>
      </c>
      <c r="BL1113" t="s">
        <v>342</v>
      </c>
      <c r="BM1113" t="s">
        <v>20785</v>
      </c>
      <c r="BN1113">
        <v>22859525</v>
      </c>
      <c r="BO1113" t="s">
        <v>20784</v>
      </c>
      <c r="BP1113" t="s">
        <v>74</v>
      </c>
      <c r="BQ1113" t="s">
        <v>74</v>
      </c>
      <c r="BR1113" t="s">
        <v>104</v>
      </c>
      <c r="BS1113" t="s">
        <v>20783</v>
      </c>
      <c r="BT1113" t="str">
        <f>HYPERLINK("https%3A%2F%2Fwww.webofscience.com%2Fwos%2Fwoscc%2Ffull-record%2FWOS:000309898700016","View Full Record in Web of Science")</f>
        <v>View Full Record in Web of Science</v>
      </c>
    </row>
    <row r="1114" spans="1:72" x14ac:dyDescent="0.25">
      <c r="A1114" t="s">
        <v>72</v>
      </c>
      <c r="B1114" t="s">
        <v>20782</v>
      </c>
      <c r="C1114" t="s">
        <v>74</v>
      </c>
      <c r="D1114" t="s">
        <v>74</v>
      </c>
      <c r="E1114" t="s">
        <v>74</v>
      </c>
      <c r="F1114" t="s">
        <v>20781</v>
      </c>
      <c r="G1114" t="s">
        <v>74</v>
      </c>
      <c r="H1114" t="s">
        <v>74</v>
      </c>
      <c r="I1114" t="s">
        <v>20780</v>
      </c>
      <c r="J1114" t="s">
        <v>324</v>
      </c>
      <c r="K1114" t="s">
        <v>74</v>
      </c>
      <c r="L1114" t="s">
        <v>74</v>
      </c>
      <c r="M1114" t="s">
        <v>78</v>
      </c>
      <c r="N1114" t="s">
        <v>79</v>
      </c>
      <c r="O1114" t="s">
        <v>74</v>
      </c>
      <c r="P1114" t="s">
        <v>74</v>
      </c>
      <c r="Q1114" t="s">
        <v>74</v>
      </c>
      <c r="R1114" t="s">
        <v>74</v>
      </c>
      <c r="S1114" t="s">
        <v>74</v>
      </c>
      <c r="T1114" t="s">
        <v>74</v>
      </c>
      <c r="U1114" t="s">
        <v>20779</v>
      </c>
      <c r="V1114" t="s">
        <v>20778</v>
      </c>
      <c r="W1114" t="s">
        <v>20777</v>
      </c>
      <c r="X1114" t="s">
        <v>20776</v>
      </c>
      <c r="Y1114" t="s">
        <v>20775</v>
      </c>
      <c r="Z1114" t="s">
        <v>13683</v>
      </c>
      <c r="AA1114" t="s">
        <v>20774</v>
      </c>
      <c r="AB1114" t="s">
        <v>20773</v>
      </c>
      <c r="AC1114" t="s">
        <v>20772</v>
      </c>
      <c r="AD1114" t="s">
        <v>20771</v>
      </c>
      <c r="AE1114" t="s">
        <v>20770</v>
      </c>
      <c r="AF1114" t="s">
        <v>74</v>
      </c>
      <c r="AG1114">
        <v>40</v>
      </c>
      <c r="AH1114">
        <v>37</v>
      </c>
      <c r="AI1114">
        <v>39</v>
      </c>
      <c r="AJ1114">
        <v>0</v>
      </c>
      <c r="AK1114">
        <v>7</v>
      </c>
      <c r="AL1114" t="s">
        <v>92</v>
      </c>
      <c r="AM1114" t="s">
        <v>93</v>
      </c>
      <c r="AN1114" t="s">
        <v>94</v>
      </c>
      <c r="AO1114" t="s">
        <v>337</v>
      </c>
      <c r="AP1114" t="s">
        <v>338</v>
      </c>
      <c r="AQ1114" t="s">
        <v>74</v>
      </c>
      <c r="AR1114" t="s">
        <v>324</v>
      </c>
      <c r="AS1114" t="s">
        <v>339</v>
      </c>
      <c r="AT1114" t="s">
        <v>420</v>
      </c>
      <c r="AU1114">
        <v>2012</v>
      </c>
      <c r="AV1114">
        <v>142</v>
      </c>
      <c r="AW1114">
        <v>4</v>
      </c>
      <c r="AX1114" t="s">
        <v>74</v>
      </c>
      <c r="AY1114" t="s">
        <v>74</v>
      </c>
      <c r="AZ1114" t="s">
        <v>74</v>
      </c>
      <c r="BA1114" t="s">
        <v>74</v>
      </c>
      <c r="BB1114">
        <v>869</v>
      </c>
      <c r="BC1114">
        <v>876</v>
      </c>
      <c r="BD1114" t="s">
        <v>74</v>
      </c>
      <c r="BE1114" t="s">
        <v>20769</v>
      </c>
      <c r="BF1114" t="str">
        <f>HYPERLINK("http://dx.doi.org/10.1378/chest.11-1267","http://dx.doi.org/10.1378/chest.11-1267")</f>
        <v>http://dx.doi.org/10.1378/chest.11-1267</v>
      </c>
      <c r="BG1114" t="s">
        <v>74</v>
      </c>
      <c r="BH1114" t="s">
        <v>74</v>
      </c>
      <c r="BI1114">
        <v>8</v>
      </c>
      <c r="BJ1114" t="s">
        <v>341</v>
      </c>
      <c r="BK1114" t="s">
        <v>101</v>
      </c>
      <c r="BL1114" t="s">
        <v>342</v>
      </c>
      <c r="BM1114" t="s">
        <v>20768</v>
      </c>
      <c r="BN1114">
        <v>22406961</v>
      </c>
      <c r="BO1114" t="s">
        <v>74</v>
      </c>
      <c r="BP1114" t="s">
        <v>74</v>
      </c>
      <c r="BQ1114" t="s">
        <v>74</v>
      </c>
      <c r="BR1114" t="s">
        <v>104</v>
      </c>
      <c r="BS1114" t="s">
        <v>20767</v>
      </c>
      <c r="BT1114" t="str">
        <f>HYPERLINK("https%3A%2F%2Fwww.webofscience.com%2Fwos%2Fwoscc%2Ffull-record%2FWOS:000317153200011","View Full Record in Web of Science")</f>
        <v>View Full Record in Web of Science</v>
      </c>
    </row>
    <row r="1115" spans="1:72" x14ac:dyDescent="0.25">
      <c r="A1115" t="s">
        <v>72</v>
      </c>
      <c r="B1115" t="s">
        <v>20766</v>
      </c>
      <c r="C1115" t="s">
        <v>74</v>
      </c>
      <c r="D1115" t="s">
        <v>74</v>
      </c>
      <c r="E1115" t="s">
        <v>74</v>
      </c>
      <c r="F1115" t="s">
        <v>20765</v>
      </c>
      <c r="G1115" t="s">
        <v>74</v>
      </c>
      <c r="H1115" t="s">
        <v>74</v>
      </c>
      <c r="I1115" t="s">
        <v>20764</v>
      </c>
      <c r="J1115" t="s">
        <v>216</v>
      </c>
      <c r="K1115" t="s">
        <v>74</v>
      </c>
      <c r="L1115" t="s">
        <v>74</v>
      </c>
      <c r="M1115" t="s">
        <v>78</v>
      </c>
      <c r="N1115" t="s">
        <v>79</v>
      </c>
      <c r="O1115" t="s">
        <v>74</v>
      </c>
      <c r="P1115" t="s">
        <v>74</v>
      </c>
      <c r="Q1115" t="s">
        <v>74</v>
      </c>
      <c r="R1115" t="s">
        <v>74</v>
      </c>
      <c r="S1115" t="s">
        <v>74</v>
      </c>
      <c r="T1115" t="s">
        <v>20763</v>
      </c>
      <c r="U1115" t="s">
        <v>20762</v>
      </c>
      <c r="V1115" t="s">
        <v>20761</v>
      </c>
      <c r="W1115" t="s">
        <v>20760</v>
      </c>
      <c r="X1115" t="s">
        <v>5859</v>
      </c>
      <c r="Y1115" t="s">
        <v>20759</v>
      </c>
      <c r="Z1115" t="s">
        <v>3402</v>
      </c>
      <c r="AA1115" t="s">
        <v>20758</v>
      </c>
      <c r="AB1115" t="s">
        <v>20757</v>
      </c>
      <c r="AC1115" t="s">
        <v>20756</v>
      </c>
      <c r="AD1115" t="s">
        <v>20755</v>
      </c>
      <c r="AE1115" t="s">
        <v>20754</v>
      </c>
      <c r="AF1115" t="s">
        <v>74</v>
      </c>
      <c r="AG1115">
        <v>27</v>
      </c>
      <c r="AH1115">
        <v>103</v>
      </c>
      <c r="AI1115">
        <v>111</v>
      </c>
      <c r="AJ1115">
        <v>2</v>
      </c>
      <c r="AK1115">
        <v>13</v>
      </c>
      <c r="AL1115" t="s">
        <v>219</v>
      </c>
      <c r="AM1115" t="s">
        <v>220</v>
      </c>
      <c r="AN1115" t="s">
        <v>221</v>
      </c>
      <c r="AO1115" t="s">
        <v>222</v>
      </c>
      <c r="AP1115" t="s">
        <v>223</v>
      </c>
      <c r="AQ1115" t="s">
        <v>74</v>
      </c>
      <c r="AR1115" t="s">
        <v>224</v>
      </c>
      <c r="AS1115" t="s">
        <v>225</v>
      </c>
      <c r="AT1115" t="s">
        <v>420</v>
      </c>
      <c r="AU1115">
        <v>2012</v>
      </c>
      <c r="AV1115">
        <v>40</v>
      </c>
      <c r="AW1115">
        <v>4</v>
      </c>
      <c r="AX1115" t="s">
        <v>74</v>
      </c>
      <c r="AY1115" t="s">
        <v>74</v>
      </c>
      <c r="AZ1115" t="s">
        <v>74</v>
      </c>
      <c r="BA1115" t="s">
        <v>74</v>
      </c>
      <c r="BB1115">
        <v>895</v>
      </c>
      <c r="BC1115">
        <v>904</v>
      </c>
      <c r="BD1115" t="s">
        <v>74</v>
      </c>
      <c r="BE1115" t="s">
        <v>20753</v>
      </c>
      <c r="BF1115" t="str">
        <f>HYPERLINK("http://dx.doi.org/10.1183/09031936.00159911","http://dx.doi.org/10.1183/09031936.00159911")</f>
        <v>http://dx.doi.org/10.1183/09031936.00159911</v>
      </c>
      <c r="BG1115" t="s">
        <v>74</v>
      </c>
      <c r="BH1115" t="s">
        <v>74</v>
      </c>
      <c r="BI1115">
        <v>10</v>
      </c>
      <c r="BJ1115" t="s">
        <v>228</v>
      </c>
      <c r="BK1115" t="s">
        <v>101</v>
      </c>
      <c r="BL1115" t="s">
        <v>228</v>
      </c>
      <c r="BM1115" t="s">
        <v>20740</v>
      </c>
      <c r="BN1115">
        <v>22362850</v>
      </c>
      <c r="BO1115" t="s">
        <v>2854</v>
      </c>
      <c r="BP1115" t="s">
        <v>74</v>
      </c>
      <c r="BQ1115" t="s">
        <v>74</v>
      </c>
      <c r="BR1115" t="s">
        <v>104</v>
      </c>
      <c r="BS1115" t="s">
        <v>20752</v>
      </c>
      <c r="BT1115" t="str">
        <f>HYPERLINK("https%3A%2F%2Fwww.webofscience.com%2Fwos%2Fwoscc%2Ffull-record%2FWOS:000309795500016","View Full Record in Web of Science")</f>
        <v>View Full Record in Web of Science</v>
      </c>
    </row>
    <row r="1116" spans="1:72" x14ac:dyDescent="0.25">
      <c r="A1116" t="s">
        <v>72</v>
      </c>
      <c r="B1116" t="s">
        <v>20751</v>
      </c>
      <c r="C1116" t="s">
        <v>74</v>
      </c>
      <c r="D1116" t="s">
        <v>74</v>
      </c>
      <c r="E1116" t="s">
        <v>74</v>
      </c>
      <c r="F1116" t="s">
        <v>20750</v>
      </c>
      <c r="G1116" t="s">
        <v>74</v>
      </c>
      <c r="H1116" t="s">
        <v>74</v>
      </c>
      <c r="I1116" t="s">
        <v>20749</v>
      </c>
      <c r="J1116" t="s">
        <v>216</v>
      </c>
      <c r="K1116" t="s">
        <v>74</v>
      </c>
      <c r="L1116" t="s">
        <v>74</v>
      </c>
      <c r="M1116" t="s">
        <v>78</v>
      </c>
      <c r="N1116" t="s">
        <v>79</v>
      </c>
      <c r="O1116" t="s">
        <v>74</v>
      </c>
      <c r="P1116" t="s">
        <v>74</v>
      </c>
      <c r="Q1116" t="s">
        <v>74</v>
      </c>
      <c r="R1116" t="s">
        <v>74</v>
      </c>
      <c r="S1116" t="s">
        <v>74</v>
      </c>
      <c r="T1116" t="s">
        <v>20748</v>
      </c>
      <c r="U1116" t="s">
        <v>20747</v>
      </c>
      <c r="V1116" t="s">
        <v>20746</v>
      </c>
      <c r="W1116" t="s">
        <v>20745</v>
      </c>
      <c r="X1116" t="s">
        <v>20744</v>
      </c>
      <c r="Y1116" t="s">
        <v>7839</v>
      </c>
      <c r="Z1116" t="s">
        <v>1689</v>
      </c>
      <c r="AA1116" t="s">
        <v>20743</v>
      </c>
      <c r="AB1116" t="s">
        <v>20742</v>
      </c>
      <c r="AC1116" t="s">
        <v>74</v>
      </c>
      <c r="AD1116" t="s">
        <v>74</v>
      </c>
      <c r="AE1116" t="s">
        <v>74</v>
      </c>
      <c r="AF1116" t="s">
        <v>74</v>
      </c>
      <c r="AG1116">
        <v>24</v>
      </c>
      <c r="AH1116">
        <v>174</v>
      </c>
      <c r="AI1116">
        <v>192</v>
      </c>
      <c r="AJ1116">
        <v>0</v>
      </c>
      <c r="AK1116">
        <v>7</v>
      </c>
      <c r="AL1116" t="s">
        <v>219</v>
      </c>
      <c r="AM1116" t="s">
        <v>220</v>
      </c>
      <c r="AN1116" t="s">
        <v>221</v>
      </c>
      <c r="AO1116" t="s">
        <v>222</v>
      </c>
      <c r="AP1116" t="s">
        <v>223</v>
      </c>
      <c r="AQ1116" t="s">
        <v>74</v>
      </c>
      <c r="AR1116" t="s">
        <v>224</v>
      </c>
      <c r="AS1116" t="s">
        <v>225</v>
      </c>
      <c r="AT1116" t="s">
        <v>420</v>
      </c>
      <c r="AU1116">
        <v>2012</v>
      </c>
      <c r="AV1116">
        <v>40</v>
      </c>
      <c r="AW1116">
        <v>4</v>
      </c>
      <c r="AX1116" t="s">
        <v>74</v>
      </c>
      <c r="AY1116" t="s">
        <v>74</v>
      </c>
      <c r="AZ1116" t="s">
        <v>74</v>
      </c>
      <c r="BA1116" t="s">
        <v>74</v>
      </c>
      <c r="BB1116">
        <v>881</v>
      </c>
      <c r="BC1116">
        <v>885</v>
      </c>
      <c r="BD1116" t="s">
        <v>74</v>
      </c>
      <c r="BE1116" t="s">
        <v>20741</v>
      </c>
      <c r="BF1116" t="str">
        <f>HYPERLINK("http://dx.doi.org/10.1183/09031936.00141211","http://dx.doi.org/10.1183/09031936.00141211")</f>
        <v>http://dx.doi.org/10.1183/09031936.00141211</v>
      </c>
      <c r="BG1116" t="s">
        <v>74</v>
      </c>
      <c r="BH1116" t="s">
        <v>74</v>
      </c>
      <c r="BI1116">
        <v>5</v>
      </c>
      <c r="BJ1116" t="s">
        <v>228</v>
      </c>
      <c r="BK1116" t="s">
        <v>101</v>
      </c>
      <c r="BL1116" t="s">
        <v>228</v>
      </c>
      <c r="BM1116" t="s">
        <v>20740</v>
      </c>
      <c r="BN1116">
        <v>22282544</v>
      </c>
      <c r="BO1116" t="s">
        <v>3737</v>
      </c>
      <c r="BP1116" t="s">
        <v>74</v>
      </c>
      <c r="BQ1116" t="s">
        <v>74</v>
      </c>
      <c r="BR1116" t="s">
        <v>104</v>
      </c>
      <c r="BS1116" t="s">
        <v>20739</v>
      </c>
      <c r="BT1116" t="str">
        <f>HYPERLINK("https%3A%2F%2Fwww.webofscience.com%2Fwos%2Fwoscc%2Ffull-record%2FWOS:000309795500014","View Full Record in Web of Science")</f>
        <v>View Full Record in Web of Science</v>
      </c>
    </row>
    <row r="1117" spans="1:72" x14ac:dyDescent="0.25">
      <c r="A1117" t="s">
        <v>72</v>
      </c>
      <c r="B1117" t="s">
        <v>20738</v>
      </c>
      <c r="C1117" t="s">
        <v>74</v>
      </c>
      <c r="D1117" t="s">
        <v>74</v>
      </c>
      <c r="E1117" t="s">
        <v>74</v>
      </c>
      <c r="F1117" t="s">
        <v>20737</v>
      </c>
      <c r="G1117" t="s">
        <v>74</v>
      </c>
      <c r="H1117" t="s">
        <v>74</v>
      </c>
      <c r="I1117" t="s">
        <v>20736</v>
      </c>
      <c r="J1117" t="s">
        <v>637</v>
      </c>
      <c r="K1117" t="s">
        <v>74</v>
      </c>
      <c r="L1117" t="s">
        <v>74</v>
      </c>
      <c r="M1117" t="s">
        <v>78</v>
      </c>
      <c r="N1117" t="s">
        <v>79</v>
      </c>
      <c r="O1117" t="s">
        <v>74</v>
      </c>
      <c r="P1117" t="s">
        <v>74</v>
      </c>
      <c r="Q1117" t="s">
        <v>74</v>
      </c>
      <c r="R1117" t="s">
        <v>74</v>
      </c>
      <c r="S1117" t="s">
        <v>74</v>
      </c>
      <c r="T1117" t="s">
        <v>20735</v>
      </c>
      <c r="U1117" t="s">
        <v>20734</v>
      </c>
      <c r="V1117" t="s">
        <v>20733</v>
      </c>
      <c r="W1117" t="s">
        <v>20732</v>
      </c>
      <c r="X1117" t="s">
        <v>20731</v>
      </c>
      <c r="Y1117" t="s">
        <v>20730</v>
      </c>
      <c r="Z1117" t="s">
        <v>276</v>
      </c>
      <c r="AA1117" t="s">
        <v>20729</v>
      </c>
      <c r="AB1117" t="s">
        <v>20728</v>
      </c>
      <c r="AC1117" t="s">
        <v>20727</v>
      </c>
      <c r="AD1117" t="s">
        <v>20726</v>
      </c>
      <c r="AE1117" t="s">
        <v>20725</v>
      </c>
      <c r="AF1117" t="s">
        <v>74</v>
      </c>
      <c r="AG1117">
        <v>49</v>
      </c>
      <c r="AH1117">
        <v>71</v>
      </c>
      <c r="AI1117">
        <v>76</v>
      </c>
      <c r="AJ1117">
        <v>0</v>
      </c>
      <c r="AK1117">
        <v>15</v>
      </c>
      <c r="AL1117" t="s">
        <v>649</v>
      </c>
      <c r="AM1117" t="s">
        <v>486</v>
      </c>
      <c r="AN1117" t="s">
        <v>17481</v>
      </c>
      <c r="AO1117" t="s">
        <v>651</v>
      </c>
      <c r="AP1117" t="s">
        <v>74</v>
      </c>
      <c r="AQ1117" t="s">
        <v>74</v>
      </c>
      <c r="AR1117" t="s">
        <v>653</v>
      </c>
      <c r="AS1117" t="s">
        <v>654</v>
      </c>
      <c r="AT1117" t="s">
        <v>2820</v>
      </c>
      <c r="AU1117">
        <v>2012</v>
      </c>
      <c r="AV1117">
        <v>186</v>
      </c>
      <c r="AW1117">
        <v>7</v>
      </c>
      <c r="AX1117" t="s">
        <v>74</v>
      </c>
      <c r="AY1117" t="s">
        <v>74</v>
      </c>
      <c r="AZ1117" t="s">
        <v>74</v>
      </c>
      <c r="BA1117" t="s">
        <v>74</v>
      </c>
      <c r="BB1117">
        <v>666</v>
      </c>
      <c r="BC1117">
        <v>676</v>
      </c>
      <c r="BD1117" t="s">
        <v>74</v>
      </c>
      <c r="BE1117" t="s">
        <v>20724</v>
      </c>
      <c r="BF1117" t="str">
        <f>HYPERLINK("http://dx.doi.org/10.1164/rccm.201202-0309OC","http://dx.doi.org/10.1164/rccm.201202-0309OC")</f>
        <v>http://dx.doi.org/10.1164/rccm.201202-0309OC</v>
      </c>
      <c r="BG1117" t="s">
        <v>74</v>
      </c>
      <c r="BH1117" t="s">
        <v>74</v>
      </c>
      <c r="BI1117">
        <v>11</v>
      </c>
      <c r="BJ1117" t="s">
        <v>341</v>
      </c>
      <c r="BK1117" t="s">
        <v>101</v>
      </c>
      <c r="BL1117" t="s">
        <v>342</v>
      </c>
      <c r="BM1117" t="s">
        <v>20723</v>
      </c>
      <c r="BN1117">
        <v>22798315</v>
      </c>
      <c r="BO1117" t="s">
        <v>20722</v>
      </c>
      <c r="BP1117" t="s">
        <v>74</v>
      </c>
      <c r="BQ1117" t="s">
        <v>74</v>
      </c>
      <c r="BR1117" t="s">
        <v>104</v>
      </c>
      <c r="BS1117" t="s">
        <v>20721</v>
      </c>
      <c r="BT1117" t="str">
        <f>HYPERLINK("https%3A%2F%2Fwww.webofscience.com%2Fwos%2Fwoscc%2Ffull-record%2FWOS:000309383600018","View Full Record in Web of Science")</f>
        <v>View Full Record in Web of Science</v>
      </c>
    </row>
    <row r="1118" spans="1:72" x14ac:dyDescent="0.25">
      <c r="A1118" t="s">
        <v>72</v>
      </c>
      <c r="B1118" t="s">
        <v>20720</v>
      </c>
      <c r="C1118" t="s">
        <v>74</v>
      </c>
      <c r="D1118" t="s">
        <v>74</v>
      </c>
      <c r="E1118" t="s">
        <v>74</v>
      </c>
      <c r="F1118" t="s">
        <v>20719</v>
      </c>
      <c r="G1118" t="s">
        <v>74</v>
      </c>
      <c r="H1118" t="s">
        <v>74</v>
      </c>
      <c r="I1118" t="s">
        <v>20718</v>
      </c>
      <c r="J1118" t="s">
        <v>1348</v>
      </c>
      <c r="K1118" t="s">
        <v>74</v>
      </c>
      <c r="L1118" t="s">
        <v>74</v>
      </c>
      <c r="M1118" t="s">
        <v>1349</v>
      </c>
      <c r="N1118" t="s">
        <v>140</v>
      </c>
      <c r="O1118" t="s">
        <v>74</v>
      </c>
      <c r="P1118" t="s">
        <v>74</v>
      </c>
      <c r="Q1118" t="s">
        <v>74</v>
      </c>
      <c r="R1118" t="s">
        <v>74</v>
      </c>
      <c r="S1118" t="s">
        <v>74</v>
      </c>
      <c r="T1118" t="s">
        <v>74</v>
      </c>
      <c r="U1118" t="s">
        <v>20717</v>
      </c>
      <c r="V1118" t="s">
        <v>74</v>
      </c>
      <c r="W1118" t="s">
        <v>20716</v>
      </c>
      <c r="X1118" t="s">
        <v>20715</v>
      </c>
      <c r="Y1118" t="s">
        <v>20714</v>
      </c>
      <c r="Z1118" t="s">
        <v>10035</v>
      </c>
      <c r="AA1118" t="s">
        <v>20713</v>
      </c>
      <c r="AB1118" t="s">
        <v>20712</v>
      </c>
      <c r="AC1118" t="s">
        <v>74</v>
      </c>
      <c r="AD1118" t="s">
        <v>74</v>
      </c>
      <c r="AE1118" t="s">
        <v>74</v>
      </c>
      <c r="AF1118" t="s">
        <v>74</v>
      </c>
      <c r="AG1118">
        <v>28</v>
      </c>
      <c r="AH1118">
        <v>0</v>
      </c>
      <c r="AI1118">
        <v>0</v>
      </c>
      <c r="AJ1118">
        <v>0</v>
      </c>
      <c r="AK1118">
        <v>4</v>
      </c>
      <c r="AL1118" t="s">
        <v>1358</v>
      </c>
      <c r="AM1118" t="s">
        <v>1359</v>
      </c>
      <c r="AN1118" t="s">
        <v>1360</v>
      </c>
      <c r="AO1118" t="s">
        <v>1361</v>
      </c>
      <c r="AP1118" t="s">
        <v>74</v>
      </c>
      <c r="AQ1118" t="s">
        <v>74</v>
      </c>
      <c r="AR1118" t="s">
        <v>1363</v>
      </c>
      <c r="AS1118" t="s">
        <v>1364</v>
      </c>
      <c r="AT1118" t="s">
        <v>420</v>
      </c>
      <c r="AU1118">
        <v>2012</v>
      </c>
      <c r="AV1118">
        <v>29</v>
      </c>
      <c r="AW1118">
        <v>8</v>
      </c>
      <c r="AX1118" t="s">
        <v>74</v>
      </c>
      <c r="AY1118" t="s">
        <v>74</v>
      </c>
      <c r="AZ1118" t="s">
        <v>74</v>
      </c>
      <c r="BA1118" t="s">
        <v>74</v>
      </c>
      <c r="BB1118">
        <v>950</v>
      </c>
      <c r="BC1118">
        <v>952</v>
      </c>
      <c r="BD1118" t="s">
        <v>74</v>
      </c>
      <c r="BE1118" t="s">
        <v>20711</v>
      </c>
      <c r="BF1118" t="str">
        <f>HYPERLINK("http://dx.doi.org/10.1016/j.rmr.2012.08.006","http://dx.doi.org/10.1016/j.rmr.2012.08.006")</f>
        <v>http://dx.doi.org/10.1016/j.rmr.2012.08.006</v>
      </c>
      <c r="BG1118" t="s">
        <v>74</v>
      </c>
      <c r="BH1118" t="s">
        <v>74</v>
      </c>
      <c r="BI1118">
        <v>3</v>
      </c>
      <c r="BJ1118" t="s">
        <v>228</v>
      </c>
      <c r="BK1118" t="s">
        <v>101</v>
      </c>
      <c r="BL1118" t="s">
        <v>228</v>
      </c>
      <c r="BM1118" t="s">
        <v>20710</v>
      </c>
      <c r="BN1118">
        <v>23101636</v>
      </c>
      <c r="BO1118" t="s">
        <v>74</v>
      </c>
      <c r="BP1118" t="s">
        <v>74</v>
      </c>
      <c r="BQ1118" t="s">
        <v>74</v>
      </c>
      <c r="BR1118" t="s">
        <v>104</v>
      </c>
      <c r="BS1118" t="s">
        <v>20709</v>
      </c>
      <c r="BT1118" t="str">
        <f>HYPERLINK("https%3A%2F%2Fwww.webofscience.com%2Fwos%2Fwoscc%2Ffull-record%2FWOS:000311710100002","View Full Record in Web of Science")</f>
        <v>View Full Record in Web of Science</v>
      </c>
    </row>
    <row r="1119" spans="1:72" x14ac:dyDescent="0.25">
      <c r="A1119" t="s">
        <v>72</v>
      </c>
      <c r="B1119" t="s">
        <v>20708</v>
      </c>
      <c r="C1119" t="s">
        <v>74</v>
      </c>
      <c r="D1119" t="s">
        <v>74</v>
      </c>
      <c r="E1119" t="s">
        <v>74</v>
      </c>
      <c r="F1119" t="s">
        <v>20707</v>
      </c>
      <c r="G1119" t="s">
        <v>74</v>
      </c>
      <c r="H1119" t="s">
        <v>74</v>
      </c>
      <c r="I1119" t="s">
        <v>20706</v>
      </c>
      <c r="J1119" t="s">
        <v>20705</v>
      </c>
      <c r="K1119" t="s">
        <v>74</v>
      </c>
      <c r="L1119" t="s">
        <v>74</v>
      </c>
      <c r="M1119" t="s">
        <v>78</v>
      </c>
      <c r="N1119" t="s">
        <v>140</v>
      </c>
      <c r="O1119" t="s">
        <v>74</v>
      </c>
      <c r="P1119" t="s">
        <v>74</v>
      </c>
      <c r="Q1119" t="s">
        <v>74</v>
      </c>
      <c r="R1119" t="s">
        <v>74</v>
      </c>
      <c r="S1119" t="s">
        <v>74</v>
      </c>
      <c r="T1119" t="s">
        <v>74</v>
      </c>
      <c r="U1119" t="s">
        <v>20704</v>
      </c>
      <c r="V1119" t="s">
        <v>74</v>
      </c>
      <c r="W1119" t="s">
        <v>20703</v>
      </c>
      <c r="X1119" t="s">
        <v>20702</v>
      </c>
      <c r="Y1119" t="s">
        <v>20701</v>
      </c>
      <c r="Z1119" t="s">
        <v>20700</v>
      </c>
      <c r="AA1119" t="s">
        <v>144</v>
      </c>
      <c r="AB1119" t="s">
        <v>257</v>
      </c>
      <c r="AC1119" t="s">
        <v>74</v>
      </c>
      <c r="AD1119" t="s">
        <v>74</v>
      </c>
      <c r="AE1119" t="s">
        <v>74</v>
      </c>
      <c r="AF1119" t="s">
        <v>74</v>
      </c>
      <c r="AG1119">
        <v>12</v>
      </c>
      <c r="AH1119">
        <v>2</v>
      </c>
      <c r="AI1119">
        <v>2</v>
      </c>
      <c r="AJ1119">
        <v>0</v>
      </c>
      <c r="AK1119">
        <v>1</v>
      </c>
      <c r="AL1119" t="s">
        <v>20699</v>
      </c>
      <c r="AM1119" t="s">
        <v>361</v>
      </c>
      <c r="AN1119" t="s">
        <v>20698</v>
      </c>
      <c r="AO1119" t="s">
        <v>20697</v>
      </c>
      <c r="AP1119" t="s">
        <v>20696</v>
      </c>
      <c r="AQ1119" t="s">
        <v>74</v>
      </c>
      <c r="AR1119" t="s">
        <v>20695</v>
      </c>
      <c r="AS1119" t="s">
        <v>20694</v>
      </c>
      <c r="AT1119" t="s">
        <v>5777</v>
      </c>
      <c r="AU1119">
        <v>2012</v>
      </c>
      <c r="AV1119">
        <v>110</v>
      </c>
      <c r="AW1119">
        <v>6</v>
      </c>
      <c r="AX1119" t="s">
        <v>74</v>
      </c>
      <c r="AY1119" t="s">
        <v>998</v>
      </c>
      <c r="AZ1119" t="s">
        <v>74</v>
      </c>
      <c r="BA1119" t="s">
        <v>74</v>
      </c>
      <c r="BB1119" t="s">
        <v>20693</v>
      </c>
      <c r="BC1119" t="s">
        <v>20692</v>
      </c>
      <c r="BD1119" t="s">
        <v>74</v>
      </c>
      <c r="BE1119" t="s">
        <v>20691</v>
      </c>
      <c r="BF1119" t="str">
        <f>HYPERLINK("http://dx.doi.org/10.1016/j.amjcard.2012.06.009","http://dx.doi.org/10.1016/j.amjcard.2012.06.009")</f>
        <v>http://dx.doi.org/10.1016/j.amjcard.2012.06.009</v>
      </c>
      <c r="BG1119" t="s">
        <v>74</v>
      </c>
      <c r="BH1119" t="s">
        <v>74</v>
      </c>
      <c r="BI1119">
        <v>2</v>
      </c>
      <c r="BJ1119" t="s">
        <v>132</v>
      </c>
      <c r="BK1119" t="s">
        <v>101</v>
      </c>
      <c r="BL1119" t="s">
        <v>133</v>
      </c>
      <c r="BM1119" t="s">
        <v>20690</v>
      </c>
      <c r="BN1119">
        <v>22921026</v>
      </c>
      <c r="BO1119" t="s">
        <v>74</v>
      </c>
      <c r="BP1119" t="s">
        <v>74</v>
      </c>
      <c r="BQ1119" t="s">
        <v>74</v>
      </c>
      <c r="BR1119" t="s">
        <v>104</v>
      </c>
      <c r="BS1119" t="s">
        <v>20689</v>
      </c>
      <c r="BT1119" t="str">
        <f>HYPERLINK("https%3A%2F%2Fwww.webofscience.com%2Fwos%2Fwoscc%2Ffull-record%2FWOS:000309250500001","View Full Record in Web of Science")</f>
        <v>View Full Record in Web of Science</v>
      </c>
    </row>
    <row r="1120" spans="1:72" x14ac:dyDescent="0.25">
      <c r="A1120" t="s">
        <v>72</v>
      </c>
      <c r="B1120" t="s">
        <v>20688</v>
      </c>
      <c r="C1120" t="s">
        <v>74</v>
      </c>
      <c r="D1120" t="s">
        <v>74</v>
      </c>
      <c r="E1120" t="s">
        <v>74</v>
      </c>
      <c r="F1120" t="s">
        <v>20687</v>
      </c>
      <c r="G1120" t="s">
        <v>74</v>
      </c>
      <c r="H1120" t="s">
        <v>74</v>
      </c>
      <c r="I1120" t="s">
        <v>20686</v>
      </c>
      <c r="J1120" t="s">
        <v>216</v>
      </c>
      <c r="K1120" t="s">
        <v>74</v>
      </c>
      <c r="L1120" t="s">
        <v>74</v>
      </c>
      <c r="M1120" t="s">
        <v>78</v>
      </c>
      <c r="N1120" t="s">
        <v>140</v>
      </c>
      <c r="O1120" t="s">
        <v>74</v>
      </c>
      <c r="P1120" t="s">
        <v>74</v>
      </c>
      <c r="Q1120" t="s">
        <v>74</v>
      </c>
      <c r="R1120" t="s">
        <v>74</v>
      </c>
      <c r="S1120" t="s">
        <v>74</v>
      </c>
      <c r="T1120" t="s">
        <v>74</v>
      </c>
      <c r="U1120" t="s">
        <v>20685</v>
      </c>
      <c r="V1120" t="s">
        <v>74</v>
      </c>
      <c r="W1120" t="s">
        <v>20684</v>
      </c>
      <c r="X1120" t="s">
        <v>20683</v>
      </c>
      <c r="Y1120" t="s">
        <v>20682</v>
      </c>
      <c r="Z1120" t="s">
        <v>20681</v>
      </c>
      <c r="AA1120" t="s">
        <v>20680</v>
      </c>
      <c r="AB1120" t="s">
        <v>20679</v>
      </c>
      <c r="AC1120" t="s">
        <v>74</v>
      </c>
      <c r="AD1120" t="s">
        <v>74</v>
      </c>
      <c r="AE1120" t="s">
        <v>74</v>
      </c>
      <c r="AF1120" t="s">
        <v>74</v>
      </c>
      <c r="AG1120">
        <v>16</v>
      </c>
      <c r="AH1120">
        <v>6</v>
      </c>
      <c r="AI1120">
        <v>6</v>
      </c>
      <c r="AJ1120">
        <v>0</v>
      </c>
      <c r="AK1120">
        <v>2</v>
      </c>
      <c r="AL1120" t="s">
        <v>219</v>
      </c>
      <c r="AM1120" t="s">
        <v>220</v>
      </c>
      <c r="AN1120" t="s">
        <v>221</v>
      </c>
      <c r="AO1120" t="s">
        <v>222</v>
      </c>
      <c r="AP1120" t="s">
        <v>74</v>
      </c>
      <c r="AQ1120" t="s">
        <v>74</v>
      </c>
      <c r="AR1120" t="s">
        <v>224</v>
      </c>
      <c r="AS1120" t="s">
        <v>225</v>
      </c>
      <c r="AT1120" t="s">
        <v>492</v>
      </c>
      <c r="AU1120">
        <v>2012</v>
      </c>
      <c r="AV1120">
        <v>40</v>
      </c>
      <c r="AW1120">
        <v>3</v>
      </c>
      <c r="AX1120" t="s">
        <v>74</v>
      </c>
      <c r="AY1120" t="s">
        <v>74</v>
      </c>
      <c r="AZ1120" t="s">
        <v>74</v>
      </c>
      <c r="BA1120" t="s">
        <v>74</v>
      </c>
      <c r="BB1120">
        <v>535</v>
      </c>
      <c r="BC1120">
        <v>537</v>
      </c>
      <c r="BD1120" t="s">
        <v>74</v>
      </c>
      <c r="BE1120" t="s">
        <v>20678</v>
      </c>
      <c r="BF1120" t="str">
        <f>HYPERLINK("http://dx.doi.org/10.1183/09031936.00105912","http://dx.doi.org/10.1183/09031936.00105912")</f>
        <v>http://dx.doi.org/10.1183/09031936.00105912</v>
      </c>
      <c r="BG1120" t="s">
        <v>74</v>
      </c>
      <c r="BH1120" t="s">
        <v>74</v>
      </c>
      <c r="BI1120">
        <v>3</v>
      </c>
      <c r="BJ1120" t="s">
        <v>228</v>
      </c>
      <c r="BK1120" t="s">
        <v>101</v>
      </c>
      <c r="BL1120" t="s">
        <v>228</v>
      </c>
      <c r="BM1120" t="s">
        <v>20518</v>
      </c>
      <c r="BN1120" t="s">
        <v>74</v>
      </c>
      <c r="BO1120" t="s">
        <v>1194</v>
      </c>
      <c r="BP1120" t="s">
        <v>74</v>
      </c>
      <c r="BQ1120" t="s">
        <v>74</v>
      </c>
      <c r="BR1120" t="s">
        <v>104</v>
      </c>
      <c r="BS1120" t="s">
        <v>20677</v>
      </c>
      <c r="BT1120" t="str">
        <f>HYPERLINK("https%3A%2F%2Fwww.webofscience.com%2Fwos%2Fwoscc%2Ffull-record%2FWOS:000309034500005","View Full Record in Web of Science")</f>
        <v>View Full Record in Web of Science</v>
      </c>
    </row>
    <row r="1121" spans="1:72" x14ac:dyDescent="0.25">
      <c r="A1121" t="s">
        <v>72</v>
      </c>
      <c r="B1121" t="s">
        <v>20676</v>
      </c>
      <c r="C1121" t="s">
        <v>74</v>
      </c>
      <c r="D1121" t="s">
        <v>74</v>
      </c>
      <c r="E1121" t="s">
        <v>74</v>
      </c>
      <c r="F1121" t="s">
        <v>20675</v>
      </c>
      <c r="G1121" t="s">
        <v>74</v>
      </c>
      <c r="H1121" t="s">
        <v>74</v>
      </c>
      <c r="I1121" t="s">
        <v>20674</v>
      </c>
      <c r="J1121" t="s">
        <v>10004</v>
      </c>
      <c r="K1121" t="s">
        <v>74</v>
      </c>
      <c r="L1121" t="s">
        <v>74</v>
      </c>
      <c r="M1121" t="s">
        <v>78</v>
      </c>
      <c r="N1121" t="s">
        <v>79</v>
      </c>
      <c r="O1121" t="s">
        <v>74</v>
      </c>
      <c r="P1121" t="s">
        <v>74</v>
      </c>
      <c r="Q1121" t="s">
        <v>74</v>
      </c>
      <c r="R1121" t="s">
        <v>74</v>
      </c>
      <c r="S1121" t="s">
        <v>74</v>
      </c>
      <c r="T1121" t="s">
        <v>74</v>
      </c>
      <c r="U1121" t="s">
        <v>20673</v>
      </c>
      <c r="V1121" t="s">
        <v>20672</v>
      </c>
      <c r="W1121" t="s">
        <v>20671</v>
      </c>
      <c r="X1121" t="s">
        <v>20670</v>
      </c>
      <c r="Y1121" t="s">
        <v>20669</v>
      </c>
      <c r="Z1121" t="s">
        <v>20668</v>
      </c>
      <c r="AA1121" t="s">
        <v>20667</v>
      </c>
      <c r="AB1121" t="s">
        <v>20666</v>
      </c>
      <c r="AC1121" t="s">
        <v>74</v>
      </c>
      <c r="AD1121" t="s">
        <v>74</v>
      </c>
      <c r="AE1121" t="s">
        <v>74</v>
      </c>
      <c r="AF1121" t="s">
        <v>74</v>
      </c>
      <c r="AG1121">
        <v>39</v>
      </c>
      <c r="AH1121">
        <v>101</v>
      </c>
      <c r="AI1121">
        <v>109</v>
      </c>
      <c r="AJ1121">
        <v>0</v>
      </c>
      <c r="AK1121">
        <v>8</v>
      </c>
      <c r="AL1121" t="s">
        <v>991</v>
      </c>
      <c r="AM1121" t="s">
        <v>486</v>
      </c>
      <c r="AN1121" t="s">
        <v>992</v>
      </c>
      <c r="AO1121" t="s">
        <v>10014</v>
      </c>
      <c r="AP1121" t="s">
        <v>10015</v>
      </c>
      <c r="AQ1121" t="s">
        <v>74</v>
      </c>
      <c r="AR1121" t="s">
        <v>10016</v>
      </c>
      <c r="AS1121" t="s">
        <v>10017</v>
      </c>
      <c r="AT1121" t="s">
        <v>492</v>
      </c>
      <c r="AU1121">
        <v>2012</v>
      </c>
      <c r="AV1121">
        <v>94</v>
      </c>
      <c r="AW1121">
        <v>3</v>
      </c>
      <c r="AX1121" t="s">
        <v>74</v>
      </c>
      <c r="AY1121" t="s">
        <v>74</v>
      </c>
      <c r="AZ1121" t="s">
        <v>74</v>
      </c>
      <c r="BA1121" t="s">
        <v>74</v>
      </c>
      <c r="BB1121">
        <v>817</v>
      </c>
      <c r="BC1121">
        <v>824</v>
      </c>
      <c r="BD1121" t="s">
        <v>74</v>
      </c>
      <c r="BE1121" t="s">
        <v>20665</v>
      </c>
      <c r="BF1121" t="str">
        <f>HYPERLINK("http://dx.doi.org/10.1016/j.athoracsur.2012.03.099","http://dx.doi.org/10.1016/j.athoracsur.2012.03.099")</f>
        <v>http://dx.doi.org/10.1016/j.athoracsur.2012.03.099</v>
      </c>
      <c r="BG1121" t="s">
        <v>74</v>
      </c>
      <c r="BH1121" t="s">
        <v>74</v>
      </c>
      <c r="BI1121">
        <v>8</v>
      </c>
      <c r="BJ1121" t="s">
        <v>495</v>
      </c>
      <c r="BK1121" t="s">
        <v>101</v>
      </c>
      <c r="BL1121" t="s">
        <v>496</v>
      </c>
      <c r="BM1121" t="s">
        <v>20664</v>
      </c>
      <c r="BN1121">
        <v>22704329</v>
      </c>
      <c r="BO1121" t="s">
        <v>1194</v>
      </c>
      <c r="BP1121" t="s">
        <v>74</v>
      </c>
      <c r="BQ1121" t="s">
        <v>74</v>
      </c>
      <c r="BR1121" t="s">
        <v>104</v>
      </c>
      <c r="BS1121" t="s">
        <v>20663</v>
      </c>
      <c r="BT1121" t="str">
        <f>HYPERLINK("https%3A%2F%2Fwww.webofscience.com%2Fwos%2Fwoscc%2Ffull-record%2FWOS:000308138900028","View Full Record in Web of Science")</f>
        <v>View Full Record in Web of Science</v>
      </c>
    </row>
    <row r="1122" spans="1:72" x14ac:dyDescent="0.25">
      <c r="A1122" t="s">
        <v>72</v>
      </c>
      <c r="B1122" t="s">
        <v>20662</v>
      </c>
      <c r="C1122" t="s">
        <v>74</v>
      </c>
      <c r="D1122" t="s">
        <v>74</v>
      </c>
      <c r="E1122" t="s">
        <v>74</v>
      </c>
      <c r="F1122" t="s">
        <v>20661</v>
      </c>
      <c r="G1122" t="s">
        <v>74</v>
      </c>
      <c r="H1122" t="s">
        <v>74</v>
      </c>
      <c r="I1122" t="s">
        <v>20660</v>
      </c>
      <c r="J1122" t="s">
        <v>216</v>
      </c>
      <c r="K1122" t="s">
        <v>74</v>
      </c>
      <c r="L1122" t="s">
        <v>74</v>
      </c>
      <c r="M1122" t="s">
        <v>78</v>
      </c>
      <c r="N1122" t="s">
        <v>52</v>
      </c>
      <c r="O1122" t="s">
        <v>74</v>
      </c>
      <c r="P1122" t="s">
        <v>74</v>
      </c>
      <c r="Q1122" t="s">
        <v>74</v>
      </c>
      <c r="R1122" t="s">
        <v>74</v>
      </c>
      <c r="S1122" t="s">
        <v>74</v>
      </c>
      <c r="T1122" t="s">
        <v>20659</v>
      </c>
      <c r="U1122" t="s">
        <v>74</v>
      </c>
      <c r="V1122" t="s">
        <v>74</v>
      </c>
      <c r="W1122" t="s">
        <v>20658</v>
      </c>
      <c r="X1122" t="s">
        <v>20657</v>
      </c>
      <c r="Y1122" t="s">
        <v>74</v>
      </c>
      <c r="Z1122" t="s">
        <v>20656</v>
      </c>
      <c r="AA1122" t="s">
        <v>20655</v>
      </c>
      <c r="AB1122" t="s">
        <v>5709</v>
      </c>
      <c r="AC1122" t="s">
        <v>74</v>
      </c>
      <c r="AD1122" t="s">
        <v>74</v>
      </c>
      <c r="AE1122" t="s">
        <v>74</v>
      </c>
      <c r="AF1122" t="s">
        <v>74</v>
      </c>
      <c r="AG1122">
        <v>0</v>
      </c>
      <c r="AH1122">
        <v>0</v>
      </c>
      <c r="AI1122">
        <v>0</v>
      </c>
      <c r="AJ1122">
        <v>0</v>
      </c>
      <c r="AK1122">
        <v>1</v>
      </c>
      <c r="AL1122" t="s">
        <v>219</v>
      </c>
      <c r="AM1122" t="s">
        <v>220</v>
      </c>
      <c r="AN1122" t="s">
        <v>221</v>
      </c>
      <c r="AO1122" t="s">
        <v>222</v>
      </c>
      <c r="AP1122" t="s">
        <v>223</v>
      </c>
      <c r="AQ1122" t="s">
        <v>74</v>
      </c>
      <c r="AR1122" t="s">
        <v>224</v>
      </c>
      <c r="AS1122" t="s">
        <v>225</v>
      </c>
      <c r="AT1122" t="s">
        <v>529</v>
      </c>
      <c r="AU1122">
        <v>2012</v>
      </c>
      <c r="AV1122">
        <v>40</v>
      </c>
      <c r="AW1122" t="s">
        <v>74</v>
      </c>
      <c r="AX1122" t="s">
        <v>74</v>
      </c>
      <c r="AY1122">
        <v>56</v>
      </c>
      <c r="AZ1122" t="s">
        <v>74</v>
      </c>
      <c r="BA1122">
        <v>2765</v>
      </c>
      <c r="BB1122" t="s">
        <v>74</v>
      </c>
      <c r="BC1122" t="s">
        <v>74</v>
      </c>
      <c r="BD1122" t="s">
        <v>74</v>
      </c>
      <c r="BE1122" t="s">
        <v>74</v>
      </c>
      <c r="BF1122" t="s">
        <v>74</v>
      </c>
      <c r="BG1122" t="s">
        <v>74</v>
      </c>
      <c r="BH1122" t="s">
        <v>74</v>
      </c>
      <c r="BI1122">
        <v>1</v>
      </c>
      <c r="BJ1122" t="s">
        <v>228</v>
      </c>
      <c r="BK1122" t="s">
        <v>101</v>
      </c>
      <c r="BL1122" t="s">
        <v>228</v>
      </c>
      <c r="BM1122" t="s">
        <v>20462</v>
      </c>
      <c r="BN1122" t="s">
        <v>74</v>
      </c>
      <c r="BO1122" t="s">
        <v>74</v>
      </c>
      <c r="BP1122" t="s">
        <v>74</v>
      </c>
      <c r="BQ1122" t="s">
        <v>74</v>
      </c>
      <c r="BR1122" t="s">
        <v>104</v>
      </c>
      <c r="BS1122" t="s">
        <v>20654</v>
      </c>
      <c r="BT1122" t="str">
        <f>HYPERLINK("https%3A%2F%2Fwww.webofscience.com%2Fwos%2Fwoscc%2Ffull-record%2FWOS:000449650901323","View Full Record in Web of Science")</f>
        <v>View Full Record in Web of Science</v>
      </c>
    </row>
    <row r="1123" spans="1:72" x14ac:dyDescent="0.25">
      <c r="A1123" t="s">
        <v>72</v>
      </c>
      <c r="B1123" t="s">
        <v>20653</v>
      </c>
      <c r="C1123" t="s">
        <v>74</v>
      </c>
      <c r="D1123" t="s">
        <v>74</v>
      </c>
      <c r="E1123" t="s">
        <v>74</v>
      </c>
      <c r="F1123" t="s">
        <v>20652</v>
      </c>
      <c r="G1123" t="s">
        <v>74</v>
      </c>
      <c r="H1123" t="s">
        <v>74</v>
      </c>
      <c r="I1123" t="s">
        <v>20651</v>
      </c>
      <c r="J1123" t="s">
        <v>1161</v>
      </c>
      <c r="K1123" t="s">
        <v>74</v>
      </c>
      <c r="L1123" t="s">
        <v>74</v>
      </c>
      <c r="M1123" t="s">
        <v>78</v>
      </c>
      <c r="N1123" t="s">
        <v>79</v>
      </c>
      <c r="O1123" t="s">
        <v>74</v>
      </c>
      <c r="P1123" t="s">
        <v>74</v>
      </c>
      <c r="Q1123" t="s">
        <v>74</v>
      </c>
      <c r="R1123" t="s">
        <v>74</v>
      </c>
      <c r="S1123" t="s">
        <v>74</v>
      </c>
      <c r="T1123" t="s">
        <v>20650</v>
      </c>
      <c r="U1123" t="s">
        <v>20649</v>
      </c>
      <c r="V1123" t="s">
        <v>20648</v>
      </c>
      <c r="W1123" t="s">
        <v>20647</v>
      </c>
      <c r="X1123" t="s">
        <v>20646</v>
      </c>
      <c r="Y1123" t="s">
        <v>20645</v>
      </c>
      <c r="Z1123" t="s">
        <v>10069</v>
      </c>
      <c r="AA1123" t="s">
        <v>20644</v>
      </c>
      <c r="AB1123" t="s">
        <v>20643</v>
      </c>
      <c r="AC1123" t="s">
        <v>74</v>
      </c>
      <c r="AD1123" t="s">
        <v>74</v>
      </c>
      <c r="AE1123" t="s">
        <v>74</v>
      </c>
      <c r="AF1123" t="s">
        <v>74</v>
      </c>
      <c r="AG1123">
        <v>139</v>
      </c>
      <c r="AH1123">
        <v>6</v>
      </c>
      <c r="AI1123">
        <v>6</v>
      </c>
      <c r="AJ1123">
        <v>1</v>
      </c>
      <c r="AK1123">
        <v>2</v>
      </c>
      <c r="AL1123" t="s">
        <v>1169</v>
      </c>
      <c r="AM1123" t="s">
        <v>123</v>
      </c>
      <c r="AN1123" t="s">
        <v>1170</v>
      </c>
      <c r="AO1123" t="s">
        <v>1171</v>
      </c>
      <c r="AP1123" t="s">
        <v>1172</v>
      </c>
      <c r="AQ1123" t="s">
        <v>74</v>
      </c>
      <c r="AR1123" t="s">
        <v>1173</v>
      </c>
      <c r="AS1123" t="s">
        <v>1174</v>
      </c>
      <c r="AT1123" t="s">
        <v>492</v>
      </c>
      <c r="AU1123">
        <v>2012</v>
      </c>
      <c r="AV1123">
        <v>33</v>
      </c>
      <c r="AW1123">
        <v>3</v>
      </c>
      <c r="AX1123" t="s">
        <v>74</v>
      </c>
      <c r="AY1123" t="s">
        <v>74</v>
      </c>
      <c r="AZ1123" t="s">
        <v>74</v>
      </c>
      <c r="BA1123" t="s">
        <v>74</v>
      </c>
      <c r="BB1123">
        <v>585</v>
      </c>
      <c r="BC1123" t="s">
        <v>3083</v>
      </c>
      <c r="BD1123" t="s">
        <v>74</v>
      </c>
      <c r="BE1123" t="s">
        <v>20642</v>
      </c>
      <c r="BF1123" t="str">
        <f>HYPERLINK("http://dx.doi.org/10.1016/j.ccm.2012.06.004","http://dx.doi.org/10.1016/j.ccm.2012.06.004")</f>
        <v>http://dx.doi.org/10.1016/j.ccm.2012.06.004</v>
      </c>
      <c r="BG1123" t="s">
        <v>74</v>
      </c>
      <c r="BH1123" t="s">
        <v>74</v>
      </c>
      <c r="BI1123">
        <v>14</v>
      </c>
      <c r="BJ1123" t="s">
        <v>228</v>
      </c>
      <c r="BK1123" t="s">
        <v>101</v>
      </c>
      <c r="BL1123" t="s">
        <v>228</v>
      </c>
      <c r="BM1123" t="s">
        <v>20641</v>
      </c>
      <c r="BN1123">
        <v>22929104</v>
      </c>
      <c r="BO1123" t="s">
        <v>74</v>
      </c>
      <c r="BP1123" t="s">
        <v>74</v>
      </c>
      <c r="BQ1123" t="s">
        <v>74</v>
      </c>
      <c r="BR1123" t="s">
        <v>104</v>
      </c>
      <c r="BS1123" t="s">
        <v>20640</v>
      </c>
      <c r="BT1123" t="str">
        <f>HYPERLINK("https%3A%2F%2Fwww.webofscience.com%2Fwos%2Fwoscc%2Ffull-record%2FWOS:000309243800015","View Full Record in Web of Science")</f>
        <v>View Full Record in Web of Science</v>
      </c>
    </row>
    <row r="1124" spans="1:72" x14ac:dyDescent="0.25">
      <c r="A1124" t="s">
        <v>72</v>
      </c>
      <c r="B1124" t="s">
        <v>20639</v>
      </c>
      <c r="C1124" t="s">
        <v>74</v>
      </c>
      <c r="D1124" t="s">
        <v>74</v>
      </c>
      <c r="E1124" t="s">
        <v>74</v>
      </c>
      <c r="F1124" t="s">
        <v>20638</v>
      </c>
      <c r="G1124" t="s">
        <v>74</v>
      </c>
      <c r="H1124" t="s">
        <v>74</v>
      </c>
      <c r="I1124" t="s">
        <v>20637</v>
      </c>
      <c r="J1124" t="s">
        <v>216</v>
      </c>
      <c r="K1124" t="s">
        <v>74</v>
      </c>
      <c r="L1124" t="s">
        <v>74</v>
      </c>
      <c r="M1124" t="s">
        <v>78</v>
      </c>
      <c r="N1124" t="s">
        <v>52</v>
      </c>
      <c r="O1124" t="s">
        <v>74</v>
      </c>
      <c r="P1124" t="s">
        <v>74</v>
      </c>
      <c r="Q1124" t="s">
        <v>74</v>
      </c>
      <c r="R1124" t="s">
        <v>74</v>
      </c>
      <c r="S1124" t="s">
        <v>74</v>
      </c>
      <c r="T1124" t="s">
        <v>20636</v>
      </c>
      <c r="U1124" t="s">
        <v>74</v>
      </c>
      <c r="V1124" t="s">
        <v>74</v>
      </c>
      <c r="W1124" t="s">
        <v>20635</v>
      </c>
      <c r="X1124" t="s">
        <v>20634</v>
      </c>
      <c r="Y1124" t="s">
        <v>74</v>
      </c>
      <c r="Z1124" t="s">
        <v>20633</v>
      </c>
      <c r="AA1124" t="s">
        <v>20632</v>
      </c>
      <c r="AB1124" t="s">
        <v>8098</v>
      </c>
      <c r="AC1124" t="s">
        <v>74</v>
      </c>
      <c r="AD1124" t="s">
        <v>74</v>
      </c>
      <c r="AE1124" t="s">
        <v>74</v>
      </c>
      <c r="AF1124" t="s">
        <v>74</v>
      </c>
      <c r="AG1124">
        <v>0</v>
      </c>
      <c r="AH1124">
        <v>0</v>
      </c>
      <c r="AI1124">
        <v>0</v>
      </c>
      <c r="AJ1124">
        <v>0</v>
      </c>
      <c r="AK1124">
        <v>0</v>
      </c>
      <c r="AL1124" t="s">
        <v>219</v>
      </c>
      <c r="AM1124" t="s">
        <v>220</v>
      </c>
      <c r="AN1124" t="s">
        <v>221</v>
      </c>
      <c r="AO1124" t="s">
        <v>222</v>
      </c>
      <c r="AP1124" t="s">
        <v>223</v>
      </c>
      <c r="AQ1124" t="s">
        <v>74</v>
      </c>
      <c r="AR1124" t="s">
        <v>224</v>
      </c>
      <c r="AS1124" t="s">
        <v>225</v>
      </c>
      <c r="AT1124" t="s">
        <v>529</v>
      </c>
      <c r="AU1124">
        <v>2012</v>
      </c>
      <c r="AV1124">
        <v>40</v>
      </c>
      <c r="AW1124" t="s">
        <v>74</v>
      </c>
      <c r="AX1124" t="s">
        <v>74</v>
      </c>
      <c r="AY1124">
        <v>56</v>
      </c>
      <c r="AZ1124" t="s">
        <v>74</v>
      </c>
      <c r="BA1124">
        <v>1494</v>
      </c>
      <c r="BB1124" t="s">
        <v>74</v>
      </c>
      <c r="BC1124" t="s">
        <v>74</v>
      </c>
      <c r="BD1124" t="s">
        <v>74</v>
      </c>
      <c r="BE1124" t="s">
        <v>74</v>
      </c>
      <c r="BF1124" t="s">
        <v>74</v>
      </c>
      <c r="BG1124" t="s">
        <v>74</v>
      </c>
      <c r="BH1124" t="s">
        <v>74</v>
      </c>
      <c r="BI1124">
        <v>2</v>
      </c>
      <c r="BJ1124" t="s">
        <v>228</v>
      </c>
      <c r="BK1124" t="s">
        <v>101</v>
      </c>
      <c r="BL1124" t="s">
        <v>228</v>
      </c>
      <c r="BM1124" t="s">
        <v>20462</v>
      </c>
      <c r="BN1124" t="s">
        <v>74</v>
      </c>
      <c r="BO1124" t="s">
        <v>74</v>
      </c>
      <c r="BP1124" t="s">
        <v>74</v>
      </c>
      <c r="BQ1124" t="s">
        <v>74</v>
      </c>
      <c r="BR1124" t="s">
        <v>104</v>
      </c>
      <c r="BS1124" t="s">
        <v>20631</v>
      </c>
      <c r="BT1124" t="str">
        <f>HYPERLINK("https%3A%2F%2Fwww.webofscience.com%2Fwos%2Fwoscc%2Ffull-record%2FWOS:000449650903525","View Full Record in Web of Science")</f>
        <v>View Full Record in Web of Science</v>
      </c>
    </row>
    <row r="1125" spans="1:72" x14ac:dyDescent="0.25">
      <c r="A1125" t="s">
        <v>72</v>
      </c>
      <c r="B1125" t="s">
        <v>20630</v>
      </c>
      <c r="C1125" t="s">
        <v>74</v>
      </c>
      <c r="D1125" t="s">
        <v>74</v>
      </c>
      <c r="E1125" t="s">
        <v>74</v>
      </c>
      <c r="F1125" t="s">
        <v>20629</v>
      </c>
      <c r="G1125" t="s">
        <v>74</v>
      </c>
      <c r="H1125" t="s">
        <v>20628</v>
      </c>
      <c r="I1125" t="s">
        <v>20627</v>
      </c>
      <c r="J1125" t="s">
        <v>216</v>
      </c>
      <c r="K1125" t="s">
        <v>74</v>
      </c>
      <c r="L1125" t="s">
        <v>74</v>
      </c>
      <c r="M1125" t="s">
        <v>78</v>
      </c>
      <c r="N1125" t="s">
        <v>79</v>
      </c>
      <c r="O1125" t="s">
        <v>74</v>
      </c>
      <c r="P1125" t="s">
        <v>74</v>
      </c>
      <c r="Q1125" t="s">
        <v>74</v>
      </c>
      <c r="R1125" t="s">
        <v>74</v>
      </c>
      <c r="S1125" t="s">
        <v>74</v>
      </c>
      <c r="T1125" t="s">
        <v>20626</v>
      </c>
      <c r="U1125" t="s">
        <v>20625</v>
      </c>
      <c r="V1125" t="s">
        <v>20624</v>
      </c>
      <c r="W1125" t="s">
        <v>20623</v>
      </c>
      <c r="X1125" t="s">
        <v>20622</v>
      </c>
      <c r="Y1125" t="s">
        <v>20621</v>
      </c>
      <c r="Z1125" t="s">
        <v>20620</v>
      </c>
      <c r="AA1125" t="s">
        <v>20619</v>
      </c>
      <c r="AB1125" t="s">
        <v>20618</v>
      </c>
      <c r="AC1125" t="s">
        <v>20617</v>
      </c>
      <c r="AD1125" t="s">
        <v>20616</v>
      </c>
      <c r="AE1125" t="s">
        <v>20615</v>
      </c>
      <c r="AF1125" t="s">
        <v>74</v>
      </c>
      <c r="AG1125">
        <v>56</v>
      </c>
      <c r="AH1125">
        <v>56</v>
      </c>
      <c r="AI1125">
        <v>58</v>
      </c>
      <c r="AJ1125">
        <v>0</v>
      </c>
      <c r="AK1125">
        <v>5</v>
      </c>
      <c r="AL1125" t="s">
        <v>219</v>
      </c>
      <c r="AM1125" t="s">
        <v>220</v>
      </c>
      <c r="AN1125" t="s">
        <v>221</v>
      </c>
      <c r="AO1125" t="s">
        <v>222</v>
      </c>
      <c r="AP1125" t="s">
        <v>223</v>
      </c>
      <c r="AQ1125" t="s">
        <v>74</v>
      </c>
      <c r="AR1125" t="s">
        <v>224</v>
      </c>
      <c r="AS1125" t="s">
        <v>225</v>
      </c>
      <c r="AT1125" t="s">
        <v>492</v>
      </c>
      <c r="AU1125">
        <v>2012</v>
      </c>
      <c r="AV1125">
        <v>40</v>
      </c>
      <c r="AW1125">
        <v>3</v>
      </c>
      <c r="AX1125" t="s">
        <v>74</v>
      </c>
      <c r="AY1125" t="s">
        <v>74</v>
      </c>
      <c r="AZ1125" t="s">
        <v>74</v>
      </c>
      <c r="BA1125" t="s">
        <v>74</v>
      </c>
      <c r="BB1125">
        <v>630</v>
      </c>
      <c r="BC1125">
        <v>640</v>
      </c>
      <c r="BD1125" t="s">
        <v>74</v>
      </c>
      <c r="BE1125" t="s">
        <v>20614</v>
      </c>
      <c r="BF1125" t="str">
        <f>HYPERLINK("http://dx.doi.org/10.1183/09031936.00093111","http://dx.doi.org/10.1183/09031936.00093111")</f>
        <v>http://dx.doi.org/10.1183/09031936.00093111</v>
      </c>
      <c r="BG1125" t="s">
        <v>74</v>
      </c>
      <c r="BH1125" t="s">
        <v>74</v>
      </c>
      <c r="BI1125">
        <v>11</v>
      </c>
      <c r="BJ1125" t="s">
        <v>228</v>
      </c>
      <c r="BK1125" t="s">
        <v>101</v>
      </c>
      <c r="BL1125" t="s">
        <v>228</v>
      </c>
      <c r="BM1125" t="s">
        <v>20518</v>
      </c>
      <c r="BN1125">
        <v>22362861</v>
      </c>
      <c r="BO1125" t="s">
        <v>3737</v>
      </c>
      <c r="BP1125" t="s">
        <v>74</v>
      </c>
      <c r="BQ1125" t="s">
        <v>74</v>
      </c>
      <c r="BR1125" t="s">
        <v>104</v>
      </c>
      <c r="BS1125" t="s">
        <v>20613</v>
      </c>
      <c r="BT1125" t="str">
        <f>HYPERLINK("https%3A%2F%2Fwww.webofscience.com%2Fwos%2Fwoscc%2Ffull-record%2FWOS:000309034500017","View Full Record in Web of Science")</f>
        <v>View Full Record in Web of Science</v>
      </c>
    </row>
    <row r="1126" spans="1:72" x14ac:dyDescent="0.25">
      <c r="A1126" t="s">
        <v>72</v>
      </c>
      <c r="B1126" t="s">
        <v>20612</v>
      </c>
      <c r="C1126" t="s">
        <v>74</v>
      </c>
      <c r="D1126" t="s">
        <v>74</v>
      </c>
      <c r="E1126" t="s">
        <v>74</v>
      </c>
      <c r="F1126" t="s">
        <v>20611</v>
      </c>
      <c r="G1126" t="s">
        <v>74</v>
      </c>
      <c r="H1126" t="s">
        <v>74</v>
      </c>
      <c r="I1126" t="s">
        <v>20610</v>
      </c>
      <c r="J1126" t="s">
        <v>216</v>
      </c>
      <c r="K1126" t="s">
        <v>74</v>
      </c>
      <c r="L1126" t="s">
        <v>74</v>
      </c>
      <c r="M1126" t="s">
        <v>78</v>
      </c>
      <c r="N1126" t="s">
        <v>52</v>
      </c>
      <c r="O1126" t="s">
        <v>74</v>
      </c>
      <c r="P1126" t="s">
        <v>74</v>
      </c>
      <c r="Q1126" t="s">
        <v>74</v>
      </c>
      <c r="R1126" t="s">
        <v>74</v>
      </c>
      <c r="S1126" t="s">
        <v>74</v>
      </c>
      <c r="T1126" t="s">
        <v>20609</v>
      </c>
      <c r="U1126" t="s">
        <v>74</v>
      </c>
      <c r="V1126" t="s">
        <v>74</v>
      </c>
      <c r="W1126" t="s">
        <v>20608</v>
      </c>
      <c r="X1126" t="s">
        <v>20607</v>
      </c>
      <c r="Y1126" t="s">
        <v>74</v>
      </c>
      <c r="Z1126" t="s">
        <v>20606</v>
      </c>
      <c r="AA1126" t="s">
        <v>20605</v>
      </c>
      <c r="AB1126" t="s">
        <v>5709</v>
      </c>
      <c r="AC1126" t="s">
        <v>74</v>
      </c>
      <c r="AD1126" t="s">
        <v>74</v>
      </c>
      <c r="AE1126" t="s">
        <v>74</v>
      </c>
      <c r="AF1126" t="s">
        <v>74</v>
      </c>
      <c r="AG1126">
        <v>0</v>
      </c>
      <c r="AH1126">
        <v>0</v>
      </c>
      <c r="AI1126">
        <v>0</v>
      </c>
      <c r="AJ1126">
        <v>0</v>
      </c>
      <c r="AK1126">
        <v>0</v>
      </c>
      <c r="AL1126" t="s">
        <v>219</v>
      </c>
      <c r="AM1126" t="s">
        <v>220</v>
      </c>
      <c r="AN1126" t="s">
        <v>221</v>
      </c>
      <c r="AO1126" t="s">
        <v>222</v>
      </c>
      <c r="AP1126" t="s">
        <v>223</v>
      </c>
      <c r="AQ1126" t="s">
        <v>74</v>
      </c>
      <c r="AR1126" t="s">
        <v>224</v>
      </c>
      <c r="AS1126" t="s">
        <v>225</v>
      </c>
      <c r="AT1126" t="s">
        <v>529</v>
      </c>
      <c r="AU1126">
        <v>2012</v>
      </c>
      <c r="AV1126">
        <v>40</v>
      </c>
      <c r="AW1126" t="s">
        <v>74</v>
      </c>
      <c r="AX1126" t="s">
        <v>74</v>
      </c>
      <c r="AY1126">
        <v>56</v>
      </c>
      <c r="AZ1126" t="s">
        <v>74</v>
      </c>
      <c r="BA1126">
        <v>2321</v>
      </c>
      <c r="BB1126" t="s">
        <v>74</v>
      </c>
      <c r="BC1126" t="s">
        <v>74</v>
      </c>
      <c r="BD1126" t="s">
        <v>74</v>
      </c>
      <c r="BE1126" t="s">
        <v>74</v>
      </c>
      <c r="BF1126" t="s">
        <v>74</v>
      </c>
      <c r="BG1126" t="s">
        <v>74</v>
      </c>
      <c r="BH1126" t="s">
        <v>74</v>
      </c>
      <c r="BI1126">
        <v>2</v>
      </c>
      <c r="BJ1126" t="s">
        <v>228</v>
      </c>
      <c r="BK1126" t="s">
        <v>101</v>
      </c>
      <c r="BL1126" t="s">
        <v>228</v>
      </c>
      <c r="BM1126" t="s">
        <v>20462</v>
      </c>
      <c r="BN1126" t="s">
        <v>74</v>
      </c>
      <c r="BO1126" t="s">
        <v>74</v>
      </c>
      <c r="BP1126" t="s">
        <v>74</v>
      </c>
      <c r="BQ1126" t="s">
        <v>74</v>
      </c>
      <c r="BR1126" t="s">
        <v>104</v>
      </c>
      <c r="BS1126" t="s">
        <v>20604</v>
      </c>
      <c r="BT1126" t="str">
        <f>HYPERLINK("https%3A%2F%2Fwww.webofscience.com%2Fwos%2Fwoscc%2Ffull-record%2FWOS:000449650902826","View Full Record in Web of Science")</f>
        <v>View Full Record in Web of Science</v>
      </c>
    </row>
    <row r="1127" spans="1:72" x14ac:dyDescent="0.25">
      <c r="A1127" t="s">
        <v>72</v>
      </c>
      <c r="B1127" t="s">
        <v>20603</v>
      </c>
      <c r="C1127" t="s">
        <v>74</v>
      </c>
      <c r="D1127" t="s">
        <v>74</v>
      </c>
      <c r="E1127" t="s">
        <v>74</v>
      </c>
      <c r="F1127" t="s">
        <v>20602</v>
      </c>
      <c r="G1127" t="s">
        <v>74</v>
      </c>
      <c r="H1127" t="s">
        <v>74</v>
      </c>
      <c r="I1127" t="s">
        <v>20601</v>
      </c>
      <c r="J1127" t="s">
        <v>216</v>
      </c>
      <c r="K1127" t="s">
        <v>74</v>
      </c>
      <c r="L1127" t="s">
        <v>74</v>
      </c>
      <c r="M1127" t="s">
        <v>78</v>
      </c>
      <c r="N1127" t="s">
        <v>52</v>
      </c>
      <c r="O1127" t="s">
        <v>74</v>
      </c>
      <c r="P1127" t="s">
        <v>74</v>
      </c>
      <c r="Q1127" t="s">
        <v>74</v>
      </c>
      <c r="R1127" t="s">
        <v>74</v>
      </c>
      <c r="S1127" t="s">
        <v>74</v>
      </c>
      <c r="T1127" t="s">
        <v>20600</v>
      </c>
      <c r="U1127" t="s">
        <v>74</v>
      </c>
      <c r="V1127" t="s">
        <v>74</v>
      </c>
      <c r="W1127" t="s">
        <v>20599</v>
      </c>
      <c r="X1127" t="s">
        <v>20598</v>
      </c>
      <c r="Y1127" t="s">
        <v>74</v>
      </c>
      <c r="Z1127" t="s">
        <v>20597</v>
      </c>
      <c r="AA1127" t="s">
        <v>20596</v>
      </c>
      <c r="AB1127" t="s">
        <v>11016</v>
      </c>
      <c r="AC1127" t="s">
        <v>20595</v>
      </c>
      <c r="AD1127" t="s">
        <v>20594</v>
      </c>
      <c r="AE1127" t="s">
        <v>20593</v>
      </c>
      <c r="AF1127" t="s">
        <v>74</v>
      </c>
      <c r="AG1127">
        <v>0</v>
      </c>
      <c r="AH1127">
        <v>0</v>
      </c>
      <c r="AI1127">
        <v>0</v>
      </c>
      <c r="AJ1127">
        <v>0</v>
      </c>
      <c r="AK1127">
        <v>0</v>
      </c>
      <c r="AL1127" t="s">
        <v>219</v>
      </c>
      <c r="AM1127" t="s">
        <v>220</v>
      </c>
      <c r="AN1127" t="s">
        <v>221</v>
      </c>
      <c r="AO1127" t="s">
        <v>222</v>
      </c>
      <c r="AP1127" t="s">
        <v>223</v>
      </c>
      <c r="AQ1127" t="s">
        <v>74</v>
      </c>
      <c r="AR1127" t="s">
        <v>224</v>
      </c>
      <c r="AS1127" t="s">
        <v>225</v>
      </c>
      <c r="AT1127" t="s">
        <v>529</v>
      </c>
      <c r="AU1127">
        <v>2012</v>
      </c>
      <c r="AV1127">
        <v>40</v>
      </c>
      <c r="AW1127" t="s">
        <v>74</v>
      </c>
      <c r="AX1127" t="s">
        <v>74</v>
      </c>
      <c r="AY1127">
        <v>56</v>
      </c>
      <c r="AZ1127" t="s">
        <v>74</v>
      </c>
      <c r="BA1127">
        <v>2024</v>
      </c>
      <c r="BB1127" t="s">
        <v>74</v>
      </c>
      <c r="BC1127" t="s">
        <v>74</v>
      </c>
      <c r="BD1127" t="s">
        <v>74</v>
      </c>
      <c r="BE1127" t="s">
        <v>74</v>
      </c>
      <c r="BF1127" t="s">
        <v>74</v>
      </c>
      <c r="BG1127" t="s">
        <v>74</v>
      </c>
      <c r="BH1127" t="s">
        <v>74</v>
      </c>
      <c r="BI1127">
        <v>1</v>
      </c>
      <c r="BJ1127" t="s">
        <v>228</v>
      </c>
      <c r="BK1127" t="s">
        <v>101</v>
      </c>
      <c r="BL1127" t="s">
        <v>228</v>
      </c>
      <c r="BM1127" t="s">
        <v>20462</v>
      </c>
      <c r="BN1127" t="s">
        <v>74</v>
      </c>
      <c r="BO1127" t="s">
        <v>74</v>
      </c>
      <c r="BP1127" t="s">
        <v>74</v>
      </c>
      <c r="BQ1127" t="s">
        <v>74</v>
      </c>
      <c r="BR1127" t="s">
        <v>104</v>
      </c>
      <c r="BS1127" t="s">
        <v>20592</v>
      </c>
      <c r="BT1127" t="str">
        <f>HYPERLINK("https%3A%2F%2Fwww.webofscience.com%2Fwos%2Fwoscc%2Ffull-record%2FWOS:000449650904137","View Full Record in Web of Science")</f>
        <v>View Full Record in Web of Science</v>
      </c>
    </row>
    <row r="1128" spans="1:72" x14ac:dyDescent="0.25">
      <c r="A1128" t="s">
        <v>72</v>
      </c>
      <c r="B1128" t="s">
        <v>20591</v>
      </c>
      <c r="C1128" t="s">
        <v>74</v>
      </c>
      <c r="D1128" t="s">
        <v>74</v>
      </c>
      <c r="E1128" t="s">
        <v>74</v>
      </c>
      <c r="F1128" t="s">
        <v>20590</v>
      </c>
      <c r="G1128" t="s">
        <v>74</v>
      </c>
      <c r="H1128" t="s">
        <v>74</v>
      </c>
      <c r="I1128" t="s">
        <v>20589</v>
      </c>
      <c r="J1128" t="s">
        <v>216</v>
      </c>
      <c r="K1128" t="s">
        <v>74</v>
      </c>
      <c r="L1128" t="s">
        <v>74</v>
      </c>
      <c r="M1128" t="s">
        <v>78</v>
      </c>
      <c r="N1128" t="s">
        <v>52</v>
      </c>
      <c r="O1128" t="s">
        <v>74</v>
      </c>
      <c r="P1128" t="s">
        <v>74</v>
      </c>
      <c r="Q1128" t="s">
        <v>74</v>
      </c>
      <c r="R1128" t="s">
        <v>74</v>
      </c>
      <c r="S1128" t="s">
        <v>74</v>
      </c>
      <c r="T1128" t="s">
        <v>20588</v>
      </c>
      <c r="U1128" t="s">
        <v>74</v>
      </c>
      <c r="V1128" t="s">
        <v>74</v>
      </c>
      <c r="W1128" t="s">
        <v>20587</v>
      </c>
      <c r="X1128" t="s">
        <v>20586</v>
      </c>
      <c r="Y1128" t="s">
        <v>74</v>
      </c>
      <c r="Z1128" t="s">
        <v>20585</v>
      </c>
      <c r="AA1128" t="s">
        <v>20584</v>
      </c>
      <c r="AB1128" t="s">
        <v>8050</v>
      </c>
      <c r="AC1128" t="s">
        <v>74</v>
      </c>
      <c r="AD1128" t="s">
        <v>74</v>
      </c>
      <c r="AE1128" t="s">
        <v>74</v>
      </c>
      <c r="AF1128" t="s">
        <v>74</v>
      </c>
      <c r="AG1128">
        <v>0</v>
      </c>
      <c r="AH1128">
        <v>0</v>
      </c>
      <c r="AI1128">
        <v>0</v>
      </c>
      <c r="AJ1128">
        <v>0</v>
      </c>
      <c r="AK1128">
        <v>0</v>
      </c>
      <c r="AL1128" t="s">
        <v>219</v>
      </c>
      <c r="AM1128" t="s">
        <v>220</v>
      </c>
      <c r="AN1128" t="s">
        <v>221</v>
      </c>
      <c r="AO1128" t="s">
        <v>222</v>
      </c>
      <c r="AP1128" t="s">
        <v>223</v>
      </c>
      <c r="AQ1128" t="s">
        <v>74</v>
      </c>
      <c r="AR1128" t="s">
        <v>224</v>
      </c>
      <c r="AS1128" t="s">
        <v>225</v>
      </c>
      <c r="AT1128" t="s">
        <v>529</v>
      </c>
      <c r="AU1128">
        <v>2012</v>
      </c>
      <c r="AV1128">
        <v>40</v>
      </c>
      <c r="AW1128" t="s">
        <v>74</v>
      </c>
      <c r="AX1128" t="s">
        <v>74</v>
      </c>
      <c r="AY1128">
        <v>56</v>
      </c>
      <c r="AZ1128" t="s">
        <v>74</v>
      </c>
      <c r="BA1128">
        <v>3175</v>
      </c>
      <c r="BB1128" t="s">
        <v>74</v>
      </c>
      <c r="BC1128" t="s">
        <v>74</v>
      </c>
      <c r="BD1128" t="s">
        <v>74</v>
      </c>
      <c r="BE1128" t="s">
        <v>74</v>
      </c>
      <c r="BF1128" t="s">
        <v>74</v>
      </c>
      <c r="BG1128" t="s">
        <v>74</v>
      </c>
      <c r="BH1128" t="s">
        <v>74</v>
      </c>
      <c r="BI1128">
        <v>1</v>
      </c>
      <c r="BJ1128" t="s">
        <v>228</v>
      </c>
      <c r="BK1128" t="s">
        <v>101</v>
      </c>
      <c r="BL1128" t="s">
        <v>228</v>
      </c>
      <c r="BM1128" t="s">
        <v>20462</v>
      </c>
      <c r="BN1128" t="s">
        <v>74</v>
      </c>
      <c r="BO1128" t="s">
        <v>74</v>
      </c>
      <c r="BP1128" t="s">
        <v>74</v>
      </c>
      <c r="BQ1128" t="s">
        <v>74</v>
      </c>
      <c r="BR1128" t="s">
        <v>104</v>
      </c>
      <c r="BS1128" t="s">
        <v>20583</v>
      </c>
      <c r="BT1128" t="str">
        <f>HYPERLINK("https%3A%2F%2Fwww.webofscience.com%2Fwos%2Fwoscc%2Ffull-record%2FWOS:000449650902752","View Full Record in Web of Science")</f>
        <v>View Full Record in Web of Science</v>
      </c>
    </row>
    <row r="1129" spans="1:72" x14ac:dyDescent="0.25">
      <c r="A1129" t="s">
        <v>72</v>
      </c>
      <c r="B1129" t="s">
        <v>20582</v>
      </c>
      <c r="C1129" t="s">
        <v>74</v>
      </c>
      <c r="D1129" t="s">
        <v>74</v>
      </c>
      <c r="E1129" t="s">
        <v>74</v>
      </c>
      <c r="F1129" t="s">
        <v>20581</v>
      </c>
      <c r="G1129" t="s">
        <v>74</v>
      </c>
      <c r="H1129" t="s">
        <v>74</v>
      </c>
      <c r="I1129" t="s">
        <v>20580</v>
      </c>
      <c r="J1129" t="s">
        <v>216</v>
      </c>
      <c r="K1129" t="s">
        <v>74</v>
      </c>
      <c r="L1129" t="s">
        <v>74</v>
      </c>
      <c r="M1129" t="s">
        <v>78</v>
      </c>
      <c r="N1129" t="s">
        <v>52</v>
      </c>
      <c r="O1129" t="s">
        <v>74</v>
      </c>
      <c r="P1129" t="s">
        <v>74</v>
      </c>
      <c r="Q1129" t="s">
        <v>74</v>
      </c>
      <c r="R1129" t="s">
        <v>74</v>
      </c>
      <c r="S1129" t="s">
        <v>74</v>
      </c>
      <c r="T1129" t="s">
        <v>20579</v>
      </c>
      <c r="U1129" t="s">
        <v>74</v>
      </c>
      <c r="V1129" t="s">
        <v>74</v>
      </c>
      <c r="W1129" t="s">
        <v>20578</v>
      </c>
      <c r="X1129" t="s">
        <v>20577</v>
      </c>
      <c r="Y1129" t="s">
        <v>74</v>
      </c>
      <c r="Z1129" t="s">
        <v>20576</v>
      </c>
      <c r="AA1129" t="s">
        <v>14144</v>
      </c>
      <c r="AB1129" t="s">
        <v>74</v>
      </c>
      <c r="AC1129" t="s">
        <v>19125</v>
      </c>
      <c r="AD1129" t="s">
        <v>19125</v>
      </c>
      <c r="AE1129" t="s">
        <v>20575</v>
      </c>
      <c r="AF1129" t="s">
        <v>74</v>
      </c>
      <c r="AG1129">
        <v>0</v>
      </c>
      <c r="AH1129">
        <v>0</v>
      </c>
      <c r="AI1129">
        <v>0</v>
      </c>
      <c r="AJ1129">
        <v>0</v>
      </c>
      <c r="AK1129">
        <v>0</v>
      </c>
      <c r="AL1129" t="s">
        <v>219</v>
      </c>
      <c r="AM1129" t="s">
        <v>220</v>
      </c>
      <c r="AN1129" t="s">
        <v>221</v>
      </c>
      <c r="AO1129" t="s">
        <v>222</v>
      </c>
      <c r="AP1129" t="s">
        <v>223</v>
      </c>
      <c r="AQ1129" t="s">
        <v>74</v>
      </c>
      <c r="AR1129" t="s">
        <v>224</v>
      </c>
      <c r="AS1129" t="s">
        <v>225</v>
      </c>
      <c r="AT1129" t="s">
        <v>529</v>
      </c>
      <c r="AU1129">
        <v>2012</v>
      </c>
      <c r="AV1129">
        <v>40</v>
      </c>
      <c r="AW1129" t="s">
        <v>74</v>
      </c>
      <c r="AX1129" t="s">
        <v>74</v>
      </c>
      <c r="AY1129">
        <v>56</v>
      </c>
      <c r="AZ1129" t="s">
        <v>74</v>
      </c>
      <c r="BA1129">
        <v>1038</v>
      </c>
      <c r="BB1129" t="s">
        <v>74</v>
      </c>
      <c r="BC1129" t="s">
        <v>74</v>
      </c>
      <c r="BD1129" t="s">
        <v>74</v>
      </c>
      <c r="BE1129" t="s">
        <v>74</v>
      </c>
      <c r="BF1129" t="s">
        <v>74</v>
      </c>
      <c r="BG1129" t="s">
        <v>74</v>
      </c>
      <c r="BH1129" t="s">
        <v>74</v>
      </c>
      <c r="BI1129">
        <v>1</v>
      </c>
      <c r="BJ1129" t="s">
        <v>228</v>
      </c>
      <c r="BK1129" t="s">
        <v>101</v>
      </c>
      <c r="BL1129" t="s">
        <v>228</v>
      </c>
      <c r="BM1129" t="s">
        <v>20462</v>
      </c>
      <c r="BN1129" t="s">
        <v>74</v>
      </c>
      <c r="BO1129" t="s">
        <v>74</v>
      </c>
      <c r="BP1129" t="s">
        <v>74</v>
      </c>
      <c r="BQ1129" t="s">
        <v>74</v>
      </c>
      <c r="BR1129" t="s">
        <v>104</v>
      </c>
      <c r="BS1129" t="s">
        <v>20574</v>
      </c>
      <c r="BT1129" t="str">
        <f>HYPERLINK("https%3A%2F%2Fwww.webofscience.com%2Fwos%2Fwoscc%2Ffull-record%2FWOS:000449650904252","View Full Record in Web of Science")</f>
        <v>View Full Record in Web of Science</v>
      </c>
    </row>
    <row r="1130" spans="1:72" x14ac:dyDescent="0.25">
      <c r="A1130" t="s">
        <v>72</v>
      </c>
      <c r="B1130" t="s">
        <v>20573</v>
      </c>
      <c r="C1130" t="s">
        <v>74</v>
      </c>
      <c r="D1130" t="s">
        <v>74</v>
      </c>
      <c r="E1130" t="s">
        <v>74</v>
      </c>
      <c r="F1130" t="s">
        <v>20572</v>
      </c>
      <c r="G1130" t="s">
        <v>74</v>
      </c>
      <c r="H1130" t="s">
        <v>74</v>
      </c>
      <c r="I1130" t="s">
        <v>20571</v>
      </c>
      <c r="J1130" t="s">
        <v>15500</v>
      </c>
      <c r="K1130" t="s">
        <v>74</v>
      </c>
      <c r="L1130" t="s">
        <v>74</v>
      </c>
      <c r="M1130" t="s">
        <v>78</v>
      </c>
      <c r="N1130" t="s">
        <v>79</v>
      </c>
      <c r="O1130" t="s">
        <v>74</v>
      </c>
      <c r="P1130" t="s">
        <v>74</v>
      </c>
      <c r="Q1130" t="s">
        <v>74</v>
      </c>
      <c r="R1130" t="s">
        <v>74</v>
      </c>
      <c r="S1130" t="s">
        <v>74</v>
      </c>
      <c r="T1130" t="s">
        <v>74</v>
      </c>
      <c r="U1130" t="s">
        <v>20570</v>
      </c>
      <c r="V1130" t="s">
        <v>20569</v>
      </c>
      <c r="W1130" t="s">
        <v>20568</v>
      </c>
      <c r="X1130" t="s">
        <v>20567</v>
      </c>
      <c r="Y1130" t="s">
        <v>20566</v>
      </c>
      <c r="Z1130" t="s">
        <v>10035</v>
      </c>
      <c r="AA1130" t="s">
        <v>20565</v>
      </c>
      <c r="AB1130" t="s">
        <v>20564</v>
      </c>
      <c r="AC1130" t="s">
        <v>20563</v>
      </c>
      <c r="AD1130" t="s">
        <v>20562</v>
      </c>
      <c r="AE1130" t="s">
        <v>20561</v>
      </c>
      <c r="AF1130" t="s">
        <v>74</v>
      </c>
      <c r="AG1130">
        <v>43</v>
      </c>
      <c r="AH1130">
        <v>101</v>
      </c>
      <c r="AI1130">
        <v>105</v>
      </c>
      <c r="AJ1130">
        <v>0</v>
      </c>
      <c r="AK1130">
        <v>3</v>
      </c>
      <c r="AL1130" t="s">
        <v>169</v>
      </c>
      <c r="AM1130" t="s">
        <v>170</v>
      </c>
      <c r="AN1130" t="s">
        <v>171</v>
      </c>
      <c r="AO1130" t="s">
        <v>15491</v>
      </c>
      <c r="AP1130" t="s">
        <v>16087</v>
      </c>
      <c r="AQ1130" t="s">
        <v>74</v>
      </c>
      <c r="AR1130" t="s">
        <v>16086</v>
      </c>
      <c r="AS1130" t="s">
        <v>15489</v>
      </c>
      <c r="AT1130" t="s">
        <v>492</v>
      </c>
      <c r="AU1130">
        <v>2012</v>
      </c>
      <c r="AV1130">
        <v>64</v>
      </c>
      <c r="AW1130">
        <v>9</v>
      </c>
      <c r="AX1130" t="s">
        <v>74</v>
      </c>
      <c r="AY1130" t="s">
        <v>74</v>
      </c>
      <c r="AZ1130" t="s">
        <v>74</v>
      </c>
      <c r="BA1130" t="s">
        <v>74</v>
      </c>
      <c r="BB1130">
        <v>2995</v>
      </c>
      <c r="BC1130">
        <v>3005</v>
      </c>
      <c r="BD1130" t="s">
        <v>74</v>
      </c>
      <c r="BE1130" t="s">
        <v>20560</v>
      </c>
      <c r="BF1130" t="str">
        <f>HYPERLINK("http://dx.doi.org/10.1002/art.34501","http://dx.doi.org/10.1002/art.34501")</f>
        <v>http://dx.doi.org/10.1002/art.34501</v>
      </c>
      <c r="BG1130" t="s">
        <v>74</v>
      </c>
      <c r="BH1130" t="s">
        <v>74</v>
      </c>
      <c r="BI1130">
        <v>11</v>
      </c>
      <c r="BJ1130" t="s">
        <v>2369</v>
      </c>
      <c r="BK1130" t="s">
        <v>101</v>
      </c>
      <c r="BL1130" t="s">
        <v>2369</v>
      </c>
      <c r="BM1130" t="s">
        <v>20559</v>
      </c>
      <c r="BN1130">
        <v>22549387</v>
      </c>
      <c r="BO1130" t="s">
        <v>74</v>
      </c>
      <c r="BP1130" t="s">
        <v>74</v>
      </c>
      <c r="BQ1130" t="s">
        <v>74</v>
      </c>
      <c r="BR1130" t="s">
        <v>104</v>
      </c>
      <c r="BS1130" t="s">
        <v>20558</v>
      </c>
      <c r="BT1130" t="str">
        <f>HYPERLINK("https%3A%2F%2Fwww.webofscience.com%2Fwos%2Fwoscc%2Ffull-record%2FWOS:000308035100020","View Full Record in Web of Science")</f>
        <v>View Full Record in Web of Science</v>
      </c>
    </row>
    <row r="1131" spans="1:72" x14ac:dyDescent="0.25">
      <c r="A1131" t="s">
        <v>72</v>
      </c>
      <c r="B1131" t="s">
        <v>20557</v>
      </c>
      <c r="C1131" t="s">
        <v>74</v>
      </c>
      <c r="D1131" t="s">
        <v>74</v>
      </c>
      <c r="E1131" t="s">
        <v>74</v>
      </c>
      <c r="F1131" t="s">
        <v>20556</v>
      </c>
      <c r="G1131" t="s">
        <v>74</v>
      </c>
      <c r="H1131" t="s">
        <v>74</v>
      </c>
      <c r="I1131" t="s">
        <v>20555</v>
      </c>
      <c r="J1131" t="s">
        <v>216</v>
      </c>
      <c r="K1131" t="s">
        <v>74</v>
      </c>
      <c r="L1131" t="s">
        <v>74</v>
      </c>
      <c r="M1131" t="s">
        <v>78</v>
      </c>
      <c r="N1131" t="s">
        <v>52</v>
      </c>
      <c r="O1131" t="s">
        <v>74</v>
      </c>
      <c r="P1131" t="s">
        <v>74</v>
      </c>
      <c r="Q1131" t="s">
        <v>74</v>
      </c>
      <c r="R1131" t="s">
        <v>74</v>
      </c>
      <c r="S1131" t="s">
        <v>74</v>
      </c>
      <c r="T1131" t="s">
        <v>20554</v>
      </c>
      <c r="U1131" t="s">
        <v>74</v>
      </c>
      <c r="V1131" t="s">
        <v>74</v>
      </c>
      <c r="W1131" t="s">
        <v>20553</v>
      </c>
      <c r="X1131" t="s">
        <v>20552</v>
      </c>
      <c r="Y1131" t="s">
        <v>74</v>
      </c>
      <c r="Z1131" t="s">
        <v>20551</v>
      </c>
      <c r="AA1131" t="s">
        <v>20550</v>
      </c>
      <c r="AB1131" t="s">
        <v>11914</v>
      </c>
      <c r="AC1131" t="s">
        <v>74</v>
      </c>
      <c r="AD1131" t="s">
        <v>74</v>
      </c>
      <c r="AE1131" t="s">
        <v>74</v>
      </c>
      <c r="AF1131" t="s">
        <v>74</v>
      </c>
      <c r="AG1131">
        <v>0</v>
      </c>
      <c r="AH1131">
        <v>0</v>
      </c>
      <c r="AI1131">
        <v>0</v>
      </c>
      <c r="AJ1131">
        <v>0</v>
      </c>
      <c r="AK1131">
        <v>0</v>
      </c>
      <c r="AL1131" t="s">
        <v>219</v>
      </c>
      <c r="AM1131" t="s">
        <v>220</v>
      </c>
      <c r="AN1131" t="s">
        <v>221</v>
      </c>
      <c r="AO1131" t="s">
        <v>222</v>
      </c>
      <c r="AP1131" t="s">
        <v>223</v>
      </c>
      <c r="AQ1131" t="s">
        <v>74</v>
      </c>
      <c r="AR1131" t="s">
        <v>224</v>
      </c>
      <c r="AS1131" t="s">
        <v>225</v>
      </c>
      <c r="AT1131" t="s">
        <v>529</v>
      </c>
      <c r="AU1131">
        <v>2012</v>
      </c>
      <c r="AV1131">
        <v>40</v>
      </c>
      <c r="AW1131" t="s">
        <v>74</v>
      </c>
      <c r="AX1131" t="s">
        <v>74</v>
      </c>
      <c r="AY1131">
        <v>56</v>
      </c>
      <c r="AZ1131" t="s">
        <v>74</v>
      </c>
      <c r="BA1131">
        <v>4224</v>
      </c>
      <c r="BB1131" t="s">
        <v>74</v>
      </c>
      <c r="BC1131" t="s">
        <v>74</v>
      </c>
      <c r="BD1131" t="s">
        <v>74</v>
      </c>
      <c r="BE1131" t="s">
        <v>74</v>
      </c>
      <c r="BF1131" t="s">
        <v>74</v>
      </c>
      <c r="BG1131" t="s">
        <v>74</v>
      </c>
      <c r="BH1131" t="s">
        <v>74</v>
      </c>
      <c r="BI1131">
        <v>2</v>
      </c>
      <c r="BJ1131" t="s">
        <v>228</v>
      </c>
      <c r="BK1131" t="s">
        <v>101</v>
      </c>
      <c r="BL1131" t="s">
        <v>228</v>
      </c>
      <c r="BM1131" t="s">
        <v>20462</v>
      </c>
      <c r="BN1131" t="s">
        <v>74</v>
      </c>
      <c r="BO1131" t="s">
        <v>74</v>
      </c>
      <c r="BP1131" t="s">
        <v>74</v>
      </c>
      <c r="BQ1131" t="s">
        <v>74</v>
      </c>
      <c r="BR1131" t="s">
        <v>104</v>
      </c>
      <c r="BS1131" t="s">
        <v>20549</v>
      </c>
      <c r="BT1131" t="str">
        <f>HYPERLINK("https%3A%2F%2Fwww.webofscience.com%2Fwos%2Fwoscc%2Ffull-record%2FWOS:000449650901311","View Full Record in Web of Science")</f>
        <v>View Full Record in Web of Science</v>
      </c>
    </row>
    <row r="1132" spans="1:72" x14ac:dyDescent="0.25">
      <c r="A1132" t="s">
        <v>72</v>
      </c>
      <c r="B1132" t="s">
        <v>20548</v>
      </c>
      <c r="C1132" t="s">
        <v>74</v>
      </c>
      <c r="D1132" t="s">
        <v>74</v>
      </c>
      <c r="E1132" t="s">
        <v>74</v>
      </c>
      <c r="F1132" t="s">
        <v>20547</v>
      </c>
      <c r="G1132" t="s">
        <v>74</v>
      </c>
      <c r="H1132" t="s">
        <v>74</v>
      </c>
      <c r="I1132" t="s">
        <v>20546</v>
      </c>
      <c r="J1132" t="s">
        <v>216</v>
      </c>
      <c r="K1132" t="s">
        <v>74</v>
      </c>
      <c r="L1132" t="s">
        <v>74</v>
      </c>
      <c r="M1132" t="s">
        <v>78</v>
      </c>
      <c r="N1132" t="s">
        <v>52</v>
      </c>
      <c r="O1132" t="s">
        <v>74</v>
      </c>
      <c r="P1132" t="s">
        <v>74</v>
      </c>
      <c r="Q1132" t="s">
        <v>74</v>
      </c>
      <c r="R1132" t="s">
        <v>74</v>
      </c>
      <c r="S1132" t="s">
        <v>74</v>
      </c>
      <c r="T1132" t="s">
        <v>20545</v>
      </c>
      <c r="U1132" t="s">
        <v>74</v>
      </c>
      <c r="V1132" t="s">
        <v>74</v>
      </c>
      <c r="W1132" t="s">
        <v>20544</v>
      </c>
      <c r="X1132" t="s">
        <v>20543</v>
      </c>
      <c r="Y1132" t="s">
        <v>74</v>
      </c>
      <c r="Z1132" t="s">
        <v>20542</v>
      </c>
      <c r="AA1132" t="s">
        <v>20541</v>
      </c>
      <c r="AB1132" t="s">
        <v>5709</v>
      </c>
      <c r="AC1132" t="s">
        <v>20540</v>
      </c>
      <c r="AD1132" t="s">
        <v>20540</v>
      </c>
      <c r="AE1132" t="s">
        <v>20539</v>
      </c>
      <c r="AF1132" t="s">
        <v>74</v>
      </c>
      <c r="AG1132">
        <v>0</v>
      </c>
      <c r="AH1132">
        <v>0</v>
      </c>
      <c r="AI1132">
        <v>0</v>
      </c>
      <c r="AJ1132">
        <v>0</v>
      </c>
      <c r="AK1132">
        <v>0</v>
      </c>
      <c r="AL1132" t="s">
        <v>219</v>
      </c>
      <c r="AM1132" t="s">
        <v>220</v>
      </c>
      <c r="AN1132" t="s">
        <v>221</v>
      </c>
      <c r="AO1132" t="s">
        <v>222</v>
      </c>
      <c r="AP1132" t="s">
        <v>223</v>
      </c>
      <c r="AQ1132" t="s">
        <v>74</v>
      </c>
      <c r="AR1132" t="s">
        <v>224</v>
      </c>
      <c r="AS1132" t="s">
        <v>225</v>
      </c>
      <c r="AT1132" t="s">
        <v>529</v>
      </c>
      <c r="AU1132">
        <v>2012</v>
      </c>
      <c r="AV1132">
        <v>40</v>
      </c>
      <c r="AW1132" t="s">
        <v>74</v>
      </c>
      <c r="AX1132" t="s">
        <v>74</v>
      </c>
      <c r="AY1132">
        <v>56</v>
      </c>
      <c r="AZ1132" t="s">
        <v>74</v>
      </c>
      <c r="BA1132">
        <v>1877</v>
      </c>
      <c r="BB1132" t="s">
        <v>74</v>
      </c>
      <c r="BC1132" t="s">
        <v>74</v>
      </c>
      <c r="BD1132" t="s">
        <v>74</v>
      </c>
      <c r="BE1132" t="s">
        <v>74</v>
      </c>
      <c r="BF1132" t="s">
        <v>74</v>
      </c>
      <c r="BG1132" t="s">
        <v>74</v>
      </c>
      <c r="BH1132" t="s">
        <v>74</v>
      </c>
      <c r="BI1132">
        <v>2</v>
      </c>
      <c r="BJ1132" t="s">
        <v>228</v>
      </c>
      <c r="BK1132" t="s">
        <v>101</v>
      </c>
      <c r="BL1132" t="s">
        <v>228</v>
      </c>
      <c r="BM1132" t="s">
        <v>20462</v>
      </c>
      <c r="BN1132" t="s">
        <v>74</v>
      </c>
      <c r="BO1132" t="s">
        <v>74</v>
      </c>
      <c r="BP1132" t="s">
        <v>74</v>
      </c>
      <c r="BQ1132" t="s">
        <v>74</v>
      </c>
      <c r="BR1132" t="s">
        <v>104</v>
      </c>
      <c r="BS1132" t="s">
        <v>20538</v>
      </c>
      <c r="BT1132" t="str">
        <f>HYPERLINK("https%3A%2F%2Fwww.webofscience.com%2Fwos%2Fwoscc%2Ffull-record%2FWOS:000449650900619","View Full Record in Web of Science")</f>
        <v>View Full Record in Web of Science</v>
      </c>
    </row>
    <row r="1133" spans="1:72" x14ac:dyDescent="0.25">
      <c r="A1133" t="s">
        <v>72</v>
      </c>
      <c r="B1133" t="s">
        <v>20537</v>
      </c>
      <c r="C1133" t="s">
        <v>74</v>
      </c>
      <c r="D1133" t="s">
        <v>74</v>
      </c>
      <c r="E1133" t="s">
        <v>74</v>
      </c>
      <c r="F1133" t="s">
        <v>20536</v>
      </c>
      <c r="G1133" t="s">
        <v>74</v>
      </c>
      <c r="H1133" t="s">
        <v>74</v>
      </c>
      <c r="I1133" t="s">
        <v>20535</v>
      </c>
      <c r="J1133" t="s">
        <v>216</v>
      </c>
      <c r="K1133" t="s">
        <v>74</v>
      </c>
      <c r="L1133" t="s">
        <v>74</v>
      </c>
      <c r="M1133" t="s">
        <v>78</v>
      </c>
      <c r="N1133" t="s">
        <v>52</v>
      </c>
      <c r="O1133" t="s">
        <v>74</v>
      </c>
      <c r="P1133" t="s">
        <v>74</v>
      </c>
      <c r="Q1133" t="s">
        <v>74</v>
      </c>
      <c r="R1133" t="s">
        <v>74</v>
      </c>
      <c r="S1133" t="s">
        <v>74</v>
      </c>
      <c r="T1133" t="s">
        <v>12202</v>
      </c>
      <c r="U1133" t="s">
        <v>74</v>
      </c>
      <c r="V1133" t="s">
        <v>74</v>
      </c>
      <c r="W1133" t="s">
        <v>20534</v>
      </c>
      <c r="X1133" t="s">
        <v>20533</v>
      </c>
      <c r="Y1133" t="s">
        <v>74</v>
      </c>
      <c r="Z1133" t="s">
        <v>20532</v>
      </c>
      <c r="AA1133" t="s">
        <v>20531</v>
      </c>
      <c r="AB1133" t="s">
        <v>20420</v>
      </c>
      <c r="AC1133" t="s">
        <v>74</v>
      </c>
      <c r="AD1133" t="s">
        <v>74</v>
      </c>
      <c r="AE1133" t="s">
        <v>74</v>
      </c>
      <c r="AF1133" t="s">
        <v>74</v>
      </c>
      <c r="AG1133">
        <v>0</v>
      </c>
      <c r="AH1133">
        <v>0</v>
      </c>
      <c r="AI1133">
        <v>0</v>
      </c>
      <c r="AJ1133">
        <v>0</v>
      </c>
      <c r="AK1133">
        <v>0</v>
      </c>
      <c r="AL1133" t="s">
        <v>219</v>
      </c>
      <c r="AM1133" t="s">
        <v>220</v>
      </c>
      <c r="AN1133" t="s">
        <v>221</v>
      </c>
      <c r="AO1133" t="s">
        <v>222</v>
      </c>
      <c r="AP1133" t="s">
        <v>223</v>
      </c>
      <c r="AQ1133" t="s">
        <v>74</v>
      </c>
      <c r="AR1133" t="s">
        <v>224</v>
      </c>
      <c r="AS1133" t="s">
        <v>225</v>
      </c>
      <c r="AT1133" t="s">
        <v>529</v>
      </c>
      <c r="AU1133">
        <v>2012</v>
      </c>
      <c r="AV1133">
        <v>40</v>
      </c>
      <c r="AW1133" t="s">
        <v>74</v>
      </c>
      <c r="AX1133" t="s">
        <v>74</v>
      </c>
      <c r="AY1133">
        <v>56</v>
      </c>
      <c r="AZ1133" t="s">
        <v>74</v>
      </c>
      <c r="BA1133">
        <v>2800</v>
      </c>
      <c r="BB1133" t="s">
        <v>74</v>
      </c>
      <c r="BC1133" t="s">
        <v>74</v>
      </c>
      <c r="BD1133" t="s">
        <v>74</v>
      </c>
      <c r="BE1133" t="s">
        <v>74</v>
      </c>
      <c r="BF1133" t="s">
        <v>74</v>
      </c>
      <c r="BG1133" t="s">
        <v>74</v>
      </c>
      <c r="BH1133" t="s">
        <v>74</v>
      </c>
      <c r="BI1133">
        <v>1</v>
      </c>
      <c r="BJ1133" t="s">
        <v>228</v>
      </c>
      <c r="BK1133" t="s">
        <v>101</v>
      </c>
      <c r="BL1133" t="s">
        <v>228</v>
      </c>
      <c r="BM1133" t="s">
        <v>20462</v>
      </c>
      <c r="BN1133" t="s">
        <v>74</v>
      </c>
      <c r="BO1133" t="s">
        <v>74</v>
      </c>
      <c r="BP1133" t="s">
        <v>74</v>
      </c>
      <c r="BQ1133" t="s">
        <v>74</v>
      </c>
      <c r="BR1133" t="s">
        <v>104</v>
      </c>
      <c r="BS1133" t="s">
        <v>20530</v>
      </c>
      <c r="BT1133" t="str">
        <f>HYPERLINK("https%3A%2F%2Fwww.webofscience.com%2Fwos%2Fwoscc%2Ffull-record%2FWOS:000449650900180","View Full Record in Web of Science")</f>
        <v>View Full Record in Web of Science</v>
      </c>
    </row>
    <row r="1134" spans="1:72" x14ac:dyDescent="0.25">
      <c r="A1134" t="s">
        <v>72</v>
      </c>
      <c r="B1134" t="s">
        <v>20529</v>
      </c>
      <c r="C1134" t="s">
        <v>74</v>
      </c>
      <c r="D1134" t="s">
        <v>74</v>
      </c>
      <c r="E1134" t="s">
        <v>74</v>
      </c>
      <c r="F1134" t="s">
        <v>20528</v>
      </c>
      <c r="G1134" t="s">
        <v>74</v>
      </c>
      <c r="H1134" t="s">
        <v>74</v>
      </c>
      <c r="I1134" t="s">
        <v>20527</v>
      </c>
      <c r="J1134" t="s">
        <v>216</v>
      </c>
      <c r="K1134" t="s">
        <v>74</v>
      </c>
      <c r="L1134" t="s">
        <v>74</v>
      </c>
      <c r="M1134" t="s">
        <v>78</v>
      </c>
      <c r="N1134" t="s">
        <v>140</v>
      </c>
      <c r="O1134" t="s">
        <v>74</v>
      </c>
      <c r="P1134" t="s">
        <v>74</v>
      </c>
      <c r="Q1134" t="s">
        <v>74</v>
      </c>
      <c r="R1134" t="s">
        <v>74</v>
      </c>
      <c r="S1134" t="s">
        <v>74</v>
      </c>
      <c r="T1134" t="s">
        <v>74</v>
      </c>
      <c r="U1134" t="s">
        <v>20526</v>
      </c>
      <c r="V1134" t="s">
        <v>74</v>
      </c>
      <c r="W1134" t="s">
        <v>20525</v>
      </c>
      <c r="X1134" t="s">
        <v>20524</v>
      </c>
      <c r="Y1134" t="s">
        <v>20523</v>
      </c>
      <c r="Z1134" t="s">
        <v>20522</v>
      </c>
      <c r="AA1134" t="s">
        <v>20521</v>
      </c>
      <c r="AB1134" t="s">
        <v>20520</v>
      </c>
      <c r="AC1134" t="s">
        <v>74</v>
      </c>
      <c r="AD1134" t="s">
        <v>74</v>
      </c>
      <c r="AE1134" t="s">
        <v>74</v>
      </c>
      <c r="AF1134" t="s">
        <v>74</v>
      </c>
      <c r="AG1134">
        <v>16</v>
      </c>
      <c r="AH1134">
        <v>52</v>
      </c>
      <c r="AI1134">
        <v>53</v>
      </c>
      <c r="AJ1134">
        <v>0</v>
      </c>
      <c r="AK1134">
        <v>6</v>
      </c>
      <c r="AL1134" t="s">
        <v>219</v>
      </c>
      <c r="AM1134" t="s">
        <v>220</v>
      </c>
      <c r="AN1134" t="s">
        <v>221</v>
      </c>
      <c r="AO1134" t="s">
        <v>222</v>
      </c>
      <c r="AP1134" t="s">
        <v>223</v>
      </c>
      <c r="AQ1134" t="s">
        <v>74</v>
      </c>
      <c r="AR1134" t="s">
        <v>224</v>
      </c>
      <c r="AS1134" t="s">
        <v>225</v>
      </c>
      <c r="AT1134" t="s">
        <v>492</v>
      </c>
      <c r="AU1134">
        <v>2012</v>
      </c>
      <c r="AV1134">
        <v>40</v>
      </c>
      <c r="AW1134">
        <v>3</v>
      </c>
      <c r="AX1134" t="s">
        <v>74</v>
      </c>
      <c r="AY1134" t="s">
        <v>74</v>
      </c>
      <c r="AZ1134" t="s">
        <v>74</v>
      </c>
      <c r="BA1134" t="s">
        <v>74</v>
      </c>
      <c r="BB1134">
        <v>530</v>
      </c>
      <c r="BC1134">
        <v>532</v>
      </c>
      <c r="BD1134" t="s">
        <v>74</v>
      </c>
      <c r="BE1134" t="s">
        <v>20519</v>
      </c>
      <c r="BF1134" t="str">
        <f>HYPERLINK("http://dx.doi.org/10.1183/09031936.00094112","http://dx.doi.org/10.1183/09031936.00094112")</f>
        <v>http://dx.doi.org/10.1183/09031936.00094112</v>
      </c>
      <c r="BG1134" t="s">
        <v>74</v>
      </c>
      <c r="BH1134" t="s">
        <v>74</v>
      </c>
      <c r="BI1134">
        <v>3</v>
      </c>
      <c r="BJ1134" t="s">
        <v>228</v>
      </c>
      <c r="BK1134" t="s">
        <v>101</v>
      </c>
      <c r="BL1134" t="s">
        <v>228</v>
      </c>
      <c r="BM1134" t="s">
        <v>20518</v>
      </c>
      <c r="BN1134">
        <v>22941543</v>
      </c>
      <c r="BO1134" t="s">
        <v>1194</v>
      </c>
      <c r="BP1134" t="s">
        <v>74</v>
      </c>
      <c r="BQ1134" t="s">
        <v>74</v>
      </c>
      <c r="BR1134" t="s">
        <v>104</v>
      </c>
      <c r="BS1134" t="s">
        <v>20517</v>
      </c>
      <c r="BT1134" t="str">
        <f>HYPERLINK("https%3A%2F%2Fwww.webofscience.com%2Fwos%2Fwoscc%2Ffull-record%2FWOS:000309034500003","View Full Record in Web of Science")</f>
        <v>View Full Record in Web of Science</v>
      </c>
    </row>
    <row r="1135" spans="1:72" x14ac:dyDescent="0.25">
      <c r="A1135" t="s">
        <v>72</v>
      </c>
      <c r="B1135" t="s">
        <v>20516</v>
      </c>
      <c r="C1135" t="s">
        <v>74</v>
      </c>
      <c r="D1135" t="s">
        <v>74</v>
      </c>
      <c r="E1135" t="s">
        <v>74</v>
      </c>
      <c r="F1135" t="s">
        <v>20515</v>
      </c>
      <c r="G1135" t="s">
        <v>74</v>
      </c>
      <c r="H1135" t="s">
        <v>74</v>
      </c>
      <c r="I1135" t="s">
        <v>20514</v>
      </c>
      <c r="J1135" t="s">
        <v>216</v>
      </c>
      <c r="K1135" t="s">
        <v>74</v>
      </c>
      <c r="L1135" t="s">
        <v>74</v>
      </c>
      <c r="M1135" t="s">
        <v>78</v>
      </c>
      <c r="N1135" t="s">
        <v>52</v>
      </c>
      <c r="O1135" t="s">
        <v>74</v>
      </c>
      <c r="P1135" t="s">
        <v>74</v>
      </c>
      <c r="Q1135" t="s">
        <v>74</v>
      </c>
      <c r="R1135" t="s">
        <v>74</v>
      </c>
      <c r="S1135" t="s">
        <v>74</v>
      </c>
      <c r="T1135" t="s">
        <v>20513</v>
      </c>
      <c r="U1135" t="s">
        <v>74</v>
      </c>
      <c r="V1135" t="s">
        <v>74</v>
      </c>
      <c r="W1135" t="s">
        <v>20512</v>
      </c>
      <c r="X1135" t="s">
        <v>20511</v>
      </c>
      <c r="Y1135" t="s">
        <v>74</v>
      </c>
      <c r="Z1135" t="s">
        <v>20510</v>
      </c>
      <c r="AA1135" t="s">
        <v>20509</v>
      </c>
      <c r="AB1135" t="s">
        <v>2958</v>
      </c>
      <c r="AC1135" t="s">
        <v>74</v>
      </c>
      <c r="AD1135" t="s">
        <v>74</v>
      </c>
      <c r="AE1135" t="s">
        <v>74</v>
      </c>
      <c r="AF1135" t="s">
        <v>74</v>
      </c>
      <c r="AG1135">
        <v>0</v>
      </c>
      <c r="AH1135">
        <v>0</v>
      </c>
      <c r="AI1135">
        <v>0</v>
      </c>
      <c r="AJ1135">
        <v>0</v>
      </c>
      <c r="AK1135">
        <v>3</v>
      </c>
      <c r="AL1135" t="s">
        <v>219</v>
      </c>
      <c r="AM1135" t="s">
        <v>220</v>
      </c>
      <c r="AN1135" t="s">
        <v>221</v>
      </c>
      <c r="AO1135" t="s">
        <v>222</v>
      </c>
      <c r="AP1135" t="s">
        <v>223</v>
      </c>
      <c r="AQ1135" t="s">
        <v>74</v>
      </c>
      <c r="AR1135" t="s">
        <v>224</v>
      </c>
      <c r="AS1135" t="s">
        <v>225</v>
      </c>
      <c r="AT1135" t="s">
        <v>529</v>
      </c>
      <c r="AU1135">
        <v>2012</v>
      </c>
      <c r="AV1135">
        <v>40</v>
      </c>
      <c r="AW1135" t="s">
        <v>74</v>
      </c>
      <c r="AX1135" t="s">
        <v>74</v>
      </c>
      <c r="AY1135">
        <v>56</v>
      </c>
      <c r="AZ1135" t="s">
        <v>74</v>
      </c>
      <c r="BA1135">
        <v>2646</v>
      </c>
      <c r="BB1135" t="s">
        <v>74</v>
      </c>
      <c r="BC1135" t="s">
        <v>74</v>
      </c>
      <c r="BD1135" t="s">
        <v>74</v>
      </c>
      <c r="BE1135" t="s">
        <v>74</v>
      </c>
      <c r="BF1135" t="s">
        <v>74</v>
      </c>
      <c r="BG1135" t="s">
        <v>74</v>
      </c>
      <c r="BH1135" t="s">
        <v>74</v>
      </c>
      <c r="BI1135">
        <v>2</v>
      </c>
      <c r="BJ1135" t="s">
        <v>228</v>
      </c>
      <c r="BK1135" t="s">
        <v>101</v>
      </c>
      <c r="BL1135" t="s">
        <v>228</v>
      </c>
      <c r="BM1135" t="s">
        <v>20462</v>
      </c>
      <c r="BN1135" t="s">
        <v>74</v>
      </c>
      <c r="BO1135" t="s">
        <v>74</v>
      </c>
      <c r="BP1135" t="s">
        <v>74</v>
      </c>
      <c r="BQ1135" t="s">
        <v>74</v>
      </c>
      <c r="BR1135" t="s">
        <v>104</v>
      </c>
      <c r="BS1135" t="s">
        <v>20508</v>
      </c>
      <c r="BT1135" t="str">
        <f>HYPERLINK("https%3A%2F%2Fwww.webofscience.com%2Fwos%2Fwoscc%2Ffull-record%2FWOS:000449650904136","View Full Record in Web of Science")</f>
        <v>View Full Record in Web of Science</v>
      </c>
    </row>
    <row r="1136" spans="1:72" x14ac:dyDescent="0.25">
      <c r="A1136" t="s">
        <v>72</v>
      </c>
      <c r="B1136" t="s">
        <v>20507</v>
      </c>
      <c r="C1136" t="s">
        <v>74</v>
      </c>
      <c r="D1136" t="s">
        <v>74</v>
      </c>
      <c r="E1136" t="s">
        <v>74</v>
      </c>
      <c r="F1136" t="s">
        <v>20506</v>
      </c>
      <c r="G1136" t="s">
        <v>74</v>
      </c>
      <c r="H1136" t="s">
        <v>74</v>
      </c>
      <c r="I1136" t="s">
        <v>20505</v>
      </c>
      <c r="J1136" t="s">
        <v>216</v>
      </c>
      <c r="K1136" t="s">
        <v>74</v>
      </c>
      <c r="L1136" t="s">
        <v>74</v>
      </c>
      <c r="M1136" t="s">
        <v>78</v>
      </c>
      <c r="N1136" t="s">
        <v>52</v>
      </c>
      <c r="O1136" t="s">
        <v>74</v>
      </c>
      <c r="P1136" t="s">
        <v>74</v>
      </c>
      <c r="Q1136" t="s">
        <v>74</v>
      </c>
      <c r="R1136" t="s">
        <v>74</v>
      </c>
      <c r="S1136" t="s">
        <v>74</v>
      </c>
      <c r="T1136" t="s">
        <v>20504</v>
      </c>
      <c r="U1136" t="s">
        <v>74</v>
      </c>
      <c r="V1136" t="s">
        <v>74</v>
      </c>
      <c r="W1136" t="s">
        <v>20503</v>
      </c>
      <c r="X1136" t="s">
        <v>20502</v>
      </c>
      <c r="Y1136" t="s">
        <v>74</v>
      </c>
      <c r="Z1136" t="s">
        <v>20501</v>
      </c>
      <c r="AA1136" t="s">
        <v>20500</v>
      </c>
      <c r="AB1136" t="s">
        <v>20499</v>
      </c>
      <c r="AC1136" t="s">
        <v>74</v>
      </c>
      <c r="AD1136" t="s">
        <v>74</v>
      </c>
      <c r="AE1136" t="s">
        <v>74</v>
      </c>
      <c r="AF1136" t="s">
        <v>74</v>
      </c>
      <c r="AG1136">
        <v>0</v>
      </c>
      <c r="AH1136">
        <v>0</v>
      </c>
      <c r="AI1136">
        <v>0</v>
      </c>
      <c r="AJ1136">
        <v>0</v>
      </c>
      <c r="AK1136">
        <v>0</v>
      </c>
      <c r="AL1136" t="s">
        <v>219</v>
      </c>
      <c r="AM1136" t="s">
        <v>220</v>
      </c>
      <c r="AN1136" t="s">
        <v>221</v>
      </c>
      <c r="AO1136" t="s">
        <v>222</v>
      </c>
      <c r="AP1136" t="s">
        <v>223</v>
      </c>
      <c r="AQ1136" t="s">
        <v>74</v>
      </c>
      <c r="AR1136" t="s">
        <v>224</v>
      </c>
      <c r="AS1136" t="s">
        <v>225</v>
      </c>
      <c r="AT1136" t="s">
        <v>529</v>
      </c>
      <c r="AU1136">
        <v>2012</v>
      </c>
      <c r="AV1136">
        <v>40</v>
      </c>
      <c r="AW1136" t="s">
        <v>74</v>
      </c>
      <c r="AX1136" t="s">
        <v>74</v>
      </c>
      <c r="AY1136">
        <v>56</v>
      </c>
      <c r="AZ1136" t="s">
        <v>74</v>
      </c>
      <c r="BA1136">
        <v>5001</v>
      </c>
      <c r="BB1136" t="s">
        <v>74</v>
      </c>
      <c r="BC1136" t="s">
        <v>74</v>
      </c>
      <c r="BD1136" t="s">
        <v>74</v>
      </c>
      <c r="BE1136" t="s">
        <v>74</v>
      </c>
      <c r="BF1136" t="s">
        <v>74</v>
      </c>
      <c r="BG1136" t="s">
        <v>74</v>
      </c>
      <c r="BH1136" t="s">
        <v>74</v>
      </c>
      <c r="BI1136">
        <v>1</v>
      </c>
      <c r="BJ1136" t="s">
        <v>228</v>
      </c>
      <c r="BK1136" t="s">
        <v>101</v>
      </c>
      <c r="BL1136" t="s">
        <v>228</v>
      </c>
      <c r="BM1136" t="s">
        <v>20462</v>
      </c>
      <c r="BN1136" t="s">
        <v>74</v>
      </c>
      <c r="BO1136" t="s">
        <v>74</v>
      </c>
      <c r="BP1136" t="s">
        <v>74</v>
      </c>
      <c r="BQ1136" t="s">
        <v>74</v>
      </c>
      <c r="BR1136" t="s">
        <v>104</v>
      </c>
      <c r="BS1136" t="s">
        <v>20498</v>
      </c>
      <c r="BT1136" t="str">
        <f>HYPERLINK("https%3A%2F%2Fwww.webofscience.com%2Fwos%2Fwoscc%2Ffull-record%2FWOS:000449650902747","View Full Record in Web of Science")</f>
        <v>View Full Record in Web of Science</v>
      </c>
    </row>
    <row r="1137" spans="1:72" x14ac:dyDescent="0.25">
      <c r="A1137" t="s">
        <v>72</v>
      </c>
      <c r="B1137" t="s">
        <v>20497</v>
      </c>
      <c r="C1137" t="s">
        <v>74</v>
      </c>
      <c r="D1137" t="s">
        <v>74</v>
      </c>
      <c r="E1137" t="s">
        <v>74</v>
      </c>
      <c r="F1137" t="s">
        <v>20496</v>
      </c>
      <c r="G1137" t="s">
        <v>74</v>
      </c>
      <c r="H1137" t="s">
        <v>74</v>
      </c>
      <c r="I1137" t="s">
        <v>20495</v>
      </c>
      <c r="J1137" t="s">
        <v>216</v>
      </c>
      <c r="K1137" t="s">
        <v>74</v>
      </c>
      <c r="L1137" t="s">
        <v>74</v>
      </c>
      <c r="M1137" t="s">
        <v>78</v>
      </c>
      <c r="N1137" t="s">
        <v>52</v>
      </c>
      <c r="O1137" t="s">
        <v>74</v>
      </c>
      <c r="P1137" t="s">
        <v>74</v>
      </c>
      <c r="Q1137" t="s">
        <v>74</v>
      </c>
      <c r="R1137" t="s">
        <v>74</v>
      </c>
      <c r="S1137" t="s">
        <v>74</v>
      </c>
      <c r="T1137" t="s">
        <v>20494</v>
      </c>
      <c r="U1137" t="s">
        <v>74</v>
      </c>
      <c r="V1137" t="s">
        <v>74</v>
      </c>
      <c r="W1137" t="s">
        <v>20493</v>
      </c>
      <c r="X1137" t="s">
        <v>20492</v>
      </c>
      <c r="Y1137" t="s">
        <v>74</v>
      </c>
      <c r="Z1137" t="s">
        <v>20491</v>
      </c>
      <c r="AA1137" t="s">
        <v>20490</v>
      </c>
      <c r="AB1137" t="s">
        <v>74</v>
      </c>
      <c r="AC1137" t="s">
        <v>74</v>
      </c>
      <c r="AD1137" t="s">
        <v>74</v>
      </c>
      <c r="AE1137" t="s">
        <v>74</v>
      </c>
      <c r="AF1137" t="s">
        <v>74</v>
      </c>
      <c r="AG1137">
        <v>0</v>
      </c>
      <c r="AH1137">
        <v>0</v>
      </c>
      <c r="AI1137">
        <v>0</v>
      </c>
      <c r="AJ1137">
        <v>0</v>
      </c>
      <c r="AK1137">
        <v>0</v>
      </c>
      <c r="AL1137" t="s">
        <v>219</v>
      </c>
      <c r="AM1137" t="s">
        <v>220</v>
      </c>
      <c r="AN1137" t="s">
        <v>221</v>
      </c>
      <c r="AO1137" t="s">
        <v>222</v>
      </c>
      <c r="AP1137" t="s">
        <v>223</v>
      </c>
      <c r="AQ1137" t="s">
        <v>74</v>
      </c>
      <c r="AR1137" t="s">
        <v>224</v>
      </c>
      <c r="AS1137" t="s">
        <v>225</v>
      </c>
      <c r="AT1137" t="s">
        <v>529</v>
      </c>
      <c r="AU1137">
        <v>2012</v>
      </c>
      <c r="AV1137">
        <v>40</v>
      </c>
      <c r="AW1137" t="s">
        <v>74</v>
      </c>
      <c r="AX1137" t="s">
        <v>74</v>
      </c>
      <c r="AY1137">
        <v>56</v>
      </c>
      <c r="AZ1137" t="s">
        <v>74</v>
      </c>
      <c r="BA1137">
        <v>3312</v>
      </c>
      <c r="BB1137" t="s">
        <v>74</v>
      </c>
      <c r="BC1137" t="s">
        <v>74</v>
      </c>
      <c r="BD1137" t="s">
        <v>74</v>
      </c>
      <c r="BE1137" t="s">
        <v>74</v>
      </c>
      <c r="BF1137" t="s">
        <v>74</v>
      </c>
      <c r="BG1137" t="s">
        <v>74</v>
      </c>
      <c r="BH1137" t="s">
        <v>74</v>
      </c>
      <c r="BI1137">
        <v>1</v>
      </c>
      <c r="BJ1137" t="s">
        <v>228</v>
      </c>
      <c r="BK1137" t="s">
        <v>101</v>
      </c>
      <c r="BL1137" t="s">
        <v>228</v>
      </c>
      <c r="BM1137" t="s">
        <v>20462</v>
      </c>
      <c r="BN1137" t="s">
        <v>74</v>
      </c>
      <c r="BO1137" t="s">
        <v>74</v>
      </c>
      <c r="BP1137" t="s">
        <v>74</v>
      </c>
      <c r="BQ1137" t="s">
        <v>74</v>
      </c>
      <c r="BR1137" t="s">
        <v>104</v>
      </c>
      <c r="BS1137" t="s">
        <v>20489</v>
      </c>
      <c r="BT1137" t="str">
        <f>HYPERLINK("https%3A%2F%2Fwww.webofscience.com%2Fwos%2Fwoscc%2Ffull-record%2FWOS:000449650902749","View Full Record in Web of Science")</f>
        <v>View Full Record in Web of Science</v>
      </c>
    </row>
    <row r="1138" spans="1:72" x14ac:dyDescent="0.25">
      <c r="A1138" t="s">
        <v>72</v>
      </c>
      <c r="B1138" t="s">
        <v>20488</v>
      </c>
      <c r="C1138" t="s">
        <v>74</v>
      </c>
      <c r="D1138" t="s">
        <v>74</v>
      </c>
      <c r="E1138" t="s">
        <v>74</v>
      </c>
      <c r="F1138" t="s">
        <v>20487</v>
      </c>
      <c r="G1138" t="s">
        <v>74</v>
      </c>
      <c r="H1138" t="s">
        <v>74</v>
      </c>
      <c r="I1138" t="s">
        <v>20486</v>
      </c>
      <c r="J1138" t="s">
        <v>216</v>
      </c>
      <c r="K1138" t="s">
        <v>74</v>
      </c>
      <c r="L1138" t="s">
        <v>74</v>
      </c>
      <c r="M1138" t="s">
        <v>78</v>
      </c>
      <c r="N1138" t="s">
        <v>52</v>
      </c>
      <c r="O1138" t="s">
        <v>74</v>
      </c>
      <c r="P1138" t="s">
        <v>74</v>
      </c>
      <c r="Q1138" t="s">
        <v>74</v>
      </c>
      <c r="R1138" t="s">
        <v>74</v>
      </c>
      <c r="S1138" t="s">
        <v>74</v>
      </c>
      <c r="T1138" t="s">
        <v>12202</v>
      </c>
      <c r="U1138" t="s">
        <v>74</v>
      </c>
      <c r="V1138" t="s">
        <v>74</v>
      </c>
      <c r="W1138" t="s">
        <v>20485</v>
      </c>
      <c r="X1138" t="s">
        <v>20484</v>
      </c>
      <c r="Y1138" t="s">
        <v>74</v>
      </c>
      <c r="Z1138" t="s">
        <v>20483</v>
      </c>
      <c r="AA1138" t="s">
        <v>20482</v>
      </c>
      <c r="AB1138" t="s">
        <v>20420</v>
      </c>
      <c r="AC1138" t="s">
        <v>74</v>
      </c>
      <c r="AD1138" t="s">
        <v>74</v>
      </c>
      <c r="AE1138" t="s">
        <v>74</v>
      </c>
      <c r="AF1138" t="s">
        <v>74</v>
      </c>
      <c r="AG1138">
        <v>0</v>
      </c>
      <c r="AH1138">
        <v>0</v>
      </c>
      <c r="AI1138">
        <v>0</v>
      </c>
      <c r="AJ1138">
        <v>0</v>
      </c>
      <c r="AK1138">
        <v>0</v>
      </c>
      <c r="AL1138" t="s">
        <v>219</v>
      </c>
      <c r="AM1138" t="s">
        <v>220</v>
      </c>
      <c r="AN1138" t="s">
        <v>221</v>
      </c>
      <c r="AO1138" t="s">
        <v>222</v>
      </c>
      <c r="AP1138" t="s">
        <v>223</v>
      </c>
      <c r="AQ1138" t="s">
        <v>74</v>
      </c>
      <c r="AR1138" t="s">
        <v>224</v>
      </c>
      <c r="AS1138" t="s">
        <v>225</v>
      </c>
      <c r="AT1138" t="s">
        <v>529</v>
      </c>
      <c r="AU1138">
        <v>2012</v>
      </c>
      <c r="AV1138">
        <v>40</v>
      </c>
      <c r="AW1138" t="s">
        <v>74</v>
      </c>
      <c r="AX1138" t="s">
        <v>74</v>
      </c>
      <c r="AY1138">
        <v>56</v>
      </c>
      <c r="AZ1138" t="s">
        <v>74</v>
      </c>
      <c r="BA1138">
        <v>3665</v>
      </c>
      <c r="BB1138" t="s">
        <v>74</v>
      </c>
      <c r="BC1138" t="s">
        <v>74</v>
      </c>
      <c r="BD1138" t="s">
        <v>74</v>
      </c>
      <c r="BE1138" t="s">
        <v>74</v>
      </c>
      <c r="BF1138" t="s">
        <v>74</v>
      </c>
      <c r="BG1138" t="s">
        <v>74</v>
      </c>
      <c r="BH1138" t="s">
        <v>74</v>
      </c>
      <c r="BI1138">
        <v>2</v>
      </c>
      <c r="BJ1138" t="s">
        <v>228</v>
      </c>
      <c r="BK1138" t="s">
        <v>101</v>
      </c>
      <c r="BL1138" t="s">
        <v>228</v>
      </c>
      <c r="BM1138" t="s">
        <v>20462</v>
      </c>
      <c r="BN1138" t="s">
        <v>74</v>
      </c>
      <c r="BO1138" t="s">
        <v>74</v>
      </c>
      <c r="BP1138" t="s">
        <v>74</v>
      </c>
      <c r="BQ1138" t="s">
        <v>74</v>
      </c>
      <c r="BR1138" t="s">
        <v>104</v>
      </c>
      <c r="BS1138" t="s">
        <v>20481</v>
      </c>
      <c r="BT1138" t="str">
        <f>HYPERLINK("https%3A%2F%2Fwww.webofscience.com%2Fwos%2Fwoscc%2Ffull-record%2FWOS:000449650900181","View Full Record in Web of Science")</f>
        <v>View Full Record in Web of Science</v>
      </c>
    </row>
    <row r="1139" spans="1:72" x14ac:dyDescent="0.25">
      <c r="A1139" t="s">
        <v>72</v>
      </c>
      <c r="B1139" t="s">
        <v>20480</v>
      </c>
      <c r="C1139" t="s">
        <v>74</v>
      </c>
      <c r="D1139" t="s">
        <v>74</v>
      </c>
      <c r="E1139" t="s">
        <v>74</v>
      </c>
      <c r="F1139" t="s">
        <v>20479</v>
      </c>
      <c r="G1139" t="s">
        <v>74</v>
      </c>
      <c r="H1139" t="s">
        <v>74</v>
      </c>
      <c r="I1139" t="s">
        <v>20478</v>
      </c>
      <c r="J1139" t="s">
        <v>216</v>
      </c>
      <c r="K1139" t="s">
        <v>74</v>
      </c>
      <c r="L1139" t="s">
        <v>74</v>
      </c>
      <c r="M1139" t="s">
        <v>78</v>
      </c>
      <c r="N1139" t="s">
        <v>52</v>
      </c>
      <c r="O1139" t="s">
        <v>74</v>
      </c>
      <c r="P1139" t="s">
        <v>74</v>
      </c>
      <c r="Q1139" t="s">
        <v>74</v>
      </c>
      <c r="R1139" t="s">
        <v>74</v>
      </c>
      <c r="S1139" t="s">
        <v>74</v>
      </c>
      <c r="T1139" t="s">
        <v>20477</v>
      </c>
      <c r="U1139" t="s">
        <v>74</v>
      </c>
      <c r="V1139" t="s">
        <v>74</v>
      </c>
      <c r="W1139" t="s">
        <v>20476</v>
      </c>
      <c r="X1139" t="s">
        <v>20475</v>
      </c>
      <c r="Y1139" t="s">
        <v>74</v>
      </c>
      <c r="Z1139" t="s">
        <v>20474</v>
      </c>
      <c r="AA1139" t="s">
        <v>20473</v>
      </c>
      <c r="AB1139" t="s">
        <v>20472</v>
      </c>
      <c r="AC1139" t="s">
        <v>74</v>
      </c>
      <c r="AD1139" t="s">
        <v>74</v>
      </c>
      <c r="AE1139" t="s">
        <v>74</v>
      </c>
      <c r="AF1139" t="s">
        <v>74</v>
      </c>
      <c r="AG1139">
        <v>0</v>
      </c>
      <c r="AH1139">
        <v>0</v>
      </c>
      <c r="AI1139">
        <v>0</v>
      </c>
      <c r="AJ1139">
        <v>0</v>
      </c>
      <c r="AK1139">
        <v>0</v>
      </c>
      <c r="AL1139" t="s">
        <v>219</v>
      </c>
      <c r="AM1139" t="s">
        <v>220</v>
      </c>
      <c r="AN1139" t="s">
        <v>221</v>
      </c>
      <c r="AO1139" t="s">
        <v>222</v>
      </c>
      <c r="AP1139" t="s">
        <v>223</v>
      </c>
      <c r="AQ1139" t="s">
        <v>74</v>
      </c>
      <c r="AR1139" t="s">
        <v>224</v>
      </c>
      <c r="AS1139" t="s">
        <v>225</v>
      </c>
      <c r="AT1139" t="s">
        <v>529</v>
      </c>
      <c r="AU1139">
        <v>2012</v>
      </c>
      <c r="AV1139">
        <v>40</v>
      </c>
      <c r="AW1139" t="s">
        <v>74</v>
      </c>
      <c r="AX1139" t="s">
        <v>74</v>
      </c>
      <c r="AY1139">
        <v>56</v>
      </c>
      <c r="AZ1139" t="s">
        <v>74</v>
      </c>
      <c r="BA1139">
        <v>1314</v>
      </c>
      <c r="BB1139" t="s">
        <v>74</v>
      </c>
      <c r="BC1139" t="s">
        <v>74</v>
      </c>
      <c r="BD1139" t="s">
        <v>74</v>
      </c>
      <c r="BE1139" t="s">
        <v>74</v>
      </c>
      <c r="BF1139" t="s">
        <v>74</v>
      </c>
      <c r="BG1139" t="s">
        <v>74</v>
      </c>
      <c r="BH1139" t="s">
        <v>74</v>
      </c>
      <c r="BI1139">
        <v>1</v>
      </c>
      <c r="BJ1139" t="s">
        <v>228</v>
      </c>
      <c r="BK1139" t="s">
        <v>101</v>
      </c>
      <c r="BL1139" t="s">
        <v>228</v>
      </c>
      <c r="BM1139" t="s">
        <v>20462</v>
      </c>
      <c r="BN1139" t="s">
        <v>74</v>
      </c>
      <c r="BO1139" t="s">
        <v>74</v>
      </c>
      <c r="BP1139" t="s">
        <v>74</v>
      </c>
      <c r="BQ1139" t="s">
        <v>74</v>
      </c>
      <c r="BR1139" t="s">
        <v>104</v>
      </c>
      <c r="BS1139" t="s">
        <v>20471</v>
      </c>
      <c r="BT1139" t="str">
        <f>HYPERLINK("https%3A%2F%2Fwww.webofscience.com%2Fwos%2Fwoscc%2Ffull-record%2FWOS:000449650902744","View Full Record in Web of Science")</f>
        <v>View Full Record in Web of Science</v>
      </c>
    </row>
    <row r="1140" spans="1:72" x14ac:dyDescent="0.25">
      <c r="A1140" t="s">
        <v>72</v>
      </c>
      <c r="B1140" t="s">
        <v>20470</v>
      </c>
      <c r="C1140" t="s">
        <v>74</v>
      </c>
      <c r="D1140" t="s">
        <v>74</v>
      </c>
      <c r="E1140" t="s">
        <v>74</v>
      </c>
      <c r="F1140" t="s">
        <v>20469</v>
      </c>
      <c r="G1140" t="s">
        <v>74</v>
      </c>
      <c r="H1140" t="s">
        <v>74</v>
      </c>
      <c r="I1140" t="s">
        <v>20468</v>
      </c>
      <c r="J1140" t="s">
        <v>216</v>
      </c>
      <c r="K1140" t="s">
        <v>74</v>
      </c>
      <c r="L1140" t="s">
        <v>74</v>
      </c>
      <c r="M1140" t="s">
        <v>78</v>
      </c>
      <c r="N1140" t="s">
        <v>52</v>
      </c>
      <c r="O1140" t="s">
        <v>74</v>
      </c>
      <c r="P1140" t="s">
        <v>74</v>
      </c>
      <c r="Q1140" t="s">
        <v>74</v>
      </c>
      <c r="R1140" t="s">
        <v>74</v>
      </c>
      <c r="S1140" t="s">
        <v>74</v>
      </c>
      <c r="T1140" t="s">
        <v>20467</v>
      </c>
      <c r="U1140" t="s">
        <v>74</v>
      </c>
      <c r="V1140" t="s">
        <v>74</v>
      </c>
      <c r="W1140" t="s">
        <v>20466</v>
      </c>
      <c r="X1140" t="s">
        <v>20465</v>
      </c>
      <c r="Y1140" t="s">
        <v>74</v>
      </c>
      <c r="Z1140" t="s">
        <v>20464</v>
      </c>
      <c r="AA1140" t="s">
        <v>20463</v>
      </c>
      <c r="AB1140" t="s">
        <v>74</v>
      </c>
      <c r="AC1140" t="s">
        <v>74</v>
      </c>
      <c r="AD1140" t="s">
        <v>74</v>
      </c>
      <c r="AE1140" t="s">
        <v>74</v>
      </c>
      <c r="AF1140" t="s">
        <v>74</v>
      </c>
      <c r="AG1140">
        <v>0</v>
      </c>
      <c r="AH1140">
        <v>0</v>
      </c>
      <c r="AI1140">
        <v>0</v>
      </c>
      <c r="AJ1140">
        <v>0</v>
      </c>
      <c r="AK1140">
        <v>0</v>
      </c>
      <c r="AL1140" t="s">
        <v>219</v>
      </c>
      <c r="AM1140" t="s">
        <v>220</v>
      </c>
      <c r="AN1140" t="s">
        <v>221</v>
      </c>
      <c r="AO1140" t="s">
        <v>222</v>
      </c>
      <c r="AP1140" t="s">
        <v>223</v>
      </c>
      <c r="AQ1140" t="s">
        <v>74</v>
      </c>
      <c r="AR1140" t="s">
        <v>224</v>
      </c>
      <c r="AS1140" t="s">
        <v>225</v>
      </c>
      <c r="AT1140" t="s">
        <v>529</v>
      </c>
      <c r="AU1140">
        <v>2012</v>
      </c>
      <c r="AV1140">
        <v>40</v>
      </c>
      <c r="AW1140" t="s">
        <v>74</v>
      </c>
      <c r="AX1140" t="s">
        <v>74</v>
      </c>
      <c r="AY1140">
        <v>56</v>
      </c>
      <c r="AZ1140" t="s">
        <v>74</v>
      </c>
      <c r="BA1140">
        <v>1548</v>
      </c>
      <c r="BB1140" t="s">
        <v>74</v>
      </c>
      <c r="BC1140" t="s">
        <v>74</v>
      </c>
      <c r="BD1140" t="s">
        <v>74</v>
      </c>
      <c r="BE1140" t="s">
        <v>74</v>
      </c>
      <c r="BF1140" t="s">
        <v>74</v>
      </c>
      <c r="BG1140" t="s">
        <v>74</v>
      </c>
      <c r="BH1140" t="s">
        <v>74</v>
      </c>
      <c r="BI1140">
        <v>1</v>
      </c>
      <c r="BJ1140" t="s">
        <v>228</v>
      </c>
      <c r="BK1140" t="s">
        <v>101</v>
      </c>
      <c r="BL1140" t="s">
        <v>228</v>
      </c>
      <c r="BM1140" t="s">
        <v>20462</v>
      </c>
      <c r="BN1140" t="s">
        <v>74</v>
      </c>
      <c r="BO1140" t="s">
        <v>74</v>
      </c>
      <c r="BP1140" t="s">
        <v>74</v>
      </c>
      <c r="BQ1140" t="s">
        <v>74</v>
      </c>
      <c r="BR1140" t="s">
        <v>104</v>
      </c>
      <c r="BS1140" t="s">
        <v>20461</v>
      </c>
      <c r="BT1140" t="str">
        <f>HYPERLINK("https%3A%2F%2Fwww.webofscience.com%2Fwos%2Fwoscc%2Ffull-record%2FWOS:000449650902754","View Full Record in Web of Science")</f>
        <v>View Full Record in Web of Science</v>
      </c>
    </row>
    <row r="1141" spans="1:72" x14ac:dyDescent="0.25">
      <c r="A1141" t="s">
        <v>72</v>
      </c>
      <c r="B1141" t="s">
        <v>20460</v>
      </c>
      <c r="C1141" t="s">
        <v>74</v>
      </c>
      <c r="D1141" t="s">
        <v>74</v>
      </c>
      <c r="E1141" t="s">
        <v>74</v>
      </c>
      <c r="F1141" t="s">
        <v>20459</v>
      </c>
      <c r="G1141" t="s">
        <v>74</v>
      </c>
      <c r="H1141" t="s">
        <v>74</v>
      </c>
      <c r="I1141" t="s">
        <v>20458</v>
      </c>
      <c r="J1141" t="s">
        <v>637</v>
      </c>
      <c r="K1141" t="s">
        <v>74</v>
      </c>
      <c r="L1141" t="s">
        <v>74</v>
      </c>
      <c r="M1141" t="s">
        <v>78</v>
      </c>
      <c r="N1141" t="s">
        <v>140</v>
      </c>
      <c r="O1141" t="s">
        <v>74</v>
      </c>
      <c r="P1141" t="s">
        <v>74</v>
      </c>
      <c r="Q1141" t="s">
        <v>74</v>
      </c>
      <c r="R1141" t="s">
        <v>74</v>
      </c>
      <c r="S1141" t="s">
        <v>74</v>
      </c>
      <c r="T1141" t="s">
        <v>74</v>
      </c>
      <c r="U1141" t="s">
        <v>20457</v>
      </c>
      <c r="V1141" t="s">
        <v>74</v>
      </c>
      <c r="W1141" t="s">
        <v>20456</v>
      </c>
      <c r="X1141" t="s">
        <v>6193</v>
      </c>
      <c r="Y1141" t="s">
        <v>20455</v>
      </c>
      <c r="Z1141" t="s">
        <v>74</v>
      </c>
      <c r="AA1141" t="s">
        <v>780</v>
      </c>
      <c r="AB1141" t="s">
        <v>15371</v>
      </c>
      <c r="AC1141" t="s">
        <v>74</v>
      </c>
      <c r="AD1141" t="s">
        <v>74</v>
      </c>
      <c r="AE1141" t="s">
        <v>74</v>
      </c>
      <c r="AF1141" t="s">
        <v>74</v>
      </c>
      <c r="AG1141">
        <v>28</v>
      </c>
      <c r="AH1141">
        <v>20</v>
      </c>
      <c r="AI1141">
        <v>23</v>
      </c>
      <c r="AJ1141">
        <v>0</v>
      </c>
      <c r="AK1141">
        <v>5</v>
      </c>
      <c r="AL1141" t="s">
        <v>649</v>
      </c>
      <c r="AM1141" t="s">
        <v>486</v>
      </c>
      <c r="AN1141" t="s">
        <v>650</v>
      </c>
      <c r="AO1141" t="s">
        <v>651</v>
      </c>
      <c r="AP1141" t="s">
        <v>652</v>
      </c>
      <c r="AQ1141" t="s">
        <v>74</v>
      </c>
      <c r="AR1141" t="s">
        <v>653</v>
      </c>
      <c r="AS1141" t="s">
        <v>654</v>
      </c>
      <c r="AT1141" t="s">
        <v>742</v>
      </c>
      <c r="AU1141">
        <v>2012</v>
      </c>
      <c r="AV1141">
        <v>186</v>
      </c>
      <c r="AW1141">
        <v>3</v>
      </c>
      <c r="AX1141" t="s">
        <v>74</v>
      </c>
      <c r="AY1141" t="s">
        <v>74</v>
      </c>
      <c r="AZ1141" t="s">
        <v>74</v>
      </c>
      <c r="BA1141" t="s">
        <v>74</v>
      </c>
      <c r="BB1141">
        <v>210</v>
      </c>
      <c r="BC1141">
        <v>212</v>
      </c>
      <c r="BD1141" t="s">
        <v>74</v>
      </c>
      <c r="BE1141" t="s">
        <v>20454</v>
      </c>
      <c r="BF1141" t="str">
        <f>HYPERLINK("http://dx.doi.org/10.1164/rccm.201206-1049ED","http://dx.doi.org/10.1164/rccm.201206-1049ED")</f>
        <v>http://dx.doi.org/10.1164/rccm.201206-1049ED</v>
      </c>
      <c r="BG1141" t="s">
        <v>74</v>
      </c>
      <c r="BH1141" t="s">
        <v>74</v>
      </c>
      <c r="BI1141">
        <v>3</v>
      </c>
      <c r="BJ1141" t="s">
        <v>341</v>
      </c>
      <c r="BK1141" t="s">
        <v>101</v>
      </c>
      <c r="BL1141" t="s">
        <v>342</v>
      </c>
      <c r="BM1141" t="s">
        <v>20453</v>
      </c>
      <c r="BN1141">
        <v>22855540</v>
      </c>
      <c r="BO1141" t="s">
        <v>74</v>
      </c>
      <c r="BP1141" t="s">
        <v>74</v>
      </c>
      <c r="BQ1141" t="s">
        <v>74</v>
      </c>
      <c r="BR1141" t="s">
        <v>104</v>
      </c>
      <c r="BS1141" t="s">
        <v>20452</v>
      </c>
      <c r="BT1141" t="str">
        <f>HYPERLINK("https%3A%2F%2Fwww.webofscience.com%2Fwos%2Fwoscc%2Ffull-record%2FWOS:000307039200004","View Full Record in Web of Science")</f>
        <v>View Full Record in Web of Science</v>
      </c>
    </row>
    <row r="1142" spans="1:72" x14ac:dyDescent="0.25">
      <c r="A1142" t="s">
        <v>72</v>
      </c>
      <c r="B1142" t="s">
        <v>20451</v>
      </c>
      <c r="C1142" t="s">
        <v>74</v>
      </c>
      <c r="D1142" t="s">
        <v>74</v>
      </c>
      <c r="E1142" t="s">
        <v>74</v>
      </c>
      <c r="F1142" t="s">
        <v>20450</v>
      </c>
      <c r="G1142" t="s">
        <v>74</v>
      </c>
      <c r="H1142" t="s">
        <v>74</v>
      </c>
      <c r="I1142" t="s">
        <v>20449</v>
      </c>
      <c r="J1142" t="s">
        <v>4397</v>
      </c>
      <c r="K1142" t="s">
        <v>74</v>
      </c>
      <c r="L1142" t="s">
        <v>74</v>
      </c>
      <c r="M1142" t="s">
        <v>78</v>
      </c>
      <c r="N1142" t="s">
        <v>79</v>
      </c>
      <c r="O1142" t="s">
        <v>74</v>
      </c>
      <c r="P1142" t="s">
        <v>74</v>
      </c>
      <c r="Q1142" t="s">
        <v>74</v>
      </c>
      <c r="R1142" t="s">
        <v>74</v>
      </c>
      <c r="S1142" t="s">
        <v>74</v>
      </c>
      <c r="T1142" t="s">
        <v>20448</v>
      </c>
      <c r="U1142" t="s">
        <v>20447</v>
      </c>
      <c r="V1142" t="s">
        <v>20446</v>
      </c>
      <c r="W1142" t="s">
        <v>20445</v>
      </c>
      <c r="X1142" t="s">
        <v>20444</v>
      </c>
      <c r="Y1142" t="s">
        <v>20443</v>
      </c>
      <c r="Z1142" t="s">
        <v>20442</v>
      </c>
      <c r="AA1142" t="s">
        <v>10181</v>
      </c>
      <c r="AB1142" t="s">
        <v>20441</v>
      </c>
      <c r="AC1142" t="s">
        <v>20440</v>
      </c>
      <c r="AD1142" t="s">
        <v>20439</v>
      </c>
      <c r="AE1142" t="s">
        <v>20438</v>
      </c>
      <c r="AF1142" t="s">
        <v>74</v>
      </c>
      <c r="AG1142">
        <v>16</v>
      </c>
      <c r="AH1142">
        <v>20</v>
      </c>
      <c r="AI1142">
        <v>22</v>
      </c>
      <c r="AJ1142">
        <v>0</v>
      </c>
      <c r="AK1142">
        <v>6</v>
      </c>
      <c r="AL1142" t="s">
        <v>10904</v>
      </c>
      <c r="AM1142" t="s">
        <v>170</v>
      </c>
      <c r="AN1142" t="s">
        <v>171</v>
      </c>
      <c r="AO1142" t="s">
        <v>4402</v>
      </c>
      <c r="AP1142" t="s">
        <v>74</v>
      </c>
      <c r="AQ1142" t="s">
        <v>74</v>
      </c>
      <c r="AR1142" t="s">
        <v>4404</v>
      </c>
      <c r="AS1142" t="s">
        <v>4405</v>
      </c>
      <c r="AT1142" t="s">
        <v>725</v>
      </c>
      <c r="AU1142">
        <v>2012</v>
      </c>
      <c r="AV1142">
        <v>82</v>
      </c>
      <c r="AW1142">
        <v>2</v>
      </c>
      <c r="AX1142" t="s">
        <v>74</v>
      </c>
      <c r="AY1142" t="s">
        <v>74</v>
      </c>
      <c r="AZ1142" t="s">
        <v>74</v>
      </c>
      <c r="BA1142" t="s">
        <v>74</v>
      </c>
      <c r="BB1142">
        <v>173</v>
      </c>
      <c r="BC1142">
        <v>179</v>
      </c>
      <c r="BD1142" t="s">
        <v>74</v>
      </c>
      <c r="BE1142" t="s">
        <v>20437</v>
      </c>
      <c r="BF1142" t="str">
        <f>HYPERLINK("http://dx.doi.org/10.1111/j.1399-0004.2011.01727.x","http://dx.doi.org/10.1111/j.1399-0004.2011.01727.x")</f>
        <v>http://dx.doi.org/10.1111/j.1399-0004.2011.01727.x</v>
      </c>
      <c r="BG1142" t="s">
        <v>74</v>
      </c>
      <c r="BH1142" t="s">
        <v>74</v>
      </c>
      <c r="BI1142">
        <v>7</v>
      </c>
      <c r="BJ1142" t="s">
        <v>4407</v>
      </c>
      <c r="BK1142" t="s">
        <v>101</v>
      </c>
      <c r="BL1142" t="s">
        <v>4407</v>
      </c>
      <c r="BM1142" t="s">
        <v>20436</v>
      </c>
      <c r="BN1142">
        <v>21651515</v>
      </c>
      <c r="BO1142" t="s">
        <v>74</v>
      </c>
      <c r="BP1142" t="s">
        <v>74</v>
      </c>
      <c r="BQ1142" t="s">
        <v>74</v>
      </c>
      <c r="BR1142" t="s">
        <v>104</v>
      </c>
      <c r="BS1142" t="s">
        <v>20435</v>
      </c>
      <c r="BT1142" t="str">
        <f>HYPERLINK("https%3A%2F%2Fwww.webofscience.com%2Fwos%2Fwoscc%2Ffull-record%2FWOS:000306221600010","View Full Record in Web of Science")</f>
        <v>View Full Record in Web of Science</v>
      </c>
    </row>
    <row r="1143" spans="1:72" x14ac:dyDescent="0.25">
      <c r="A1143" t="s">
        <v>72</v>
      </c>
      <c r="B1143" t="s">
        <v>20434</v>
      </c>
      <c r="C1143" t="s">
        <v>74</v>
      </c>
      <c r="D1143" t="s">
        <v>74</v>
      </c>
      <c r="E1143" t="s">
        <v>74</v>
      </c>
      <c r="F1143" t="s">
        <v>20433</v>
      </c>
      <c r="G1143" t="s">
        <v>74</v>
      </c>
      <c r="H1143" t="s">
        <v>20432</v>
      </c>
      <c r="I1143" t="s">
        <v>20431</v>
      </c>
      <c r="J1143" t="s">
        <v>20424</v>
      </c>
      <c r="K1143" t="s">
        <v>74</v>
      </c>
      <c r="L1143" t="s">
        <v>74</v>
      </c>
      <c r="M1143" t="s">
        <v>78</v>
      </c>
      <c r="N1143" t="s">
        <v>52</v>
      </c>
      <c r="O1143" t="s">
        <v>74</v>
      </c>
      <c r="P1143" t="s">
        <v>74</v>
      </c>
      <c r="Q1143" t="s">
        <v>74</v>
      </c>
      <c r="R1143" t="s">
        <v>74</v>
      </c>
      <c r="S1143" t="s">
        <v>74</v>
      </c>
      <c r="T1143" t="s">
        <v>74</v>
      </c>
      <c r="U1143" t="s">
        <v>74</v>
      </c>
      <c r="V1143" t="s">
        <v>74</v>
      </c>
      <c r="W1143" t="s">
        <v>20430</v>
      </c>
      <c r="X1143" t="s">
        <v>20429</v>
      </c>
      <c r="Y1143" t="s">
        <v>74</v>
      </c>
      <c r="Z1143" t="s">
        <v>74</v>
      </c>
      <c r="AA1143" t="s">
        <v>9823</v>
      </c>
      <c r="AB1143" t="s">
        <v>74</v>
      </c>
      <c r="AC1143" t="s">
        <v>74</v>
      </c>
      <c r="AD1143" t="s">
        <v>74</v>
      </c>
      <c r="AE1143" t="s">
        <v>74</v>
      </c>
      <c r="AF1143" t="s">
        <v>74</v>
      </c>
      <c r="AG1143">
        <v>0</v>
      </c>
      <c r="AH1143">
        <v>0</v>
      </c>
      <c r="AI1143">
        <v>0</v>
      </c>
      <c r="AJ1143">
        <v>0</v>
      </c>
      <c r="AK1143">
        <v>1</v>
      </c>
      <c r="AL1143" t="s">
        <v>6482</v>
      </c>
      <c r="AM1143" t="s">
        <v>5466</v>
      </c>
      <c r="AN1143" t="s">
        <v>6483</v>
      </c>
      <c r="AO1143" t="s">
        <v>20419</v>
      </c>
      <c r="AP1143" t="s">
        <v>74</v>
      </c>
      <c r="AQ1143" t="s">
        <v>74</v>
      </c>
      <c r="AR1143" t="s">
        <v>20418</v>
      </c>
      <c r="AS1143" t="s">
        <v>20417</v>
      </c>
      <c r="AT1143" t="s">
        <v>725</v>
      </c>
      <c r="AU1143">
        <v>2012</v>
      </c>
      <c r="AV1143">
        <v>21</v>
      </c>
      <c r="AW1143" t="s">
        <v>74</v>
      </c>
      <c r="AX1143" t="s">
        <v>74</v>
      </c>
      <c r="AY1143">
        <v>3</v>
      </c>
      <c r="AZ1143" t="s">
        <v>1080</v>
      </c>
      <c r="BA1143">
        <v>42</v>
      </c>
      <c r="BB1143">
        <v>21</v>
      </c>
      <c r="BC1143">
        <v>22</v>
      </c>
      <c r="BD1143" t="s">
        <v>74</v>
      </c>
      <c r="BE1143" t="s">
        <v>74</v>
      </c>
      <c r="BF1143" t="s">
        <v>74</v>
      </c>
      <c r="BG1143" t="s">
        <v>74</v>
      </c>
      <c r="BH1143" t="s">
        <v>74</v>
      </c>
      <c r="BI1143">
        <v>2</v>
      </c>
      <c r="BJ1143" t="s">
        <v>20416</v>
      </c>
      <c r="BK1143" t="s">
        <v>101</v>
      </c>
      <c r="BL1143" t="s">
        <v>20416</v>
      </c>
      <c r="BM1143" t="s">
        <v>20415</v>
      </c>
      <c r="BN1143" t="s">
        <v>74</v>
      </c>
      <c r="BO1143" t="s">
        <v>74</v>
      </c>
      <c r="BP1143" t="s">
        <v>74</v>
      </c>
      <c r="BQ1143" t="s">
        <v>74</v>
      </c>
      <c r="BR1143" t="s">
        <v>104</v>
      </c>
      <c r="BS1143" t="s">
        <v>20428</v>
      </c>
      <c r="BT1143" t="str">
        <f>HYPERLINK("https%3A%2F%2Fwww.webofscience.com%2Fwos%2Fwoscc%2Ffull-record%2FWOS:000308131701042","View Full Record in Web of Science")</f>
        <v>View Full Record in Web of Science</v>
      </c>
    </row>
    <row r="1144" spans="1:72" x14ac:dyDescent="0.25">
      <c r="A1144" t="s">
        <v>72</v>
      </c>
      <c r="B1144" t="s">
        <v>20427</v>
      </c>
      <c r="C1144" t="s">
        <v>74</v>
      </c>
      <c r="D1144" t="s">
        <v>74</v>
      </c>
      <c r="E1144" t="s">
        <v>74</v>
      </c>
      <c r="F1144" t="s">
        <v>20426</v>
      </c>
      <c r="G1144" t="s">
        <v>74</v>
      </c>
      <c r="H1144" t="s">
        <v>74</v>
      </c>
      <c r="I1144" t="s">
        <v>20425</v>
      </c>
      <c r="J1144" t="s">
        <v>20424</v>
      </c>
      <c r="K1144" t="s">
        <v>74</v>
      </c>
      <c r="L1144" t="s">
        <v>74</v>
      </c>
      <c r="M1144" t="s">
        <v>78</v>
      </c>
      <c r="N1144" t="s">
        <v>52</v>
      </c>
      <c r="O1144" t="s">
        <v>74</v>
      </c>
      <c r="P1144" t="s">
        <v>74</v>
      </c>
      <c r="Q1144" t="s">
        <v>74</v>
      </c>
      <c r="R1144" t="s">
        <v>74</v>
      </c>
      <c r="S1144" t="s">
        <v>74</v>
      </c>
      <c r="T1144" t="s">
        <v>74</v>
      </c>
      <c r="U1144" t="s">
        <v>74</v>
      </c>
      <c r="V1144" t="s">
        <v>74</v>
      </c>
      <c r="W1144" t="s">
        <v>20423</v>
      </c>
      <c r="X1144" t="s">
        <v>20422</v>
      </c>
      <c r="Y1144" t="s">
        <v>74</v>
      </c>
      <c r="Z1144" t="s">
        <v>74</v>
      </c>
      <c r="AA1144" t="s">
        <v>20421</v>
      </c>
      <c r="AB1144" t="s">
        <v>20420</v>
      </c>
      <c r="AC1144" t="s">
        <v>74</v>
      </c>
      <c r="AD1144" t="s">
        <v>74</v>
      </c>
      <c r="AE1144" t="s">
        <v>74</v>
      </c>
      <c r="AF1144" t="s">
        <v>74</v>
      </c>
      <c r="AG1144">
        <v>0</v>
      </c>
      <c r="AH1144">
        <v>0</v>
      </c>
      <c r="AI1144">
        <v>0</v>
      </c>
      <c r="AJ1144">
        <v>0</v>
      </c>
      <c r="AK1144">
        <v>1</v>
      </c>
      <c r="AL1144" t="s">
        <v>6482</v>
      </c>
      <c r="AM1144" t="s">
        <v>5466</v>
      </c>
      <c r="AN1144" t="s">
        <v>6483</v>
      </c>
      <c r="AO1144" t="s">
        <v>20419</v>
      </c>
      <c r="AP1144" t="s">
        <v>74</v>
      </c>
      <c r="AQ1144" t="s">
        <v>74</v>
      </c>
      <c r="AR1144" t="s">
        <v>20418</v>
      </c>
      <c r="AS1144" t="s">
        <v>20417</v>
      </c>
      <c r="AT1144" t="s">
        <v>725</v>
      </c>
      <c r="AU1144">
        <v>2012</v>
      </c>
      <c r="AV1144">
        <v>21</v>
      </c>
      <c r="AW1144" t="s">
        <v>74</v>
      </c>
      <c r="AX1144" t="s">
        <v>74</v>
      </c>
      <c r="AY1144">
        <v>3</v>
      </c>
      <c r="AZ1144" t="s">
        <v>1080</v>
      </c>
      <c r="BA1144">
        <v>567</v>
      </c>
      <c r="BB1144">
        <v>266</v>
      </c>
      <c r="BC1144">
        <v>266</v>
      </c>
      <c r="BD1144" t="s">
        <v>74</v>
      </c>
      <c r="BE1144" t="s">
        <v>74</v>
      </c>
      <c r="BF1144" t="s">
        <v>74</v>
      </c>
      <c r="BG1144" t="s">
        <v>74</v>
      </c>
      <c r="BH1144" t="s">
        <v>74</v>
      </c>
      <c r="BI1144">
        <v>1</v>
      </c>
      <c r="BJ1144" t="s">
        <v>20416</v>
      </c>
      <c r="BK1144" t="s">
        <v>101</v>
      </c>
      <c r="BL1144" t="s">
        <v>20416</v>
      </c>
      <c r="BM1144" t="s">
        <v>20415</v>
      </c>
      <c r="BN1144" t="s">
        <v>74</v>
      </c>
      <c r="BO1144" t="s">
        <v>74</v>
      </c>
      <c r="BP1144" t="s">
        <v>74</v>
      </c>
      <c r="BQ1144" t="s">
        <v>74</v>
      </c>
      <c r="BR1144" t="s">
        <v>104</v>
      </c>
      <c r="BS1144" t="s">
        <v>20414</v>
      </c>
      <c r="BT1144" t="str">
        <f>HYPERLINK("https%3A%2F%2Fwww.webofscience.com%2Fwos%2Fwoscc%2Ffull-record%2FWOS:000308131701548","View Full Record in Web of Science")</f>
        <v>View Full Record in Web of Science</v>
      </c>
    </row>
    <row r="1145" spans="1:72" x14ac:dyDescent="0.25">
      <c r="A1145" t="s">
        <v>72</v>
      </c>
      <c r="B1145" t="s">
        <v>20413</v>
      </c>
      <c r="C1145" t="s">
        <v>74</v>
      </c>
      <c r="D1145" t="s">
        <v>74</v>
      </c>
      <c r="E1145" t="s">
        <v>74</v>
      </c>
      <c r="F1145" t="s">
        <v>20412</v>
      </c>
      <c r="G1145" t="s">
        <v>74</v>
      </c>
      <c r="H1145" t="s">
        <v>74</v>
      </c>
      <c r="I1145" t="s">
        <v>20411</v>
      </c>
      <c r="J1145" t="s">
        <v>637</v>
      </c>
      <c r="K1145" t="s">
        <v>74</v>
      </c>
      <c r="L1145" t="s">
        <v>74</v>
      </c>
      <c r="M1145" t="s">
        <v>78</v>
      </c>
      <c r="N1145" t="s">
        <v>460</v>
      </c>
      <c r="O1145" t="s">
        <v>74</v>
      </c>
      <c r="P1145" t="s">
        <v>74</v>
      </c>
      <c r="Q1145" t="s">
        <v>74</v>
      </c>
      <c r="R1145" t="s">
        <v>74</v>
      </c>
      <c r="S1145" t="s">
        <v>74</v>
      </c>
      <c r="T1145" t="s">
        <v>74</v>
      </c>
      <c r="U1145" t="s">
        <v>74</v>
      </c>
      <c r="V1145" t="s">
        <v>74</v>
      </c>
      <c r="W1145" t="s">
        <v>20410</v>
      </c>
      <c r="X1145" t="s">
        <v>20409</v>
      </c>
      <c r="Y1145" t="s">
        <v>20408</v>
      </c>
      <c r="Z1145" t="s">
        <v>74</v>
      </c>
      <c r="AA1145" t="s">
        <v>20407</v>
      </c>
      <c r="AB1145" t="s">
        <v>20406</v>
      </c>
      <c r="AC1145" t="s">
        <v>74</v>
      </c>
      <c r="AD1145" t="s">
        <v>74</v>
      </c>
      <c r="AE1145" t="s">
        <v>74</v>
      </c>
      <c r="AF1145" t="s">
        <v>74</v>
      </c>
      <c r="AG1145">
        <v>4</v>
      </c>
      <c r="AH1145">
        <v>9</v>
      </c>
      <c r="AI1145">
        <v>10</v>
      </c>
      <c r="AJ1145">
        <v>0</v>
      </c>
      <c r="AK1145">
        <v>4</v>
      </c>
      <c r="AL1145" t="s">
        <v>649</v>
      </c>
      <c r="AM1145" t="s">
        <v>486</v>
      </c>
      <c r="AN1145" t="s">
        <v>650</v>
      </c>
      <c r="AO1145" t="s">
        <v>651</v>
      </c>
      <c r="AP1145" t="s">
        <v>652</v>
      </c>
      <c r="AQ1145" t="s">
        <v>74</v>
      </c>
      <c r="AR1145" t="s">
        <v>653</v>
      </c>
      <c r="AS1145" t="s">
        <v>654</v>
      </c>
      <c r="AT1145" t="s">
        <v>806</v>
      </c>
      <c r="AU1145">
        <v>2012</v>
      </c>
      <c r="AV1145">
        <v>186</v>
      </c>
      <c r="AW1145">
        <v>1</v>
      </c>
      <c r="AX1145" t="s">
        <v>74</v>
      </c>
      <c r="AY1145" t="s">
        <v>74</v>
      </c>
      <c r="AZ1145" t="s">
        <v>74</v>
      </c>
      <c r="BA1145" t="s">
        <v>74</v>
      </c>
      <c r="BB1145">
        <v>107</v>
      </c>
      <c r="BC1145">
        <v>107</v>
      </c>
      <c r="BD1145" t="s">
        <v>74</v>
      </c>
      <c r="BE1145" t="s">
        <v>20405</v>
      </c>
      <c r="BF1145" t="str">
        <f>HYPERLINK("http://dx.doi.org/10.1164/ajrccm.186.1.107","http://dx.doi.org/10.1164/ajrccm.186.1.107")</f>
        <v>http://dx.doi.org/10.1164/ajrccm.186.1.107</v>
      </c>
      <c r="BG1145" t="s">
        <v>74</v>
      </c>
      <c r="BH1145" t="s">
        <v>74</v>
      </c>
      <c r="BI1145">
        <v>1</v>
      </c>
      <c r="BJ1145" t="s">
        <v>341</v>
      </c>
      <c r="BK1145" t="s">
        <v>101</v>
      </c>
      <c r="BL1145" t="s">
        <v>342</v>
      </c>
      <c r="BM1145" t="s">
        <v>20404</v>
      </c>
      <c r="BN1145">
        <v>22753690</v>
      </c>
      <c r="BO1145" t="s">
        <v>74</v>
      </c>
      <c r="BP1145" t="s">
        <v>74</v>
      </c>
      <c r="BQ1145" t="s">
        <v>74</v>
      </c>
      <c r="BR1145" t="s">
        <v>104</v>
      </c>
      <c r="BS1145" t="s">
        <v>20403</v>
      </c>
      <c r="BT1145" t="str">
        <f>HYPERLINK("https%3A%2F%2Fwww.webofscience.com%2Fwos%2Fwoscc%2Ffull-record%2FWOS:000305669900021","View Full Record in Web of Science")</f>
        <v>View Full Record in Web of Science</v>
      </c>
    </row>
    <row r="1146" spans="1:72" x14ac:dyDescent="0.25">
      <c r="A1146" t="s">
        <v>72</v>
      </c>
      <c r="B1146" t="s">
        <v>20402</v>
      </c>
      <c r="C1146" t="s">
        <v>74</v>
      </c>
      <c r="D1146" t="s">
        <v>74</v>
      </c>
      <c r="E1146" t="s">
        <v>74</v>
      </c>
      <c r="F1146" t="s">
        <v>20401</v>
      </c>
      <c r="G1146" t="s">
        <v>74</v>
      </c>
      <c r="H1146" t="s">
        <v>74</v>
      </c>
      <c r="I1146" t="s">
        <v>20400</v>
      </c>
      <c r="J1146" t="s">
        <v>216</v>
      </c>
      <c r="K1146" t="s">
        <v>74</v>
      </c>
      <c r="L1146" t="s">
        <v>74</v>
      </c>
      <c r="M1146" t="s">
        <v>78</v>
      </c>
      <c r="N1146" t="s">
        <v>79</v>
      </c>
      <c r="O1146" t="s">
        <v>74</v>
      </c>
      <c r="P1146" t="s">
        <v>74</v>
      </c>
      <c r="Q1146" t="s">
        <v>74</v>
      </c>
      <c r="R1146" t="s">
        <v>74</v>
      </c>
      <c r="S1146" t="s">
        <v>74</v>
      </c>
      <c r="T1146" t="s">
        <v>20399</v>
      </c>
      <c r="U1146" t="s">
        <v>20398</v>
      </c>
      <c r="V1146" t="s">
        <v>20397</v>
      </c>
      <c r="W1146" t="s">
        <v>20396</v>
      </c>
      <c r="X1146" t="s">
        <v>20395</v>
      </c>
      <c r="Y1146" t="s">
        <v>20394</v>
      </c>
      <c r="Z1146" t="s">
        <v>10035</v>
      </c>
      <c r="AA1146" t="s">
        <v>20393</v>
      </c>
      <c r="AB1146" t="s">
        <v>20392</v>
      </c>
      <c r="AC1146" t="s">
        <v>74</v>
      </c>
      <c r="AD1146" t="s">
        <v>74</v>
      </c>
      <c r="AE1146" t="s">
        <v>74</v>
      </c>
      <c r="AF1146" t="s">
        <v>74</v>
      </c>
      <c r="AG1146">
        <v>32</v>
      </c>
      <c r="AH1146">
        <v>54</v>
      </c>
      <c r="AI1146">
        <v>55</v>
      </c>
      <c r="AJ1146">
        <v>0</v>
      </c>
      <c r="AK1146">
        <v>3</v>
      </c>
      <c r="AL1146" t="s">
        <v>219</v>
      </c>
      <c r="AM1146" t="s">
        <v>220</v>
      </c>
      <c r="AN1146" t="s">
        <v>221</v>
      </c>
      <c r="AO1146" t="s">
        <v>222</v>
      </c>
      <c r="AP1146" t="s">
        <v>223</v>
      </c>
      <c r="AQ1146" t="s">
        <v>74</v>
      </c>
      <c r="AR1146" t="s">
        <v>224</v>
      </c>
      <c r="AS1146" t="s">
        <v>225</v>
      </c>
      <c r="AT1146" t="s">
        <v>785</v>
      </c>
      <c r="AU1146">
        <v>2012</v>
      </c>
      <c r="AV1146">
        <v>40</v>
      </c>
      <c r="AW1146">
        <v>1</v>
      </c>
      <c r="AX1146" t="s">
        <v>74</v>
      </c>
      <c r="AY1146" t="s">
        <v>74</v>
      </c>
      <c r="AZ1146" t="s">
        <v>74</v>
      </c>
      <c r="BA1146" t="s">
        <v>74</v>
      </c>
      <c r="BB1146">
        <v>75</v>
      </c>
      <c r="BC1146">
        <v>83</v>
      </c>
      <c r="BD1146" t="s">
        <v>74</v>
      </c>
      <c r="BE1146" t="s">
        <v>20391</v>
      </c>
      <c r="BF1146" t="str">
        <f>HYPERLINK("http://dx.doi.org/10.1183/09031936.00097911","http://dx.doi.org/10.1183/09031936.00097911")</f>
        <v>http://dx.doi.org/10.1183/09031936.00097911</v>
      </c>
      <c r="BG1146" t="s">
        <v>74</v>
      </c>
      <c r="BH1146" t="s">
        <v>74</v>
      </c>
      <c r="BI1146">
        <v>9</v>
      </c>
      <c r="BJ1146" t="s">
        <v>228</v>
      </c>
      <c r="BK1146" t="s">
        <v>101</v>
      </c>
      <c r="BL1146" t="s">
        <v>228</v>
      </c>
      <c r="BM1146" t="s">
        <v>20390</v>
      </c>
      <c r="BN1146">
        <v>22088969</v>
      </c>
      <c r="BO1146" t="s">
        <v>1194</v>
      </c>
      <c r="BP1146" t="s">
        <v>74</v>
      </c>
      <c r="BQ1146" t="s">
        <v>74</v>
      </c>
      <c r="BR1146" t="s">
        <v>104</v>
      </c>
      <c r="BS1146" t="s">
        <v>20389</v>
      </c>
      <c r="BT1146" t="str">
        <f>HYPERLINK("https%3A%2F%2Fwww.webofscience.com%2Fwos%2Fwoscc%2Ffull-record%2FWOS:000307287500014","View Full Record in Web of Science")</f>
        <v>View Full Record in Web of Science</v>
      </c>
    </row>
    <row r="1147" spans="1:72" x14ac:dyDescent="0.25">
      <c r="A1147" t="s">
        <v>72</v>
      </c>
      <c r="B1147" t="s">
        <v>20388</v>
      </c>
      <c r="C1147" t="s">
        <v>74</v>
      </c>
      <c r="D1147" t="s">
        <v>74</v>
      </c>
      <c r="E1147" t="s">
        <v>74</v>
      </c>
      <c r="F1147" t="s">
        <v>20387</v>
      </c>
      <c r="G1147" t="s">
        <v>74</v>
      </c>
      <c r="H1147" t="s">
        <v>74</v>
      </c>
      <c r="I1147" t="s">
        <v>20386</v>
      </c>
      <c r="J1147" t="s">
        <v>20385</v>
      </c>
      <c r="K1147" t="s">
        <v>74</v>
      </c>
      <c r="L1147" t="s">
        <v>74</v>
      </c>
      <c r="M1147" t="s">
        <v>78</v>
      </c>
      <c r="N1147" t="s">
        <v>79</v>
      </c>
      <c r="O1147" t="s">
        <v>74</v>
      </c>
      <c r="P1147" t="s">
        <v>74</v>
      </c>
      <c r="Q1147" t="s">
        <v>74</v>
      </c>
      <c r="R1147" t="s">
        <v>74</v>
      </c>
      <c r="S1147" t="s">
        <v>74</v>
      </c>
      <c r="T1147" t="s">
        <v>74</v>
      </c>
      <c r="U1147" t="s">
        <v>20384</v>
      </c>
      <c r="V1147" t="s">
        <v>20383</v>
      </c>
      <c r="W1147" t="s">
        <v>20382</v>
      </c>
      <c r="X1147" t="s">
        <v>20381</v>
      </c>
      <c r="Y1147" t="s">
        <v>20380</v>
      </c>
      <c r="Z1147" t="s">
        <v>20379</v>
      </c>
      <c r="AA1147" t="s">
        <v>20378</v>
      </c>
      <c r="AB1147" t="s">
        <v>20377</v>
      </c>
      <c r="AC1147" t="s">
        <v>20376</v>
      </c>
      <c r="AD1147" t="s">
        <v>20375</v>
      </c>
      <c r="AE1147" t="s">
        <v>20374</v>
      </c>
      <c r="AF1147" t="s">
        <v>74</v>
      </c>
      <c r="AG1147">
        <v>43</v>
      </c>
      <c r="AH1147">
        <v>40</v>
      </c>
      <c r="AI1147">
        <v>41</v>
      </c>
      <c r="AJ1147">
        <v>0</v>
      </c>
      <c r="AK1147">
        <v>1</v>
      </c>
      <c r="AL1147" t="s">
        <v>20373</v>
      </c>
      <c r="AM1147" t="s">
        <v>20372</v>
      </c>
      <c r="AN1147" t="s">
        <v>20371</v>
      </c>
      <c r="AO1147" t="s">
        <v>20370</v>
      </c>
      <c r="AP1147" t="s">
        <v>20369</v>
      </c>
      <c r="AQ1147" t="s">
        <v>74</v>
      </c>
      <c r="AR1147" t="s">
        <v>20368</v>
      </c>
      <c r="AS1147" t="s">
        <v>20367</v>
      </c>
      <c r="AT1147" t="s">
        <v>1060</v>
      </c>
      <c r="AU1147">
        <v>2012</v>
      </c>
      <c r="AV1147">
        <v>28</v>
      </c>
      <c r="AW1147">
        <v>6</v>
      </c>
      <c r="AX1147" t="s">
        <v>74</v>
      </c>
      <c r="AY1147" t="s">
        <v>74</v>
      </c>
      <c r="AZ1147" t="s">
        <v>74</v>
      </c>
      <c r="BA1147" t="s">
        <v>74</v>
      </c>
      <c r="BB1147">
        <v>607</v>
      </c>
      <c r="BC1147">
        <v>618</v>
      </c>
      <c r="BD1147" t="s">
        <v>74</v>
      </c>
      <c r="BE1147" t="s">
        <v>20366</v>
      </c>
      <c r="BF1147" t="str">
        <f>HYPERLINK("http://dx.doi.org/10.1089/aid.2011.0021","http://dx.doi.org/10.1089/aid.2011.0021")</f>
        <v>http://dx.doi.org/10.1089/aid.2011.0021</v>
      </c>
      <c r="BG1147" t="s">
        <v>74</v>
      </c>
      <c r="BH1147" t="s">
        <v>74</v>
      </c>
      <c r="BI1147">
        <v>12</v>
      </c>
      <c r="BJ1147" t="s">
        <v>16032</v>
      </c>
      <c r="BK1147" t="s">
        <v>101</v>
      </c>
      <c r="BL1147" t="s">
        <v>16032</v>
      </c>
      <c r="BM1147" t="s">
        <v>20365</v>
      </c>
      <c r="BN1147">
        <v>22066947</v>
      </c>
      <c r="BO1147" t="s">
        <v>103</v>
      </c>
      <c r="BP1147" t="s">
        <v>74</v>
      </c>
      <c r="BQ1147" t="s">
        <v>74</v>
      </c>
      <c r="BR1147" t="s">
        <v>104</v>
      </c>
      <c r="BS1147" t="s">
        <v>20364</v>
      </c>
      <c r="BT1147" t="str">
        <f>HYPERLINK("https%3A%2F%2Fwww.webofscience.com%2Fwos%2Fwoscc%2Ffull-record%2FWOS:000304780100012","View Full Record in Web of Science")</f>
        <v>View Full Record in Web of Science</v>
      </c>
    </row>
    <row r="1148" spans="1:72" x14ac:dyDescent="0.25">
      <c r="A1148" t="s">
        <v>72</v>
      </c>
      <c r="B1148" t="s">
        <v>20363</v>
      </c>
      <c r="C1148" t="s">
        <v>74</v>
      </c>
      <c r="D1148" t="s">
        <v>74</v>
      </c>
      <c r="E1148" t="s">
        <v>74</v>
      </c>
      <c r="F1148" t="s">
        <v>20362</v>
      </c>
      <c r="G1148" t="s">
        <v>74</v>
      </c>
      <c r="H1148" t="s">
        <v>74</v>
      </c>
      <c r="I1148" t="s">
        <v>20361</v>
      </c>
      <c r="J1148" t="s">
        <v>216</v>
      </c>
      <c r="K1148" t="s">
        <v>74</v>
      </c>
      <c r="L1148" t="s">
        <v>74</v>
      </c>
      <c r="M1148" t="s">
        <v>78</v>
      </c>
      <c r="N1148" t="s">
        <v>79</v>
      </c>
      <c r="O1148" t="s">
        <v>74</v>
      </c>
      <c r="P1148" t="s">
        <v>74</v>
      </c>
      <c r="Q1148" t="s">
        <v>74</v>
      </c>
      <c r="R1148" t="s">
        <v>74</v>
      </c>
      <c r="S1148" t="s">
        <v>74</v>
      </c>
      <c r="T1148" t="s">
        <v>20360</v>
      </c>
      <c r="U1148" t="s">
        <v>20359</v>
      </c>
      <c r="V1148" t="s">
        <v>20358</v>
      </c>
      <c r="W1148" t="s">
        <v>20357</v>
      </c>
      <c r="X1148" t="s">
        <v>20356</v>
      </c>
      <c r="Y1148" t="s">
        <v>20355</v>
      </c>
      <c r="Z1148" t="s">
        <v>16064</v>
      </c>
      <c r="AA1148" t="s">
        <v>20354</v>
      </c>
      <c r="AB1148" t="s">
        <v>20353</v>
      </c>
      <c r="AC1148" t="s">
        <v>20352</v>
      </c>
      <c r="AD1148" t="s">
        <v>20351</v>
      </c>
      <c r="AE1148" t="s">
        <v>20350</v>
      </c>
      <c r="AF1148" t="s">
        <v>74</v>
      </c>
      <c r="AG1148">
        <v>30</v>
      </c>
      <c r="AH1148">
        <v>82</v>
      </c>
      <c r="AI1148">
        <v>85</v>
      </c>
      <c r="AJ1148">
        <v>1</v>
      </c>
      <c r="AK1148">
        <v>10</v>
      </c>
      <c r="AL1148" t="s">
        <v>219</v>
      </c>
      <c r="AM1148" t="s">
        <v>220</v>
      </c>
      <c r="AN1148" t="s">
        <v>221</v>
      </c>
      <c r="AO1148" t="s">
        <v>222</v>
      </c>
      <c r="AP1148" t="s">
        <v>223</v>
      </c>
      <c r="AQ1148" t="s">
        <v>74</v>
      </c>
      <c r="AR1148" t="s">
        <v>224</v>
      </c>
      <c r="AS1148" t="s">
        <v>225</v>
      </c>
      <c r="AT1148" t="s">
        <v>1060</v>
      </c>
      <c r="AU1148">
        <v>2012</v>
      </c>
      <c r="AV1148">
        <v>39</v>
      </c>
      <c r="AW1148">
        <v>6</v>
      </c>
      <c r="AX1148" t="s">
        <v>74</v>
      </c>
      <c r="AY1148" t="s">
        <v>74</v>
      </c>
      <c r="AZ1148" t="s">
        <v>74</v>
      </c>
      <c r="BA1148" t="s">
        <v>74</v>
      </c>
      <c r="BB1148">
        <v>1405</v>
      </c>
      <c r="BC1148">
        <v>1414</v>
      </c>
      <c r="BD1148" t="s">
        <v>74</v>
      </c>
      <c r="BE1148" t="s">
        <v>20349</v>
      </c>
      <c r="BF1148" t="str">
        <f>HYPERLINK("http://dx.doi.org/10.1183/09031936.00181410","http://dx.doi.org/10.1183/09031936.00181410")</f>
        <v>http://dx.doi.org/10.1183/09031936.00181410</v>
      </c>
      <c r="BG1148" t="s">
        <v>74</v>
      </c>
      <c r="BH1148" t="s">
        <v>74</v>
      </c>
      <c r="BI1148">
        <v>10</v>
      </c>
      <c r="BJ1148" t="s">
        <v>228</v>
      </c>
      <c r="BK1148" t="s">
        <v>101</v>
      </c>
      <c r="BL1148" t="s">
        <v>228</v>
      </c>
      <c r="BM1148" t="s">
        <v>20316</v>
      </c>
      <c r="BN1148">
        <v>22005913</v>
      </c>
      <c r="BO1148" t="s">
        <v>1194</v>
      </c>
      <c r="BP1148" t="s">
        <v>74</v>
      </c>
      <c r="BQ1148" t="s">
        <v>74</v>
      </c>
      <c r="BR1148" t="s">
        <v>104</v>
      </c>
      <c r="BS1148" t="s">
        <v>20348</v>
      </c>
      <c r="BT1148" t="str">
        <f>HYPERLINK("https%3A%2F%2Fwww.webofscience.com%2Fwos%2Fwoscc%2Ffull-record%2FWOS:000305369900020","View Full Record in Web of Science")</f>
        <v>View Full Record in Web of Science</v>
      </c>
    </row>
    <row r="1149" spans="1:72" x14ac:dyDescent="0.25">
      <c r="A1149" t="s">
        <v>72</v>
      </c>
      <c r="B1149" t="s">
        <v>20347</v>
      </c>
      <c r="C1149" t="s">
        <v>74</v>
      </c>
      <c r="D1149" t="s">
        <v>74</v>
      </c>
      <c r="E1149" t="s">
        <v>74</v>
      </c>
      <c r="F1149" t="s">
        <v>20346</v>
      </c>
      <c r="G1149" t="s">
        <v>74</v>
      </c>
      <c r="H1149" t="s">
        <v>74</v>
      </c>
      <c r="I1149" t="s">
        <v>20345</v>
      </c>
      <c r="J1149" t="s">
        <v>216</v>
      </c>
      <c r="K1149" t="s">
        <v>74</v>
      </c>
      <c r="L1149" t="s">
        <v>74</v>
      </c>
      <c r="M1149" t="s">
        <v>78</v>
      </c>
      <c r="N1149" t="s">
        <v>460</v>
      </c>
      <c r="O1149" t="s">
        <v>74</v>
      </c>
      <c r="P1149" t="s">
        <v>74</v>
      </c>
      <c r="Q1149" t="s">
        <v>74</v>
      </c>
      <c r="R1149" t="s">
        <v>74</v>
      </c>
      <c r="S1149" t="s">
        <v>74</v>
      </c>
      <c r="T1149" t="s">
        <v>74</v>
      </c>
      <c r="U1149" t="s">
        <v>20344</v>
      </c>
      <c r="V1149" t="s">
        <v>74</v>
      </c>
      <c r="W1149" t="s">
        <v>20343</v>
      </c>
      <c r="X1149" t="s">
        <v>20342</v>
      </c>
      <c r="Y1149" t="s">
        <v>7557</v>
      </c>
      <c r="Z1149" t="s">
        <v>10573</v>
      </c>
      <c r="AA1149" t="s">
        <v>20341</v>
      </c>
      <c r="AB1149" t="s">
        <v>20340</v>
      </c>
      <c r="AC1149" t="s">
        <v>74</v>
      </c>
      <c r="AD1149" t="s">
        <v>74</v>
      </c>
      <c r="AE1149" t="s">
        <v>74</v>
      </c>
      <c r="AF1149" t="s">
        <v>74</v>
      </c>
      <c r="AG1149">
        <v>10</v>
      </c>
      <c r="AH1149">
        <v>31</v>
      </c>
      <c r="AI1149">
        <v>33</v>
      </c>
      <c r="AJ1149">
        <v>0</v>
      </c>
      <c r="AK1149">
        <v>0</v>
      </c>
      <c r="AL1149" t="s">
        <v>219</v>
      </c>
      <c r="AM1149" t="s">
        <v>220</v>
      </c>
      <c r="AN1149" t="s">
        <v>221</v>
      </c>
      <c r="AO1149" t="s">
        <v>222</v>
      </c>
      <c r="AP1149" t="s">
        <v>223</v>
      </c>
      <c r="AQ1149" t="s">
        <v>74</v>
      </c>
      <c r="AR1149" t="s">
        <v>224</v>
      </c>
      <c r="AS1149" t="s">
        <v>225</v>
      </c>
      <c r="AT1149" t="s">
        <v>1060</v>
      </c>
      <c r="AU1149">
        <v>2012</v>
      </c>
      <c r="AV1149">
        <v>39</v>
      </c>
      <c r="AW1149">
        <v>6</v>
      </c>
      <c r="AX1149" t="s">
        <v>74</v>
      </c>
      <c r="AY1149" t="s">
        <v>74</v>
      </c>
      <c r="AZ1149" t="s">
        <v>74</v>
      </c>
      <c r="BA1149" t="s">
        <v>74</v>
      </c>
      <c r="BB1149">
        <v>1534</v>
      </c>
      <c r="BC1149">
        <v>1535</v>
      </c>
      <c r="BD1149" t="s">
        <v>74</v>
      </c>
      <c r="BE1149" t="s">
        <v>20339</v>
      </c>
      <c r="BF1149" t="str">
        <f>HYPERLINK("http://dx.doi.org/10.1183/09031936.00185011","http://dx.doi.org/10.1183/09031936.00185011")</f>
        <v>http://dx.doi.org/10.1183/09031936.00185011</v>
      </c>
      <c r="BG1149" t="s">
        <v>74</v>
      </c>
      <c r="BH1149" t="s">
        <v>74</v>
      </c>
      <c r="BI1149">
        <v>2</v>
      </c>
      <c r="BJ1149" t="s">
        <v>228</v>
      </c>
      <c r="BK1149" t="s">
        <v>101</v>
      </c>
      <c r="BL1149" t="s">
        <v>228</v>
      </c>
      <c r="BM1149" t="s">
        <v>20316</v>
      </c>
      <c r="BN1149">
        <v>22654007</v>
      </c>
      <c r="BO1149" t="s">
        <v>1194</v>
      </c>
      <c r="BP1149" t="s">
        <v>74</v>
      </c>
      <c r="BQ1149" t="s">
        <v>74</v>
      </c>
      <c r="BR1149" t="s">
        <v>104</v>
      </c>
      <c r="BS1149" t="s">
        <v>20338</v>
      </c>
      <c r="BT1149" t="str">
        <f>HYPERLINK("https%3A%2F%2Fwww.webofscience.com%2Fwos%2Fwoscc%2Ffull-record%2FWOS:000305369900035","View Full Record in Web of Science")</f>
        <v>View Full Record in Web of Science</v>
      </c>
    </row>
    <row r="1150" spans="1:72" x14ac:dyDescent="0.25">
      <c r="A1150" t="s">
        <v>72</v>
      </c>
      <c r="B1150" t="s">
        <v>20337</v>
      </c>
      <c r="C1150" t="s">
        <v>74</v>
      </c>
      <c r="D1150" t="s">
        <v>74</v>
      </c>
      <c r="E1150" t="s">
        <v>74</v>
      </c>
      <c r="F1150" t="s">
        <v>20336</v>
      </c>
      <c r="G1150" t="s">
        <v>74</v>
      </c>
      <c r="H1150" t="s">
        <v>74</v>
      </c>
      <c r="I1150" t="s">
        <v>20335</v>
      </c>
      <c r="J1150" t="s">
        <v>15500</v>
      </c>
      <c r="K1150" t="s">
        <v>74</v>
      </c>
      <c r="L1150" t="s">
        <v>74</v>
      </c>
      <c r="M1150" t="s">
        <v>78</v>
      </c>
      <c r="N1150" t="s">
        <v>460</v>
      </c>
      <c r="O1150" t="s">
        <v>74</v>
      </c>
      <c r="P1150" t="s">
        <v>74</v>
      </c>
      <c r="Q1150" t="s">
        <v>74</v>
      </c>
      <c r="R1150" t="s">
        <v>74</v>
      </c>
      <c r="S1150" t="s">
        <v>74</v>
      </c>
      <c r="T1150" t="s">
        <v>74</v>
      </c>
      <c r="U1150" t="s">
        <v>20334</v>
      </c>
      <c r="V1150" t="s">
        <v>74</v>
      </c>
      <c r="W1150" t="s">
        <v>20333</v>
      </c>
      <c r="X1150" t="s">
        <v>20332</v>
      </c>
      <c r="Y1150" t="s">
        <v>20331</v>
      </c>
      <c r="Z1150" t="s">
        <v>74</v>
      </c>
      <c r="AA1150" t="s">
        <v>20330</v>
      </c>
      <c r="AB1150" t="s">
        <v>20329</v>
      </c>
      <c r="AC1150" t="s">
        <v>74</v>
      </c>
      <c r="AD1150" t="s">
        <v>74</v>
      </c>
      <c r="AE1150" t="s">
        <v>74</v>
      </c>
      <c r="AF1150" t="s">
        <v>74</v>
      </c>
      <c r="AG1150">
        <v>6</v>
      </c>
      <c r="AH1150">
        <v>3</v>
      </c>
      <c r="AI1150">
        <v>3</v>
      </c>
      <c r="AJ1150">
        <v>0</v>
      </c>
      <c r="AK1150">
        <v>0</v>
      </c>
      <c r="AL1150" t="s">
        <v>10904</v>
      </c>
      <c r="AM1150" t="s">
        <v>170</v>
      </c>
      <c r="AN1150" t="s">
        <v>171</v>
      </c>
      <c r="AO1150" t="s">
        <v>15491</v>
      </c>
      <c r="AP1150" t="s">
        <v>74</v>
      </c>
      <c r="AQ1150" t="s">
        <v>74</v>
      </c>
      <c r="AR1150" t="s">
        <v>16086</v>
      </c>
      <c r="AS1150" t="s">
        <v>15489</v>
      </c>
      <c r="AT1150" t="s">
        <v>1060</v>
      </c>
      <c r="AU1150">
        <v>2012</v>
      </c>
      <c r="AV1150">
        <v>64</v>
      </c>
      <c r="AW1150">
        <v>6</v>
      </c>
      <c r="AX1150" t="s">
        <v>74</v>
      </c>
      <c r="AY1150" t="s">
        <v>74</v>
      </c>
      <c r="AZ1150" t="s">
        <v>74</v>
      </c>
      <c r="BA1150" t="s">
        <v>74</v>
      </c>
      <c r="BB1150">
        <v>2051</v>
      </c>
      <c r="BC1150">
        <v>2052</v>
      </c>
      <c r="BD1150" t="s">
        <v>74</v>
      </c>
      <c r="BE1150" t="s">
        <v>20328</v>
      </c>
      <c r="BF1150" t="str">
        <f>HYPERLINK("http://dx.doi.org/10.1002/art.34408","http://dx.doi.org/10.1002/art.34408")</f>
        <v>http://dx.doi.org/10.1002/art.34408</v>
      </c>
      <c r="BG1150" t="s">
        <v>74</v>
      </c>
      <c r="BH1150" t="s">
        <v>74</v>
      </c>
      <c r="BI1150">
        <v>2</v>
      </c>
      <c r="BJ1150" t="s">
        <v>2369</v>
      </c>
      <c r="BK1150" t="s">
        <v>101</v>
      </c>
      <c r="BL1150" t="s">
        <v>2369</v>
      </c>
      <c r="BM1150" t="s">
        <v>20327</v>
      </c>
      <c r="BN1150">
        <v>22294315</v>
      </c>
      <c r="BO1150" t="s">
        <v>74</v>
      </c>
      <c r="BP1150" t="s">
        <v>74</v>
      </c>
      <c r="BQ1150" t="s">
        <v>74</v>
      </c>
      <c r="BR1150" t="s">
        <v>104</v>
      </c>
      <c r="BS1150" t="s">
        <v>20326</v>
      </c>
      <c r="BT1150" t="str">
        <f>HYPERLINK("https%3A%2F%2Fwww.webofscience.com%2Fwos%2Fwoscc%2Ffull-record%2FWOS:000304522100039","View Full Record in Web of Science")</f>
        <v>View Full Record in Web of Science</v>
      </c>
    </row>
    <row r="1151" spans="1:72" x14ac:dyDescent="0.25">
      <c r="A1151" t="s">
        <v>72</v>
      </c>
      <c r="B1151" t="s">
        <v>20325</v>
      </c>
      <c r="C1151" t="s">
        <v>74</v>
      </c>
      <c r="D1151" t="s">
        <v>74</v>
      </c>
      <c r="E1151" t="s">
        <v>74</v>
      </c>
      <c r="F1151" t="s">
        <v>20324</v>
      </c>
      <c r="G1151" t="s">
        <v>74</v>
      </c>
      <c r="H1151" t="s">
        <v>74</v>
      </c>
      <c r="I1151" t="s">
        <v>20323</v>
      </c>
      <c r="J1151" t="s">
        <v>216</v>
      </c>
      <c r="K1151" t="s">
        <v>74</v>
      </c>
      <c r="L1151" t="s">
        <v>74</v>
      </c>
      <c r="M1151" t="s">
        <v>78</v>
      </c>
      <c r="N1151" t="s">
        <v>460</v>
      </c>
      <c r="O1151" t="s">
        <v>74</v>
      </c>
      <c r="P1151" t="s">
        <v>74</v>
      </c>
      <c r="Q1151" t="s">
        <v>74</v>
      </c>
      <c r="R1151" t="s">
        <v>74</v>
      </c>
      <c r="S1151" t="s">
        <v>74</v>
      </c>
      <c r="T1151" t="s">
        <v>74</v>
      </c>
      <c r="U1151" t="s">
        <v>20322</v>
      </c>
      <c r="V1151" t="s">
        <v>74</v>
      </c>
      <c r="W1151" t="s">
        <v>20321</v>
      </c>
      <c r="X1151" t="s">
        <v>20320</v>
      </c>
      <c r="Y1151" t="s">
        <v>20319</v>
      </c>
      <c r="Z1151" t="s">
        <v>17425</v>
      </c>
      <c r="AA1151" t="s">
        <v>17812</v>
      </c>
      <c r="AB1151" t="s">
        <v>20318</v>
      </c>
      <c r="AC1151" t="s">
        <v>74</v>
      </c>
      <c r="AD1151" t="s">
        <v>74</v>
      </c>
      <c r="AE1151" t="s">
        <v>74</v>
      </c>
      <c r="AF1151" t="s">
        <v>74</v>
      </c>
      <c r="AG1151">
        <v>7</v>
      </c>
      <c r="AH1151">
        <v>16</v>
      </c>
      <c r="AI1151">
        <v>17</v>
      </c>
      <c r="AJ1151">
        <v>0</v>
      </c>
      <c r="AK1151">
        <v>1</v>
      </c>
      <c r="AL1151" t="s">
        <v>219</v>
      </c>
      <c r="AM1151" t="s">
        <v>220</v>
      </c>
      <c r="AN1151" t="s">
        <v>221</v>
      </c>
      <c r="AO1151" t="s">
        <v>222</v>
      </c>
      <c r="AP1151" t="s">
        <v>223</v>
      </c>
      <c r="AQ1151" t="s">
        <v>74</v>
      </c>
      <c r="AR1151" t="s">
        <v>224</v>
      </c>
      <c r="AS1151" t="s">
        <v>225</v>
      </c>
      <c r="AT1151" t="s">
        <v>1060</v>
      </c>
      <c r="AU1151">
        <v>2012</v>
      </c>
      <c r="AV1151">
        <v>39</v>
      </c>
      <c r="AW1151">
        <v>6</v>
      </c>
      <c r="AX1151" t="s">
        <v>74</v>
      </c>
      <c r="AY1151" t="s">
        <v>74</v>
      </c>
      <c r="AZ1151" t="s">
        <v>74</v>
      </c>
      <c r="BA1151" t="s">
        <v>74</v>
      </c>
      <c r="BB1151">
        <v>1549</v>
      </c>
      <c r="BC1151">
        <v>1550</v>
      </c>
      <c r="BD1151" t="s">
        <v>74</v>
      </c>
      <c r="BE1151" t="s">
        <v>20317</v>
      </c>
      <c r="BF1151" t="str">
        <f>HYPERLINK("http://dx.doi.org/10.1183/09031936.00008912","http://dx.doi.org/10.1183/09031936.00008912")</f>
        <v>http://dx.doi.org/10.1183/09031936.00008912</v>
      </c>
      <c r="BG1151" t="s">
        <v>74</v>
      </c>
      <c r="BH1151" t="s">
        <v>74</v>
      </c>
      <c r="BI1151">
        <v>2</v>
      </c>
      <c r="BJ1151" t="s">
        <v>228</v>
      </c>
      <c r="BK1151" t="s">
        <v>101</v>
      </c>
      <c r="BL1151" t="s">
        <v>228</v>
      </c>
      <c r="BM1151" t="s">
        <v>20316</v>
      </c>
      <c r="BN1151">
        <v>22654016</v>
      </c>
      <c r="BO1151" t="s">
        <v>1194</v>
      </c>
      <c r="BP1151" t="s">
        <v>74</v>
      </c>
      <c r="BQ1151" t="s">
        <v>74</v>
      </c>
      <c r="BR1151" t="s">
        <v>104</v>
      </c>
      <c r="BS1151" t="s">
        <v>20315</v>
      </c>
      <c r="BT1151" t="str">
        <f>HYPERLINK("https%3A%2F%2Fwww.webofscience.com%2Fwos%2Fwoscc%2Ffull-record%2FWOS:000305369900044","View Full Record in Web of Science")</f>
        <v>View Full Record in Web of Science</v>
      </c>
    </row>
    <row r="1152" spans="1:72" x14ac:dyDescent="0.25">
      <c r="A1152" t="s">
        <v>72</v>
      </c>
      <c r="B1152" t="s">
        <v>20314</v>
      </c>
      <c r="C1152" t="s">
        <v>74</v>
      </c>
      <c r="D1152" t="s">
        <v>74</v>
      </c>
      <c r="E1152" t="s">
        <v>74</v>
      </c>
      <c r="F1152" t="s">
        <v>20313</v>
      </c>
      <c r="G1152" t="s">
        <v>74</v>
      </c>
      <c r="H1152" t="s">
        <v>74</v>
      </c>
      <c r="I1152" t="s">
        <v>20312</v>
      </c>
      <c r="J1152" t="s">
        <v>833</v>
      </c>
      <c r="K1152" t="s">
        <v>74</v>
      </c>
      <c r="L1152" t="s">
        <v>74</v>
      </c>
      <c r="M1152" t="s">
        <v>78</v>
      </c>
      <c r="N1152" t="s">
        <v>79</v>
      </c>
      <c r="O1152" t="s">
        <v>74</v>
      </c>
      <c r="P1152" t="s">
        <v>74</v>
      </c>
      <c r="Q1152" t="s">
        <v>74</v>
      </c>
      <c r="R1152" t="s">
        <v>74</v>
      </c>
      <c r="S1152" t="s">
        <v>74</v>
      </c>
      <c r="T1152" t="s">
        <v>20311</v>
      </c>
      <c r="U1152" t="s">
        <v>20310</v>
      </c>
      <c r="V1152" t="s">
        <v>20309</v>
      </c>
      <c r="W1152" t="s">
        <v>20308</v>
      </c>
      <c r="X1152" t="s">
        <v>20307</v>
      </c>
      <c r="Y1152" t="s">
        <v>20306</v>
      </c>
      <c r="Z1152" t="s">
        <v>20305</v>
      </c>
      <c r="AA1152" t="s">
        <v>20304</v>
      </c>
      <c r="AB1152" t="s">
        <v>20303</v>
      </c>
      <c r="AC1152" t="s">
        <v>20302</v>
      </c>
      <c r="AD1152" t="s">
        <v>20302</v>
      </c>
      <c r="AE1152" t="s">
        <v>20301</v>
      </c>
      <c r="AF1152" t="s">
        <v>74</v>
      </c>
      <c r="AG1152">
        <v>49</v>
      </c>
      <c r="AH1152">
        <v>44</v>
      </c>
      <c r="AI1152">
        <v>51</v>
      </c>
      <c r="AJ1152">
        <v>1</v>
      </c>
      <c r="AK1152">
        <v>11</v>
      </c>
      <c r="AL1152" t="s">
        <v>649</v>
      </c>
      <c r="AM1152" t="s">
        <v>486</v>
      </c>
      <c r="AN1152" t="s">
        <v>17481</v>
      </c>
      <c r="AO1152" t="s">
        <v>844</v>
      </c>
      <c r="AP1152" t="s">
        <v>74</v>
      </c>
      <c r="AQ1152" t="s">
        <v>74</v>
      </c>
      <c r="AR1152" t="s">
        <v>846</v>
      </c>
      <c r="AS1152" t="s">
        <v>847</v>
      </c>
      <c r="AT1152" t="s">
        <v>2097</v>
      </c>
      <c r="AU1152">
        <v>2012</v>
      </c>
      <c r="AV1152">
        <v>46</v>
      </c>
      <c r="AW1152">
        <v>5</v>
      </c>
      <c r="AX1152" t="s">
        <v>74</v>
      </c>
      <c r="AY1152" t="s">
        <v>74</v>
      </c>
      <c r="AZ1152" t="s">
        <v>74</v>
      </c>
      <c r="BA1152" t="s">
        <v>74</v>
      </c>
      <c r="BB1152">
        <v>582</v>
      </c>
      <c r="BC1152">
        <v>591</v>
      </c>
      <c r="BD1152" t="s">
        <v>74</v>
      </c>
      <c r="BE1152" t="s">
        <v>20300</v>
      </c>
      <c r="BF1152" t="str">
        <f>HYPERLINK("http://dx.doi.org/10.1165/rcmb.2011-0296OC","http://dx.doi.org/10.1165/rcmb.2011-0296OC")</f>
        <v>http://dx.doi.org/10.1165/rcmb.2011-0296OC</v>
      </c>
      <c r="BG1152" t="s">
        <v>74</v>
      </c>
      <c r="BH1152" t="s">
        <v>74</v>
      </c>
      <c r="BI1152">
        <v>10</v>
      </c>
      <c r="BJ1152" t="s">
        <v>849</v>
      </c>
      <c r="BK1152" t="s">
        <v>101</v>
      </c>
      <c r="BL1152" t="s">
        <v>849</v>
      </c>
      <c r="BM1152" t="s">
        <v>20299</v>
      </c>
      <c r="BN1152">
        <v>22162909</v>
      </c>
      <c r="BO1152" t="s">
        <v>103</v>
      </c>
      <c r="BP1152" t="s">
        <v>74</v>
      </c>
      <c r="BQ1152" t="s">
        <v>74</v>
      </c>
      <c r="BR1152" t="s">
        <v>104</v>
      </c>
      <c r="BS1152" t="s">
        <v>20298</v>
      </c>
      <c r="BT1152" t="str">
        <f>HYPERLINK("https%3A%2F%2Fwww.webofscience.com%2Fwos%2Fwoscc%2Ffull-record%2FWOS:000305068500004","View Full Record in Web of Science")</f>
        <v>View Full Record in Web of Science</v>
      </c>
    </row>
    <row r="1153" spans="1:72" x14ac:dyDescent="0.25">
      <c r="A1153" t="s">
        <v>72</v>
      </c>
      <c r="B1153" t="s">
        <v>20297</v>
      </c>
      <c r="C1153" t="s">
        <v>74</v>
      </c>
      <c r="D1153" t="s">
        <v>74</v>
      </c>
      <c r="E1153" t="s">
        <v>74</v>
      </c>
      <c r="F1153" t="s">
        <v>20296</v>
      </c>
      <c r="G1153" t="s">
        <v>74</v>
      </c>
      <c r="H1153" t="s">
        <v>74</v>
      </c>
      <c r="I1153" t="s">
        <v>20295</v>
      </c>
      <c r="J1153" t="s">
        <v>1529</v>
      </c>
      <c r="K1153" t="s">
        <v>74</v>
      </c>
      <c r="L1153" t="s">
        <v>74</v>
      </c>
      <c r="M1153" t="s">
        <v>1349</v>
      </c>
      <c r="N1153" t="s">
        <v>140</v>
      </c>
      <c r="O1153" t="s">
        <v>74</v>
      </c>
      <c r="P1153" t="s">
        <v>74</v>
      </c>
      <c r="Q1153" t="s">
        <v>74</v>
      </c>
      <c r="R1153" t="s">
        <v>74</v>
      </c>
      <c r="S1153" t="s">
        <v>74</v>
      </c>
      <c r="T1153" t="s">
        <v>74</v>
      </c>
      <c r="U1153" t="s">
        <v>74</v>
      </c>
      <c r="V1153" t="s">
        <v>74</v>
      </c>
      <c r="W1153" t="s">
        <v>20294</v>
      </c>
      <c r="X1153" t="s">
        <v>20293</v>
      </c>
      <c r="Y1153" t="s">
        <v>20292</v>
      </c>
      <c r="Z1153" t="s">
        <v>10573</v>
      </c>
      <c r="AA1153" t="s">
        <v>144</v>
      </c>
      <c r="AB1153" t="s">
        <v>257</v>
      </c>
      <c r="AC1153" t="s">
        <v>74</v>
      </c>
      <c r="AD1153" t="s">
        <v>74</v>
      </c>
      <c r="AE1153" t="s">
        <v>74</v>
      </c>
      <c r="AF1153" t="s">
        <v>74</v>
      </c>
      <c r="AG1153">
        <v>0</v>
      </c>
      <c r="AH1153">
        <v>0</v>
      </c>
      <c r="AI1153">
        <v>0</v>
      </c>
      <c r="AJ1153">
        <v>0</v>
      </c>
      <c r="AK1153">
        <v>0</v>
      </c>
      <c r="AL1153" t="s">
        <v>1358</v>
      </c>
      <c r="AM1153" t="s">
        <v>1359</v>
      </c>
      <c r="AN1153" t="s">
        <v>1360</v>
      </c>
      <c r="AO1153" t="s">
        <v>1533</v>
      </c>
      <c r="AP1153" t="s">
        <v>74</v>
      </c>
      <c r="AQ1153" t="s">
        <v>74</v>
      </c>
      <c r="AR1153" t="s">
        <v>1535</v>
      </c>
      <c r="AS1153" t="s">
        <v>1536</v>
      </c>
      <c r="AT1153" t="s">
        <v>2097</v>
      </c>
      <c r="AU1153">
        <v>2012</v>
      </c>
      <c r="AV1153">
        <v>41</v>
      </c>
      <c r="AW1153">
        <v>5</v>
      </c>
      <c r="AX1153" t="s">
        <v>74</v>
      </c>
      <c r="AY1153" t="s">
        <v>74</v>
      </c>
      <c r="AZ1153" t="s">
        <v>74</v>
      </c>
      <c r="BA1153" t="s">
        <v>74</v>
      </c>
      <c r="BB1153">
        <v>451</v>
      </c>
      <c r="BC1153">
        <v>452</v>
      </c>
      <c r="BD1153" t="s">
        <v>74</v>
      </c>
      <c r="BE1153" t="s">
        <v>20291</v>
      </c>
      <c r="BF1153" t="str">
        <f>HYPERLINK("http://dx.doi.org/10.1016/j.lpm.2012.04.001","http://dx.doi.org/10.1016/j.lpm.2012.04.001")</f>
        <v>http://dx.doi.org/10.1016/j.lpm.2012.04.001</v>
      </c>
      <c r="BG1153" t="s">
        <v>74</v>
      </c>
      <c r="BH1153" t="s">
        <v>74</v>
      </c>
      <c r="BI1153">
        <v>2</v>
      </c>
      <c r="BJ1153" t="s">
        <v>1152</v>
      </c>
      <c r="BK1153" t="s">
        <v>101</v>
      </c>
      <c r="BL1153" t="s">
        <v>1153</v>
      </c>
      <c r="BM1153" t="s">
        <v>20290</v>
      </c>
      <c r="BN1153">
        <v>22559971</v>
      </c>
      <c r="BO1153" t="s">
        <v>74</v>
      </c>
      <c r="BP1153" t="s">
        <v>74</v>
      </c>
      <c r="BQ1153" t="s">
        <v>74</v>
      </c>
      <c r="BR1153" t="s">
        <v>104</v>
      </c>
      <c r="BS1153" t="s">
        <v>20289</v>
      </c>
      <c r="BT1153" t="str">
        <f>HYPERLINK("https%3A%2F%2Fwww.webofscience.com%2Fwos%2Fwoscc%2Ffull-record%2FWOS:000304499500001","View Full Record in Web of Science")</f>
        <v>View Full Record in Web of Science</v>
      </c>
    </row>
    <row r="1154" spans="1:72" x14ac:dyDescent="0.25">
      <c r="A1154" t="s">
        <v>72</v>
      </c>
      <c r="B1154" t="s">
        <v>20288</v>
      </c>
      <c r="C1154" t="s">
        <v>74</v>
      </c>
      <c r="D1154" t="s">
        <v>74</v>
      </c>
      <c r="E1154" t="s">
        <v>74</v>
      </c>
      <c r="F1154" t="s">
        <v>20287</v>
      </c>
      <c r="G1154" t="s">
        <v>74</v>
      </c>
      <c r="H1154" t="s">
        <v>74</v>
      </c>
      <c r="I1154" t="s">
        <v>20286</v>
      </c>
      <c r="J1154" t="s">
        <v>251</v>
      </c>
      <c r="K1154" t="s">
        <v>74</v>
      </c>
      <c r="L1154" t="s">
        <v>74</v>
      </c>
      <c r="M1154" t="s">
        <v>78</v>
      </c>
      <c r="N1154" t="s">
        <v>79</v>
      </c>
      <c r="O1154" t="s">
        <v>74</v>
      </c>
      <c r="P1154" t="s">
        <v>74</v>
      </c>
      <c r="Q1154" t="s">
        <v>74</v>
      </c>
      <c r="R1154" t="s">
        <v>74</v>
      </c>
      <c r="S1154" t="s">
        <v>74</v>
      </c>
      <c r="T1154" t="s">
        <v>20285</v>
      </c>
      <c r="U1154" t="s">
        <v>20284</v>
      </c>
      <c r="V1154" t="s">
        <v>20283</v>
      </c>
      <c r="W1154" t="s">
        <v>20282</v>
      </c>
      <c r="X1154" t="s">
        <v>20281</v>
      </c>
      <c r="Y1154" t="s">
        <v>20280</v>
      </c>
      <c r="Z1154" t="s">
        <v>10573</v>
      </c>
      <c r="AA1154" t="s">
        <v>20279</v>
      </c>
      <c r="AB1154" t="s">
        <v>20278</v>
      </c>
      <c r="AC1154" t="s">
        <v>20277</v>
      </c>
      <c r="AD1154" t="s">
        <v>20276</v>
      </c>
      <c r="AE1154" t="s">
        <v>20275</v>
      </c>
      <c r="AF1154" t="s">
        <v>74</v>
      </c>
      <c r="AG1154">
        <v>51</v>
      </c>
      <c r="AH1154">
        <v>457</v>
      </c>
      <c r="AI1154">
        <v>496</v>
      </c>
      <c r="AJ1154">
        <v>0</v>
      </c>
      <c r="AK1154">
        <v>29</v>
      </c>
      <c r="AL1154" t="s">
        <v>122</v>
      </c>
      <c r="AM1154" t="s">
        <v>123</v>
      </c>
      <c r="AN1154" t="s">
        <v>124</v>
      </c>
      <c r="AO1154" t="s">
        <v>258</v>
      </c>
      <c r="AP1154" t="s">
        <v>259</v>
      </c>
      <c r="AQ1154" t="s">
        <v>74</v>
      </c>
      <c r="AR1154" t="s">
        <v>251</v>
      </c>
      <c r="AS1154" t="s">
        <v>260</v>
      </c>
      <c r="AT1154" t="s">
        <v>960</v>
      </c>
      <c r="AU1154">
        <v>2012</v>
      </c>
      <c r="AV1154">
        <v>125</v>
      </c>
      <c r="AW1154">
        <v>17</v>
      </c>
      <c r="AX1154" t="s">
        <v>74</v>
      </c>
      <c r="AY1154" t="s">
        <v>74</v>
      </c>
      <c r="AZ1154" t="s">
        <v>74</v>
      </c>
      <c r="BA1154" t="s">
        <v>74</v>
      </c>
      <c r="BB1154">
        <v>2128</v>
      </c>
      <c r="BC1154">
        <v>2137</v>
      </c>
      <c r="BD1154" t="s">
        <v>74</v>
      </c>
      <c r="BE1154" t="s">
        <v>20274</v>
      </c>
      <c r="BF1154" t="str">
        <f>HYPERLINK("http://dx.doi.org/10.1161/CIRCULATIONAHA.111.079921","http://dx.doi.org/10.1161/CIRCULATIONAHA.111.079921")</f>
        <v>http://dx.doi.org/10.1161/CIRCULATIONAHA.111.079921</v>
      </c>
      <c r="BG1154" t="s">
        <v>74</v>
      </c>
      <c r="BH1154" t="s">
        <v>74</v>
      </c>
      <c r="BI1154">
        <v>10</v>
      </c>
      <c r="BJ1154" t="s">
        <v>263</v>
      </c>
      <c r="BK1154" t="s">
        <v>101</v>
      </c>
      <c r="BL1154" t="s">
        <v>133</v>
      </c>
      <c r="BM1154" t="s">
        <v>20273</v>
      </c>
      <c r="BN1154">
        <v>22451584</v>
      </c>
      <c r="BO1154" t="s">
        <v>74</v>
      </c>
      <c r="BP1154" t="s">
        <v>74</v>
      </c>
      <c r="BQ1154" t="s">
        <v>74</v>
      </c>
      <c r="BR1154" t="s">
        <v>104</v>
      </c>
      <c r="BS1154" t="s">
        <v>20272</v>
      </c>
      <c r="BT1154" t="str">
        <f>HYPERLINK("https%3A%2F%2Fwww.webofscience.com%2Fwos%2Fwoscc%2Ffull-record%2FWOS:000306959200022","View Full Record in Web of Science")</f>
        <v>View Full Record in Web of Science</v>
      </c>
    </row>
    <row r="1155" spans="1:72" x14ac:dyDescent="0.25">
      <c r="A1155" t="s">
        <v>72</v>
      </c>
      <c r="B1155" t="s">
        <v>19801</v>
      </c>
      <c r="C1155" t="s">
        <v>74</v>
      </c>
      <c r="D1155" t="s">
        <v>74</v>
      </c>
      <c r="E1155" t="s">
        <v>74</v>
      </c>
      <c r="F1155" t="s">
        <v>20271</v>
      </c>
      <c r="G1155" t="s">
        <v>74</v>
      </c>
      <c r="H1155" t="s">
        <v>74</v>
      </c>
      <c r="I1155" t="s">
        <v>20270</v>
      </c>
      <c r="J1155" t="s">
        <v>216</v>
      </c>
      <c r="K1155" t="s">
        <v>74</v>
      </c>
      <c r="L1155" t="s">
        <v>74</v>
      </c>
      <c r="M1155" t="s">
        <v>78</v>
      </c>
      <c r="N1155" t="s">
        <v>217</v>
      </c>
      <c r="O1155" t="s">
        <v>74</v>
      </c>
      <c r="P1155" t="s">
        <v>74</v>
      </c>
      <c r="Q1155" t="s">
        <v>74</v>
      </c>
      <c r="R1155" t="s">
        <v>74</v>
      </c>
      <c r="S1155" t="s">
        <v>74</v>
      </c>
      <c r="T1155" t="s">
        <v>74</v>
      </c>
      <c r="U1155" t="s">
        <v>74</v>
      </c>
      <c r="V1155" t="s">
        <v>74</v>
      </c>
      <c r="W1155" t="s">
        <v>74</v>
      </c>
      <c r="X1155" t="s">
        <v>74</v>
      </c>
      <c r="Y1155" t="s">
        <v>74</v>
      </c>
      <c r="Z1155" t="s">
        <v>74</v>
      </c>
      <c r="AA1155" t="s">
        <v>20269</v>
      </c>
      <c r="AB1155" t="s">
        <v>20268</v>
      </c>
      <c r="AC1155" t="s">
        <v>74</v>
      </c>
      <c r="AD1155" t="s">
        <v>74</v>
      </c>
      <c r="AE1155" t="s">
        <v>74</v>
      </c>
      <c r="AF1155" t="s">
        <v>74</v>
      </c>
      <c r="AG1155">
        <v>1</v>
      </c>
      <c r="AH1155">
        <v>0</v>
      </c>
      <c r="AI1155">
        <v>0</v>
      </c>
      <c r="AJ1155">
        <v>0</v>
      </c>
      <c r="AK1155">
        <v>1</v>
      </c>
      <c r="AL1155" t="s">
        <v>219</v>
      </c>
      <c r="AM1155" t="s">
        <v>220</v>
      </c>
      <c r="AN1155" t="s">
        <v>221</v>
      </c>
      <c r="AO1155" t="s">
        <v>222</v>
      </c>
      <c r="AP1155" t="s">
        <v>74</v>
      </c>
      <c r="AQ1155" t="s">
        <v>74</v>
      </c>
      <c r="AR1155" t="s">
        <v>224</v>
      </c>
      <c r="AS1155" t="s">
        <v>225</v>
      </c>
      <c r="AT1155" t="s">
        <v>2097</v>
      </c>
      <c r="AU1155">
        <v>2012</v>
      </c>
      <c r="AV1155">
        <v>39</v>
      </c>
      <c r="AW1155">
        <v>5</v>
      </c>
      <c r="AX1155" t="s">
        <v>74</v>
      </c>
      <c r="AY1155" t="s">
        <v>74</v>
      </c>
      <c r="AZ1155" t="s">
        <v>74</v>
      </c>
      <c r="BA1155" t="s">
        <v>74</v>
      </c>
      <c r="BB1155">
        <v>1280</v>
      </c>
      <c r="BC1155">
        <v>1280</v>
      </c>
      <c r="BD1155" t="s">
        <v>74</v>
      </c>
      <c r="BE1155" t="s">
        <v>20267</v>
      </c>
      <c r="BF1155" t="str">
        <f>HYPERLINK("http://dx.doi.org/10.1183/09031936.50186510","http://dx.doi.org/10.1183/09031936.50186510")</f>
        <v>http://dx.doi.org/10.1183/09031936.50186510</v>
      </c>
      <c r="BG1155" t="s">
        <v>74</v>
      </c>
      <c r="BH1155" t="s">
        <v>74</v>
      </c>
      <c r="BI1155">
        <v>1</v>
      </c>
      <c r="BJ1155" t="s">
        <v>228</v>
      </c>
      <c r="BK1155" t="s">
        <v>101</v>
      </c>
      <c r="BL1155" t="s">
        <v>228</v>
      </c>
      <c r="BM1155" t="s">
        <v>20266</v>
      </c>
      <c r="BN1155" t="s">
        <v>74</v>
      </c>
      <c r="BO1155" t="s">
        <v>74</v>
      </c>
      <c r="BP1155" t="s">
        <v>74</v>
      </c>
      <c r="BQ1155" t="s">
        <v>74</v>
      </c>
      <c r="BR1155" t="s">
        <v>104</v>
      </c>
      <c r="BS1155" t="s">
        <v>20265</v>
      </c>
      <c r="BT1155" t="str">
        <f>HYPERLINK("https%3A%2F%2Fwww.webofscience.com%2Fwos%2Fwoscc%2Ffull-record%2FWOS:000304234700039","View Full Record in Web of Science")</f>
        <v>View Full Record in Web of Science</v>
      </c>
    </row>
    <row r="1156" spans="1:72" x14ac:dyDescent="0.25">
      <c r="A1156" t="s">
        <v>72</v>
      </c>
      <c r="B1156" t="s">
        <v>20264</v>
      </c>
      <c r="C1156" t="s">
        <v>74</v>
      </c>
      <c r="D1156" t="s">
        <v>74</v>
      </c>
      <c r="E1156" t="s">
        <v>74</v>
      </c>
      <c r="F1156" t="s">
        <v>20263</v>
      </c>
      <c r="G1156" t="s">
        <v>74</v>
      </c>
      <c r="H1156" t="s">
        <v>74</v>
      </c>
      <c r="I1156" t="s">
        <v>20262</v>
      </c>
      <c r="J1156" t="s">
        <v>251</v>
      </c>
      <c r="K1156" t="s">
        <v>74</v>
      </c>
      <c r="L1156" t="s">
        <v>74</v>
      </c>
      <c r="M1156" t="s">
        <v>78</v>
      </c>
      <c r="N1156" t="s">
        <v>140</v>
      </c>
      <c r="O1156" t="s">
        <v>74</v>
      </c>
      <c r="P1156" t="s">
        <v>74</v>
      </c>
      <c r="Q1156" t="s">
        <v>74</v>
      </c>
      <c r="R1156" t="s">
        <v>74</v>
      </c>
      <c r="S1156" t="s">
        <v>74</v>
      </c>
      <c r="T1156" t="s">
        <v>74</v>
      </c>
      <c r="U1156" t="s">
        <v>74</v>
      </c>
      <c r="V1156" t="s">
        <v>74</v>
      </c>
      <c r="W1156" t="s">
        <v>20261</v>
      </c>
      <c r="X1156" t="s">
        <v>20260</v>
      </c>
      <c r="Y1156" t="s">
        <v>20259</v>
      </c>
      <c r="Z1156" t="s">
        <v>17425</v>
      </c>
      <c r="AA1156" t="s">
        <v>20258</v>
      </c>
      <c r="AB1156" t="s">
        <v>20257</v>
      </c>
      <c r="AC1156" t="s">
        <v>74</v>
      </c>
      <c r="AD1156" t="s">
        <v>74</v>
      </c>
      <c r="AE1156" t="s">
        <v>74</v>
      </c>
      <c r="AF1156" t="s">
        <v>74</v>
      </c>
      <c r="AG1156">
        <v>3</v>
      </c>
      <c r="AH1156">
        <v>5</v>
      </c>
      <c r="AI1156">
        <v>7</v>
      </c>
      <c r="AJ1156">
        <v>0</v>
      </c>
      <c r="AK1156">
        <v>2</v>
      </c>
      <c r="AL1156" t="s">
        <v>122</v>
      </c>
      <c r="AM1156" t="s">
        <v>123</v>
      </c>
      <c r="AN1156" t="s">
        <v>14769</v>
      </c>
      <c r="AO1156" t="s">
        <v>258</v>
      </c>
      <c r="AP1156" t="s">
        <v>74</v>
      </c>
      <c r="AQ1156" t="s">
        <v>74</v>
      </c>
      <c r="AR1156" t="s">
        <v>251</v>
      </c>
      <c r="AS1156" t="s">
        <v>260</v>
      </c>
      <c r="AT1156" t="s">
        <v>2120</v>
      </c>
      <c r="AU1156">
        <v>2012</v>
      </c>
      <c r="AV1156">
        <v>125</v>
      </c>
      <c r="AW1156">
        <v>16</v>
      </c>
      <c r="AX1156" t="s">
        <v>74</v>
      </c>
      <c r="AY1156" t="s">
        <v>74</v>
      </c>
      <c r="AZ1156" t="s">
        <v>74</v>
      </c>
      <c r="BA1156" t="s">
        <v>74</v>
      </c>
      <c r="BB1156">
        <v>2045</v>
      </c>
      <c r="BC1156">
        <v>2047</v>
      </c>
      <c r="BD1156" t="s">
        <v>74</v>
      </c>
      <c r="BE1156" t="s">
        <v>20256</v>
      </c>
      <c r="BF1156" t="str">
        <f>HYPERLINK("http://dx.doi.org/10.1161/CIRCULATIONAHA.111.058230","http://dx.doi.org/10.1161/CIRCULATIONAHA.111.058230")</f>
        <v>http://dx.doi.org/10.1161/CIRCULATIONAHA.111.058230</v>
      </c>
      <c r="BG1156" t="s">
        <v>74</v>
      </c>
      <c r="BH1156" t="s">
        <v>74</v>
      </c>
      <c r="BI1156">
        <v>3</v>
      </c>
      <c r="BJ1156" t="s">
        <v>263</v>
      </c>
      <c r="BK1156" t="s">
        <v>101</v>
      </c>
      <c r="BL1156" t="s">
        <v>133</v>
      </c>
      <c r="BM1156" t="s">
        <v>20255</v>
      </c>
      <c r="BN1156">
        <v>22529066</v>
      </c>
      <c r="BO1156" t="s">
        <v>1194</v>
      </c>
      <c r="BP1156" t="s">
        <v>74</v>
      </c>
      <c r="BQ1156" t="s">
        <v>74</v>
      </c>
      <c r="BR1156" t="s">
        <v>104</v>
      </c>
      <c r="BS1156" t="s">
        <v>20254</v>
      </c>
      <c r="BT1156" t="str">
        <f>HYPERLINK("https%3A%2F%2Fwww.webofscience.com%2Fwos%2Fwoscc%2Ffull-record%2FWOS:000306955300025","View Full Record in Web of Science")</f>
        <v>View Full Record in Web of Science</v>
      </c>
    </row>
    <row r="1157" spans="1:72" x14ac:dyDescent="0.25">
      <c r="A1157" t="s">
        <v>72</v>
      </c>
      <c r="B1157" t="s">
        <v>20253</v>
      </c>
      <c r="C1157" t="s">
        <v>74</v>
      </c>
      <c r="D1157" t="s">
        <v>74</v>
      </c>
      <c r="E1157" t="s">
        <v>74</v>
      </c>
      <c r="F1157" t="s">
        <v>20252</v>
      </c>
      <c r="G1157" t="s">
        <v>74</v>
      </c>
      <c r="H1157" t="s">
        <v>74</v>
      </c>
      <c r="I1157" t="s">
        <v>20251</v>
      </c>
      <c r="J1157" t="s">
        <v>2580</v>
      </c>
      <c r="K1157" t="s">
        <v>74</v>
      </c>
      <c r="L1157" t="s">
        <v>74</v>
      </c>
      <c r="M1157" t="s">
        <v>78</v>
      </c>
      <c r="N1157" t="s">
        <v>79</v>
      </c>
      <c r="O1157" t="s">
        <v>74</v>
      </c>
      <c r="P1157" t="s">
        <v>74</v>
      </c>
      <c r="Q1157" t="s">
        <v>74</v>
      </c>
      <c r="R1157" t="s">
        <v>74</v>
      </c>
      <c r="S1157" t="s">
        <v>74</v>
      </c>
      <c r="T1157" t="s">
        <v>74</v>
      </c>
      <c r="U1157" t="s">
        <v>20250</v>
      </c>
      <c r="V1157" t="s">
        <v>20249</v>
      </c>
      <c r="W1157" t="s">
        <v>20248</v>
      </c>
      <c r="X1157" t="s">
        <v>20247</v>
      </c>
      <c r="Y1157" t="s">
        <v>20246</v>
      </c>
      <c r="Z1157" t="s">
        <v>16064</v>
      </c>
      <c r="AA1157" t="s">
        <v>20245</v>
      </c>
      <c r="AB1157" t="s">
        <v>20244</v>
      </c>
      <c r="AC1157" t="s">
        <v>20243</v>
      </c>
      <c r="AD1157" t="s">
        <v>20242</v>
      </c>
      <c r="AE1157" t="s">
        <v>20241</v>
      </c>
      <c r="AF1157" t="s">
        <v>74</v>
      </c>
      <c r="AG1157">
        <v>30</v>
      </c>
      <c r="AH1157">
        <v>37</v>
      </c>
      <c r="AI1157">
        <v>38</v>
      </c>
      <c r="AJ1157">
        <v>0</v>
      </c>
      <c r="AK1157">
        <v>5</v>
      </c>
      <c r="AL1157" t="s">
        <v>2590</v>
      </c>
      <c r="AM1157" t="s">
        <v>201</v>
      </c>
      <c r="AN1157" t="s">
        <v>2591</v>
      </c>
      <c r="AO1157" t="s">
        <v>2592</v>
      </c>
      <c r="AP1157" t="s">
        <v>2593</v>
      </c>
      <c r="AQ1157" t="s">
        <v>74</v>
      </c>
      <c r="AR1157" t="s">
        <v>2594</v>
      </c>
      <c r="AS1157" t="s">
        <v>2595</v>
      </c>
      <c r="AT1157" t="s">
        <v>997</v>
      </c>
      <c r="AU1157">
        <v>2012</v>
      </c>
      <c r="AV1157">
        <v>71</v>
      </c>
      <c r="AW1157">
        <v>4</v>
      </c>
      <c r="AX1157" t="s">
        <v>74</v>
      </c>
      <c r="AY1157" t="s">
        <v>74</v>
      </c>
      <c r="AZ1157" t="s">
        <v>74</v>
      </c>
      <c r="BA1157" t="s">
        <v>74</v>
      </c>
      <c r="BB1157">
        <v>596</v>
      </c>
      <c r="BC1157">
        <v>605</v>
      </c>
      <c r="BD1157" t="s">
        <v>74</v>
      </c>
      <c r="BE1157" t="s">
        <v>20240</v>
      </c>
      <c r="BF1157" t="str">
        <f>HYPERLINK("http://dx.doi.org/10.1136/annrheumdis-2011-200195","http://dx.doi.org/10.1136/annrheumdis-2011-200195")</f>
        <v>http://dx.doi.org/10.1136/annrheumdis-2011-200195</v>
      </c>
      <c r="BG1157" t="s">
        <v>74</v>
      </c>
      <c r="BH1157" t="s">
        <v>74</v>
      </c>
      <c r="BI1157">
        <v>10</v>
      </c>
      <c r="BJ1157" t="s">
        <v>2369</v>
      </c>
      <c r="BK1157" t="s">
        <v>101</v>
      </c>
      <c r="BL1157" t="s">
        <v>2369</v>
      </c>
      <c r="BM1157" t="s">
        <v>20239</v>
      </c>
      <c r="BN1157">
        <v>22084393</v>
      </c>
      <c r="BO1157" t="s">
        <v>74</v>
      </c>
      <c r="BP1157" t="s">
        <v>74</v>
      </c>
      <c r="BQ1157" t="s">
        <v>74</v>
      </c>
      <c r="BR1157" t="s">
        <v>104</v>
      </c>
      <c r="BS1157" t="s">
        <v>20238</v>
      </c>
      <c r="BT1157" t="str">
        <f>HYPERLINK("https%3A%2F%2Fwww.webofscience.com%2Fwos%2Fwoscc%2Ffull-record%2FWOS:000301066500024","View Full Record in Web of Science")</f>
        <v>View Full Record in Web of Science</v>
      </c>
    </row>
    <row r="1158" spans="1:72" x14ac:dyDescent="0.25">
      <c r="A1158" t="s">
        <v>72</v>
      </c>
      <c r="B1158" t="s">
        <v>20237</v>
      </c>
      <c r="C1158" t="s">
        <v>74</v>
      </c>
      <c r="D1158" t="s">
        <v>74</v>
      </c>
      <c r="E1158" t="s">
        <v>74</v>
      </c>
      <c r="F1158" t="s">
        <v>20236</v>
      </c>
      <c r="G1158" t="s">
        <v>74</v>
      </c>
      <c r="H1158" t="s">
        <v>74</v>
      </c>
      <c r="I1158" t="s">
        <v>20235</v>
      </c>
      <c r="J1158" t="s">
        <v>1924</v>
      </c>
      <c r="K1158" t="s">
        <v>74</v>
      </c>
      <c r="L1158" t="s">
        <v>74</v>
      </c>
      <c r="M1158" t="s">
        <v>78</v>
      </c>
      <c r="N1158" t="s">
        <v>52</v>
      </c>
      <c r="O1158" t="s">
        <v>74</v>
      </c>
      <c r="P1158" t="s">
        <v>74</v>
      </c>
      <c r="Q1158" t="s">
        <v>74</v>
      </c>
      <c r="R1158" t="s">
        <v>74</v>
      </c>
      <c r="S1158" t="s">
        <v>74</v>
      </c>
      <c r="T1158" t="s">
        <v>74</v>
      </c>
      <c r="U1158" t="s">
        <v>74</v>
      </c>
      <c r="V1158" t="s">
        <v>74</v>
      </c>
      <c r="W1158" t="s">
        <v>20234</v>
      </c>
      <c r="X1158" t="s">
        <v>20233</v>
      </c>
      <c r="Y1158" t="s">
        <v>74</v>
      </c>
      <c r="Z1158" t="s">
        <v>74</v>
      </c>
      <c r="AA1158" t="s">
        <v>20232</v>
      </c>
      <c r="AB1158" t="s">
        <v>74</v>
      </c>
      <c r="AC1158" t="s">
        <v>74</v>
      </c>
      <c r="AD1158" t="s">
        <v>74</v>
      </c>
      <c r="AE1158" t="s">
        <v>74</v>
      </c>
      <c r="AF1158" t="s">
        <v>74</v>
      </c>
      <c r="AG1158">
        <v>0</v>
      </c>
      <c r="AH1158">
        <v>0</v>
      </c>
      <c r="AI1158">
        <v>0</v>
      </c>
      <c r="AJ1158">
        <v>0</v>
      </c>
      <c r="AK1158">
        <v>1</v>
      </c>
      <c r="AL1158" t="s">
        <v>10904</v>
      </c>
      <c r="AM1158" t="s">
        <v>17736</v>
      </c>
      <c r="AN1158" t="s">
        <v>17735</v>
      </c>
      <c r="AO1158" t="s">
        <v>1929</v>
      </c>
      <c r="AP1158" t="s">
        <v>74</v>
      </c>
      <c r="AQ1158" t="s">
        <v>74</v>
      </c>
      <c r="AR1158" t="s">
        <v>1931</v>
      </c>
      <c r="AS1158" t="s">
        <v>1932</v>
      </c>
      <c r="AT1158" t="s">
        <v>997</v>
      </c>
      <c r="AU1158">
        <v>2012</v>
      </c>
      <c r="AV1158">
        <v>26</v>
      </c>
      <c r="AW1158" t="s">
        <v>74</v>
      </c>
      <c r="AX1158" t="s">
        <v>74</v>
      </c>
      <c r="AY1158">
        <v>1</v>
      </c>
      <c r="AZ1158" t="s">
        <v>1080</v>
      </c>
      <c r="BA1158" t="s">
        <v>74</v>
      </c>
      <c r="BB1158">
        <v>56</v>
      </c>
      <c r="BC1158">
        <v>56</v>
      </c>
      <c r="BD1158" t="s">
        <v>74</v>
      </c>
      <c r="BE1158" t="s">
        <v>74</v>
      </c>
      <c r="BF1158" t="s">
        <v>74</v>
      </c>
      <c r="BG1158" t="s">
        <v>74</v>
      </c>
      <c r="BH1158" t="s">
        <v>74</v>
      </c>
      <c r="BI1158">
        <v>1</v>
      </c>
      <c r="BJ1158" t="s">
        <v>1477</v>
      </c>
      <c r="BK1158" t="s">
        <v>101</v>
      </c>
      <c r="BL1158" t="s">
        <v>1477</v>
      </c>
      <c r="BM1158" t="s">
        <v>20224</v>
      </c>
      <c r="BN1158" t="s">
        <v>74</v>
      </c>
      <c r="BO1158" t="s">
        <v>74</v>
      </c>
      <c r="BP1158" t="s">
        <v>74</v>
      </c>
      <c r="BQ1158" t="s">
        <v>74</v>
      </c>
      <c r="BR1158" t="s">
        <v>104</v>
      </c>
      <c r="BS1158" t="s">
        <v>20231</v>
      </c>
      <c r="BT1158" t="str">
        <f>HYPERLINK("https%3A%2F%2Fwww.webofscience.com%2Fwos%2Fwoscc%2Ffull-record%2FWOS:000302546900277","View Full Record in Web of Science")</f>
        <v>View Full Record in Web of Science</v>
      </c>
    </row>
    <row r="1159" spans="1:72" x14ac:dyDescent="0.25">
      <c r="A1159" t="s">
        <v>72</v>
      </c>
      <c r="B1159" t="s">
        <v>20230</v>
      </c>
      <c r="C1159" t="s">
        <v>74</v>
      </c>
      <c r="D1159" t="s">
        <v>74</v>
      </c>
      <c r="E1159" t="s">
        <v>74</v>
      </c>
      <c r="F1159" t="s">
        <v>20229</v>
      </c>
      <c r="G1159" t="s">
        <v>74</v>
      </c>
      <c r="H1159" t="s">
        <v>74</v>
      </c>
      <c r="I1159" t="s">
        <v>20228</v>
      </c>
      <c r="J1159" t="s">
        <v>1924</v>
      </c>
      <c r="K1159" t="s">
        <v>74</v>
      </c>
      <c r="L1159" t="s">
        <v>74</v>
      </c>
      <c r="M1159" t="s">
        <v>78</v>
      </c>
      <c r="N1159" t="s">
        <v>52</v>
      </c>
      <c r="O1159" t="s">
        <v>74</v>
      </c>
      <c r="P1159" t="s">
        <v>74</v>
      </c>
      <c r="Q1159" t="s">
        <v>74</v>
      </c>
      <c r="R1159" t="s">
        <v>74</v>
      </c>
      <c r="S1159" t="s">
        <v>74</v>
      </c>
      <c r="T1159" t="s">
        <v>74</v>
      </c>
      <c r="U1159" t="s">
        <v>74</v>
      </c>
      <c r="V1159" t="s">
        <v>74</v>
      </c>
      <c r="W1159" t="s">
        <v>20227</v>
      </c>
      <c r="X1159" t="s">
        <v>20226</v>
      </c>
      <c r="Y1159" t="s">
        <v>74</v>
      </c>
      <c r="Z1159" t="s">
        <v>74</v>
      </c>
      <c r="AA1159" t="s">
        <v>20225</v>
      </c>
      <c r="AB1159" t="s">
        <v>5709</v>
      </c>
      <c r="AC1159" t="s">
        <v>74</v>
      </c>
      <c r="AD1159" t="s">
        <v>74</v>
      </c>
      <c r="AE1159" t="s">
        <v>74</v>
      </c>
      <c r="AF1159" t="s">
        <v>74</v>
      </c>
      <c r="AG1159">
        <v>0</v>
      </c>
      <c r="AH1159">
        <v>0</v>
      </c>
      <c r="AI1159">
        <v>0</v>
      </c>
      <c r="AJ1159">
        <v>0</v>
      </c>
      <c r="AK1159">
        <v>2</v>
      </c>
      <c r="AL1159" t="s">
        <v>10904</v>
      </c>
      <c r="AM1159" t="s">
        <v>17736</v>
      </c>
      <c r="AN1159" t="s">
        <v>17735</v>
      </c>
      <c r="AO1159" t="s">
        <v>1929</v>
      </c>
      <c r="AP1159" t="s">
        <v>74</v>
      </c>
      <c r="AQ1159" t="s">
        <v>74</v>
      </c>
      <c r="AR1159" t="s">
        <v>1931</v>
      </c>
      <c r="AS1159" t="s">
        <v>1932</v>
      </c>
      <c r="AT1159" t="s">
        <v>997</v>
      </c>
      <c r="AU1159">
        <v>2012</v>
      </c>
      <c r="AV1159">
        <v>26</v>
      </c>
      <c r="AW1159" t="s">
        <v>74</v>
      </c>
      <c r="AX1159" t="s">
        <v>74</v>
      </c>
      <c r="AY1159">
        <v>1</v>
      </c>
      <c r="AZ1159" t="s">
        <v>1080</v>
      </c>
      <c r="BA1159" t="s">
        <v>74</v>
      </c>
      <c r="BB1159">
        <v>81</v>
      </c>
      <c r="BC1159">
        <v>82</v>
      </c>
      <c r="BD1159" t="s">
        <v>74</v>
      </c>
      <c r="BE1159" t="s">
        <v>74</v>
      </c>
      <c r="BF1159" t="s">
        <v>74</v>
      </c>
      <c r="BG1159" t="s">
        <v>74</v>
      </c>
      <c r="BH1159" t="s">
        <v>74</v>
      </c>
      <c r="BI1159">
        <v>2</v>
      </c>
      <c r="BJ1159" t="s">
        <v>1477</v>
      </c>
      <c r="BK1159" t="s">
        <v>101</v>
      </c>
      <c r="BL1159" t="s">
        <v>1477</v>
      </c>
      <c r="BM1159" t="s">
        <v>20224</v>
      </c>
      <c r="BN1159" t="s">
        <v>74</v>
      </c>
      <c r="BO1159" t="s">
        <v>74</v>
      </c>
      <c r="BP1159" t="s">
        <v>74</v>
      </c>
      <c r="BQ1159" t="s">
        <v>74</v>
      </c>
      <c r="BR1159" t="s">
        <v>104</v>
      </c>
      <c r="BS1159" t="s">
        <v>20223</v>
      </c>
      <c r="BT1159" t="str">
        <f>HYPERLINK("https%3A%2F%2Fwww.webofscience.com%2Fwos%2Fwoscc%2Ffull-record%2FWOS:000302546900402","View Full Record in Web of Science")</f>
        <v>View Full Record in Web of Science</v>
      </c>
    </row>
    <row r="1160" spans="1:72" x14ac:dyDescent="0.25">
      <c r="A1160" t="s">
        <v>72</v>
      </c>
      <c r="B1160" t="s">
        <v>20222</v>
      </c>
      <c r="C1160" t="s">
        <v>74</v>
      </c>
      <c r="D1160" t="s">
        <v>74</v>
      </c>
      <c r="E1160" t="s">
        <v>74</v>
      </c>
      <c r="F1160" t="s">
        <v>20221</v>
      </c>
      <c r="G1160" t="s">
        <v>74</v>
      </c>
      <c r="H1160" t="s">
        <v>74</v>
      </c>
      <c r="I1160" t="s">
        <v>20220</v>
      </c>
      <c r="J1160" t="s">
        <v>1348</v>
      </c>
      <c r="K1160" t="s">
        <v>74</v>
      </c>
      <c r="L1160" t="s">
        <v>74</v>
      </c>
      <c r="M1160" t="s">
        <v>1349</v>
      </c>
      <c r="N1160" t="s">
        <v>79</v>
      </c>
      <c r="O1160" t="s">
        <v>74</v>
      </c>
      <c r="P1160" t="s">
        <v>74</v>
      </c>
      <c r="Q1160" t="s">
        <v>74</v>
      </c>
      <c r="R1160" t="s">
        <v>74</v>
      </c>
      <c r="S1160" t="s">
        <v>74</v>
      </c>
      <c r="T1160" t="s">
        <v>20219</v>
      </c>
      <c r="U1160" t="s">
        <v>20218</v>
      </c>
      <c r="V1160" t="s">
        <v>20217</v>
      </c>
      <c r="W1160" t="s">
        <v>20216</v>
      </c>
      <c r="X1160" t="s">
        <v>20215</v>
      </c>
      <c r="Y1160" t="s">
        <v>20214</v>
      </c>
      <c r="Z1160" t="s">
        <v>19268</v>
      </c>
      <c r="AA1160" t="s">
        <v>9406</v>
      </c>
      <c r="AB1160" t="s">
        <v>20213</v>
      </c>
      <c r="AC1160" t="s">
        <v>74</v>
      </c>
      <c r="AD1160" t="s">
        <v>74</v>
      </c>
      <c r="AE1160" t="s">
        <v>74</v>
      </c>
      <c r="AF1160" t="s">
        <v>74</v>
      </c>
      <c r="AG1160">
        <v>38</v>
      </c>
      <c r="AH1160">
        <v>5</v>
      </c>
      <c r="AI1160">
        <v>5</v>
      </c>
      <c r="AJ1160">
        <v>0</v>
      </c>
      <c r="AK1160">
        <v>0</v>
      </c>
      <c r="AL1160" t="s">
        <v>1358</v>
      </c>
      <c r="AM1160" t="s">
        <v>1359</v>
      </c>
      <c r="AN1160" t="s">
        <v>1360</v>
      </c>
      <c r="AO1160" t="s">
        <v>1361</v>
      </c>
      <c r="AP1160" t="s">
        <v>1362</v>
      </c>
      <c r="AQ1160" t="s">
        <v>74</v>
      </c>
      <c r="AR1160" t="s">
        <v>1363</v>
      </c>
      <c r="AS1160" t="s">
        <v>1364</v>
      </c>
      <c r="AT1160" t="s">
        <v>997</v>
      </c>
      <c r="AU1160">
        <v>2012</v>
      </c>
      <c r="AV1160">
        <v>29</v>
      </c>
      <c r="AW1160">
        <v>4</v>
      </c>
      <c r="AX1160" t="s">
        <v>74</v>
      </c>
      <c r="AY1160" t="s">
        <v>74</v>
      </c>
      <c r="AZ1160" t="s">
        <v>74</v>
      </c>
      <c r="BA1160" t="s">
        <v>74</v>
      </c>
      <c r="BB1160">
        <v>491</v>
      </c>
      <c r="BC1160">
        <v>500</v>
      </c>
      <c r="BD1160" t="s">
        <v>74</v>
      </c>
      <c r="BE1160" t="s">
        <v>20212</v>
      </c>
      <c r="BF1160" t="str">
        <f>HYPERLINK("http://dx.doi.org/10.1016/j.rmr.2011.09.050","http://dx.doi.org/10.1016/j.rmr.2011.09.050")</f>
        <v>http://dx.doi.org/10.1016/j.rmr.2011.09.050</v>
      </c>
      <c r="BG1160" t="s">
        <v>74</v>
      </c>
      <c r="BH1160" t="s">
        <v>74</v>
      </c>
      <c r="BI1160">
        <v>10</v>
      </c>
      <c r="BJ1160" t="s">
        <v>228</v>
      </c>
      <c r="BK1160" t="s">
        <v>101</v>
      </c>
      <c r="BL1160" t="s">
        <v>228</v>
      </c>
      <c r="BM1160" t="s">
        <v>20211</v>
      </c>
      <c r="BN1160">
        <v>22542407</v>
      </c>
      <c r="BO1160" t="s">
        <v>74</v>
      </c>
      <c r="BP1160" t="s">
        <v>74</v>
      </c>
      <c r="BQ1160" t="s">
        <v>74</v>
      </c>
      <c r="BR1160" t="s">
        <v>104</v>
      </c>
      <c r="BS1160" t="s">
        <v>20210</v>
      </c>
      <c r="BT1160" t="str">
        <f>HYPERLINK("https%3A%2F%2Fwww.webofscience.com%2Fwos%2Fwoscc%2Ffull-record%2FWOS:000305051500005","View Full Record in Web of Science")</f>
        <v>View Full Record in Web of Science</v>
      </c>
    </row>
    <row r="1161" spans="1:72" x14ac:dyDescent="0.25">
      <c r="A1161" t="s">
        <v>72</v>
      </c>
      <c r="B1161" t="s">
        <v>20209</v>
      </c>
      <c r="C1161" t="s">
        <v>74</v>
      </c>
      <c r="D1161" t="s">
        <v>74</v>
      </c>
      <c r="E1161" t="s">
        <v>74</v>
      </c>
      <c r="F1161" t="s">
        <v>20208</v>
      </c>
      <c r="G1161" t="s">
        <v>74</v>
      </c>
      <c r="H1161" t="s">
        <v>74</v>
      </c>
      <c r="I1161" t="s">
        <v>20207</v>
      </c>
      <c r="J1161" t="s">
        <v>4594</v>
      </c>
      <c r="K1161" t="s">
        <v>74</v>
      </c>
      <c r="L1161" t="s">
        <v>74</v>
      </c>
      <c r="M1161" t="s">
        <v>78</v>
      </c>
      <c r="N1161" t="s">
        <v>52</v>
      </c>
      <c r="O1161" t="s">
        <v>20206</v>
      </c>
      <c r="P1161" t="s">
        <v>20205</v>
      </c>
      <c r="Q1161" t="s">
        <v>6981</v>
      </c>
      <c r="R1161" t="s">
        <v>5566</v>
      </c>
      <c r="S1161" t="s">
        <v>74</v>
      </c>
      <c r="T1161" t="s">
        <v>74</v>
      </c>
      <c r="U1161" t="s">
        <v>74</v>
      </c>
      <c r="V1161" t="s">
        <v>74</v>
      </c>
      <c r="W1161" t="s">
        <v>20204</v>
      </c>
      <c r="X1161" t="s">
        <v>20203</v>
      </c>
      <c r="Y1161" t="s">
        <v>74</v>
      </c>
      <c r="Z1161" t="s">
        <v>74</v>
      </c>
      <c r="AA1161" t="s">
        <v>20202</v>
      </c>
      <c r="AB1161" t="s">
        <v>357</v>
      </c>
      <c r="AC1161" t="s">
        <v>74</v>
      </c>
      <c r="AD1161" t="s">
        <v>74</v>
      </c>
      <c r="AE1161" t="s">
        <v>74</v>
      </c>
      <c r="AF1161" t="s">
        <v>74</v>
      </c>
      <c r="AG1161">
        <v>0</v>
      </c>
      <c r="AH1161">
        <v>0</v>
      </c>
      <c r="AI1161">
        <v>0</v>
      </c>
      <c r="AJ1161">
        <v>0</v>
      </c>
      <c r="AK1161">
        <v>1</v>
      </c>
      <c r="AL1161" t="s">
        <v>1073</v>
      </c>
      <c r="AM1161" t="s">
        <v>1074</v>
      </c>
      <c r="AN1161" t="s">
        <v>1075</v>
      </c>
      <c r="AO1161" t="s">
        <v>4607</v>
      </c>
      <c r="AP1161" t="s">
        <v>74</v>
      </c>
      <c r="AQ1161" t="s">
        <v>74</v>
      </c>
      <c r="AR1161" t="s">
        <v>4609</v>
      </c>
      <c r="AS1161" t="s">
        <v>4610</v>
      </c>
      <c r="AT1161" t="s">
        <v>5048</v>
      </c>
      <c r="AU1161">
        <v>2012</v>
      </c>
      <c r="AV1161">
        <v>93</v>
      </c>
      <c r="AW1161" t="s">
        <v>74</v>
      </c>
      <c r="AX1161" t="s">
        <v>74</v>
      </c>
      <c r="AY1161">
        <v>1</v>
      </c>
      <c r="AZ1161" t="s">
        <v>74</v>
      </c>
      <c r="BA1161" t="s">
        <v>74</v>
      </c>
      <c r="BB1161" t="s">
        <v>19053</v>
      </c>
      <c r="BC1161" t="s">
        <v>19052</v>
      </c>
      <c r="BD1161" t="s">
        <v>74</v>
      </c>
      <c r="BE1161" t="s">
        <v>74</v>
      </c>
      <c r="BF1161" t="s">
        <v>74</v>
      </c>
      <c r="BG1161" t="s">
        <v>74</v>
      </c>
      <c r="BH1161" t="s">
        <v>74</v>
      </c>
      <c r="BI1161">
        <v>2</v>
      </c>
      <c r="BJ1161" t="s">
        <v>132</v>
      </c>
      <c r="BK1161" t="s">
        <v>512</v>
      </c>
      <c r="BL1161" t="s">
        <v>133</v>
      </c>
      <c r="BM1161" t="s">
        <v>20201</v>
      </c>
      <c r="BN1161" t="s">
        <v>74</v>
      </c>
      <c r="BO1161" t="s">
        <v>74</v>
      </c>
      <c r="BP1161" t="s">
        <v>74</v>
      </c>
      <c r="BQ1161" t="s">
        <v>74</v>
      </c>
      <c r="BR1161" t="s">
        <v>104</v>
      </c>
      <c r="BS1161" t="s">
        <v>20200</v>
      </c>
      <c r="BT1161" t="str">
        <f>HYPERLINK("https%3A%2F%2Fwww.webofscience.com%2Fwos%2Fwoscc%2Ffull-record%2FWOS:000301975800246","View Full Record in Web of Science")</f>
        <v>View Full Record in Web of Science</v>
      </c>
    </row>
    <row r="1162" spans="1:72" x14ac:dyDescent="0.25">
      <c r="A1162" t="s">
        <v>72</v>
      </c>
      <c r="B1162" t="s">
        <v>20199</v>
      </c>
      <c r="C1162" t="s">
        <v>74</v>
      </c>
      <c r="D1162" t="s">
        <v>74</v>
      </c>
      <c r="E1162" t="s">
        <v>74</v>
      </c>
      <c r="F1162" t="s">
        <v>20198</v>
      </c>
      <c r="G1162" t="s">
        <v>74</v>
      </c>
      <c r="H1162" t="s">
        <v>74</v>
      </c>
      <c r="I1162" t="s">
        <v>20197</v>
      </c>
      <c r="J1162" t="s">
        <v>20196</v>
      </c>
      <c r="K1162" t="s">
        <v>74</v>
      </c>
      <c r="L1162" t="s">
        <v>74</v>
      </c>
      <c r="M1162" t="s">
        <v>78</v>
      </c>
      <c r="N1162" t="s">
        <v>79</v>
      </c>
      <c r="O1162" t="s">
        <v>74</v>
      </c>
      <c r="P1162" t="s">
        <v>74</v>
      </c>
      <c r="Q1162" t="s">
        <v>74</v>
      </c>
      <c r="R1162" t="s">
        <v>74</v>
      </c>
      <c r="S1162" t="s">
        <v>74</v>
      </c>
      <c r="T1162" t="s">
        <v>20195</v>
      </c>
      <c r="U1162" t="s">
        <v>20194</v>
      </c>
      <c r="V1162" t="s">
        <v>20193</v>
      </c>
      <c r="W1162" t="s">
        <v>20192</v>
      </c>
      <c r="X1162" t="s">
        <v>20191</v>
      </c>
      <c r="Y1162" t="s">
        <v>20190</v>
      </c>
      <c r="Z1162" t="s">
        <v>20189</v>
      </c>
      <c r="AA1162" t="s">
        <v>20188</v>
      </c>
      <c r="AB1162" t="s">
        <v>20187</v>
      </c>
      <c r="AC1162" t="s">
        <v>74</v>
      </c>
      <c r="AD1162" t="s">
        <v>74</v>
      </c>
      <c r="AE1162" t="s">
        <v>74</v>
      </c>
      <c r="AF1162" t="s">
        <v>74</v>
      </c>
      <c r="AG1162">
        <v>40</v>
      </c>
      <c r="AH1162">
        <v>1</v>
      </c>
      <c r="AI1162">
        <v>1</v>
      </c>
      <c r="AJ1162">
        <v>0</v>
      </c>
      <c r="AK1162">
        <v>4</v>
      </c>
      <c r="AL1162" t="s">
        <v>10390</v>
      </c>
      <c r="AM1162" t="s">
        <v>10391</v>
      </c>
      <c r="AN1162" t="s">
        <v>10392</v>
      </c>
      <c r="AO1162" t="s">
        <v>20186</v>
      </c>
      <c r="AP1162" t="s">
        <v>74</v>
      </c>
      <c r="AQ1162" t="s">
        <v>74</v>
      </c>
      <c r="AR1162" t="s">
        <v>20185</v>
      </c>
      <c r="AS1162" t="s">
        <v>20184</v>
      </c>
      <c r="AT1162" t="s">
        <v>98</v>
      </c>
      <c r="AU1162">
        <v>2012</v>
      </c>
      <c r="AV1162">
        <v>25</v>
      </c>
      <c r="AW1162">
        <v>1</v>
      </c>
      <c r="AX1162" t="s">
        <v>74</v>
      </c>
      <c r="AY1162" t="s">
        <v>74</v>
      </c>
      <c r="AZ1162" t="s">
        <v>74</v>
      </c>
      <c r="BA1162" t="s">
        <v>74</v>
      </c>
      <c r="BB1162">
        <v>21</v>
      </c>
      <c r="BC1162">
        <v>27</v>
      </c>
      <c r="BD1162" t="s">
        <v>74</v>
      </c>
      <c r="BE1162" t="s">
        <v>20183</v>
      </c>
      <c r="BF1162" t="str">
        <f>HYPERLINK("http://dx.doi.org/10.1684/mrh.2012.0301","http://dx.doi.org/10.1684/mrh.2012.0301")</f>
        <v>http://dx.doi.org/10.1684/mrh.2012.0301</v>
      </c>
      <c r="BG1162" t="s">
        <v>74</v>
      </c>
      <c r="BH1162" t="s">
        <v>74</v>
      </c>
      <c r="BI1162">
        <v>7</v>
      </c>
      <c r="BJ1162" t="s">
        <v>20182</v>
      </c>
      <c r="BK1162" t="s">
        <v>101</v>
      </c>
      <c r="BL1162" t="s">
        <v>20182</v>
      </c>
      <c r="BM1162" t="s">
        <v>20181</v>
      </c>
      <c r="BN1162">
        <v>22433438</v>
      </c>
      <c r="BO1162" t="s">
        <v>74</v>
      </c>
      <c r="BP1162" t="s">
        <v>74</v>
      </c>
      <c r="BQ1162" t="s">
        <v>74</v>
      </c>
      <c r="BR1162" t="s">
        <v>104</v>
      </c>
      <c r="BS1162" t="s">
        <v>20180</v>
      </c>
      <c r="BT1162" t="str">
        <f>HYPERLINK("https%3A%2F%2Fwww.webofscience.com%2Fwos%2Fwoscc%2Ffull-record%2FWOS:000302911700003","View Full Record in Web of Science")</f>
        <v>View Full Record in Web of Science</v>
      </c>
    </row>
    <row r="1163" spans="1:72" x14ac:dyDescent="0.25">
      <c r="A1163" t="s">
        <v>72</v>
      </c>
      <c r="B1163" t="s">
        <v>20179</v>
      </c>
      <c r="C1163" t="s">
        <v>74</v>
      </c>
      <c r="D1163" t="s">
        <v>74</v>
      </c>
      <c r="E1163" t="s">
        <v>74</v>
      </c>
      <c r="F1163" t="s">
        <v>20178</v>
      </c>
      <c r="G1163" t="s">
        <v>74</v>
      </c>
      <c r="H1163" t="s">
        <v>74</v>
      </c>
      <c r="I1163" t="s">
        <v>20177</v>
      </c>
      <c r="J1163" t="s">
        <v>8164</v>
      </c>
      <c r="K1163" t="s">
        <v>74</v>
      </c>
      <c r="L1163" t="s">
        <v>74</v>
      </c>
      <c r="M1163" t="s">
        <v>78</v>
      </c>
      <c r="N1163" t="s">
        <v>79</v>
      </c>
      <c r="O1163" t="s">
        <v>74</v>
      </c>
      <c r="P1163" t="s">
        <v>74</v>
      </c>
      <c r="Q1163" t="s">
        <v>74</v>
      </c>
      <c r="R1163" t="s">
        <v>74</v>
      </c>
      <c r="S1163" t="s">
        <v>74</v>
      </c>
      <c r="T1163" t="s">
        <v>74</v>
      </c>
      <c r="U1163" t="s">
        <v>20176</v>
      </c>
      <c r="V1163" t="s">
        <v>20175</v>
      </c>
      <c r="W1163" t="s">
        <v>20174</v>
      </c>
      <c r="X1163" t="s">
        <v>20173</v>
      </c>
      <c r="Y1163" t="s">
        <v>20172</v>
      </c>
      <c r="Z1163" t="s">
        <v>20171</v>
      </c>
      <c r="AA1163" t="s">
        <v>20170</v>
      </c>
      <c r="AB1163" t="s">
        <v>20169</v>
      </c>
      <c r="AC1163" t="s">
        <v>20168</v>
      </c>
      <c r="AD1163" t="s">
        <v>20167</v>
      </c>
      <c r="AE1163" t="s">
        <v>20166</v>
      </c>
      <c r="AF1163" t="s">
        <v>74</v>
      </c>
      <c r="AG1163">
        <v>47</v>
      </c>
      <c r="AH1163">
        <v>63</v>
      </c>
      <c r="AI1163">
        <v>67</v>
      </c>
      <c r="AJ1163">
        <v>0</v>
      </c>
      <c r="AK1163">
        <v>9</v>
      </c>
      <c r="AL1163" t="s">
        <v>8172</v>
      </c>
      <c r="AM1163" t="s">
        <v>1212</v>
      </c>
      <c r="AN1163" t="s">
        <v>20165</v>
      </c>
      <c r="AO1163" t="s">
        <v>8174</v>
      </c>
      <c r="AP1163" t="s">
        <v>74</v>
      </c>
      <c r="AQ1163" t="s">
        <v>74</v>
      </c>
      <c r="AR1163" t="s">
        <v>8164</v>
      </c>
      <c r="AS1163" t="s">
        <v>8176</v>
      </c>
      <c r="AT1163" t="s">
        <v>20164</v>
      </c>
      <c r="AU1163">
        <v>2012</v>
      </c>
      <c r="AV1163">
        <v>119</v>
      </c>
      <c r="AW1163">
        <v>7</v>
      </c>
      <c r="AX1163" t="s">
        <v>74</v>
      </c>
      <c r="AY1163" t="s">
        <v>74</v>
      </c>
      <c r="AZ1163" t="s">
        <v>74</v>
      </c>
      <c r="BA1163" t="s">
        <v>74</v>
      </c>
      <c r="BB1163">
        <v>1772</v>
      </c>
      <c r="BC1163">
        <v>1780</v>
      </c>
      <c r="BD1163" t="s">
        <v>74</v>
      </c>
      <c r="BE1163" t="s">
        <v>20163</v>
      </c>
      <c r="BF1163" t="str">
        <f>HYPERLINK("http://dx.doi.org/10.1182/blood-2011-06-358374","http://dx.doi.org/10.1182/blood-2011-06-358374")</f>
        <v>http://dx.doi.org/10.1182/blood-2011-06-358374</v>
      </c>
      <c r="BG1163" t="s">
        <v>74</v>
      </c>
      <c r="BH1163" t="s">
        <v>74</v>
      </c>
      <c r="BI1163">
        <v>9</v>
      </c>
      <c r="BJ1163" t="s">
        <v>318</v>
      </c>
      <c r="BK1163" t="s">
        <v>101</v>
      </c>
      <c r="BL1163" t="s">
        <v>318</v>
      </c>
      <c r="BM1163" t="s">
        <v>20162</v>
      </c>
      <c r="BN1163">
        <v>22186990</v>
      </c>
      <c r="BO1163" t="s">
        <v>2854</v>
      </c>
      <c r="BP1163" t="s">
        <v>74</v>
      </c>
      <c r="BQ1163" t="s">
        <v>74</v>
      </c>
      <c r="BR1163" t="s">
        <v>104</v>
      </c>
      <c r="BS1163" t="s">
        <v>20161</v>
      </c>
      <c r="BT1163" t="str">
        <f>HYPERLINK("https%3A%2F%2Fwww.webofscience.com%2Fwos%2Fwoscc%2Ffull-record%2FWOS:000300672000023","View Full Record in Web of Science")</f>
        <v>View Full Record in Web of Science</v>
      </c>
    </row>
    <row r="1164" spans="1:72" x14ac:dyDescent="0.25">
      <c r="A1164" t="s">
        <v>72</v>
      </c>
      <c r="B1164" t="s">
        <v>20160</v>
      </c>
      <c r="C1164" t="s">
        <v>74</v>
      </c>
      <c r="D1164" t="s">
        <v>74</v>
      </c>
      <c r="E1164" t="s">
        <v>74</v>
      </c>
      <c r="F1164" t="s">
        <v>20159</v>
      </c>
      <c r="G1164" t="s">
        <v>74</v>
      </c>
      <c r="H1164" t="s">
        <v>74</v>
      </c>
      <c r="I1164" t="s">
        <v>20158</v>
      </c>
      <c r="J1164" t="s">
        <v>983</v>
      </c>
      <c r="K1164" t="s">
        <v>74</v>
      </c>
      <c r="L1164" t="s">
        <v>74</v>
      </c>
      <c r="M1164" t="s">
        <v>78</v>
      </c>
      <c r="N1164" t="s">
        <v>79</v>
      </c>
      <c r="O1164" t="s">
        <v>74</v>
      </c>
      <c r="P1164" t="s">
        <v>74</v>
      </c>
      <c r="Q1164" t="s">
        <v>74</v>
      </c>
      <c r="R1164" t="s">
        <v>74</v>
      </c>
      <c r="S1164" t="s">
        <v>74</v>
      </c>
      <c r="T1164" t="s">
        <v>20157</v>
      </c>
      <c r="U1164" t="s">
        <v>20156</v>
      </c>
      <c r="V1164" t="s">
        <v>20155</v>
      </c>
      <c r="W1164" t="s">
        <v>20154</v>
      </c>
      <c r="X1164" t="s">
        <v>18598</v>
      </c>
      <c r="Y1164" t="s">
        <v>16651</v>
      </c>
      <c r="Z1164" t="s">
        <v>15988</v>
      </c>
      <c r="AA1164" t="s">
        <v>12998</v>
      </c>
      <c r="AB1164" t="s">
        <v>20153</v>
      </c>
      <c r="AC1164" t="s">
        <v>74</v>
      </c>
      <c r="AD1164" t="s">
        <v>74</v>
      </c>
      <c r="AE1164" t="s">
        <v>74</v>
      </c>
      <c r="AF1164" t="s">
        <v>74</v>
      </c>
      <c r="AG1164">
        <v>29</v>
      </c>
      <c r="AH1164">
        <v>84</v>
      </c>
      <c r="AI1164">
        <v>89</v>
      </c>
      <c r="AJ1164">
        <v>0</v>
      </c>
      <c r="AK1164">
        <v>8</v>
      </c>
      <c r="AL1164" t="s">
        <v>991</v>
      </c>
      <c r="AM1164" t="s">
        <v>486</v>
      </c>
      <c r="AN1164" t="s">
        <v>992</v>
      </c>
      <c r="AO1164" t="s">
        <v>993</v>
      </c>
      <c r="AP1164" t="s">
        <v>994</v>
      </c>
      <c r="AQ1164" t="s">
        <v>74</v>
      </c>
      <c r="AR1164" t="s">
        <v>995</v>
      </c>
      <c r="AS1164" t="s">
        <v>996</v>
      </c>
      <c r="AT1164" t="s">
        <v>129</v>
      </c>
      <c r="AU1164">
        <v>2012</v>
      </c>
      <c r="AV1164">
        <v>31</v>
      </c>
      <c r="AW1164">
        <v>2</v>
      </c>
      <c r="AX1164" t="s">
        <v>74</v>
      </c>
      <c r="AY1164" t="s">
        <v>74</v>
      </c>
      <c r="AZ1164" t="s">
        <v>74</v>
      </c>
      <c r="BA1164" t="s">
        <v>74</v>
      </c>
      <c r="BB1164">
        <v>150</v>
      </c>
      <c r="BC1164">
        <v>158</v>
      </c>
      <c r="BD1164" t="s">
        <v>74</v>
      </c>
      <c r="BE1164" t="s">
        <v>20152</v>
      </c>
      <c r="BF1164" t="str">
        <f>HYPERLINK("http://dx.doi.org/10.1016/j.healun.2011.11.002","http://dx.doi.org/10.1016/j.healun.2011.11.002")</f>
        <v>http://dx.doi.org/10.1016/j.healun.2011.11.002</v>
      </c>
      <c r="BG1164" t="s">
        <v>74</v>
      </c>
      <c r="BH1164" t="s">
        <v>74</v>
      </c>
      <c r="BI1164">
        <v>9</v>
      </c>
      <c r="BJ1164" t="s">
        <v>1000</v>
      </c>
      <c r="BK1164" t="s">
        <v>101</v>
      </c>
      <c r="BL1164" t="s">
        <v>1001</v>
      </c>
      <c r="BM1164" t="s">
        <v>20151</v>
      </c>
      <c r="BN1164">
        <v>22138355</v>
      </c>
      <c r="BO1164" t="s">
        <v>74</v>
      </c>
      <c r="BP1164" t="s">
        <v>74</v>
      </c>
      <c r="BQ1164" t="s">
        <v>74</v>
      </c>
      <c r="BR1164" t="s">
        <v>104</v>
      </c>
      <c r="BS1164" t="s">
        <v>20150</v>
      </c>
      <c r="BT1164" t="str">
        <f>HYPERLINK("https%3A%2F%2Fwww.webofscience.com%2Fwos%2Fwoscc%2Ffull-record%2FWOS:000300545100006","View Full Record in Web of Science")</f>
        <v>View Full Record in Web of Science</v>
      </c>
    </row>
    <row r="1165" spans="1:72" x14ac:dyDescent="0.25">
      <c r="A1165" t="s">
        <v>72</v>
      </c>
      <c r="B1165" t="s">
        <v>19771</v>
      </c>
      <c r="C1165" t="s">
        <v>74</v>
      </c>
      <c r="D1165" t="s">
        <v>74</v>
      </c>
      <c r="E1165" t="s">
        <v>74</v>
      </c>
      <c r="F1165" t="s">
        <v>19770</v>
      </c>
      <c r="G1165" t="s">
        <v>74</v>
      </c>
      <c r="H1165" t="s">
        <v>20149</v>
      </c>
      <c r="I1165" t="s">
        <v>20148</v>
      </c>
      <c r="J1165" t="s">
        <v>2355</v>
      </c>
      <c r="K1165" t="s">
        <v>74</v>
      </c>
      <c r="L1165" t="s">
        <v>74</v>
      </c>
      <c r="M1165" t="s">
        <v>78</v>
      </c>
      <c r="N1165" t="s">
        <v>52</v>
      </c>
      <c r="O1165" t="s">
        <v>20140</v>
      </c>
      <c r="P1165" t="s">
        <v>20139</v>
      </c>
      <c r="Q1165" t="s">
        <v>7167</v>
      </c>
      <c r="R1165" t="s">
        <v>74</v>
      </c>
      <c r="S1165" t="s">
        <v>74</v>
      </c>
      <c r="T1165" t="s">
        <v>74</v>
      </c>
      <c r="U1165" t="s">
        <v>74</v>
      </c>
      <c r="V1165" t="s">
        <v>74</v>
      </c>
      <c r="W1165" t="s">
        <v>20147</v>
      </c>
      <c r="X1165" t="s">
        <v>20146</v>
      </c>
      <c r="Y1165" t="s">
        <v>74</v>
      </c>
      <c r="Z1165" t="s">
        <v>74</v>
      </c>
      <c r="AA1165" t="s">
        <v>20145</v>
      </c>
      <c r="AB1165" t="s">
        <v>13185</v>
      </c>
      <c r="AC1165" t="s">
        <v>74</v>
      </c>
      <c r="AD1165" t="s">
        <v>74</v>
      </c>
      <c r="AE1165" t="s">
        <v>74</v>
      </c>
      <c r="AF1165" t="s">
        <v>74</v>
      </c>
      <c r="AG1165">
        <v>0</v>
      </c>
      <c r="AH1165">
        <v>0</v>
      </c>
      <c r="AI1165">
        <v>0</v>
      </c>
      <c r="AJ1165">
        <v>0</v>
      </c>
      <c r="AK1165">
        <v>1</v>
      </c>
      <c r="AL1165" t="s">
        <v>1073</v>
      </c>
      <c r="AM1165" t="s">
        <v>1074</v>
      </c>
      <c r="AN1165" t="s">
        <v>1075</v>
      </c>
      <c r="AO1165" t="s">
        <v>2365</v>
      </c>
      <c r="AP1165" t="s">
        <v>74</v>
      </c>
      <c r="AQ1165" t="s">
        <v>74</v>
      </c>
      <c r="AR1165" t="s">
        <v>2355</v>
      </c>
      <c r="AS1165" t="s">
        <v>2355</v>
      </c>
      <c r="AT1165" t="s">
        <v>129</v>
      </c>
      <c r="AU1165">
        <v>2012</v>
      </c>
      <c r="AV1165">
        <v>51</v>
      </c>
      <c r="AW1165" t="s">
        <v>74</v>
      </c>
      <c r="AX1165" t="s">
        <v>74</v>
      </c>
      <c r="AY1165">
        <v>2</v>
      </c>
      <c r="AZ1165" t="s">
        <v>74</v>
      </c>
      <c r="BA1165" t="s">
        <v>74</v>
      </c>
      <c r="BB1165">
        <v>9</v>
      </c>
      <c r="BC1165">
        <v>9</v>
      </c>
      <c r="BD1165" t="s">
        <v>74</v>
      </c>
      <c r="BE1165" t="s">
        <v>74</v>
      </c>
      <c r="BF1165" t="s">
        <v>74</v>
      </c>
      <c r="BG1165" t="s">
        <v>74</v>
      </c>
      <c r="BH1165" t="s">
        <v>74</v>
      </c>
      <c r="BI1165">
        <v>1</v>
      </c>
      <c r="BJ1165" t="s">
        <v>2369</v>
      </c>
      <c r="BK1165" t="s">
        <v>512</v>
      </c>
      <c r="BL1165" t="s">
        <v>2369</v>
      </c>
      <c r="BM1165" t="s">
        <v>20135</v>
      </c>
      <c r="BN1165" t="s">
        <v>74</v>
      </c>
      <c r="BO1165" t="s">
        <v>74</v>
      </c>
      <c r="BP1165" t="s">
        <v>74</v>
      </c>
      <c r="BQ1165" t="s">
        <v>74</v>
      </c>
      <c r="BR1165" t="s">
        <v>104</v>
      </c>
      <c r="BS1165" t="s">
        <v>20144</v>
      </c>
      <c r="BT1165" t="str">
        <f>HYPERLINK("https%3A%2F%2Fwww.webofscience.com%2Fwos%2Fwoscc%2Ffull-record%2FWOS:000301974300019","View Full Record in Web of Science")</f>
        <v>View Full Record in Web of Science</v>
      </c>
    </row>
    <row r="1166" spans="1:72" x14ac:dyDescent="0.25">
      <c r="A1166" t="s">
        <v>72</v>
      </c>
      <c r="B1166" t="s">
        <v>20143</v>
      </c>
      <c r="C1166" t="s">
        <v>74</v>
      </c>
      <c r="D1166" t="s">
        <v>74</v>
      </c>
      <c r="E1166" t="s">
        <v>74</v>
      </c>
      <c r="F1166" t="s">
        <v>20142</v>
      </c>
      <c r="G1166" t="s">
        <v>74</v>
      </c>
      <c r="H1166" t="s">
        <v>74</v>
      </c>
      <c r="I1166" t="s">
        <v>20141</v>
      </c>
      <c r="J1166" t="s">
        <v>2355</v>
      </c>
      <c r="K1166" t="s">
        <v>74</v>
      </c>
      <c r="L1166" t="s">
        <v>74</v>
      </c>
      <c r="M1166" t="s">
        <v>78</v>
      </c>
      <c r="N1166" t="s">
        <v>52</v>
      </c>
      <c r="O1166" t="s">
        <v>20140</v>
      </c>
      <c r="P1166" t="s">
        <v>20139</v>
      </c>
      <c r="Q1166" t="s">
        <v>7167</v>
      </c>
      <c r="R1166" t="s">
        <v>74</v>
      </c>
      <c r="S1166" t="s">
        <v>74</v>
      </c>
      <c r="T1166" t="s">
        <v>74</v>
      </c>
      <c r="U1166" t="s">
        <v>74</v>
      </c>
      <c r="V1166" t="s">
        <v>74</v>
      </c>
      <c r="W1166" t="s">
        <v>20138</v>
      </c>
      <c r="X1166" t="s">
        <v>20137</v>
      </c>
      <c r="Y1166" t="s">
        <v>74</v>
      </c>
      <c r="Z1166" t="s">
        <v>74</v>
      </c>
      <c r="AA1166" t="s">
        <v>20136</v>
      </c>
      <c r="AB1166" t="s">
        <v>13185</v>
      </c>
      <c r="AC1166" t="s">
        <v>74</v>
      </c>
      <c r="AD1166" t="s">
        <v>74</v>
      </c>
      <c r="AE1166" t="s">
        <v>74</v>
      </c>
      <c r="AF1166" t="s">
        <v>74</v>
      </c>
      <c r="AG1166">
        <v>0</v>
      </c>
      <c r="AH1166">
        <v>0</v>
      </c>
      <c r="AI1166">
        <v>0</v>
      </c>
      <c r="AJ1166">
        <v>0</v>
      </c>
      <c r="AK1166">
        <v>0</v>
      </c>
      <c r="AL1166" t="s">
        <v>1073</v>
      </c>
      <c r="AM1166" t="s">
        <v>1074</v>
      </c>
      <c r="AN1166" t="s">
        <v>1075</v>
      </c>
      <c r="AO1166" t="s">
        <v>2365</v>
      </c>
      <c r="AP1166" t="s">
        <v>74</v>
      </c>
      <c r="AQ1166" t="s">
        <v>74</v>
      </c>
      <c r="AR1166" t="s">
        <v>2355</v>
      </c>
      <c r="AS1166" t="s">
        <v>2355</v>
      </c>
      <c r="AT1166" t="s">
        <v>129</v>
      </c>
      <c r="AU1166">
        <v>2012</v>
      </c>
      <c r="AV1166">
        <v>51</v>
      </c>
      <c r="AW1166" t="s">
        <v>74</v>
      </c>
      <c r="AX1166" t="s">
        <v>74</v>
      </c>
      <c r="AY1166">
        <v>2</v>
      </c>
      <c r="AZ1166" t="s">
        <v>74</v>
      </c>
      <c r="BA1166" t="s">
        <v>74</v>
      </c>
      <c r="BB1166">
        <v>82</v>
      </c>
      <c r="BC1166">
        <v>82</v>
      </c>
      <c r="BD1166" t="s">
        <v>74</v>
      </c>
      <c r="BE1166" t="s">
        <v>74</v>
      </c>
      <c r="BF1166" t="s">
        <v>74</v>
      </c>
      <c r="BG1166" t="s">
        <v>74</v>
      </c>
      <c r="BH1166" t="s">
        <v>74</v>
      </c>
      <c r="BI1166">
        <v>1</v>
      </c>
      <c r="BJ1166" t="s">
        <v>2369</v>
      </c>
      <c r="BK1166" t="s">
        <v>512</v>
      </c>
      <c r="BL1166" t="s">
        <v>2369</v>
      </c>
      <c r="BM1166" t="s">
        <v>20135</v>
      </c>
      <c r="BN1166" t="s">
        <v>74</v>
      </c>
      <c r="BO1166" t="s">
        <v>74</v>
      </c>
      <c r="BP1166" t="s">
        <v>74</v>
      </c>
      <c r="BQ1166" t="s">
        <v>74</v>
      </c>
      <c r="BR1166" t="s">
        <v>104</v>
      </c>
      <c r="BS1166" t="s">
        <v>20134</v>
      </c>
      <c r="BT1166" t="str">
        <f>HYPERLINK("https%3A%2F%2Fwww.webofscience.com%2Fwos%2Fwoscc%2Ffull-record%2FWOS:000301974300234","View Full Record in Web of Science")</f>
        <v>View Full Record in Web of Science</v>
      </c>
    </row>
    <row r="1167" spans="1:72" x14ac:dyDescent="0.25">
      <c r="A1167" t="s">
        <v>72</v>
      </c>
      <c r="B1167" t="s">
        <v>20133</v>
      </c>
      <c r="C1167" t="s">
        <v>74</v>
      </c>
      <c r="D1167" t="s">
        <v>74</v>
      </c>
      <c r="E1167" t="s">
        <v>74</v>
      </c>
      <c r="F1167" t="s">
        <v>20132</v>
      </c>
      <c r="G1167" t="s">
        <v>74</v>
      </c>
      <c r="H1167" t="s">
        <v>74</v>
      </c>
      <c r="I1167" t="s">
        <v>20131</v>
      </c>
      <c r="J1167" t="s">
        <v>637</v>
      </c>
      <c r="K1167" t="s">
        <v>74</v>
      </c>
      <c r="L1167" t="s">
        <v>74</v>
      </c>
      <c r="M1167" t="s">
        <v>78</v>
      </c>
      <c r="N1167" t="s">
        <v>79</v>
      </c>
      <c r="O1167" t="s">
        <v>74</v>
      </c>
      <c r="P1167" t="s">
        <v>74</v>
      </c>
      <c r="Q1167" t="s">
        <v>74</v>
      </c>
      <c r="R1167" t="s">
        <v>74</v>
      </c>
      <c r="S1167" t="s">
        <v>74</v>
      </c>
      <c r="T1167" t="s">
        <v>20130</v>
      </c>
      <c r="U1167" t="s">
        <v>20129</v>
      </c>
      <c r="V1167" t="s">
        <v>20128</v>
      </c>
      <c r="W1167" t="s">
        <v>20127</v>
      </c>
      <c r="X1167" t="s">
        <v>20126</v>
      </c>
      <c r="Y1167" t="s">
        <v>20125</v>
      </c>
      <c r="Z1167" t="s">
        <v>13011</v>
      </c>
      <c r="AA1167" t="s">
        <v>20124</v>
      </c>
      <c r="AB1167" t="s">
        <v>20123</v>
      </c>
      <c r="AC1167" t="s">
        <v>20122</v>
      </c>
      <c r="AD1167" t="s">
        <v>20121</v>
      </c>
      <c r="AE1167" t="s">
        <v>20120</v>
      </c>
      <c r="AF1167" t="s">
        <v>74</v>
      </c>
      <c r="AG1167">
        <v>43</v>
      </c>
      <c r="AH1167">
        <v>231</v>
      </c>
      <c r="AI1167">
        <v>253</v>
      </c>
      <c r="AJ1167">
        <v>1</v>
      </c>
      <c r="AK1167">
        <v>21</v>
      </c>
      <c r="AL1167" t="s">
        <v>649</v>
      </c>
      <c r="AM1167" t="s">
        <v>486</v>
      </c>
      <c r="AN1167" t="s">
        <v>650</v>
      </c>
      <c r="AO1167" t="s">
        <v>651</v>
      </c>
      <c r="AP1167" t="s">
        <v>652</v>
      </c>
      <c r="AQ1167" t="s">
        <v>74</v>
      </c>
      <c r="AR1167" t="s">
        <v>653</v>
      </c>
      <c r="AS1167" t="s">
        <v>654</v>
      </c>
      <c r="AT1167" t="s">
        <v>2573</v>
      </c>
      <c r="AU1167">
        <v>2012</v>
      </c>
      <c r="AV1167">
        <v>185</v>
      </c>
      <c r="AW1167">
        <v>3</v>
      </c>
      <c r="AX1167" t="s">
        <v>74</v>
      </c>
      <c r="AY1167" t="s">
        <v>74</v>
      </c>
      <c r="AZ1167" t="s">
        <v>74</v>
      </c>
      <c r="BA1167" t="s">
        <v>74</v>
      </c>
      <c r="BB1167">
        <v>311</v>
      </c>
      <c r="BC1167">
        <v>321</v>
      </c>
      <c r="BD1167" t="s">
        <v>74</v>
      </c>
      <c r="BE1167" t="s">
        <v>20119</v>
      </c>
      <c r="BF1167" t="str">
        <f>HYPERLINK("http://dx.doi.org/10.1164/rccm.201105-0927OC","http://dx.doi.org/10.1164/rccm.201105-0927OC")</f>
        <v>http://dx.doi.org/10.1164/rccm.201105-0927OC</v>
      </c>
      <c r="BG1167" t="s">
        <v>74</v>
      </c>
      <c r="BH1167" t="s">
        <v>74</v>
      </c>
      <c r="BI1167">
        <v>11</v>
      </c>
      <c r="BJ1167" t="s">
        <v>341</v>
      </c>
      <c r="BK1167" t="s">
        <v>101</v>
      </c>
      <c r="BL1167" t="s">
        <v>342</v>
      </c>
      <c r="BM1167" t="s">
        <v>20118</v>
      </c>
      <c r="BN1167">
        <v>22108206</v>
      </c>
      <c r="BO1167" t="s">
        <v>74</v>
      </c>
      <c r="BP1167" t="s">
        <v>74</v>
      </c>
      <c r="BQ1167" t="s">
        <v>74</v>
      </c>
      <c r="BR1167" t="s">
        <v>104</v>
      </c>
      <c r="BS1167" t="s">
        <v>20117</v>
      </c>
      <c r="BT1167" t="str">
        <f>HYPERLINK("https%3A%2F%2Fwww.webofscience.com%2Fwos%2Fwoscc%2Ffull-record%2FWOS:000299803000014","View Full Record in Web of Science")</f>
        <v>View Full Record in Web of Science</v>
      </c>
    </row>
    <row r="1168" spans="1:72" x14ac:dyDescent="0.25">
      <c r="A1168" t="s">
        <v>72</v>
      </c>
      <c r="B1168" t="s">
        <v>20116</v>
      </c>
      <c r="C1168" t="s">
        <v>74</v>
      </c>
      <c r="D1168" t="s">
        <v>74</v>
      </c>
      <c r="E1168" t="s">
        <v>74</v>
      </c>
      <c r="F1168" t="s">
        <v>20115</v>
      </c>
      <c r="G1168" t="s">
        <v>74</v>
      </c>
      <c r="H1168" t="s">
        <v>74</v>
      </c>
      <c r="I1168" t="s">
        <v>20114</v>
      </c>
      <c r="J1168" t="s">
        <v>216</v>
      </c>
      <c r="K1168" t="s">
        <v>74</v>
      </c>
      <c r="L1168" t="s">
        <v>74</v>
      </c>
      <c r="M1168" t="s">
        <v>78</v>
      </c>
      <c r="N1168" t="s">
        <v>79</v>
      </c>
      <c r="O1168" t="s">
        <v>74</v>
      </c>
      <c r="P1168" t="s">
        <v>74</v>
      </c>
      <c r="Q1168" t="s">
        <v>74</v>
      </c>
      <c r="R1168" t="s">
        <v>74</v>
      </c>
      <c r="S1168" t="s">
        <v>74</v>
      </c>
      <c r="T1168" t="s">
        <v>20113</v>
      </c>
      <c r="U1168" t="s">
        <v>20112</v>
      </c>
      <c r="V1168" t="s">
        <v>20111</v>
      </c>
      <c r="W1168" t="s">
        <v>20110</v>
      </c>
      <c r="X1168" t="s">
        <v>20109</v>
      </c>
      <c r="Y1168" t="s">
        <v>20108</v>
      </c>
      <c r="Z1168" t="s">
        <v>12606</v>
      </c>
      <c r="AA1168" t="s">
        <v>9406</v>
      </c>
      <c r="AB1168" t="s">
        <v>20107</v>
      </c>
      <c r="AC1168" t="s">
        <v>74</v>
      </c>
      <c r="AD1168" t="s">
        <v>74</v>
      </c>
      <c r="AE1168" t="s">
        <v>74</v>
      </c>
      <c r="AF1168" t="s">
        <v>74</v>
      </c>
      <c r="AG1168">
        <v>30</v>
      </c>
      <c r="AH1168">
        <v>19</v>
      </c>
      <c r="AI1168">
        <v>21</v>
      </c>
      <c r="AJ1168">
        <v>0</v>
      </c>
      <c r="AK1168">
        <v>2</v>
      </c>
      <c r="AL1168" t="s">
        <v>219</v>
      </c>
      <c r="AM1168" t="s">
        <v>220</v>
      </c>
      <c r="AN1168" t="s">
        <v>221</v>
      </c>
      <c r="AO1168" t="s">
        <v>222</v>
      </c>
      <c r="AP1168" t="s">
        <v>223</v>
      </c>
      <c r="AQ1168" t="s">
        <v>74</v>
      </c>
      <c r="AR1168" t="s">
        <v>224</v>
      </c>
      <c r="AS1168" t="s">
        <v>225</v>
      </c>
      <c r="AT1168" t="s">
        <v>129</v>
      </c>
      <c r="AU1168">
        <v>2012</v>
      </c>
      <c r="AV1168">
        <v>39</v>
      </c>
      <c r="AW1168">
        <v>2</v>
      </c>
      <c r="AX1168" t="s">
        <v>74</v>
      </c>
      <c r="AY1168" t="s">
        <v>74</v>
      </c>
      <c r="AZ1168" t="s">
        <v>74</v>
      </c>
      <c r="BA1168" t="s">
        <v>74</v>
      </c>
      <c r="BB1168">
        <v>313</v>
      </c>
      <c r="BC1168">
        <v>318</v>
      </c>
      <c r="BD1168" t="s">
        <v>74</v>
      </c>
      <c r="BE1168" t="s">
        <v>20106</v>
      </c>
      <c r="BF1168" t="str">
        <f>HYPERLINK("http://dx.doi.org/10.1183/09031936.00019911","http://dx.doi.org/10.1183/09031936.00019911")</f>
        <v>http://dx.doi.org/10.1183/09031936.00019911</v>
      </c>
      <c r="BG1168" t="s">
        <v>74</v>
      </c>
      <c r="BH1168" t="s">
        <v>74</v>
      </c>
      <c r="BI1168">
        <v>6</v>
      </c>
      <c r="BJ1168" t="s">
        <v>228</v>
      </c>
      <c r="BK1168" t="s">
        <v>101</v>
      </c>
      <c r="BL1168" t="s">
        <v>228</v>
      </c>
      <c r="BM1168" t="s">
        <v>20105</v>
      </c>
      <c r="BN1168">
        <v>21737562</v>
      </c>
      <c r="BO1168" t="s">
        <v>1194</v>
      </c>
      <c r="BP1168" t="s">
        <v>74</v>
      </c>
      <c r="BQ1168" t="s">
        <v>74</v>
      </c>
      <c r="BR1168" t="s">
        <v>104</v>
      </c>
      <c r="BS1168" t="s">
        <v>20104</v>
      </c>
      <c r="BT1168" t="str">
        <f>HYPERLINK("https%3A%2F%2Fwww.webofscience.com%2Fwos%2Fwoscc%2Ffull-record%2FWOS:000300411400014","View Full Record in Web of Science")</f>
        <v>View Full Record in Web of Science</v>
      </c>
    </row>
    <row r="1169" spans="1:72" x14ac:dyDescent="0.25">
      <c r="A1169" t="s">
        <v>72</v>
      </c>
      <c r="B1169" t="s">
        <v>20103</v>
      </c>
      <c r="C1169" t="s">
        <v>74</v>
      </c>
      <c r="D1169" t="s">
        <v>74</v>
      </c>
      <c r="E1169" t="s">
        <v>74</v>
      </c>
      <c r="F1169" t="s">
        <v>20102</v>
      </c>
      <c r="G1169" t="s">
        <v>74</v>
      </c>
      <c r="H1169" t="s">
        <v>74</v>
      </c>
      <c r="I1169" t="s">
        <v>20101</v>
      </c>
      <c r="J1169" t="s">
        <v>15378</v>
      </c>
      <c r="K1169" t="s">
        <v>74</v>
      </c>
      <c r="L1169" t="s">
        <v>74</v>
      </c>
      <c r="M1169" t="s">
        <v>78</v>
      </c>
      <c r="N1169" t="s">
        <v>79</v>
      </c>
      <c r="O1169" t="s">
        <v>74</v>
      </c>
      <c r="P1169" t="s">
        <v>74</v>
      </c>
      <c r="Q1169" t="s">
        <v>74</v>
      </c>
      <c r="R1169" t="s">
        <v>74</v>
      </c>
      <c r="S1169" t="s">
        <v>74</v>
      </c>
      <c r="T1169" t="s">
        <v>20100</v>
      </c>
      <c r="U1169" t="s">
        <v>20099</v>
      </c>
      <c r="V1169" t="s">
        <v>20098</v>
      </c>
      <c r="W1169" t="s">
        <v>20097</v>
      </c>
      <c r="X1169" t="s">
        <v>20096</v>
      </c>
      <c r="Y1169" t="s">
        <v>20095</v>
      </c>
      <c r="Z1169" t="s">
        <v>20094</v>
      </c>
      <c r="AA1169" t="s">
        <v>20093</v>
      </c>
      <c r="AB1169" t="s">
        <v>20092</v>
      </c>
      <c r="AC1169" t="s">
        <v>74</v>
      </c>
      <c r="AD1169" t="s">
        <v>74</v>
      </c>
      <c r="AE1169" t="s">
        <v>74</v>
      </c>
      <c r="AF1169" t="s">
        <v>74</v>
      </c>
      <c r="AG1169">
        <v>76</v>
      </c>
      <c r="AH1169">
        <v>72</v>
      </c>
      <c r="AI1169">
        <v>73</v>
      </c>
      <c r="AJ1169">
        <v>0</v>
      </c>
      <c r="AK1169">
        <v>5</v>
      </c>
      <c r="AL1169" t="s">
        <v>15370</v>
      </c>
      <c r="AM1169" t="s">
        <v>15369</v>
      </c>
      <c r="AN1169" t="s">
        <v>15368</v>
      </c>
      <c r="AO1169" t="s">
        <v>15367</v>
      </c>
      <c r="AP1169" t="s">
        <v>74</v>
      </c>
      <c r="AQ1169" t="s">
        <v>74</v>
      </c>
      <c r="AR1169" t="s">
        <v>15366</v>
      </c>
      <c r="AS1169" t="s">
        <v>15365</v>
      </c>
      <c r="AT1169" t="s">
        <v>74</v>
      </c>
      <c r="AU1169">
        <v>2012</v>
      </c>
      <c r="AV1169">
        <v>29</v>
      </c>
      <c r="AW1169">
        <v>2</v>
      </c>
      <c r="AX1169" t="s">
        <v>74</v>
      </c>
      <c r="AY1169" t="s">
        <v>74</v>
      </c>
      <c r="AZ1169" t="s">
        <v>74</v>
      </c>
      <c r="BA1169" t="s">
        <v>74</v>
      </c>
      <c r="BB1169">
        <v>90</v>
      </c>
      <c r="BC1169">
        <v>98</v>
      </c>
      <c r="BD1169" t="s">
        <v>74</v>
      </c>
      <c r="BE1169" t="s">
        <v>74</v>
      </c>
      <c r="BF1169" t="s">
        <v>74</v>
      </c>
      <c r="BG1169" t="s">
        <v>74</v>
      </c>
      <c r="BH1169" t="s">
        <v>74</v>
      </c>
      <c r="BI1169">
        <v>9</v>
      </c>
      <c r="BJ1169" t="s">
        <v>228</v>
      </c>
      <c r="BK1169" t="s">
        <v>101</v>
      </c>
      <c r="BL1169" t="s">
        <v>228</v>
      </c>
      <c r="BM1169" t="s">
        <v>20091</v>
      </c>
      <c r="BN1169">
        <v>23461070</v>
      </c>
      <c r="BO1169" t="s">
        <v>74</v>
      </c>
      <c r="BP1169" t="s">
        <v>74</v>
      </c>
      <c r="BQ1169" t="s">
        <v>74</v>
      </c>
      <c r="BR1169" t="s">
        <v>104</v>
      </c>
      <c r="BS1169" t="s">
        <v>20090</v>
      </c>
      <c r="BT1169" t="str">
        <f>HYPERLINK("https%3A%2F%2Fwww.webofscience.com%2Fwos%2Fwoscc%2Ffull-record%2FWOS:000208896500002","View Full Record in Web of Science")</f>
        <v>View Full Record in Web of Science</v>
      </c>
    </row>
    <row r="1170" spans="1:72" x14ac:dyDescent="0.25">
      <c r="A1170" t="s">
        <v>72</v>
      </c>
      <c r="B1170" t="s">
        <v>20089</v>
      </c>
      <c r="C1170" t="s">
        <v>74</v>
      </c>
      <c r="D1170" t="s">
        <v>74</v>
      </c>
      <c r="E1170" t="s">
        <v>74</v>
      </c>
      <c r="F1170" t="s">
        <v>20088</v>
      </c>
      <c r="G1170" t="s">
        <v>74</v>
      </c>
      <c r="H1170" t="s">
        <v>20087</v>
      </c>
      <c r="I1170" t="s">
        <v>20086</v>
      </c>
      <c r="J1170" t="s">
        <v>14386</v>
      </c>
      <c r="K1170" t="s">
        <v>74</v>
      </c>
      <c r="L1170" t="s">
        <v>74</v>
      </c>
      <c r="M1170" t="s">
        <v>78</v>
      </c>
      <c r="N1170" t="s">
        <v>79</v>
      </c>
      <c r="O1170" t="s">
        <v>74</v>
      </c>
      <c r="P1170" t="s">
        <v>74</v>
      </c>
      <c r="Q1170" t="s">
        <v>74</v>
      </c>
      <c r="R1170" t="s">
        <v>74</v>
      </c>
      <c r="S1170" t="s">
        <v>74</v>
      </c>
      <c r="T1170" t="s">
        <v>20085</v>
      </c>
      <c r="U1170" t="s">
        <v>20084</v>
      </c>
      <c r="V1170" t="s">
        <v>20083</v>
      </c>
      <c r="W1170" t="s">
        <v>20082</v>
      </c>
      <c r="X1170" t="s">
        <v>20081</v>
      </c>
      <c r="Y1170" t="s">
        <v>20080</v>
      </c>
      <c r="Z1170" t="s">
        <v>17756</v>
      </c>
      <c r="AA1170" t="s">
        <v>20079</v>
      </c>
      <c r="AB1170" t="s">
        <v>20078</v>
      </c>
      <c r="AC1170" t="s">
        <v>20077</v>
      </c>
      <c r="AD1170" t="s">
        <v>5907</v>
      </c>
      <c r="AE1170" t="s">
        <v>74</v>
      </c>
      <c r="AF1170" t="s">
        <v>74</v>
      </c>
      <c r="AG1170">
        <v>133</v>
      </c>
      <c r="AH1170">
        <v>75</v>
      </c>
      <c r="AI1170">
        <v>77</v>
      </c>
      <c r="AJ1170">
        <v>1</v>
      </c>
      <c r="AK1170">
        <v>66</v>
      </c>
      <c r="AL1170" t="s">
        <v>9328</v>
      </c>
      <c r="AM1170" t="s">
        <v>1114</v>
      </c>
      <c r="AN1170" t="s">
        <v>9329</v>
      </c>
      <c r="AO1170" t="s">
        <v>14378</v>
      </c>
      <c r="AP1170" t="s">
        <v>14377</v>
      </c>
      <c r="AQ1170" t="s">
        <v>74</v>
      </c>
      <c r="AR1170" t="s">
        <v>14376</v>
      </c>
      <c r="AS1170" t="s">
        <v>14375</v>
      </c>
      <c r="AT1170" t="s">
        <v>74</v>
      </c>
      <c r="AU1170">
        <v>2012</v>
      </c>
      <c r="AV1170">
        <v>158</v>
      </c>
      <c r="AW1170">
        <v>3</v>
      </c>
      <c r="AX1170" t="s">
        <v>74</v>
      </c>
      <c r="AY1170" t="s">
        <v>74</v>
      </c>
      <c r="AZ1170" t="s">
        <v>74</v>
      </c>
      <c r="BA1170" t="s">
        <v>74</v>
      </c>
      <c r="BB1170">
        <v>216</v>
      </c>
      <c r="BC1170">
        <v>231</v>
      </c>
      <c r="BD1170" t="s">
        <v>74</v>
      </c>
      <c r="BE1170" t="s">
        <v>20076</v>
      </c>
      <c r="BF1170" t="str">
        <f>HYPERLINK("http://dx.doi.org/10.1159/000332924","http://dx.doi.org/10.1159/000332924")</f>
        <v>http://dx.doi.org/10.1159/000332924</v>
      </c>
      <c r="BG1170" t="s">
        <v>74</v>
      </c>
      <c r="BH1170" t="s">
        <v>74</v>
      </c>
      <c r="BI1170">
        <v>16</v>
      </c>
      <c r="BJ1170" t="s">
        <v>3085</v>
      </c>
      <c r="BK1170" t="s">
        <v>101</v>
      </c>
      <c r="BL1170" t="s">
        <v>3085</v>
      </c>
      <c r="BM1170" t="s">
        <v>20075</v>
      </c>
      <c r="BN1170">
        <v>22382913</v>
      </c>
      <c r="BO1170" t="s">
        <v>612</v>
      </c>
      <c r="BP1170" t="s">
        <v>74</v>
      </c>
      <c r="BQ1170" t="s">
        <v>74</v>
      </c>
      <c r="BR1170" t="s">
        <v>104</v>
      </c>
      <c r="BS1170" t="s">
        <v>20074</v>
      </c>
      <c r="BT1170" t="str">
        <f>HYPERLINK("https%3A%2F%2Fwww.webofscience.com%2Fwos%2Fwoscc%2Ffull-record%2FWOS:000304485200003","View Full Record in Web of Science")</f>
        <v>View Full Record in Web of Science</v>
      </c>
    </row>
    <row r="1171" spans="1:72" x14ac:dyDescent="0.25">
      <c r="A1171" t="s">
        <v>998</v>
      </c>
      <c r="B1171" t="s">
        <v>20073</v>
      </c>
      <c r="C1171" t="s">
        <v>74</v>
      </c>
      <c r="D1171" t="s">
        <v>19954</v>
      </c>
      <c r="E1171" t="s">
        <v>74</v>
      </c>
      <c r="F1171" t="s">
        <v>20072</v>
      </c>
      <c r="G1171" t="s">
        <v>74</v>
      </c>
      <c r="H1171" t="s">
        <v>74</v>
      </c>
      <c r="I1171" t="s">
        <v>20071</v>
      </c>
      <c r="J1171" t="s">
        <v>19951</v>
      </c>
      <c r="K1171" t="s">
        <v>19950</v>
      </c>
      <c r="L1171" t="s">
        <v>74</v>
      </c>
      <c r="M1171" t="s">
        <v>78</v>
      </c>
      <c r="N1171" t="s">
        <v>8065</v>
      </c>
      <c r="O1171" t="s">
        <v>74</v>
      </c>
      <c r="P1171" t="s">
        <v>74</v>
      </c>
      <c r="Q1171" t="s">
        <v>74</v>
      </c>
      <c r="R1171" t="s">
        <v>74</v>
      </c>
      <c r="S1171" t="s">
        <v>74</v>
      </c>
      <c r="T1171" t="s">
        <v>74</v>
      </c>
      <c r="U1171" t="s">
        <v>20070</v>
      </c>
      <c r="V1171" t="s">
        <v>20069</v>
      </c>
      <c r="W1171" t="s">
        <v>20068</v>
      </c>
      <c r="X1171" t="s">
        <v>20067</v>
      </c>
      <c r="Y1171" t="s">
        <v>20066</v>
      </c>
      <c r="Z1171" t="s">
        <v>19576</v>
      </c>
      <c r="AA1171" t="s">
        <v>20065</v>
      </c>
      <c r="AB1171" t="s">
        <v>257</v>
      </c>
      <c r="AC1171" t="s">
        <v>74</v>
      </c>
      <c r="AD1171" t="s">
        <v>74</v>
      </c>
      <c r="AE1171" t="s">
        <v>74</v>
      </c>
      <c r="AF1171" t="s">
        <v>74</v>
      </c>
      <c r="AG1171">
        <v>42</v>
      </c>
      <c r="AH1171">
        <v>1</v>
      </c>
      <c r="AI1171">
        <v>1</v>
      </c>
      <c r="AJ1171">
        <v>0</v>
      </c>
      <c r="AK1171">
        <v>0</v>
      </c>
      <c r="AL1171" t="s">
        <v>9328</v>
      </c>
      <c r="AM1171" t="s">
        <v>1114</v>
      </c>
      <c r="AN1171" t="s">
        <v>19944</v>
      </c>
      <c r="AO1171" t="s">
        <v>19943</v>
      </c>
      <c r="AP1171" t="s">
        <v>74</v>
      </c>
      <c r="AQ1171" t="s">
        <v>19942</v>
      </c>
      <c r="AR1171" t="s">
        <v>19941</v>
      </c>
      <c r="AS1171" t="s">
        <v>19940</v>
      </c>
      <c r="AT1171" t="s">
        <v>74</v>
      </c>
      <c r="AU1171">
        <v>2012</v>
      </c>
      <c r="AV1171">
        <v>41</v>
      </c>
      <c r="AW1171" t="s">
        <v>74</v>
      </c>
      <c r="AX1171" t="s">
        <v>74</v>
      </c>
      <c r="AY1171" t="s">
        <v>74</v>
      </c>
      <c r="AZ1171" t="s">
        <v>74</v>
      </c>
      <c r="BA1171" t="s">
        <v>74</v>
      </c>
      <c r="BB1171">
        <v>105</v>
      </c>
      <c r="BC1171">
        <v>112</v>
      </c>
      <c r="BD1171" t="s">
        <v>74</v>
      </c>
      <c r="BE1171" t="s">
        <v>74</v>
      </c>
      <c r="BF1171" t="s">
        <v>74</v>
      </c>
      <c r="BG1171" t="s">
        <v>74</v>
      </c>
      <c r="BH1171" t="s">
        <v>74</v>
      </c>
      <c r="BI1171">
        <v>8</v>
      </c>
      <c r="BJ1171" t="s">
        <v>228</v>
      </c>
      <c r="BK1171" t="s">
        <v>8073</v>
      </c>
      <c r="BL1171" t="s">
        <v>228</v>
      </c>
      <c r="BM1171" t="s">
        <v>19939</v>
      </c>
      <c r="BN1171" t="s">
        <v>74</v>
      </c>
      <c r="BO1171" t="s">
        <v>74</v>
      </c>
      <c r="BP1171" t="s">
        <v>74</v>
      </c>
      <c r="BQ1171" t="s">
        <v>74</v>
      </c>
      <c r="BR1171" t="s">
        <v>104</v>
      </c>
      <c r="BS1171" t="s">
        <v>20064</v>
      </c>
      <c r="BT1171" t="str">
        <f>HYPERLINK("https%3A%2F%2Fwww.webofscience.com%2Fwos%2Fwoscc%2Ffull-record%2FWOS:000303777400012","View Full Record in Web of Science")</f>
        <v>View Full Record in Web of Science</v>
      </c>
    </row>
    <row r="1172" spans="1:72" x14ac:dyDescent="0.25">
      <c r="A1172" t="s">
        <v>72</v>
      </c>
      <c r="B1172" t="s">
        <v>20063</v>
      </c>
      <c r="C1172" t="s">
        <v>74</v>
      </c>
      <c r="D1172" t="s">
        <v>74</v>
      </c>
      <c r="E1172" t="s">
        <v>74</v>
      </c>
      <c r="F1172" t="s">
        <v>20062</v>
      </c>
      <c r="G1172" t="s">
        <v>74</v>
      </c>
      <c r="H1172" t="s">
        <v>20061</v>
      </c>
      <c r="I1172" t="s">
        <v>18343</v>
      </c>
      <c r="J1172" t="s">
        <v>8535</v>
      </c>
      <c r="K1172" t="s">
        <v>74</v>
      </c>
      <c r="L1172" t="s">
        <v>74</v>
      </c>
      <c r="M1172" t="s">
        <v>20060</v>
      </c>
      <c r="N1172" t="s">
        <v>79</v>
      </c>
      <c r="O1172" t="s">
        <v>74</v>
      </c>
      <c r="P1172" t="s">
        <v>74</v>
      </c>
      <c r="Q1172" t="s">
        <v>74</v>
      </c>
      <c r="R1172" t="s">
        <v>74</v>
      </c>
      <c r="S1172" t="s">
        <v>74</v>
      </c>
      <c r="T1172" t="s">
        <v>74</v>
      </c>
      <c r="U1172" t="s">
        <v>18439</v>
      </c>
      <c r="V1172" t="s">
        <v>74</v>
      </c>
      <c r="W1172" t="s">
        <v>20059</v>
      </c>
      <c r="X1172" t="s">
        <v>18340</v>
      </c>
      <c r="Y1172" t="s">
        <v>18339</v>
      </c>
      <c r="Z1172" t="s">
        <v>10104</v>
      </c>
      <c r="AA1172" t="s">
        <v>20058</v>
      </c>
      <c r="AB1172" t="s">
        <v>20057</v>
      </c>
      <c r="AC1172" t="s">
        <v>74</v>
      </c>
      <c r="AD1172" t="s">
        <v>74</v>
      </c>
      <c r="AE1172" t="s">
        <v>74</v>
      </c>
      <c r="AF1172" t="s">
        <v>74</v>
      </c>
      <c r="AG1172">
        <v>261</v>
      </c>
      <c r="AH1172">
        <v>1</v>
      </c>
      <c r="AI1172">
        <v>2</v>
      </c>
      <c r="AJ1172">
        <v>0</v>
      </c>
      <c r="AK1172">
        <v>16</v>
      </c>
      <c r="AL1172" t="s">
        <v>570</v>
      </c>
      <c r="AM1172" t="s">
        <v>571</v>
      </c>
      <c r="AN1172" t="s">
        <v>572</v>
      </c>
      <c r="AO1172" t="s">
        <v>8540</v>
      </c>
      <c r="AP1172" t="s">
        <v>8541</v>
      </c>
      <c r="AQ1172" t="s">
        <v>74</v>
      </c>
      <c r="AR1172" t="s">
        <v>8542</v>
      </c>
      <c r="AS1172" t="s">
        <v>8543</v>
      </c>
      <c r="AT1172" t="s">
        <v>176</v>
      </c>
      <c r="AU1172">
        <v>2012</v>
      </c>
      <c r="AV1172">
        <v>31</v>
      </c>
      <c r="AW1172">
        <v>1</v>
      </c>
      <c r="AX1172" t="s">
        <v>74</v>
      </c>
      <c r="AY1172" t="s">
        <v>74</v>
      </c>
      <c r="AZ1172" t="s">
        <v>74</v>
      </c>
      <c r="BA1172" t="s">
        <v>74</v>
      </c>
      <c r="BB1172">
        <v>71</v>
      </c>
      <c r="BC1172">
        <v>115</v>
      </c>
      <c r="BD1172" t="s">
        <v>74</v>
      </c>
      <c r="BE1172" t="s">
        <v>20056</v>
      </c>
      <c r="BF1172" t="str">
        <f>HYPERLINK("http://dx.doi.org/10.1016/j.repce.2011.10.006","http://dx.doi.org/10.1016/j.repce.2011.10.006")</f>
        <v>http://dx.doi.org/10.1016/j.repce.2011.10.006</v>
      </c>
      <c r="BG1172" t="s">
        <v>74</v>
      </c>
      <c r="BH1172" t="s">
        <v>74</v>
      </c>
      <c r="BI1172">
        <v>45</v>
      </c>
      <c r="BJ1172" t="s">
        <v>132</v>
      </c>
      <c r="BK1172" t="s">
        <v>101</v>
      </c>
      <c r="BL1172" t="s">
        <v>133</v>
      </c>
      <c r="BM1172" t="s">
        <v>20055</v>
      </c>
      <c r="BN1172" t="s">
        <v>74</v>
      </c>
      <c r="BO1172" t="s">
        <v>1524</v>
      </c>
      <c r="BP1172" t="s">
        <v>74</v>
      </c>
      <c r="BQ1172" t="s">
        <v>74</v>
      </c>
      <c r="BR1172" t="s">
        <v>104</v>
      </c>
      <c r="BS1172" t="s">
        <v>20054</v>
      </c>
      <c r="BT1172" t="str">
        <f>HYPERLINK("https%3A%2F%2Fwww.webofscience.com%2Fwos%2Fwoscc%2Ffull-record%2FWOS:000311861100013","View Full Record in Web of Science")</f>
        <v>View Full Record in Web of Science</v>
      </c>
    </row>
    <row r="1173" spans="1:72" x14ac:dyDescent="0.25">
      <c r="A1173" t="s">
        <v>72</v>
      </c>
      <c r="B1173" t="s">
        <v>20053</v>
      </c>
      <c r="C1173" t="s">
        <v>74</v>
      </c>
      <c r="D1173" t="s">
        <v>74</v>
      </c>
      <c r="E1173" t="s">
        <v>74</v>
      </c>
      <c r="F1173" t="s">
        <v>20052</v>
      </c>
      <c r="G1173" t="s">
        <v>74</v>
      </c>
      <c r="H1173" t="s">
        <v>74</v>
      </c>
      <c r="I1173" t="s">
        <v>20051</v>
      </c>
      <c r="J1173" t="s">
        <v>216</v>
      </c>
      <c r="K1173" t="s">
        <v>74</v>
      </c>
      <c r="L1173" t="s">
        <v>74</v>
      </c>
      <c r="M1173" t="s">
        <v>78</v>
      </c>
      <c r="N1173" t="s">
        <v>460</v>
      </c>
      <c r="O1173" t="s">
        <v>74</v>
      </c>
      <c r="P1173" t="s">
        <v>74</v>
      </c>
      <c r="Q1173" t="s">
        <v>74</v>
      </c>
      <c r="R1173" t="s">
        <v>74</v>
      </c>
      <c r="S1173" t="s">
        <v>74</v>
      </c>
      <c r="T1173" t="s">
        <v>74</v>
      </c>
      <c r="U1173" t="s">
        <v>20050</v>
      </c>
      <c r="V1173" t="s">
        <v>74</v>
      </c>
      <c r="W1173" t="s">
        <v>20049</v>
      </c>
      <c r="X1173" t="s">
        <v>20048</v>
      </c>
      <c r="Y1173" t="s">
        <v>12488</v>
      </c>
      <c r="Z1173" t="s">
        <v>13011</v>
      </c>
      <c r="AA1173" t="s">
        <v>20047</v>
      </c>
      <c r="AB1173" t="s">
        <v>20046</v>
      </c>
      <c r="AC1173" t="s">
        <v>74</v>
      </c>
      <c r="AD1173" t="s">
        <v>74</v>
      </c>
      <c r="AE1173" t="s">
        <v>74</v>
      </c>
      <c r="AF1173" t="s">
        <v>74</v>
      </c>
      <c r="AG1173">
        <v>10</v>
      </c>
      <c r="AH1173">
        <v>7</v>
      </c>
      <c r="AI1173">
        <v>7</v>
      </c>
      <c r="AJ1173">
        <v>0</v>
      </c>
      <c r="AK1173">
        <v>2</v>
      </c>
      <c r="AL1173" t="s">
        <v>219</v>
      </c>
      <c r="AM1173" t="s">
        <v>220</v>
      </c>
      <c r="AN1173" t="s">
        <v>221</v>
      </c>
      <c r="AO1173" t="s">
        <v>222</v>
      </c>
      <c r="AP1173" t="s">
        <v>74</v>
      </c>
      <c r="AQ1173" t="s">
        <v>74</v>
      </c>
      <c r="AR1173" t="s">
        <v>224</v>
      </c>
      <c r="AS1173" t="s">
        <v>225</v>
      </c>
      <c r="AT1173" t="s">
        <v>176</v>
      </c>
      <c r="AU1173">
        <v>2012</v>
      </c>
      <c r="AV1173">
        <v>39</v>
      </c>
      <c r="AW1173">
        <v>1</v>
      </c>
      <c r="AX1173" t="s">
        <v>74</v>
      </c>
      <c r="AY1173" t="s">
        <v>74</v>
      </c>
      <c r="AZ1173" t="s">
        <v>74</v>
      </c>
      <c r="BA1173" t="s">
        <v>74</v>
      </c>
      <c r="BB1173">
        <v>210</v>
      </c>
      <c r="BC1173">
        <v>212</v>
      </c>
      <c r="BD1173" t="s">
        <v>74</v>
      </c>
      <c r="BE1173" t="s">
        <v>20045</v>
      </c>
      <c r="BF1173" t="str">
        <f>HYPERLINK("http://dx.doi.org/10.1183/09031936.00039811","http://dx.doi.org/10.1183/09031936.00039811")</f>
        <v>http://dx.doi.org/10.1183/09031936.00039811</v>
      </c>
      <c r="BG1173" t="s">
        <v>74</v>
      </c>
      <c r="BH1173" t="s">
        <v>74</v>
      </c>
      <c r="BI1173">
        <v>3</v>
      </c>
      <c r="BJ1173" t="s">
        <v>228</v>
      </c>
      <c r="BK1173" t="s">
        <v>101</v>
      </c>
      <c r="BL1173" t="s">
        <v>228</v>
      </c>
      <c r="BM1173" t="s">
        <v>20044</v>
      </c>
      <c r="BN1173">
        <v>22210811</v>
      </c>
      <c r="BO1173" t="s">
        <v>74</v>
      </c>
      <c r="BP1173" t="s">
        <v>74</v>
      </c>
      <c r="BQ1173" t="s">
        <v>74</v>
      </c>
      <c r="BR1173" t="s">
        <v>104</v>
      </c>
      <c r="BS1173" t="s">
        <v>20043</v>
      </c>
      <c r="BT1173" t="str">
        <f>HYPERLINK("https%3A%2F%2Fwww.webofscience.com%2Fwos%2Fwoscc%2Ffull-record%2FWOS:000298636000029","View Full Record in Web of Science")</f>
        <v>View Full Record in Web of Science</v>
      </c>
    </row>
    <row r="1174" spans="1:72" x14ac:dyDescent="0.25">
      <c r="A1174" t="s">
        <v>998</v>
      </c>
      <c r="B1174" t="s">
        <v>20042</v>
      </c>
      <c r="C1174" t="s">
        <v>74</v>
      </c>
      <c r="D1174" t="s">
        <v>19954</v>
      </c>
      <c r="E1174" t="s">
        <v>74</v>
      </c>
      <c r="F1174" t="s">
        <v>20041</v>
      </c>
      <c r="G1174" t="s">
        <v>74</v>
      </c>
      <c r="H1174" t="s">
        <v>74</v>
      </c>
      <c r="I1174" t="s">
        <v>20040</v>
      </c>
      <c r="J1174" t="s">
        <v>19951</v>
      </c>
      <c r="K1174" t="s">
        <v>19950</v>
      </c>
      <c r="L1174" t="s">
        <v>74</v>
      </c>
      <c r="M1174" t="s">
        <v>78</v>
      </c>
      <c r="N1174" t="s">
        <v>8065</v>
      </c>
      <c r="O1174" t="s">
        <v>74</v>
      </c>
      <c r="P1174" t="s">
        <v>74</v>
      </c>
      <c r="Q1174" t="s">
        <v>74</v>
      </c>
      <c r="R1174" t="s">
        <v>74</v>
      </c>
      <c r="S1174" t="s">
        <v>74</v>
      </c>
      <c r="T1174" t="s">
        <v>74</v>
      </c>
      <c r="U1174" t="s">
        <v>20039</v>
      </c>
      <c r="V1174" t="s">
        <v>20038</v>
      </c>
      <c r="W1174" t="s">
        <v>20037</v>
      </c>
      <c r="X1174" t="s">
        <v>20036</v>
      </c>
      <c r="Y1174" t="s">
        <v>20035</v>
      </c>
      <c r="Z1174" t="s">
        <v>10573</v>
      </c>
      <c r="AA1174" t="s">
        <v>10181</v>
      </c>
      <c r="AB1174" t="s">
        <v>3168</v>
      </c>
      <c r="AC1174" t="s">
        <v>74</v>
      </c>
      <c r="AD1174" t="s">
        <v>74</v>
      </c>
      <c r="AE1174" t="s">
        <v>74</v>
      </c>
      <c r="AF1174" t="s">
        <v>74</v>
      </c>
      <c r="AG1174">
        <v>84</v>
      </c>
      <c r="AH1174">
        <v>0</v>
      </c>
      <c r="AI1174">
        <v>0</v>
      </c>
      <c r="AJ1174">
        <v>0</v>
      </c>
      <c r="AK1174">
        <v>0</v>
      </c>
      <c r="AL1174" t="s">
        <v>9328</v>
      </c>
      <c r="AM1174" t="s">
        <v>1114</v>
      </c>
      <c r="AN1174" t="s">
        <v>19944</v>
      </c>
      <c r="AO1174" t="s">
        <v>19943</v>
      </c>
      <c r="AP1174" t="s">
        <v>74</v>
      </c>
      <c r="AQ1174" t="s">
        <v>19942</v>
      </c>
      <c r="AR1174" t="s">
        <v>19941</v>
      </c>
      <c r="AS1174" t="s">
        <v>19940</v>
      </c>
      <c r="AT1174" t="s">
        <v>74</v>
      </c>
      <c r="AU1174">
        <v>2012</v>
      </c>
      <c r="AV1174">
        <v>41</v>
      </c>
      <c r="AW1174" t="s">
        <v>74</v>
      </c>
      <c r="AX1174" t="s">
        <v>74</v>
      </c>
      <c r="AY1174" t="s">
        <v>74</v>
      </c>
      <c r="AZ1174" t="s">
        <v>74</v>
      </c>
      <c r="BA1174" t="s">
        <v>74</v>
      </c>
      <c r="BB1174">
        <v>65</v>
      </c>
      <c r="BC1174">
        <v>75</v>
      </c>
      <c r="BD1174" t="s">
        <v>74</v>
      </c>
      <c r="BE1174" t="s">
        <v>74</v>
      </c>
      <c r="BF1174" t="s">
        <v>74</v>
      </c>
      <c r="BG1174" t="s">
        <v>74</v>
      </c>
      <c r="BH1174" t="s">
        <v>74</v>
      </c>
      <c r="BI1174">
        <v>11</v>
      </c>
      <c r="BJ1174" t="s">
        <v>228</v>
      </c>
      <c r="BK1174" t="s">
        <v>8073</v>
      </c>
      <c r="BL1174" t="s">
        <v>228</v>
      </c>
      <c r="BM1174" t="s">
        <v>19939</v>
      </c>
      <c r="BN1174" t="s">
        <v>74</v>
      </c>
      <c r="BO1174" t="s">
        <v>74</v>
      </c>
      <c r="BP1174" t="s">
        <v>74</v>
      </c>
      <c r="BQ1174" t="s">
        <v>74</v>
      </c>
      <c r="BR1174" t="s">
        <v>104</v>
      </c>
      <c r="BS1174" t="s">
        <v>20034</v>
      </c>
      <c r="BT1174" t="str">
        <f>HYPERLINK("https%3A%2F%2Fwww.webofscience.com%2Fwos%2Fwoscc%2Ffull-record%2FWOS:000303777400008","View Full Record in Web of Science")</f>
        <v>View Full Record in Web of Science</v>
      </c>
    </row>
    <row r="1175" spans="1:72" x14ac:dyDescent="0.25">
      <c r="A1175" t="s">
        <v>998</v>
      </c>
      <c r="B1175" t="s">
        <v>7833</v>
      </c>
      <c r="C1175" t="s">
        <v>74</v>
      </c>
      <c r="D1175" t="s">
        <v>7833</v>
      </c>
      <c r="E1175" t="s">
        <v>74</v>
      </c>
      <c r="F1175" t="s">
        <v>7834</v>
      </c>
      <c r="G1175" t="s">
        <v>74</v>
      </c>
      <c r="H1175" t="s">
        <v>74</v>
      </c>
      <c r="I1175" t="s">
        <v>20033</v>
      </c>
      <c r="J1175" t="s">
        <v>19969</v>
      </c>
      <c r="K1175" t="s">
        <v>19309</v>
      </c>
      <c r="L1175" t="s">
        <v>74</v>
      </c>
      <c r="M1175" t="s">
        <v>78</v>
      </c>
      <c r="N1175" t="s">
        <v>20025</v>
      </c>
      <c r="O1175" t="s">
        <v>74</v>
      </c>
      <c r="P1175" t="s">
        <v>74</v>
      </c>
      <c r="Q1175" t="s">
        <v>74</v>
      </c>
      <c r="R1175" t="s">
        <v>74</v>
      </c>
      <c r="S1175" t="s">
        <v>74</v>
      </c>
      <c r="T1175" t="s">
        <v>74</v>
      </c>
      <c r="U1175" t="s">
        <v>74</v>
      </c>
      <c r="V1175" t="s">
        <v>74</v>
      </c>
      <c r="W1175" t="s">
        <v>20032</v>
      </c>
      <c r="X1175" t="s">
        <v>20031</v>
      </c>
      <c r="Y1175" t="s">
        <v>7557</v>
      </c>
      <c r="Z1175" t="s">
        <v>3402</v>
      </c>
      <c r="AA1175" t="s">
        <v>2829</v>
      </c>
      <c r="AB1175" t="s">
        <v>1489</v>
      </c>
      <c r="AC1175" t="s">
        <v>74</v>
      </c>
      <c r="AD1175" t="s">
        <v>74</v>
      </c>
      <c r="AE1175" t="s">
        <v>74</v>
      </c>
      <c r="AF1175" t="s">
        <v>74</v>
      </c>
      <c r="AG1175">
        <v>0</v>
      </c>
      <c r="AH1175">
        <v>0</v>
      </c>
      <c r="AI1175">
        <v>0</v>
      </c>
      <c r="AJ1175">
        <v>0</v>
      </c>
      <c r="AK1175">
        <v>0</v>
      </c>
      <c r="AL1175" t="s">
        <v>8070</v>
      </c>
      <c r="AM1175" t="s">
        <v>220</v>
      </c>
      <c r="AN1175" t="s">
        <v>8071</v>
      </c>
      <c r="AO1175" t="s">
        <v>19301</v>
      </c>
      <c r="AP1175" t="s">
        <v>74</v>
      </c>
      <c r="AQ1175" t="s">
        <v>19959</v>
      </c>
      <c r="AR1175" t="s">
        <v>19299</v>
      </c>
      <c r="AS1175" t="s">
        <v>74</v>
      </c>
      <c r="AT1175" t="s">
        <v>74</v>
      </c>
      <c r="AU1175">
        <v>2012</v>
      </c>
      <c r="AV1175" t="s">
        <v>74</v>
      </c>
      <c r="AW1175">
        <v>57</v>
      </c>
      <c r="AX1175" t="s">
        <v>74</v>
      </c>
      <c r="AY1175" t="s">
        <v>74</v>
      </c>
      <c r="AZ1175" t="s">
        <v>74</v>
      </c>
      <c r="BA1175" t="s">
        <v>74</v>
      </c>
      <c r="BB1175" t="s">
        <v>20030</v>
      </c>
      <c r="BC1175" t="s">
        <v>20030</v>
      </c>
      <c r="BD1175" t="s">
        <v>74</v>
      </c>
      <c r="BE1175" t="s">
        <v>20029</v>
      </c>
      <c r="BF1175" t="str">
        <f>HYPERLINK("http://dx.doi.org/10.1183/1025448x.10020212","http://dx.doi.org/10.1183/1025448x.10020212")</f>
        <v>http://dx.doi.org/10.1183/1025448x.10020212</v>
      </c>
      <c r="BG1175" t="s">
        <v>74</v>
      </c>
      <c r="BH1175" t="s">
        <v>74</v>
      </c>
      <c r="BI1175">
        <v>1</v>
      </c>
      <c r="BJ1175" t="s">
        <v>228</v>
      </c>
      <c r="BK1175" t="s">
        <v>8073</v>
      </c>
      <c r="BL1175" t="s">
        <v>228</v>
      </c>
      <c r="BM1175" t="s">
        <v>19957</v>
      </c>
      <c r="BN1175" t="s">
        <v>74</v>
      </c>
      <c r="BO1175" t="s">
        <v>1194</v>
      </c>
      <c r="BP1175" t="s">
        <v>74</v>
      </c>
      <c r="BQ1175" t="s">
        <v>74</v>
      </c>
      <c r="BR1175" t="s">
        <v>104</v>
      </c>
      <c r="BS1175" t="s">
        <v>20028</v>
      </c>
      <c r="BT1175" t="str">
        <f>HYPERLINK("https%3A%2F%2Fwww.webofscience.com%2Fwos%2Fwoscc%2Ffull-record%2FWOS:000316367800002","View Full Record in Web of Science")</f>
        <v>View Full Record in Web of Science</v>
      </c>
    </row>
    <row r="1176" spans="1:72" x14ac:dyDescent="0.25">
      <c r="A1176" t="s">
        <v>998</v>
      </c>
      <c r="B1176" t="s">
        <v>19954</v>
      </c>
      <c r="C1176" t="s">
        <v>74</v>
      </c>
      <c r="D1176" t="s">
        <v>19954</v>
      </c>
      <c r="E1176" t="s">
        <v>74</v>
      </c>
      <c r="F1176" t="s">
        <v>20027</v>
      </c>
      <c r="G1176" t="s">
        <v>74</v>
      </c>
      <c r="H1176" t="s">
        <v>74</v>
      </c>
      <c r="I1176" t="s">
        <v>20026</v>
      </c>
      <c r="J1176" t="s">
        <v>19951</v>
      </c>
      <c r="K1176" t="s">
        <v>19950</v>
      </c>
      <c r="L1176" t="s">
        <v>74</v>
      </c>
      <c r="M1176" t="s">
        <v>78</v>
      </c>
      <c r="N1176" t="s">
        <v>20025</v>
      </c>
      <c r="O1176" t="s">
        <v>74</v>
      </c>
      <c r="P1176" t="s">
        <v>74</v>
      </c>
      <c r="Q1176" t="s">
        <v>74</v>
      </c>
      <c r="R1176" t="s">
        <v>74</v>
      </c>
      <c r="S1176" t="s">
        <v>74</v>
      </c>
      <c r="T1176" t="s">
        <v>74</v>
      </c>
      <c r="U1176" t="s">
        <v>74</v>
      </c>
      <c r="V1176" t="s">
        <v>74</v>
      </c>
      <c r="W1176" t="s">
        <v>20024</v>
      </c>
      <c r="X1176" t="s">
        <v>20023</v>
      </c>
      <c r="Y1176" t="s">
        <v>20022</v>
      </c>
      <c r="Z1176" t="s">
        <v>74</v>
      </c>
      <c r="AA1176" t="s">
        <v>20021</v>
      </c>
      <c r="AB1176" t="s">
        <v>74</v>
      </c>
      <c r="AC1176" t="s">
        <v>74</v>
      </c>
      <c r="AD1176" t="s">
        <v>74</v>
      </c>
      <c r="AE1176" t="s">
        <v>74</v>
      </c>
      <c r="AF1176" t="s">
        <v>74</v>
      </c>
      <c r="AG1176">
        <v>0</v>
      </c>
      <c r="AH1176">
        <v>0</v>
      </c>
      <c r="AI1176">
        <v>0</v>
      </c>
      <c r="AJ1176">
        <v>0</v>
      </c>
      <c r="AK1176">
        <v>0</v>
      </c>
      <c r="AL1176" t="s">
        <v>9328</v>
      </c>
      <c r="AM1176" t="s">
        <v>1114</v>
      </c>
      <c r="AN1176" t="s">
        <v>19944</v>
      </c>
      <c r="AO1176" t="s">
        <v>19943</v>
      </c>
      <c r="AP1176" t="s">
        <v>74</v>
      </c>
      <c r="AQ1176" t="s">
        <v>19942</v>
      </c>
      <c r="AR1176" t="s">
        <v>19941</v>
      </c>
      <c r="AS1176" t="s">
        <v>19940</v>
      </c>
      <c r="AT1176" t="s">
        <v>74</v>
      </c>
      <c r="AU1176">
        <v>2012</v>
      </c>
      <c r="AV1176">
        <v>41</v>
      </c>
      <c r="AW1176" t="s">
        <v>74</v>
      </c>
      <c r="AX1176" t="s">
        <v>74</v>
      </c>
      <c r="AY1176" t="s">
        <v>74</v>
      </c>
      <c r="AZ1176" t="s">
        <v>74</v>
      </c>
      <c r="BA1176" t="s">
        <v>74</v>
      </c>
      <c r="BB1176" t="s">
        <v>20020</v>
      </c>
      <c r="BC1176" t="s">
        <v>20019</v>
      </c>
      <c r="BD1176" t="s">
        <v>74</v>
      </c>
      <c r="BE1176" t="s">
        <v>74</v>
      </c>
      <c r="BF1176" t="s">
        <v>74</v>
      </c>
      <c r="BG1176" t="s">
        <v>74</v>
      </c>
      <c r="BH1176" t="s">
        <v>74</v>
      </c>
      <c r="BI1176">
        <v>2</v>
      </c>
      <c r="BJ1176" t="s">
        <v>228</v>
      </c>
      <c r="BK1176" t="s">
        <v>8073</v>
      </c>
      <c r="BL1176" t="s">
        <v>228</v>
      </c>
      <c r="BM1176" t="s">
        <v>19939</v>
      </c>
      <c r="BN1176" t="s">
        <v>74</v>
      </c>
      <c r="BO1176" t="s">
        <v>74</v>
      </c>
      <c r="BP1176" t="s">
        <v>74</v>
      </c>
      <c r="BQ1176" t="s">
        <v>74</v>
      </c>
      <c r="BR1176" t="s">
        <v>104</v>
      </c>
      <c r="BS1176" t="s">
        <v>20018</v>
      </c>
      <c r="BT1176" t="str">
        <f>HYPERLINK("https%3A%2F%2Fwww.webofscience.com%2Fwos%2Fwoscc%2Ffull-record%2FWOS:000303777400001","View Full Record in Web of Science")</f>
        <v>View Full Record in Web of Science</v>
      </c>
    </row>
    <row r="1177" spans="1:72" x14ac:dyDescent="0.25">
      <c r="A1177" t="s">
        <v>998</v>
      </c>
      <c r="B1177" t="s">
        <v>20017</v>
      </c>
      <c r="C1177" t="s">
        <v>74</v>
      </c>
      <c r="D1177" t="s">
        <v>19954</v>
      </c>
      <c r="E1177" t="s">
        <v>74</v>
      </c>
      <c r="F1177" t="s">
        <v>20016</v>
      </c>
      <c r="G1177" t="s">
        <v>74</v>
      </c>
      <c r="H1177" t="s">
        <v>74</v>
      </c>
      <c r="I1177" t="s">
        <v>20015</v>
      </c>
      <c r="J1177" t="s">
        <v>19951</v>
      </c>
      <c r="K1177" t="s">
        <v>19950</v>
      </c>
      <c r="L1177" t="s">
        <v>74</v>
      </c>
      <c r="M1177" t="s">
        <v>78</v>
      </c>
      <c r="N1177" t="s">
        <v>8065</v>
      </c>
      <c r="O1177" t="s">
        <v>74</v>
      </c>
      <c r="P1177" t="s">
        <v>74</v>
      </c>
      <c r="Q1177" t="s">
        <v>74</v>
      </c>
      <c r="R1177" t="s">
        <v>74</v>
      </c>
      <c r="S1177" t="s">
        <v>74</v>
      </c>
      <c r="T1177" t="s">
        <v>74</v>
      </c>
      <c r="U1177" t="s">
        <v>20014</v>
      </c>
      <c r="V1177" t="s">
        <v>20013</v>
      </c>
      <c r="W1177" t="s">
        <v>20012</v>
      </c>
      <c r="X1177" t="s">
        <v>20011</v>
      </c>
      <c r="Y1177" t="s">
        <v>20010</v>
      </c>
      <c r="Z1177" t="s">
        <v>19712</v>
      </c>
      <c r="AA1177" t="s">
        <v>20009</v>
      </c>
      <c r="AB1177" t="s">
        <v>20008</v>
      </c>
      <c r="AC1177" t="s">
        <v>74</v>
      </c>
      <c r="AD1177" t="s">
        <v>74</v>
      </c>
      <c r="AE1177" t="s">
        <v>74</v>
      </c>
      <c r="AF1177" t="s">
        <v>74</v>
      </c>
      <c r="AG1177">
        <v>30</v>
      </c>
      <c r="AH1177">
        <v>14</v>
      </c>
      <c r="AI1177">
        <v>15</v>
      </c>
      <c r="AJ1177">
        <v>0</v>
      </c>
      <c r="AK1177">
        <v>4</v>
      </c>
      <c r="AL1177" t="s">
        <v>9328</v>
      </c>
      <c r="AM1177" t="s">
        <v>1114</v>
      </c>
      <c r="AN1177" t="s">
        <v>19944</v>
      </c>
      <c r="AO1177" t="s">
        <v>19943</v>
      </c>
      <c r="AP1177" t="s">
        <v>74</v>
      </c>
      <c r="AQ1177" t="s">
        <v>19942</v>
      </c>
      <c r="AR1177" t="s">
        <v>19941</v>
      </c>
      <c r="AS1177" t="s">
        <v>19940</v>
      </c>
      <c r="AT1177" t="s">
        <v>74</v>
      </c>
      <c r="AU1177">
        <v>2012</v>
      </c>
      <c r="AV1177">
        <v>41</v>
      </c>
      <c r="AW1177" t="s">
        <v>74</v>
      </c>
      <c r="AX1177" t="s">
        <v>74</v>
      </c>
      <c r="AY1177" t="s">
        <v>74</v>
      </c>
      <c r="AZ1177" t="s">
        <v>74</v>
      </c>
      <c r="BA1177" t="s">
        <v>74</v>
      </c>
      <c r="BB1177">
        <v>85</v>
      </c>
      <c r="BC1177">
        <v>93</v>
      </c>
      <c r="BD1177" t="s">
        <v>74</v>
      </c>
      <c r="BE1177" t="s">
        <v>74</v>
      </c>
      <c r="BF1177" t="s">
        <v>74</v>
      </c>
      <c r="BG1177" t="s">
        <v>74</v>
      </c>
      <c r="BH1177" t="s">
        <v>74</v>
      </c>
      <c r="BI1177">
        <v>9</v>
      </c>
      <c r="BJ1177" t="s">
        <v>228</v>
      </c>
      <c r="BK1177" t="s">
        <v>8073</v>
      </c>
      <c r="BL1177" t="s">
        <v>228</v>
      </c>
      <c r="BM1177" t="s">
        <v>19939</v>
      </c>
      <c r="BN1177" t="s">
        <v>74</v>
      </c>
      <c r="BO1177" t="s">
        <v>74</v>
      </c>
      <c r="BP1177" t="s">
        <v>74</v>
      </c>
      <c r="BQ1177" t="s">
        <v>74</v>
      </c>
      <c r="BR1177" t="s">
        <v>104</v>
      </c>
      <c r="BS1177" t="s">
        <v>20007</v>
      </c>
      <c r="BT1177" t="str">
        <f>HYPERLINK("https%3A%2F%2Fwww.webofscience.com%2Fwos%2Fwoscc%2Ffull-record%2FWOS:000303777400010","View Full Record in Web of Science")</f>
        <v>View Full Record in Web of Science</v>
      </c>
    </row>
    <row r="1178" spans="1:72" x14ac:dyDescent="0.25">
      <c r="A1178" t="s">
        <v>998</v>
      </c>
      <c r="B1178" t="s">
        <v>20006</v>
      </c>
      <c r="C1178" t="s">
        <v>74</v>
      </c>
      <c r="D1178" t="s">
        <v>7833</v>
      </c>
      <c r="E1178" t="s">
        <v>74</v>
      </c>
      <c r="F1178" t="s">
        <v>20005</v>
      </c>
      <c r="G1178" t="s">
        <v>74</v>
      </c>
      <c r="H1178" t="s">
        <v>74</v>
      </c>
      <c r="I1178" t="s">
        <v>20004</v>
      </c>
      <c r="J1178" t="s">
        <v>19969</v>
      </c>
      <c r="K1178" t="s">
        <v>19309</v>
      </c>
      <c r="L1178" t="s">
        <v>74</v>
      </c>
      <c r="M1178" t="s">
        <v>78</v>
      </c>
      <c r="N1178" t="s">
        <v>8065</v>
      </c>
      <c r="O1178" t="s">
        <v>74</v>
      </c>
      <c r="P1178" t="s">
        <v>74</v>
      </c>
      <c r="Q1178" t="s">
        <v>74</v>
      </c>
      <c r="R1178" t="s">
        <v>74</v>
      </c>
      <c r="S1178" t="s">
        <v>74</v>
      </c>
      <c r="T1178" t="s">
        <v>20003</v>
      </c>
      <c r="U1178" t="s">
        <v>11144</v>
      </c>
      <c r="V1178" t="s">
        <v>20002</v>
      </c>
      <c r="W1178" t="s">
        <v>20001</v>
      </c>
      <c r="X1178" t="s">
        <v>20000</v>
      </c>
      <c r="Y1178" t="s">
        <v>19999</v>
      </c>
      <c r="Z1178" t="s">
        <v>19998</v>
      </c>
      <c r="AA1178" t="s">
        <v>1549</v>
      </c>
      <c r="AB1178" t="s">
        <v>19997</v>
      </c>
      <c r="AC1178" t="s">
        <v>74</v>
      </c>
      <c r="AD1178" t="s">
        <v>74</v>
      </c>
      <c r="AE1178" t="s">
        <v>74</v>
      </c>
      <c r="AF1178" t="s">
        <v>74</v>
      </c>
      <c r="AG1178">
        <v>18</v>
      </c>
      <c r="AH1178">
        <v>1</v>
      </c>
      <c r="AI1178">
        <v>1</v>
      </c>
      <c r="AJ1178">
        <v>2</v>
      </c>
      <c r="AK1178">
        <v>2</v>
      </c>
      <c r="AL1178" t="s">
        <v>8070</v>
      </c>
      <c r="AM1178" t="s">
        <v>220</v>
      </c>
      <c r="AN1178" t="s">
        <v>8071</v>
      </c>
      <c r="AO1178" t="s">
        <v>19301</v>
      </c>
      <c r="AP1178" t="s">
        <v>74</v>
      </c>
      <c r="AQ1178" t="s">
        <v>19959</v>
      </c>
      <c r="AR1178" t="s">
        <v>19299</v>
      </c>
      <c r="AS1178" t="s">
        <v>74</v>
      </c>
      <c r="AT1178" t="s">
        <v>74</v>
      </c>
      <c r="AU1178">
        <v>2012</v>
      </c>
      <c r="AV1178" t="s">
        <v>74</v>
      </c>
      <c r="AW1178">
        <v>57</v>
      </c>
      <c r="AX1178" t="s">
        <v>74</v>
      </c>
      <c r="AY1178" t="s">
        <v>74</v>
      </c>
      <c r="AZ1178" t="s">
        <v>74</v>
      </c>
      <c r="BA1178" t="s">
        <v>74</v>
      </c>
      <c r="BB1178">
        <v>161</v>
      </c>
      <c r="BC1178">
        <v>165</v>
      </c>
      <c r="BD1178" t="s">
        <v>74</v>
      </c>
      <c r="BE1178" t="s">
        <v>19996</v>
      </c>
      <c r="BF1178" t="str">
        <f>HYPERLINK("http://dx.doi.org/10.1183/1025448x.10019611","http://dx.doi.org/10.1183/1025448x.10019611")</f>
        <v>http://dx.doi.org/10.1183/1025448x.10019611</v>
      </c>
      <c r="BG1178" t="s">
        <v>74</v>
      </c>
      <c r="BH1178" t="s">
        <v>74</v>
      </c>
      <c r="BI1178">
        <v>5</v>
      </c>
      <c r="BJ1178" t="s">
        <v>228</v>
      </c>
      <c r="BK1178" t="s">
        <v>8073</v>
      </c>
      <c r="BL1178" t="s">
        <v>228</v>
      </c>
      <c r="BM1178" t="s">
        <v>19957</v>
      </c>
      <c r="BN1178" t="s">
        <v>74</v>
      </c>
      <c r="BO1178" t="s">
        <v>74</v>
      </c>
      <c r="BP1178" t="s">
        <v>74</v>
      </c>
      <c r="BQ1178" t="s">
        <v>74</v>
      </c>
      <c r="BR1178" t="s">
        <v>104</v>
      </c>
      <c r="BS1178" t="s">
        <v>19995</v>
      </c>
      <c r="BT1178" t="str">
        <f>HYPERLINK("https%3A%2F%2Fwww.webofscience.com%2Fwos%2Fwoscc%2Ffull-record%2FWOS:000316367800015","View Full Record in Web of Science")</f>
        <v>View Full Record in Web of Science</v>
      </c>
    </row>
    <row r="1179" spans="1:72" x14ac:dyDescent="0.25">
      <c r="A1179" t="s">
        <v>998</v>
      </c>
      <c r="B1179" t="s">
        <v>19994</v>
      </c>
      <c r="C1179" t="s">
        <v>74</v>
      </c>
      <c r="D1179" t="s">
        <v>7833</v>
      </c>
      <c r="E1179" t="s">
        <v>74</v>
      </c>
      <c r="F1179" t="s">
        <v>19993</v>
      </c>
      <c r="G1179" t="s">
        <v>74</v>
      </c>
      <c r="H1179" t="s">
        <v>74</v>
      </c>
      <c r="I1179" t="s">
        <v>19992</v>
      </c>
      <c r="J1179" t="s">
        <v>19969</v>
      </c>
      <c r="K1179" t="s">
        <v>19309</v>
      </c>
      <c r="L1179" t="s">
        <v>74</v>
      </c>
      <c r="M1179" t="s">
        <v>78</v>
      </c>
      <c r="N1179" t="s">
        <v>8065</v>
      </c>
      <c r="O1179" t="s">
        <v>74</v>
      </c>
      <c r="P1179" t="s">
        <v>74</v>
      </c>
      <c r="Q1179" t="s">
        <v>74</v>
      </c>
      <c r="R1179" t="s">
        <v>74</v>
      </c>
      <c r="S1179" t="s">
        <v>74</v>
      </c>
      <c r="T1179" t="s">
        <v>19991</v>
      </c>
      <c r="U1179" t="s">
        <v>19990</v>
      </c>
      <c r="V1179" t="s">
        <v>19989</v>
      </c>
      <c r="W1179" t="s">
        <v>19988</v>
      </c>
      <c r="X1179" t="s">
        <v>19987</v>
      </c>
      <c r="Y1179" t="s">
        <v>19986</v>
      </c>
      <c r="Z1179" t="s">
        <v>10035</v>
      </c>
      <c r="AA1179" t="s">
        <v>19985</v>
      </c>
      <c r="AB1179" t="s">
        <v>19984</v>
      </c>
      <c r="AC1179" t="s">
        <v>74</v>
      </c>
      <c r="AD1179" t="s">
        <v>74</v>
      </c>
      <c r="AE1179" t="s">
        <v>74</v>
      </c>
      <c r="AF1179" t="s">
        <v>74</v>
      </c>
      <c r="AG1179">
        <v>86</v>
      </c>
      <c r="AH1179">
        <v>0</v>
      </c>
      <c r="AI1179">
        <v>0</v>
      </c>
      <c r="AJ1179">
        <v>0</v>
      </c>
      <c r="AK1179">
        <v>1</v>
      </c>
      <c r="AL1179" t="s">
        <v>8070</v>
      </c>
      <c r="AM1179" t="s">
        <v>220</v>
      </c>
      <c r="AN1179" t="s">
        <v>8071</v>
      </c>
      <c r="AO1179" t="s">
        <v>19301</v>
      </c>
      <c r="AP1179" t="s">
        <v>74</v>
      </c>
      <c r="AQ1179" t="s">
        <v>19959</v>
      </c>
      <c r="AR1179" t="s">
        <v>19299</v>
      </c>
      <c r="AS1179" t="s">
        <v>74</v>
      </c>
      <c r="AT1179" t="s">
        <v>74</v>
      </c>
      <c r="AU1179">
        <v>2012</v>
      </c>
      <c r="AV1179" t="s">
        <v>74</v>
      </c>
      <c r="AW1179">
        <v>57</v>
      </c>
      <c r="AX1179" t="s">
        <v>74</v>
      </c>
      <c r="AY1179" t="s">
        <v>74</v>
      </c>
      <c r="AZ1179" t="s">
        <v>74</v>
      </c>
      <c r="BA1179" t="s">
        <v>74</v>
      </c>
      <c r="BB1179">
        <v>182</v>
      </c>
      <c r="BC1179">
        <v>193</v>
      </c>
      <c r="BD1179" t="s">
        <v>74</v>
      </c>
      <c r="BE1179" t="s">
        <v>19983</v>
      </c>
      <c r="BF1179" t="str">
        <f>HYPERLINK("http://dx.doi.org/10.1183/1025448x.10019811","http://dx.doi.org/10.1183/1025448x.10019811")</f>
        <v>http://dx.doi.org/10.1183/1025448x.10019811</v>
      </c>
      <c r="BG1179" t="s">
        <v>74</v>
      </c>
      <c r="BH1179" t="s">
        <v>74</v>
      </c>
      <c r="BI1179">
        <v>12</v>
      </c>
      <c r="BJ1179" t="s">
        <v>228</v>
      </c>
      <c r="BK1179" t="s">
        <v>8073</v>
      </c>
      <c r="BL1179" t="s">
        <v>228</v>
      </c>
      <c r="BM1179" t="s">
        <v>19957</v>
      </c>
      <c r="BN1179" t="s">
        <v>74</v>
      </c>
      <c r="BO1179" t="s">
        <v>74</v>
      </c>
      <c r="BP1179" t="s">
        <v>74</v>
      </c>
      <c r="BQ1179" t="s">
        <v>74</v>
      </c>
      <c r="BR1179" t="s">
        <v>104</v>
      </c>
      <c r="BS1179" t="s">
        <v>19982</v>
      </c>
      <c r="BT1179" t="str">
        <f>HYPERLINK("https%3A%2F%2Fwww.webofscience.com%2Fwos%2Fwoscc%2Ffull-record%2FWOS:000316367800017","View Full Record in Web of Science")</f>
        <v>View Full Record in Web of Science</v>
      </c>
    </row>
    <row r="1180" spans="1:72" x14ac:dyDescent="0.25">
      <c r="A1180" t="s">
        <v>998</v>
      </c>
      <c r="B1180" t="s">
        <v>19981</v>
      </c>
      <c r="C1180" t="s">
        <v>74</v>
      </c>
      <c r="D1180" t="s">
        <v>19954</v>
      </c>
      <c r="E1180" t="s">
        <v>74</v>
      </c>
      <c r="F1180" t="s">
        <v>19980</v>
      </c>
      <c r="G1180" t="s">
        <v>74</v>
      </c>
      <c r="H1180" t="s">
        <v>74</v>
      </c>
      <c r="I1180" t="s">
        <v>19979</v>
      </c>
      <c r="J1180" t="s">
        <v>19951</v>
      </c>
      <c r="K1180" t="s">
        <v>19950</v>
      </c>
      <c r="L1180" t="s">
        <v>74</v>
      </c>
      <c r="M1180" t="s">
        <v>78</v>
      </c>
      <c r="N1180" t="s">
        <v>8065</v>
      </c>
      <c r="O1180" t="s">
        <v>74</v>
      </c>
      <c r="P1180" t="s">
        <v>74</v>
      </c>
      <c r="Q1180" t="s">
        <v>74</v>
      </c>
      <c r="R1180" t="s">
        <v>74</v>
      </c>
      <c r="S1180" t="s">
        <v>74</v>
      </c>
      <c r="T1180" t="s">
        <v>74</v>
      </c>
      <c r="U1180" t="s">
        <v>19978</v>
      </c>
      <c r="V1180" t="s">
        <v>19977</v>
      </c>
      <c r="W1180" t="s">
        <v>19976</v>
      </c>
      <c r="X1180" t="s">
        <v>18835</v>
      </c>
      <c r="Y1180" t="s">
        <v>19975</v>
      </c>
      <c r="Z1180" t="s">
        <v>17425</v>
      </c>
      <c r="AA1180" t="s">
        <v>19476</v>
      </c>
      <c r="AB1180" t="s">
        <v>19974</v>
      </c>
      <c r="AC1180" t="s">
        <v>74</v>
      </c>
      <c r="AD1180" t="s">
        <v>74</v>
      </c>
      <c r="AE1180" t="s">
        <v>74</v>
      </c>
      <c r="AF1180" t="s">
        <v>74</v>
      </c>
      <c r="AG1180">
        <v>88</v>
      </c>
      <c r="AH1180">
        <v>0</v>
      </c>
      <c r="AI1180">
        <v>0</v>
      </c>
      <c r="AJ1180">
        <v>0</v>
      </c>
      <c r="AK1180">
        <v>0</v>
      </c>
      <c r="AL1180" t="s">
        <v>9328</v>
      </c>
      <c r="AM1180" t="s">
        <v>1114</v>
      </c>
      <c r="AN1180" t="s">
        <v>19944</v>
      </c>
      <c r="AO1180" t="s">
        <v>19943</v>
      </c>
      <c r="AP1180" t="s">
        <v>74</v>
      </c>
      <c r="AQ1180" t="s">
        <v>19942</v>
      </c>
      <c r="AR1180" t="s">
        <v>19941</v>
      </c>
      <c r="AS1180" t="s">
        <v>19940</v>
      </c>
      <c r="AT1180" t="s">
        <v>74</v>
      </c>
      <c r="AU1180">
        <v>2012</v>
      </c>
      <c r="AV1180">
        <v>41</v>
      </c>
      <c r="AW1180" t="s">
        <v>74</v>
      </c>
      <c r="AX1180" t="s">
        <v>74</v>
      </c>
      <c r="AY1180" t="s">
        <v>74</v>
      </c>
      <c r="AZ1180" t="s">
        <v>74</v>
      </c>
      <c r="BA1180" t="s">
        <v>74</v>
      </c>
      <c r="BB1180">
        <v>149</v>
      </c>
      <c r="BC1180">
        <v>160</v>
      </c>
      <c r="BD1180" t="s">
        <v>74</v>
      </c>
      <c r="BE1180" t="s">
        <v>74</v>
      </c>
      <c r="BF1180" t="s">
        <v>74</v>
      </c>
      <c r="BG1180" t="s">
        <v>74</v>
      </c>
      <c r="BH1180" t="s">
        <v>74</v>
      </c>
      <c r="BI1180">
        <v>12</v>
      </c>
      <c r="BJ1180" t="s">
        <v>228</v>
      </c>
      <c r="BK1180" t="s">
        <v>8073</v>
      </c>
      <c r="BL1180" t="s">
        <v>228</v>
      </c>
      <c r="BM1180" t="s">
        <v>19939</v>
      </c>
      <c r="BN1180" t="s">
        <v>74</v>
      </c>
      <c r="BO1180" t="s">
        <v>74</v>
      </c>
      <c r="BP1180" t="s">
        <v>74</v>
      </c>
      <c r="BQ1180" t="s">
        <v>74</v>
      </c>
      <c r="BR1180" t="s">
        <v>104</v>
      </c>
      <c r="BS1180" t="s">
        <v>19973</v>
      </c>
      <c r="BT1180" t="str">
        <f>HYPERLINK("https%3A%2F%2Fwww.webofscience.com%2Fwos%2Fwoscc%2Ffull-record%2FWOS:000303777400017","View Full Record in Web of Science")</f>
        <v>View Full Record in Web of Science</v>
      </c>
    </row>
    <row r="1181" spans="1:72" x14ac:dyDescent="0.25">
      <c r="A1181" t="s">
        <v>998</v>
      </c>
      <c r="B1181" t="s">
        <v>19972</v>
      </c>
      <c r="C1181" t="s">
        <v>74</v>
      </c>
      <c r="D1181" t="s">
        <v>7833</v>
      </c>
      <c r="E1181" t="s">
        <v>74</v>
      </c>
      <c r="F1181" t="s">
        <v>19971</v>
      </c>
      <c r="G1181" t="s">
        <v>74</v>
      </c>
      <c r="H1181" t="s">
        <v>74</v>
      </c>
      <c r="I1181" t="s">
        <v>19970</v>
      </c>
      <c r="J1181" t="s">
        <v>19969</v>
      </c>
      <c r="K1181" t="s">
        <v>19309</v>
      </c>
      <c r="L1181" t="s">
        <v>74</v>
      </c>
      <c r="M1181" t="s">
        <v>78</v>
      </c>
      <c r="N1181" t="s">
        <v>8065</v>
      </c>
      <c r="O1181" t="s">
        <v>74</v>
      </c>
      <c r="P1181" t="s">
        <v>74</v>
      </c>
      <c r="Q1181" t="s">
        <v>74</v>
      </c>
      <c r="R1181" t="s">
        <v>74</v>
      </c>
      <c r="S1181" t="s">
        <v>74</v>
      </c>
      <c r="T1181" t="s">
        <v>19968</v>
      </c>
      <c r="U1181" t="s">
        <v>19967</v>
      </c>
      <c r="V1181" t="s">
        <v>19966</v>
      </c>
      <c r="W1181" t="s">
        <v>19965</v>
      </c>
      <c r="X1181" t="s">
        <v>19964</v>
      </c>
      <c r="Y1181" t="s">
        <v>19963</v>
      </c>
      <c r="Z1181" t="s">
        <v>19962</v>
      </c>
      <c r="AA1181" t="s">
        <v>19961</v>
      </c>
      <c r="AB1181" t="s">
        <v>19960</v>
      </c>
      <c r="AC1181" t="s">
        <v>74</v>
      </c>
      <c r="AD1181" t="s">
        <v>74</v>
      </c>
      <c r="AE1181" t="s">
        <v>74</v>
      </c>
      <c r="AF1181" t="s">
        <v>74</v>
      </c>
      <c r="AG1181">
        <v>86</v>
      </c>
      <c r="AH1181">
        <v>1</v>
      </c>
      <c r="AI1181">
        <v>2</v>
      </c>
      <c r="AJ1181">
        <v>0</v>
      </c>
      <c r="AK1181">
        <v>3</v>
      </c>
      <c r="AL1181" t="s">
        <v>8070</v>
      </c>
      <c r="AM1181" t="s">
        <v>220</v>
      </c>
      <c r="AN1181" t="s">
        <v>8071</v>
      </c>
      <c r="AO1181" t="s">
        <v>19301</v>
      </c>
      <c r="AP1181" t="s">
        <v>74</v>
      </c>
      <c r="AQ1181" t="s">
        <v>19959</v>
      </c>
      <c r="AR1181" t="s">
        <v>19299</v>
      </c>
      <c r="AS1181" t="s">
        <v>74</v>
      </c>
      <c r="AT1181" t="s">
        <v>74</v>
      </c>
      <c r="AU1181">
        <v>2012</v>
      </c>
      <c r="AV1181" t="s">
        <v>74</v>
      </c>
      <c r="AW1181">
        <v>57</v>
      </c>
      <c r="AX1181" t="s">
        <v>74</v>
      </c>
      <c r="AY1181" t="s">
        <v>74</v>
      </c>
      <c r="AZ1181" t="s">
        <v>74</v>
      </c>
      <c r="BA1181" t="s">
        <v>74</v>
      </c>
      <c r="BB1181">
        <v>166</v>
      </c>
      <c r="BC1181">
        <v>181</v>
      </c>
      <c r="BD1181" t="s">
        <v>74</v>
      </c>
      <c r="BE1181" t="s">
        <v>19958</v>
      </c>
      <c r="BF1181" t="str">
        <f>HYPERLINK("http://dx.doi.org/10.1183/1025448x.10019711","http://dx.doi.org/10.1183/1025448x.10019711")</f>
        <v>http://dx.doi.org/10.1183/1025448x.10019711</v>
      </c>
      <c r="BG1181" t="s">
        <v>74</v>
      </c>
      <c r="BH1181" t="s">
        <v>74</v>
      </c>
      <c r="BI1181">
        <v>16</v>
      </c>
      <c r="BJ1181" t="s">
        <v>228</v>
      </c>
      <c r="BK1181" t="s">
        <v>8073</v>
      </c>
      <c r="BL1181" t="s">
        <v>228</v>
      </c>
      <c r="BM1181" t="s">
        <v>19957</v>
      </c>
      <c r="BN1181" t="s">
        <v>74</v>
      </c>
      <c r="BO1181" t="s">
        <v>74</v>
      </c>
      <c r="BP1181" t="s">
        <v>74</v>
      </c>
      <c r="BQ1181" t="s">
        <v>74</v>
      </c>
      <c r="BR1181" t="s">
        <v>104</v>
      </c>
      <c r="BS1181" t="s">
        <v>19956</v>
      </c>
      <c r="BT1181" t="str">
        <f>HYPERLINK("https%3A%2F%2Fwww.webofscience.com%2Fwos%2Fwoscc%2Ffull-record%2FWOS:000316367800016","View Full Record in Web of Science")</f>
        <v>View Full Record in Web of Science</v>
      </c>
    </row>
    <row r="1182" spans="1:72" x14ac:dyDescent="0.25">
      <c r="A1182" t="s">
        <v>998</v>
      </c>
      <c r="B1182" t="s">
        <v>19955</v>
      </c>
      <c r="C1182" t="s">
        <v>74</v>
      </c>
      <c r="D1182" t="s">
        <v>19954</v>
      </c>
      <c r="E1182" t="s">
        <v>74</v>
      </c>
      <c r="F1182" t="s">
        <v>19953</v>
      </c>
      <c r="G1182" t="s">
        <v>74</v>
      </c>
      <c r="H1182" t="s">
        <v>74</v>
      </c>
      <c r="I1182" t="s">
        <v>19952</v>
      </c>
      <c r="J1182" t="s">
        <v>19951</v>
      </c>
      <c r="K1182" t="s">
        <v>19950</v>
      </c>
      <c r="L1182" t="s">
        <v>74</v>
      </c>
      <c r="M1182" t="s">
        <v>78</v>
      </c>
      <c r="N1182" t="s">
        <v>8065</v>
      </c>
      <c r="O1182" t="s">
        <v>74</v>
      </c>
      <c r="P1182" t="s">
        <v>74</v>
      </c>
      <c r="Q1182" t="s">
        <v>74</v>
      </c>
      <c r="R1182" t="s">
        <v>74</v>
      </c>
      <c r="S1182" t="s">
        <v>74</v>
      </c>
      <c r="T1182" t="s">
        <v>74</v>
      </c>
      <c r="U1182" t="s">
        <v>19949</v>
      </c>
      <c r="V1182" t="s">
        <v>19948</v>
      </c>
      <c r="W1182" t="s">
        <v>19947</v>
      </c>
      <c r="X1182" t="s">
        <v>19946</v>
      </c>
      <c r="Y1182" t="s">
        <v>19945</v>
      </c>
      <c r="Z1182" t="s">
        <v>10573</v>
      </c>
      <c r="AA1182" t="s">
        <v>144</v>
      </c>
      <c r="AB1182" t="s">
        <v>257</v>
      </c>
      <c r="AC1182" t="s">
        <v>74</v>
      </c>
      <c r="AD1182" t="s">
        <v>74</v>
      </c>
      <c r="AE1182" t="s">
        <v>74</v>
      </c>
      <c r="AF1182" t="s">
        <v>74</v>
      </c>
      <c r="AG1182">
        <v>66</v>
      </c>
      <c r="AH1182">
        <v>1</v>
      </c>
      <c r="AI1182">
        <v>1</v>
      </c>
      <c r="AJ1182">
        <v>0</v>
      </c>
      <c r="AK1182">
        <v>0</v>
      </c>
      <c r="AL1182" t="s">
        <v>9328</v>
      </c>
      <c r="AM1182" t="s">
        <v>1114</v>
      </c>
      <c r="AN1182" t="s">
        <v>19944</v>
      </c>
      <c r="AO1182" t="s">
        <v>19943</v>
      </c>
      <c r="AP1182" t="s">
        <v>74</v>
      </c>
      <c r="AQ1182" t="s">
        <v>19942</v>
      </c>
      <c r="AR1182" t="s">
        <v>19941</v>
      </c>
      <c r="AS1182" t="s">
        <v>19940</v>
      </c>
      <c r="AT1182" t="s">
        <v>74</v>
      </c>
      <c r="AU1182">
        <v>2012</v>
      </c>
      <c r="AV1182">
        <v>41</v>
      </c>
      <c r="AW1182" t="s">
        <v>74</v>
      </c>
      <c r="AX1182" t="s">
        <v>74</v>
      </c>
      <c r="AY1182" t="s">
        <v>74</v>
      </c>
      <c r="AZ1182" t="s">
        <v>74</v>
      </c>
      <c r="BA1182" t="s">
        <v>74</v>
      </c>
      <c r="BB1182">
        <v>76</v>
      </c>
      <c r="BC1182">
        <v>84</v>
      </c>
      <c r="BD1182" t="s">
        <v>74</v>
      </c>
      <c r="BE1182" t="s">
        <v>74</v>
      </c>
      <c r="BF1182" t="s">
        <v>74</v>
      </c>
      <c r="BG1182" t="s">
        <v>74</v>
      </c>
      <c r="BH1182" t="s">
        <v>74</v>
      </c>
      <c r="BI1182">
        <v>9</v>
      </c>
      <c r="BJ1182" t="s">
        <v>228</v>
      </c>
      <c r="BK1182" t="s">
        <v>8073</v>
      </c>
      <c r="BL1182" t="s">
        <v>228</v>
      </c>
      <c r="BM1182" t="s">
        <v>19939</v>
      </c>
      <c r="BN1182" t="s">
        <v>74</v>
      </c>
      <c r="BO1182" t="s">
        <v>74</v>
      </c>
      <c r="BP1182" t="s">
        <v>74</v>
      </c>
      <c r="BQ1182" t="s">
        <v>74</v>
      </c>
      <c r="BR1182" t="s">
        <v>104</v>
      </c>
      <c r="BS1182" t="s">
        <v>19938</v>
      </c>
      <c r="BT1182" t="str">
        <f>HYPERLINK("https%3A%2F%2Fwww.webofscience.com%2Fwos%2Fwoscc%2Ffull-record%2FWOS:000303777400009","View Full Record in Web of Science")</f>
        <v>View Full Record in Web of Science</v>
      </c>
    </row>
    <row r="1183" spans="1:72" x14ac:dyDescent="0.25">
      <c r="A1183" t="s">
        <v>72</v>
      </c>
      <c r="B1183" t="s">
        <v>19937</v>
      </c>
      <c r="C1183" t="s">
        <v>74</v>
      </c>
      <c r="D1183" t="s">
        <v>74</v>
      </c>
      <c r="E1183" t="s">
        <v>74</v>
      </c>
      <c r="F1183" t="s">
        <v>19936</v>
      </c>
      <c r="G1183" t="s">
        <v>74</v>
      </c>
      <c r="H1183" t="s">
        <v>74</v>
      </c>
      <c r="I1183" t="s">
        <v>19935</v>
      </c>
      <c r="J1183" t="s">
        <v>324</v>
      </c>
      <c r="K1183" t="s">
        <v>74</v>
      </c>
      <c r="L1183" t="s">
        <v>74</v>
      </c>
      <c r="M1183" t="s">
        <v>78</v>
      </c>
      <c r="N1183" t="s">
        <v>79</v>
      </c>
      <c r="O1183" t="s">
        <v>74</v>
      </c>
      <c r="P1183" t="s">
        <v>74</v>
      </c>
      <c r="Q1183" t="s">
        <v>74</v>
      </c>
      <c r="R1183" t="s">
        <v>74</v>
      </c>
      <c r="S1183" t="s">
        <v>74</v>
      </c>
      <c r="T1183" t="s">
        <v>74</v>
      </c>
      <c r="U1183" t="s">
        <v>19934</v>
      </c>
      <c r="V1183" t="s">
        <v>19933</v>
      </c>
      <c r="W1183" t="s">
        <v>19932</v>
      </c>
      <c r="X1183" t="s">
        <v>19931</v>
      </c>
      <c r="Y1183" t="s">
        <v>19930</v>
      </c>
      <c r="Z1183" t="s">
        <v>10573</v>
      </c>
      <c r="AA1183" t="s">
        <v>19929</v>
      </c>
      <c r="AB1183" t="s">
        <v>19928</v>
      </c>
      <c r="AC1183" t="s">
        <v>19927</v>
      </c>
      <c r="AD1183" t="s">
        <v>19926</v>
      </c>
      <c r="AE1183" t="s">
        <v>19925</v>
      </c>
      <c r="AF1183" t="s">
        <v>74</v>
      </c>
      <c r="AG1183">
        <v>125</v>
      </c>
      <c r="AH1183">
        <v>322</v>
      </c>
      <c r="AI1183">
        <v>365</v>
      </c>
      <c r="AJ1183">
        <v>2</v>
      </c>
      <c r="AK1183">
        <v>54</v>
      </c>
      <c r="AL1183" t="s">
        <v>92</v>
      </c>
      <c r="AM1183" t="s">
        <v>93</v>
      </c>
      <c r="AN1183" t="s">
        <v>94</v>
      </c>
      <c r="AO1183" t="s">
        <v>337</v>
      </c>
      <c r="AP1183" t="s">
        <v>338</v>
      </c>
      <c r="AQ1183" t="s">
        <v>74</v>
      </c>
      <c r="AR1183" t="s">
        <v>324</v>
      </c>
      <c r="AS1183" t="s">
        <v>339</v>
      </c>
      <c r="AT1183" t="s">
        <v>176</v>
      </c>
      <c r="AU1183">
        <v>2012</v>
      </c>
      <c r="AV1183">
        <v>141</v>
      </c>
      <c r="AW1183">
        <v>1</v>
      </c>
      <c r="AX1183" t="s">
        <v>74</v>
      </c>
      <c r="AY1183" t="s">
        <v>74</v>
      </c>
      <c r="AZ1183" t="s">
        <v>74</v>
      </c>
      <c r="BA1183" t="s">
        <v>74</v>
      </c>
      <c r="BB1183">
        <v>210</v>
      </c>
      <c r="BC1183">
        <v>221</v>
      </c>
      <c r="BD1183" t="s">
        <v>74</v>
      </c>
      <c r="BE1183" t="s">
        <v>19924</v>
      </c>
      <c r="BF1183" t="str">
        <f>HYPERLINK("http://dx.doi.org/10.1378/chest.11-0793","http://dx.doi.org/10.1378/chest.11-0793")</f>
        <v>http://dx.doi.org/10.1378/chest.11-0793</v>
      </c>
      <c r="BG1183" t="s">
        <v>74</v>
      </c>
      <c r="BH1183" t="s">
        <v>74</v>
      </c>
      <c r="BI1183">
        <v>12</v>
      </c>
      <c r="BJ1183" t="s">
        <v>341</v>
      </c>
      <c r="BK1183" t="s">
        <v>101</v>
      </c>
      <c r="BL1183" t="s">
        <v>342</v>
      </c>
      <c r="BM1183" t="s">
        <v>19923</v>
      </c>
      <c r="BN1183">
        <v>22215829</v>
      </c>
      <c r="BO1183" t="s">
        <v>612</v>
      </c>
      <c r="BP1183" t="s">
        <v>74</v>
      </c>
      <c r="BQ1183" t="s">
        <v>74</v>
      </c>
      <c r="BR1183" t="s">
        <v>104</v>
      </c>
      <c r="BS1183" t="s">
        <v>19922</v>
      </c>
      <c r="BT1183" t="str">
        <f>HYPERLINK("https%3A%2F%2Fwww.webofscience.com%2Fwos%2Fwoscc%2Ffull-record%2FWOS:000298941800033","View Full Record in Web of Science")</f>
        <v>View Full Record in Web of Science</v>
      </c>
    </row>
    <row r="1184" spans="1:72" x14ac:dyDescent="0.25">
      <c r="A1184" t="s">
        <v>72</v>
      </c>
      <c r="B1184" t="s">
        <v>19921</v>
      </c>
      <c r="C1184" t="s">
        <v>74</v>
      </c>
      <c r="D1184" t="s">
        <v>74</v>
      </c>
      <c r="E1184" t="s">
        <v>74</v>
      </c>
      <c r="F1184" t="s">
        <v>19920</v>
      </c>
      <c r="G1184" t="s">
        <v>74</v>
      </c>
      <c r="H1184" t="s">
        <v>74</v>
      </c>
      <c r="I1184" t="s">
        <v>19919</v>
      </c>
      <c r="J1184" t="s">
        <v>11853</v>
      </c>
      <c r="K1184" t="s">
        <v>74</v>
      </c>
      <c r="L1184" t="s">
        <v>74</v>
      </c>
      <c r="M1184" t="s">
        <v>78</v>
      </c>
      <c r="N1184" t="s">
        <v>79</v>
      </c>
      <c r="O1184" t="s">
        <v>74</v>
      </c>
      <c r="P1184" t="s">
        <v>74</v>
      </c>
      <c r="Q1184" t="s">
        <v>74</v>
      </c>
      <c r="R1184" t="s">
        <v>74</v>
      </c>
      <c r="S1184" t="s">
        <v>74</v>
      </c>
      <c r="T1184" t="s">
        <v>19918</v>
      </c>
      <c r="U1184" t="s">
        <v>19917</v>
      </c>
      <c r="V1184" t="s">
        <v>19916</v>
      </c>
      <c r="W1184" t="s">
        <v>19915</v>
      </c>
      <c r="X1184" t="s">
        <v>19914</v>
      </c>
      <c r="Y1184" t="s">
        <v>19913</v>
      </c>
      <c r="Z1184" t="s">
        <v>19912</v>
      </c>
      <c r="AA1184" t="s">
        <v>19911</v>
      </c>
      <c r="AB1184" t="s">
        <v>19910</v>
      </c>
      <c r="AC1184" t="s">
        <v>19909</v>
      </c>
      <c r="AD1184" t="s">
        <v>19908</v>
      </c>
      <c r="AE1184" t="s">
        <v>19907</v>
      </c>
      <c r="AF1184" t="s">
        <v>74</v>
      </c>
      <c r="AG1184">
        <v>17</v>
      </c>
      <c r="AH1184">
        <v>132</v>
      </c>
      <c r="AI1184">
        <v>150</v>
      </c>
      <c r="AJ1184">
        <v>1</v>
      </c>
      <c r="AK1184">
        <v>10</v>
      </c>
      <c r="AL1184" t="s">
        <v>10904</v>
      </c>
      <c r="AM1184" t="s">
        <v>17736</v>
      </c>
      <c r="AN1184" t="s">
        <v>17735</v>
      </c>
      <c r="AO1184" t="s">
        <v>11866</v>
      </c>
      <c r="AP1184" t="s">
        <v>74</v>
      </c>
      <c r="AQ1184" t="s">
        <v>74</v>
      </c>
      <c r="AR1184" t="s">
        <v>11868</v>
      </c>
      <c r="AS1184" t="s">
        <v>11869</v>
      </c>
      <c r="AT1184" t="s">
        <v>226</v>
      </c>
      <c r="AU1184">
        <v>2011</v>
      </c>
      <c r="AV1184">
        <v>32</v>
      </c>
      <c r="AW1184">
        <v>12</v>
      </c>
      <c r="AX1184" t="s">
        <v>74</v>
      </c>
      <c r="AY1184" t="s">
        <v>74</v>
      </c>
      <c r="AZ1184" t="s">
        <v>74</v>
      </c>
      <c r="BA1184" t="s">
        <v>74</v>
      </c>
      <c r="BB1184">
        <v>1385</v>
      </c>
      <c r="BC1184">
        <v>1389</v>
      </c>
      <c r="BD1184" t="s">
        <v>74</v>
      </c>
      <c r="BE1184" t="s">
        <v>19906</v>
      </c>
      <c r="BF1184" t="str">
        <f>HYPERLINK("http://dx.doi.org/10.1002/humu.21605","http://dx.doi.org/10.1002/humu.21605")</f>
        <v>http://dx.doi.org/10.1002/humu.21605</v>
      </c>
      <c r="BG1184" t="s">
        <v>74</v>
      </c>
      <c r="BH1184" t="s">
        <v>74</v>
      </c>
      <c r="BI1184">
        <v>5</v>
      </c>
      <c r="BJ1184" t="s">
        <v>4407</v>
      </c>
      <c r="BK1184" t="s">
        <v>101</v>
      </c>
      <c r="BL1184" t="s">
        <v>4407</v>
      </c>
      <c r="BM1184" t="s">
        <v>19905</v>
      </c>
      <c r="BN1184">
        <v>21898662</v>
      </c>
      <c r="BO1184" t="s">
        <v>455</v>
      </c>
      <c r="BP1184" t="s">
        <v>74</v>
      </c>
      <c r="BQ1184" t="s">
        <v>74</v>
      </c>
      <c r="BR1184" t="s">
        <v>104</v>
      </c>
      <c r="BS1184" t="s">
        <v>19904</v>
      </c>
      <c r="BT1184" t="str">
        <f>HYPERLINK("https%3A%2F%2Fwww.webofscience.com%2Fwos%2Fwoscc%2Ffull-record%2FWOS:000297246800010","View Full Record in Web of Science")</f>
        <v>View Full Record in Web of Science</v>
      </c>
    </row>
    <row r="1185" spans="1:72" x14ac:dyDescent="0.25">
      <c r="A1185" t="s">
        <v>72</v>
      </c>
      <c r="B1185" t="s">
        <v>19903</v>
      </c>
      <c r="C1185" t="s">
        <v>74</v>
      </c>
      <c r="D1185" t="s">
        <v>74</v>
      </c>
      <c r="E1185" t="s">
        <v>74</v>
      </c>
      <c r="F1185" t="s">
        <v>19902</v>
      </c>
      <c r="G1185" t="s">
        <v>74</v>
      </c>
      <c r="H1185" t="s">
        <v>74</v>
      </c>
      <c r="I1185" t="s">
        <v>19901</v>
      </c>
      <c r="J1185" t="s">
        <v>251</v>
      </c>
      <c r="K1185" t="s">
        <v>74</v>
      </c>
      <c r="L1185" t="s">
        <v>74</v>
      </c>
      <c r="M1185" t="s">
        <v>78</v>
      </c>
      <c r="N1185" t="s">
        <v>52</v>
      </c>
      <c r="O1185" t="s">
        <v>74</v>
      </c>
      <c r="P1185" t="s">
        <v>74</v>
      </c>
      <c r="Q1185" t="s">
        <v>74</v>
      </c>
      <c r="R1185" t="s">
        <v>74</v>
      </c>
      <c r="S1185" t="s">
        <v>74</v>
      </c>
      <c r="T1185" t="s">
        <v>19900</v>
      </c>
      <c r="U1185" t="s">
        <v>74</v>
      </c>
      <c r="V1185" t="s">
        <v>74</v>
      </c>
      <c r="W1185" t="s">
        <v>19899</v>
      </c>
      <c r="X1185" t="s">
        <v>19898</v>
      </c>
      <c r="Y1185" t="s">
        <v>74</v>
      </c>
      <c r="Z1185" t="s">
        <v>74</v>
      </c>
      <c r="AA1185" t="s">
        <v>19897</v>
      </c>
      <c r="AB1185" t="s">
        <v>74</v>
      </c>
      <c r="AC1185" t="s">
        <v>74</v>
      </c>
      <c r="AD1185" t="s">
        <v>74</v>
      </c>
      <c r="AE1185" t="s">
        <v>74</v>
      </c>
      <c r="AF1185" t="s">
        <v>74</v>
      </c>
      <c r="AG1185">
        <v>0</v>
      </c>
      <c r="AH1185">
        <v>0</v>
      </c>
      <c r="AI1185">
        <v>0</v>
      </c>
      <c r="AJ1185">
        <v>0</v>
      </c>
      <c r="AK1185">
        <v>4</v>
      </c>
      <c r="AL1185" t="s">
        <v>122</v>
      </c>
      <c r="AM1185" t="s">
        <v>123</v>
      </c>
      <c r="AN1185" t="s">
        <v>14769</v>
      </c>
      <c r="AO1185" t="s">
        <v>258</v>
      </c>
      <c r="AP1185" t="s">
        <v>74</v>
      </c>
      <c r="AQ1185" t="s">
        <v>74</v>
      </c>
      <c r="AR1185" t="s">
        <v>251</v>
      </c>
      <c r="AS1185" t="s">
        <v>260</v>
      </c>
      <c r="AT1185" t="s">
        <v>19896</v>
      </c>
      <c r="AU1185">
        <v>2011</v>
      </c>
      <c r="AV1185">
        <v>124</v>
      </c>
      <c r="AW1185">
        <v>21</v>
      </c>
      <c r="AX1185" t="s">
        <v>74</v>
      </c>
      <c r="AY1185" t="s">
        <v>998</v>
      </c>
      <c r="AZ1185" t="s">
        <v>74</v>
      </c>
      <c r="BA1185" t="s">
        <v>19895</v>
      </c>
      <c r="BB1185" t="s">
        <v>74</v>
      </c>
      <c r="BC1185" t="s">
        <v>74</v>
      </c>
      <c r="BD1185" t="s">
        <v>74</v>
      </c>
      <c r="BE1185" t="s">
        <v>74</v>
      </c>
      <c r="BF1185" t="s">
        <v>74</v>
      </c>
      <c r="BG1185" t="s">
        <v>74</v>
      </c>
      <c r="BH1185" t="s">
        <v>74</v>
      </c>
      <c r="BI1185">
        <v>2</v>
      </c>
      <c r="BJ1185" t="s">
        <v>263</v>
      </c>
      <c r="BK1185" t="s">
        <v>101</v>
      </c>
      <c r="BL1185" t="s">
        <v>133</v>
      </c>
      <c r="BM1185" t="s">
        <v>19894</v>
      </c>
      <c r="BN1185" t="s">
        <v>74</v>
      </c>
      <c r="BO1185" t="s">
        <v>74</v>
      </c>
      <c r="BP1185" t="s">
        <v>74</v>
      </c>
      <c r="BQ1185" t="s">
        <v>74</v>
      </c>
      <c r="BR1185" t="s">
        <v>104</v>
      </c>
      <c r="BS1185" t="s">
        <v>19893</v>
      </c>
      <c r="BT1185" t="str">
        <f>HYPERLINK("https%3A%2F%2Fwww.webofscience.com%2Fwos%2Fwoscc%2Ffull-record%2FWOS:000299738702182","View Full Record in Web of Science")</f>
        <v>View Full Record in Web of Science</v>
      </c>
    </row>
    <row r="1186" spans="1:72" x14ac:dyDescent="0.25">
      <c r="A1186" t="s">
        <v>72</v>
      </c>
      <c r="B1186" t="s">
        <v>19892</v>
      </c>
      <c r="C1186" t="s">
        <v>74</v>
      </c>
      <c r="D1186" t="s">
        <v>74</v>
      </c>
      <c r="E1186" t="s">
        <v>74</v>
      </c>
      <c r="F1186" t="s">
        <v>19891</v>
      </c>
      <c r="G1186" t="s">
        <v>74</v>
      </c>
      <c r="H1186" t="s">
        <v>74</v>
      </c>
      <c r="I1186" t="s">
        <v>19890</v>
      </c>
      <c r="J1186" t="s">
        <v>15500</v>
      </c>
      <c r="K1186" t="s">
        <v>74</v>
      </c>
      <c r="L1186" t="s">
        <v>74</v>
      </c>
      <c r="M1186" t="s">
        <v>78</v>
      </c>
      <c r="N1186" t="s">
        <v>79</v>
      </c>
      <c r="O1186" t="s">
        <v>74</v>
      </c>
      <c r="P1186" t="s">
        <v>74</v>
      </c>
      <c r="Q1186" t="s">
        <v>74</v>
      </c>
      <c r="R1186" t="s">
        <v>74</v>
      </c>
      <c r="S1186" t="s">
        <v>74</v>
      </c>
      <c r="T1186" t="s">
        <v>74</v>
      </c>
      <c r="U1186" t="s">
        <v>19889</v>
      </c>
      <c r="V1186" t="s">
        <v>19888</v>
      </c>
      <c r="W1186" t="s">
        <v>19887</v>
      </c>
      <c r="X1186" t="s">
        <v>19886</v>
      </c>
      <c r="Y1186" t="s">
        <v>19465</v>
      </c>
      <c r="Z1186" t="s">
        <v>10573</v>
      </c>
      <c r="AA1186" t="s">
        <v>19885</v>
      </c>
      <c r="AB1186" t="s">
        <v>19884</v>
      </c>
      <c r="AC1186" t="s">
        <v>19883</v>
      </c>
      <c r="AD1186" t="s">
        <v>19882</v>
      </c>
      <c r="AE1186" t="s">
        <v>19881</v>
      </c>
      <c r="AF1186" t="s">
        <v>74</v>
      </c>
      <c r="AG1186">
        <v>23</v>
      </c>
      <c r="AH1186">
        <v>295</v>
      </c>
      <c r="AI1186">
        <v>308</v>
      </c>
      <c r="AJ1186">
        <v>0</v>
      </c>
      <c r="AK1186">
        <v>7</v>
      </c>
      <c r="AL1186" t="s">
        <v>169</v>
      </c>
      <c r="AM1186" t="s">
        <v>170</v>
      </c>
      <c r="AN1186" t="s">
        <v>171</v>
      </c>
      <c r="AO1186" t="s">
        <v>15491</v>
      </c>
      <c r="AP1186" t="s">
        <v>16087</v>
      </c>
      <c r="AQ1186" t="s">
        <v>74</v>
      </c>
      <c r="AR1186" t="s">
        <v>16086</v>
      </c>
      <c r="AS1186" t="s">
        <v>15489</v>
      </c>
      <c r="AT1186" t="s">
        <v>315</v>
      </c>
      <c r="AU1186">
        <v>2011</v>
      </c>
      <c r="AV1186">
        <v>63</v>
      </c>
      <c r="AW1186">
        <v>11</v>
      </c>
      <c r="AX1186" t="s">
        <v>74</v>
      </c>
      <c r="AY1186" t="s">
        <v>74</v>
      </c>
      <c r="AZ1186" t="s">
        <v>74</v>
      </c>
      <c r="BA1186" t="s">
        <v>74</v>
      </c>
      <c r="BB1186">
        <v>3522</v>
      </c>
      <c r="BC1186">
        <v>3530</v>
      </c>
      <c r="BD1186" t="s">
        <v>74</v>
      </c>
      <c r="BE1186" t="s">
        <v>19880</v>
      </c>
      <c r="BF1186" t="str">
        <f>HYPERLINK("http://dx.doi.org/10.1002/art.30541","http://dx.doi.org/10.1002/art.30541")</f>
        <v>http://dx.doi.org/10.1002/art.30541</v>
      </c>
      <c r="BG1186" t="s">
        <v>74</v>
      </c>
      <c r="BH1186" t="s">
        <v>74</v>
      </c>
      <c r="BI1186">
        <v>9</v>
      </c>
      <c r="BJ1186" t="s">
        <v>2369</v>
      </c>
      <c r="BK1186" t="s">
        <v>101</v>
      </c>
      <c r="BL1186" t="s">
        <v>2369</v>
      </c>
      <c r="BM1186" t="s">
        <v>19879</v>
      </c>
      <c r="BN1186">
        <v>21769843</v>
      </c>
      <c r="BO1186" t="s">
        <v>1194</v>
      </c>
      <c r="BP1186" t="s">
        <v>74</v>
      </c>
      <c r="BQ1186" t="s">
        <v>74</v>
      </c>
      <c r="BR1186" t="s">
        <v>104</v>
      </c>
      <c r="BS1186" t="s">
        <v>19878</v>
      </c>
      <c r="BT1186" t="str">
        <f>HYPERLINK("https%3A%2F%2Fwww.webofscience.com%2Fwos%2Fwoscc%2Ffull-record%2FWOS:000297221100039","View Full Record in Web of Science")</f>
        <v>View Full Record in Web of Science</v>
      </c>
    </row>
    <row r="1187" spans="1:72" x14ac:dyDescent="0.25">
      <c r="A1187" t="s">
        <v>72</v>
      </c>
      <c r="B1187" t="s">
        <v>18490</v>
      </c>
      <c r="C1187" t="s">
        <v>74</v>
      </c>
      <c r="D1187" t="s">
        <v>74</v>
      </c>
      <c r="E1187" t="s">
        <v>74</v>
      </c>
      <c r="F1187" t="s">
        <v>18489</v>
      </c>
      <c r="G1187" t="s">
        <v>74</v>
      </c>
      <c r="H1187" t="s">
        <v>74</v>
      </c>
      <c r="I1187" t="s">
        <v>19877</v>
      </c>
      <c r="J1187" t="s">
        <v>18486</v>
      </c>
      <c r="K1187" t="s">
        <v>74</v>
      </c>
      <c r="L1187" t="s">
        <v>74</v>
      </c>
      <c r="M1187" t="s">
        <v>78</v>
      </c>
      <c r="N1187" t="s">
        <v>79</v>
      </c>
      <c r="O1187" t="s">
        <v>74</v>
      </c>
      <c r="P1187" t="s">
        <v>74</v>
      </c>
      <c r="Q1187" t="s">
        <v>74</v>
      </c>
      <c r="R1187" t="s">
        <v>74</v>
      </c>
      <c r="S1187" t="s">
        <v>74</v>
      </c>
      <c r="T1187" t="s">
        <v>19876</v>
      </c>
      <c r="U1187" t="s">
        <v>19875</v>
      </c>
      <c r="V1187" t="s">
        <v>19874</v>
      </c>
      <c r="W1187" t="s">
        <v>19873</v>
      </c>
      <c r="X1187" t="s">
        <v>18481</v>
      </c>
      <c r="Y1187" t="s">
        <v>18480</v>
      </c>
      <c r="Z1187" t="s">
        <v>16777</v>
      </c>
      <c r="AA1187" t="s">
        <v>19872</v>
      </c>
      <c r="AB1187" t="s">
        <v>19871</v>
      </c>
      <c r="AC1187" t="s">
        <v>19870</v>
      </c>
      <c r="AD1187" t="s">
        <v>19869</v>
      </c>
      <c r="AE1187" t="s">
        <v>19868</v>
      </c>
      <c r="AF1187" t="s">
        <v>74</v>
      </c>
      <c r="AG1187">
        <v>29</v>
      </c>
      <c r="AH1187">
        <v>5</v>
      </c>
      <c r="AI1187">
        <v>5</v>
      </c>
      <c r="AJ1187">
        <v>0</v>
      </c>
      <c r="AK1187">
        <v>0</v>
      </c>
      <c r="AL1187" t="s">
        <v>18474</v>
      </c>
      <c r="AM1187" t="s">
        <v>18473</v>
      </c>
      <c r="AN1187" t="s">
        <v>18472</v>
      </c>
      <c r="AO1187" t="s">
        <v>18471</v>
      </c>
      <c r="AP1187" t="s">
        <v>74</v>
      </c>
      <c r="AQ1187" t="s">
        <v>74</v>
      </c>
      <c r="AR1187" t="s">
        <v>18469</v>
      </c>
      <c r="AS1187" t="s">
        <v>18468</v>
      </c>
      <c r="AT1187" t="s">
        <v>315</v>
      </c>
      <c r="AU1187">
        <v>2011</v>
      </c>
      <c r="AV1187">
        <v>38</v>
      </c>
      <c r="AW1187">
        <v>11</v>
      </c>
      <c r="AX1187" t="s">
        <v>74</v>
      </c>
      <c r="AY1187" t="s">
        <v>74</v>
      </c>
      <c r="AZ1187" t="s">
        <v>74</v>
      </c>
      <c r="BA1187" t="s">
        <v>74</v>
      </c>
      <c r="BB1187">
        <v>2419</v>
      </c>
      <c r="BC1187">
        <v>2427</v>
      </c>
      <c r="BD1187" t="s">
        <v>74</v>
      </c>
      <c r="BE1187" t="s">
        <v>19867</v>
      </c>
      <c r="BF1187" t="str">
        <f>HYPERLINK("http://dx.doi.org/10.3899/jrheum.110344","http://dx.doi.org/10.3899/jrheum.110344")</f>
        <v>http://dx.doi.org/10.3899/jrheum.110344</v>
      </c>
      <c r="BG1187" t="s">
        <v>74</v>
      </c>
      <c r="BH1187" t="s">
        <v>74</v>
      </c>
      <c r="BI1187">
        <v>9</v>
      </c>
      <c r="BJ1187" t="s">
        <v>2369</v>
      </c>
      <c r="BK1187" t="s">
        <v>101</v>
      </c>
      <c r="BL1187" t="s">
        <v>2369</v>
      </c>
      <c r="BM1187" t="s">
        <v>19866</v>
      </c>
      <c r="BN1187">
        <v>21965635</v>
      </c>
      <c r="BO1187" t="s">
        <v>1194</v>
      </c>
      <c r="BP1187" t="s">
        <v>74</v>
      </c>
      <c r="BQ1187" t="s">
        <v>74</v>
      </c>
      <c r="BR1187" t="s">
        <v>104</v>
      </c>
      <c r="BS1187" t="s">
        <v>19865</v>
      </c>
      <c r="BT1187" t="str">
        <f>HYPERLINK("https%3A%2F%2Fwww.webofscience.com%2Fwos%2Fwoscc%2Ffull-record%2FWOS:000297564100022","View Full Record in Web of Science")</f>
        <v>View Full Record in Web of Science</v>
      </c>
    </row>
    <row r="1188" spans="1:72" x14ac:dyDescent="0.25">
      <c r="A1188" t="s">
        <v>72</v>
      </c>
      <c r="B1188" t="s">
        <v>19864</v>
      </c>
      <c r="C1188" t="s">
        <v>74</v>
      </c>
      <c r="D1188" t="s">
        <v>74</v>
      </c>
      <c r="E1188" t="s">
        <v>74</v>
      </c>
      <c r="F1188" t="s">
        <v>19863</v>
      </c>
      <c r="G1188" t="s">
        <v>74</v>
      </c>
      <c r="H1188" t="s">
        <v>74</v>
      </c>
      <c r="I1188" t="s">
        <v>19862</v>
      </c>
      <c r="J1188" t="s">
        <v>324</v>
      </c>
      <c r="K1188" t="s">
        <v>74</v>
      </c>
      <c r="L1188" t="s">
        <v>74</v>
      </c>
      <c r="M1188" t="s">
        <v>78</v>
      </c>
      <c r="N1188" t="s">
        <v>79</v>
      </c>
      <c r="O1188" t="s">
        <v>74</v>
      </c>
      <c r="P1188" t="s">
        <v>74</v>
      </c>
      <c r="Q1188" t="s">
        <v>74</v>
      </c>
      <c r="R1188" t="s">
        <v>74</v>
      </c>
      <c r="S1188" t="s">
        <v>74</v>
      </c>
      <c r="T1188" t="s">
        <v>74</v>
      </c>
      <c r="U1188" t="s">
        <v>19861</v>
      </c>
      <c r="V1188" t="s">
        <v>19860</v>
      </c>
      <c r="W1188" t="s">
        <v>19859</v>
      </c>
      <c r="X1188" t="s">
        <v>19858</v>
      </c>
      <c r="Y1188" t="s">
        <v>19857</v>
      </c>
      <c r="Z1188" t="s">
        <v>13159</v>
      </c>
      <c r="AA1188" t="s">
        <v>19856</v>
      </c>
      <c r="AB1188" t="s">
        <v>19855</v>
      </c>
      <c r="AC1188" t="s">
        <v>19854</v>
      </c>
      <c r="AD1188" t="s">
        <v>8771</v>
      </c>
      <c r="AE1188" t="s">
        <v>19853</v>
      </c>
      <c r="AF1188" t="s">
        <v>74</v>
      </c>
      <c r="AG1188">
        <v>35</v>
      </c>
      <c r="AH1188">
        <v>75</v>
      </c>
      <c r="AI1188">
        <v>80</v>
      </c>
      <c r="AJ1188">
        <v>0</v>
      </c>
      <c r="AK1188">
        <v>7</v>
      </c>
      <c r="AL1188" t="s">
        <v>92</v>
      </c>
      <c r="AM1188" t="s">
        <v>93</v>
      </c>
      <c r="AN1188" t="s">
        <v>94</v>
      </c>
      <c r="AO1188" t="s">
        <v>337</v>
      </c>
      <c r="AP1188" t="s">
        <v>338</v>
      </c>
      <c r="AQ1188" t="s">
        <v>74</v>
      </c>
      <c r="AR1188" t="s">
        <v>324</v>
      </c>
      <c r="AS1188" t="s">
        <v>339</v>
      </c>
      <c r="AT1188" t="s">
        <v>420</v>
      </c>
      <c r="AU1188">
        <v>2011</v>
      </c>
      <c r="AV1188">
        <v>140</v>
      </c>
      <c r="AW1188">
        <v>4</v>
      </c>
      <c r="AX1188" t="s">
        <v>74</v>
      </c>
      <c r="AY1188" t="s">
        <v>74</v>
      </c>
      <c r="AZ1188" t="s">
        <v>74</v>
      </c>
      <c r="BA1188" t="s">
        <v>74</v>
      </c>
      <c r="BB1188">
        <v>1016</v>
      </c>
      <c r="BC1188">
        <v>1024</v>
      </c>
      <c r="BD1188" t="s">
        <v>74</v>
      </c>
      <c r="BE1188" t="s">
        <v>19852</v>
      </c>
      <c r="BF1188" t="str">
        <f>HYPERLINK("http://dx.doi.org/10.1378/chest.10-2473","http://dx.doi.org/10.1378/chest.10-2473")</f>
        <v>http://dx.doi.org/10.1378/chest.10-2473</v>
      </c>
      <c r="BG1188" t="s">
        <v>74</v>
      </c>
      <c r="BH1188" t="s">
        <v>74</v>
      </c>
      <c r="BI1188">
        <v>9</v>
      </c>
      <c r="BJ1188" t="s">
        <v>341</v>
      </c>
      <c r="BK1188" t="s">
        <v>101</v>
      </c>
      <c r="BL1188" t="s">
        <v>342</v>
      </c>
      <c r="BM1188" t="s">
        <v>19837</v>
      </c>
      <c r="BN1188">
        <v>21474572</v>
      </c>
      <c r="BO1188" t="s">
        <v>74</v>
      </c>
      <c r="BP1188" t="s">
        <v>74</v>
      </c>
      <c r="BQ1188" t="s">
        <v>74</v>
      </c>
      <c r="BR1188" t="s">
        <v>104</v>
      </c>
      <c r="BS1188" t="s">
        <v>19851</v>
      </c>
      <c r="BT1188" t="str">
        <f>HYPERLINK("https%3A%2F%2Fwww.webofscience.com%2Fwos%2Fwoscc%2Ffull-record%2FWOS:000295900300028","View Full Record in Web of Science")</f>
        <v>View Full Record in Web of Science</v>
      </c>
    </row>
    <row r="1189" spans="1:72" x14ac:dyDescent="0.25">
      <c r="A1189" t="s">
        <v>72</v>
      </c>
      <c r="B1189" t="s">
        <v>19850</v>
      </c>
      <c r="C1189" t="s">
        <v>74</v>
      </c>
      <c r="D1189" t="s">
        <v>74</v>
      </c>
      <c r="E1189" t="s">
        <v>74</v>
      </c>
      <c r="F1189" t="s">
        <v>19849</v>
      </c>
      <c r="G1189" t="s">
        <v>74</v>
      </c>
      <c r="H1189" t="s">
        <v>74</v>
      </c>
      <c r="I1189" t="s">
        <v>19848</v>
      </c>
      <c r="J1189" t="s">
        <v>324</v>
      </c>
      <c r="K1189" t="s">
        <v>74</v>
      </c>
      <c r="L1189" t="s">
        <v>74</v>
      </c>
      <c r="M1189" t="s">
        <v>78</v>
      </c>
      <c r="N1189" t="s">
        <v>79</v>
      </c>
      <c r="O1189" t="s">
        <v>74</v>
      </c>
      <c r="P1189" t="s">
        <v>74</v>
      </c>
      <c r="Q1189" t="s">
        <v>74</v>
      </c>
      <c r="R1189" t="s">
        <v>74</v>
      </c>
      <c r="S1189" t="s">
        <v>74</v>
      </c>
      <c r="T1189" t="s">
        <v>74</v>
      </c>
      <c r="U1189" t="s">
        <v>19847</v>
      </c>
      <c r="V1189" t="s">
        <v>19846</v>
      </c>
      <c r="W1189" t="s">
        <v>19845</v>
      </c>
      <c r="X1189" t="s">
        <v>19844</v>
      </c>
      <c r="Y1189" t="s">
        <v>19843</v>
      </c>
      <c r="Z1189" t="s">
        <v>15988</v>
      </c>
      <c r="AA1189" t="s">
        <v>18239</v>
      </c>
      <c r="AB1189" t="s">
        <v>19842</v>
      </c>
      <c r="AC1189" t="s">
        <v>19841</v>
      </c>
      <c r="AD1189" t="s">
        <v>19840</v>
      </c>
      <c r="AE1189" t="s">
        <v>19839</v>
      </c>
      <c r="AF1189" t="s">
        <v>74</v>
      </c>
      <c r="AG1189">
        <v>8</v>
      </c>
      <c r="AH1189">
        <v>5</v>
      </c>
      <c r="AI1189">
        <v>6</v>
      </c>
      <c r="AJ1189">
        <v>0</v>
      </c>
      <c r="AK1189">
        <v>1</v>
      </c>
      <c r="AL1189" t="s">
        <v>7467</v>
      </c>
      <c r="AM1189" t="s">
        <v>93</v>
      </c>
      <c r="AN1189" t="s">
        <v>7468</v>
      </c>
      <c r="AO1189" t="s">
        <v>337</v>
      </c>
      <c r="AP1189" t="s">
        <v>74</v>
      </c>
      <c r="AQ1189" t="s">
        <v>74</v>
      </c>
      <c r="AR1189" t="s">
        <v>324</v>
      </c>
      <c r="AS1189" t="s">
        <v>339</v>
      </c>
      <c r="AT1189" t="s">
        <v>420</v>
      </c>
      <c r="AU1189">
        <v>2011</v>
      </c>
      <c r="AV1189">
        <v>140</v>
      </c>
      <c r="AW1189">
        <v>4</v>
      </c>
      <c r="AX1189" t="s">
        <v>74</v>
      </c>
      <c r="AY1189" t="s">
        <v>74</v>
      </c>
      <c r="AZ1189" t="s">
        <v>74</v>
      </c>
      <c r="BA1189" t="s">
        <v>74</v>
      </c>
      <c r="BB1189">
        <v>1066</v>
      </c>
      <c r="BC1189">
        <v>1068</v>
      </c>
      <c r="BD1189" t="s">
        <v>74</v>
      </c>
      <c r="BE1189" t="s">
        <v>19838</v>
      </c>
      <c r="BF1189" t="str">
        <f>HYPERLINK("http://dx.doi.org/10.1378/chest.10-2588","http://dx.doi.org/10.1378/chest.10-2588")</f>
        <v>http://dx.doi.org/10.1378/chest.10-2588</v>
      </c>
      <c r="BG1189" t="s">
        <v>74</v>
      </c>
      <c r="BH1189" t="s">
        <v>74</v>
      </c>
      <c r="BI1189">
        <v>3</v>
      </c>
      <c r="BJ1189" t="s">
        <v>341</v>
      </c>
      <c r="BK1189" t="s">
        <v>101</v>
      </c>
      <c r="BL1189" t="s">
        <v>342</v>
      </c>
      <c r="BM1189" t="s">
        <v>19837</v>
      </c>
      <c r="BN1189">
        <v>21972386</v>
      </c>
      <c r="BO1189" t="s">
        <v>74</v>
      </c>
      <c r="BP1189" t="s">
        <v>74</v>
      </c>
      <c r="BQ1189" t="s">
        <v>74</v>
      </c>
      <c r="BR1189" t="s">
        <v>104</v>
      </c>
      <c r="BS1189" t="s">
        <v>19836</v>
      </c>
      <c r="BT1189" t="str">
        <f>HYPERLINK("https%3A%2F%2Fwww.webofscience.com%2Fwos%2Fwoscc%2Ffull-record%2FWOS:000295900300035","View Full Record in Web of Science")</f>
        <v>View Full Record in Web of Science</v>
      </c>
    </row>
    <row r="1190" spans="1:72" x14ac:dyDescent="0.25">
      <c r="A1190" t="s">
        <v>72</v>
      </c>
      <c r="B1190" t="s">
        <v>19835</v>
      </c>
      <c r="C1190" t="s">
        <v>74</v>
      </c>
      <c r="D1190" t="s">
        <v>74</v>
      </c>
      <c r="E1190" t="s">
        <v>74</v>
      </c>
      <c r="F1190" t="s">
        <v>19834</v>
      </c>
      <c r="G1190" t="s">
        <v>74</v>
      </c>
      <c r="H1190" t="s">
        <v>74</v>
      </c>
      <c r="I1190" t="s">
        <v>19833</v>
      </c>
      <c r="J1190" t="s">
        <v>1843</v>
      </c>
      <c r="K1190" t="s">
        <v>74</v>
      </c>
      <c r="L1190" t="s">
        <v>74</v>
      </c>
      <c r="M1190" t="s">
        <v>78</v>
      </c>
      <c r="N1190" t="s">
        <v>79</v>
      </c>
      <c r="O1190" t="s">
        <v>74</v>
      </c>
      <c r="P1190" t="s">
        <v>74</v>
      </c>
      <c r="Q1190" t="s">
        <v>74</v>
      </c>
      <c r="R1190" t="s">
        <v>74</v>
      </c>
      <c r="S1190" t="s">
        <v>74</v>
      </c>
      <c r="T1190" t="s">
        <v>74</v>
      </c>
      <c r="U1190" t="s">
        <v>19832</v>
      </c>
      <c r="V1190" t="s">
        <v>19831</v>
      </c>
      <c r="W1190" t="s">
        <v>19830</v>
      </c>
      <c r="X1190" t="s">
        <v>19829</v>
      </c>
      <c r="Y1190" t="s">
        <v>19828</v>
      </c>
      <c r="Z1190" t="s">
        <v>8881</v>
      </c>
      <c r="AA1190" t="s">
        <v>19827</v>
      </c>
      <c r="AB1190" t="s">
        <v>19826</v>
      </c>
      <c r="AC1190" t="s">
        <v>74</v>
      </c>
      <c r="AD1190" t="s">
        <v>74</v>
      </c>
      <c r="AE1190" t="s">
        <v>74</v>
      </c>
      <c r="AF1190" t="s">
        <v>74</v>
      </c>
      <c r="AG1190">
        <v>67</v>
      </c>
      <c r="AH1190">
        <v>61</v>
      </c>
      <c r="AI1190">
        <v>65</v>
      </c>
      <c r="AJ1190">
        <v>1</v>
      </c>
      <c r="AK1190">
        <v>12</v>
      </c>
      <c r="AL1190" t="s">
        <v>1854</v>
      </c>
      <c r="AM1190" t="s">
        <v>201</v>
      </c>
      <c r="AN1190" t="s">
        <v>1855</v>
      </c>
      <c r="AO1190" t="s">
        <v>74</v>
      </c>
      <c r="AP1190" t="s">
        <v>1856</v>
      </c>
      <c r="AQ1190" t="s">
        <v>74</v>
      </c>
      <c r="AR1190" t="s">
        <v>1857</v>
      </c>
      <c r="AS1190" t="s">
        <v>1858</v>
      </c>
      <c r="AT1190" t="s">
        <v>1550</v>
      </c>
      <c r="AU1190">
        <v>2011</v>
      </c>
      <c r="AV1190">
        <v>12</v>
      </c>
      <c r="AW1190" t="s">
        <v>74</v>
      </c>
      <c r="AX1190" t="s">
        <v>74</v>
      </c>
      <c r="AY1190" t="s">
        <v>74</v>
      </c>
      <c r="AZ1190" t="s">
        <v>74</v>
      </c>
      <c r="BA1190" t="s">
        <v>74</v>
      </c>
      <c r="BB1190" t="s">
        <v>74</v>
      </c>
      <c r="BC1190" t="s">
        <v>74</v>
      </c>
      <c r="BD1190">
        <v>119</v>
      </c>
      <c r="BE1190" t="s">
        <v>19825</v>
      </c>
      <c r="BF1190" t="str">
        <f>HYPERLINK("http://dx.doi.org/10.1186/1465-9921-12-119","http://dx.doi.org/10.1186/1465-9921-12-119")</f>
        <v>http://dx.doi.org/10.1186/1465-9921-12-119</v>
      </c>
      <c r="BG1190" t="s">
        <v>74</v>
      </c>
      <c r="BH1190" t="s">
        <v>74</v>
      </c>
      <c r="BI1190">
        <v>16</v>
      </c>
      <c r="BJ1190" t="s">
        <v>228</v>
      </c>
      <c r="BK1190" t="s">
        <v>101</v>
      </c>
      <c r="BL1190" t="s">
        <v>228</v>
      </c>
      <c r="BM1190" t="s">
        <v>19824</v>
      </c>
      <c r="BN1190">
        <v>21906276</v>
      </c>
      <c r="BO1190" t="s">
        <v>809</v>
      </c>
      <c r="BP1190" t="s">
        <v>74</v>
      </c>
      <c r="BQ1190" t="s">
        <v>74</v>
      </c>
      <c r="BR1190" t="s">
        <v>104</v>
      </c>
      <c r="BS1190" t="s">
        <v>19823</v>
      </c>
      <c r="BT1190" t="str">
        <f>HYPERLINK("https%3A%2F%2Fwww.webofscience.com%2Fwos%2Fwoscc%2Ffull-record%2FWOS:000295839400001","View Full Record in Web of Science")</f>
        <v>View Full Record in Web of Science</v>
      </c>
    </row>
    <row r="1191" spans="1:72" x14ac:dyDescent="0.25">
      <c r="A1191" t="s">
        <v>72</v>
      </c>
      <c r="B1191" t="s">
        <v>19822</v>
      </c>
      <c r="C1191" t="s">
        <v>74</v>
      </c>
      <c r="D1191" t="s">
        <v>74</v>
      </c>
      <c r="E1191" t="s">
        <v>74</v>
      </c>
      <c r="F1191" t="s">
        <v>19821</v>
      </c>
      <c r="G1191" t="s">
        <v>74</v>
      </c>
      <c r="H1191" t="s">
        <v>74</v>
      </c>
      <c r="I1191" t="s">
        <v>19820</v>
      </c>
      <c r="J1191" t="s">
        <v>216</v>
      </c>
      <c r="K1191" t="s">
        <v>74</v>
      </c>
      <c r="L1191" t="s">
        <v>74</v>
      </c>
      <c r="M1191" t="s">
        <v>78</v>
      </c>
      <c r="N1191" t="s">
        <v>140</v>
      </c>
      <c r="O1191" t="s">
        <v>74</v>
      </c>
      <c r="P1191" t="s">
        <v>74</v>
      </c>
      <c r="Q1191" t="s">
        <v>74</v>
      </c>
      <c r="R1191" t="s">
        <v>74</v>
      </c>
      <c r="S1191" t="s">
        <v>74</v>
      </c>
      <c r="T1191" t="s">
        <v>74</v>
      </c>
      <c r="U1191" t="s">
        <v>19819</v>
      </c>
      <c r="V1191" t="s">
        <v>74</v>
      </c>
      <c r="W1191" t="s">
        <v>19818</v>
      </c>
      <c r="X1191" t="s">
        <v>19817</v>
      </c>
      <c r="Y1191" t="s">
        <v>17620</v>
      </c>
      <c r="Z1191" t="s">
        <v>10573</v>
      </c>
      <c r="AA1191" t="s">
        <v>19816</v>
      </c>
      <c r="AB1191" t="s">
        <v>15287</v>
      </c>
      <c r="AC1191" t="s">
        <v>74</v>
      </c>
      <c r="AD1191" t="s">
        <v>74</v>
      </c>
      <c r="AE1191" t="s">
        <v>74</v>
      </c>
      <c r="AF1191" t="s">
        <v>74</v>
      </c>
      <c r="AG1191">
        <v>30</v>
      </c>
      <c r="AH1191">
        <v>6</v>
      </c>
      <c r="AI1191">
        <v>7</v>
      </c>
      <c r="AJ1191">
        <v>0</v>
      </c>
      <c r="AK1191">
        <v>2</v>
      </c>
      <c r="AL1191" t="s">
        <v>219</v>
      </c>
      <c r="AM1191" t="s">
        <v>220</v>
      </c>
      <c r="AN1191" t="s">
        <v>221</v>
      </c>
      <c r="AO1191" t="s">
        <v>222</v>
      </c>
      <c r="AP1191" t="s">
        <v>223</v>
      </c>
      <c r="AQ1191" t="s">
        <v>74</v>
      </c>
      <c r="AR1191" t="s">
        <v>224</v>
      </c>
      <c r="AS1191" t="s">
        <v>225</v>
      </c>
      <c r="AT1191" t="s">
        <v>492</v>
      </c>
      <c r="AU1191">
        <v>2011</v>
      </c>
      <c r="AV1191">
        <v>38</v>
      </c>
      <c r="AW1191">
        <v>3</v>
      </c>
      <c r="AX1191" t="s">
        <v>74</v>
      </c>
      <c r="AY1191" t="s">
        <v>74</v>
      </c>
      <c r="AZ1191" t="s">
        <v>74</v>
      </c>
      <c r="BA1191" t="s">
        <v>74</v>
      </c>
      <c r="BB1191">
        <v>510</v>
      </c>
      <c r="BC1191">
        <v>511</v>
      </c>
      <c r="BD1191" t="s">
        <v>74</v>
      </c>
      <c r="BE1191" t="s">
        <v>19815</v>
      </c>
      <c r="BF1191" t="str">
        <f>HYPERLINK("http://dx.doi.org/10.1183/09031936.00075211","http://dx.doi.org/10.1183/09031936.00075211")</f>
        <v>http://dx.doi.org/10.1183/09031936.00075211</v>
      </c>
      <c r="BG1191" t="s">
        <v>74</v>
      </c>
      <c r="BH1191" t="s">
        <v>74</v>
      </c>
      <c r="BI1191">
        <v>2</v>
      </c>
      <c r="BJ1191" t="s">
        <v>228</v>
      </c>
      <c r="BK1191" t="s">
        <v>101</v>
      </c>
      <c r="BL1191" t="s">
        <v>228</v>
      </c>
      <c r="BM1191" t="s">
        <v>19785</v>
      </c>
      <c r="BN1191">
        <v>21885414</v>
      </c>
      <c r="BO1191" t="s">
        <v>1194</v>
      </c>
      <c r="BP1191" t="s">
        <v>74</v>
      </c>
      <c r="BQ1191" t="s">
        <v>74</v>
      </c>
      <c r="BR1191" t="s">
        <v>104</v>
      </c>
      <c r="BS1191" t="s">
        <v>19814</v>
      </c>
      <c r="BT1191" t="str">
        <f>HYPERLINK("https%3A%2F%2Fwww.webofscience.com%2Fwos%2Fwoscc%2Ffull-record%2FWOS:000294458300007","View Full Record in Web of Science")</f>
        <v>View Full Record in Web of Science</v>
      </c>
    </row>
    <row r="1192" spans="1:72" x14ac:dyDescent="0.25">
      <c r="A1192" t="s">
        <v>72</v>
      </c>
      <c r="B1192" t="s">
        <v>19813</v>
      </c>
      <c r="C1192" t="s">
        <v>74</v>
      </c>
      <c r="D1192" t="s">
        <v>74</v>
      </c>
      <c r="E1192" t="s">
        <v>74</v>
      </c>
      <c r="F1192" t="s">
        <v>19812</v>
      </c>
      <c r="G1192" t="s">
        <v>74</v>
      </c>
      <c r="H1192" t="s">
        <v>74</v>
      </c>
      <c r="I1192" t="s">
        <v>19811</v>
      </c>
      <c r="J1192" t="s">
        <v>9656</v>
      </c>
      <c r="K1192" t="s">
        <v>74</v>
      </c>
      <c r="L1192" t="s">
        <v>74</v>
      </c>
      <c r="M1192" t="s">
        <v>78</v>
      </c>
      <c r="N1192" t="s">
        <v>299</v>
      </c>
      <c r="O1192" t="s">
        <v>74</v>
      </c>
      <c r="P1192" t="s">
        <v>74</v>
      </c>
      <c r="Q1192" t="s">
        <v>74</v>
      </c>
      <c r="R1192" t="s">
        <v>74</v>
      </c>
      <c r="S1192" t="s">
        <v>74</v>
      </c>
      <c r="T1192" t="s">
        <v>74</v>
      </c>
      <c r="U1192" t="s">
        <v>19810</v>
      </c>
      <c r="V1192" t="s">
        <v>19809</v>
      </c>
      <c r="W1192" t="s">
        <v>19808</v>
      </c>
      <c r="X1192" t="s">
        <v>18598</v>
      </c>
      <c r="Y1192" t="s">
        <v>19807</v>
      </c>
      <c r="Z1192" t="s">
        <v>10573</v>
      </c>
      <c r="AA1192" t="s">
        <v>19806</v>
      </c>
      <c r="AB1192" t="s">
        <v>19805</v>
      </c>
      <c r="AC1192" t="s">
        <v>74</v>
      </c>
      <c r="AD1192" t="s">
        <v>74</v>
      </c>
      <c r="AE1192" t="s">
        <v>74</v>
      </c>
      <c r="AF1192" t="s">
        <v>74</v>
      </c>
      <c r="AG1192">
        <v>133</v>
      </c>
      <c r="AH1192">
        <v>113</v>
      </c>
      <c r="AI1192">
        <v>130</v>
      </c>
      <c r="AJ1192">
        <v>0</v>
      </c>
      <c r="AK1192">
        <v>22</v>
      </c>
      <c r="AL1192" t="s">
        <v>7501</v>
      </c>
      <c r="AM1192" t="s">
        <v>486</v>
      </c>
      <c r="AN1192" t="s">
        <v>9667</v>
      </c>
      <c r="AO1192" t="s">
        <v>9668</v>
      </c>
      <c r="AP1192" t="s">
        <v>9669</v>
      </c>
      <c r="AQ1192" t="s">
        <v>74</v>
      </c>
      <c r="AR1192" t="s">
        <v>9670</v>
      </c>
      <c r="AS1192" t="s">
        <v>9671</v>
      </c>
      <c r="AT1192" t="s">
        <v>492</v>
      </c>
      <c r="AU1192">
        <v>2011</v>
      </c>
      <c r="AV1192">
        <v>8</v>
      </c>
      <c r="AW1192">
        <v>9</v>
      </c>
      <c r="AX1192" t="s">
        <v>74</v>
      </c>
      <c r="AY1192" t="s">
        <v>74</v>
      </c>
      <c r="AZ1192" t="s">
        <v>74</v>
      </c>
      <c r="BA1192" t="s">
        <v>74</v>
      </c>
      <c r="BB1192">
        <v>526</v>
      </c>
      <c r="BC1192">
        <v>538</v>
      </c>
      <c r="BD1192" t="s">
        <v>74</v>
      </c>
      <c r="BE1192" t="s">
        <v>19804</v>
      </c>
      <c r="BF1192" t="str">
        <f>HYPERLINK("http://dx.doi.org/10.1038/nrcardio.2011.104","http://dx.doi.org/10.1038/nrcardio.2011.104")</f>
        <v>http://dx.doi.org/10.1038/nrcardio.2011.104</v>
      </c>
      <c r="BG1192" t="s">
        <v>74</v>
      </c>
      <c r="BH1192" t="s">
        <v>74</v>
      </c>
      <c r="BI1192">
        <v>13</v>
      </c>
      <c r="BJ1192" t="s">
        <v>132</v>
      </c>
      <c r="BK1192" t="s">
        <v>101</v>
      </c>
      <c r="BL1192" t="s">
        <v>133</v>
      </c>
      <c r="BM1192" t="s">
        <v>19803</v>
      </c>
      <c r="BN1192">
        <v>21769113</v>
      </c>
      <c r="BO1192" t="s">
        <v>74</v>
      </c>
      <c r="BP1192" t="s">
        <v>74</v>
      </c>
      <c r="BQ1192" t="s">
        <v>74</v>
      </c>
      <c r="BR1192" t="s">
        <v>104</v>
      </c>
      <c r="BS1192" t="s">
        <v>19802</v>
      </c>
      <c r="BT1192" t="str">
        <f>HYPERLINK("https%3A%2F%2Fwww.webofscience.com%2Fwos%2Fwoscc%2Ffull-record%2FWOS:000294202200006","View Full Record in Web of Science")</f>
        <v>View Full Record in Web of Science</v>
      </c>
    </row>
    <row r="1193" spans="1:72" x14ac:dyDescent="0.25">
      <c r="A1193" t="s">
        <v>72</v>
      </c>
      <c r="B1193" t="s">
        <v>19801</v>
      </c>
      <c r="C1193" t="s">
        <v>74</v>
      </c>
      <c r="D1193" t="s">
        <v>74</v>
      </c>
      <c r="E1193" t="s">
        <v>74</v>
      </c>
      <c r="F1193" t="s">
        <v>19800</v>
      </c>
      <c r="G1193" t="s">
        <v>74</v>
      </c>
      <c r="H1193" t="s">
        <v>74</v>
      </c>
      <c r="I1193" t="s">
        <v>19799</v>
      </c>
      <c r="J1193" t="s">
        <v>216</v>
      </c>
      <c r="K1193" t="s">
        <v>74</v>
      </c>
      <c r="L1193" t="s">
        <v>74</v>
      </c>
      <c r="M1193" t="s">
        <v>78</v>
      </c>
      <c r="N1193" t="s">
        <v>79</v>
      </c>
      <c r="O1193" t="s">
        <v>74</v>
      </c>
      <c r="P1193" t="s">
        <v>74</v>
      </c>
      <c r="Q1193" t="s">
        <v>74</v>
      </c>
      <c r="R1193" t="s">
        <v>74</v>
      </c>
      <c r="S1193" t="s">
        <v>74</v>
      </c>
      <c r="T1193" t="s">
        <v>19798</v>
      </c>
      <c r="U1193" t="s">
        <v>19797</v>
      </c>
      <c r="V1193" t="s">
        <v>19796</v>
      </c>
      <c r="W1193" t="s">
        <v>19795</v>
      </c>
      <c r="X1193" t="s">
        <v>19794</v>
      </c>
      <c r="Y1193" t="s">
        <v>19793</v>
      </c>
      <c r="Z1193" t="s">
        <v>19792</v>
      </c>
      <c r="AA1193" t="s">
        <v>19791</v>
      </c>
      <c r="AB1193" t="s">
        <v>19790</v>
      </c>
      <c r="AC1193" t="s">
        <v>19789</v>
      </c>
      <c r="AD1193" t="s">
        <v>19788</v>
      </c>
      <c r="AE1193" t="s">
        <v>19787</v>
      </c>
      <c r="AF1193" t="s">
        <v>74</v>
      </c>
      <c r="AG1193">
        <v>45</v>
      </c>
      <c r="AH1193">
        <v>30</v>
      </c>
      <c r="AI1193">
        <v>32</v>
      </c>
      <c r="AJ1193">
        <v>0</v>
      </c>
      <c r="AK1193">
        <v>2</v>
      </c>
      <c r="AL1193" t="s">
        <v>219</v>
      </c>
      <c r="AM1193" t="s">
        <v>220</v>
      </c>
      <c r="AN1193" t="s">
        <v>221</v>
      </c>
      <c r="AO1193" t="s">
        <v>222</v>
      </c>
      <c r="AP1193" t="s">
        <v>223</v>
      </c>
      <c r="AQ1193" t="s">
        <v>74</v>
      </c>
      <c r="AR1193" t="s">
        <v>224</v>
      </c>
      <c r="AS1193" t="s">
        <v>225</v>
      </c>
      <c r="AT1193" t="s">
        <v>492</v>
      </c>
      <c r="AU1193">
        <v>2011</v>
      </c>
      <c r="AV1193">
        <v>38</v>
      </c>
      <c r="AW1193">
        <v>3</v>
      </c>
      <c r="AX1193" t="s">
        <v>74</v>
      </c>
      <c r="AY1193" t="s">
        <v>74</v>
      </c>
      <c r="AZ1193" t="s">
        <v>74</v>
      </c>
      <c r="BA1193" t="s">
        <v>74</v>
      </c>
      <c r="BB1193">
        <v>584</v>
      </c>
      <c r="BC1193">
        <v>593</v>
      </c>
      <c r="BD1193" t="s">
        <v>74</v>
      </c>
      <c r="BE1193" t="s">
        <v>19786</v>
      </c>
      <c r="BF1193" t="str">
        <f>HYPERLINK("http://dx.doi.org/10.1183/09031936.00186510","http://dx.doi.org/10.1183/09031936.00186510")</f>
        <v>http://dx.doi.org/10.1183/09031936.00186510</v>
      </c>
      <c r="BG1193" t="s">
        <v>74</v>
      </c>
      <c r="BH1193" t="s">
        <v>74</v>
      </c>
      <c r="BI1193">
        <v>10</v>
      </c>
      <c r="BJ1193" t="s">
        <v>228</v>
      </c>
      <c r="BK1193" t="s">
        <v>101</v>
      </c>
      <c r="BL1193" t="s">
        <v>228</v>
      </c>
      <c r="BM1193" t="s">
        <v>19785</v>
      </c>
      <c r="BN1193">
        <v>21406510</v>
      </c>
      <c r="BO1193" t="s">
        <v>74</v>
      </c>
      <c r="BP1193" t="s">
        <v>74</v>
      </c>
      <c r="BQ1193" t="s">
        <v>74</v>
      </c>
      <c r="BR1193" t="s">
        <v>104</v>
      </c>
      <c r="BS1193" t="s">
        <v>19784</v>
      </c>
      <c r="BT1193" t="str">
        <f>HYPERLINK("https%3A%2F%2Fwww.webofscience.com%2Fwos%2Fwoscc%2Ffull-record%2FWOS:000294458300018","View Full Record in Web of Science")</f>
        <v>View Full Record in Web of Science</v>
      </c>
    </row>
    <row r="1194" spans="1:72" x14ac:dyDescent="0.25">
      <c r="A1194" t="s">
        <v>72</v>
      </c>
      <c r="B1194" t="s">
        <v>19387</v>
      </c>
      <c r="C1194" t="s">
        <v>74</v>
      </c>
      <c r="D1194" t="s">
        <v>74</v>
      </c>
      <c r="E1194" t="s">
        <v>74</v>
      </c>
      <c r="F1194" t="s">
        <v>19386</v>
      </c>
      <c r="G1194" t="s">
        <v>74</v>
      </c>
      <c r="H1194" t="s">
        <v>74</v>
      </c>
      <c r="I1194" t="s">
        <v>19385</v>
      </c>
      <c r="J1194" t="s">
        <v>1068</v>
      </c>
      <c r="K1194" t="s">
        <v>74</v>
      </c>
      <c r="L1194" t="s">
        <v>74</v>
      </c>
      <c r="M1194" t="s">
        <v>78</v>
      </c>
      <c r="N1194" t="s">
        <v>52</v>
      </c>
      <c r="O1194" t="s">
        <v>74</v>
      </c>
      <c r="P1194" t="s">
        <v>74</v>
      </c>
      <c r="Q1194" t="s">
        <v>74</v>
      </c>
      <c r="R1194" t="s">
        <v>74</v>
      </c>
      <c r="S1194" t="s">
        <v>74</v>
      </c>
      <c r="T1194" t="s">
        <v>74</v>
      </c>
      <c r="U1194" t="s">
        <v>74</v>
      </c>
      <c r="V1194" t="s">
        <v>74</v>
      </c>
      <c r="W1194" t="s">
        <v>19384</v>
      </c>
      <c r="X1194" t="s">
        <v>19383</v>
      </c>
      <c r="Y1194" t="s">
        <v>74</v>
      </c>
      <c r="Z1194" t="s">
        <v>74</v>
      </c>
      <c r="AA1194" t="s">
        <v>19382</v>
      </c>
      <c r="AB1194" t="s">
        <v>74</v>
      </c>
      <c r="AC1194" t="s">
        <v>74</v>
      </c>
      <c r="AD1194" t="s">
        <v>74</v>
      </c>
      <c r="AE1194" t="s">
        <v>74</v>
      </c>
      <c r="AF1194" t="s">
        <v>74</v>
      </c>
      <c r="AG1194">
        <v>0</v>
      </c>
      <c r="AH1194">
        <v>0</v>
      </c>
      <c r="AI1194">
        <v>0</v>
      </c>
      <c r="AJ1194">
        <v>0</v>
      </c>
      <c r="AK1194">
        <v>2</v>
      </c>
      <c r="AL1194" t="s">
        <v>1073</v>
      </c>
      <c r="AM1194" t="s">
        <v>1074</v>
      </c>
      <c r="AN1194" t="s">
        <v>1075</v>
      </c>
      <c r="AO1194" t="s">
        <v>1076</v>
      </c>
      <c r="AP1194" t="s">
        <v>74</v>
      </c>
      <c r="AQ1194" t="s">
        <v>74</v>
      </c>
      <c r="AR1194" t="s">
        <v>1078</v>
      </c>
      <c r="AS1194" t="s">
        <v>1079</v>
      </c>
      <c r="AT1194" t="s">
        <v>725</v>
      </c>
      <c r="AU1194">
        <v>2011</v>
      </c>
      <c r="AV1194">
        <v>32</v>
      </c>
      <c r="AW1194" t="s">
        <v>74</v>
      </c>
      <c r="AX1194" t="s">
        <v>74</v>
      </c>
      <c r="AY1194">
        <v>1</v>
      </c>
      <c r="AZ1194" t="s">
        <v>74</v>
      </c>
      <c r="BA1194" t="s">
        <v>74</v>
      </c>
      <c r="BB1194">
        <v>650</v>
      </c>
      <c r="BC1194">
        <v>650</v>
      </c>
      <c r="BD1194" t="s">
        <v>74</v>
      </c>
      <c r="BE1194" t="s">
        <v>74</v>
      </c>
      <c r="BF1194" t="s">
        <v>74</v>
      </c>
      <c r="BG1194" t="s">
        <v>74</v>
      </c>
      <c r="BH1194" t="s">
        <v>74</v>
      </c>
      <c r="BI1194">
        <v>1</v>
      </c>
      <c r="BJ1194" t="s">
        <v>132</v>
      </c>
      <c r="BK1194" t="s">
        <v>101</v>
      </c>
      <c r="BL1194" t="s">
        <v>133</v>
      </c>
      <c r="BM1194" t="s">
        <v>19722</v>
      </c>
      <c r="BN1194" t="s">
        <v>74</v>
      </c>
      <c r="BO1194" t="s">
        <v>74</v>
      </c>
      <c r="BP1194" t="s">
        <v>74</v>
      </c>
      <c r="BQ1194" t="s">
        <v>74</v>
      </c>
      <c r="BR1194" t="s">
        <v>104</v>
      </c>
      <c r="BS1194" t="s">
        <v>19783</v>
      </c>
      <c r="BT1194" t="str">
        <f>HYPERLINK("https%3A%2F%2Fwww.webofscience.com%2Fwos%2Fwoscc%2Ffull-record%2FWOS:000208702705058","View Full Record in Web of Science")</f>
        <v>View Full Record in Web of Science</v>
      </c>
    </row>
    <row r="1195" spans="1:72" x14ac:dyDescent="0.25">
      <c r="A1195" t="s">
        <v>72</v>
      </c>
      <c r="B1195" t="s">
        <v>19782</v>
      </c>
      <c r="C1195" t="s">
        <v>74</v>
      </c>
      <c r="D1195" t="s">
        <v>74</v>
      </c>
      <c r="E1195" t="s">
        <v>74</v>
      </c>
      <c r="F1195" t="s">
        <v>19781</v>
      </c>
      <c r="G1195" t="s">
        <v>74</v>
      </c>
      <c r="H1195" t="s">
        <v>74</v>
      </c>
      <c r="I1195" t="s">
        <v>19780</v>
      </c>
      <c r="J1195" t="s">
        <v>1068</v>
      </c>
      <c r="K1195" t="s">
        <v>74</v>
      </c>
      <c r="L1195" t="s">
        <v>74</v>
      </c>
      <c r="M1195" t="s">
        <v>78</v>
      </c>
      <c r="N1195" t="s">
        <v>52</v>
      </c>
      <c r="O1195" t="s">
        <v>74</v>
      </c>
      <c r="P1195" t="s">
        <v>74</v>
      </c>
      <c r="Q1195" t="s">
        <v>74</v>
      </c>
      <c r="R1195" t="s">
        <v>74</v>
      </c>
      <c r="S1195" t="s">
        <v>74</v>
      </c>
      <c r="T1195" t="s">
        <v>74</v>
      </c>
      <c r="U1195" t="s">
        <v>74</v>
      </c>
      <c r="V1195" t="s">
        <v>74</v>
      </c>
      <c r="W1195" t="s">
        <v>19779</v>
      </c>
      <c r="X1195" t="s">
        <v>19778</v>
      </c>
      <c r="Y1195" t="s">
        <v>74</v>
      </c>
      <c r="Z1195" t="s">
        <v>74</v>
      </c>
      <c r="AA1195" t="s">
        <v>19777</v>
      </c>
      <c r="AB1195" t="s">
        <v>74</v>
      </c>
      <c r="AC1195" t="s">
        <v>74</v>
      </c>
      <c r="AD1195" t="s">
        <v>74</v>
      </c>
      <c r="AE1195" t="s">
        <v>74</v>
      </c>
      <c r="AF1195" t="s">
        <v>74</v>
      </c>
      <c r="AG1195">
        <v>0</v>
      </c>
      <c r="AH1195">
        <v>0</v>
      </c>
      <c r="AI1195">
        <v>0</v>
      </c>
      <c r="AJ1195">
        <v>0</v>
      </c>
      <c r="AK1195">
        <v>1</v>
      </c>
      <c r="AL1195" t="s">
        <v>1073</v>
      </c>
      <c r="AM1195" t="s">
        <v>1074</v>
      </c>
      <c r="AN1195" t="s">
        <v>1075</v>
      </c>
      <c r="AO1195" t="s">
        <v>1076</v>
      </c>
      <c r="AP1195" t="s">
        <v>74</v>
      </c>
      <c r="AQ1195" t="s">
        <v>74</v>
      </c>
      <c r="AR1195" t="s">
        <v>1078</v>
      </c>
      <c r="AS1195" t="s">
        <v>1079</v>
      </c>
      <c r="AT1195" t="s">
        <v>725</v>
      </c>
      <c r="AU1195">
        <v>2011</v>
      </c>
      <c r="AV1195">
        <v>32</v>
      </c>
      <c r="AW1195" t="s">
        <v>74</v>
      </c>
      <c r="AX1195" t="s">
        <v>74</v>
      </c>
      <c r="AY1195">
        <v>1</v>
      </c>
      <c r="AZ1195" t="s">
        <v>74</v>
      </c>
      <c r="BA1195" t="s">
        <v>74</v>
      </c>
      <c r="BB1195">
        <v>172</v>
      </c>
      <c r="BC1195">
        <v>173</v>
      </c>
      <c r="BD1195" t="s">
        <v>74</v>
      </c>
      <c r="BE1195" t="s">
        <v>74</v>
      </c>
      <c r="BF1195" t="s">
        <v>74</v>
      </c>
      <c r="BG1195" t="s">
        <v>74</v>
      </c>
      <c r="BH1195" t="s">
        <v>74</v>
      </c>
      <c r="BI1195">
        <v>2</v>
      </c>
      <c r="BJ1195" t="s">
        <v>132</v>
      </c>
      <c r="BK1195" t="s">
        <v>101</v>
      </c>
      <c r="BL1195" t="s">
        <v>133</v>
      </c>
      <c r="BM1195" t="s">
        <v>19722</v>
      </c>
      <c r="BN1195" t="s">
        <v>74</v>
      </c>
      <c r="BO1195" t="s">
        <v>74</v>
      </c>
      <c r="BP1195" t="s">
        <v>74</v>
      </c>
      <c r="BQ1195" t="s">
        <v>74</v>
      </c>
      <c r="BR1195" t="s">
        <v>104</v>
      </c>
      <c r="BS1195" t="s">
        <v>19776</v>
      </c>
      <c r="BT1195" t="str">
        <f>HYPERLINK("https%3A%2F%2Fwww.webofscience.com%2Fwos%2Fwoscc%2Ffull-record%2FWOS:000208702702073","View Full Record in Web of Science")</f>
        <v>View Full Record in Web of Science</v>
      </c>
    </row>
    <row r="1196" spans="1:72" x14ac:dyDescent="0.25">
      <c r="A1196" t="s">
        <v>72</v>
      </c>
      <c r="B1196" t="s">
        <v>18865</v>
      </c>
      <c r="C1196" t="s">
        <v>74</v>
      </c>
      <c r="D1196" t="s">
        <v>74</v>
      </c>
      <c r="E1196" t="s">
        <v>74</v>
      </c>
      <c r="F1196" t="s">
        <v>19366</v>
      </c>
      <c r="G1196" t="s">
        <v>74</v>
      </c>
      <c r="H1196" t="s">
        <v>74</v>
      </c>
      <c r="I1196" t="s">
        <v>18863</v>
      </c>
      <c r="J1196" t="s">
        <v>1068</v>
      </c>
      <c r="K1196" t="s">
        <v>74</v>
      </c>
      <c r="L1196" t="s">
        <v>74</v>
      </c>
      <c r="M1196" t="s">
        <v>78</v>
      </c>
      <c r="N1196" t="s">
        <v>52</v>
      </c>
      <c r="O1196" t="s">
        <v>74</v>
      </c>
      <c r="P1196" t="s">
        <v>74</v>
      </c>
      <c r="Q1196" t="s">
        <v>74</v>
      </c>
      <c r="R1196" t="s">
        <v>74</v>
      </c>
      <c r="S1196" t="s">
        <v>74</v>
      </c>
      <c r="T1196" t="s">
        <v>74</v>
      </c>
      <c r="U1196" t="s">
        <v>74</v>
      </c>
      <c r="V1196" t="s">
        <v>74</v>
      </c>
      <c r="W1196" t="s">
        <v>19775</v>
      </c>
      <c r="X1196" t="s">
        <v>19774</v>
      </c>
      <c r="Y1196" t="s">
        <v>74</v>
      </c>
      <c r="Z1196" t="s">
        <v>74</v>
      </c>
      <c r="AA1196" t="s">
        <v>19773</v>
      </c>
      <c r="AB1196" t="s">
        <v>74</v>
      </c>
      <c r="AC1196" t="s">
        <v>74</v>
      </c>
      <c r="AD1196" t="s">
        <v>74</v>
      </c>
      <c r="AE1196" t="s">
        <v>74</v>
      </c>
      <c r="AF1196" t="s">
        <v>74</v>
      </c>
      <c r="AG1196">
        <v>0</v>
      </c>
      <c r="AH1196">
        <v>0</v>
      </c>
      <c r="AI1196">
        <v>0</v>
      </c>
      <c r="AJ1196">
        <v>0</v>
      </c>
      <c r="AK1196">
        <v>2</v>
      </c>
      <c r="AL1196" t="s">
        <v>1073</v>
      </c>
      <c r="AM1196" t="s">
        <v>1074</v>
      </c>
      <c r="AN1196" t="s">
        <v>1075</v>
      </c>
      <c r="AO1196" t="s">
        <v>1076</v>
      </c>
      <c r="AP1196" t="s">
        <v>74</v>
      </c>
      <c r="AQ1196" t="s">
        <v>74</v>
      </c>
      <c r="AR1196" t="s">
        <v>1078</v>
      </c>
      <c r="AS1196" t="s">
        <v>1079</v>
      </c>
      <c r="AT1196" t="s">
        <v>725</v>
      </c>
      <c r="AU1196">
        <v>2011</v>
      </c>
      <c r="AV1196">
        <v>32</v>
      </c>
      <c r="AW1196" t="s">
        <v>74</v>
      </c>
      <c r="AX1196" t="s">
        <v>74</v>
      </c>
      <c r="AY1196">
        <v>1</v>
      </c>
      <c r="AZ1196" t="s">
        <v>74</v>
      </c>
      <c r="BA1196" t="s">
        <v>74</v>
      </c>
      <c r="BB1196">
        <v>504</v>
      </c>
      <c r="BC1196">
        <v>505</v>
      </c>
      <c r="BD1196" t="s">
        <v>74</v>
      </c>
      <c r="BE1196" t="s">
        <v>74</v>
      </c>
      <c r="BF1196" t="s">
        <v>74</v>
      </c>
      <c r="BG1196" t="s">
        <v>74</v>
      </c>
      <c r="BH1196" t="s">
        <v>74</v>
      </c>
      <c r="BI1196">
        <v>2</v>
      </c>
      <c r="BJ1196" t="s">
        <v>132</v>
      </c>
      <c r="BK1196" t="s">
        <v>101</v>
      </c>
      <c r="BL1196" t="s">
        <v>133</v>
      </c>
      <c r="BM1196" t="s">
        <v>19722</v>
      </c>
      <c r="BN1196" t="s">
        <v>74</v>
      </c>
      <c r="BO1196" t="s">
        <v>74</v>
      </c>
      <c r="BP1196" t="s">
        <v>74</v>
      </c>
      <c r="BQ1196" t="s">
        <v>74</v>
      </c>
      <c r="BR1196" t="s">
        <v>104</v>
      </c>
      <c r="BS1196" t="s">
        <v>19772</v>
      </c>
      <c r="BT1196" t="str">
        <f>HYPERLINK("https%3A%2F%2Fwww.webofscience.com%2Fwos%2Fwoscc%2Ffull-record%2FWOS:000208702704113","View Full Record in Web of Science")</f>
        <v>View Full Record in Web of Science</v>
      </c>
    </row>
    <row r="1197" spans="1:72" x14ac:dyDescent="0.25">
      <c r="A1197" t="s">
        <v>72</v>
      </c>
      <c r="B1197" t="s">
        <v>19771</v>
      </c>
      <c r="C1197" t="s">
        <v>74</v>
      </c>
      <c r="D1197" t="s">
        <v>74</v>
      </c>
      <c r="E1197" t="s">
        <v>74</v>
      </c>
      <c r="F1197" t="s">
        <v>19770</v>
      </c>
      <c r="G1197" t="s">
        <v>74</v>
      </c>
      <c r="H1197" t="s">
        <v>74</v>
      </c>
      <c r="I1197" t="s">
        <v>19769</v>
      </c>
      <c r="J1197" t="s">
        <v>1068</v>
      </c>
      <c r="K1197" t="s">
        <v>74</v>
      </c>
      <c r="L1197" t="s">
        <v>74</v>
      </c>
      <c r="M1197" t="s">
        <v>78</v>
      </c>
      <c r="N1197" t="s">
        <v>52</v>
      </c>
      <c r="O1197" t="s">
        <v>74</v>
      </c>
      <c r="P1197" t="s">
        <v>74</v>
      </c>
      <c r="Q1197" t="s">
        <v>74</v>
      </c>
      <c r="R1197" t="s">
        <v>74</v>
      </c>
      <c r="S1197" t="s">
        <v>74</v>
      </c>
      <c r="T1197" t="s">
        <v>74</v>
      </c>
      <c r="U1197" t="s">
        <v>74</v>
      </c>
      <c r="V1197" t="s">
        <v>74</v>
      </c>
      <c r="W1197" t="s">
        <v>19768</v>
      </c>
      <c r="X1197" t="s">
        <v>19767</v>
      </c>
      <c r="Y1197" t="s">
        <v>74</v>
      </c>
      <c r="Z1197" t="s">
        <v>74</v>
      </c>
      <c r="AA1197" t="s">
        <v>19766</v>
      </c>
      <c r="AB1197" t="s">
        <v>13185</v>
      </c>
      <c r="AC1197" t="s">
        <v>74</v>
      </c>
      <c r="AD1197" t="s">
        <v>74</v>
      </c>
      <c r="AE1197" t="s">
        <v>74</v>
      </c>
      <c r="AF1197" t="s">
        <v>74</v>
      </c>
      <c r="AG1197">
        <v>0</v>
      </c>
      <c r="AH1197">
        <v>0</v>
      </c>
      <c r="AI1197">
        <v>0</v>
      </c>
      <c r="AJ1197">
        <v>0</v>
      </c>
      <c r="AK1197">
        <v>1</v>
      </c>
      <c r="AL1197" t="s">
        <v>1073</v>
      </c>
      <c r="AM1197" t="s">
        <v>1074</v>
      </c>
      <c r="AN1197" t="s">
        <v>1075</v>
      </c>
      <c r="AO1197" t="s">
        <v>1076</v>
      </c>
      <c r="AP1197" t="s">
        <v>74</v>
      </c>
      <c r="AQ1197" t="s">
        <v>74</v>
      </c>
      <c r="AR1197" t="s">
        <v>1078</v>
      </c>
      <c r="AS1197" t="s">
        <v>1079</v>
      </c>
      <c r="AT1197" t="s">
        <v>725</v>
      </c>
      <c r="AU1197">
        <v>2011</v>
      </c>
      <c r="AV1197">
        <v>32</v>
      </c>
      <c r="AW1197" t="s">
        <v>74</v>
      </c>
      <c r="AX1197" t="s">
        <v>74</v>
      </c>
      <c r="AY1197">
        <v>1</v>
      </c>
      <c r="AZ1197" t="s">
        <v>74</v>
      </c>
      <c r="BA1197" t="s">
        <v>74</v>
      </c>
      <c r="BB1197">
        <v>174</v>
      </c>
      <c r="BC1197">
        <v>174</v>
      </c>
      <c r="BD1197" t="s">
        <v>74</v>
      </c>
      <c r="BE1197" t="s">
        <v>74</v>
      </c>
      <c r="BF1197" t="s">
        <v>74</v>
      </c>
      <c r="BG1197" t="s">
        <v>74</v>
      </c>
      <c r="BH1197" t="s">
        <v>74</v>
      </c>
      <c r="BI1197">
        <v>1</v>
      </c>
      <c r="BJ1197" t="s">
        <v>132</v>
      </c>
      <c r="BK1197" t="s">
        <v>101</v>
      </c>
      <c r="BL1197" t="s">
        <v>133</v>
      </c>
      <c r="BM1197" t="s">
        <v>19722</v>
      </c>
      <c r="BN1197" t="s">
        <v>74</v>
      </c>
      <c r="BO1197" t="s">
        <v>74</v>
      </c>
      <c r="BP1197" t="s">
        <v>74</v>
      </c>
      <c r="BQ1197" t="s">
        <v>74</v>
      </c>
      <c r="BR1197" t="s">
        <v>104</v>
      </c>
      <c r="BS1197" t="s">
        <v>19765</v>
      </c>
      <c r="BT1197" t="str">
        <f>HYPERLINK("https%3A%2F%2Fwww.webofscience.com%2Fwos%2Fwoscc%2Ffull-record%2FWOS:000208702702079","View Full Record in Web of Science")</f>
        <v>View Full Record in Web of Science</v>
      </c>
    </row>
    <row r="1198" spans="1:72" x14ac:dyDescent="0.25">
      <c r="A1198" t="s">
        <v>72</v>
      </c>
      <c r="B1198" t="s">
        <v>19764</v>
      </c>
      <c r="C1198" t="s">
        <v>74</v>
      </c>
      <c r="D1198" t="s">
        <v>74</v>
      </c>
      <c r="E1198" t="s">
        <v>74</v>
      </c>
      <c r="F1198" t="s">
        <v>19763</v>
      </c>
      <c r="G1198" t="s">
        <v>74</v>
      </c>
      <c r="H1198" t="s">
        <v>74</v>
      </c>
      <c r="I1198" t="s">
        <v>19762</v>
      </c>
      <c r="J1198" t="s">
        <v>15500</v>
      </c>
      <c r="K1198" t="s">
        <v>74</v>
      </c>
      <c r="L1198" t="s">
        <v>74</v>
      </c>
      <c r="M1198" t="s">
        <v>78</v>
      </c>
      <c r="N1198" t="s">
        <v>79</v>
      </c>
      <c r="O1198" t="s">
        <v>74</v>
      </c>
      <c r="P1198" t="s">
        <v>74</v>
      </c>
      <c r="Q1198" t="s">
        <v>74</v>
      </c>
      <c r="R1198" t="s">
        <v>74</v>
      </c>
      <c r="S1198" t="s">
        <v>74</v>
      </c>
      <c r="T1198" t="s">
        <v>74</v>
      </c>
      <c r="U1198" t="s">
        <v>19761</v>
      </c>
      <c r="V1198" t="s">
        <v>19760</v>
      </c>
      <c r="W1198" t="s">
        <v>19759</v>
      </c>
      <c r="X1198" t="s">
        <v>19758</v>
      </c>
      <c r="Y1198" t="s">
        <v>19757</v>
      </c>
      <c r="Z1198" t="s">
        <v>19756</v>
      </c>
      <c r="AA1198" t="s">
        <v>19755</v>
      </c>
      <c r="AB1198" t="s">
        <v>19754</v>
      </c>
      <c r="AC1198" t="s">
        <v>19753</v>
      </c>
      <c r="AD1198" t="s">
        <v>19752</v>
      </c>
      <c r="AE1198" t="s">
        <v>19751</v>
      </c>
      <c r="AF1198" t="s">
        <v>74</v>
      </c>
      <c r="AG1198">
        <v>43</v>
      </c>
      <c r="AH1198">
        <v>102</v>
      </c>
      <c r="AI1198">
        <v>104</v>
      </c>
      <c r="AJ1198">
        <v>0</v>
      </c>
      <c r="AK1198">
        <v>7</v>
      </c>
      <c r="AL1198" t="s">
        <v>169</v>
      </c>
      <c r="AM1198" t="s">
        <v>170</v>
      </c>
      <c r="AN1198" t="s">
        <v>171</v>
      </c>
      <c r="AO1198" t="s">
        <v>15491</v>
      </c>
      <c r="AP1198" t="s">
        <v>16087</v>
      </c>
      <c r="AQ1198" t="s">
        <v>74</v>
      </c>
      <c r="AR1198" t="s">
        <v>16086</v>
      </c>
      <c r="AS1198" t="s">
        <v>15489</v>
      </c>
      <c r="AT1198" t="s">
        <v>725</v>
      </c>
      <c r="AU1198">
        <v>2011</v>
      </c>
      <c r="AV1198">
        <v>63</v>
      </c>
      <c r="AW1198">
        <v>8</v>
      </c>
      <c r="AX1198" t="s">
        <v>74</v>
      </c>
      <c r="AY1198" t="s">
        <v>74</v>
      </c>
      <c r="AZ1198" t="s">
        <v>74</v>
      </c>
      <c r="BA1198" t="s">
        <v>74</v>
      </c>
      <c r="BB1198">
        <v>2456</v>
      </c>
      <c r="BC1198">
        <v>2464</v>
      </c>
      <c r="BD1198" t="s">
        <v>74</v>
      </c>
      <c r="BE1198" t="s">
        <v>19750</v>
      </c>
      <c r="BF1198" t="str">
        <f>HYPERLINK("http://dx.doi.org/10.1002/art.30423","http://dx.doi.org/10.1002/art.30423")</f>
        <v>http://dx.doi.org/10.1002/art.30423</v>
      </c>
      <c r="BG1198" t="s">
        <v>74</v>
      </c>
      <c r="BH1198" t="s">
        <v>74</v>
      </c>
      <c r="BI1198">
        <v>9</v>
      </c>
      <c r="BJ1198" t="s">
        <v>2369</v>
      </c>
      <c r="BK1198" t="s">
        <v>101</v>
      </c>
      <c r="BL1198" t="s">
        <v>2369</v>
      </c>
      <c r="BM1198" t="s">
        <v>19749</v>
      </c>
      <c r="BN1198">
        <v>21538327</v>
      </c>
      <c r="BO1198" t="s">
        <v>74</v>
      </c>
      <c r="BP1198" t="s">
        <v>74</v>
      </c>
      <c r="BQ1198" t="s">
        <v>74</v>
      </c>
      <c r="BR1198" t="s">
        <v>104</v>
      </c>
      <c r="BS1198" t="s">
        <v>19748</v>
      </c>
      <c r="BT1198" t="str">
        <f>HYPERLINK("https%3A%2F%2Fwww.webofscience.com%2Fwos%2Fwoscc%2Ffull-record%2FWOS:000293840200035","View Full Record in Web of Science")</f>
        <v>View Full Record in Web of Science</v>
      </c>
    </row>
    <row r="1199" spans="1:72" x14ac:dyDescent="0.25">
      <c r="A1199" t="s">
        <v>72</v>
      </c>
      <c r="B1199" t="s">
        <v>19747</v>
      </c>
      <c r="C1199" t="s">
        <v>74</v>
      </c>
      <c r="D1199" t="s">
        <v>74</v>
      </c>
      <c r="E1199" t="s">
        <v>74</v>
      </c>
      <c r="F1199" t="s">
        <v>19746</v>
      </c>
      <c r="G1199" t="s">
        <v>74</v>
      </c>
      <c r="H1199" t="s">
        <v>74</v>
      </c>
      <c r="I1199" t="s">
        <v>19745</v>
      </c>
      <c r="J1199" t="s">
        <v>833</v>
      </c>
      <c r="K1199" t="s">
        <v>74</v>
      </c>
      <c r="L1199" t="s">
        <v>74</v>
      </c>
      <c r="M1199" t="s">
        <v>78</v>
      </c>
      <c r="N1199" t="s">
        <v>79</v>
      </c>
      <c r="O1199" t="s">
        <v>74</v>
      </c>
      <c r="P1199" t="s">
        <v>74</v>
      </c>
      <c r="Q1199" t="s">
        <v>74</v>
      </c>
      <c r="R1199" t="s">
        <v>74</v>
      </c>
      <c r="S1199" t="s">
        <v>74</v>
      </c>
      <c r="T1199" t="s">
        <v>19744</v>
      </c>
      <c r="U1199" t="s">
        <v>19743</v>
      </c>
      <c r="V1199" t="s">
        <v>19742</v>
      </c>
      <c r="W1199" t="s">
        <v>19741</v>
      </c>
      <c r="X1199" t="s">
        <v>19740</v>
      </c>
      <c r="Y1199" t="s">
        <v>19739</v>
      </c>
      <c r="Z1199" t="s">
        <v>276</v>
      </c>
      <c r="AA1199" t="s">
        <v>17987</v>
      </c>
      <c r="AB1199" t="s">
        <v>19738</v>
      </c>
      <c r="AC1199" t="s">
        <v>19737</v>
      </c>
      <c r="AD1199" t="s">
        <v>19736</v>
      </c>
      <c r="AE1199" t="s">
        <v>19735</v>
      </c>
      <c r="AF1199" t="s">
        <v>74</v>
      </c>
      <c r="AG1199">
        <v>41</v>
      </c>
      <c r="AH1199">
        <v>109</v>
      </c>
      <c r="AI1199">
        <v>121</v>
      </c>
      <c r="AJ1199">
        <v>0</v>
      </c>
      <c r="AK1199">
        <v>6</v>
      </c>
      <c r="AL1199" t="s">
        <v>649</v>
      </c>
      <c r="AM1199" t="s">
        <v>486</v>
      </c>
      <c r="AN1199" t="s">
        <v>650</v>
      </c>
      <c r="AO1199" t="s">
        <v>844</v>
      </c>
      <c r="AP1199" t="s">
        <v>845</v>
      </c>
      <c r="AQ1199" t="s">
        <v>74</v>
      </c>
      <c r="AR1199" t="s">
        <v>846</v>
      </c>
      <c r="AS1199" t="s">
        <v>847</v>
      </c>
      <c r="AT1199" t="s">
        <v>725</v>
      </c>
      <c r="AU1199">
        <v>2011</v>
      </c>
      <c r="AV1199">
        <v>45</v>
      </c>
      <c r="AW1199">
        <v>2</v>
      </c>
      <c r="AX1199" t="s">
        <v>74</v>
      </c>
      <c r="AY1199" t="s">
        <v>74</v>
      </c>
      <c r="AZ1199" t="s">
        <v>74</v>
      </c>
      <c r="BA1199" t="s">
        <v>74</v>
      </c>
      <c r="BB1199">
        <v>311</v>
      </c>
      <c r="BC1199">
        <v>322</v>
      </c>
      <c r="BD1199" t="s">
        <v>74</v>
      </c>
      <c r="BE1199" t="s">
        <v>19734</v>
      </c>
      <c r="BF1199" t="str">
        <f>HYPERLINK("http://dx.doi.org/10.1165/rcmb.2010-0317OC","http://dx.doi.org/10.1165/rcmb.2010-0317OC")</f>
        <v>http://dx.doi.org/10.1165/rcmb.2010-0317OC</v>
      </c>
      <c r="BG1199" t="s">
        <v>74</v>
      </c>
      <c r="BH1199" t="s">
        <v>74</v>
      </c>
      <c r="BI1199">
        <v>12</v>
      </c>
      <c r="BJ1199" t="s">
        <v>849</v>
      </c>
      <c r="BK1199" t="s">
        <v>101</v>
      </c>
      <c r="BL1199" t="s">
        <v>849</v>
      </c>
      <c r="BM1199" t="s">
        <v>19733</v>
      </c>
      <c r="BN1199">
        <v>21037114</v>
      </c>
      <c r="BO1199" t="s">
        <v>4779</v>
      </c>
      <c r="BP1199" t="s">
        <v>74</v>
      </c>
      <c r="BQ1199" t="s">
        <v>74</v>
      </c>
      <c r="BR1199" t="s">
        <v>104</v>
      </c>
      <c r="BS1199" t="s">
        <v>19732</v>
      </c>
      <c r="BT1199" t="str">
        <f>HYPERLINK("https%3A%2F%2Fwww.webofscience.com%2Fwos%2Fwoscc%2Ffull-record%2FWOS:000293948900014","View Full Record in Web of Science")</f>
        <v>View Full Record in Web of Science</v>
      </c>
    </row>
    <row r="1200" spans="1:72" x14ac:dyDescent="0.25">
      <c r="A1200" t="s">
        <v>72</v>
      </c>
      <c r="B1200" t="s">
        <v>19731</v>
      </c>
      <c r="C1200" t="s">
        <v>74</v>
      </c>
      <c r="D1200" t="s">
        <v>74</v>
      </c>
      <c r="E1200" t="s">
        <v>74</v>
      </c>
      <c r="F1200" t="s">
        <v>19730</v>
      </c>
      <c r="G1200" t="s">
        <v>74</v>
      </c>
      <c r="H1200" t="s">
        <v>74</v>
      </c>
      <c r="I1200" t="s">
        <v>19729</v>
      </c>
      <c r="J1200" t="s">
        <v>1068</v>
      </c>
      <c r="K1200" t="s">
        <v>74</v>
      </c>
      <c r="L1200" t="s">
        <v>74</v>
      </c>
      <c r="M1200" t="s">
        <v>78</v>
      </c>
      <c r="N1200" t="s">
        <v>52</v>
      </c>
      <c r="O1200" t="s">
        <v>74</v>
      </c>
      <c r="P1200" t="s">
        <v>74</v>
      </c>
      <c r="Q1200" t="s">
        <v>74</v>
      </c>
      <c r="R1200" t="s">
        <v>74</v>
      </c>
      <c r="S1200" t="s">
        <v>74</v>
      </c>
      <c r="T1200" t="s">
        <v>74</v>
      </c>
      <c r="U1200" t="s">
        <v>74</v>
      </c>
      <c r="V1200" t="s">
        <v>74</v>
      </c>
      <c r="W1200" t="s">
        <v>19728</v>
      </c>
      <c r="X1200" t="s">
        <v>17621</v>
      </c>
      <c r="Y1200" t="s">
        <v>74</v>
      </c>
      <c r="Z1200" t="s">
        <v>74</v>
      </c>
      <c r="AA1200" t="s">
        <v>19727</v>
      </c>
      <c r="AB1200" t="s">
        <v>19726</v>
      </c>
      <c r="AC1200" t="s">
        <v>74</v>
      </c>
      <c r="AD1200" t="s">
        <v>74</v>
      </c>
      <c r="AE1200" t="s">
        <v>74</v>
      </c>
      <c r="AF1200" t="s">
        <v>74</v>
      </c>
      <c r="AG1200">
        <v>0</v>
      </c>
      <c r="AH1200">
        <v>1</v>
      </c>
      <c r="AI1200">
        <v>1</v>
      </c>
      <c r="AJ1200">
        <v>0</v>
      </c>
      <c r="AK1200">
        <v>1</v>
      </c>
      <c r="AL1200" t="s">
        <v>1073</v>
      </c>
      <c r="AM1200" t="s">
        <v>1074</v>
      </c>
      <c r="AN1200" t="s">
        <v>1075</v>
      </c>
      <c r="AO1200" t="s">
        <v>1076</v>
      </c>
      <c r="AP1200" t="s">
        <v>74</v>
      </c>
      <c r="AQ1200" t="s">
        <v>74</v>
      </c>
      <c r="AR1200" t="s">
        <v>1078</v>
      </c>
      <c r="AS1200" t="s">
        <v>1079</v>
      </c>
      <c r="AT1200" t="s">
        <v>725</v>
      </c>
      <c r="AU1200">
        <v>2011</v>
      </c>
      <c r="AV1200">
        <v>32</v>
      </c>
      <c r="AW1200" t="s">
        <v>74</v>
      </c>
      <c r="AX1200" t="s">
        <v>74</v>
      </c>
      <c r="AY1200">
        <v>1</v>
      </c>
      <c r="AZ1200" t="s">
        <v>74</v>
      </c>
      <c r="BA1200" t="s">
        <v>74</v>
      </c>
      <c r="BB1200">
        <v>433</v>
      </c>
      <c r="BC1200">
        <v>434</v>
      </c>
      <c r="BD1200" t="s">
        <v>74</v>
      </c>
      <c r="BE1200" t="s">
        <v>74</v>
      </c>
      <c r="BF1200" t="s">
        <v>74</v>
      </c>
      <c r="BG1200" t="s">
        <v>74</v>
      </c>
      <c r="BH1200" t="s">
        <v>74</v>
      </c>
      <c r="BI1200">
        <v>2</v>
      </c>
      <c r="BJ1200" t="s">
        <v>132</v>
      </c>
      <c r="BK1200" t="s">
        <v>101</v>
      </c>
      <c r="BL1200" t="s">
        <v>133</v>
      </c>
      <c r="BM1200" t="s">
        <v>19722</v>
      </c>
      <c r="BN1200" t="s">
        <v>74</v>
      </c>
      <c r="BO1200" t="s">
        <v>74</v>
      </c>
      <c r="BP1200" t="s">
        <v>74</v>
      </c>
      <c r="BQ1200" t="s">
        <v>74</v>
      </c>
      <c r="BR1200" t="s">
        <v>104</v>
      </c>
      <c r="BS1200" t="s">
        <v>19725</v>
      </c>
      <c r="BT1200" t="str">
        <f>HYPERLINK("https%3A%2F%2Fwww.webofscience.com%2Fwos%2Fwoscc%2Ffull-record%2FWOS:000208702703449","View Full Record in Web of Science")</f>
        <v>View Full Record in Web of Science</v>
      </c>
    </row>
    <row r="1201" spans="1:72" x14ac:dyDescent="0.25">
      <c r="A1201" t="s">
        <v>72</v>
      </c>
      <c r="B1201" t="s">
        <v>19249</v>
      </c>
      <c r="C1201" t="s">
        <v>74</v>
      </c>
      <c r="D1201" t="s">
        <v>74</v>
      </c>
      <c r="E1201" t="s">
        <v>74</v>
      </c>
      <c r="F1201" t="s">
        <v>19248</v>
      </c>
      <c r="G1201" t="s">
        <v>74</v>
      </c>
      <c r="H1201" t="s">
        <v>74</v>
      </c>
      <c r="I1201" t="s">
        <v>19247</v>
      </c>
      <c r="J1201" t="s">
        <v>1068</v>
      </c>
      <c r="K1201" t="s">
        <v>74</v>
      </c>
      <c r="L1201" t="s">
        <v>74</v>
      </c>
      <c r="M1201" t="s">
        <v>78</v>
      </c>
      <c r="N1201" t="s">
        <v>52</v>
      </c>
      <c r="O1201" t="s">
        <v>74</v>
      </c>
      <c r="P1201" t="s">
        <v>74</v>
      </c>
      <c r="Q1201" t="s">
        <v>74</v>
      </c>
      <c r="R1201" t="s">
        <v>74</v>
      </c>
      <c r="S1201" t="s">
        <v>74</v>
      </c>
      <c r="T1201" t="s">
        <v>74</v>
      </c>
      <c r="U1201" t="s">
        <v>74</v>
      </c>
      <c r="V1201" t="s">
        <v>74</v>
      </c>
      <c r="W1201" t="s">
        <v>19246</v>
      </c>
      <c r="X1201" t="s">
        <v>19724</v>
      </c>
      <c r="Y1201" t="s">
        <v>74</v>
      </c>
      <c r="Z1201" t="s">
        <v>74</v>
      </c>
      <c r="AA1201" t="s">
        <v>19723</v>
      </c>
      <c r="AB1201" t="s">
        <v>74</v>
      </c>
      <c r="AC1201" t="s">
        <v>74</v>
      </c>
      <c r="AD1201" t="s">
        <v>74</v>
      </c>
      <c r="AE1201" t="s">
        <v>74</v>
      </c>
      <c r="AF1201" t="s">
        <v>74</v>
      </c>
      <c r="AG1201">
        <v>0</v>
      </c>
      <c r="AH1201">
        <v>4</v>
      </c>
      <c r="AI1201">
        <v>5</v>
      </c>
      <c r="AJ1201">
        <v>0</v>
      </c>
      <c r="AK1201">
        <v>1</v>
      </c>
      <c r="AL1201" t="s">
        <v>1073</v>
      </c>
      <c r="AM1201" t="s">
        <v>1074</v>
      </c>
      <c r="AN1201" t="s">
        <v>1075</v>
      </c>
      <c r="AO1201" t="s">
        <v>1076</v>
      </c>
      <c r="AP1201" t="s">
        <v>74</v>
      </c>
      <c r="AQ1201" t="s">
        <v>74</v>
      </c>
      <c r="AR1201" t="s">
        <v>1078</v>
      </c>
      <c r="AS1201" t="s">
        <v>1079</v>
      </c>
      <c r="AT1201" t="s">
        <v>725</v>
      </c>
      <c r="AU1201">
        <v>2011</v>
      </c>
      <c r="AV1201">
        <v>32</v>
      </c>
      <c r="AW1201" t="s">
        <v>74</v>
      </c>
      <c r="AX1201" t="s">
        <v>74</v>
      </c>
      <c r="AY1201">
        <v>1</v>
      </c>
      <c r="AZ1201" t="s">
        <v>74</v>
      </c>
      <c r="BA1201" t="s">
        <v>74</v>
      </c>
      <c r="BB1201">
        <v>675</v>
      </c>
      <c r="BC1201">
        <v>676</v>
      </c>
      <c r="BD1201" t="s">
        <v>74</v>
      </c>
      <c r="BE1201" t="s">
        <v>74</v>
      </c>
      <c r="BF1201" t="s">
        <v>74</v>
      </c>
      <c r="BG1201" t="s">
        <v>74</v>
      </c>
      <c r="BH1201" t="s">
        <v>74</v>
      </c>
      <c r="BI1201">
        <v>2</v>
      </c>
      <c r="BJ1201" t="s">
        <v>132</v>
      </c>
      <c r="BK1201" t="s">
        <v>101</v>
      </c>
      <c r="BL1201" t="s">
        <v>133</v>
      </c>
      <c r="BM1201" t="s">
        <v>19722</v>
      </c>
      <c r="BN1201" t="s">
        <v>74</v>
      </c>
      <c r="BO1201" t="s">
        <v>74</v>
      </c>
      <c r="BP1201" t="s">
        <v>74</v>
      </c>
      <c r="BQ1201" t="s">
        <v>74</v>
      </c>
      <c r="BR1201" t="s">
        <v>104</v>
      </c>
      <c r="BS1201" t="s">
        <v>19721</v>
      </c>
      <c r="BT1201" t="str">
        <f>HYPERLINK("https%3A%2F%2Fwww.webofscience.com%2Fwos%2Fwoscc%2Ffull-record%2FWOS:000208702705151","View Full Record in Web of Science")</f>
        <v>View Full Record in Web of Science</v>
      </c>
    </row>
    <row r="1202" spans="1:72" x14ac:dyDescent="0.25">
      <c r="A1202" t="s">
        <v>72</v>
      </c>
      <c r="B1202" t="s">
        <v>19720</v>
      </c>
      <c r="C1202" t="s">
        <v>74</v>
      </c>
      <c r="D1202" t="s">
        <v>74</v>
      </c>
      <c r="E1202" t="s">
        <v>74</v>
      </c>
      <c r="F1202" t="s">
        <v>19719</v>
      </c>
      <c r="G1202" t="s">
        <v>74</v>
      </c>
      <c r="H1202" t="s">
        <v>74</v>
      </c>
      <c r="I1202" t="s">
        <v>19718</v>
      </c>
      <c r="J1202" t="s">
        <v>324</v>
      </c>
      <c r="K1202" t="s">
        <v>74</v>
      </c>
      <c r="L1202" t="s">
        <v>74</v>
      </c>
      <c r="M1202" t="s">
        <v>78</v>
      </c>
      <c r="N1202" t="s">
        <v>79</v>
      </c>
      <c r="O1202" t="s">
        <v>74</v>
      </c>
      <c r="P1202" t="s">
        <v>74</v>
      </c>
      <c r="Q1202" t="s">
        <v>74</v>
      </c>
      <c r="R1202" t="s">
        <v>74</v>
      </c>
      <c r="S1202" t="s">
        <v>74</v>
      </c>
      <c r="T1202" t="s">
        <v>74</v>
      </c>
      <c r="U1202" t="s">
        <v>19717</v>
      </c>
      <c r="V1202" t="s">
        <v>19716</v>
      </c>
      <c r="W1202" t="s">
        <v>19715</v>
      </c>
      <c r="X1202" t="s">
        <v>19714</v>
      </c>
      <c r="Y1202" t="s">
        <v>19713</v>
      </c>
      <c r="Z1202" t="s">
        <v>19712</v>
      </c>
      <c r="AA1202" t="s">
        <v>19711</v>
      </c>
      <c r="AB1202" t="s">
        <v>19710</v>
      </c>
      <c r="AC1202" t="s">
        <v>19709</v>
      </c>
      <c r="AD1202" t="s">
        <v>19708</v>
      </c>
      <c r="AE1202" t="s">
        <v>19707</v>
      </c>
      <c r="AF1202" t="s">
        <v>74</v>
      </c>
      <c r="AG1202">
        <v>28</v>
      </c>
      <c r="AH1202">
        <v>154</v>
      </c>
      <c r="AI1202">
        <v>185</v>
      </c>
      <c r="AJ1202">
        <v>0</v>
      </c>
      <c r="AK1202">
        <v>26</v>
      </c>
      <c r="AL1202" t="s">
        <v>7467</v>
      </c>
      <c r="AM1202" t="s">
        <v>93</v>
      </c>
      <c r="AN1202" t="s">
        <v>7468</v>
      </c>
      <c r="AO1202" t="s">
        <v>337</v>
      </c>
      <c r="AP1202" t="s">
        <v>74</v>
      </c>
      <c r="AQ1202" t="s">
        <v>74</v>
      </c>
      <c r="AR1202" t="s">
        <v>324</v>
      </c>
      <c r="AS1202" t="s">
        <v>339</v>
      </c>
      <c r="AT1202" t="s">
        <v>725</v>
      </c>
      <c r="AU1202">
        <v>2011</v>
      </c>
      <c r="AV1202">
        <v>140</v>
      </c>
      <c r="AW1202">
        <v>2</v>
      </c>
      <c r="AX1202" t="s">
        <v>74</v>
      </c>
      <c r="AY1202" t="s">
        <v>74</v>
      </c>
      <c r="AZ1202" t="s">
        <v>74</v>
      </c>
      <c r="BA1202" t="s">
        <v>74</v>
      </c>
      <c r="BB1202">
        <v>301</v>
      </c>
      <c r="BC1202">
        <v>309</v>
      </c>
      <c r="BD1202" t="s">
        <v>74</v>
      </c>
      <c r="BE1202" t="s">
        <v>19706</v>
      </c>
      <c r="BF1202" t="str">
        <f>HYPERLINK("http://dx.doi.org/10.1378/chest.10-2327","http://dx.doi.org/10.1378/chest.10-2327")</f>
        <v>http://dx.doi.org/10.1378/chest.10-2327</v>
      </c>
      <c r="BG1202" t="s">
        <v>74</v>
      </c>
      <c r="BH1202" t="s">
        <v>74</v>
      </c>
      <c r="BI1202">
        <v>9</v>
      </c>
      <c r="BJ1202" t="s">
        <v>341</v>
      </c>
      <c r="BK1202" t="s">
        <v>101</v>
      </c>
      <c r="BL1202" t="s">
        <v>342</v>
      </c>
      <c r="BM1202" t="s">
        <v>19705</v>
      </c>
      <c r="BN1202">
        <v>21330386</v>
      </c>
      <c r="BO1202" t="s">
        <v>74</v>
      </c>
      <c r="BP1202" t="s">
        <v>74</v>
      </c>
      <c r="BQ1202" t="s">
        <v>74</v>
      </c>
      <c r="BR1202" t="s">
        <v>104</v>
      </c>
      <c r="BS1202" t="s">
        <v>19704</v>
      </c>
      <c r="BT1202" t="str">
        <f>HYPERLINK("https%3A%2F%2Fwww.webofscience.com%2Fwos%2Fwoscc%2Ffull-record%2FWOS:000293994100012","View Full Record in Web of Science")</f>
        <v>View Full Record in Web of Science</v>
      </c>
    </row>
    <row r="1203" spans="1:72" x14ac:dyDescent="0.25">
      <c r="A1203" t="s">
        <v>72</v>
      </c>
      <c r="B1203" t="s">
        <v>19703</v>
      </c>
      <c r="C1203" t="s">
        <v>74</v>
      </c>
      <c r="D1203" t="s">
        <v>74</v>
      </c>
      <c r="E1203" t="s">
        <v>74</v>
      </c>
      <c r="F1203" t="s">
        <v>19702</v>
      </c>
      <c r="G1203" t="s">
        <v>74</v>
      </c>
      <c r="H1203" t="s">
        <v>74</v>
      </c>
      <c r="I1203" t="s">
        <v>19701</v>
      </c>
      <c r="J1203" t="s">
        <v>8916</v>
      </c>
      <c r="K1203" t="s">
        <v>74</v>
      </c>
      <c r="L1203" t="s">
        <v>74</v>
      </c>
      <c r="M1203" t="s">
        <v>78</v>
      </c>
      <c r="N1203" t="s">
        <v>79</v>
      </c>
      <c r="O1203" t="s">
        <v>74</v>
      </c>
      <c r="P1203" t="s">
        <v>74</v>
      </c>
      <c r="Q1203" t="s">
        <v>74</v>
      </c>
      <c r="R1203" t="s">
        <v>74</v>
      </c>
      <c r="S1203" t="s">
        <v>74</v>
      </c>
      <c r="T1203" t="s">
        <v>74</v>
      </c>
      <c r="U1203" t="s">
        <v>19700</v>
      </c>
      <c r="V1203" t="s">
        <v>19699</v>
      </c>
      <c r="W1203" t="s">
        <v>19698</v>
      </c>
      <c r="X1203" t="s">
        <v>19697</v>
      </c>
      <c r="Y1203" t="s">
        <v>19696</v>
      </c>
      <c r="Z1203" t="s">
        <v>19695</v>
      </c>
      <c r="AA1203" t="s">
        <v>19694</v>
      </c>
      <c r="AB1203" t="s">
        <v>19693</v>
      </c>
      <c r="AC1203" t="s">
        <v>19692</v>
      </c>
      <c r="AD1203" t="s">
        <v>19691</v>
      </c>
      <c r="AE1203" t="s">
        <v>19690</v>
      </c>
      <c r="AF1203" t="s">
        <v>74</v>
      </c>
      <c r="AG1203">
        <v>60</v>
      </c>
      <c r="AH1203">
        <v>82</v>
      </c>
      <c r="AI1203">
        <v>93</v>
      </c>
      <c r="AJ1203">
        <v>0</v>
      </c>
      <c r="AK1203">
        <v>15</v>
      </c>
      <c r="AL1203" t="s">
        <v>7942</v>
      </c>
      <c r="AM1203" t="s">
        <v>7943</v>
      </c>
      <c r="AN1203" t="s">
        <v>7944</v>
      </c>
      <c r="AO1203" t="s">
        <v>8927</v>
      </c>
      <c r="AP1203" t="s">
        <v>8928</v>
      </c>
      <c r="AQ1203" t="s">
        <v>74</v>
      </c>
      <c r="AR1203" t="s">
        <v>8929</v>
      </c>
      <c r="AS1203" t="s">
        <v>8930</v>
      </c>
      <c r="AT1203" t="s">
        <v>785</v>
      </c>
      <c r="AU1203">
        <v>2011</v>
      </c>
      <c r="AV1203">
        <v>121</v>
      </c>
      <c r="AW1203">
        <v>7</v>
      </c>
      <c r="AX1203" t="s">
        <v>74</v>
      </c>
      <c r="AY1203" t="s">
        <v>74</v>
      </c>
      <c r="AZ1203" t="s">
        <v>74</v>
      </c>
      <c r="BA1203" t="s">
        <v>74</v>
      </c>
      <c r="BB1203">
        <v>2888</v>
      </c>
      <c r="BC1203">
        <v>2897</v>
      </c>
      <c r="BD1203" t="s">
        <v>74</v>
      </c>
      <c r="BE1203" t="s">
        <v>19689</v>
      </c>
      <c r="BF1203" t="str">
        <f>HYPERLINK("http://dx.doi.org/10.1172/JCI45023","http://dx.doi.org/10.1172/JCI45023")</f>
        <v>http://dx.doi.org/10.1172/JCI45023</v>
      </c>
      <c r="BG1203" t="s">
        <v>74</v>
      </c>
      <c r="BH1203" t="s">
        <v>74</v>
      </c>
      <c r="BI1203">
        <v>10</v>
      </c>
      <c r="BJ1203" t="s">
        <v>2122</v>
      </c>
      <c r="BK1203" t="s">
        <v>101</v>
      </c>
      <c r="BL1203" t="s">
        <v>2123</v>
      </c>
      <c r="BM1203" t="s">
        <v>19688</v>
      </c>
      <c r="BN1203">
        <v>21670499</v>
      </c>
      <c r="BO1203" t="s">
        <v>3737</v>
      </c>
      <c r="BP1203" t="s">
        <v>74</v>
      </c>
      <c r="BQ1203" t="s">
        <v>74</v>
      </c>
      <c r="BR1203" t="s">
        <v>104</v>
      </c>
      <c r="BS1203" t="s">
        <v>19687</v>
      </c>
      <c r="BT1203" t="str">
        <f>HYPERLINK("https%3A%2F%2Fwww.webofscience.com%2Fwos%2Fwoscc%2Ffull-record%2FWOS:000292413000035","View Full Record in Web of Science")</f>
        <v>View Full Record in Web of Science</v>
      </c>
    </row>
    <row r="1204" spans="1:72" x14ac:dyDescent="0.25">
      <c r="A1204" t="s">
        <v>72</v>
      </c>
      <c r="B1204" t="s">
        <v>19686</v>
      </c>
      <c r="C1204" t="s">
        <v>74</v>
      </c>
      <c r="D1204" t="s">
        <v>74</v>
      </c>
      <c r="E1204" t="s">
        <v>74</v>
      </c>
      <c r="F1204" t="s">
        <v>19685</v>
      </c>
      <c r="G1204" t="s">
        <v>74</v>
      </c>
      <c r="H1204" t="s">
        <v>74</v>
      </c>
      <c r="I1204" t="s">
        <v>19684</v>
      </c>
      <c r="J1204" t="s">
        <v>637</v>
      </c>
      <c r="K1204" t="s">
        <v>74</v>
      </c>
      <c r="L1204" t="s">
        <v>74</v>
      </c>
      <c r="M1204" t="s">
        <v>78</v>
      </c>
      <c r="N1204" t="s">
        <v>79</v>
      </c>
      <c r="O1204" t="s">
        <v>74</v>
      </c>
      <c r="P1204" t="s">
        <v>74</v>
      </c>
      <c r="Q1204" t="s">
        <v>74</v>
      </c>
      <c r="R1204" t="s">
        <v>74</v>
      </c>
      <c r="S1204" t="s">
        <v>74</v>
      </c>
      <c r="T1204" t="s">
        <v>19683</v>
      </c>
      <c r="U1204" t="s">
        <v>19682</v>
      </c>
      <c r="V1204" t="s">
        <v>19681</v>
      </c>
      <c r="W1204" t="s">
        <v>19680</v>
      </c>
      <c r="X1204" t="s">
        <v>19679</v>
      </c>
      <c r="Y1204" t="s">
        <v>19678</v>
      </c>
      <c r="Z1204" t="s">
        <v>10573</v>
      </c>
      <c r="AA1204" t="s">
        <v>19677</v>
      </c>
      <c r="AB1204" t="s">
        <v>19676</v>
      </c>
      <c r="AC1204" t="s">
        <v>19675</v>
      </c>
      <c r="AD1204" t="s">
        <v>19674</v>
      </c>
      <c r="AE1204" t="s">
        <v>19673</v>
      </c>
      <c r="AF1204" t="s">
        <v>74</v>
      </c>
      <c r="AG1204">
        <v>50</v>
      </c>
      <c r="AH1204">
        <v>170</v>
      </c>
      <c r="AI1204">
        <v>179</v>
      </c>
      <c r="AJ1204">
        <v>0</v>
      </c>
      <c r="AK1204">
        <v>14</v>
      </c>
      <c r="AL1204" t="s">
        <v>649</v>
      </c>
      <c r="AM1204" t="s">
        <v>486</v>
      </c>
      <c r="AN1204" t="s">
        <v>650</v>
      </c>
      <c r="AO1204" t="s">
        <v>651</v>
      </c>
      <c r="AP1204" t="s">
        <v>652</v>
      </c>
      <c r="AQ1204" t="s">
        <v>74</v>
      </c>
      <c r="AR1204" t="s">
        <v>653</v>
      </c>
      <c r="AS1204" t="s">
        <v>654</v>
      </c>
      <c r="AT1204" t="s">
        <v>806</v>
      </c>
      <c r="AU1204">
        <v>2011</v>
      </c>
      <c r="AV1204">
        <v>184</v>
      </c>
      <c r="AW1204">
        <v>1</v>
      </c>
      <c r="AX1204" t="s">
        <v>74</v>
      </c>
      <c r="AY1204" t="s">
        <v>74</v>
      </c>
      <c r="AZ1204" t="s">
        <v>74</v>
      </c>
      <c r="BA1204" t="s">
        <v>74</v>
      </c>
      <c r="BB1204">
        <v>116</v>
      </c>
      <c r="BC1204">
        <v>123</v>
      </c>
      <c r="BD1204" t="s">
        <v>74</v>
      </c>
      <c r="BE1204" t="s">
        <v>19672</v>
      </c>
      <c r="BF1204" t="str">
        <f>HYPERLINK("http://dx.doi.org/10.1164/rccm.201006-0905OC","http://dx.doi.org/10.1164/rccm.201006-0905OC")</f>
        <v>http://dx.doi.org/10.1164/rccm.201006-0905OC</v>
      </c>
      <c r="BG1204" t="s">
        <v>74</v>
      </c>
      <c r="BH1204" t="s">
        <v>74</v>
      </c>
      <c r="BI1204">
        <v>8</v>
      </c>
      <c r="BJ1204" t="s">
        <v>341</v>
      </c>
      <c r="BK1204" t="s">
        <v>101</v>
      </c>
      <c r="BL1204" t="s">
        <v>342</v>
      </c>
      <c r="BM1204" t="s">
        <v>19671</v>
      </c>
      <c r="BN1204">
        <v>21471108</v>
      </c>
      <c r="BO1204" t="s">
        <v>74</v>
      </c>
      <c r="BP1204" t="s">
        <v>74</v>
      </c>
      <c r="BQ1204" t="s">
        <v>74</v>
      </c>
      <c r="BR1204" t="s">
        <v>104</v>
      </c>
      <c r="BS1204" t="s">
        <v>19670</v>
      </c>
      <c r="BT1204" t="str">
        <f>HYPERLINK("https%3A%2F%2Fwww.webofscience.com%2Fwos%2Fwoscc%2Ffull-record%2FWOS:000292766700018","View Full Record in Web of Science")</f>
        <v>View Full Record in Web of Science</v>
      </c>
    </row>
    <row r="1205" spans="1:72" x14ac:dyDescent="0.25">
      <c r="A1205" t="s">
        <v>72</v>
      </c>
      <c r="B1205" t="s">
        <v>19669</v>
      </c>
      <c r="C1205" t="s">
        <v>74</v>
      </c>
      <c r="D1205" t="s">
        <v>74</v>
      </c>
      <c r="E1205" t="s">
        <v>74</v>
      </c>
      <c r="F1205" t="s">
        <v>19668</v>
      </c>
      <c r="G1205" t="s">
        <v>74</v>
      </c>
      <c r="H1205" t="s">
        <v>74</v>
      </c>
      <c r="I1205" t="s">
        <v>19667</v>
      </c>
      <c r="J1205" t="s">
        <v>1461</v>
      </c>
      <c r="K1205" t="s">
        <v>74</v>
      </c>
      <c r="L1205" t="s">
        <v>74</v>
      </c>
      <c r="M1205" t="s">
        <v>78</v>
      </c>
      <c r="N1205" t="s">
        <v>299</v>
      </c>
      <c r="O1205" t="s">
        <v>74</v>
      </c>
      <c r="P1205" t="s">
        <v>74</v>
      </c>
      <c r="Q1205" t="s">
        <v>74</v>
      </c>
      <c r="R1205" t="s">
        <v>74</v>
      </c>
      <c r="S1205" t="s">
        <v>74</v>
      </c>
      <c r="T1205" t="s">
        <v>19666</v>
      </c>
      <c r="U1205" t="s">
        <v>19665</v>
      </c>
      <c r="V1205" t="s">
        <v>19664</v>
      </c>
      <c r="W1205" t="s">
        <v>19663</v>
      </c>
      <c r="X1205" t="s">
        <v>18494</v>
      </c>
      <c r="Y1205" t="s">
        <v>19662</v>
      </c>
      <c r="Z1205" t="s">
        <v>15988</v>
      </c>
      <c r="AA1205" t="s">
        <v>9122</v>
      </c>
      <c r="AB1205" t="s">
        <v>19661</v>
      </c>
      <c r="AC1205" t="s">
        <v>19660</v>
      </c>
      <c r="AD1205" t="s">
        <v>19659</v>
      </c>
      <c r="AE1205" t="s">
        <v>19658</v>
      </c>
      <c r="AF1205" t="s">
        <v>74</v>
      </c>
      <c r="AG1205">
        <v>66</v>
      </c>
      <c r="AH1205">
        <v>21</v>
      </c>
      <c r="AI1205">
        <v>21</v>
      </c>
      <c r="AJ1205">
        <v>0</v>
      </c>
      <c r="AK1205">
        <v>6</v>
      </c>
      <c r="AL1205" t="s">
        <v>148</v>
      </c>
      <c r="AM1205" t="s">
        <v>149</v>
      </c>
      <c r="AN1205" t="s">
        <v>150</v>
      </c>
      <c r="AO1205" t="s">
        <v>1470</v>
      </c>
      <c r="AP1205" t="s">
        <v>1471</v>
      </c>
      <c r="AQ1205" t="s">
        <v>74</v>
      </c>
      <c r="AR1205" t="s">
        <v>1472</v>
      </c>
      <c r="AS1205" t="s">
        <v>1473</v>
      </c>
      <c r="AT1205" t="s">
        <v>785</v>
      </c>
      <c r="AU1205">
        <v>2011</v>
      </c>
      <c r="AV1205">
        <v>12</v>
      </c>
      <c r="AW1205">
        <v>10</v>
      </c>
      <c r="AX1205" t="s">
        <v>74</v>
      </c>
      <c r="AY1205" t="s">
        <v>74</v>
      </c>
      <c r="AZ1205" t="s">
        <v>74</v>
      </c>
      <c r="BA1205" t="s">
        <v>74</v>
      </c>
      <c r="BB1205">
        <v>1585</v>
      </c>
      <c r="BC1205">
        <v>1596</v>
      </c>
      <c r="BD1205" t="s">
        <v>74</v>
      </c>
      <c r="BE1205" t="s">
        <v>19657</v>
      </c>
      <c r="BF1205" t="str">
        <f>HYPERLINK("http://dx.doi.org/10.1517/14656566.2011.564159","http://dx.doi.org/10.1517/14656566.2011.564159")</f>
        <v>http://dx.doi.org/10.1517/14656566.2011.564159</v>
      </c>
      <c r="BG1205" t="s">
        <v>74</v>
      </c>
      <c r="BH1205" t="s">
        <v>74</v>
      </c>
      <c r="BI1205">
        <v>12</v>
      </c>
      <c r="BJ1205" t="s">
        <v>1477</v>
      </c>
      <c r="BK1205" t="s">
        <v>101</v>
      </c>
      <c r="BL1205" t="s">
        <v>1477</v>
      </c>
      <c r="BM1205" t="s">
        <v>19656</v>
      </c>
      <c r="BN1205">
        <v>21504371</v>
      </c>
      <c r="BO1205" t="s">
        <v>74</v>
      </c>
      <c r="BP1205" t="s">
        <v>74</v>
      </c>
      <c r="BQ1205" t="s">
        <v>74</v>
      </c>
      <c r="BR1205" t="s">
        <v>104</v>
      </c>
      <c r="BS1205" t="s">
        <v>19655</v>
      </c>
      <c r="BT1205" t="str">
        <f>HYPERLINK("https%3A%2F%2Fwww.webofscience.com%2Fwos%2Fwoscc%2Ffull-record%2FWOS:000291444700013","View Full Record in Web of Science")</f>
        <v>View Full Record in Web of Science</v>
      </c>
    </row>
    <row r="1206" spans="1:72" x14ac:dyDescent="0.25">
      <c r="A1206" t="s">
        <v>72</v>
      </c>
      <c r="B1206" t="s">
        <v>19654</v>
      </c>
      <c r="C1206" t="s">
        <v>74</v>
      </c>
      <c r="D1206" t="s">
        <v>74</v>
      </c>
      <c r="E1206" t="s">
        <v>74</v>
      </c>
      <c r="F1206" t="s">
        <v>19653</v>
      </c>
      <c r="G1206" t="s">
        <v>74</v>
      </c>
      <c r="H1206" t="s">
        <v>74</v>
      </c>
      <c r="I1206" t="s">
        <v>19652</v>
      </c>
      <c r="J1206" t="s">
        <v>19599</v>
      </c>
      <c r="K1206" t="s">
        <v>74</v>
      </c>
      <c r="L1206" t="s">
        <v>74</v>
      </c>
      <c r="M1206" t="s">
        <v>78</v>
      </c>
      <c r="N1206" t="s">
        <v>52</v>
      </c>
      <c r="O1206" t="s">
        <v>19598</v>
      </c>
      <c r="P1206" t="s">
        <v>19597</v>
      </c>
      <c r="Q1206" t="s">
        <v>7094</v>
      </c>
      <c r="R1206" t="s">
        <v>19596</v>
      </c>
      <c r="S1206" t="s">
        <v>74</v>
      </c>
      <c r="T1206" t="s">
        <v>74</v>
      </c>
      <c r="U1206" t="s">
        <v>74</v>
      </c>
      <c r="V1206" t="s">
        <v>74</v>
      </c>
      <c r="W1206" t="s">
        <v>19651</v>
      </c>
      <c r="X1206" t="s">
        <v>19650</v>
      </c>
      <c r="Y1206" t="s">
        <v>74</v>
      </c>
      <c r="Z1206" t="s">
        <v>74</v>
      </c>
      <c r="AA1206" t="s">
        <v>19649</v>
      </c>
      <c r="AB1206" t="s">
        <v>74</v>
      </c>
      <c r="AC1206" t="s">
        <v>74</v>
      </c>
      <c r="AD1206" t="s">
        <v>74</v>
      </c>
      <c r="AE1206" t="s">
        <v>74</v>
      </c>
      <c r="AF1206" t="s">
        <v>74</v>
      </c>
      <c r="AG1206">
        <v>0</v>
      </c>
      <c r="AH1206">
        <v>0</v>
      </c>
      <c r="AI1206">
        <v>0</v>
      </c>
      <c r="AJ1206">
        <v>0</v>
      </c>
      <c r="AK1206">
        <v>0</v>
      </c>
      <c r="AL1206" t="s">
        <v>19592</v>
      </c>
      <c r="AM1206" t="s">
        <v>1114</v>
      </c>
      <c r="AN1206" t="s">
        <v>19591</v>
      </c>
      <c r="AO1206" t="s">
        <v>19590</v>
      </c>
      <c r="AP1206" t="s">
        <v>74</v>
      </c>
      <c r="AQ1206" t="s">
        <v>74</v>
      </c>
      <c r="AR1206" t="s">
        <v>19589</v>
      </c>
      <c r="AS1206" t="s">
        <v>19588</v>
      </c>
      <c r="AT1206" t="s">
        <v>1060</v>
      </c>
      <c r="AU1206">
        <v>2011</v>
      </c>
      <c r="AV1206">
        <v>60</v>
      </c>
      <c r="AW1206" t="s">
        <v>74</v>
      </c>
      <c r="AX1206" t="s">
        <v>74</v>
      </c>
      <c r="AY1206">
        <v>1</v>
      </c>
      <c r="AZ1206" t="s">
        <v>74</v>
      </c>
      <c r="BA1206" t="s">
        <v>74</v>
      </c>
      <c r="BB1206">
        <v>183</v>
      </c>
      <c r="BC1206">
        <v>183</v>
      </c>
      <c r="BD1206" t="s">
        <v>74</v>
      </c>
      <c r="BE1206" t="s">
        <v>74</v>
      </c>
      <c r="BF1206" t="s">
        <v>74</v>
      </c>
      <c r="BG1206" t="s">
        <v>74</v>
      </c>
      <c r="BH1206" t="s">
        <v>74</v>
      </c>
      <c r="BI1206">
        <v>1</v>
      </c>
      <c r="BJ1206" t="s">
        <v>19587</v>
      </c>
      <c r="BK1206" t="s">
        <v>512</v>
      </c>
      <c r="BL1206" t="s">
        <v>19587</v>
      </c>
      <c r="BM1206" t="s">
        <v>19586</v>
      </c>
      <c r="BN1206" t="s">
        <v>74</v>
      </c>
      <c r="BO1206" t="s">
        <v>74</v>
      </c>
      <c r="BP1206" t="s">
        <v>74</v>
      </c>
      <c r="BQ1206" t="s">
        <v>74</v>
      </c>
      <c r="BR1206" t="s">
        <v>104</v>
      </c>
      <c r="BS1206" t="s">
        <v>19648</v>
      </c>
      <c r="BT1206" t="str">
        <f>HYPERLINK("https%3A%2F%2Fwww.webofscience.com%2Fwos%2Fwoscc%2Ffull-record%2FWOS:000291358900500","View Full Record in Web of Science")</f>
        <v>View Full Record in Web of Science</v>
      </c>
    </row>
    <row r="1207" spans="1:72" x14ac:dyDescent="0.25">
      <c r="A1207" t="s">
        <v>72</v>
      </c>
      <c r="B1207" t="s">
        <v>19647</v>
      </c>
      <c r="C1207" t="s">
        <v>74</v>
      </c>
      <c r="D1207" t="s">
        <v>74</v>
      </c>
      <c r="E1207" t="s">
        <v>74</v>
      </c>
      <c r="F1207" t="s">
        <v>19646</v>
      </c>
      <c r="G1207" t="s">
        <v>74</v>
      </c>
      <c r="H1207" t="s">
        <v>74</v>
      </c>
      <c r="I1207" t="s">
        <v>19645</v>
      </c>
      <c r="J1207" t="s">
        <v>216</v>
      </c>
      <c r="K1207" t="s">
        <v>74</v>
      </c>
      <c r="L1207" t="s">
        <v>74</v>
      </c>
      <c r="M1207" t="s">
        <v>78</v>
      </c>
      <c r="N1207" t="s">
        <v>79</v>
      </c>
      <c r="O1207" t="s">
        <v>74</v>
      </c>
      <c r="P1207" t="s">
        <v>74</v>
      </c>
      <c r="Q1207" t="s">
        <v>74</v>
      </c>
      <c r="R1207" t="s">
        <v>74</v>
      </c>
      <c r="S1207" t="s">
        <v>74</v>
      </c>
      <c r="T1207" t="s">
        <v>19644</v>
      </c>
      <c r="U1207" t="s">
        <v>19643</v>
      </c>
      <c r="V1207" t="s">
        <v>19642</v>
      </c>
      <c r="W1207" t="s">
        <v>19641</v>
      </c>
      <c r="X1207" t="s">
        <v>17255</v>
      </c>
      <c r="Y1207" t="s">
        <v>19640</v>
      </c>
      <c r="Z1207" t="s">
        <v>10573</v>
      </c>
      <c r="AA1207" t="s">
        <v>19639</v>
      </c>
      <c r="AB1207" t="s">
        <v>19638</v>
      </c>
      <c r="AC1207" t="s">
        <v>19637</v>
      </c>
      <c r="AD1207" t="s">
        <v>19636</v>
      </c>
      <c r="AE1207" t="s">
        <v>19635</v>
      </c>
      <c r="AF1207" t="s">
        <v>74</v>
      </c>
      <c r="AG1207">
        <v>30</v>
      </c>
      <c r="AH1207">
        <v>74</v>
      </c>
      <c r="AI1207">
        <v>78</v>
      </c>
      <c r="AJ1207">
        <v>0</v>
      </c>
      <c r="AK1207">
        <v>11</v>
      </c>
      <c r="AL1207" t="s">
        <v>219</v>
      </c>
      <c r="AM1207" t="s">
        <v>220</v>
      </c>
      <c r="AN1207" t="s">
        <v>221</v>
      </c>
      <c r="AO1207" t="s">
        <v>222</v>
      </c>
      <c r="AP1207" t="s">
        <v>223</v>
      </c>
      <c r="AQ1207" t="s">
        <v>74</v>
      </c>
      <c r="AR1207" t="s">
        <v>224</v>
      </c>
      <c r="AS1207" t="s">
        <v>225</v>
      </c>
      <c r="AT1207" t="s">
        <v>1060</v>
      </c>
      <c r="AU1207">
        <v>2011</v>
      </c>
      <c r="AV1207">
        <v>37</v>
      </c>
      <c r="AW1207">
        <v>6</v>
      </c>
      <c r="AX1207" t="s">
        <v>74</v>
      </c>
      <c r="AY1207" t="s">
        <v>74</v>
      </c>
      <c r="AZ1207" t="s">
        <v>74</v>
      </c>
      <c r="BA1207" t="s">
        <v>74</v>
      </c>
      <c r="BB1207">
        <v>1392</v>
      </c>
      <c r="BC1207">
        <v>1399</v>
      </c>
      <c r="BD1207" t="s">
        <v>74</v>
      </c>
      <c r="BE1207" t="s">
        <v>19634</v>
      </c>
      <c r="BF1207" t="str">
        <f>HYPERLINK("http://dx.doi.org/10.1183/09031936.00045710","http://dx.doi.org/10.1183/09031936.00045710")</f>
        <v>http://dx.doi.org/10.1183/09031936.00045710</v>
      </c>
      <c r="BG1207" t="s">
        <v>74</v>
      </c>
      <c r="BH1207" t="s">
        <v>74</v>
      </c>
      <c r="BI1207">
        <v>8</v>
      </c>
      <c r="BJ1207" t="s">
        <v>228</v>
      </c>
      <c r="BK1207" t="s">
        <v>101</v>
      </c>
      <c r="BL1207" t="s">
        <v>228</v>
      </c>
      <c r="BM1207" t="s">
        <v>19633</v>
      </c>
      <c r="BN1207">
        <v>20884740</v>
      </c>
      <c r="BO1207" t="s">
        <v>1194</v>
      </c>
      <c r="BP1207" t="s">
        <v>74</v>
      </c>
      <c r="BQ1207" t="s">
        <v>74</v>
      </c>
      <c r="BR1207" t="s">
        <v>104</v>
      </c>
      <c r="BS1207" t="s">
        <v>19632</v>
      </c>
      <c r="BT1207" t="str">
        <f>HYPERLINK("https%3A%2F%2Fwww.webofscience.com%2Fwos%2Fwoscc%2Ffull-record%2FWOS:000291152200013","View Full Record in Web of Science")</f>
        <v>View Full Record in Web of Science</v>
      </c>
    </row>
    <row r="1208" spans="1:72" x14ac:dyDescent="0.25">
      <c r="A1208" t="s">
        <v>72</v>
      </c>
      <c r="B1208" t="s">
        <v>19631</v>
      </c>
      <c r="C1208" t="s">
        <v>74</v>
      </c>
      <c r="D1208" t="s">
        <v>74</v>
      </c>
      <c r="E1208" t="s">
        <v>74</v>
      </c>
      <c r="F1208" t="s">
        <v>19630</v>
      </c>
      <c r="G1208" t="s">
        <v>74</v>
      </c>
      <c r="H1208" t="s">
        <v>74</v>
      </c>
      <c r="I1208" t="s">
        <v>19629</v>
      </c>
      <c r="J1208" t="s">
        <v>19599</v>
      </c>
      <c r="K1208" t="s">
        <v>74</v>
      </c>
      <c r="L1208" t="s">
        <v>74</v>
      </c>
      <c r="M1208" t="s">
        <v>78</v>
      </c>
      <c r="N1208" t="s">
        <v>52</v>
      </c>
      <c r="O1208" t="s">
        <v>19598</v>
      </c>
      <c r="P1208" t="s">
        <v>19597</v>
      </c>
      <c r="Q1208" t="s">
        <v>7094</v>
      </c>
      <c r="R1208" t="s">
        <v>19596</v>
      </c>
      <c r="S1208" t="s">
        <v>74</v>
      </c>
      <c r="T1208" t="s">
        <v>74</v>
      </c>
      <c r="U1208" t="s">
        <v>74</v>
      </c>
      <c r="V1208" t="s">
        <v>74</v>
      </c>
      <c r="W1208" t="s">
        <v>19628</v>
      </c>
      <c r="X1208" t="s">
        <v>11708</v>
      </c>
      <c r="Y1208" t="s">
        <v>74</v>
      </c>
      <c r="Z1208" t="s">
        <v>74</v>
      </c>
      <c r="AA1208" t="s">
        <v>5666</v>
      </c>
      <c r="AB1208" t="s">
        <v>19614</v>
      </c>
      <c r="AC1208" t="s">
        <v>74</v>
      </c>
      <c r="AD1208" t="s">
        <v>74</v>
      </c>
      <c r="AE1208" t="s">
        <v>74</v>
      </c>
      <c r="AF1208" t="s">
        <v>74</v>
      </c>
      <c r="AG1208">
        <v>0</v>
      </c>
      <c r="AH1208">
        <v>0</v>
      </c>
      <c r="AI1208">
        <v>0</v>
      </c>
      <c r="AJ1208">
        <v>0</v>
      </c>
      <c r="AK1208">
        <v>1</v>
      </c>
      <c r="AL1208" t="s">
        <v>19592</v>
      </c>
      <c r="AM1208" t="s">
        <v>1114</v>
      </c>
      <c r="AN1208" t="s">
        <v>19591</v>
      </c>
      <c r="AO1208" t="s">
        <v>19590</v>
      </c>
      <c r="AP1208" t="s">
        <v>74</v>
      </c>
      <c r="AQ1208" t="s">
        <v>74</v>
      </c>
      <c r="AR1208" t="s">
        <v>19589</v>
      </c>
      <c r="AS1208" t="s">
        <v>19588</v>
      </c>
      <c r="AT1208" t="s">
        <v>1060</v>
      </c>
      <c r="AU1208">
        <v>2011</v>
      </c>
      <c r="AV1208">
        <v>60</v>
      </c>
      <c r="AW1208" t="s">
        <v>74</v>
      </c>
      <c r="AX1208" t="s">
        <v>74</v>
      </c>
      <c r="AY1208">
        <v>1</v>
      </c>
      <c r="AZ1208" t="s">
        <v>74</v>
      </c>
      <c r="BA1208" t="s">
        <v>74</v>
      </c>
      <c r="BB1208">
        <v>220</v>
      </c>
      <c r="BC1208">
        <v>221</v>
      </c>
      <c r="BD1208" t="s">
        <v>74</v>
      </c>
      <c r="BE1208" t="s">
        <v>74</v>
      </c>
      <c r="BF1208" t="s">
        <v>74</v>
      </c>
      <c r="BG1208" t="s">
        <v>74</v>
      </c>
      <c r="BH1208" t="s">
        <v>74</v>
      </c>
      <c r="BI1208">
        <v>2</v>
      </c>
      <c r="BJ1208" t="s">
        <v>19587</v>
      </c>
      <c r="BK1208" t="s">
        <v>512</v>
      </c>
      <c r="BL1208" t="s">
        <v>19587</v>
      </c>
      <c r="BM1208" t="s">
        <v>19586</v>
      </c>
      <c r="BN1208" t="s">
        <v>74</v>
      </c>
      <c r="BO1208" t="s">
        <v>74</v>
      </c>
      <c r="BP1208" t="s">
        <v>74</v>
      </c>
      <c r="BQ1208" t="s">
        <v>74</v>
      </c>
      <c r="BR1208" t="s">
        <v>104</v>
      </c>
      <c r="BS1208" t="s">
        <v>19627</v>
      </c>
      <c r="BT1208" t="str">
        <f>HYPERLINK("https%3A%2F%2Fwww.webofscience.com%2Fwos%2Fwoscc%2Ffull-record%2FWOS:000291358900607","View Full Record in Web of Science")</f>
        <v>View Full Record in Web of Science</v>
      </c>
    </row>
    <row r="1209" spans="1:72" x14ac:dyDescent="0.25">
      <c r="A1209" t="s">
        <v>72</v>
      </c>
      <c r="B1209" t="s">
        <v>19626</v>
      </c>
      <c r="C1209" t="s">
        <v>74</v>
      </c>
      <c r="D1209" t="s">
        <v>74</v>
      </c>
      <c r="E1209" t="s">
        <v>74</v>
      </c>
      <c r="F1209" t="s">
        <v>19625</v>
      </c>
      <c r="G1209" t="s">
        <v>74</v>
      </c>
      <c r="H1209" t="s">
        <v>74</v>
      </c>
      <c r="I1209" t="s">
        <v>19624</v>
      </c>
      <c r="J1209" t="s">
        <v>19599</v>
      </c>
      <c r="K1209" t="s">
        <v>74</v>
      </c>
      <c r="L1209" t="s">
        <v>74</v>
      </c>
      <c r="M1209" t="s">
        <v>78</v>
      </c>
      <c r="N1209" t="s">
        <v>52</v>
      </c>
      <c r="O1209" t="s">
        <v>19598</v>
      </c>
      <c r="P1209" t="s">
        <v>19597</v>
      </c>
      <c r="Q1209" t="s">
        <v>7094</v>
      </c>
      <c r="R1209" t="s">
        <v>19596</v>
      </c>
      <c r="S1209" t="s">
        <v>74</v>
      </c>
      <c r="T1209" t="s">
        <v>74</v>
      </c>
      <c r="U1209" t="s">
        <v>74</v>
      </c>
      <c r="V1209" t="s">
        <v>74</v>
      </c>
      <c r="W1209" t="s">
        <v>19623</v>
      </c>
      <c r="X1209" t="s">
        <v>19622</v>
      </c>
      <c r="Y1209" t="s">
        <v>74</v>
      </c>
      <c r="Z1209" t="s">
        <v>74</v>
      </c>
      <c r="AA1209" t="s">
        <v>19621</v>
      </c>
      <c r="AB1209" t="s">
        <v>19620</v>
      </c>
      <c r="AC1209" t="s">
        <v>74</v>
      </c>
      <c r="AD1209" t="s">
        <v>74</v>
      </c>
      <c r="AE1209" t="s">
        <v>74</v>
      </c>
      <c r="AF1209" t="s">
        <v>74</v>
      </c>
      <c r="AG1209">
        <v>0</v>
      </c>
      <c r="AH1209">
        <v>0</v>
      </c>
      <c r="AI1209">
        <v>0</v>
      </c>
      <c r="AJ1209">
        <v>0</v>
      </c>
      <c r="AK1209">
        <v>1</v>
      </c>
      <c r="AL1209" t="s">
        <v>19592</v>
      </c>
      <c r="AM1209" t="s">
        <v>1114</v>
      </c>
      <c r="AN1209" t="s">
        <v>19591</v>
      </c>
      <c r="AO1209" t="s">
        <v>19590</v>
      </c>
      <c r="AP1209" t="s">
        <v>74</v>
      </c>
      <c r="AQ1209" t="s">
        <v>74</v>
      </c>
      <c r="AR1209" t="s">
        <v>19589</v>
      </c>
      <c r="AS1209" t="s">
        <v>19588</v>
      </c>
      <c r="AT1209" t="s">
        <v>1060</v>
      </c>
      <c r="AU1209">
        <v>2011</v>
      </c>
      <c r="AV1209">
        <v>60</v>
      </c>
      <c r="AW1209" t="s">
        <v>74</v>
      </c>
      <c r="AX1209" t="s">
        <v>74</v>
      </c>
      <c r="AY1209">
        <v>1</v>
      </c>
      <c r="AZ1209" t="s">
        <v>74</v>
      </c>
      <c r="BA1209" t="s">
        <v>74</v>
      </c>
      <c r="BB1209">
        <v>184</v>
      </c>
      <c r="BC1209">
        <v>184</v>
      </c>
      <c r="BD1209" t="s">
        <v>74</v>
      </c>
      <c r="BE1209" t="s">
        <v>74</v>
      </c>
      <c r="BF1209" t="s">
        <v>74</v>
      </c>
      <c r="BG1209" t="s">
        <v>74</v>
      </c>
      <c r="BH1209" t="s">
        <v>74</v>
      </c>
      <c r="BI1209">
        <v>1</v>
      </c>
      <c r="BJ1209" t="s">
        <v>19587</v>
      </c>
      <c r="BK1209" t="s">
        <v>512</v>
      </c>
      <c r="BL1209" t="s">
        <v>19587</v>
      </c>
      <c r="BM1209" t="s">
        <v>19586</v>
      </c>
      <c r="BN1209" t="s">
        <v>74</v>
      </c>
      <c r="BO1209" t="s">
        <v>74</v>
      </c>
      <c r="BP1209" t="s">
        <v>74</v>
      </c>
      <c r="BQ1209" t="s">
        <v>74</v>
      </c>
      <c r="BR1209" t="s">
        <v>104</v>
      </c>
      <c r="BS1209" t="s">
        <v>19619</v>
      </c>
      <c r="BT1209" t="str">
        <f>HYPERLINK("https%3A%2F%2Fwww.webofscience.com%2Fwos%2Fwoscc%2Ffull-record%2FWOS:000291358900502","View Full Record in Web of Science")</f>
        <v>View Full Record in Web of Science</v>
      </c>
    </row>
    <row r="1210" spans="1:72" x14ac:dyDescent="0.25">
      <c r="A1210" t="s">
        <v>72</v>
      </c>
      <c r="B1210" t="s">
        <v>19618</v>
      </c>
      <c r="C1210" t="s">
        <v>74</v>
      </c>
      <c r="D1210" t="s">
        <v>74</v>
      </c>
      <c r="E1210" t="s">
        <v>74</v>
      </c>
      <c r="F1210" t="s">
        <v>19617</v>
      </c>
      <c r="G1210" t="s">
        <v>74</v>
      </c>
      <c r="H1210" t="s">
        <v>74</v>
      </c>
      <c r="I1210" t="s">
        <v>19616</v>
      </c>
      <c r="J1210" t="s">
        <v>19599</v>
      </c>
      <c r="K1210" t="s">
        <v>74</v>
      </c>
      <c r="L1210" t="s">
        <v>74</v>
      </c>
      <c r="M1210" t="s">
        <v>78</v>
      </c>
      <c r="N1210" t="s">
        <v>52</v>
      </c>
      <c r="O1210" t="s">
        <v>19598</v>
      </c>
      <c r="P1210" t="s">
        <v>19597</v>
      </c>
      <c r="Q1210" t="s">
        <v>7094</v>
      </c>
      <c r="R1210" t="s">
        <v>19596</v>
      </c>
      <c r="S1210" t="s">
        <v>74</v>
      </c>
      <c r="T1210" t="s">
        <v>74</v>
      </c>
      <c r="U1210" t="s">
        <v>74</v>
      </c>
      <c r="V1210" t="s">
        <v>74</v>
      </c>
      <c r="W1210" t="s">
        <v>19615</v>
      </c>
      <c r="X1210" t="s">
        <v>18494</v>
      </c>
      <c r="Y1210" t="s">
        <v>74</v>
      </c>
      <c r="Z1210" t="s">
        <v>74</v>
      </c>
      <c r="AA1210" t="s">
        <v>5666</v>
      </c>
      <c r="AB1210" t="s">
        <v>19614</v>
      </c>
      <c r="AC1210" t="s">
        <v>74</v>
      </c>
      <c r="AD1210" t="s">
        <v>74</v>
      </c>
      <c r="AE1210" t="s">
        <v>74</v>
      </c>
      <c r="AF1210" t="s">
        <v>74</v>
      </c>
      <c r="AG1210">
        <v>0</v>
      </c>
      <c r="AH1210">
        <v>0</v>
      </c>
      <c r="AI1210">
        <v>0</v>
      </c>
      <c r="AJ1210">
        <v>0</v>
      </c>
      <c r="AK1210">
        <v>1</v>
      </c>
      <c r="AL1210" t="s">
        <v>19592</v>
      </c>
      <c r="AM1210" t="s">
        <v>1114</v>
      </c>
      <c r="AN1210" t="s">
        <v>19591</v>
      </c>
      <c r="AO1210" t="s">
        <v>19590</v>
      </c>
      <c r="AP1210" t="s">
        <v>74</v>
      </c>
      <c r="AQ1210" t="s">
        <v>74</v>
      </c>
      <c r="AR1210" t="s">
        <v>19589</v>
      </c>
      <c r="AS1210" t="s">
        <v>19588</v>
      </c>
      <c r="AT1210" t="s">
        <v>1060</v>
      </c>
      <c r="AU1210">
        <v>2011</v>
      </c>
      <c r="AV1210">
        <v>60</v>
      </c>
      <c r="AW1210" t="s">
        <v>74</v>
      </c>
      <c r="AX1210" t="s">
        <v>74</v>
      </c>
      <c r="AY1210">
        <v>1</v>
      </c>
      <c r="AZ1210" t="s">
        <v>74</v>
      </c>
      <c r="BA1210" t="s">
        <v>74</v>
      </c>
      <c r="BB1210">
        <v>33</v>
      </c>
      <c r="BC1210">
        <v>33</v>
      </c>
      <c r="BD1210" t="s">
        <v>74</v>
      </c>
      <c r="BE1210" t="s">
        <v>74</v>
      </c>
      <c r="BF1210" t="s">
        <v>74</v>
      </c>
      <c r="BG1210" t="s">
        <v>74</v>
      </c>
      <c r="BH1210" t="s">
        <v>74</v>
      </c>
      <c r="BI1210">
        <v>1</v>
      </c>
      <c r="BJ1210" t="s">
        <v>19587</v>
      </c>
      <c r="BK1210" t="s">
        <v>512</v>
      </c>
      <c r="BL1210" t="s">
        <v>19587</v>
      </c>
      <c r="BM1210" t="s">
        <v>19586</v>
      </c>
      <c r="BN1210" t="s">
        <v>74</v>
      </c>
      <c r="BO1210" t="s">
        <v>74</v>
      </c>
      <c r="BP1210" t="s">
        <v>74</v>
      </c>
      <c r="BQ1210" t="s">
        <v>74</v>
      </c>
      <c r="BR1210" t="s">
        <v>104</v>
      </c>
      <c r="BS1210" t="s">
        <v>19613</v>
      </c>
      <c r="BT1210" t="str">
        <f>HYPERLINK("https%3A%2F%2Fwww.webofscience.com%2Fwos%2Fwoscc%2Ffull-record%2FWOS:000291358900078","View Full Record in Web of Science")</f>
        <v>View Full Record in Web of Science</v>
      </c>
    </row>
    <row r="1211" spans="1:72" x14ac:dyDescent="0.25">
      <c r="A1211" t="s">
        <v>72</v>
      </c>
      <c r="B1211" t="s">
        <v>19612</v>
      </c>
      <c r="C1211" t="s">
        <v>74</v>
      </c>
      <c r="D1211" t="s">
        <v>74</v>
      </c>
      <c r="E1211" t="s">
        <v>74</v>
      </c>
      <c r="F1211" t="s">
        <v>19611</v>
      </c>
      <c r="G1211" t="s">
        <v>74</v>
      </c>
      <c r="H1211" t="s">
        <v>74</v>
      </c>
      <c r="I1211" t="s">
        <v>19610</v>
      </c>
      <c r="J1211" t="s">
        <v>324</v>
      </c>
      <c r="K1211" t="s">
        <v>74</v>
      </c>
      <c r="L1211" t="s">
        <v>74</v>
      </c>
      <c r="M1211" t="s">
        <v>78</v>
      </c>
      <c r="N1211" t="s">
        <v>140</v>
      </c>
      <c r="O1211" t="s">
        <v>74</v>
      </c>
      <c r="P1211" t="s">
        <v>74</v>
      </c>
      <c r="Q1211" t="s">
        <v>74</v>
      </c>
      <c r="R1211" t="s">
        <v>74</v>
      </c>
      <c r="S1211" t="s">
        <v>74</v>
      </c>
      <c r="T1211" t="s">
        <v>74</v>
      </c>
      <c r="U1211" t="s">
        <v>19609</v>
      </c>
      <c r="V1211" t="s">
        <v>74</v>
      </c>
      <c r="W1211" t="s">
        <v>19608</v>
      </c>
      <c r="X1211" t="s">
        <v>19607</v>
      </c>
      <c r="Y1211" t="s">
        <v>14576</v>
      </c>
      <c r="Z1211" t="s">
        <v>19606</v>
      </c>
      <c r="AA1211" t="s">
        <v>19605</v>
      </c>
      <c r="AB1211" t="s">
        <v>16844</v>
      </c>
      <c r="AC1211" t="s">
        <v>74</v>
      </c>
      <c r="AD1211" t="s">
        <v>74</v>
      </c>
      <c r="AE1211" t="s">
        <v>74</v>
      </c>
      <c r="AF1211" t="s">
        <v>74</v>
      </c>
      <c r="AG1211">
        <v>10</v>
      </c>
      <c r="AH1211">
        <v>6</v>
      </c>
      <c r="AI1211">
        <v>6</v>
      </c>
      <c r="AJ1211">
        <v>0</v>
      </c>
      <c r="AK1211">
        <v>4</v>
      </c>
      <c r="AL1211" t="s">
        <v>7467</v>
      </c>
      <c r="AM1211" t="s">
        <v>93</v>
      </c>
      <c r="AN1211" t="s">
        <v>7468</v>
      </c>
      <c r="AO1211" t="s">
        <v>337</v>
      </c>
      <c r="AP1211" t="s">
        <v>74</v>
      </c>
      <c r="AQ1211" t="s">
        <v>74</v>
      </c>
      <c r="AR1211" t="s">
        <v>324</v>
      </c>
      <c r="AS1211" t="s">
        <v>339</v>
      </c>
      <c r="AT1211" t="s">
        <v>1060</v>
      </c>
      <c r="AU1211">
        <v>2011</v>
      </c>
      <c r="AV1211">
        <v>139</v>
      </c>
      <c r="AW1211">
        <v>6</v>
      </c>
      <c r="AX1211" t="s">
        <v>74</v>
      </c>
      <c r="AY1211" t="s">
        <v>74</v>
      </c>
      <c r="AZ1211" t="s">
        <v>74</v>
      </c>
      <c r="BA1211" t="s">
        <v>74</v>
      </c>
      <c r="BB1211">
        <v>1263</v>
      </c>
      <c r="BC1211">
        <v>1264</v>
      </c>
      <c r="BD1211" t="s">
        <v>74</v>
      </c>
      <c r="BE1211" t="s">
        <v>19604</v>
      </c>
      <c r="BF1211" t="str">
        <f>HYPERLINK("http://dx.doi.org/10.1378/chest.10-2868","http://dx.doi.org/10.1378/chest.10-2868")</f>
        <v>http://dx.doi.org/10.1378/chest.10-2868</v>
      </c>
      <c r="BG1211" t="s">
        <v>74</v>
      </c>
      <c r="BH1211" t="s">
        <v>74</v>
      </c>
      <c r="BI1211">
        <v>2</v>
      </c>
      <c r="BJ1211" t="s">
        <v>341</v>
      </c>
      <c r="BK1211" t="s">
        <v>101</v>
      </c>
      <c r="BL1211" t="s">
        <v>342</v>
      </c>
      <c r="BM1211" t="s">
        <v>19569</v>
      </c>
      <c r="BN1211">
        <v>21652551</v>
      </c>
      <c r="BO1211" t="s">
        <v>1194</v>
      </c>
      <c r="BP1211" t="s">
        <v>74</v>
      </c>
      <c r="BQ1211" t="s">
        <v>74</v>
      </c>
      <c r="BR1211" t="s">
        <v>104</v>
      </c>
      <c r="BS1211" t="s">
        <v>19603</v>
      </c>
      <c r="BT1211" t="str">
        <f>HYPERLINK("https%3A%2F%2Fwww.webofscience.com%2Fwos%2Fwoscc%2Ffull-record%2FWOS:000291511100001","View Full Record in Web of Science")</f>
        <v>View Full Record in Web of Science</v>
      </c>
    </row>
    <row r="1212" spans="1:72" x14ac:dyDescent="0.25">
      <c r="A1212" t="s">
        <v>72</v>
      </c>
      <c r="B1212" t="s">
        <v>19602</v>
      </c>
      <c r="C1212" t="s">
        <v>74</v>
      </c>
      <c r="D1212" t="s">
        <v>74</v>
      </c>
      <c r="E1212" t="s">
        <v>74</v>
      </c>
      <c r="F1212" t="s">
        <v>19601</v>
      </c>
      <c r="G1212" t="s">
        <v>74</v>
      </c>
      <c r="H1212" t="s">
        <v>74</v>
      </c>
      <c r="I1212" t="s">
        <v>19600</v>
      </c>
      <c r="J1212" t="s">
        <v>19599</v>
      </c>
      <c r="K1212" t="s">
        <v>74</v>
      </c>
      <c r="L1212" t="s">
        <v>74</v>
      </c>
      <c r="M1212" t="s">
        <v>78</v>
      </c>
      <c r="N1212" t="s">
        <v>52</v>
      </c>
      <c r="O1212" t="s">
        <v>19598</v>
      </c>
      <c r="P1212" t="s">
        <v>19597</v>
      </c>
      <c r="Q1212" t="s">
        <v>7094</v>
      </c>
      <c r="R1212" t="s">
        <v>19596</v>
      </c>
      <c r="S1212" t="s">
        <v>74</v>
      </c>
      <c r="T1212" t="s">
        <v>74</v>
      </c>
      <c r="U1212" t="s">
        <v>74</v>
      </c>
      <c r="V1212" t="s">
        <v>74</v>
      </c>
      <c r="W1212" t="s">
        <v>19595</v>
      </c>
      <c r="X1212" t="s">
        <v>19594</v>
      </c>
      <c r="Y1212" t="s">
        <v>74</v>
      </c>
      <c r="Z1212" t="s">
        <v>74</v>
      </c>
      <c r="AA1212" t="s">
        <v>19593</v>
      </c>
      <c r="AB1212" t="s">
        <v>74</v>
      </c>
      <c r="AC1212" t="s">
        <v>74</v>
      </c>
      <c r="AD1212" t="s">
        <v>74</v>
      </c>
      <c r="AE1212" t="s">
        <v>74</v>
      </c>
      <c r="AF1212" t="s">
        <v>74</v>
      </c>
      <c r="AG1212">
        <v>0</v>
      </c>
      <c r="AH1212">
        <v>0</v>
      </c>
      <c r="AI1212">
        <v>0</v>
      </c>
      <c r="AJ1212">
        <v>0</v>
      </c>
      <c r="AK1212">
        <v>2</v>
      </c>
      <c r="AL1212" t="s">
        <v>19592</v>
      </c>
      <c r="AM1212" t="s">
        <v>1114</v>
      </c>
      <c r="AN1212" t="s">
        <v>19591</v>
      </c>
      <c r="AO1212" t="s">
        <v>19590</v>
      </c>
      <c r="AP1212" t="s">
        <v>74</v>
      </c>
      <c r="AQ1212" t="s">
        <v>74</v>
      </c>
      <c r="AR1212" t="s">
        <v>19589</v>
      </c>
      <c r="AS1212" t="s">
        <v>19588</v>
      </c>
      <c r="AT1212" t="s">
        <v>1060</v>
      </c>
      <c r="AU1212">
        <v>2011</v>
      </c>
      <c r="AV1212">
        <v>60</v>
      </c>
      <c r="AW1212" t="s">
        <v>74</v>
      </c>
      <c r="AX1212" t="s">
        <v>74</v>
      </c>
      <c r="AY1212">
        <v>1</v>
      </c>
      <c r="AZ1212" t="s">
        <v>74</v>
      </c>
      <c r="BA1212" t="s">
        <v>74</v>
      </c>
      <c r="BB1212">
        <v>56</v>
      </c>
      <c r="BC1212">
        <v>57</v>
      </c>
      <c r="BD1212" t="s">
        <v>74</v>
      </c>
      <c r="BE1212" t="s">
        <v>74</v>
      </c>
      <c r="BF1212" t="s">
        <v>74</v>
      </c>
      <c r="BG1212" t="s">
        <v>74</v>
      </c>
      <c r="BH1212" t="s">
        <v>74</v>
      </c>
      <c r="BI1212">
        <v>2</v>
      </c>
      <c r="BJ1212" t="s">
        <v>19587</v>
      </c>
      <c r="BK1212" t="s">
        <v>512</v>
      </c>
      <c r="BL1212" t="s">
        <v>19587</v>
      </c>
      <c r="BM1212" t="s">
        <v>19586</v>
      </c>
      <c r="BN1212" t="s">
        <v>74</v>
      </c>
      <c r="BO1212" t="s">
        <v>74</v>
      </c>
      <c r="BP1212" t="s">
        <v>74</v>
      </c>
      <c r="BQ1212" t="s">
        <v>74</v>
      </c>
      <c r="BR1212" t="s">
        <v>104</v>
      </c>
      <c r="BS1212" t="s">
        <v>19585</v>
      </c>
      <c r="BT1212" t="str">
        <f>HYPERLINK("https%3A%2F%2Fwww.webofscience.com%2Fwos%2Fwoscc%2Ffull-record%2FWOS:000291358900141","View Full Record in Web of Science")</f>
        <v>View Full Record in Web of Science</v>
      </c>
    </row>
    <row r="1213" spans="1:72" x14ac:dyDescent="0.25">
      <c r="A1213" t="s">
        <v>72</v>
      </c>
      <c r="B1213" t="s">
        <v>19584</v>
      </c>
      <c r="C1213" t="s">
        <v>74</v>
      </c>
      <c r="D1213" t="s">
        <v>74</v>
      </c>
      <c r="E1213" t="s">
        <v>74</v>
      </c>
      <c r="F1213" t="s">
        <v>19583</v>
      </c>
      <c r="G1213" t="s">
        <v>74</v>
      </c>
      <c r="H1213" t="s">
        <v>74</v>
      </c>
      <c r="I1213" t="s">
        <v>19582</v>
      </c>
      <c r="J1213" t="s">
        <v>324</v>
      </c>
      <c r="K1213" t="s">
        <v>74</v>
      </c>
      <c r="L1213" t="s">
        <v>74</v>
      </c>
      <c r="M1213" t="s">
        <v>78</v>
      </c>
      <c r="N1213" t="s">
        <v>79</v>
      </c>
      <c r="O1213" t="s">
        <v>74</v>
      </c>
      <c r="P1213" t="s">
        <v>74</v>
      </c>
      <c r="Q1213" t="s">
        <v>74</v>
      </c>
      <c r="R1213" t="s">
        <v>74</v>
      </c>
      <c r="S1213" t="s">
        <v>74</v>
      </c>
      <c r="T1213" t="s">
        <v>74</v>
      </c>
      <c r="U1213" t="s">
        <v>19581</v>
      </c>
      <c r="V1213" t="s">
        <v>19580</v>
      </c>
      <c r="W1213" t="s">
        <v>19579</v>
      </c>
      <c r="X1213" t="s">
        <v>19578</v>
      </c>
      <c r="Y1213" t="s">
        <v>19577</v>
      </c>
      <c r="Z1213" t="s">
        <v>19576</v>
      </c>
      <c r="AA1213" t="s">
        <v>19575</v>
      </c>
      <c r="AB1213" t="s">
        <v>19574</v>
      </c>
      <c r="AC1213" t="s">
        <v>19573</v>
      </c>
      <c r="AD1213" t="s">
        <v>19572</v>
      </c>
      <c r="AE1213" t="s">
        <v>19571</v>
      </c>
      <c r="AF1213" t="s">
        <v>74</v>
      </c>
      <c r="AG1213">
        <v>28</v>
      </c>
      <c r="AH1213">
        <v>17</v>
      </c>
      <c r="AI1213">
        <v>18</v>
      </c>
      <c r="AJ1213">
        <v>0</v>
      </c>
      <c r="AK1213">
        <v>1</v>
      </c>
      <c r="AL1213" t="s">
        <v>92</v>
      </c>
      <c r="AM1213" t="s">
        <v>93</v>
      </c>
      <c r="AN1213" t="s">
        <v>94</v>
      </c>
      <c r="AO1213" t="s">
        <v>337</v>
      </c>
      <c r="AP1213" t="s">
        <v>338</v>
      </c>
      <c r="AQ1213" t="s">
        <v>74</v>
      </c>
      <c r="AR1213" t="s">
        <v>324</v>
      </c>
      <c r="AS1213" t="s">
        <v>339</v>
      </c>
      <c r="AT1213" t="s">
        <v>1060</v>
      </c>
      <c r="AU1213">
        <v>2011</v>
      </c>
      <c r="AV1213">
        <v>139</v>
      </c>
      <c r="AW1213">
        <v>6</v>
      </c>
      <c r="AX1213" t="s">
        <v>74</v>
      </c>
      <c r="AY1213" t="s">
        <v>74</v>
      </c>
      <c r="AZ1213" t="s">
        <v>74</v>
      </c>
      <c r="BA1213" t="s">
        <v>74</v>
      </c>
      <c r="BB1213">
        <v>1310</v>
      </c>
      <c r="BC1213">
        <v>1316</v>
      </c>
      <c r="BD1213" t="s">
        <v>74</v>
      </c>
      <c r="BE1213" t="s">
        <v>19570</v>
      </c>
      <c r="BF1213" t="str">
        <f>HYPERLINK("http://dx.doi.org/10.1378/chest.10-1200","http://dx.doi.org/10.1378/chest.10-1200")</f>
        <v>http://dx.doi.org/10.1378/chest.10-1200</v>
      </c>
      <c r="BG1213" t="s">
        <v>74</v>
      </c>
      <c r="BH1213" t="s">
        <v>74</v>
      </c>
      <c r="BI1213">
        <v>7</v>
      </c>
      <c r="BJ1213" t="s">
        <v>341</v>
      </c>
      <c r="BK1213" t="s">
        <v>101</v>
      </c>
      <c r="BL1213" t="s">
        <v>342</v>
      </c>
      <c r="BM1213" t="s">
        <v>19569</v>
      </c>
      <c r="BN1213">
        <v>21051388</v>
      </c>
      <c r="BO1213" t="s">
        <v>74</v>
      </c>
      <c r="BP1213" t="s">
        <v>74</v>
      </c>
      <c r="BQ1213" t="s">
        <v>74</v>
      </c>
      <c r="BR1213" t="s">
        <v>104</v>
      </c>
      <c r="BS1213" t="s">
        <v>19568</v>
      </c>
      <c r="BT1213" t="str">
        <f>HYPERLINK("https%3A%2F%2Fwww.webofscience.com%2Fwos%2Fwoscc%2Ffull-record%2FWOS:000291511100012","View Full Record in Web of Science")</f>
        <v>View Full Record in Web of Science</v>
      </c>
    </row>
    <row r="1214" spans="1:72" x14ac:dyDescent="0.25">
      <c r="A1214" t="s">
        <v>72</v>
      </c>
      <c r="B1214" t="s">
        <v>19567</v>
      </c>
      <c r="C1214" t="s">
        <v>74</v>
      </c>
      <c r="D1214" t="s">
        <v>74</v>
      </c>
      <c r="E1214" t="s">
        <v>74</v>
      </c>
      <c r="F1214" t="s">
        <v>19566</v>
      </c>
      <c r="G1214" t="s">
        <v>74</v>
      </c>
      <c r="H1214" t="s">
        <v>74</v>
      </c>
      <c r="I1214" t="s">
        <v>19565</v>
      </c>
      <c r="J1214" t="s">
        <v>251</v>
      </c>
      <c r="K1214" t="s">
        <v>74</v>
      </c>
      <c r="L1214" t="s">
        <v>74</v>
      </c>
      <c r="M1214" t="s">
        <v>78</v>
      </c>
      <c r="N1214" t="s">
        <v>460</v>
      </c>
      <c r="O1214" t="s">
        <v>74</v>
      </c>
      <c r="P1214" t="s">
        <v>74</v>
      </c>
      <c r="Q1214" t="s">
        <v>74</v>
      </c>
      <c r="R1214" t="s">
        <v>74</v>
      </c>
      <c r="S1214" t="s">
        <v>74</v>
      </c>
      <c r="T1214" t="s">
        <v>74</v>
      </c>
      <c r="U1214" t="s">
        <v>74</v>
      </c>
      <c r="V1214" t="s">
        <v>74</v>
      </c>
      <c r="W1214" t="s">
        <v>19564</v>
      </c>
      <c r="X1214" t="s">
        <v>19563</v>
      </c>
      <c r="Y1214" t="s">
        <v>19562</v>
      </c>
      <c r="Z1214" t="s">
        <v>74</v>
      </c>
      <c r="AA1214" t="s">
        <v>19561</v>
      </c>
      <c r="AB1214" t="s">
        <v>19560</v>
      </c>
      <c r="AC1214" t="s">
        <v>74</v>
      </c>
      <c r="AD1214" t="s">
        <v>74</v>
      </c>
      <c r="AE1214" t="s">
        <v>74</v>
      </c>
      <c r="AF1214" t="s">
        <v>74</v>
      </c>
      <c r="AG1214">
        <v>5</v>
      </c>
      <c r="AH1214">
        <v>5</v>
      </c>
      <c r="AI1214">
        <v>6</v>
      </c>
      <c r="AJ1214">
        <v>0</v>
      </c>
      <c r="AK1214">
        <v>1</v>
      </c>
      <c r="AL1214" t="s">
        <v>122</v>
      </c>
      <c r="AM1214" t="s">
        <v>123</v>
      </c>
      <c r="AN1214" t="s">
        <v>14769</v>
      </c>
      <c r="AO1214" t="s">
        <v>258</v>
      </c>
      <c r="AP1214" t="s">
        <v>74</v>
      </c>
      <c r="AQ1214" t="s">
        <v>74</v>
      </c>
      <c r="AR1214" t="s">
        <v>251</v>
      </c>
      <c r="AS1214" t="s">
        <v>260</v>
      </c>
      <c r="AT1214" t="s">
        <v>19559</v>
      </c>
      <c r="AU1214">
        <v>2011</v>
      </c>
      <c r="AV1214">
        <v>123</v>
      </c>
      <c r="AW1214">
        <v>21</v>
      </c>
      <c r="AX1214" t="s">
        <v>74</v>
      </c>
      <c r="AY1214" t="s">
        <v>74</v>
      </c>
      <c r="AZ1214" t="s">
        <v>74</v>
      </c>
      <c r="BA1214" t="s">
        <v>74</v>
      </c>
      <c r="BB1214" t="s">
        <v>19558</v>
      </c>
      <c r="BC1214" t="s">
        <v>19558</v>
      </c>
      <c r="BD1214" t="s">
        <v>74</v>
      </c>
      <c r="BE1214" t="s">
        <v>19557</v>
      </c>
      <c r="BF1214" t="str">
        <f>HYPERLINK("http://dx.doi.org/10.1161/CIRCULATIONAHA.110.991596","http://dx.doi.org/10.1161/CIRCULATIONAHA.110.991596")</f>
        <v>http://dx.doi.org/10.1161/CIRCULATIONAHA.110.991596</v>
      </c>
      <c r="BG1214" t="s">
        <v>74</v>
      </c>
      <c r="BH1214" t="s">
        <v>74</v>
      </c>
      <c r="BI1214">
        <v>1</v>
      </c>
      <c r="BJ1214" t="s">
        <v>263</v>
      </c>
      <c r="BK1214" t="s">
        <v>101</v>
      </c>
      <c r="BL1214" t="s">
        <v>133</v>
      </c>
      <c r="BM1214" t="s">
        <v>19556</v>
      </c>
      <c r="BN1214">
        <v>21632514</v>
      </c>
      <c r="BO1214" t="s">
        <v>1194</v>
      </c>
      <c r="BP1214" t="s">
        <v>74</v>
      </c>
      <c r="BQ1214" t="s">
        <v>74</v>
      </c>
      <c r="BR1214" t="s">
        <v>104</v>
      </c>
      <c r="BS1214" t="s">
        <v>19555</v>
      </c>
      <c r="BT1214" t="str">
        <f>HYPERLINK("https%3A%2F%2Fwww.webofscience.com%2Fwos%2Fwoscc%2Ffull-record%2FWOS:000291104000003","View Full Record in Web of Science")</f>
        <v>View Full Record in Web of Science</v>
      </c>
    </row>
    <row r="1215" spans="1:72" x14ac:dyDescent="0.25">
      <c r="A1215" t="s">
        <v>72</v>
      </c>
      <c r="B1215" t="s">
        <v>19554</v>
      </c>
      <c r="C1215" t="s">
        <v>74</v>
      </c>
      <c r="D1215" t="s">
        <v>74</v>
      </c>
      <c r="E1215" t="s">
        <v>74</v>
      </c>
      <c r="F1215" t="s">
        <v>19553</v>
      </c>
      <c r="G1215" t="s">
        <v>74</v>
      </c>
      <c r="H1215" t="s">
        <v>74</v>
      </c>
      <c r="I1215" t="s">
        <v>19552</v>
      </c>
      <c r="J1215" t="s">
        <v>637</v>
      </c>
      <c r="K1215" t="s">
        <v>74</v>
      </c>
      <c r="L1215" t="s">
        <v>74</v>
      </c>
      <c r="M1215" t="s">
        <v>78</v>
      </c>
      <c r="N1215" t="s">
        <v>79</v>
      </c>
      <c r="O1215" t="s">
        <v>74</v>
      </c>
      <c r="P1215" t="s">
        <v>74</v>
      </c>
      <c r="Q1215" t="s">
        <v>74</v>
      </c>
      <c r="R1215" t="s">
        <v>74</v>
      </c>
      <c r="S1215" t="s">
        <v>74</v>
      </c>
      <c r="T1215" t="s">
        <v>19551</v>
      </c>
      <c r="U1215" t="s">
        <v>19550</v>
      </c>
      <c r="V1215" t="s">
        <v>19549</v>
      </c>
      <c r="W1215" t="s">
        <v>19548</v>
      </c>
      <c r="X1215" t="s">
        <v>19547</v>
      </c>
      <c r="Y1215" t="s">
        <v>19546</v>
      </c>
      <c r="Z1215" t="s">
        <v>19545</v>
      </c>
      <c r="AA1215" t="s">
        <v>19544</v>
      </c>
      <c r="AB1215" t="s">
        <v>19543</v>
      </c>
      <c r="AC1215" t="s">
        <v>19542</v>
      </c>
      <c r="AD1215" t="s">
        <v>19541</v>
      </c>
      <c r="AE1215" t="s">
        <v>19540</v>
      </c>
      <c r="AF1215" t="s">
        <v>74</v>
      </c>
      <c r="AG1215">
        <v>42</v>
      </c>
      <c r="AH1215">
        <v>69</v>
      </c>
      <c r="AI1215">
        <v>72</v>
      </c>
      <c r="AJ1215">
        <v>0</v>
      </c>
      <c r="AK1215">
        <v>10</v>
      </c>
      <c r="AL1215" t="s">
        <v>649</v>
      </c>
      <c r="AM1215" t="s">
        <v>486</v>
      </c>
      <c r="AN1215" t="s">
        <v>650</v>
      </c>
      <c r="AO1215" t="s">
        <v>651</v>
      </c>
      <c r="AP1215" t="s">
        <v>652</v>
      </c>
      <c r="AQ1215" t="s">
        <v>74</v>
      </c>
      <c r="AR1215" t="s">
        <v>653</v>
      </c>
      <c r="AS1215" t="s">
        <v>654</v>
      </c>
      <c r="AT1215" t="s">
        <v>8773</v>
      </c>
      <c r="AU1215">
        <v>2011</v>
      </c>
      <c r="AV1215">
        <v>183</v>
      </c>
      <c r="AW1215">
        <v>10</v>
      </c>
      <c r="AX1215" t="s">
        <v>74</v>
      </c>
      <c r="AY1215" t="s">
        <v>74</v>
      </c>
      <c r="AZ1215" t="s">
        <v>74</v>
      </c>
      <c r="BA1215" t="s">
        <v>74</v>
      </c>
      <c r="BB1215">
        <v>1411</v>
      </c>
      <c r="BC1215">
        <v>1418</v>
      </c>
      <c r="BD1215" t="s">
        <v>74</v>
      </c>
      <c r="BE1215" t="s">
        <v>19539</v>
      </c>
      <c r="BF1215" t="str">
        <f>HYPERLINK("http://dx.doi.org/10.1164/rccm.201003-0354OC","http://dx.doi.org/10.1164/rccm.201003-0354OC")</f>
        <v>http://dx.doi.org/10.1164/rccm.201003-0354OC</v>
      </c>
      <c r="BG1215" t="s">
        <v>74</v>
      </c>
      <c r="BH1215" t="s">
        <v>74</v>
      </c>
      <c r="BI1215">
        <v>8</v>
      </c>
      <c r="BJ1215" t="s">
        <v>341</v>
      </c>
      <c r="BK1215" t="s">
        <v>101</v>
      </c>
      <c r="BL1215" t="s">
        <v>342</v>
      </c>
      <c r="BM1215" t="s">
        <v>19538</v>
      </c>
      <c r="BN1215">
        <v>21131469</v>
      </c>
      <c r="BO1215" t="s">
        <v>74</v>
      </c>
      <c r="BP1215" t="s">
        <v>74</v>
      </c>
      <c r="BQ1215" t="s">
        <v>74</v>
      </c>
      <c r="BR1215" t="s">
        <v>104</v>
      </c>
      <c r="BS1215" t="s">
        <v>19537</v>
      </c>
      <c r="BT1215" t="str">
        <f>HYPERLINK("https%3A%2F%2Fwww.webofscience.com%2Fwos%2Fwoscc%2Ffull-record%2FWOS:000291186500021","View Full Record in Web of Science")</f>
        <v>View Full Record in Web of Science</v>
      </c>
    </row>
    <row r="1216" spans="1:72" x14ac:dyDescent="0.25">
      <c r="A1216" t="s">
        <v>72</v>
      </c>
      <c r="B1216" t="s">
        <v>19536</v>
      </c>
      <c r="C1216" t="s">
        <v>74</v>
      </c>
      <c r="D1216" t="s">
        <v>74</v>
      </c>
      <c r="E1216" t="s">
        <v>74</v>
      </c>
      <c r="F1216" t="s">
        <v>19535</v>
      </c>
      <c r="G1216" t="s">
        <v>74</v>
      </c>
      <c r="H1216" t="s">
        <v>74</v>
      </c>
      <c r="I1216" t="s">
        <v>19534</v>
      </c>
      <c r="J1216" t="s">
        <v>5624</v>
      </c>
      <c r="K1216" t="s">
        <v>74</v>
      </c>
      <c r="L1216" t="s">
        <v>74</v>
      </c>
      <c r="M1216" t="s">
        <v>78</v>
      </c>
      <c r="N1216" t="s">
        <v>79</v>
      </c>
      <c r="O1216" t="s">
        <v>74</v>
      </c>
      <c r="P1216" t="s">
        <v>74</v>
      </c>
      <c r="Q1216" t="s">
        <v>74</v>
      </c>
      <c r="R1216" t="s">
        <v>74</v>
      </c>
      <c r="S1216" t="s">
        <v>74</v>
      </c>
      <c r="T1216" t="s">
        <v>19533</v>
      </c>
      <c r="U1216" t="s">
        <v>19532</v>
      </c>
      <c r="V1216" t="s">
        <v>19531</v>
      </c>
      <c r="W1216" t="s">
        <v>19530</v>
      </c>
      <c r="X1216" t="s">
        <v>19529</v>
      </c>
      <c r="Y1216" t="s">
        <v>19528</v>
      </c>
      <c r="Z1216" t="s">
        <v>4563</v>
      </c>
      <c r="AA1216" t="s">
        <v>19527</v>
      </c>
      <c r="AB1216" t="s">
        <v>19526</v>
      </c>
      <c r="AC1216" t="s">
        <v>19525</v>
      </c>
      <c r="AD1216" t="s">
        <v>19524</v>
      </c>
      <c r="AE1216" t="s">
        <v>19523</v>
      </c>
      <c r="AF1216" t="s">
        <v>74</v>
      </c>
      <c r="AG1216">
        <v>13</v>
      </c>
      <c r="AH1216">
        <v>129</v>
      </c>
      <c r="AI1216">
        <v>144</v>
      </c>
      <c r="AJ1216">
        <v>0</v>
      </c>
      <c r="AK1216">
        <v>8</v>
      </c>
      <c r="AL1216" t="s">
        <v>10904</v>
      </c>
      <c r="AM1216" t="s">
        <v>170</v>
      </c>
      <c r="AN1216" t="s">
        <v>171</v>
      </c>
      <c r="AO1216" t="s">
        <v>5636</v>
      </c>
      <c r="AP1216" t="s">
        <v>5637</v>
      </c>
      <c r="AQ1216" t="s">
        <v>74</v>
      </c>
      <c r="AR1216" t="s">
        <v>5624</v>
      </c>
      <c r="AS1216" t="s">
        <v>601</v>
      </c>
      <c r="AT1216" t="s">
        <v>2097</v>
      </c>
      <c r="AU1216">
        <v>2011</v>
      </c>
      <c r="AV1216">
        <v>66</v>
      </c>
      <c r="AW1216">
        <v>5</v>
      </c>
      <c r="AX1216" t="s">
        <v>74</v>
      </c>
      <c r="AY1216" t="s">
        <v>74</v>
      </c>
      <c r="AZ1216" t="s">
        <v>74</v>
      </c>
      <c r="BA1216" t="s">
        <v>74</v>
      </c>
      <c r="BB1216">
        <v>671</v>
      </c>
      <c r="BC1216">
        <v>678</v>
      </c>
      <c r="BD1216" t="s">
        <v>74</v>
      </c>
      <c r="BE1216" t="s">
        <v>19522</v>
      </c>
      <c r="BF1216" t="str">
        <f>HYPERLINK("http://dx.doi.org/10.1111/j.1398-9995.2010.02522.x","http://dx.doi.org/10.1111/j.1398-9995.2010.02522.x")</f>
        <v>http://dx.doi.org/10.1111/j.1398-9995.2010.02522.x</v>
      </c>
      <c r="BG1216" t="s">
        <v>74</v>
      </c>
      <c r="BH1216" t="s">
        <v>74</v>
      </c>
      <c r="BI1216">
        <v>8</v>
      </c>
      <c r="BJ1216" t="s">
        <v>3085</v>
      </c>
      <c r="BK1216" t="s">
        <v>101</v>
      </c>
      <c r="BL1216" t="s">
        <v>3085</v>
      </c>
      <c r="BM1216" t="s">
        <v>19521</v>
      </c>
      <c r="BN1216">
        <v>21255035</v>
      </c>
      <c r="BO1216" t="s">
        <v>74</v>
      </c>
      <c r="BP1216" t="s">
        <v>74</v>
      </c>
      <c r="BQ1216" t="s">
        <v>74</v>
      </c>
      <c r="BR1216" t="s">
        <v>104</v>
      </c>
      <c r="BS1216" t="s">
        <v>19520</v>
      </c>
      <c r="BT1216" t="str">
        <f>HYPERLINK("https%3A%2F%2Fwww.webofscience.com%2Fwos%2Fwoscc%2Ffull-record%2FWOS:000289254800013","View Full Record in Web of Science")</f>
        <v>View Full Record in Web of Science</v>
      </c>
    </row>
    <row r="1217" spans="1:72" x14ac:dyDescent="0.25">
      <c r="A1217" t="s">
        <v>72</v>
      </c>
      <c r="B1217" t="s">
        <v>19519</v>
      </c>
      <c r="C1217" t="s">
        <v>74</v>
      </c>
      <c r="D1217" t="s">
        <v>74</v>
      </c>
      <c r="E1217" t="s">
        <v>74</v>
      </c>
      <c r="F1217" t="s">
        <v>19518</v>
      </c>
      <c r="G1217" t="s">
        <v>74</v>
      </c>
      <c r="H1217" t="s">
        <v>74</v>
      </c>
      <c r="I1217" t="s">
        <v>19517</v>
      </c>
      <c r="J1217" t="s">
        <v>11031</v>
      </c>
      <c r="K1217" t="s">
        <v>74</v>
      </c>
      <c r="L1217" t="s">
        <v>74</v>
      </c>
      <c r="M1217" t="s">
        <v>78</v>
      </c>
      <c r="N1217" t="s">
        <v>79</v>
      </c>
      <c r="O1217" t="s">
        <v>74</v>
      </c>
      <c r="P1217" t="s">
        <v>74</v>
      </c>
      <c r="Q1217" t="s">
        <v>74</v>
      </c>
      <c r="R1217" t="s">
        <v>74</v>
      </c>
      <c r="S1217" t="s">
        <v>74</v>
      </c>
      <c r="T1217" t="s">
        <v>74</v>
      </c>
      <c r="U1217" t="s">
        <v>19516</v>
      </c>
      <c r="V1217" t="s">
        <v>19515</v>
      </c>
      <c r="W1217" t="s">
        <v>19514</v>
      </c>
      <c r="X1217" t="s">
        <v>19513</v>
      </c>
      <c r="Y1217" t="s">
        <v>19512</v>
      </c>
      <c r="Z1217" t="s">
        <v>7825</v>
      </c>
      <c r="AA1217" t="s">
        <v>19511</v>
      </c>
      <c r="AB1217" t="s">
        <v>19510</v>
      </c>
      <c r="AC1217" t="s">
        <v>74</v>
      </c>
      <c r="AD1217" t="s">
        <v>74</v>
      </c>
      <c r="AE1217" t="s">
        <v>74</v>
      </c>
      <c r="AF1217" t="s">
        <v>74</v>
      </c>
      <c r="AG1217">
        <v>50</v>
      </c>
      <c r="AH1217">
        <v>44</v>
      </c>
      <c r="AI1217">
        <v>45</v>
      </c>
      <c r="AJ1217">
        <v>0</v>
      </c>
      <c r="AK1217">
        <v>3</v>
      </c>
      <c r="AL1217" t="s">
        <v>122</v>
      </c>
      <c r="AM1217" t="s">
        <v>123</v>
      </c>
      <c r="AN1217" t="s">
        <v>124</v>
      </c>
      <c r="AO1217" t="s">
        <v>11040</v>
      </c>
      <c r="AP1217" t="s">
        <v>11041</v>
      </c>
      <c r="AQ1217" t="s">
        <v>74</v>
      </c>
      <c r="AR1217" t="s">
        <v>11031</v>
      </c>
      <c r="AS1217" t="s">
        <v>11042</v>
      </c>
      <c r="AT1217" t="s">
        <v>2097</v>
      </c>
      <c r="AU1217">
        <v>2011</v>
      </c>
      <c r="AV1217">
        <v>90</v>
      </c>
      <c r="AW1217">
        <v>3</v>
      </c>
      <c r="AX1217" t="s">
        <v>74</v>
      </c>
      <c r="AY1217" t="s">
        <v>74</v>
      </c>
      <c r="AZ1217" t="s">
        <v>74</v>
      </c>
      <c r="BA1217" t="s">
        <v>74</v>
      </c>
      <c r="BB1217">
        <v>201</v>
      </c>
      <c r="BC1217">
        <v>211</v>
      </c>
      <c r="BD1217" t="s">
        <v>74</v>
      </c>
      <c r="BE1217" t="s">
        <v>19509</v>
      </c>
      <c r="BF1217" t="str">
        <f>HYPERLINK("http://dx.doi.org/10.1097/MD.0b013e31821be2b7","http://dx.doi.org/10.1097/MD.0b013e31821be2b7")</f>
        <v>http://dx.doi.org/10.1097/MD.0b013e31821be2b7</v>
      </c>
      <c r="BG1217" t="s">
        <v>74</v>
      </c>
      <c r="BH1217" t="s">
        <v>74</v>
      </c>
      <c r="BI1217">
        <v>11</v>
      </c>
      <c r="BJ1217" t="s">
        <v>1152</v>
      </c>
      <c r="BK1217" t="s">
        <v>101</v>
      </c>
      <c r="BL1217" t="s">
        <v>1153</v>
      </c>
      <c r="BM1217" t="s">
        <v>19508</v>
      </c>
      <c r="BN1217">
        <v>21512413</v>
      </c>
      <c r="BO1217" t="s">
        <v>1194</v>
      </c>
      <c r="BP1217" t="s">
        <v>74</v>
      </c>
      <c r="BQ1217" t="s">
        <v>74</v>
      </c>
      <c r="BR1217" t="s">
        <v>104</v>
      </c>
      <c r="BS1217" t="s">
        <v>19507</v>
      </c>
      <c r="BT1217" t="str">
        <f>HYPERLINK("https%3A%2F%2Fwww.webofscience.com%2Fwos%2Fwoscc%2Ffull-record%2FWOS:000290201200007","View Full Record in Web of Science")</f>
        <v>View Full Record in Web of Science</v>
      </c>
    </row>
    <row r="1218" spans="1:72" x14ac:dyDescent="0.25">
      <c r="A1218" t="s">
        <v>72</v>
      </c>
      <c r="B1218" t="s">
        <v>19506</v>
      </c>
      <c r="C1218" t="s">
        <v>74</v>
      </c>
      <c r="D1218" t="s">
        <v>74</v>
      </c>
      <c r="E1218" t="s">
        <v>74</v>
      </c>
      <c r="F1218" t="s">
        <v>19505</v>
      </c>
      <c r="G1218" t="s">
        <v>74</v>
      </c>
      <c r="H1218" t="s">
        <v>74</v>
      </c>
      <c r="I1218" t="s">
        <v>19504</v>
      </c>
      <c r="J1218" t="s">
        <v>1843</v>
      </c>
      <c r="K1218" t="s">
        <v>74</v>
      </c>
      <c r="L1218" t="s">
        <v>74</v>
      </c>
      <c r="M1218" t="s">
        <v>78</v>
      </c>
      <c r="N1218" t="s">
        <v>79</v>
      </c>
      <c r="O1218" t="s">
        <v>74</v>
      </c>
      <c r="P1218" t="s">
        <v>74</v>
      </c>
      <c r="Q1218" t="s">
        <v>74</v>
      </c>
      <c r="R1218" t="s">
        <v>74</v>
      </c>
      <c r="S1218" t="s">
        <v>74</v>
      </c>
      <c r="T1218" t="s">
        <v>74</v>
      </c>
      <c r="U1218" t="s">
        <v>19503</v>
      </c>
      <c r="V1218" t="s">
        <v>19502</v>
      </c>
      <c r="W1218" t="s">
        <v>19501</v>
      </c>
      <c r="X1218" t="s">
        <v>19500</v>
      </c>
      <c r="Y1218" t="s">
        <v>19499</v>
      </c>
      <c r="Z1218" t="s">
        <v>12460</v>
      </c>
      <c r="AA1218" t="s">
        <v>19498</v>
      </c>
      <c r="AB1218" t="s">
        <v>19497</v>
      </c>
      <c r="AC1218" t="s">
        <v>19496</v>
      </c>
      <c r="AD1218" t="s">
        <v>19495</v>
      </c>
      <c r="AE1218" t="s">
        <v>19494</v>
      </c>
      <c r="AF1218" t="s">
        <v>74</v>
      </c>
      <c r="AG1218">
        <v>13</v>
      </c>
      <c r="AH1218">
        <v>54</v>
      </c>
      <c r="AI1218">
        <v>58</v>
      </c>
      <c r="AJ1218">
        <v>0</v>
      </c>
      <c r="AK1218">
        <v>2</v>
      </c>
      <c r="AL1218" t="s">
        <v>16379</v>
      </c>
      <c r="AM1218" t="s">
        <v>201</v>
      </c>
      <c r="AN1218" t="s">
        <v>16378</v>
      </c>
      <c r="AO1218" t="s">
        <v>1856</v>
      </c>
      <c r="AP1218" t="s">
        <v>74</v>
      </c>
      <c r="AQ1218" t="s">
        <v>74</v>
      </c>
      <c r="AR1218" t="s">
        <v>1857</v>
      </c>
      <c r="AS1218" t="s">
        <v>1858</v>
      </c>
      <c r="AT1218" t="s">
        <v>2161</v>
      </c>
      <c r="AU1218">
        <v>2011</v>
      </c>
      <c r="AV1218">
        <v>12</v>
      </c>
      <c r="AW1218" t="s">
        <v>74</v>
      </c>
      <c r="AX1218" t="s">
        <v>74</v>
      </c>
      <c r="AY1218" t="s">
        <v>74</v>
      </c>
      <c r="AZ1218" t="s">
        <v>74</v>
      </c>
      <c r="BA1218" t="s">
        <v>74</v>
      </c>
      <c r="BB1218" t="s">
        <v>74</v>
      </c>
      <c r="BC1218" t="s">
        <v>74</v>
      </c>
      <c r="BD1218">
        <v>38</v>
      </c>
      <c r="BE1218" t="s">
        <v>19493</v>
      </c>
      <c r="BF1218" t="str">
        <f>HYPERLINK("http://dx.doi.org/10.1186/1465-9921-12-38","http://dx.doi.org/10.1186/1465-9921-12-38")</f>
        <v>http://dx.doi.org/10.1186/1465-9921-12-38</v>
      </c>
      <c r="BG1218" t="s">
        <v>74</v>
      </c>
      <c r="BH1218" t="s">
        <v>74</v>
      </c>
      <c r="BI1218">
        <v>11</v>
      </c>
      <c r="BJ1218" t="s">
        <v>228</v>
      </c>
      <c r="BK1218" t="s">
        <v>101</v>
      </c>
      <c r="BL1218" t="s">
        <v>228</v>
      </c>
      <c r="BM1218" t="s">
        <v>19492</v>
      </c>
      <c r="BN1218">
        <v>21463522</v>
      </c>
      <c r="BO1218" t="s">
        <v>809</v>
      </c>
      <c r="BP1218" t="s">
        <v>74</v>
      </c>
      <c r="BQ1218" t="s">
        <v>74</v>
      </c>
      <c r="BR1218" t="s">
        <v>104</v>
      </c>
      <c r="BS1218" t="s">
        <v>19491</v>
      </c>
      <c r="BT1218" t="str">
        <f>HYPERLINK("https%3A%2F%2Fwww.webofscience.com%2Fwos%2Fwoscc%2Ffull-record%2FWOS:000289887100001","View Full Record in Web of Science")</f>
        <v>View Full Record in Web of Science</v>
      </c>
    </row>
    <row r="1219" spans="1:72" x14ac:dyDescent="0.25">
      <c r="A1219" t="s">
        <v>72</v>
      </c>
      <c r="B1219" t="s">
        <v>18346</v>
      </c>
      <c r="C1219" t="s">
        <v>74</v>
      </c>
      <c r="D1219" t="s">
        <v>74</v>
      </c>
      <c r="E1219" t="s">
        <v>74</v>
      </c>
      <c r="F1219" t="s">
        <v>19490</v>
      </c>
      <c r="G1219" t="s">
        <v>74</v>
      </c>
      <c r="H1219" t="s">
        <v>74</v>
      </c>
      <c r="I1219" t="s">
        <v>19489</v>
      </c>
      <c r="J1219" t="s">
        <v>1068</v>
      </c>
      <c r="K1219" t="s">
        <v>74</v>
      </c>
      <c r="L1219" t="s">
        <v>74</v>
      </c>
      <c r="M1219" t="s">
        <v>78</v>
      </c>
      <c r="N1219" t="s">
        <v>217</v>
      </c>
      <c r="O1219" t="s">
        <v>74</v>
      </c>
      <c r="P1219" t="s">
        <v>74</v>
      </c>
      <c r="Q1219" t="s">
        <v>74</v>
      </c>
      <c r="R1219" t="s">
        <v>74</v>
      </c>
      <c r="S1219" t="s">
        <v>74</v>
      </c>
      <c r="T1219" t="s">
        <v>74</v>
      </c>
      <c r="U1219" t="s">
        <v>74</v>
      </c>
      <c r="V1219" t="s">
        <v>74</v>
      </c>
      <c r="W1219" t="s">
        <v>74</v>
      </c>
      <c r="X1219" t="s">
        <v>74</v>
      </c>
      <c r="Y1219" t="s">
        <v>74</v>
      </c>
      <c r="Z1219" t="s">
        <v>74</v>
      </c>
      <c r="AA1219" t="s">
        <v>19488</v>
      </c>
      <c r="AB1219" t="s">
        <v>19487</v>
      </c>
      <c r="AC1219" t="s">
        <v>74</v>
      </c>
      <c r="AD1219" t="s">
        <v>74</v>
      </c>
      <c r="AE1219" t="s">
        <v>74</v>
      </c>
      <c r="AF1219" t="s">
        <v>74</v>
      </c>
      <c r="AG1219">
        <v>1</v>
      </c>
      <c r="AH1219">
        <v>12</v>
      </c>
      <c r="AI1219">
        <v>14</v>
      </c>
      <c r="AJ1219">
        <v>0</v>
      </c>
      <c r="AK1219">
        <v>14</v>
      </c>
      <c r="AL1219" t="s">
        <v>1073</v>
      </c>
      <c r="AM1219" t="s">
        <v>1074</v>
      </c>
      <c r="AN1219" t="s">
        <v>1075</v>
      </c>
      <c r="AO1219" t="s">
        <v>1076</v>
      </c>
      <c r="AP1219" t="s">
        <v>74</v>
      </c>
      <c r="AQ1219" t="s">
        <v>74</v>
      </c>
      <c r="AR1219" t="s">
        <v>1078</v>
      </c>
      <c r="AS1219" t="s">
        <v>1079</v>
      </c>
      <c r="AT1219" t="s">
        <v>997</v>
      </c>
      <c r="AU1219">
        <v>2011</v>
      </c>
      <c r="AV1219">
        <v>32</v>
      </c>
      <c r="AW1219">
        <v>8</v>
      </c>
      <c r="AX1219" t="s">
        <v>74</v>
      </c>
      <c r="AY1219" t="s">
        <v>74</v>
      </c>
      <c r="AZ1219" t="s">
        <v>74</v>
      </c>
      <c r="BA1219" t="s">
        <v>74</v>
      </c>
      <c r="BB1219">
        <v>926</v>
      </c>
      <c r="BC1219">
        <v>926</v>
      </c>
      <c r="BD1219" t="s">
        <v>74</v>
      </c>
      <c r="BE1219" t="s">
        <v>74</v>
      </c>
      <c r="BF1219" t="s">
        <v>74</v>
      </c>
      <c r="BG1219" t="s">
        <v>74</v>
      </c>
      <c r="BH1219" t="s">
        <v>74</v>
      </c>
      <c r="BI1219">
        <v>1</v>
      </c>
      <c r="BJ1219" t="s">
        <v>132</v>
      </c>
      <c r="BK1219" t="s">
        <v>101</v>
      </c>
      <c r="BL1219" t="s">
        <v>133</v>
      </c>
      <c r="BM1219" t="s">
        <v>19486</v>
      </c>
      <c r="BN1219" t="s">
        <v>74</v>
      </c>
      <c r="BO1219" t="s">
        <v>74</v>
      </c>
      <c r="BP1219" t="s">
        <v>74</v>
      </c>
      <c r="BQ1219" t="s">
        <v>74</v>
      </c>
      <c r="BR1219" t="s">
        <v>104</v>
      </c>
      <c r="BS1219" t="s">
        <v>19485</v>
      </c>
      <c r="BT1219" t="str">
        <f>HYPERLINK("https%3A%2F%2Fwww.webofscience.com%2Fwos%2Fwoscc%2Ffull-record%2FWOS:000289581600008","View Full Record in Web of Science")</f>
        <v>View Full Record in Web of Science</v>
      </c>
    </row>
    <row r="1220" spans="1:72" x14ac:dyDescent="0.25">
      <c r="A1220" t="s">
        <v>72</v>
      </c>
      <c r="B1220" t="s">
        <v>19484</v>
      </c>
      <c r="C1220" t="s">
        <v>74</v>
      </c>
      <c r="D1220" t="s">
        <v>74</v>
      </c>
      <c r="E1220" t="s">
        <v>74</v>
      </c>
      <c r="F1220" t="s">
        <v>19483</v>
      </c>
      <c r="G1220" t="s">
        <v>74</v>
      </c>
      <c r="H1220" t="s">
        <v>74</v>
      </c>
      <c r="I1220" t="s">
        <v>19482</v>
      </c>
      <c r="J1220" t="s">
        <v>1728</v>
      </c>
      <c r="K1220" t="s">
        <v>74</v>
      </c>
      <c r="L1220" t="s">
        <v>74</v>
      </c>
      <c r="M1220" t="s">
        <v>78</v>
      </c>
      <c r="N1220" t="s">
        <v>299</v>
      </c>
      <c r="O1220" t="s">
        <v>74</v>
      </c>
      <c r="P1220" t="s">
        <v>74</v>
      </c>
      <c r="Q1220" t="s">
        <v>74</v>
      </c>
      <c r="R1220" t="s">
        <v>74</v>
      </c>
      <c r="S1220" t="s">
        <v>74</v>
      </c>
      <c r="T1220" t="s">
        <v>19481</v>
      </c>
      <c r="U1220" t="s">
        <v>19480</v>
      </c>
      <c r="V1220" t="s">
        <v>19479</v>
      </c>
      <c r="W1220" t="s">
        <v>19478</v>
      </c>
      <c r="X1220" t="s">
        <v>19477</v>
      </c>
      <c r="Y1220" t="s">
        <v>18858</v>
      </c>
      <c r="Z1220" t="s">
        <v>17425</v>
      </c>
      <c r="AA1220" t="s">
        <v>19476</v>
      </c>
      <c r="AB1220" t="s">
        <v>19475</v>
      </c>
      <c r="AC1220" t="s">
        <v>74</v>
      </c>
      <c r="AD1220" t="s">
        <v>74</v>
      </c>
      <c r="AE1220" t="s">
        <v>74</v>
      </c>
      <c r="AF1220" t="s">
        <v>74</v>
      </c>
      <c r="AG1220">
        <v>95</v>
      </c>
      <c r="AH1220">
        <v>37</v>
      </c>
      <c r="AI1220">
        <v>41</v>
      </c>
      <c r="AJ1220">
        <v>0</v>
      </c>
      <c r="AK1220">
        <v>6</v>
      </c>
      <c r="AL1220" t="s">
        <v>148</v>
      </c>
      <c r="AM1220" t="s">
        <v>149</v>
      </c>
      <c r="AN1220" t="s">
        <v>150</v>
      </c>
      <c r="AO1220" t="s">
        <v>1738</v>
      </c>
      <c r="AP1220" t="s">
        <v>1739</v>
      </c>
      <c r="AQ1220" t="s">
        <v>74</v>
      </c>
      <c r="AR1220" t="s">
        <v>1740</v>
      </c>
      <c r="AS1220" t="s">
        <v>1741</v>
      </c>
      <c r="AT1220" t="s">
        <v>997</v>
      </c>
      <c r="AU1220">
        <v>2011</v>
      </c>
      <c r="AV1220">
        <v>5</v>
      </c>
      <c r="AW1220">
        <v>2</v>
      </c>
      <c r="AX1220" t="s">
        <v>74</v>
      </c>
      <c r="AY1220" t="s">
        <v>74</v>
      </c>
      <c r="AZ1220" t="s">
        <v>74</v>
      </c>
      <c r="BA1220" t="s">
        <v>74</v>
      </c>
      <c r="BB1220">
        <v>217</v>
      </c>
      <c r="BC1220">
        <v>231</v>
      </c>
      <c r="BD1220" t="s">
        <v>74</v>
      </c>
      <c r="BE1220" t="s">
        <v>19474</v>
      </c>
      <c r="BF1220" t="str">
        <f>HYPERLINK("http://dx.doi.org/10.1586/ERS.11.15","http://dx.doi.org/10.1586/ERS.11.15")</f>
        <v>http://dx.doi.org/10.1586/ERS.11.15</v>
      </c>
      <c r="BG1220" t="s">
        <v>74</v>
      </c>
      <c r="BH1220" t="s">
        <v>74</v>
      </c>
      <c r="BI1220">
        <v>15</v>
      </c>
      <c r="BJ1220" t="s">
        <v>228</v>
      </c>
      <c r="BK1220" t="s">
        <v>101</v>
      </c>
      <c r="BL1220" t="s">
        <v>228</v>
      </c>
      <c r="BM1220" t="s">
        <v>19473</v>
      </c>
      <c r="BN1220">
        <v>21510732</v>
      </c>
      <c r="BO1220" t="s">
        <v>74</v>
      </c>
      <c r="BP1220" t="s">
        <v>74</v>
      </c>
      <c r="BQ1220" t="s">
        <v>74</v>
      </c>
      <c r="BR1220" t="s">
        <v>104</v>
      </c>
      <c r="BS1220" t="s">
        <v>19472</v>
      </c>
      <c r="BT1220" t="str">
        <f>HYPERLINK("https%3A%2F%2Fwww.webofscience.com%2Fwos%2Fwoscc%2Ffull-record%2FWOS:000312508000016","View Full Record in Web of Science")</f>
        <v>View Full Record in Web of Science</v>
      </c>
    </row>
    <row r="1221" spans="1:72" x14ac:dyDescent="0.25">
      <c r="A1221" t="s">
        <v>72</v>
      </c>
      <c r="B1221" t="s">
        <v>19471</v>
      </c>
      <c r="C1221" t="s">
        <v>74</v>
      </c>
      <c r="D1221" t="s">
        <v>74</v>
      </c>
      <c r="E1221" t="s">
        <v>74</v>
      </c>
      <c r="F1221" t="s">
        <v>19470</v>
      </c>
      <c r="G1221" t="s">
        <v>74</v>
      </c>
      <c r="H1221" t="s">
        <v>74</v>
      </c>
      <c r="I1221" t="s">
        <v>19469</v>
      </c>
      <c r="J1221" t="s">
        <v>216</v>
      </c>
      <c r="K1221" t="s">
        <v>74</v>
      </c>
      <c r="L1221" t="s">
        <v>74</v>
      </c>
      <c r="M1221" t="s">
        <v>78</v>
      </c>
      <c r="N1221" t="s">
        <v>460</v>
      </c>
      <c r="O1221" t="s">
        <v>74</v>
      </c>
      <c r="P1221" t="s">
        <v>74</v>
      </c>
      <c r="Q1221" t="s">
        <v>74</v>
      </c>
      <c r="R1221" t="s">
        <v>74</v>
      </c>
      <c r="S1221" t="s">
        <v>74</v>
      </c>
      <c r="T1221" t="s">
        <v>74</v>
      </c>
      <c r="U1221" t="s">
        <v>19468</v>
      </c>
      <c r="V1221" t="s">
        <v>74</v>
      </c>
      <c r="W1221" t="s">
        <v>19467</v>
      </c>
      <c r="X1221" t="s">
        <v>19466</v>
      </c>
      <c r="Y1221" t="s">
        <v>19465</v>
      </c>
      <c r="Z1221" t="s">
        <v>10573</v>
      </c>
      <c r="AA1221" t="s">
        <v>19464</v>
      </c>
      <c r="AB1221" t="s">
        <v>19352</v>
      </c>
      <c r="AC1221" t="s">
        <v>74</v>
      </c>
      <c r="AD1221" t="s">
        <v>74</v>
      </c>
      <c r="AE1221" t="s">
        <v>74</v>
      </c>
      <c r="AF1221" t="s">
        <v>74</v>
      </c>
      <c r="AG1221">
        <v>7</v>
      </c>
      <c r="AH1221">
        <v>0</v>
      </c>
      <c r="AI1221">
        <v>0</v>
      </c>
      <c r="AJ1221">
        <v>0</v>
      </c>
      <c r="AK1221">
        <v>1</v>
      </c>
      <c r="AL1221" t="s">
        <v>219</v>
      </c>
      <c r="AM1221" t="s">
        <v>220</v>
      </c>
      <c r="AN1221" t="s">
        <v>221</v>
      </c>
      <c r="AO1221" t="s">
        <v>222</v>
      </c>
      <c r="AP1221" t="s">
        <v>223</v>
      </c>
      <c r="AQ1221" t="s">
        <v>74</v>
      </c>
      <c r="AR1221" t="s">
        <v>224</v>
      </c>
      <c r="AS1221" t="s">
        <v>225</v>
      </c>
      <c r="AT1221" t="s">
        <v>997</v>
      </c>
      <c r="AU1221">
        <v>2011</v>
      </c>
      <c r="AV1221">
        <v>37</v>
      </c>
      <c r="AW1221">
        <v>4</v>
      </c>
      <c r="AX1221" t="s">
        <v>74</v>
      </c>
      <c r="AY1221" t="s">
        <v>74</v>
      </c>
      <c r="AZ1221" t="s">
        <v>74</v>
      </c>
      <c r="BA1221" t="s">
        <v>74</v>
      </c>
      <c r="BB1221">
        <v>972</v>
      </c>
      <c r="BC1221">
        <v>973</v>
      </c>
      <c r="BD1221" t="s">
        <v>74</v>
      </c>
      <c r="BE1221" t="s">
        <v>19463</v>
      </c>
      <c r="BF1221" t="str">
        <f>HYPERLINK("http://dx.doi.org/10.1183/09031936.00188910","http://dx.doi.org/10.1183/09031936.00188910")</f>
        <v>http://dx.doi.org/10.1183/09031936.00188910</v>
      </c>
      <c r="BG1221" t="s">
        <v>74</v>
      </c>
      <c r="BH1221" t="s">
        <v>74</v>
      </c>
      <c r="BI1221">
        <v>2</v>
      </c>
      <c r="BJ1221" t="s">
        <v>228</v>
      </c>
      <c r="BK1221" t="s">
        <v>101</v>
      </c>
      <c r="BL1221" t="s">
        <v>228</v>
      </c>
      <c r="BM1221" t="s">
        <v>19412</v>
      </c>
      <c r="BN1221" t="s">
        <v>74</v>
      </c>
      <c r="BO1221" t="s">
        <v>74</v>
      </c>
      <c r="BP1221" t="s">
        <v>74</v>
      </c>
      <c r="BQ1221" t="s">
        <v>74</v>
      </c>
      <c r="BR1221" t="s">
        <v>104</v>
      </c>
      <c r="BS1221" t="s">
        <v>19462</v>
      </c>
      <c r="BT1221" t="str">
        <f>HYPERLINK("https%3A%2F%2Fwww.webofscience.com%2Fwos%2Fwoscc%2Ffull-record%2FWOS:000289055300041","View Full Record in Web of Science")</f>
        <v>View Full Record in Web of Science</v>
      </c>
    </row>
    <row r="1222" spans="1:72" x14ac:dyDescent="0.25">
      <c r="A1222" t="s">
        <v>72</v>
      </c>
      <c r="B1222" t="s">
        <v>1420</v>
      </c>
      <c r="C1222" t="s">
        <v>74</v>
      </c>
      <c r="D1222" t="s">
        <v>74</v>
      </c>
      <c r="E1222" t="s">
        <v>74</v>
      </c>
      <c r="F1222" t="s">
        <v>1421</v>
      </c>
      <c r="G1222" t="s">
        <v>74</v>
      </c>
      <c r="H1222" t="s">
        <v>74</v>
      </c>
      <c r="I1222" t="s">
        <v>19461</v>
      </c>
      <c r="J1222" t="s">
        <v>1529</v>
      </c>
      <c r="K1222" t="s">
        <v>74</v>
      </c>
      <c r="L1222" t="s">
        <v>74</v>
      </c>
      <c r="M1222" t="s">
        <v>1349</v>
      </c>
      <c r="N1222" t="s">
        <v>140</v>
      </c>
      <c r="O1222" t="s">
        <v>74</v>
      </c>
      <c r="P1222" t="s">
        <v>74</v>
      </c>
      <c r="Q1222" t="s">
        <v>74</v>
      </c>
      <c r="R1222" t="s">
        <v>74</v>
      </c>
      <c r="S1222" t="s">
        <v>74</v>
      </c>
      <c r="T1222" t="s">
        <v>74</v>
      </c>
      <c r="U1222" t="s">
        <v>19460</v>
      </c>
      <c r="V1222" t="s">
        <v>74</v>
      </c>
      <c r="W1222" t="s">
        <v>19459</v>
      </c>
      <c r="X1222" t="s">
        <v>14696</v>
      </c>
      <c r="Y1222" t="s">
        <v>19458</v>
      </c>
      <c r="Z1222" t="s">
        <v>10573</v>
      </c>
      <c r="AA1222" t="s">
        <v>144</v>
      </c>
      <c r="AB1222" t="s">
        <v>74</v>
      </c>
      <c r="AC1222" t="s">
        <v>74</v>
      </c>
      <c r="AD1222" t="s">
        <v>74</v>
      </c>
      <c r="AE1222" t="s">
        <v>74</v>
      </c>
      <c r="AF1222" t="s">
        <v>74</v>
      </c>
      <c r="AG1222">
        <v>30</v>
      </c>
      <c r="AH1222">
        <v>0</v>
      </c>
      <c r="AI1222">
        <v>0</v>
      </c>
      <c r="AJ1222">
        <v>0</v>
      </c>
      <c r="AK1222">
        <v>0</v>
      </c>
      <c r="AL1222" t="s">
        <v>1358</v>
      </c>
      <c r="AM1222" t="s">
        <v>1359</v>
      </c>
      <c r="AN1222" t="s">
        <v>1360</v>
      </c>
      <c r="AO1222" t="s">
        <v>1533</v>
      </c>
      <c r="AP1222" t="s">
        <v>1534</v>
      </c>
      <c r="AQ1222" t="s">
        <v>74</v>
      </c>
      <c r="AR1222" t="s">
        <v>1535</v>
      </c>
      <c r="AS1222" t="s">
        <v>1536</v>
      </c>
      <c r="AT1222" t="s">
        <v>997</v>
      </c>
      <c r="AU1222">
        <v>2011</v>
      </c>
      <c r="AV1222">
        <v>40</v>
      </c>
      <c r="AW1222" t="s">
        <v>74</v>
      </c>
      <c r="AX1222" t="s">
        <v>74</v>
      </c>
      <c r="AY1222">
        <v>1</v>
      </c>
      <c r="AZ1222" t="s">
        <v>74</v>
      </c>
      <c r="BA1222" t="s">
        <v>74</v>
      </c>
      <c r="BB1222">
        <v>1</v>
      </c>
      <c r="BC1222">
        <v>2</v>
      </c>
      <c r="BD1222" t="s">
        <v>74</v>
      </c>
      <c r="BE1222" t="s">
        <v>74</v>
      </c>
      <c r="BF1222" t="s">
        <v>74</v>
      </c>
      <c r="BG1222" t="s">
        <v>74</v>
      </c>
      <c r="BH1222" t="s">
        <v>74</v>
      </c>
      <c r="BI1222">
        <v>2</v>
      </c>
      <c r="BJ1222" t="s">
        <v>1152</v>
      </c>
      <c r="BK1222" t="s">
        <v>101</v>
      </c>
      <c r="BL1222" t="s">
        <v>1153</v>
      </c>
      <c r="BM1222" t="s">
        <v>19401</v>
      </c>
      <c r="BN1222" t="s">
        <v>74</v>
      </c>
      <c r="BO1222" t="s">
        <v>74</v>
      </c>
      <c r="BP1222" t="s">
        <v>74</v>
      </c>
      <c r="BQ1222" t="s">
        <v>74</v>
      </c>
      <c r="BR1222" t="s">
        <v>104</v>
      </c>
      <c r="BS1222" t="s">
        <v>19457</v>
      </c>
      <c r="BT1222" t="str">
        <f>HYPERLINK("https%3A%2F%2Fwww.webofscience.com%2Fwos%2Fwoscc%2Ffull-record%2FWOS:000290647500001","View Full Record in Web of Science")</f>
        <v>View Full Record in Web of Science</v>
      </c>
    </row>
    <row r="1223" spans="1:72" x14ac:dyDescent="0.25">
      <c r="A1223" t="s">
        <v>72</v>
      </c>
      <c r="B1223" t="s">
        <v>19456</v>
      </c>
      <c r="C1223" t="s">
        <v>74</v>
      </c>
      <c r="D1223" t="s">
        <v>74</v>
      </c>
      <c r="E1223" t="s">
        <v>74</v>
      </c>
      <c r="F1223" t="s">
        <v>19455</v>
      </c>
      <c r="G1223" t="s">
        <v>74</v>
      </c>
      <c r="H1223" t="s">
        <v>74</v>
      </c>
      <c r="I1223" t="s">
        <v>19454</v>
      </c>
      <c r="J1223" t="s">
        <v>19453</v>
      </c>
      <c r="K1223" t="s">
        <v>74</v>
      </c>
      <c r="L1223" t="s">
        <v>74</v>
      </c>
      <c r="M1223" t="s">
        <v>78</v>
      </c>
      <c r="N1223" t="s">
        <v>299</v>
      </c>
      <c r="O1223" t="s">
        <v>74</v>
      </c>
      <c r="P1223" t="s">
        <v>74</v>
      </c>
      <c r="Q1223" t="s">
        <v>74</v>
      </c>
      <c r="R1223" t="s">
        <v>74</v>
      </c>
      <c r="S1223" t="s">
        <v>74</v>
      </c>
      <c r="T1223" t="s">
        <v>19452</v>
      </c>
      <c r="U1223" t="s">
        <v>19451</v>
      </c>
      <c r="V1223" t="s">
        <v>19450</v>
      </c>
      <c r="W1223" t="s">
        <v>19449</v>
      </c>
      <c r="X1223" t="s">
        <v>19448</v>
      </c>
      <c r="Y1223" t="s">
        <v>19447</v>
      </c>
      <c r="Z1223" t="s">
        <v>2236</v>
      </c>
      <c r="AA1223" t="s">
        <v>19446</v>
      </c>
      <c r="AB1223" t="s">
        <v>19445</v>
      </c>
      <c r="AC1223" t="s">
        <v>74</v>
      </c>
      <c r="AD1223" t="s">
        <v>74</v>
      </c>
      <c r="AE1223" t="s">
        <v>74</v>
      </c>
      <c r="AF1223" t="s">
        <v>74</v>
      </c>
      <c r="AG1223">
        <v>150</v>
      </c>
      <c r="AH1223">
        <v>31</v>
      </c>
      <c r="AI1223">
        <v>36</v>
      </c>
      <c r="AJ1223">
        <v>0</v>
      </c>
      <c r="AK1223">
        <v>4</v>
      </c>
      <c r="AL1223" t="s">
        <v>12944</v>
      </c>
      <c r="AM1223" t="s">
        <v>12945</v>
      </c>
      <c r="AN1223" t="s">
        <v>19444</v>
      </c>
      <c r="AO1223" t="s">
        <v>19443</v>
      </c>
      <c r="AP1223" t="s">
        <v>74</v>
      </c>
      <c r="AQ1223" t="s">
        <v>74</v>
      </c>
      <c r="AR1223" t="s">
        <v>19442</v>
      </c>
      <c r="AS1223" t="s">
        <v>19441</v>
      </c>
      <c r="AT1223" t="s">
        <v>997</v>
      </c>
      <c r="AU1223">
        <v>2011</v>
      </c>
      <c r="AV1223">
        <v>40</v>
      </c>
      <c r="AW1223">
        <v>2</v>
      </c>
      <c r="AX1223" t="s">
        <v>74</v>
      </c>
      <c r="AY1223" t="s">
        <v>74</v>
      </c>
      <c r="AZ1223" t="s">
        <v>74</v>
      </c>
      <c r="BA1223" t="s">
        <v>74</v>
      </c>
      <c r="BB1223">
        <v>104</v>
      </c>
      <c r="BC1223">
        <v>116</v>
      </c>
      <c r="BD1223" t="s">
        <v>74</v>
      </c>
      <c r="BE1223" t="s">
        <v>19440</v>
      </c>
      <c r="BF1223" t="str">
        <f>HYPERLINK("http://dx.doi.org/10.1007/s12016-009-8194-2","http://dx.doi.org/10.1007/s12016-009-8194-2")</f>
        <v>http://dx.doi.org/10.1007/s12016-009-8194-2</v>
      </c>
      <c r="BG1223" t="s">
        <v>74</v>
      </c>
      <c r="BH1223" t="s">
        <v>74</v>
      </c>
      <c r="BI1223">
        <v>13</v>
      </c>
      <c r="BJ1223" t="s">
        <v>3085</v>
      </c>
      <c r="BK1223" t="s">
        <v>101</v>
      </c>
      <c r="BL1223" t="s">
        <v>3085</v>
      </c>
      <c r="BM1223" t="s">
        <v>19439</v>
      </c>
      <c r="BN1223">
        <v>20063208</v>
      </c>
      <c r="BO1223" t="s">
        <v>74</v>
      </c>
      <c r="BP1223" t="s">
        <v>74</v>
      </c>
      <c r="BQ1223" t="s">
        <v>74</v>
      </c>
      <c r="BR1223" t="s">
        <v>104</v>
      </c>
      <c r="BS1223" t="s">
        <v>19438</v>
      </c>
      <c r="BT1223" t="str">
        <f>HYPERLINK("https%3A%2F%2Fwww.webofscience.com%2Fwos%2Fwoscc%2Ffull-record%2FWOS:000287243900005","View Full Record in Web of Science")</f>
        <v>View Full Record in Web of Science</v>
      </c>
    </row>
    <row r="1224" spans="1:72" x14ac:dyDescent="0.25">
      <c r="A1224" t="s">
        <v>72</v>
      </c>
      <c r="B1224" t="s">
        <v>19437</v>
      </c>
      <c r="C1224" t="s">
        <v>74</v>
      </c>
      <c r="D1224" t="s">
        <v>74</v>
      </c>
      <c r="E1224" t="s">
        <v>74</v>
      </c>
      <c r="F1224" t="s">
        <v>19436</v>
      </c>
      <c r="G1224" t="s">
        <v>74</v>
      </c>
      <c r="H1224" t="s">
        <v>74</v>
      </c>
      <c r="I1224" t="s">
        <v>19435</v>
      </c>
      <c r="J1224" t="s">
        <v>1529</v>
      </c>
      <c r="K1224" t="s">
        <v>74</v>
      </c>
      <c r="L1224" t="s">
        <v>74</v>
      </c>
      <c r="M1224" t="s">
        <v>1349</v>
      </c>
      <c r="N1224" t="s">
        <v>79</v>
      </c>
      <c r="O1224" t="s">
        <v>74</v>
      </c>
      <c r="P1224" t="s">
        <v>74</v>
      </c>
      <c r="Q1224" t="s">
        <v>74</v>
      </c>
      <c r="R1224" t="s">
        <v>74</v>
      </c>
      <c r="S1224" t="s">
        <v>74</v>
      </c>
      <c r="T1224" t="s">
        <v>74</v>
      </c>
      <c r="U1224" t="s">
        <v>19434</v>
      </c>
      <c r="V1224" t="s">
        <v>19433</v>
      </c>
      <c r="W1224" t="s">
        <v>19432</v>
      </c>
      <c r="X1224" t="s">
        <v>19431</v>
      </c>
      <c r="Y1224" t="s">
        <v>19430</v>
      </c>
      <c r="Z1224" t="s">
        <v>13011</v>
      </c>
      <c r="AA1224" t="s">
        <v>19429</v>
      </c>
      <c r="AB1224" t="s">
        <v>19428</v>
      </c>
      <c r="AC1224" t="s">
        <v>74</v>
      </c>
      <c r="AD1224" t="s">
        <v>74</v>
      </c>
      <c r="AE1224" t="s">
        <v>74</v>
      </c>
      <c r="AF1224" t="s">
        <v>74</v>
      </c>
      <c r="AG1224">
        <v>113</v>
      </c>
      <c r="AH1224">
        <v>6</v>
      </c>
      <c r="AI1224">
        <v>6</v>
      </c>
      <c r="AJ1224">
        <v>0</v>
      </c>
      <c r="AK1224">
        <v>0</v>
      </c>
      <c r="AL1224" t="s">
        <v>1358</v>
      </c>
      <c r="AM1224" t="s">
        <v>1359</v>
      </c>
      <c r="AN1224" t="s">
        <v>1360</v>
      </c>
      <c r="AO1224" t="s">
        <v>1533</v>
      </c>
      <c r="AP1224" t="s">
        <v>1534</v>
      </c>
      <c r="AQ1224" t="s">
        <v>74</v>
      </c>
      <c r="AR1224" t="s">
        <v>1535</v>
      </c>
      <c r="AS1224" t="s">
        <v>1536</v>
      </c>
      <c r="AT1224" t="s">
        <v>997</v>
      </c>
      <c r="AU1224">
        <v>2011</v>
      </c>
      <c r="AV1224">
        <v>40</v>
      </c>
      <c r="AW1224" t="s">
        <v>74</v>
      </c>
      <c r="AX1224" t="s">
        <v>74</v>
      </c>
      <c r="AY1224">
        <v>1</v>
      </c>
      <c r="AZ1224" t="s">
        <v>74</v>
      </c>
      <c r="BA1224" t="s">
        <v>74</v>
      </c>
      <c r="BB1224">
        <v>3</v>
      </c>
      <c r="BC1224">
        <v>13</v>
      </c>
      <c r="BD1224" t="s">
        <v>74</v>
      </c>
      <c r="BE1224" t="s">
        <v>74</v>
      </c>
      <c r="BF1224" t="s">
        <v>74</v>
      </c>
      <c r="BG1224" t="s">
        <v>74</v>
      </c>
      <c r="BH1224" t="s">
        <v>74</v>
      </c>
      <c r="BI1224">
        <v>11</v>
      </c>
      <c r="BJ1224" t="s">
        <v>1152</v>
      </c>
      <c r="BK1224" t="s">
        <v>101</v>
      </c>
      <c r="BL1224" t="s">
        <v>1153</v>
      </c>
      <c r="BM1224" t="s">
        <v>19401</v>
      </c>
      <c r="BN1224" t="s">
        <v>74</v>
      </c>
      <c r="BO1224" t="s">
        <v>74</v>
      </c>
      <c r="BP1224" t="s">
        <v>74</v>
      </c>
      <c r="BQ1224" t="s">
        <v>74</v>
      </c>
      <c r="BR1224" t="s">
        <v>104</v>
      </c>
      <c r="BS1224" t="s">
        <v>19427</v>
      </c>
      <c r="BT1224" t="str">
        <f>HYPERLINK("https%3A%2F%2Fwww.webofscience.com%2Fwos%2Fwoscc%2Ffull-record%2FWOS:000290647500002","View Full Record in Web of Science")</f>
        <v>View Full Record in Web of Science</v>
      </c>
    </row>
    <row r="1225" spans="1:72" x14ac:dyDescent="0.25">
      <c r="A1225" t="s">
        <v>72</v>
      </c>
      <c r="B1225" t="s">
        <v>19426</v>
      </c>
      <c r="C1225" t="s">
        <v>74</v>
      </c>
      <c r="D1225" t="s">
        <v>74</v>
      </c>
      <c r="E1225" t="s">
        <v>74</v>
      </c>
      <c r="F1225" t="s">
        <v>19425</v>
      </c>
      <c r="G1225" t="s">
        <v>74</v>
      </c>
      <c r="H1225" t="s">
        <v>74</v>
      </c>
      <c r="I1225" t="s">
        <v>19424</v>
      </c>
      <c r="J1225" t="s">
        <v>216</v>
      </c>
      <c r="K1225" t="s">
        <v>74</v>
      </c>
      <c r="L1225" t="s">
        <v>74</v>
      </c>
      <c r="M1225" t="s">
        <v>78</v>
      </c>
      <c r="N1225" t="s">
        <v>79</v>
      </c>
      <c r="O1225" t="s">
        <v>74</v>
      </c>
      <c r="P1225" t="s">
        <v>74</v>
      </c>
      <c r="Q1225" t="s">
        <v>74</v>
      </c>
      <c r="R1225" t="s">
        <v>74</v>
      </c>
      <c r="S1225" t="s">
        <v>74</v>
      </c>
      <c r="T1225" t="s">
        <v>19423</v>
      </c>
      <c r="U1225" t="s">
        <v>19422</v>
      </c>
      <c r="V1225" t="s">
        <v>19421</v>
      </c>
      <c r="W1225" t="s">
        <v>19420</v>
      </c>
      <c r="X1225" t="s">
        <v>19419</v>
      </c>
      <c r="Y1225" t="s">
        <v>19418</v>
      </c>
      <c r="Z1225" t="s">
        <v>10573</v>
      </c>
      <c r="AA1225" t="s">
        <v>19417</v>
      </c>
      <c r="AB1225" t="s">
        <v>19416</v>
      </c>
      <c r="AC1225" t="s">
        <v>19415</v>
      </c>
      <c r="AD1225" t="s">
        <v>19415</v>
      </c>
      <c r="AE1225" t="s">
        <v>19414</v>
      </c>
      <c r="AF1225" t="s">
        <v>74</v>
      </c>
      <c r="AG1225">
        <v>56</v>
      </c>
      <c r="AH1225">
        <v>69</v>
      </c>
      <c r="AI1225">
        <v>78</v>
      </c>
      <c r="AJ1225">
        <v>0</v>
      </c>
      <c r="AK1225">
        <v>13</v>
      </c>
      <c r="AL1225" t="s">
        <v>219</v>
      </c>
      <c r="AM1225" t="s">
        <v>220</v>
      </c>
      <c r="AN1225" t="s">
        <v>221</v>
      </c>
      <c r="AO1225" t="s">
        <v>222</v>
      </c>
      <c r="AP1225" t="s">
        <v>223</v>
      </c>
      <c r="AQ1225" t="s">
        <v>74</v>
      </c>
      <c r="AR1225" t="s">
        <v>224</v>
      </c>
      <c r="AS1225" t="s">
        <v>225</v>
      </c>
      <c r="AT1225" t="s">
        <v>997</v>
      </c>
      <c r="AU1225">
        <v>2011</v>
      </c>
      <c r="AV1225">
        <v>37</v>
      </c>
      <c r="AW1225">
        <v>4</v>
      </c>
      <c r="AX1225" t="s">
        <v>74</v>
      </c>
      <c r="AY1225" t="s">
        <v>74</v>
      </c>
      <c r="AZ1225" t="s">
        <v>74</v>
      </c>
      <c r="BA1225" t="s">
        <v>74</v>
      </c>
      <c r="BB1225">
        <v>813</v>
      </c>
      <c r="BC1225">
        <v>822</v>
      </c>
      <c r="BD1225" t="s">
        <v>74</v>
      </c>
      <c r="BE1225" t="s">
        <v>19413</v>
      </c>
      <c r="BF1225" t="str">
        <f>HYPERLINK("http://dx.doi.org/10.1183/09031936.00028310","http://dx.doi.org/10.1183/09031936.00028310")</f>
        <v>http://dx.doi.org/10.1183/09031936.00028310</v>
      </c>
      <c r="BG1225" t="s">
        <v>74</v>
      </c>
      <c r="BH1225" t="s">
        <v>74</v>
      </c>
      <c r="BI1225">
        <v>10</v>
      </c>
      <c r="BJ1225" t="s">
        <v>228</v>
      </c>
      <c r="BK1225" t="s">
        <v>101</v>
      </c>
      <c r="BL1225" t="s">
        <v>228</v>
      </c>
      <c r="BM1225" t="s">
        <v>19412</v>
      </c>
      <c r="BN1225">
        <v>20693255</v>
      </c>
      <c r="BO1225" t="s">
        <v>1194</v>
      </c>
      <c r="BP1225" t="s">
        <v>74</v>
      </c>
      <c r="BQ1225" t="s">
        <v>74</v>
      </c>
      <c r="BR1225" t="s">
        <v>104</v>
      </c>
      <c r="BS1225" t="s">
        <v>19411</v>
      </c>
      <c r="BT1225" t="str">
        <f>HYPERLINK("https%3A%2F%2Fwww.webofscience.com%2Fwos%2Fwoscc%2Ffull-record%2FWOS:000289055300017","View Full Record in Web of Science")</f>
        <v>View Full Record in Web of Science</v>
      </c>
    </row>
    <row r="1226" spans="1:72" x14ac:dyDescent="0.25">
      <c r="A1226" t="s">
        <v>72</v>
      </c>
      <c r="B1226" t="s">
        <v>19410</v>
      </c>
      <c r="C1226" t="s">
        <v>74</v>
      </c>
      <c r="D1226" t="s">
        <v>74</v>
      </c>
      <c r="E1226" t="s">
        <v>74</v>
      </c>
      <c r="F1226" t="s">
        <v>19409</v>
      </c>
      <c r="G1226" t="s">
        <v>74</v>
      </c>
      <c r="H1226" t="s">
        <v>74</v>
      </c>
      <c r="I1226" t="s">
        <v>19408</v>
      </c>
      <c r="J1226" t="s">
        <v>1529</v>
      </c>
      <c r="K1226" t="s">
        <v>74</v>
      </c>
      <c r="L1226" t="s">
        <v>74</v>
      </c>
      <c r="M1226" t="s">
        <v>1349</v>
      </c>
      <c r="N1226" t="s">
        <v>79</v>
      </c>
      <c r="O1226" t="s">
        <v>74</v>
      </c>
      <c r="P1226" t="s">
        <v>74</v>
      </c>
      <c r="Q1226" t="s">
        <v>74</v>
      </c>
      <c r="R1226" t="s">
        <v>74</v>
      </c>
      <c r="S1226" t="s">
        <v>74</v>
      </c>
      <c r="T1226" t="s">
        <v>74</v>
      </c>
      <c r="U1226" t="s">
        <v>19407</v>
      </c>
      <c r="V1226" t="s">
        <v>19406</v>
      </c>
      <c r="W1226" t="s">
        <v>19405</v>
      </c>
      <c r="X1226" t="s">
        <v>19404</v>
      </c>
      <c r="Y1226" t="s">
        <v>19403</v>
      </c>
      <c r="Z1226" t="s">
        <v>19268</v>
      </c>
      <c r="AA1226" t="s">
        <v>19402</v>
      </c>
      <c r="AB1226" t="s">
        <v>5709</v>
      </c>
      <c r="AC1226" t="s">
        <v>74</v>
      </c>
      <c r="AD1226" t="s">
        <v>74</v>
      </c>
      <c r="AE1226" t="s">
        <v>74</v>
      </c>
      <c r="AF1226" t="s">
        <v>74</v>
      </c>
      <c r="AG1226">
        <v>22</v>
      </c>
      <c r="AH1226">
        <v>3</v>
      </c>
      <c r="AI1226">
        <v>3</v>
      </c>
      <c r="AJ1226">
        <v>0</v>
      </c>
      <c r="AK1226">
        <v>0</v>
      </c>
      <c r="AL1226" t="s">
        <v>1358</v>
      </c>
      <c r="AM1226" t="s">
        <v>1359</v>
      </c>
      <c r="AN1226" t="s">
        <v>1360</v>
      </c>
      <c r="AO1226" t="s">
        <v>1533</v>
      </c>
      <c r="AP1226" t="s">
        <v>1534</v>
      </c>
      <c r="AQ1226" t="s">
        <v>74</v>
      </c>
      <c r="AR1226" t="s">
        <v>1535</v>
      </c>
      <c r="AS1226" t="s">
        <v>1536</v>
      </c>
      <c r="AT1226" t="s">
        <v>997</v>
      </c>
      <c r="AU1226">
        <v>2011</v>
      </c>
      <c r="AV1226">
        <v>40</v>
      </c>
      <c r="AW1226" t="s">
        <v>74</v>
      </c>
      <c r="AX1226" t="s">
        <v>74</v>
      </c>
      <c r="AY1226">
        <v>1</v>
      </c>
      <c r="AZ1226" t="s">
        <v>74</v>
      </c>
      <c r="BA1226" t="s">
        <v>74</v>
      </c>
      <c r="BB1226">
        <v>54</v>
      </c>
      <c r="BC1226">
        <v>60</v>
      </c>
      <c r="BD1226" t="s">
        <v>74</v>
      </c>
      <c r="BE1226" t="s">
        <v>74</v>
      </c>
      <c r="BF1226" t="s">
        <v>74</v>
      </c>
      <c r="BG1226" t="s">
        <v>74</v>
      </c>
      <c r="BH1226" t="s">
        <v>74</v>
      </c>
      <c r="BI1226">
        <v>7</v>
      </c>
      <c r="BJ1226" t="s">
        <v>1152</v>
      </c>
      <c r="BK1226" t="s">
        <v>101</v>
      </c>
      <c r="BL1226" t="s">
        <v>1153</v>
      </c>
      <c r="BM1226" t="s">
        <v>19401</v>
      </c>
      <c r="BN1226" t="s">
        <v>74</v>
      </c>
      <c r="BO1226" t="s">
        <v>74</v>
      </c>
      <c r="BP1226" t="s">
        <v>74</v>
      </c>
      <c r="BQ1226" t="s">
        <v>74</v>
      </c>
      <c r="BR1226" t="s">
        <v>104</v>
      </c>
      <c r="BS1226" t="s">
        <v>19400</v>
      </c>
      <c r="BT1226" t="str">
        <f>HYPERLINK("https%3A%2F%2Fwww.webofscience.com%2Fwos%2Fwoscc%2Ffull-record%2FWOS:000290647500008","View Full Record in Web of Science")</f>
        <v>View Full Record in Web of Science</v>
      </c>
    </row>
    <row r="1227" spans="1:72" x14ac:dyDescent="0.25">
      <c r="A1227" t="s">
        <v>72</v>
      </c>
      <c r="B1227" t="s">
        <v>19399</v>
      </c>
      <c r="C1227" t="s">
        <v>74</v>
      </c>
      <c r="D1227" t="s">
        <v>74</v>
      </c>
      <c r="E1227" t="s">
        <v>74</v>
      </c>
      <c r="F1227" t="s">
        <v>19398</v>
      </c>
      <c r="G1227" t="s">
        <v>74</v>
      </c>
      <c r="H1227" t="s">
        <v>74</v>
      </c>
      <c r="I1227" t="s">
        <v>19397</v>
      </c>
      <c r="J1227" t="s">
        <v>1348</v>
      </c>
      <c r="K1227" t="s">
        <v>74</v>
      </c>
      <c r="L1227" t="s">
        <v>74</v>
      </c>
      <c r="M1227" t="s">
        <v>1349</v>
      </c>
      <c r="N1227" t="s">
        <v>299</v>
      </c>
      <c r="O1227" t="s">
        <v>74</v>
      </c>
      <c r="P1227" t="s">
        <v>74</v>
      </c>
      <c r="Q1227" t="s">
        <v>74</v>
      </c>
      <c r="R1227" t="s">
        <v>74</v>
      </c>
      <c r="S1227" t="s">
        <v>74</v>
      </c>
      <c r="T1227" t="s">
        <v>19396</v>
      </c>
      <c r="U1227" t="s">
        <v>19395</v>
      </c>
      <c r="V1227" t="s">
        <v>19394</v>
      </c>
      <c r="W1227" t="s">
        <v>19393</v>
      </c>
      <c r="X1227" t="s">
        <v>19392</v>
      </c>
      <c r="Y1227" t="s">
        <v>12712</v>
      </c>
      <c r="Z1227" t="s">
        <v>12713</v>
      </c>
      <c r="AA1227" t="s">
        <v>19391</v>
      </c>
      <c r="AB1227" t="s">
        <v>1947</v>
      </c>
      <c r="AC1227" t="s">
        <v>74</v>
      </c>
      <c r="AD1227" t="s">
        <v>74</v>
      </c>
      <c r="AE1227" t="s">
        <v>74</v>
      </c>
      <c r="AF1227" t="s">
        <v>74</v>
      </c>
      <c r="AG1227">
        <v>52</v>
      </c>
      <c r="AH1227">
        <v>1</v>
      </c>
      <c r="AI1227">
        <v>1</v>
      </c>
      <c r="AJ1227">
        <v>0</v>
      </c>
      <c r="AK1227">
        <v>1</v>
      </c>
      <c r="AL1227" t="s">
        <v>1358</v>
      </c>
      <c r="AM1227" t="s">
        <v>1359</v>
      </c>
      <c r="AN1227" t="s">
        <v>1360</v>
      </c>
      <c r="AO1227" t="s">
        <v>1361</v>
      </c>
      <c r="AP1227" t="s">
        <v>1362</v>
      </c>
      <c r="AQ1227" t="s">
        <v>74</v>
      </c>
      <c r="AR1227" t="s">
        <v>1363</v>
      </c>
      <c r="AS1227" t="s">
        <v>1364</v>
      </c>
      <c r="AT1227" t="s">
        <v>129</v>
      </c>
      <c r="AU1227">
        <v>2011</v>
      </c>
      <c r="AV1227">
        <v>28</v>
      </c>
      <c r="AW1227">
        <v>2</v>
      </c>
      <c r="AX1227" t="s">
        <v>74</v>
      </c>
      <c r="AY1227" t="s">
        <v>74</v>
      </c>
      <c r="AZ1227" t="s">
        <v>74</v>
      </c>
      <c r="BA1227" t="s">
        <v>74</v>
      </c>
      <c r="BB1227">
        <v>139</v>
      </c>
      <c r="BC1227">
        <v>151</v>
      </c>
      <c r="BD1227" t="s">
        <v>74</v>
      </c>
      <c r="BE1227" t="s">
        <v>19390</v>
      </c>
      <c r="BF1227" t="str">
        <f>HYPERLINK("http://dx.doi.org/10.1016/j.rmr.2010.09.024","http://dx.doi.org/10.1016/j.rmr.2010.09.024")</f>
        <v>http://dx.doi.org/10.1016/j.rmr.2010.09.024</v>
      </c>
      <c r="BG1227" t="s">
        <v>74</v>
      </c>
      <c r="BH1227" t="s">
        <v>74</v>
      </c>
      <c r="BI1227">
        <v>13</v>
      </c>
      <c r="BJ1227" t="s">
        <v>228</v>
      </c>
      <c r="BK1227" t="s">
        <v>101</v>
      </c>
      <c r="BL1227" t="s">
        <v>228</v>
      </c>
      <c r="BM1227" t="s">
        <v>19389</v>
      </c>
      <c r="BN1227">
        <v>21402229</v>
      </c>
      <c r="BO1227" t="s">
        <v>74</v>
      </c>
      <c r="BP1227" t="s">
        <v>74</v>
      </c>
      <c r="BQ1227" t="s">
        <v>74</v>
      </c>
      <c r="BR1227" t="s">
        <v>104</v>
      </c>
      <c r="BS1227" t="s">
        <v>19388</v>
      </c>
      <c r="BT1227" t="str">
        <f>HYPERLINK("https%3A%2F%2Fwww.webofscience.com%2Fwos%2Fwoscc%2Ffull-record%2FWOS:000289613900006","View Full Record in Web of Science")</f>
        <v>View Full Record in Web of Science</v>
      </c>
    </row>
    <row r="1228" spans="1:72" x14ac:dyDescent="0.25">
      <c r="A1228" t="s">
        <v>72</v>
      </c>
      <c r="B1228" t="s">
        <v>19387</v>
      </c>
      <c r="C1228" t="s">
        <v>74</v>
      </c>
      <c r="D1228" t="s">
        <v>74</v>
      </c>
      <c r="E1228" t="s">
        <v>74</v>
      </c>
      <c r="F1228" t="s">
        <v>19386</v>
      </c>
      <c r="G1228" t="s">
        <v>74</v>
      </c>
      <c r="H1228" t="s">
        <v>74</v>
      </c>
      <c r="I1228" t="s">
        <v>19385</v>
      </c>
      <c r="J1228" t="s">
        <v>637</v>
      </c>
      <c r="K1228" t="s">
        <v>74</v>
      </c>
      <c r="L1228" t="s">
        <v>74</v>
      </c>
      <c r="M1228" t="s">
        <v>78</v>
      </c>
      <c r="N1228" t="s">
        <v>52</v>
      </c>
      <c r="O1228" t="s">
        <v>74</v>
      </c>
      <c r="P1228" t="s">
        <v>74</v>
      </c>
      <c r="Q1228" t="s">
        <v>74</v>
      </c>
      <c r="R1228" t="s">
        <v>74</v>
      </c>
      <c r="S1228" t="s">
        <v>74</v>
      </c>
      <c r="T1228" t="s">
        <v>74</v>
      </c>
      <c r="U1228" t="s">
        <v>74</v>
      </c>
      <c r="V1228" t="s">
        <v>74</v>
      </c>
      <c r="W1228" t="s">
        <v>19384</v>
      </c>
      <c r="X1228" t="s">
        <v>19383</v>
      </c>
      <c r="Y1228" t="s">
        <v>74</v>
      </c>
      <c r="Z1228" t="s">
        <v>74</v>
      </c>
      <c r="AA1228" t="s">
        <v>19382</v>
      </c>
      <c r="AB1228" t="s">
        <v>74</v>
      </c>
      <c r="AC1228" t="s">
        <v>74</v>
      </c>
      <c r="AD1228" t="s">
        <v>74</v>
      </c>
      <c r="AE1228" t="s">
        <v>74</v>
      </c>
      <c r="AF1228" t="s">
        <v>74</v>
      </c>
      <c r="AG1228">
        <v>0</v>
      </c>
      <c r="AH1228">
        <v>0</v>
      </c>
      <c r="AI1228">
        <v>0</v>
      </c>
      <c r="AJ1228">
        <v>0</v>
      </c>
      <c r="AK1228">
        <v>2</v>
      </c>
      <c r="AL1228" t="s">
        <v>649</v>
      </c>
      <c r="AM1228" t="s">
        <v>486</v>
      </c>
      <c r="AN1228" t="s">
        <v>650</v>
      </c>
      <c r="AO1228" t="s">
        <v>651</v>
      </c>
      <c r="AP1228" t="s">
        <v>652</v>
      </c>
      <c r="AQ1228" t="s">
        <v>74</v>
      </c>
      <c r="AR1228" t="s">
        <v>653</v>
      </c>
      <c r="AS1228" t="s">
        <v>654</v>
      </c>
      <c r="AT1228" t="s">
        <v>74</v>
      </c>
      <c r="AU1228">
        <v>2011</v>
      </c>
      <c r="AV1228">
        <v>183</v>
      </c>
      <c r="AW1228" t="s">
        <v>74</v>
      </c>
      <c r="AX1228" t="s">
        <v>74</v>
      </c>
      <c r="AY1228" t="s">
        <v>74</v>
      </c>
      <c r="AZ1228" t="s">
        <v>74</v>
      </c>
      <c r="BA1228" t="s">
        <v>74</v>
      </c>
      <c r="BB1228">
        <v>650</v>
      </c>
      <c r="BC1228">
        <v>650</v>
      </c>
      <c r="BD1228" t="s">
        <v>74</v>
      </c>
      <c r="BE1228" t="s">
        <v>74</v>
      </c>
      <c r="BF1228" t="s">
        <v>74</v>
      </c>
      <c r="BG1228" t="s">
        <v>74</v>
      </c>
      <c r="BH1228" t="s">
        <v>74</v>
      </c>
      <c r="BI1228">
        <v>1</v>
      </c>
      <c r="BJ1228" t="s">
        <v>341</v>
      </c>
      <c r="BK1228" t="s">
        <v>101</v>
      </c>
      <c r="BL1228" t="s">
        <v>342</v>
      </c>
      <c r="BM1228" t="s">
        <v>19238</v>
      </c>
      <c r="BN1228" t="s">
        <v>74</v>
      </c>
      <c r="BO1228" t="s">
        <v>74</v>
      </c>
      <c r="BP1228" t="s">
        <v>74</v>
      </c>
      <c r="BQ1228" t="s">
        <v>74</v>
      </c>
      <c r="BR1228" t="s">
        <v>104</v>
      </c>
      <c r="BS1228" t="s">
        <v>19381</v>
      </c>
      <c r="BT1228" t="str">
        <f>HYPERLINK("https%3A%2F%2Fwww.webofscience.com%2Fwos%2Fwoscc%2Ffull-record%2FWOS:000208770305058","View Full Record in Web of Science")</f>
        <v>View Full Record in Web of Science</v>
      </c>
    </row>
    <row r="1229" spans="1:72" x14ac:dyDescent="0.25">
      <c r="A1229" t="s">
        <v>72</v>
      </c>
      <c r="B1229" t="s">
        <v>19380</v>
      </c>
      <c r="C1229" t="s">
        <v>74</v>
      </c>
      <c r="D1229" t="s">
        <v>74</v>
      </c>
      <c r="E1229" t="s">
        <v>74</v>
      </c>
      <c r="F1229" t="s">
        <v>19379</v>
      </c>
      <c r="G1229" t="s">
        <v>74</v>
      </c>
      <c r="H1229" t="s">
        <v>74</v>
      </c>
      <c r="I1229" t="s">
        <v>19378</v>
      </c>
      <c r="J1229" t="s">
        <v>16388</v>
      </c>
      <c r="K1229" t="s">
        <v>74</v>
      </c>
      <c r="L1229" t="s">
        <v>74</v>
      </c>
      <c r="M1229" t="s">
        <v>78</v>
      </c>
      <c r="N1229" t="s">
        <v>140</v>
      </c>
      <c r="O1229" t="s">
        <v>74</v>
      </c>
      <c r="P1229" t="s">
        <v>74</v>
      </c>
      <c r="Q1229" t="s">
        <v>74</v>
      </c>
      <c r="R1229" t="s">
        <v>74</v>
      </c>
      <c r="S1229" t="s">
        <v>74</v>
      </c>
      <c r="T1229" t="s">
        <v>74</v>
      </c>
      <c r="U1229" t="s">
        <v>19377</v>
      </c>
      <c r="V1229" t="s">
        <v>19376</v>
      </c>
      <c r="W1229" t="s">
        <v>19375</v>
      </c>
      <c r="X1229" t="s">
        <v>19374</v>
      </c>
      <c r="Y1229" t="s">
        <v>19373</v>
      </c>
      <c r="Z1229" t="s">
        <v>19372</v>
      </c>
      <c r="AA1229" t="s">
        <v>19371</v>
      </c>
      <c r="AB1229" t="s">
        <v>19370</v>
      </c>
      <c r="AC1229" t="s">
        <v>74</v>
      </c>
      <c r="AD1229" t="s">
        <v>74</v>
      </c>
      <c r="AE1229" t="s">
        <v>74</v>
      </c>
      <c r="AF1229" t="s">
        <v>74</v>
      </c>
      <c r="AG1229">
        <v>16</v>
      </c>
      <c r="AH1229">
        <v>7</v>
      </c>
      <c r="AI1229">
        <v>7</v>
      </c>
      <c r="AJ1229">
        <v>0</v>
      </c>
      <c r="AK1229">
        <v>3</v>
      </c>
      <c r="AL1229" t="s">
        <v>1854</v>
      </c>
      <c r="AM1229" t="s">
        <v>201</v>
      </c>
      <c r="AN1229" t="s">
        <v>1855</v>
      </c>
      <c r="AO1229" t="s">
        <v>16377</v>
      </c>
      <c r="AP1229" t="s">
        <v>16376</v>
      </c>
      <c r="AQ1229" t="s">
        <v>74</v>
      </c>
      <c r="AR1229" t="s">
        <v>16375</v>
      </c>
      <c r="AS1229" t="s">
        <v>16374</v>
      </c>
      <c r="AT1229" t="s">
        <v>74</v>
      </c>
      <c r="AU1229">
        <v>2011</v>
      </c>
      <c r="AV1229">
        <v>13</v>
      </c>
      <c r="AW1229">
        <v>3</v>
      </c>
      <c r="AX1229" t="s">
        <v>74</v>
      </c>
      <c r="AY1229" t="s">
        <v>74</v>
      </c>
      <c r="AZ1229" t="s">
        <v>74</v>
      </c>
      <c r="BA1229" t="s">
        <v>74</v>
      </c>
      <c r="BB1229" t="s">
        <v>74</v>
      </c>
      <c r="BC1229" t="s">
        <v>74</v>
      </c>
      <c r="BD1229">
        <v>114</v>
      </c>
      <c r="BE1229" t="s">
        <v>19369</v>
      </c>
      <c r="BF1229" t="str">
        <f>HYPERLINK("http://dx.doi.org/10.1186/ar3346","http://dx.doi.org/10.1186/ar3346")</f>
        <v>http://dx.doi.org/10.1186/ar3346</v>
      </c>
      <c r="BG1229" t="s">
        <v>74</v>
      </c>
      <c r="BH1229" t="s">
        <v>74</v>
      </c>
      <c r="BI1229">
        <v>4</v>
      </c>
      <c r="BJ1229" t="s">
        <v>2369</v>
      </c>
      <c r="BK1229" t="s">
        <v>101</v>
      </c>
      <c r="BL1229" t="s">
        <v>2369</v>
      </c>
      <c r="BM1229" t="s">
        <v>19368</v>
      </c>
      <c r="BN1229">
        <v>21699746</v>
      </c>
      <c r="BO1229" t="s">
        <v>1665</v>
      </c>
      <c r="BP1229" t="s">
        <v>74</v>
      </c>
      <c r="BQ1229" t="s">
        <v>74</v>
      </c>
      <c r="BR1229" t="s">
        <v>104</v>
      </c>
      <c r="BS1229" t="s">
        <v>19367</v>
      </c>
      <c r="BT1229" t="str">
        <f>HYPERLINK("https%3A%2F%2Fwww.webofscience.com%2Fwos%2Fwoscc%2Ffull-record%2FWOS:000297149700042","View Full Record in Web of Science")</f>
        <v>View Full Record in Web of Science</v>
      </c>
    </row>
    <row r="1230" spans="1:72" x14ac:dyDescent="0.25">
      <c r="A1230" t="s">
        <v>72</v>
      </c>
      <c r="B1230" t="s">
        <v>18865</v>
      </c>
      <c r="C1230" t="s">
        <v>74</v>
      </c>
      <c r="D1230" t="s">
        <v>74</v>
      </c>
      <c r="E1230" t="s">
        <v>74</v>
      </c>
      <c r="F1230" t="s">
        <v>19366</v>
      </c>
      <c r="G1230" t="s">
        <v>74</v>
      </c>
      <c r="H1230" t="s">
        <v>74</v>
      </c>
      <c r="I1230" t="s">
        <v>19365</v>
      </c>
      <c r="J1230" t="s">
        <v>637</v>
      </c>
      <c r="K1230" t="s">
        <v>74</v>
      </c>
      <c r="L1230" t="s">
        <v>74</v>
      </c>
      <c r="M1230" t="s">
        <v>78</v>
      </c>
      <c r="N1230" t="s">
        <v>52</v>
      </c>
      <c r="O1230" t="s">
        <v>74</v>
      </c>
      <c r="P1230" t="s">
        <v>74</v>
      </c>
      <c r="Q1230" t="s">
        <v>74</v>
      </c>
      <c r="R1230" t="s">
        <v>74</v>
      </c>
      <c r="S1230" t="s">
        <v>74</v>
      </c>
      <c r="T1230" t="s">
        <v>74</v>
      </c>
      <c r="U1230" t="s">
        <v>74</v>
      </c>
      <c r="V1230" t="s">
        <v>74</v>
      </c>
      <c r="W1230" t="s">
        <v>74</v>
      </c>
      <c r="X1230" t="s">
        <v>74</v>
      </c>
      <c r="Y1230" t="s">
        <v>74</v>
      </c>
      <c r="Z1230" t="s">
        <v>74</v>
      </c>
      <c r="AA1230" t="s">
        <v>19364</v>
      </c>
      <c r="AB1230" t="s">
        <v>5709</v>
      </c>
      <c r="AC1230" t="s">
        <v>74</v>
      </c>
      <c r="AD1230" t="s">
        <v>74</v>
      </c>
      <c r="AE1230" t="s">
        <v>74</v>
      </c>
      <c r="AF1230" t="s">
        <v>74</v>
      </c>
      <c r="AG1230">
        <v>0</v>
      </c>
      <c r="AH1230">
        <v>0</v>
      </c>
      <c r="AI1230">
        <v>0</v>
      </c>
      <c r="AJ1230">
        <v>0</v>
      </c>
      <c r="AK1230">
        <v>2</v>
      </c>
      <c r="AL1230" t="s">
        <v>649</v>
      </c>
      <c r="AM1230" t="s">
        <v>486</v>
      </c>
      <c r="AN1230" t="s">
        <v>650</v>
      </c>
      <c r="AO1230" t="s">
        <v>651</v>
      </c>
      <c r="AP1230" t="s">
        <v>652</v>
      </c>
      <c r="AQ1230" t="s">
        <v>74</v>
      </c>
      <c r="AR1230" t="s">
        <v>653</v>
      </c>
      <c r="AS1230" t="s">
        <v>654</v>
      </c>
      <c r="AT1230" t="s">
        <v>74</v>
      </c>
      <c r="AU1230">
        <v>2011</v>
      </c>
      <c r="AV1230">
        <v>183</v>
      </c>
      <c r="AW1230" t="s">
        <v>74</v>
      </c>
      <c r="AX1230" t="s">
        <v>74</v>
      </c>
      <c r="AY1230" t="s">
        <v>74</v>
      </c>
      <c r="AZ1230" t="s">
        <v>74</v>
      </c>
      <c r="BA1230" t="s">
        <v>19363</v>
      </c>
      <c r="BB1230" t="s">
        <v>74</v>
      </c>
      <c r="BC1230" t="s">
        <v>74</v>
      </c>
      <c r="BD1230" t="s">
        <v>74</v>
      </c>
      <c r="BE1230" t="s">
        <v>74</v>
      </c>
      <c r="BF1230" t="s">
        <v>74</v>
      </c>
      <c r="BG1230" t="s">
        <v>74</v>
      </c>
      <c r="BH1230" t="s">
        <v>74</v>
      </c>
      <c r="BI1230">
        <v>1</v>
      </c>
      <c r="BJ1230" t="s">
        <v>341</v>
      </c>
      <c r="BK1230" t="s">
        <v>101</v>
      </c>
      <c r="BL1230" t="s">
        <v>342</v>
      </c>
      <c r="BM1230" t="s">
        <v>19238</v>
      </c>
      <c r="BN1230" t="s">
        <v>74</v>
      </c>
      <c r="BO1230" t="s">
        <v>74</v>
      </c>
      <c r="BP1230" t="s">
        <v>74</v>
      </c>
      <c r="BQ1230" t="s">
        <v>74</v>
      </c>
      <c r="BR1230" t="s">
        <v>104</v>
      </c>
      <c r="BS1230" t="s">
        <v>19362</v>
      </c>
      <c r="BT1230" t="str">
        <f>HYPERLINK("https%3A%2F%2Fwww.webofscience.com%2Fwos%2Fwoscc%2Ffull-record%2FWOS:000208770306255","View Full Record in Web of Science")</f>
        <v>View Full Record in Web of Science</v>
      </c>
    </row>
    <row r="1231" spans="1:72" x14ac:dyDescent="0.25">
      <c r="A1231" t="s">
        <v>72</v>
      </c>
      <c r="B1231" t="s">
        <v>19361</v>
      </c>
      <c r="C1231" t="s">
        <v>74</v>
      </c>
      <c r="D1231" t="s">
        <v>74</v>
      </c>
      <c r="E1231" t="s">
        <v>74</v>
      </c>
      <c r="F1231" t="s">
        <v>19360</v>
      </c>
      <c r="G1231" t="s">
        <v>74</v>
      </c>
      <c r="H1231" t="s">
        <v>74</v>
      </c>
      <c r="I1231" t="s">
        <v>19359</v>
      </c>
      <c r="J1231" t="s">
        <v>637</v>
      </c>
      <c r="K1231" t="s">
        <v>74</v>
      </c>
      <c r="L1231" t="s">
        <v>74</v>
      </c>
      <c r="M1231" t="s">
        <v>78</v>
      </c>
      <c r="N1231" t="s">
        <v>52</v>
      </c>
      <c r="O1231" t="s">
        <v>74</v>
      </c>
      <c r="P1231" t="s">
        <v>74</v>
      </c>
      <c r="Q1231" t="s">
        <v>74</v>
      </c>
      <c r="R1231" t="s">
        <v>74</v>
      </c>
      <c r="S1231" t="s">
        <v>74</v>
      </c>
      <c r="T1231" t="s">
        <v>74</v>
      </c>
      <c r="U1231" t="s">
        <v>74</v>
      </c>
      <c r="V1231" t="s">
        <v>74</v>
      </c>
      <c r="W1231" t="s">
        <v>74</v>
      </c>
      <c r="X1231" t="s">
        <v>74</v>
      </c>
      <c r="Y1231" t="s">
        <v>74</v>
      </c>
      <c r="Z1231" t="s">
        <v>74</v>
      </c>
      <c r="AA1231" t="s">
        <v>19358</v>
      </c>
      <c r="AB1231" t="s">
        <v>19352</v>
      </c>
      <c r="AC1231" t="s">
        <v>74</v>
      </c>
      <c r="AD1231" t="s">
        <v>74</v>
      </c>
      <c r="AE1231" t="s">
        <v>74</v>
      </c>
      <c r="AF1231" t="s">
        <v>74</v>
      </c>
      <c r="AG1231">
        <v>0</v>
      </c>
      <c r="AH1231">
        <v>0</v>
      </c>
      <c r="AI1231">
        <v>0</v>
      </c>
      <c r="AJ1231">
        <v>0</v>
      </c>
      <c r="AK1231">
        <v>2</v>
      </c>
      <c r="AL1231" t="s">
        <v>649</v>
      </c>
      <c r="AM1231" t="s">
        <v>486</v>
      </c>
      <c r="AN1231" t="s">
        <v>650</v>
      </c>
      <c r="AO1231" t="s">
        <v>651</v>
      </c>
      <c r="AP1231" t="s">
        <v>652</v>
      </c>
      <c r="AQ1231" t="s">
        <v>74</v>
      </c>
      <c r="AR1231" t="s">
        <v>653</v>
      </c>
      <c r="AS1231" t="s">
        <v>654</v>
      </c>
      <c r="AT1231" t="s">
        <v>74</v>
      </c>
      <c r="AU1231">
        <v>2011</v>
      </c>
      <c r="AV1231">
        <v>183</v>
      </c>
      <c r="AW1231" t="s">
        <v>74</v>
      </c>
      <c r="AX1231" t="s">
        <v>74</v>
      </c>
      <c r="AY1231" t="s">
        <v>74</v>
      </c>
      <c r="AZ1231" t="s">
        <v>74</v>
      </c>
      <c r="BA1231" t="s">
        <v>19357</v>
      </c>
      <c r="BB1231" t="s">
        <v>74</v>
      </c>
      <c r="BC1231" t="s">
        <v>74</v>
      </c>
      <c r="BD1231" t="s">
        <v>74</v>
      </c>
      <c r="BE1231" t="s">
        <v>74</v>
      </c>
      <c r="BF1231" t="s">
        <v>74</v>
      </c>
      <c r="BG1231" t="s">
        <v>74</v>
      </c>
      <c r="BH1231" t="s">
        <v>74</v>
      </c>
      <c r="BI1231">
        <v>1</v>
      </c>
      <c r="BJ1231" t="s">
        <v>341</v>
      </c>
      <c r="BK1231" t="s">
        <v>101</v>
      </c>
      <c r="BL1231" t="s">
        <v>342</v>
      </c>
      <c r="BM1231" t="s">
        <v>19238</v>
      </c>
      <c r="BN1231" t="s">
        <v>74</v>
      </c>
      <c r="BO1231" t="s">
        <v>74</v>
      </c>
      <c r="BP1231" t="s">
        <v>74</v>
      </c>
      <c r="BQ1231" t="s">
        <v>74</v>
      </c>
      <c r="BR1231" t="s">
        <v>104</v>
      </c>
      <c r="BS1231" t="s">
        <v>19356</v>
      </c>
      <c r="BT1231" t="str">
        <f>HYPERLINK("https%3A%2F%2Fwww.webofscience.com%2Fwos%2Fwoscc%2Ffull-record%2FWOS:000208770304729","View Full Record in Web of Science")</f>
        <v>View Full Record in Web of Science</v>
      </c>
    </row>
    <row r="1232" spans="1:72" x14ac:dyDescent="0.25">
      <c r="A1232" t="s">
        <v>72</v>
      </c>
      <c r="B1232" t="s">
        <v>19355</v>
      </c>
      <c r="C1232" t="s">
        <v>74</v>
      </c>
      <c r="D1232" t="s">
        <v>74</v>
      </c>
      <c r="E1232" t="s">
        <v>74</v>
      </c>
      <c r="F1232" t="s">
        <v>19354</v>
      </c>
      <c r="G1232" t="s">
        <v>74</v>
      </c>
      <c r="H1232" t="s">
        <v>74</v>
      </c>
      <c r="I1232" t="s">
        <v>19353</v>
      </c>
      <c r="J1232" t="s">
        <v>637</v>
      </c>
      <c r="K1232" t="s">
        <v>74</v>
      </c>
      <c r="L1232" t="s">
        <v>74</v>
      </c>
      <c r="M1232" t="s">
        <v>78</v>
      </c>
      <c r="N1232" t="s">
        <v>52</v>
      </c>
      <c r="O1232" t="s">
        <v>74</v>
      </c>
      <c r="P1232" t="s">
        <v>74</v>
      </c>
      <c r="Q1232" t="s">
        <v>74</v>
      </c>
      <c r="R1232" t="s">
        <v>74</v>
      </c>
      <c r="S1232" t="s">
        <v>74</v>
      </c>
      <c r="T1232" t="s">
        <v>74</v>
      </c>
      <c r="U1232" t="s">
        <v>74</v>
      </c>
      <c r="V1232" t="s">
        <v>74</v>
      </c>
      <c r="W1232" t="s">
        <v>74</v>
      </c>
      <c r="X1232" t="s">
        <v>74</v>
      </c>
      <c r="Y1232" t="s">
        <v>74</v>
      </c>
      <c r="Z1232" t="s">
        <v>74</v>
      </c>
      <c r="AA1232" t="s">
        <v>17450</v>
      </c>
      <c r="AB1232" t="s">
        <v>19352</v>
      </c>
      <c r="AC1232" t="s">
        <v>74</v>
      </c>
      <c r="AD1232" t="s">
        <v>74</v>
      </c>
      <c r="AE1232" t="s">
        <v>74</v>
      </c>
      <c r="AF1232" t="s">
        <v>74</v>
      </c>
      <c r="AG1232">
        <v>0</v>
      </c>
      <c r="AH1232">
        <v>0</v>
      </c>
      <c r="AI1232">
        <v>0</v>
      </c>
      <c r="AJ1232">
        <v>0</v>
      </c>
      <c r="AK1232">
        <v>2</v>
      </c>
      <c r="AL1232" t="s">
        <v>649</v>
      </c>
      <c r="AM1232" t="s">
        <v>486</v>
      </c>
      <c r="AN1232" t="s">
        <v>650</v>
      </c>
      <c r="AO1232" t="s">
        <v>651</v>
      </c>
      <c r="AP1232" t="s">
        <v>652</v>
      </c>
      <c r="AQ1232" t="s">
        <v>74</v>
      </c>
      <c r="AR1232" t="s">
        <v>653</v>
      </c>
      <c r="AS1232" t="s">
        <v>654</v>
      </c>
      <c r="AT1232" t="s">
        <v>74</v>
      </c>
      <c r="AU1232">
        <v>2011</v>
      </c>
      <c r="AV1232">
        <v>183</v>
      </c>
      <c r="AW1232" t="s">
        <v>74</v>
      </c>
      <c r="AX1232" t="s">
        <v>74</v>
      </c>
      <c r="AY1232" t="s">
        <v>74</v>
      </c>
      <c r="AZ1232" t="s">
        <v>74</v>
      </c>
      <c r="BA1232" t="s">
        <v>19351</v>
      </c>
      <c r="BB1232" t="s">
        <v>74</v>
      </c>
      <c r="BC1232" t="s">
        <v>74</v>
      </c>
      <c r="BD1232" t="s">
        <v>74</v>
      </c>
      <c r="BE1232" t="s">
        <v>74</v>
      </c>
      <c r="BF1232" t="s">
        <v>74</v>
      </c>
      <c r="BG1232" t="s">
        <v>74</v>
      </c>
      <c r="BH1232" t="s">
        <v>74</v>
      </c>
      <c r="BI1232">
        <v>1</v>
      </c>
      <c r="BJ1232" t="s">
        <v>341</v>
      </c>
      <c r="BK1232" t="s">
        <v>101</v>
      </c>
      <c r="BL1232" t="s">
        <v>342</v>
      </c>
      <c r="BM1232" t="s">
        <v>19238</v>
      </c>
      <c r="BN1232" t="s">
        <v>74</v>
      </c>
      <c r="BO1232" t="s">
        <v>74</v>
      </c>
      <c r="BP1232" t="s">
        <v>74</v>
      </c>
      <c r="BQ1232" t="s">
        <v>74</v>
      </c>
      <c r="BR1232" t="s">
        <v>104</v>
      </c>
      <c r="BS1232" t="s">
        <v>19350</v>
      </c>
      <c r="BT1232" t="str">
        <f>HYPERLINK("https%3A%2F%2Fwww.webofscience.com%2Fwos%2Fwoscc%2Ffull-record%2FWOS:000208770304718","View Full Record in Web of Science")</f>
        <v>View Full Record in Web of Science</v>
      </c>
    </row>
    <row r="1233" spans="1:72" x14ac:dyDescent="0.25">
      <c r="A1233" t="s">
        <v>72</v>
      </c>
      <c r="B1233" t="s">
        <v>19349</v>
      </c>
      <c r="C1233" t="s">
        <v>74</v>
      </c>
      <c r="D1233" t="s">
        <v>74</v>
      </c>
      <c r="E1233" t="s">
        <v>74</v>
      </c>
      <c r="F1233" t="s">
        <v>19348</v>
      </c>
      <c r="G1233" t="s">
        <v>74</v>
      </c>
      <c r="H1233" t="s">
        <v>74</v>
      </c>
      <c r="I1233" t="s">
        <v>19347</v>
      </c>
      <c r="J1233" t="s">
        <v>637</v>
      </c>
      <c r="K1233" t="s">
        <v>74</v>
      </c>
      <c r="L1233" t="s">
        <v>74</v>
      </c>
      <c r="M1233" t="s">
        <v>78</v>
      </c>
      <c r="N1233" t="s">
        <v>52</v>
      </c>
      <c r="O1233" t="s">
        <v>74</v>
      </c>
      <c r="P1233" t="s">
        <v>74</v>
      </c>
      <c r="Q1233" t="s">
        <v>74</v>
      </c>
      <c r="R1233" t="s">
        <v>74</v>
      </c>
      <c r="S1233" t="s">
        <v>74</v>
      </c>
      <c r="T1233" t="s">
        <v>74</v>
      </c>
      <c r="U1233" t="s">
        <v>74</v>
      </c>
      <c r="V1233" t="s">
        <v>74</v>
      </c>
      <c r="W1233" t="s">
        <v>74</v>
      </c>
      <c r="X1233" t="s">
        <v>74</v>
      </c>
      <c r="Y1233" t="s">
        <v>74</v>
      </c>
      <c r="Z1233" t="s">
        <v>74</v>
      </c>
      <c r="AA1233" t="s">
        <v>19346</v>
      </c>
      <c r="AB1233" t="s">
        <v>19345</v>
      </c>
      <c r="AC1233" t="s">
        <v>74</v>
      </c>
      <c r="AD1233" t="s">
        <v>74</v>
      </c>
      <c r="AE1233" t="s">
        <v>74</v>
      </c>
      <c r="AF1233" t="s">
        <v>74</v>
      </c>
      <c r="AG1233">
        <v>0</v>
      </c>
      <c r="AH1233">
        <v>0</v>
      </c>
      <c r="AI1233">
        <v>0</v>
      </c>
      <c r="AJ1233">
        <v>0</v>
      </c>
      <c r="AK1233">
        <v>2</v>
      </c>
      <c r="AL1233" t="s">
        <v>649</v>
      </c>
      <c r="AM1233" t="s">
        <v>486</v>
      </c>
      <c r="AN1233" t="s">
        <v>650</v>
      </c>
      <c r="AO1233" t="s">
        <v>651</v>
      </c>
      <c r="AP1233" t="s">
        <v>652</v>
      </c>
      <c r="AQ1233" t="s">
        <v>74</v>
      </c>
      <c r="AR1233" t="s">
        <v>653</v>
      </c>
      <c r="AS1233" t="s">
        <v>654</v>
      </c>
      <c r="AT1233" t="s">
        <v>74</v>
      </c>
      <c r="AU1233">
        <v>2011</v>
      </c>
      <c r="AV1233">
        <v>183</v>
      </c>
      <c r="AW1233" t="s">
        <v>74</v>
      </c>
      <c r="AX1233" t="s">
        <v>74</v>
      </c>
      <c r="AY1233" t="s">
        <v>74</v>
      </c>
      <c r="AZ1233" t="s">
        <v>74</v>
      </c>
      <c r="BA1233" t="s">
        <v>19344</v>
      </c>
      <c r="BB1233" t="s">
        <v>74</v>
      </c>
      <c r="BC1233" t="s">
        <v>74</v>
      </c>
      <c r="BD1233" t="s">
        <v>74</v>
      </c>
      <c r="BE1233" t="s">
        <v>74</v>
      </c>
      <c r="BF1233" t="s">
        <v>74</v>
      </c>
      <c r="BG1233" t="s">
        <v>74</v>
      </c>
      <c r="BH1233" t="s">
        <v>74</v>
      </c>
      <c r="BI1233">
        <v>1</v>
      </c>
      <c r="BJ1233" t="s">
        <v>341</v>
      </c>
      <c r="BK1233" t="s">
        <v>101</v>
      </c>
      <c r="BL1233" t="s">
        <v>342</v>
      </c>
      <c r="BM1233" t="s">
        <v>19238</v>
      </c>
      <c r="BN1233" t="s">
        <v>74</v>
      </c>
      <c r="BO1233" t="s">
        <v>74</v>
      </c>
      <c r="BP1233" t="s">
        <v>74</v>
      </c>
      <c r="BQ1233" t="s">
        <v>74</v>
      </c>
      <c r="BR1233" t="s">
        <v>104</v>
      </c>
      <c r="BS1233" t="s">
        <v>19343</v>
      </c>
      <c r="BT1233" t="str">
        <f>HYPERLINK("https%3A%2F%2Fwww.webofscience.com%2Fwos%2Fwoscc%2Ffull-record%2FWOS:000208770306085","View Full Record in Web of Science")</f>
        <v>View Full Record in Web of Science</v>
      </c>
    </row>
    <row r="1234" spans="1:72" x14ac:dyDescent="0.25">
      <c r="A1234" t="s">
        <v>72</v>
      </c>
      <c r="B1234" t="s">
        <v>19342</v>
      </c>
      <c r="C1234" t="s">
        <v>74</v>
      </c>
      <c r="D1234" t="s">
        <v>74</v>
      </c>
      <c r="E1234" t="s">
        <v>74</v>
      </c>
      <c r="F1234" t="s">
        <v>19341</v>
      </c>
      <c r="G1234" t="s">
        <v>74</v>
      </c>
      <c r="H1234" t="s">
        <v>74</v>
      </c>
      <c r="I1234" t="s">
        <v>19340</v>
      </c>
      <c r="J1234" t="s">
        <v>637</v>
      </c>
      <c r="K1234" t="s">
        <v>74</v>
      </c>
      <c r="L1234" t="s">
        <v>74</v>
      </c>
      <c r="M1234" t="s">
        <v>78</v>
      </c>
      <c r="N1234" t="s">
        <v>52</v>
      </c>
      <c r="O1234" t="s">
        <v>74</v>
      </c>
      <c r="P1234" t="s">
        <v>74</v>
      </c>
      <c r="Q1234" t="s">
        <v>74</v>
      </c>
      <c r="R1234" t="s">
        <v>74</v>
      </c>
      <c r="S1234" t="s">
        <v>74</v>
      </c>
      <c r="T1234" t="s">
        <v>74</v>
      </c>
      <c r="U1234" t="s">
        <v>74</v>
      </c>
      <c r="V1234" t="s">
        <v>74</v>
      </c>
      <c r="W1234" t="s">
        <v>74</v>
      </c>
      <c r="X1234" t="s">
        <v>74</v>
      </c>
      <c r="Y1234" t="s">
        <v>74</v>
      </c>
      <c r="Z1234" t="s">
        <v>74</v>
      </c>
      <c r="AA1234" t="s">
        <v>19339</v>
      </c>
      <c r="AB1234" t="s">
        <v>74</v>
      </c>
      <c r="AC1234" t="s">
        <v>74</v>
      </c>
      <c r="AD1234" t="s">
        <v>74</v>
      </c>
      <c r="AE1234" t="s">
        <v>74</v>
      </c>
      <c r="AF1234" t="s">
        <v>74</v>
      </c>
      <c r="AG1234">
        <v>0</v>
      </c>
      <c r="AH1234">
        <v>1</v>
      </c>
      <c r="AI1234">
        <v>1</v>
      </c>
      <c r="AJ1234">
        <v>1</v>
      </c>
      <c r="AK1234">
        <v>4</v>
      </c>
      <c r="AL1234" t="s">
        <v>649</v>
      </c>
      <c r="AM1234" t="s">
        <v>486</v>
      </c>
      <c r="AN1234" t="s">
        <v>650</v>
      </c>
      <c r="AO1234" t="s">
        <v>651</v>
      </c>
      <c r="AP1234" t="s">
        <v>652</v>
      </c>
      <c r="AQ1234" t="s">
        <v>74</v>
      </c>
      <c r="AR1234" t="s">
        <v>653</v>
      </c>
      <c r="AS1234" t="s">
        <v>654</v>
      </c>
      <c r="AT1234" t="s">
        <v>74</v>
      </c>
      <c r="AU1234">
        <v>2011</v>
      </c>
      <c r="AV1234">
        <v>183</v>
      </c>
      <c r="AW1234" t="s">
        <v>74</v>
      </c>
      <c r="AX1234" t="s">
        <v>74</v>
      </c>
      <c r="AY1234" t="s">
        <v>74</v>
      </c>
      <c r="AZ1234" t="s">
        <v>74</v>
      </c>
      <c r="BA1234" t="s">
        <v>19338</v>
      </c>
      <c r="BB1234" t="s">
        <v>74</v>
      </c>
      <c r="BC1234" t="s">
        <v>74</v>
      </c>
      <c r="BD1234" t="s">
        <v>74</v>
      </c>
      <c r="BE1234" t="s">
        <v>74</v>
      </c>
      <c r="BF1234" t="s">
        <v>74</v>
      </c>
      <c r="BG1234" t="s">
        <v>74</v>
      </c>
      <c r="BH1234" t="s">
        <v>74</v>
      </c>
      <c r="BI1234">
        <v>1</v>
      </c>
      <c r="BJ1234" t="s">
        <v>341</v>
      </c>
      <c r="BK1234" t="s">
        <v>101</v>
      </c>
      <c r="BL1234" t="s">
        <v>342</v>
      </c>
      <c r="BM1234" t="s">
        <v>19238</v>
      </c>
      <c r="BN1234" t="s">
        <v>74</v>
      </c>
      <c r="BO1234" t="s">
        <v>74</v>
      </c>
      <c r="BP1234" t="s">
        <v>74</v>
      </c>
      <c r="BQ1234" t="s">
        <v>74</v>
      </c>
      <c r="BR1234" t="s">
        <v>104</v>
      </c>
      <c r="BS1234" t="s">
        <v>19337</v>
      </c>
      <c r="BT1234" t="str">
        <f>HYPERLINK("https%3A%2F%2Fwww.webofscience.com%2Fwos%2Fwoscc%2Ffull-record%2FWOS:000208770306048","View Full Record in Web of Science")</f>
        <v>View Full Record in Web of Science</v>
      </c>
    </row>
    <row r="1235" spans="1:72" x14ac:dyDescent="0.25">
      <c r="A1235" t="s">
        <v>8062</v>
      </c>
      <c r="B1235" t="s">
        <v>19336</v>
      </c>
      <c r="C1235" t="s">
        <v>74</v>
      </c>
      <c r="D1235" t="s">
        <v>19335</v>
      </c>
      <c r="E1235" t="s">
        <v>74</v>
      </c>
      <c r="F1235" t="s">
        <v>19334</v>
      </c>
      <c r="G1235" t="s">
        <v>74</v>
      </c>
      <c r="H1235" t="s">
        <v>74</v>
      </c>
      <c r="I1235" t="s">
        <v>19333</v>
      </c>
      <c r="J1235" t="s">
        <v>19332</v>
      </c>
      <c r="K1235" t="s">
        <v>74</v>
      </c>
      <c r="L1235" t="s">
        <v>74</v>
      </c>
      <c r="M1235" t="s">
        <v>78</v>
      </c>
      <c r="N1235" t="s">
        <v>8065</v>
      </c>
      <c r="O1235" t="s">
        <v>74</v>
      </c>
      <c r="P1235" t="s">
        <v>74</v>
      </c>
      <c r="Q1235" t="s">
        <v>74</v>
      </c>
      <c r="R1235" t="s">
        <v>74</v>
      </c>
      <c r="S1235" t="s">
        <v>74</v>
      </c>
      <c r="T1235" t="s">
        <v>19331</v>
      </c>
      <c r="U1235" t="s">
        <v>19330</v>
      </c>
      <c r="V1235" t="s">
        <v>74</v>
      </c>
      <c r="W1235" t="s">
        <v>19329</v>
      </c>
      <c r="X1235" t="s">
        <v>14848</v>
      </c>
      <c r="Y1235" t="s">
        <v>19328</v>
      </c>
      <c r="Z1235" t="s">
        <v>74</v>
      </c>
      <c r="AA1235" t="s">
        <v>144</v>
      </c>
      <c r="AB1235" t="s">
        <v>74</v>
      </c>
      <c r="AC1235" t="s">
        <v>74</v>
      </c>
      <c r="AD1235" t="s">
        <v>74</v>
      </c>
      <c r="AE1235" t="s">
        <v>74</v>
      </c>
      <c r="AF1235" t="s">
        <v>74</v>
      </c>
      <c r="AG1235">
        <v>38</v>
      </c>
      <c r="AH1235">
        <v>0</v>
      </c>
      <c r="AI1235">
        <v>0</v>
      </c>
      <c r="AJ1235">
        <v>0</v>
      </c>
      <c r="AK1235">
        <v>0</v>
      </c>
      <c r="AL1235" t="s">
        <v>19327</v>
      </c>
      <c r="AM1235" t="s">
        <v>19326</v>
      </c>
      <c r="AN1235" t="s">
        <v>19325</v>
      </c>
      <c r="AO1235" t="s">
        <v>74</v>
      </c>
      <c r="AP1235" t="s">
        <v>74</v>
      </c>
      <c r="AQ1235" t="s">
        <v>19324</v>
      </c>
      <c r="AR1235" t="s">
        <v>74</v>
      </c>
      <c r="AS1235" t="s">
        <v>74</v>
      </c>
      <c r="AT1235" t="s">
        <v>74</v>
      </c>
      <c r="AU1235">
        <v>2011</v>
      </c>
      <c r="AV1235" t="s">
        <v>74</v>
      </c>
      <c r="AW1235" t="s">
        <v>74</v>
      </c>
      <c r="AX1235" t="s">
        <v>74</v>
      </c>
      <c r="AY1235" t="s">
        <v>74</v>
      </c>
      <c r="AZ1235" t="s">
        <v>74</v>
      </c>
      <c r="BA1235" t="s">
        <v>74</v>
      </c>
      <c r="BB1235">
        <v>127</v>
      </c>
      <c r="BC1235">
        <v>137</v>
      </c>
      <c r="BD1235" t="s">
        <v>74</v>
      </c>
      <c r="BE1235" t="s">
        <v>19323</v>
      </c>
      <c r="BF1235" t="str">
        <f>HYPERLINK("http://dx.doi.org/10.1007/978-0-85729-641-2_13","http://dx.doi.org/10.1007/978-0-85729-641-2_13")</f>
        <v>http://dx.doi.org/10.1007/978-0-85729-641-2_13</v>
      </c>
      <c r="BG1235" t="s">
        <v>19322</v>
      </c>
      <c r="BH1235" t="s">
        <v>74</v>
      </c>
      <c r="BI1235">
        <v>11</v>
      </c>
      <c r="BJ1235" t="s">
        <v>2369</v>
      </c>
      <c r="BK1235" t="s">
        <v>8073</v>
      </c>
      <c r="BL1235" t="s">
        <v>2369</v>
      </c>
      <c r="BM1235" t="s">
        <v>19321</v>
      </c>
      <c r="BN1235" t="s">
        <v>74</v>
      </c>
      <c r="BO1235" t="s">
        <v>74</v>
      </c>
      <c r="BP1235" t="s">
        <v>74</v>
      </c>
      <c r="BQ1235" t="s">
        <v>74</v>
      </c>
      <c r="BR1235" t="s">
        <v>104</v>
      </c>
      <c r="BS1235" t="s">
        <v>19320</v>
      </c>
      <c r="BT1235" t="str">
        <f>HYPERLINK("https%3A%2F%2Fwww.webofscience.com%2Fwos%2Fwoscc%2Ffull-record%2FWOS:000294697100013","View Full Record in Web of Science")</f>
        <v>View Full Record in Web of Science</v>
      </c>
    </row>
    <row r="1236" spans="1:72" x14ac:dyDescent="0.25">
      <c r="A1236" t="s">
        <v>72</v>
      </c>
      <c r="B1236" t="s">
        <v>19319</v>
      </c>
      <c r="C1236" t="s">
        <v>74</v>
      </c>
      <c r="D1236" t="s">
        <v>74</v>
      </c>
      <c r="E1236" t="s">
        <v>74</v>
      </c>
      <c r="F1236" t="s">
        <v>19318</v>
      </c>
      <c r="G1236" t="s">
        <v>74</v>
      </c>
      <c r="H1236" t="s">
        <v>74</v>
      </c>
      <c r="I1236" t="s">
        <v>19317</v>
      </c>
      <c r="J1236" t="s">
        <v>637</v>
      </c>
      <c r="K1236" t="s">
        <v>74</v>
      </c>
      <c r="L1236" t="s">
        <v>74</v>
      </c>
      <c r="M1236" t="s">
        <v>78</v>
      </c>
      <c r="N1236" t="s">
        <v>52</v>
      </c>
      <c r="O1236" t="s">
        <v>74</v>
      </c>
      <c r="P1236" t="s">
        <v>74</v>
      </c>
      <c r="Q1236" t="s">
        <v>74</v>
      </c>
      <c r="R1236" t="s">
        <v>74</v>
      </c>
      <c r="S1236" t="s">
        <v>74</v>
      </c>
      <c r="T1236" t="s">
        <v>74</v>
      </c>
      <c r="U1236" t="s">
        <v>74</v>
      </c>
      <c r="V1236" t="s">
        <v>74</v>
      </c>
      <c r="W1236" t="s">
        <v>74</v>
      </c>
      <c r="X1236" t="s">
        <v>74</v>
      </c>
      <c r="Y1236" t="s">
        <v>74</v>
      </c>
      <c r="Z1236" t="s">
        <v>74</v>
      </c>
      <c r="AA1236" t="s">
        <v>12607</v>
      </c>
      <c r="AB1236" t="s">
        <v>5709</v>
      </c>
      <c r="AC1236" t="s">
        <v>74</v>
      </c>
      <c r="AD1236" t="s">
        <v>74</v>
      </c>
      <c r="AE1236" t="s">
        <v>74</v>
      </c>
      <c r="AF1236" t="s">
        <v>74</v>
      </c>
      <c r="AG1236">
        <v>0</v>
      </c>
      <c r="AH1236">
        <v>0</v>
      </c>
      <c r="AI1236">
        <v>0</v>
      </c>
      <c r="AJ1236">
        <v>0</v>
      </c>
      <c r="AK1236">
        <v>2</v>
      </c>
      <c r="AL1236" t="s">
        <v>649</v>
      </c>
      <c r="AM1236" t="s">
        <v>486</v>
      </c>
      <c r="AN1236" t="s">
        <v>650</v>
      </c>
      <c r="AO1236" t="s">
        <v>651</v>
      </c>
      <c r="AP1236" t="s">
        <v>652</v>
      </c>
      <c r="AQ1236" t="s">
        <v>74</v>
      </c>
      <c r="AR1236" t="s">
        <v>653</v>
      </c>
      <c r="AS1236" t="s">
        <v>654</v>
      </c>
      <c r="AT1236" t="s">
        <v>74</v>
      </c>
      <c r="AU1236">
        <v>2011</v>
      </c>
      <c r="AV1236">
        <v>183</v>
      </c>
      <c r="AW1236" t="s">
        <v>74</v>
      </c>
      <c r="AX1236" t="s">
        <v>74</v>
      </c>
      <c r="AY1236" t="s">
        <v>74</v>
      </c>
      <c r="AZ1236" t="s">
        <v>74</v>
      </c>
      <c r="BA1236" t="s">
        <v>19316</v>
      </c>
      <c r="BB1236" t="s">
        <v>74</v>
      </c>
      <c r="BC1236" t="s">
        <v>74</v>
      </c>
      <c r="BD1236" t="s">
        <v>74</v>
      </c>
      <c r="BE1236" t="s">
        <v>74</v>
      </c>
      <c r="BF1236" t="s">
        <v>74</v>
      </c>
      <c r="BG1236" t="s">
        <v>74</v>
      </c>
      <c r="BH1236" t="s">
        <v>74</v>
      </c>
      <c r="BI1236">
        <v>1</v>
      </c>
      <c r="BJ1236" t="s">
        <v>341</v>
      </c>
      <c r="BK1236" t="s">
        <v>101</v>
      </c>
      <c r="BL1236" t="s">
        <v>342</v>
      </c>
      <c r="BM1236" t="s">
        <v>19238</v>
      </c>
      <c r="BN1236" t="s">
        <v>74</v>
      </c>
      <c r="BO1236" t="s">
        <v>74</v>
      </c>
      <c r="BP1236" t="s">
        <v>74</v>
      </c>
      <c r="BQ1236" t="s">
        <v>74</v>
      </c>
      <c r="BR1236" t="s">
        <v>104</v>
      </c>
      <c r="BS1236" t="s">
        <v>19315</v>
      </c>
      <c r="BT1236" t="str">
        <f>HYPERLINK("https%3A%2F%2Fwww.webofscience.com%2Fwos%2Fwoscc%2Ffull-record%2FWOS:000208770301119","View Full Record in Web of Science")</f>
        <v>View Full Record in Web of Science</v>
      </c>
    </row>
    <row r="1237" spans="1:72" x14ac:dyDescent="0.25">
      <c r="A1237" t="s">
        <v>998</v>
      </c>
      <c r="B1237" t="s">
        <v>19314</v>
      </c>
      <c r="C1237" t="s">
        <v>74</v>
      </c>
      <c r="D1237" t="s">
        <v>19313</v>
      </c>
      <c r="E1237" t="s">
        <v>74</v>
      </c>
      <c r="F1237" t="s">
        <v>19312</v>
      </c>
      <c r="G1237" t="s">
        <v>74</v>
      </c>
      <c r="H1237" t="s">
        <v>74</v>
      </c>
      <c r="I1237" t="s">
        <v>19311</v>
      </c>
      <c r="J1237" t="s">
        <v>19310</v>
      </c>
      <c r="K1237" t="s">
        <v>19309</v>
      </c>
      <c r="L1237" t="s">
        <v>74</v>
      </c>
      <c r="M1237" t="s">
        <v>78</v>
      </c>
      <c r="N1237" t="s">
        <v>8065</v>
      </c>
      <c r="O1237" t="s">
        <v>74</v>
      </c>
      <c r="P1237" t="s">
        <v>74</v>
      </c>
      <c r="Q1237" t="s">
        <v>74</v>
      </c>
      <c r="R1237" t="s">
        <v>74</v>
      </c>
      <c r="S1237" t="s">
        <v>74</v>
      </c>
      <c r="T1237" t="s">
        <v>19308</v>
      </c>
      <c r="U1237" t="s">
        <v>19307</v>
      </c>
      <c r="V1237" t="s">
        <v>19306</v>
      </c>
      <c r="W1237" t="s">
        <v>19305</v>
      </c>
      <c r="X1237" t="s">
        <v>19304</v>
      </c>
      <c r="Y1237" t="s">
        <v>19303</v>
      </c>
      <c r="Z1237" t="s">
        <v>17425</v>
      </c>
      <c r="AA1237" t="s">
        <v>19302</v>
      </c>
      <c r="AB1237" t="s">
        <v>5709</v>
      </c>
      <c r="AC1237" t="s">
        <v>74</v>
      </c>
      <c r="AD1237" t="s">
        <v>74</v>
      </c>
      <c r="AE1237" t="s">
        <v>74</v>
      </c>
      <c r="AF1237" t="s">
        <v>74</v>
      </c>
      <c r="AG1237">
        <v>88</v>
      </c>
      <c r="AH1237">
        <v>1</v>
      </c>
      <c r="AI1237">
        <v>1</v>
      </c>
      <c r="AJ1237">
        <v>0</v>
      </c>
      <c r="AK1237">
        <v>1</v>
      </c>
      <c r="AL1237" t="s">
        <v>8070</v>
      </c>
      <c r="AM1237" t="s">
        <v>220</v>
      </c>
      <c r="AN1237" t="s">
        <v>8071</v>
      </c>
      <c r="AO1237" t="s">
        <v>19301</v>
      </c>
      <c r="AP1237" t="s">
        <v>74</v>
      </c>
      <c r="AQ1237" t="s">
        <v>19300</v>
      </c>
      <c r="AR1237" t="s">
        <v>19299</v>
      </c>
      <c r="AS1237" t="s">
        <v>74</v>
      </c>
      <c r="AT1237" t="s">
        <v>74</v>
      </c>
      <c r="AU1237">
        <v>2011</v>
      </c>
      <c r="AV1237" t="s">
        <v>74</v>
      </c>
      <c r="AW1237">
        <v>54</v>
      </c>
      <c r="AX1237" t="s">
        <v>74</v>
      </c>
      <c r="AY1237" t="s">
        <v>74</v>
      </c>
      <c r="AZ1237" t="s">
        <v>74</v>
      </c>
      <c r="BA1237" t="s">
        <v>74</v>
      </c>
      <c r="BB1237">
        <v>317</v>
      </c>
      <c r="BC1237">
        <v>331</v>
      </c>
      <c r="BD1237" t="s">
        <v>74</v>
      </c>
      <c r="BE1237" t="s">
        <v>19298</v>
      </c>
      <c r="BF1237" t="str">
        <f>HYPERLINK("http://dx.doi.org/10.1183/1025448x.10008910","http://dx.doi.org/10.1183/1025448x.10008910")</f>
        <v>http://dx.doi.org/10.1183/1025448x.10008910</v>
      </c>
      <c r="BG1237" t="s">
        <v>74</v>
      </c>
      <c r="BH1237" t="s">
        <v>74</v>
      </c>
      <c r="BI1237">
        <v>15</v>
      </c>
      <c r="BJ1237" t="s">
        <v>228</v>
      </c>
      <c r="BK1237" t="s">
        <v>8073</v>
      </c>
      <c r="BL1237" t="s">
        <v>228</v>
      </c>
      <c r="BM1237" t="s">
        <v>19297</v>
      </c>
      <c r="BN1237" t="s">
        <v>74</v>
      </c>
      <c r="BO1237" t="s">
        <v>74</v>
      </c>
      <c r="BP1237" t="s">
        <v>74</v>
      </c>
      <c r="BQ1237" t="s">
        <v>74</v>
      </c>
      <c r="BR1237" t="s">
        <v>104</v>
      </c>
      <c r="BS1237" t="s">
        <v>19296</v>
      </c>
      <c r="BT1237" t="str">
        <f>HYPERLINK("https%3A%2F%2Fwww.webofscience.com%2Fwos%2Fwoscc%2Ffull-record%2FWOS:000307361100021","View Full Record in Web of Science")</f>
        <v>View Full Record in Web of Science</v>
      </c>
    </row>
    <row r="1238" spans="1:72" x14ac:dyDescent="0.25">
      <c r="A1238" t="s">
        <v>72</v>
      </c>
      <c r="B1238" t="s">
        <v>19295</v>
      </c>
      <c r="C1238" t="s">
        <v>74</v>
      </c>
      <c r="D1238" t="s">
        <v>74</v>
      </c>
      <c r="E1238" t="s">
        <v>74</v>
      </c>
      <c r="F1238" t="s">
        <v>19294</v>
      </c>
      <c r="G1238" t="s">
        <v>74</v>
      </c>
      <c r="H1238" t="s">
        <v>74</v>
      </c>
      <c r="I1238" t="s">
        <v>19293</v>
      </c>
      <c r="J1238" t="s">
        <v>637</v>
      </c>
      <c r="K1238" t="s">
        <v>74</v>
      </c>
      <c r="L1238" t="s">
        <v>74</v>
      </c>
      <c r="M1238" t="s">
        <v>78</v>
      </c>
      <c r="N1238" t="s">
        <v>52</v>
      </c>
      <c r="O1238" t="s">
        <v>74</v>
      </c>
      <c r="P1238" t="s">
        <v>74</v>
      </c>
      <c r="Q1238" t="s">
        <v>74</v>
      </c>
      <c r="R1238" t="s">
        <v>74</v>
      </c>
      <c r="S1238" t="s">
        <v>74</v>
      </c>
      <c r="T1238" t="s">
        <v>74</v>
      </c>
      <c r="U1238" t="s">
        <v>74</v>
      </c>
      <c r="V1238" t="s">
        <v>74</v>
      </c>
      <c r="W1238" t="s">
        <v>74</v>
      </c>
      <c r="X1238" t="s">
        <v>74</v>
      </c>
      <c r="Y1238" t="s">
        <v>74</v>
      </c>
      <c r="Z1238" t="s">
        <v>74</v>
      </c>
      <c r="AA1238" t="s">
        <v>19292</v>
      </c>
      <c r="AB1238" t="s">
        <v>5709</v>
      </c>
      <c r="AC1238" t="s">
        <v>74</v>
      </c>
      <c r="AD1238" t="s">
        <v>74</v>
      </c>
      <c r="AE1238" t="s">
        <v>74</v>
      </c>
      <c r="AF1238" t="s">
        <v>74</v>
      </c>
      <c r="AG1238">
        <v>0</v>
      </c>
      <c r="AH1238">
        <v>9</v>
      </c>
      <c r="AI1238">
        <v>9</v>
      </c>
      <c r="AJ1238">
        <v>0</v>
      </c>
      <c r="AK1238">
        <v>2</v>
      </c>
      <c r="AL1238" t="s">
        <v>649</v>
      </c>
      <c r="AM1238" t="s">
        <v>486</v>
      </c>
      <c r="AN1238" t="s">
        <v>650</v>
      </c>
      <c r="AO1238" t="s">
        <v>651</v>
      </c>
      <c r="AP1238" t="s">
        <v>652</v>
      </c>
      <c r="AQ1238" t="s">
        <v>74</v>
      </c>
      <c r="AR1238" t="s">
        <v>653</v>
      </c>
      <c r="AS1238" t="s">
        <v>654</v>
      </c>
      <c r="AT1238" t="s">
        <v>74</v>
      </c>
      <c r="AU1238">
        <v>2011</v>
      </c>
      <c r="AV1238">
        <v>183</v>
      </c>
      <c r="AW1238" t="s">
        <v>74</v>
      </c>
      <c r="AX1238" t="s">
        <v>74</v>
      </c>
      <c r="AY1238" t="s">
        <v>74</v>
      </c>
      <c r="AZ1238" t="s">
        <v>74</v>
      </c>
      <c r="BA1238" t="s">
        <v>19291</v>
      </c>
      <c r="BB1238" t="s">
        <v>74</v>
      </c>
      <c r="BC1238" t="s">
        <v>74</v>
      </c>
      <c r="BD1238" t="s">
        <v>74</v>
      </c>
      <c r="BE1238" t="s">
        <v>74</v>
      </c>
      <c r="BF1238" t="s">
        <v>74</v>
      </c>
      <c r="BG1238" t="s">
        <v>74</v>
      </c>
      <c r="BH1238" t="s">
        <v>74</v>
      </c>
      <c r="BI1238">
        <v>1</v>
      </c>
      <c r="BJ1238" t="s">
        <v>341</v>
      </c>
      <c r="BK1238" t="s">
        <v>101</v>
      </c>
      <c r="BL1238" t="s">
        <v>342</v>
      </c>
      <c r="BM1238" t="s">
        <v>19238</v>
      </c>
      <c r="BN1238" t="s">
        <v>74</v>
      </c>
      <c r="BO1238" t="s">
        <v>74</v>
      </c>
      <c r="BP1238" t="s">
        <v>74</v>
      </c>
      <c r="BQ1238" t="s">
        <v>74</v>
      </c>
      <c r="BR1238" t="s">
        <v>104</v>
      </c>
      <c r="BS1238" t="s">
        <v>19290</v>
      </c>
      <c r="BT1238" t="str">
        <f>HYPERLINK("https%3A%2F%2Fwww.webofscience.com%2Fwos%2Fwoscc%2Ffull-record%2FWOS:000208770301599","View Full Record in Web of Science")</f>
        <v>View Full Record in Web of Science</v>
      </c>
    </row>
    <row r="1239" spans="1:72" x14ac:dyDescent="0.25">
      <c r="A1239" t="s">
        <v>72</v>
      </c>
      <c r="B1239" t="s">
        <v>19289</v>
      </c>
      <c r="C1239" t="s">
        <v>74</v>
      </c>
      <c r="D1239" t="s">
        <v>74</v>
      </c>
      <c r="E1239" t="s">
        <v>74</v>
      </c>
      <c r="F1239" t="s">
        <v>19288</v>
      </c>
      <c r="G1239" t="s">
        <v>74</v>
      </c>
      <c r="H1239" t="s">
        <v>74</v>
      </c>
      <c r="I1239" t="s">
        <v>19287</v>
      </c>
      <c r="J1239" t="s">
        <v>637</v>
      </c>
      <c r="K1239" t="s">
        <v>74</v>
      </c>
      <c r="L1239" t="s">
        <v>74</v>
      </c>
      <c r="M1239" t="s">
        <v>78</v>
      </c>
      <c r="N1239" t="s">
        <v>52</v>
      </c>
      <c r="O1239" t="s">
        <v>74</v>
      </c>
      <c r="P1239" t="s">
        <v>74</v>
      </c>
      <c r="Q1239" t="s">
        <v>74</v>
      </c>
      <c r="R1239" t="s">
        <v>74</v>
      </c>
      <c r="S1239" t="s">
        <v>74</v>
      </c>
      <c r="T1239" t="s">
        <v>74</v>
      </c>
      <c r="U1239" t="s">
        <v>74</v>
      </c>
      <c r="V1239" t="s">
        <v>74</v>
      </c>
      <c r="W1239" t="s">
        <v>74</v>
      </c>
      <c r="X1239" t="s">
        <v>74</v>
      </c>
      <c r="Y1239" t="s">
        <v>74</v>
      </c>
      <c r="Z1239" t="s">
        <v>74</v>
      </c>
      <c r="AA1239" t="s">
        <v>19286</v>
      </c>
      <c r="AB1239" t="s">
        <v>19285</v>
      </c>
      <c r="AC1239" t="s">
        <v>74</v>
      </c>
      <c r="AD1239" t="s">
        <v>74</v>
      </c>
      <c r="AE1239" t="s">
        <v>74</v>
      </c>
      <c r="AF1239" t="s">
        <v>74</v>
      </c>
      <c r="AG1239">
        <v>0</v>
      </c>
      <c r="AH1239">
        <v>0</v>
      </c>
      <c r="AI1239">
        <v>0</v>
      </c>
      <c r="AJ1239">
        <v>0</v>
      </c>
      <c r="AK1239">
        <v>2</v>
      </c>
      <c r="AL1239" t="s">
        <v>649</v>
      </c>
      <c r="AM1239" t="s">
        <v>486</v>
      </c>
      <c r="AN1239" t="s">
        <v>650</v>
      </c>
      <c r="AO1239" t="s">
        <v>651</v>
      </c>
      <c r="AP1239" t="s">
        <v>652</v>
      </c>
      <c r="AQ1239" t="s">
        <v>74</v>
      </c>
      <c r="AR1239" t="s">
        <v>653</v>
      </c>
      <c r="AS1239" t="s">
        <v>654</v>
      </c>
      <c r="AT1239" t="s">
        <v>74</v>
      </c>
      <c r="AU1239">
        <v>2011</v>
      </c>
      <c r="AV1239">
        <v>183</v>
      </c>
      <c r="AW1239" t="s">
        <v>74</v>
      </c>
      <c r="AX1239" t="s">
        <v>74</v>
      </c>
      <c r="AY1239" t="s">
        <v>74</v>
      </c>
      <c r="AZ1239" t="s">
        <v>74</v>
      </c>
      <c r="BA1239" t="s">
        <v>19284</v>
      </c>
      <c r="BB1239" t="s">
        <v>74</v>
      </c>
      <c r="BC1239" t="s">
        <v>74</v>
      </c>
      <c r="BD1239" t="s">
        <v>74</v>
      </c>
      <c r="BE1239" t="s">
        <v>74</v>
      </c>
      <c r="BF1239" t="s">
        <v>74</v>
      </c>
      <c r="BG1239" t="s">
        <v>74</v>
      </c>
      <c r="BH1239" t="s">
        <v>74</v>
      </c>
      <c r="BI1239">
        <v>1</v>
      </c>
      <c r="BJ1239" t="s">
        <v>341</v>
      </c>
      <c r="BK1239" t="s">
        <v>101</v>
      </c>
      <c r="BL1239" t="s">
        <v>342</v>
      </c>
      <c r="BM1239" t="s">
        <v>19238</v>
      </c>
      <c r="BN1239" t="s">
        <v>74</v>
      </c>
      <c r="BO1239" t="s">
        <v>74</v>
      </c>
      <c r="BP1239" t="s">
        <v>74</v>
      </c>
      <c r="BQ1239" t="s">
        <v>74</v>
      </c>
      <c r="BR1239" t="s">
        <v>104</v>
      </c>
      <c r="BS1239" t="s">
        <v>19283</v>
      </c>
      <c r="BT1239" t="str">
        <f>HYPERLINK("https%3A%2F%2Fwww.webofscience.com%2Fwos%2Fwoscc%2Ffull-record%2FWOS:000208770306079","View Full Record in Web of Science")</f>
        <v>View Full Record in Web of Science</v>
      </c>
    </row>
    <row r="1240" spans="1:72" x14ac:dyDescent="0.25">
      <c r="A1240" t="s">
        <v>72</v>
      </c>
      <c r="B1240" t="s">
        <v>19282</v>
      </c>
      <c r="C1240" t="s">
        <v>74</v>
      </c>
      <c r="D1240" t="s">
        <v>74</v>
      </c>
      <c r="E1240" t="s">
        <v>74</v>
      </c>
      <c r="F1240" t="s">
        <v>19281</v>
      </c>
      <c r="G1240" t="s">
        <v>74</v>
      </c>
      <c r="H1240" t="s">
        <v>74</v>
      </c>
      <c r="I1240" t="s">
        <v>19280</v>
      </c>
      <c r="J1240" t="s">
        <v>637</v>
      </c>
      <c r="K1240" t="s">
        <v>74</v>
      </c>
      <c r="L1240" t="s">
        <v>74</v>
      </c>
      <c r="M1240" t="s">
        <v>78</v>
      </c>
      <c r="N1240" t="s">
        <v>52</v>
      </c>
      <c r="O1240" t="s">
        <v>74</v>
      </c>
      <c r="P1240" t="s">
        <v>74</v>
      </c>
      <c r="Q1240" t="s">
        <v>74</v>
      </c>
      <c r="R1240" t="s">
        <v>74</v>
      </c>
      <c r="S1240" t="s">
        <v>74</v>
      </c>
      <c r="T1240" t="s">
        <v>74</v>
      </c>
      <c r="U1240" t="s">
        <v>74</v>
      </c>
      <c r="V1240" t="s">
        <v>74</v>
      </c>
      <c r="W1240" t="s">
        <v>74</v>
      </c>
      <c r="X1240" t="s">
        <v>74</v>
      </c>
      <c r="Y1240" t="s">
        <v>74</v>
      </c>
      <c r="Z1240" t="s">
        <v>74</v>
      </c>
      <c r="AA1240" t="s">
        <v>19252</v>
      </c>
      <c r="AB1240" t="s">
        <v>11924</v>
      </c>
      <c r="AC1240" t="s">
        <v>74</v>
      </c>
      <c r="AD1240" t="s">
        <v>74</v>
      </c>
      <c r="AE1240" t="s">
        <v>74</v>
      </c>
      <c r="AF1240" t="s">
        <v>74</v>
      </c>
      <c r="AG1240">
        <v>0</v>
      </c>
      <c r="AH1240">
        <v>0</v>
      </c>
      <c r="AI1240">
        <v>0</v>
      </c>
      <c r="AJ1240">
        <v>0</v>
      </c>
      <c r="AK1240">
        <v>2</v>
      </c>
      <c r="AL1240" t="s">
        <v>649</v>
      </c>
      <c r="AM1240" t="s">
        <v>486</v>
      </c>
      <c r="AN1240" t="s">
        <v>650</v>
      </c>
      <c r="AO1240" t="s">
        <v>651</v>
      </c>
      <c r="AP1240" t="s">
        <v>652</v>
      </c>
      <c r="AQ1240" t="s">
        <v>74</v>
      </c>
      <c r="AR1240" t="s">
        <v>653</v>
      </c>
      <c r="AS1240" t="s">
        <v>654</v>
      </c>
      <c r="AT1240" t="s">
        <v>74</v>
      </c>
      <c r="AU1240">
        <v>2011</v>
      </c>
      <c r="AV1240">
        <v>183</v>
      </c>
      <c r="AW1240" t="s">
        <v>74</v>
      </c>
      <c r="AX1240" t="s">
        <v>74</v>
      </c>
      <c r="AY1240" t="s">
        <v>74</v>
      </c>
      <c r="AZ1240" t="s">
        <v>74</v>
      </c>
      <c r="BA1240" t="s">
        <v>19279</v>
      </c>
      <c r="BB1240" t="s">
        <v>74</v>
      </c>
      <c r="BC1240" t="s">
        <v>74</v>
      </c>
      <c r="BD1240" t="s">
        <v>74</v>
      </c>
      <c r="BE1240" t="s">
        <v>74</v>
      </c>
      <c r="BF1240" t="s">
        <v>74</v>
      </c>
      <c r="BG1240" t="s">
        <v>74</v>
      </c>
      <c r="BH1240" t="s">
        <v>74</v>
      </c>
      <c r="BI1240">
        <v>1</v>
      </c>
      <c r="BJ1240" t="s">
        <v>341</v>
      </c>
      <c r="BK1240" t="s">
        <v>101</v>
      </c>
      <c r="BL1240" t="s">
        <v>342</v>
      </c>
      <c r="BM1240" t="s">
        <v>19238</v>
      </c>
      <c r="BN1240" t="s">
        <v>74</v>
      </c>
      <c r="BO1240" t="s">
        <v>74</v>
      </c>
      <c r="BP1240" t="s">
        <v>74</v>
      </c>
      <c r="BQ1240" t="s">
        <v>74</v>
      </c>
      <c r="BR1240" t="s">
        <v>104</v>
      </c>
      <c r="BS1240" t="s">
        <v>19278</v>
      </c>
      <c r="BT1240" t="str">
        <f>HYPERLINK("https%3A%2F%2Fwww.webofscience.com%2Fwos%2Fwoscc%2Ffull-record%2FWOS:000208770304739","View Full Record in Web of Science")</f>
        <v>View Full Record in Web of Science</v>
      </c>
    </row>
    <row r="1241" spans="1:72" x14ac:dyDescent="0.25">
      <c r="A1241" t="s">
        <v>72</v>
      </c>
      <c r="B1241" t="s">
        <v>19277</v>
      </c>
      <c r="C1241" t="s">
        <v>74</v>
      </c>
      <c r="D1241" t="s">
        <v>74</v>
      </c>
      <c r="E1241" t="s">
        <v>74</v>
      </c>
      <c r="F1241" t="s">
        <v>19276</v>
      </c>
      <c r="G1241" t="s">
        <v>74</v>
      </c>
      <c r="H1241" t="s">
        <v>74</v>
      </c>
      <c r="I1241" t="s">
        <v>19275</v>
      </c>
      <c r="J1241" t="s">
        <v>19274</v>
      </c>
      <c r="K1241" t="s">
        <v>74</v>
      </c>
      <c r="L1241" t="s">
        <v>74</v>
      </c>
      <c r="M1241" t="s">
        <v>78</v>
      </c>
      <c r="N1241" t="s">
        <v>299</v>
      </c>
      <c r="O1241" t="s">
        <v>74</v>
      </c>
      <c r="P1241" t="s">
        <v>74</v>
      </c>
      <c r="Q1241" t="s">
        <v>74</v>
      </c>
      <c r="R1241" t="s">
        <v>74</v>
      </c>
      <c r="S1241" t="s">
        <v>74</v>
      </c>
      <c r="T1241" t="s">
        <v>74</v>
      </c>
      <c r="U1241" t="s">
        <v>19273</v>
      </c>
      <c r="V1241" t="s">
        <v>19272</v>
      </c>
      <c r="W1241" t="s">
        <v>19271</v>
      </c>
      <c r="X1241" t="s">
        <v>19270</v>
      </c>
      <c r="Y1241" t="s">
        <v>19269</v>
      </c>
      <c r="Z1241" t="s">
        <v>19268</v>
      </c>
      <c r="AA1241" t="s">
        <v>19267</v>
      </c>
      <c r="AB1241" t="s">
        <v>19266</v>
      </c>
      <c r="AC1241" t="s">
        <v>243</v>
      </c>
      <c r="AD1241" t="s">
        <v>243</v>
      </c>
      <c r="AE1241" t="s">
        <v>19265</v>
      </c>
      <c r="AF1241" t="s">
        <v>74</v>
      </c>
      <c r="AG1241">
        <v>56</v>
      </c>
      <c r="AH1241">
        <v>20</v>
      </c>
      <c r="AI1241">
        <v>22</v>
      </c>
      <c r="AJ1241">
        <v>0</v>
      </c>
      <c r="AK1241">
        <v>2</v>
      </c>
      <c r="AL1241" t="s">
        <v>169</v>
      </c>
      <c r="AM1241" t="s">
        <v>170</v>
      </c>
      <c r="AN1241" t="s">
        <v>171</v>
      </c>
      <c r="AO1241" t="s">
        <v>19264</v>
      </c>
      <c r="AP1241" t="s">
        <v>19263</v>
      </c>
      <c r="AQ1241" t="s">
        <v>74</v>
      </c>
      <c r="AR1241" t="s">
        <v>19262</v>
      </c>
      <c r="AS1241" t="s">
        <v>19261</v>
      </c>
      <c r="AT1241" t="s">
        <v>176</v>
      </c>
      <c r="AU1241">
        <v>2011</v>
      </c>
      <c r="AV1241">
        <v>65</v>
      </c>
      <c r="AW1241" t="s">
        <v>74</v>
      </c>
      <c r="AX1241" t="s">
        <v>74</v>
      </c>
      <c r="AY1241">
        <v>169</v>
      </c>
      <c r="AZ1241" t="s">
        <v>74</v>
      </c>
      <c r="BA1241" t="s">
        <v>74</v>
      </c>
      <c r="BB1241">
        <v>11</v>
      </c>
      <c r="BC1241">
        <v>18</v>
      </c>
      <c r="BD1241" t="s">
        <v>74</v>
      </c>
      <c r="BE1241" t="s">
        <v>19260</v>
      </c>
      <c r="BF1241" t="str">
        <f>HYPERLINK("http://dx.doi.org/10.1111/j.1742-1241.2010.02600.x","http://dx.doi.org/10.1111/j.1742-1241.2010.02600.x")</f>
        <v>http://dx.doi.org/10.1111/j.1742-1241.2010.02600.x</v>
      </c>
      <c r="BG1241" t="s">
        <v>74</v>
      </c>
      <c r="BH1241" t="s">
        <v>74</v>
      </c>
      <c r="BI1241">
        <v>8</v>
      </c>
      <c r="BJ1241" t="s">
        <v>19259</v>
      </c>
      <c r="BK1241" t="s">
        <v>101</v>
      </c>
      <c r="BL1241" t="s">
        <v>19258</v>
      </c>
      <c r="BM1241" t="s">
        <v>19257</v>
      </c>
      <c r="BN1241">
        <v>21176011</v>
      </c>
      <c r="BO1241" t="s">
        <v>2854</v>
      </c>
      <c r="BP1241" t="s">
        <v>74</v>
      </c>
      <c r="BQ1241" t="s">
        <v>74</v>
      </c>
      <c r="BR1241" t="s">
        <v>104</v>
      </c>
      <c r="BS1241" t="s">
        <v>19256</v>
      </c>
      <c r="BT1241" t="str">
        <f>HYPERLINK("https%3A%2F%2Fwww.webofscience.com%2Fwos%2Fwoscc%2Ffull-record%2FWOS:000285752200004","View Full Record in Web of Science")</f>
        <v>View Full Record in Web of Science</v>
      </c>
    </row>
    <row r="1242" spans="1:72" x14ac:dyDescent="0.25">
      <c r="A1242" t="s">
        <v>72</v>
      </c>
      <c r="B1242" t="s">
        <v>19255</v>
      </c>
      <c r="C1242" t="s">
        <v>74</v>
      </c>
      <c r="D1242" t="s">
        <v>74</v>
      </c>
      <c r="E1242" t="s">
        <v>74</v>
      </c>
      <c r="F1242" t="s">
        <v>19254</v>
      </c>
      <c r="G1242" t="s">
        <v>74</v>
      </c>
      <c r="H1242" t="s">
        <v>74</v>
      </c>
      <c r="I1242" t="s">
        <v>19253</v>
      </c>
      <c r="J1242" t="s">
        <v>637</v>
      </c>
      <c r="K1242" t="s">
        <v>74</v>
      </c>
      <c r="L1242" t="s">
        <v>74</v>
      </c>
      <c r="M1242" t="s">
        <v>78</v>
      </c>
      <c r="N1242" t="s">
        <v>52</v>
      </c>
      <c r="O1242" t="s">
        <v>74</v>
      </c>
      <c r="P1242" t="s">
        <v>74</v>
      </c>
      <c r="Q1242" t="s">
        <v>74</v>
      </c>
      <c r="R1242" t="s">
        <v>74</v>
      </c>
      <c r="S1242" t="s">
        <v>74</v>
      </c>
      <c r="T1242" t="s">
        <v>74</v>
      </c>
      <c r="U1242" t="s">
        <v>74</v>
      </c>
      <c r="V1242" t="s">
        <v>74</v>
      </c>
      <c r="W1242" t="s">
        <v>74</v>
      </c>
      <c r="X1242" t="s">
        <v>74</v>
      </c>
      <c r="Y1242" t="s">
        <v>74</v>
      </c>
      <c r="Z1242" t="s">
        <v>74</v>
      </c>
      <c r="AA1242" t="s">
        <v>19252</v>
      </c>
      <c r="AB1242" t="s">
        <v>11924</v>
      </c>
      <c r="AC1242" t="s">
        <v>74</v>
      </c>
      <c r="AD1242" t="s">
        <v>74</v>
      </c>
      <c r="AE1242" t="s">
        <v>74</v>
      </c>
      <c r="AF1242" t="s">
        <v>74</v>
      </c>
      <c r="AG1242">
        <v>0</v>
      </c>
      <c r="AH1242">
        <v>0</v>
      </c>
      <c r="AI1242">
        <v>0</v>
      </c>
      <c r="AJ1242">
        <v>0</v>
      </c>
      <c r="AK1242">
        <v>2</v>
      </c>
      <c r="AL1242" t="s">
        <v>649</v>
      </c>
      <c r="AM1242" t="s">
        <v>486</v>
      </c>
      <c r="AN1242" t="s">
        <v>650</v>
      </c>
      <c r="AO1242" t="s">
        <v>651</v>
      </c>
      <c r="AP1242" t="s">
        <v>652</v>
      </c>
      <c r="AQ1242" t="s">
        <v>74</v>
      </c>
      <c r="AR1242" t="s">
        <v>653</v>
      </c>
      <c r="AS1242" t="s">
        <v>654</v>
      </c>
      <c r="AT1242" t="s">
        <v>74</v>
      </c>
      <c r="AU1242">
        <v>2011</v>
      </c>
      <c r="AV1242">
        <v>183</v>
      </c>
      <c r="AW1242" t="s">
        <v>74</v>
      </c>
      <c r="AX1242" t="s">
        <v>74</v>
      </c>
      <c r="AY1242" t="s">
        <v>74</v>
      </c>
      <c r="AZ1242" t="s">
        <v>74</v>
      </c>
      <c r="BA1242" t="s">
        <v>19251</v>
      </c>
      <c r="BB1242" t="s">
        <v>74</v>
      </c>
      <c r="BC1242" t="s">
        <v>74</v>
      </c>
      <c r="BD1242" t="s">
        <v>74</v>
      </c>
      <c r="BE1242" t="s">
        <v>74</v>
      </c>
      <c r="BF1242" t="s">
        <v>74</v>
      </c>
      <c r="BG1242" t="s">
        <v>74</v>
      </c>
      <c r="BH1242" t="s">
        <v>74</v>
      </c>
      <c r="BI1242">
        <v>1</v>
      </c>
      <c r="BJ1242" t="s">
        <v>341</v>
      </c>
      <c r="BK1242" t="s">
        <v>101</v>
      </c>
      <c r="BL1242" t="s">
        <v>342</v>
      </c>
      <c r="BM1242" t="s">
        <v>19238</v>
      </c>
      <c r="BN1242" t="s">
        <v>74</v>
      </c>
      <c r="BO1242" t="s">
        <v>74</v>
      </c>
      <c r="BP1242" t="s">
        <v>74</v>
      </c>
      <c r="BQ1242" t="s">
        <v>74</v>
      </c>
      <c r="BR1242" t="s">
        <v>104</v>
      </c>
      <c r="BS1242" t="s">
        <v>19250</v>
      </c>
      <c r="BT1242" t="str">
        <f>HYPERLINK("https%3A%2F%2Fwww.webofscience.com%2Fwos%2Fwoscc%2Ffull-record%2FWOS:000208770302775","View Full Record in Web of Science")</f>
        <v>View Full Record in Web of Science</v>
      </c>
    </row>
    <row r="1243" spans="1:72" x14ac:dyDescent="0.25">
      <c r="A1243" t="s">
        <v>72</v>
      </c>
      <c r="B1243" t="s">
        <v>19249</v>
      </c>
      <c r="C1243" t="s">
        <v>74</v>
      </c>
      <c r="D1243" t="s">
        <v>74</v>
      </c>
      <c r="E1243" t="s">
        <v>74</v>
      </c>
      <c r="F1243" t="s">
        <v>19248</v>
      </c>
      <c r="G1243" t="s">
        <v>74</v>
      </c>
      <c r="H1243" t="s">
        <v>74</v>
      </c>
      <c r="I1243" t="s">
        <v>19247</v>
      </c>
      <c r="J1243" t="s">
        <v>637</v>
      </c>
      <c r="K1243" t="s">
        <v>74</v>
      </c>
      <c r="L1243" t="s">
        <v>74</v>
      </c>
      <c r="M1243" t="s">
        <v>78</v>
      </c>
      <c r="N1243" t="s">
        <v>52</v>
      </c>
      <c r="O1243" t="s">
        <v>74</v>
      </c>
      <c r="P1243" t="s">
        <v>74</v>
      </c>
      <c r="Q1243" t="s">
        <v>74</v>
      </c>
      <c r="R1243" t="s">
        <v>74</v>
      </c>
      <c r="S1243" t="s">
        <v>74</v>
      </c>
      <c r="T1243" t="s">
        <v>74</v>
      </c>
      <c r="U1243" t="s">
        <v>74</v>
      </c>
      <c r="V1243" t="s">
        <v>74</v>
      </c>
      <c r="W1243" t="s">
        <v>19246</v>
      </c>
      <c r="X1243" t="s">
        <v>19245</v>
      </c>
      <c r="Y1243" t="s">
        <v>74</v>
      </c>
      <c r="Z1243" t="s">
        <v>74</v>
      </c>
      <c r="AA1243" t="s">
        <v>7289</v>
      </c>
      <c r="AB1243" t="s">
        <v>74</v>
      </c>
      <c r="AC1243" t="s">
        <v>74</v>
      </c>
      <c r="AD1243" t="s">
        <v>74</v>
      </c>
      <c r="AE1243" t="s">
        <v>74</v>
      </c>
      <c r="AF1243" t="s">
        <v>74</v>
      </c>
      <c r="AG1243">
        <v>0</v>
      </c>
      <c r="AH1243">
        <v>0</v>
      </c>
      <c r="AI1243">
        <v>0</v>
      </c>
      <c r="AJ1243">
        <v>0</v>
      </c>
      <c r="AK1243">
        <v>2</v>
      </c>
      <c r="AL1243" t="s">
        <v>649</v>
      </c>
      <c r="AM1243" t="s">
        <v>486</v>
      </c>
      <c r="AN1243" t="s">
        <v>650</v>
      </c>
      <c r="AO1243" t="s">
        <v>651</v>
      </c>
      <c r="AP1243" t="s">
        <v>652</v>
      </c>
      <c r="AQ1243" t="s">
        <v>74</v>
      </c>
      <c r="AR1243" t="s">
        <v>653</v>
      </c>
      <c r="AS1243" t="s">
        <v>654</v>
      </c>
      <c r="AT1243" t="s">
        <v>74</v>
      </c>
      <c r="AU1243">
        <v>2011</v>
      </c>
      <c r="AV1243">
        <v>183</v>
      </c>
      <c r="AW1243" t="s">
        <v>74</v>
      </c>
      <c r="AX1243" t="s">
        <v>74</v>
      </c>
      <c r="AY1243" t="s">
        <v>74</v>
      </c>
      <c r="AZ1243" t="s">
        <v>74</v>
      </c>
      <c r="BA1243" t="s">
        <v>74</v>
      </c>
      <c r="BB1243">
        <v>675</v>
      </c>
      <c r="BC1243">
        <v>676</v>
      </c>
      <c r="BD1243" t="s">
        <v>74</v>
      </c>
      <c r="BE1243" t="s">
        <v>74</v>
      </c>
      <c r="BF1243" t="s">
        <v>74</v>
      </c>
      <c r="BG1243" t="s">
        <v>74</v>
      </c>
      <c r="BH1243" t="s">
        <v>74</v>
      </c>
      <c r="BI1243">
        <v>2</v>
      </c>
      <c r="BJ1243" t="s">
        <v>341</v>
      </c>
      <c r="BK1243" t="s">
        <v>101</v>
      </c>
      <c r="BL1243" t="s">
        <v>342</v>
      </c>
      <c r="BM1243" t="s">
        <v>19238</v>
      </c>
      <c r="BN1243" t="s">
        <v>74</v>
      </c>
      <c r="BO1243" t="s">
        <v>74</v>
      </c>
      <c r="BP1243" t="s">
        <v>74</v>
      </c>
      <c r="BQ1243" t="s">
        <v>74</v>
      </c>
      <c r="BR1243" t="s">
        <v>104</v>
      </c>
      <c r="BS1243" t="s">
        <v>19244</v>
      </c>
      <c r="BT1243" t="str">
        <f>HYPERLINK("https%3A%2F%2Fwww.webofscience.com%2Fwos%2Fwoscc%2Ffull-record%2FWOS:000208770305151","View Full Record in Web of Science")</f>
        <v>View Full Record in Web of Science</v>
      </c>
    </row>
    <row r="1244" spans="1:72" x14ac:dyDescent="0.25">
      <c r="A1244" t="s">
        <v>72</v>
      </c>
      <c r="B1244" t="s">
        <v>19243</v>
      </c>
      <c r="C1244" t="s">
        <v>74</v>
      </c>
      <c r="D1244" t="s">
        <v>74</v>
      </c>
      <c r="E1244" t="s">
        <v>74</v>
      </c>
      <c r="F1244" t="s">
        <v>19242</v>
      </c>
      <c r="G1244" t="s">
        <v>74</v>
      </c>
      <c r="H1244" t="s">
        <v>74</v>
      </c>
      <c r="I1244" t="s">
        <v>19241</v>
      </c>
      <c r="J1244" t="s">
        <v>637</v>
      </c>
      <c r="K1244" t="s">
        <v>74</v>
      </c>
      <c r="L1244" t="s">
        <v>74</v>
      </c>
      <c r="M1244" t="s">
        <v>78</v>
      </c>
      <c r="N1244" t="s">
        <v>52</v>
      </c>
      <c r="O1244" t="s">
        <v>74</v>
      </c>
      <c r="P1244" t="s">
        <v>74</v>
      </c>
      <c r="Q1244" t="s">
        <v>74</v>
      </c>
      <c r="R1244" t="s">
        <v>74</v>
      </c>
      <c r="S1244" t="s">
        <v>74</v>
      </c>
      <c r="T1244" t="s">
        <v>74</v>
      </c>
      <c r="U1244" t="s">
        <v>74</v>
      </c>
      <c r="V1244" t="s">
        <v>74</v>
      </c>
      <c r="W1244" t="s">
        <v>74</v>
      </c>
      <c r="X1244" t="s">
        <v>74</v>
      </c>
      <c r="Y1244" t="s">
        <v>74</v>
      </c>
      <c r="Z1244" t="s">
        <v>74</v>
      </c>
      <c r="AA1244" t="s">
        <v>19240</v>
      </c>
      <c r="AB1244" t="s">
        <v>5709</v>
      </c>
      <c r="AC1244" t="s">
        <v>74</v>
      </c>
      <c r="AD1244" t="s">
        <v>74</v>
      </c>
      <c r="AE1244" t="s">
        <v>74</v>
      </c>
      <c r="AF1244" t="s">
        <v>74</v>
      </c>
      <c r="AG1244">
        <v>0</v>
      </c>
      <c r="AH1244">
        <v>8</v>
      </c>
      <c r="AI1244">
        <v>9</v>
      </c>
      <c r="AJ1244">
        <v>0</v>
      </c>
      <c r="AK1244">
        <v>6</v>
      </c>
      <c r="AL1244" t="s">
        <v>649</v>
      </c>
      <c r="AM1244" t="s">
        <v>486</v>
      </c>
      <c r="AN1244" t="s">
        <v>650</v>
      </c>
      <c r="AO1244" t="s">
        <v>651</v>
      </c>
      <c r="AP1244" t="s">
        <v>652</v>
      </c>
      <c r="AQ1244" t="s">
        <v>74</v>
      </c>
      <c r="AR1244" t="s">
        <v>653</v>
      </c>
      <c r="AS1244" t="s">
        <v>654</v>
      </c>
      <c r="AT1244" t="s">
        <v>74</v>
      </c>
      <c r="AU1244">
        <v>2011</v>
      </c>
      <c r="AV1244">
        <v>183</v>
      </c>
      <c r="AW1244" t="s">
        <v>74</v>
      </c>
      <c r="AX1244" t="s">
        <v>74</v>
      </c>
      <c r="AY1244" t="s">
        <v>74</v>
      </c>
      <c r="AZ1244" t="s">
        <v>74</v>
      </c>
      <c r="BA1244" t="s">
        <v>19239</v>
      </c>
      <c r="BB1244" t="s">
        <v>74</v>
      </c>
      <c r="BC1244" t="s">
        <v>74</v>
      </c>
      <c r="BD1244" t="s">
        <v>74</v>
      </c>
      <c r="BE1244" t="s">
        <v>74</v>
      </c>
      <c r="BF1244" t="s">
        <v>74</v>
      </c>
      <c r="BG1244" t="s">
        <v>74</v>
      </c>
      <c r="BH1244" t="s">
        <v>74</v>
      </c>
      <c r="BI1244">
        <v>1</v>
      </c>
      <c r="BJ1244" t="s">
        <v>341</v>
      </c>
      <c r="BK1244" t="s">
        <v>101</v>
      </c>
      <c r="BL1244" t="s">
        <v>342</v>
      </c>
      <c r="BM1244" t="s">
        <v>19238</v>
      </c>
      <c r="BN1244" t="s">
        <v>74</v>
      </c>
      <c r="BO1244" t="s">
        <v>74</v>
      </c>
      <c r="BP1244" t="s">
        <v>74</v>
      </c>
      <c r="BQ1244" t="s">
        <v>74</v>
      </c>
      <c r="BR1244" t="s">
        <v>104</v>
      </c>
      <c r="BS1244" t="s">
        <v>19237</v>
      </c>
      <c r="BT1244" t="str">
        <f>HYPERLINK("https%3A%2F%2Fwww.webofscience.com%2Fwos%2Fwoscc%2Ffull-record%2FWOS:000208770306042","View Full Record in Web of Science")</f>
        <v>View Full Record in Web of Science</v>
      </c>
    </row>
    <row r="1245" spans="1:72" x14ac:dyDescent="0.25">
      <c r="A1245" t="s">
        <v>72</v>
      </c>
      <c r="B1245" t="s">
        <v>19236</v>
      </c>
      <c r="C1245" t="s">
        <v>74</v>
      </c>
      <c r="D1245" t="s">
        <v>74</v>
      </c>
      <c r="E1245" t="s">
        <v>74</v>
      </c>
      <c r="F1245" t="s">
        <v>19235</v>
      </c>
      <c r="G1245" t="s">
        <v>74</v>
      </c>
      <c r="H1245" t="s">
        <v>74</v>
      </c>
      <c r="I1245" t="s">
        <v>19234</v>
      </c>
      <c r="J1245" t="s">
        <v>637</v>
      </c>
      <c r="K1245" t="s">
        <v>74</v>
      </c>
      <c r="L1245" t="s">
        <v>74</v>
      </c>
      <c r="M1245" t="s">
        <v>78</v>
      </c>
      <c r="N1245" t="s">
        <v>79</v>
      </c>
      <c r="O1245" t="s">
        <v>74</v>
      </c>
      <c r="P1245" t="s">
        <v>74</v>
      </c>
      <c r="Q1245" t="s">
        <v>74</v>
      </c>
      <c r="R1245" t="s">
        <v>74</v>
      </c>
      <c r="S1245" t="s">
        <v>74</v>
      </c>
      <c r="T1245" t="s">
        <v>19233</v>
      </c>
      <c r="U1245" t="s">
        <v>19232</v>
      </c>
      <c r="V1245" t="s">
        <v>19231</v>
      </c>
      <c r="W1245" t="s">
        <v>19230</v>
      </c>
      <c r="X1245" t="s">
        <v>19229</v>
      </c>
      <c r="Y1245" t="s">
        <v>19228</v>
      </c>
      <c r="Z1245" t="s">
        <v>19227</v>
      </c>
      <c r="AA1245" t="s">
        <v>19226</v>
      </c>
      <c r="AB1245" t="s">
        <v>19225</v>
      </c>
      <c r="AC1245" t="s">
        <v>19224</v>
      </c>
      <c r="AD1245" t="s">
        <v>19223</v>
      </c>
      <c r="AE1245" t="s">
        <v>19222</v>
      </c>
      <c r="AF1245" t="s">
        <v>74</v>
      </c>
      <c r="AG1245">
        <v>74</v>
      </c>
      <c r="AH1245">
        <v>65</v>
      </c>
      <c r="AI1245">
        <v>67</v>
      </c>
      <c r="AJ1245">
        <v>0</v>
      </c>
      <c r="AK1245">
        <v>6</v>
      </c>
      <c r="AL1245" t="s">
        <v>649</v>
      </c>
      <c r="AM1245" t="s">
        <v>486</v>
      </c>
      <c r="AN1245" t="s">
        <v>650</v>
      </c>
      <c r="AO1245" t="s">
        <v>651</v>
      </c>
      <c r="AP1245" t="s">
        <v>652</v>
      </c>
      <c r="AQ1245" t="s">
        <v>74</v>
      </c>
      <c r="AR1245" t="s">
        <v>653</v>
      </c>
      <c r="AS1245" t="s">
        <v>654</v>
      </c>
      <c r="AT1245" t="s">
        <v>155</v>
      </c>
      <c r="AU1245">
        <v>2010</v>
      </c>
      <c r="AV1245">
        <v>182</v>
      </c>
      <c r="AW1245">
        <v>12</v>
      </c>
      <c r="AX1245" t="s">
        <v>74</v>
      </c>
      <c r="AY1245" t="s">
        <v>74</v>
      </c>
      <c r="AZ1245" t="s">
        <v>74</v>
      </c>
      <c r="BA1245" t="s">
        <v>74</v>
      </c>
      <c r="BB1245">
        <v>1554</v>
      </c>
      <c r="BC1245">
        <v>1562</v>
      </c>
      <c r="BD1245" t="s">
        <v>74</v>
      </c>
      <c r="BE1245" t="s">
        <v>19221</v>
      </c>
      <c r="BF1245" t="str">
        <f>HYPERLINK("http://dx.doi.org/10.1164/rccm.201006-0869WS","http://dx.doi.org/10.1164/rccm.201006-0869WS")</f>
        <v>http://dx.doi.org/10.1164/rccm.201006-0869WS</v>
      </c>
      <c r="BG1245" t="s">
        <v>74</v>
      </c>
      <c r="BH1245" t="s">
        <v>74</v>
      </c>
      <c r="BI1245">
        <v>9</v>
      </c>
      <c r="BJ1245" t="s">
        <v>341</v>
      </c>
      <c r="BK1245" t="s">
        <v>101</v>
      </c>
      <c r="BL1245" t="s">
        <v>342</v>
      </c>
      <c r="BM1245" t="s">
        <v>19220</v>
      </c>
      <c r="BN1245">
        <v>20833821</v>
      </c>
      <c r="BO1245" t="s">
        <v>103</v>
      </c>
      <c r="BP1245" t="s">
        <v>74</v>
      </c>
      <c r="BQ1245" t="s">
        <v>74</v>
      </c>
      <c r="BR1245" t="s">
        <v>104</v>
      </c>
      <c r="BS1245" t="s">
        <v>19219</v>
      </c>
      <c r="BT1245" t="str">
        <f>HYPERLINK("https%3A%2F%2Fwww.webofscience.com%2Fwos%2Fwoscc%2Ffull-record%2FWOS:000285534600016","View Full Record in Web of Science")</f>
        <v>View Full Record in Web of Science</v>
      </c>
    </row>
    <row r="1246" spans="1:72" x14ac:dyDescent="0.25">
      <c r="A1246" t="s">
        <v>72</v>
      </c>
      <c r="B1246" t="s">
        <v>19218</v>
      </c>
      <c r="C1246" t="s">
        <v>74</v>
      </c>
      <c r="D1246" t="s">
        <v>74</v>
      </c>
      <c r="E1246" t="s">
        <v>74</v>
      </c>
      <c r="F1246" t="s">
        <v>19217</v>
      </c>
      <c r="G1246" t="s">
        <v>74</v>
      </c>
      <c r="H1246" t="s">
        <v>74</v>
      </c>
      <c r="I1246" t="s">
        <v>19216</v>
      </c>
      <c r="J1246" t="s">
        <v>19215</v>
      </c>
      <c r="K1246" t="s">
        <v>74</v>
      </c>
      <c r="L1246" t="s">
        <v>74</v>
      </c>
      <c r="M1246" t="s">
        <v>78</v>
      </c>
      <c r="N1246" t="s">
        <v>299</v>
      </c>
      <c r="O1246" t="s">
        <v>74</v>
      </c>
      <c r="P1246" t="s">
        <v>74</v>
      </c>
      <c r="Q1246" t="s">
        <v>74</v>
      </c>
      <c r="R1246" t="s">
        <v>74</v>
      </c>
      <c r="S1246" t="s">
        <v>74</v>
      </c>
      <c r="T1246" t="s">
        <v>19214</v>
      </c>
      <c r="U1246" t="s">
        <v>19213</v>
      </c>
      <c r="V1246" t="s">
        <v>19212</v>
      </c>
      <c r="W1246" t="s">
        <v>19211</v>
      </c>
      <c r="X1246" t="s">
        <v>19210</v>
      </c>
      <c r="Y1246" t="s">
        <v>19209</v>
      </c>
      <c r="Z1246" t="s">
        <v>17425</v>
      </c>
      <c r="AA1246" t="s">
        <v>19208</v>
      </c>
      <c r="AB1246" t="s">
        <v>19207</v>
      </c>
      <c r="AC1246" t="s">
        <v>19206</v>
      </c>
      <c r="AD1246" t="s">
        <v>19206</v>
      </c>
      <c r="AE1246" t="s">
        <v>19205</v>
      </c>
      <c r="AF1246" t="s">
        <v>74</v>
      </c>
      <c r="AG1246">
        <v>105</v>
      </c>
      <c r="AH1246">
        <v>18</v>
      </c>
      <c r="AI1246">
        <v>18</v>
      </c>
      <c r="AJ1246">
        <v>0</v>
      </c>
      <c r="AK1246">
        <v>5</v>
      </c>
      <c r="AL1246" t="s">
        <v>148</v>
      </c>
      <c r="AM1246" t="s">
        <v>149</v>
      </c>
      <c r="AN1246" t="s">
        <v>150</v>
      </c>
      <c r="AO1246" t="s">
        <v>19204</v>
      </c>
      <c r="AP1246" t="s">
        <v>19203</v>
      </c>
      <c r="AQ1246" t="s">
        <v>74</v>
      </c>
      <c r="AR1246" t="s">
        <v>19202</v>
      </c>
      <c r="AS1246" t="s">
        <v>19201</v>
      </c>
      <c r="AT1246" t="s">
        <v>226</v>
      </c>
      <c r="AU1246">
        <v>2010</v>
      </c>
      <c r="AV1246">
        <v>6</v>
      </c>
      <c r="AW1246">
        <v>12</v>
      </c>
      <c r="AX1246" t="s">
        <v>74</v>
      </c>
      <c r="AY1246" t="s">
        <v>74</v>
      </c>
      <c r="AZ1246" t="s">
        <v>74</v>
      </c>
      <c r="BA1246" t="s">
        <v>74</v>
      </c>
      <c r="BB1246">
        <v>1587</v>
      </c>
      <c r="BC1246">
        <v>1598</v>
      </c>
      <c r="BD1246" t="s">
        <v>74</v>
      </c>
      <c r="BE1246" t="s">
        <v>19200</v>
      </c>
      <c r="BF1246" t="str">
        <f>HYPERLINK("http://dx.doi.org/10.1517/17425255.2010.534458","http://dx.doi.org/10.1517/17425255.2010.534458")</f>
        <v>http://dx.doi.org/10.1517/17425255.2010.534458</v>
      </c>
      <c r="BG1246" t="s">
        <v>74</v>
      </c>
      <c r="BH1246" t="s">
        <v>74</v>
      </c>
      <c r="BI1246">
        <v>12</v>
      </c>
      <c r="BJ1246" t="s">
        <v>19199</v>
      </c>
      <c r="BK1246" t="s">
        <v>101</v>
      </c>
      <c r="BL1246" t="s">
        <v>19199</v>
      </c>
      <c r="BM1246" t="s">
        <v>19198</v>
      </c>
      <c r="BN1246">
        <v>21077785</v>
      </c>
      <c r="BO1246" t="s">
        <v>74</v>
      </c>
      <c r="BP1246" t="s">
        <v>74</v>
      </c>
      <c r="BQ1246" t="s">
        <v>74</v>
      </c>
      <c r="BR1246" t="s">
        <v>104</v>
      </c>
      <c r="BS1246" t="s">
        <v>19197</v>
      </c>
      <c r="BT1246" t="str">
        <f>HYPERLINK("https%3A%2F%2Fwww.webofscience.com%2Fwos%2Fwoscc%2Ffull-record%2FWOS:000284267600011","View Full Record in Web of Science")</f>
        <v>View Full Record in Web of Science</v>
      </c>
    </row>
    <row r="1247" spans="1:72" x14ac:dyDescent="0.25">
      <c r="A1247" t="s">
        <v>72</v>
      </c>
      <c r="B1247" t="s">
        <v>19196</v>
      </c>
      <c r="C1247" t="s">
        <v>74</v>
      </c>
      <c r="D1247" t="s">
        <v>74</v>
      </c>
      <c r="E1247" t="s">
        <v>74</v>
      </c>
      <c r="F1247" t="s">
        <v>19195</v>
      </c>
      <c r="G1247" t="s">
        <v>74</v>
      </c>
      <c r="H1247" t="s">
        <v>74</v>
      </c>
      <c r="I1247" t="s">
        <v>19194</v>
      </c>
      <c r="J1247" t="s">
        <v>1348</v>
      </c>
      <c r="K1247" t="s">
        <v>74</v>
      </c>
      <c r="L1247" t="s">
        <v>74</v>
      </c>
      <c r="M1247" t="s">
        <v>78</v>
      </c>
      <c r="N1247" t="s">
        <v>299</v>
      </c>
      <c r="O1247" t="s">
        <v>74</v>
      </c>
      <c r="P1247" t="s">
        <v>74</v>
      </c>
      <c r="Q1247" t="s">
        <v>74</v>
      </c>
      <c r="R1247" t="s">
        <v>74</v>
      </c>
      <c r="S1247" t="s">
        <v>74</v>
      </c>
      <c r="T1247" t="s">
        <v>19193</v>
      </c>
      <c r="U1247" t="s">
        <v>19192</v>
      </c>
      <c r="V1247" t="s">
        <v>19191</v>
      </c>
      <c r="W1247" t="s">
        <v>19190</v>
      </c>
      <c r="X1247" t="s">
        <v>19189</v>
      </c>
      <c r="Y1247" t="s">
        <v>19188</v>
      </c>
      <c r="Z1247" t="s">
        <v>17425</v>
      </c>
      <c r="AA1247" t="s">
        <v>19187</v>
      </c>
      <c r="AB1247" t="s">
        <v>19186</v>
      </c>
      <c r="AC1247" t="s">
        <v>74</v>
      </c>
      <c r="AD1247" t="s">
        <v>74</v>
      </c>
      <c r="AE1247" t="s">
        <v>74</v>
      </c>
      <c r="AF1247" t="s">
        <v>74</v>
      </c>
      <c r="AG1247">
        <v>147</v>
      </c>
      <c r="AH1247">
        <v>2</v>
      </c>
      <c r="AI1247">
        <v>2</v>
      </c>
      <c r="AJ1247">
        <v>0</v>
      </c>
      <c r="AK1247">
        <v>6</v>
      </c>
      <c r="AL1247" t="s">
        <v>1358</v>
      </c>
      <c r="AM1247" t="s">
        <v>1359</v>
      </c>
      <c r="AN1247" t="s">
        <v>1360</v>
      </c>
      <c r="AO1247" t="s">
        <v>1361</v>
      </c>
      <c r="AP1247" t="s">
        <v>1362</v>
      </c>
      <c r="AQ1247" t="s">
        <v>74</v>
      </c>
      <c r="AR1247" t="s">
        <v>1363</v>
      </c>
      <c r="AS1247" t="s">
        <v>1364</v>
      </c>
      <c r="AT1247" t="s">
        <v>226</v>
      </c>
      <c r="AU1247">
        <v>2010</v>
      </c>
      <c r="AV1247">
        <v>27</v>
      </c>
      <c r="AW1247">
        <v>10</v>
      </c>
      <c r="AX1247" t="s">
        <v>74</v>
      </c>
      <c r="AY1247" t="s">
        <v>74</v>
      </c>
      <c r="AZ1247" t="s">
        <v>74</v>
      </c>
      <c r="BA1247" t="s">
        <v>74</v>
      </c>
      <c r="BB1247">
        <v>1175</v>
      </c>
      <c r="BC1247">
        <v>1194</v>
      </c>
      <c r="BD1247" t="s">
        <v>74</v>
      </c>
      <c r="BE1247" t="s">
        <v>19185</v>
      </c>
      <c r="BF1247" t="str">
        <f>HYPERLINK("http://dx.doi.org/10.1016/j.rmr.2010.10.005","http://dx.doi.org/10.1016/j.rmr.2010.10.005")</f>
        <v>http://dx.doi.org/10.1016/j.rmr.2010.10.005</v>
      </c>
      <c r="BG1247" t="s">
        <v>74</v>
      </c>
      <c r="BH1247" t="s">
        <v>74</v>
      </c>
      <c r="BI1247">
        <v>20</v>
      </c>
      <c r="BJ1247" t="s">
        <v>228</v>
      </c>
      <c r="BK1247" t="s">
        <v>101</v>
      </c>
      <c r="BL1247" t="s">
        <v>228</v>
      </c>
      <c r="BM1247" t="s">
        <v>19184</v>
      </c>
      <c r="BN1247">
        <v>21163396</v>
      </c>
      <c r="BO1247" t="s">
        <v>74</v>
      </c>
      <c r="BP1247" t="s">
        <v>74</v>
      </c>
      <c r="BQ1247" t="s">
        <v>74</v>
      </c>
      <c r="BR1247" t="s">
        <v>104</v>
      </c>
      <c r="BS1247" t="s">
        <v>19183</v>
      </c>
      <c r="BT1247" t="str">
        <f>HYPERLINK("https%3A%2F%2Fwww.webofscience.com%2Fwos%2Fwoscc%2Ffull-record%2FWOS:000286044700010","View Full Record in Web of Science")</f>
        <v>View Full Record in Web of Science</v>
      </c>
    </row>
    <row r="1248" spans="1:72" x14ac:dyDescent="0.25">
      <c r="A1248" t="s">
        <v>72</v>
      </c>
      <c r="B1248" t="s">
        <v>19182</v>
      </c>
      <c r="C1248" t="s">
        <v>74</v>
      </c>
      <c r="D1248" t="s">
        <v>74</v>
      </c>
      <c r="E1248" t="s">
        <v>74</v>
      </c>
      <c r="F1248" t="s">
        <v>19181</v>
      </c>
      <c r="G1248" t="s">
        <v>74</v>
      </c>
      <c r="H1248" t="s">
        <v>74</v>
      </c>
      <c r="I1248" t="s">
        <v>19180</v>
      </c>
      <c r="J1248" t="s">
        <v>6978</v>
      </c>
      <c r="K1248" t="s">
        <v>74</v>
      </c>
      <c r="L1248" t="s">
        <v>74</v>
      </c>
      <c r="M1248" t="s">
        <v>78</v>
      </c>
      <c r="N1248" t="s">
        <v>52</v>
      </c>
      <c r="O1248" t="s">
        <v>19159</v>
      </c>
      <c r="P1248" t="s">
        <v>19158</v>
      </c>
      <c r="Q1248" t="s">
        <v>8151</v>
      </c>
      <c r="R1248" t="s">
        <v>6982</v>
      </c>
      <c r="S1248" t="s">
        <v>74</v>
      </c>
      <c r="T1248" t="s">
        <v>74</v>
      </c>
      <c r="U1248" t="s">
        <v>74</v>
      </c>
      <c r="V1248" t="s">
        <v>74</v>
      </c>
      <c r="W1248" t="s">
        <v>19179</v>
      </c>
      <c r="X1248" t="s">
        <v>19178</v>
      </c>
      <c r="Y1248" t="s">
        <v>74</v>
      </c>
      <c r="Z1248" t="s">
        <v>74</v>
      </c>
      <c r="AA1248" t="s">
        <v>19177</v>
      </c>
      <c r="AB1248" t="s">
        <v>19176</v>
      </c>
      <c r="AC1248" t="s">
        <v>74</v>
      </c>
      <c r="AD1248" t="s">
        <v>74</v>
      </c>
      <c r="AE1248" t="s">
        <v>74</v>
      </c>
      <c r="AF1248" t="s">
        <v>74</v>
      </c>
      <c r="AG1248">
        <v>0</v>
      </c>
      <c r="AH1248">
        <v>0</v>
      </c>
      <c r="AI1248">
        <v>0</v>
      </c>
      <c r="AJ1248">
        <v>0</v>
      </c>
      <c r="AK1248">
        <v>0</v>
      </c>
      <c r="AL1248" t="s">
        <v>15444</v>
      </c>
      <c r="AM1248" t="s">
        <v>201</v>
      </c>
      <c r="AN1248" t="s">
        <v>2591</v>
      </c>
      <c r="AO1248" t="s">
        <v>6985</v>
      </c>
      <c r="AP1248" t="s">
        <v>74</v>
      </c>
      <c r="AQ1248" t="s">
        <v>74</v>
      </c>
      <c r="AR1248" t="s">
        <v>6978</v>
      </c>
      <c r="AS1248" t="s">
        <v>6987</v>
      </c>
      <c r="AT1248" t="s">
        <v>226</v>
      </c>
      <c r="AU1248">
        <v>2010</v>
      </c>
      <c r="AV1248">
        <v>65</v>
      </c>
      <c r="AW1248" t="s">
        <v>74</v>
      </c>
      <c r="AX1248" t="s">
        <v>74</v>
      </c>
      <c r="AY1248">
        <v>4</v>
      </c>
      <c r="AZ1248" t="s">
        <v>74</v>
      </c>
      <c r="BA1248" t="s">
        <v>74</v>
      </c>
      <c r="BB1248" t="s">
        <v>19175</v>
      </c>
      <c r="BC1248" t="s">
        <v>19174</v>
      </c>
      <c r="BD1248" t="s">
        <v>74</v>
      </c>
      <c r="BE1248" t="s">
        <v>19173</v>
      </c>
      <c r="BF1248" t="str">
        <f>HYPERLINK("http://dx.doi.org/10.1136/thx.2010.150953.3","http://dx.doi.org/10.1136/thx.2010.150953.3")</f>
        <v>http://dx.doi.org/10.1136/thx.2010.150953.3</v>
      </c>
      <c r="BG1248" t="s">
        <v>74</v>
      </c>
      <c r="BH1248" t="s">
        <v>74</v>
      </c>
      <c r="BI1248">
        <v>2</v>
      </c>
      <c r="BJ1248" t="s">
        <v>228</v>
      </c>
      <c r="BK1248" t="s">
        <v>512</v>
      </c>
      <c r="BL1248" t="s">
        <v>228</v>
      </c>
      <c r="BM1248" t="s">
        <v>19152</v>
      </c>
      <c r="BN1248" t="s">
        <v>74</v>
      </c>
      <c r="BO1248" t="s">
        <v>2854</v>
      </c>
      <c r="BP1248" t="s">
        <v>74</v>
      </c>
      <c r="BQ1248" t="s">
        <v>74</v>
      </c>
      <c r="BR1248" t="s">
        <v>104</v>
      </c>
      <c r="BS1248" t="s">
        <v>19172</v>
      </c>
      <c r="BT1248" t="str">
        <f>HYPERLINK("https%3A%2F%2Fwww.webofscience.com%2Fwos%2Fwoscc%2Ffull-record%2FWOS:000285483400158","View Full Record in Web of Science")</f>
        <v>View Full Record in Web of Science</v>
      </c>
    </row>
    <row r="1249" spans="1:72" x14ac:dyDescent="0.25">
      <c r="A1249" t="s">
        <v>72</v>
      </c>
      <c r="B1249" t="s">
        <v>19171</v>
      </c>
      <c r="C1249" t="s">
        <v>74</v>
      </c>
      <c r="D1249" t="s">
        <v>74</v>
      </c>
      <c r="E1249" t="s">
        <v>74</v>
      </c>
      <c r="F1249" t="s">
        <v>19170</v>
      </c>
      <c r="G1249" t="s">
        <v>74</v>
      </c>
      <c r="H1249" t="s">
        <v>74</v>
      </c>
      <c r="I1249" t="s">
        <v>19169</v>
      </c>
      <c r="J1249" t="s">
        <v>6978</v>
      </c>
      <c r="K1249" t="s">
        <v>74</v>
      </c>
      <c r="L1249" t="s">
        <v>74</v>
      </c>
      <c r="M1249" t="s">
        <v>78</v>
      </c>
      <c r="N1249" t="s">
        <v>52</v>
      </c>
      <c r="O1249" t="s">
        <v>19159</v>
      </c>
      <c r="P1249" t="s">
        <v>19158</v>
      </c>
      <c r="Q1249" t="s">
        <v>8151</v>
      </c>
      <c r="R1249" t="s">
        <v>6982</v>
      </c>
      <c r="S1249" t="s">
        <v>74</v>
      </c>
      <c r="T1249" t="s">
        <v>74</v>
      </c>
      <c r="U1249" t="s">
        <v>74</v>
      </c>
      <c r="V1249" t="s">
        <v>74</v>
      </c>
      <c r="W1249" t="s">
        <v>19168</v>
      </c>
      <c r="X1249" t="s">
        <v>19167</v>
      </c>
      <c r="Y1249" t="s">
        <v>74</v>
      </c>
      <c r="Z1249" t="s">
        <v>74</v>
      </c>
      <c r="AA1249" t="s">
        <v>13331</v>
      </c>
      <c r="AB1249" t="s">
        <v>13332</v>
      </c>
      <c r="AC1249" t="s">
        <v>74</v>
      </c>
      <c r="AD1249" t="s">
        <v>74</v>
      </c>
      <c r="AE1249" t="s">
        <v>74</v>
      </c>
      <c r="AF1249" t="s">
        <v>74</v>
      </c>
      <c r="AG1249">
        <v>0</v>
      </c>
      <c r="AH1249">
        <v>0</v>
      </c>
      <c r="AI1249">
        <v>0</v>
      </c>
      <c r="AJ1249">
        <v>0</v>
      </c>
      <c r="AK1249">
        <v>0</v>
      </c>
      <c r="AL1249" t="s">
        <v>15444</v>
      </c>
      <c r="AM1249" t="s">
        <v>201</v>
      </c>
      <c r="AN1249" t="s">
        <v>2591</v>
      </c>
      <c r="AO1249" t="s">
        <v>6985</v>
      </c>
      <c r="AP1249" t="s">
        <v>74</v>
      </c>
      <c r="AQ1249" t="s">
        <v>74</v>
      </c>
      <c r="AR1249" t="s">
        <v>6978</v>
      </c>
      <c r="AS1249" t="s">
        <v>6987</v>
      </c>
      <c r="AT1249" t="s">
        <v>226</v>
      </c>
      <c r="AU1249">
        <v>2010</v>
      </c>
      <c r="AV1249">
        <v>65</v>
      </c>
      <c r="AW1249" t="s">
        <v>74</v>
      </c>
      <c r="AX1249" t="s">
        <v>74</v>
      </c>
      <c r="AY1249">
        <v>4</v>
      </c>
      <c r="AZ1249" t="s">
        <v>74</v>
      </c>
      <c r="BA1249" t="s">
        <v>74</v>
      </c>
      <c r="BB1249" t="s">
        <v>19166</v>
      </c>
      <c r="BC1249" t="s">
        <v>19165</v>
      </c>
      <c r="BD1249" t="s">
        <v>74</v>
      </c>
      <c r="BE1249" t="s">
        <v>19164</v>
      </c>
      <c r="BF1249" t="str">
        <f>HYPERLINK("http://dx.doi.org/10.1136/thx.2010.150961.29","http://dx.doi.org/10.1136/thx.2010.150961.29")</f>
        <v>http://dx.doi.org/10.1136/thx.2010.150961.29</v>
      </c>
      <c r="BG1249" t="s">
        <v>74</v>
      </c>
      <c r="BH1249" t="s">
        <v>74</v>
      </c>
      <c r="BI1249">
        <v>2</v>
      </c>
      <c r="BJ1249" t="s">
        <v>228</v>
      </c>
      <c r="BK1249" t="s">
        <v>512</v>
      </c>
      <c r="BL1249" t="s">
        <v>228</v>
      </c>
      <c r="BM1249" t="s">
        <v>19152</v>
      </c>
      <c r="BN1249" t="s">
        <v>74</v>
      </c>
      <c r="BO1249" t="s">
        <v>2854</v>
      </c>
      <c r="BP1249" t="s">
        <v>74</v>
      </c>
      <c r="BQ1249" t="s">
        <v>74</v>
      </c>
      <c r="BR1249" t="s">
        <v>104</v>
      </c>
      <c r="BS1249" t="s">
        <v>19163</v>
      </c>
      <c r="BT1249" t="str">
        <f>HYPERLINK("https%3A%2F%2Fwww.webofscience.com%2Fwos%2Fwoscc%2Ffull-record%2FWOS:000285483400203","View Full Record in Web of Science")</f>
        <v>View Full Record in Web of Science</v>
      </c>
    </row>
    <row r="1250" spans="1:72" x14ac:dyDescent="0.25">
      <c r="A1250" t="s">
        <v>72</v>
      </c>
      <c r="B1250" t="s">
        <v>19162</v>
      </c>
      <c r="C1250" t="s">
        <v>74</v>
      </c>
      <c r="D1250" t="s">
        <v>74</v>
      </c>
      <c r="E1250" t="s">
        <v>74</v>
      </c>
      <c r="F1250" t="s">
        <v>19161</v>
      </c>
      <c r="G1250" t="s">
        <v>74</v>
      </c>
      <c r="H1250" t="s">
        <v>74</v>
      </c>
      <c r="I1250" t="s">
        <v>19160</v>
      </c>
      <c r="J1250" t="s">
        <v>6978</v>
      </c>
      <c r="K1250" t="s">
        <v>74</v>
      </c>
      <c r="L1250" t="s">
        <v>74</v>
      </c>
      <c r="M1250" t="s">
        <v>78</v>
      </c>
      <c r="N1250" t="s">
        <v>52</v>
      </c>
      <c r="O1250" t="s">
        <v>19159</v>
      </c>
      <c r="P1250" t="s">
        <v>19158</v>
      </c>
      <c r="Q1250" t="s">
        <v>8151</v>
      </c>
      <c r="R1250" t="s">
        <v>6982</v>
      </c>
      <c r="S1250" t="s">
        <v>74</v>
      </c>
      <c r="T1250" t="s">
        <v>74</v>
      </c>
      <c r="U1250" t="s">
        <v>74</v>
      </c>
      <c r="V1250" t="s">
        <v>74</v>
      </c>
      <c r="W1250" t="s">
        <v>19157</v>
      </c>
      <c r="X1250" t="s">
        <v>19156</v>
      </c>
      <c r="Y1250" t="s">
        <v>74</v>
      </c>
      <c r="Z1250" t="s">
        <v>74</v>
      </c>
      <c r="AA1250" t="s">
        <v>19155</v>
      </c>
      <c r="AB1250" t="s">
        <v>13304</v>
      </c>
      <c r="AC1250" t="s">
        <v>74</v>
      </c>
      <c r="AD1250" t="s">
        <v>74</v>
      </c>
      <c r="AE1250" t="s">
        <v>74</v>
      </c>
      <c r="AF1250" t="s">
        <v>74</v>
      </c>
      <c r="AG1250">
        <v>0</v>
      </c>
      <c r="AH1250">
        <v>5</v>
      </c>
      <c r="AI1250">
        <v>5</v>
      </c>
      <c r="AJ1250">
        <v>0</v>
      </c>
      <c r="AK1250">
        <v>2</v>
      </c>
      <c r="AL1250" t="s">
        <v>2590</v>
      </c>
      <c r="AM1250" t="s">
        <v>201</v>
      </c>
      <c r="AN1250" t="s">
        <v>2591</v>
      </c>
      <c r="AO1250" t="s">
        <v>6985</v>
      </c>
      <c r="AP1250" t="s">
        <v>6986</v>
      </c>
      <c r="AQ1250" t="s">
        <v>74</v>
      </c>
      <c r="AR1250" t="s">
        <v>6978</v>
      </c>
      <c r="AS1250" t="s">
        <v>6987</v>
      </c>
      <c r="AT1250" t="s">
        <v>226</v>
      </c>
      <c r="AU1250">
        <v>2010</v>
      </c>
      <c r="AV1250">
        <v>65</v>
      </c>
      <c r="AW1250" t="s">
        <v>74</v>
      </c>
      <c r="AX1250" t="s">
        <v>74</v>
      </c>
      <c r="AY1250">
        <v>4</v>
      </c>
      <c r="AZ1250" t="s">
        <v>74</v>
      </c>
      <c r="BA1250" t="s">
        <v>74</v>
      </c>
      <c r="BB1250" t="s">
        <v>19154</v>
      </c>
      <c r="BC1250" t="s">
        <v>19154</v>
      </c>
      <c r="BD1250" t="s">
        <v>74</v>
      </c>
      <c r="BE1250" t="s">
        <v>19153</v>
      </c>
      <c r="BF1250" t="str">
        <f>HYPERLINK("http://dx.doi.org/10.1136/thx.2010.150953.5","http://dx.doi.org/10.1136/thx.2010.150953.5")</f>
        <v>http://dx.doi.org/10.1136/thx.2010.150953.5</v>
      </c>
      <c r="BG1250" t="s">
        <v>74</v>
      </c>
      <c r="BH1250" t="s">
        <v>74</v>
      </c>
      <c r="BI1250">
        <v>1</v>
      </c>
      <c r="BJ1250" t="s">
        <v>228</v>
      </c>
      <c r="BK1250" t="s">
        <v>512</v>
      </c>
      <c r="BL1250" t="s">
        <v>228</v>
      </c>
      <c r="BM1250" t="s">
        <v>19152</v>
      </c>
      <c r="BN1250" t="s">
        <v>74</v>
      </c>
      <c r="BO1250" t="s">
        <v>2854</v>
      </c>
      <c r="BP1250" t="s">
        <v>74</v>
      </c>
      <c r="BQ1250" t="s">
        <v>74</v>
      </c>
      <c r="BR1250" t="s">
        <v>104</v>
      </c>
      <c r="BS1250" t="s">
        <v>19151</v>
      </c>
      <c r="BT1250" t="str">
        <f>HYPERLINK("https%3A%2F%2Fwww.webofscience.com%2Fwos%2Fwoscc%2Ffull-record%2FWOS:000285483400160","View Full Record in Web of Science")</f>
        <v>View Full Record in Web of Science</v>
      </c>
    </row>
    <row r="1251" spans="1:72" x14ac:dyDescent="0.25">
      <c r="A1251" t="s">
        <v>72</v>
      </c>
      <c r="B1251" t="s">
        <v>19150</v>
      </c>
      <c r="C1251" t="s">
        <v>74</v>
      </c>
      <c r="D1251" t="s">
        <v>74</v>
      </c>
      <c r="E1251" t="s">
        <v>74</v>
      </c>
      <c r="F1251" t="s">
        <v>19149</v>
      </c>
      <c r="G1251" t="s">
        <v>74</v>
      </c>
      <c r="H1251" t="s">
        <v>74</v>
      </c>
      <c r="I1251" t="s">
        <v>19148</v>
      </c>
      <c r="J1251" t="s">
        <v>216</v>
      </c>
      <c r="K1251" t="s">
        <v>74</v>
      </c>
      <c r="L1251" t="s">
        <v>74</v>
      </c>
      <c r="M1251" t="s">
        <v>78</v>
      </c>
      <c r="N1251" t="s">
        <v>79</v>
      </c>
      <c r="O1251" t="s">
        <v>74</v>
      </c>
      <c r="P1251" t="s">
        <v>74</v>
      </c>
      <c r="Q1251" t="s">
        <v>74</v>
      </c>
      <c r="R1251" t="s">
        <v>74</v>
      </c>
      <c r="S1251" t="s">
        <v>74</v>
      </c>
      <c r="T1251" t="s">
        <v>19147</v>
      </c>
      <c r="U1251" t="s">
        <v>19146</v>
      </c>
      <c r="V1251" t="s">
        <v>19145</v>
      </c>
      <c r="W1251" t="s">
        <v>19144</v>
      </c>
      <c r="X1251" t="s">
        <v>19143</v>
      </c>
      <c r="Y1251" t="s">
        <v>19142</v>
      </c>
      <c r="Z1251" t="s">
        <v>17756</v>
      </c>
      <c r="AA1251" t="s">
        <v>19141</v>
      </c>
      <c r="AB1251" t="s">
        <v>19140</v>
      </c>
      <c r="AC1251" t="s">
        <v>74</v>
      </c>
      <c r="AD1251" t="s">
        <v>74</v>
      </c>
      <c r="AE1251" t="s">
        <v>74</v>
      </c>
      <c r="AF1251" t="s">
        <v>74</v>
      </c>
      <c r="AG1251">
        <v>60</v>
      </c>
      <c r="AH1251">
        <v>97</v>
      </c>
      <c r="AI1251">
        <v>105</v>
      </c>
      <c r="AJ1251">
        <v>2</v>
      </c>
      <c r="AK1251">
        <v>19</v>
      </c>
      <c r="AL1251" t="s">
        <v>219</v>
      </c>
      <c r="AM1251" t="s">
        <v>220</v>
      </c>
      <c r="AN1251" t="s">
        <v>221</v>
      </c>
      <c r="AO1251" t="s">
        <v>222</v>
      </c>
      <c r="AP1251" t="s">
        <v>223</v>
      </c>
      <c r="AQ1251" t="s">
        <v>74</v>
      </c>
      <c r="AR1251" t="s">
        <v>224</v>
      </c>
      <c r="AS1251" t="s">
        <v>225</v>
      </c>
      <c r="AT1251" t="s">
        <v>315</v>
      </c>
      <c r="AU1251">
        <v>2010</v>
      </c>
      <c r="AV1251">
        <v>36</v>
      </c>
      <c r="AW1251">
        <v>5</v>
      </c>
      <c r="AX1251" t="s">
        <v>74</v>
      </c>
      <c r="AY1251" t="s">
        <v>74</v>
      </c>
      <c r="AZ1251" t="s">
        <v>74</v>
      </c>
      <c r="BA1251" t="s">
        <v>74</v>
      </c>
      <c r="BB1251">
        <v>995</v>
      </c>
      <c r="BC1251">
        <v>1001</v>
      </c>
      <c r="BD1251" t="s">
        <v>74</v>
      </c>
      <c r="BE1251" t="s">
        <v>19139</v>
      </c>
      <c r="BF1251" t="str">
        <f>HYPERLINK("http://dx.doi.org/10.1183/09031936.00012610","http://dx.doi.org/10.1183/09031936.00012610")</f>
        <v>http://dx.doi.org/10.1183/09031936.00012610</v>
      </c>
      <c r="BG1251" t="s">
        <v>74</v>
      </c>
      <c r="BH1251" t="s">
        <v>74</v>
      </c>
      <c r="BI1251">
        <v>7</v>
      </c>
      <c r="BJ1251" t="s">
        <v>228</v>
      </c>
      <c r="BK1251" t="s">
        <v>101</v>
      </c>
      <c r="BL1251" t="s">
        <v>228</v>
      </c>
      <c r="BM1251" t="s">
        <v>19094</v>
      </c>
      <c r="BN1251">
        <v>20223919</v>
      </c>
      <c r="BO1251" t="s">
        <v>3737</v>
      </c>
      <c r="BP1251" t="s">
        <v>74</v>
      </c>
      <c r="BQ1251" t="s">
        <v>74</v>
      </c>
      <c r="BR1251" t="s">
        <v>104</v>
      </c>
      <c r="BS1251" t="s">
        <v>19138</v>
      </c>
      <c r="BT1251" t="str">
        <f>HYPERLINK("https%3A%2F%2Fwww.webofscience.com%2Fwos%2Fwoscc%2Ffull-record%2FWOS:000283669700007","View Full Record in Web of Science")</f>
        <v>View Full Record in Web of Science</v>
      </c>
    </row>
    <row r="1252" spans="1:72" x14ac:dyDescent="0.25">
      <c r="A1252" t="s">
        <v>72</v>
      </c>
      <c r="B1252" t="s">
        <v>19137</v>
      </c>
      <c r="C1252" t="s">
        <v>74</v>
      </c>
      <c r="D1252" t="s">
        <v>74</v>
      </c>
      <c r="E1252" t="s">
        <v>74</v>
      </c>
      <c r="F1252" t="s">
        <v>19136</v>
      </c>
      <c r="G1252" t="s">
        <v>74</v>
      </c>
      <c r="H1252" t="s">
        <v>74</v>
      </c>
      <c r="I1252" t="s">
        <v>19135</v>
      </c>
      <c r="J1252" t="s">
        <v>189</v>
      </c>
      <c r="K1252" t="s">
        <v>74</v>
      </c>
      <c r="L1252" t="s">
        <v>74</v>
      </c>
      <c r="M1252" t="s">
        <v>78</v>
      </c>
      <c r="N1252" t="s">
        <v>79</v>
      </c>
      <c r="O1252" t="s">
        <v>74</v>
      </c>
      <c r="P1252" t="s">
        <v>74</v>
      </c>
      <c r="Q1252" t="s">
        <v>74</v>
      </c>
      <c r="R1252" t="s">
        <v>74</v>
      </c>
      <c r="S1252" t="s">
        <v>74</v>
      </c>
      <c r="T1252" t="s">
        <v>19134</v>
      </c>
      <c r="U1252" t="s">
        <v>19133</v>
      </c>
      <c r="V1252" t="s">
        <v>19132</v>
      </c>
      <c r="W1252" t="s">
        <v>19131</v>
      </c>
      <c r="X1252" t="s">
        <v>19130</v>
      </c>
      <c r="Y1252" t="s">
        <v>19129</v>
      </c>
      <c r="Z1252" t="s">
        <v>19128</v>
      </c>
      <c r="AA1252" t="s">
        <v>19127</v>
      </c>
      <c r="AB1252" t="s">
        <v>19126</v>
      </c>
      <c r="AC1252" t="s">
        <v>19125</v>
      </c>
      <c r="AD1252" t="s">
        <v>19125</v>
      </c>
      <c r="AE1252" t="s">
        <v>19124</v>
      </c>
      <c r="AF1252" t="s">
        <v>74</v>
      </c>
      <c r="AG1252">
        <v>28</v>
      </c>
      <c r="AH1252">
        <v>73</v>
      </c>
      <c r="AI1252">
        <v>76</v>
      </c>
      <c r="AJ1252">
        <v>0</v>
      </c>
      <c r="AK1252">
        <v>4</v>
      </c>
      <c r="AL1252" t="s">
        <v>200</v>
      </c>
      <c r="AM1252" t="s">
        <v>201</v>
      </c>
      <c r="AN1252" t="s">
        <v>202</v>
      </c>
      <c r="AO1252" t="s">
        <v>203</v>
      </c>
      <c r="AP1252" t="s">
        <v>204</v>
      </c>
      <c r="AQ1252" t="s">
        <v>74</v>
      </c>
      <c r="AR1252" t="s">
        <v>205</v>
      </c>
      <c r="AS1252" t="s">
        <v>206</v>
      </c>
      <c r="AT1252" t="s">
        <v>315</v>
      </c>
      <c r="AU1252">
        <v>2010</v>
      </c>
      <c r="AV1252">
        <v>104</v>
      </c>
      <c r="AW1252">
        <v>11</v>
      </c>
      <c r="AX1252" t="s">
        <v>74</v>
      </c>
      <c r="AY1252" t="s">
        <v>74</v>
      </c>
      <c r="AZ1252" t="s">
        <v>74</v>
      </c>
      <c r="BA1252" t="s">
        <v>74</v>
      </c>
      <c r="BB1252">
        <v>1608</v>
      </c>
      <c r="BC1252">
        <v>1617</v>
      </c>
      <c r="BD1252" t="s">
        <v>74</v>
      </c>
      <c r="BE1252" t="s">
        <v>19123</v>
      </c>
      <c r="BF1252" t="str">
        <f>HYPERLINK("http://dx.doi.org/10.1016/j.rmed.2010.07.011","http://dx.doi.org/10.1016/j.rmed.2010.07.011")</f>
        <v>http://dx.doi.org/10.1016/j.rmed.2010.07.011</v>
      </c>
      <c r="BG1252" t="s">
        <v>74</v>
      </c>
      <c r="BH1252" t="s">
        <v>74</v>
      </c>
      <c r="BI1252">
        <v>10</v>
      </c>
      <c r="BJ1252" t="s">
        <v>209</v>
      </c>
      <c r="BK1252" t="s">
        <v>101</v>
      </c>
      <c r="BL1252" t="s">
        <v>210</v>
      </c>
      <c r="BM1252" t="s">
        <v>19122</v>
      </c>
      <c r="BN1252">
        <v>20801010</v>
      </c>
      <c r="BO1252" t="s">
        <v>1194</v>
      </c>
      <c r="BP1252" t="s">
        <v>74</v>
      </c>
      <c r="BQ1252" t="s">
        <v>74</v>
      </c>
      <c r="BR1252" t="s">
        <v>104</v>
      </c>
      <c r="BS1252" t="s">
        <v>19121</v>
      </c>
      <c r="BT1252" t="str">
        <f>HYPERLINK("https%3A%2F%2Fwww.webofscience.com%2Fwos%2Fwoscc%2Ffull-record%2FWOS:000283900400003","View Full Record in Web of Science")</f>
        <v>View Full Record in Web of Science</v>
      </c>
    </row>
    <row r="1253" spans="1:72" x14ac:dyDescent="0.25">
      <c r="A1253" t="s">
        <v>72</v>
      </c>
      <c r="B1253" t="s">
        <v>19120</v>
      </c>
      <c r="C1253" t="s">
        <v>74</v>
      </c>
      <c r="D1253" t="s">
        <v>74</v>
      </c>
      <c r="E1253" t="s">
        <v>74</v>
      </c>
      <c r="F1253" t="s">
        <v>19119</v>
      </c>
      <c r="G1253" t="s">
        <v>74</v>
      </c>
      <c r="H1253" t="s">
        <v>74</v>
      </c>
      <c r="I1253" t="s">
        <v>19118</v>
      </c>
      <c r="J1253" t="s">
        <v>13692</v>
      </c>
      <c r="K1253" t="s">
        <v>74</v>
      </c>
      <c r="L1253" t="s">
        <v>74</v>
      </c>
      <c r="M1253" t="s">
        <v>78</v>
      </c>
      <c r="N1253" t="s">
        <v>79</v>
      </c>
      <c r="O1253" t="s">
        <v>74</v>
      </c>
      <c r="P1253" t="s">
        <v>74</v>
      </c>
      <c r="Q1253" t="s">
        <v>74</v>
      </c>
      <c r="R1253" t="s">
        <v>74</v>
      </c>
      <c r="S1253" t="s">
        <v>74</v>
      </c>
      <c r="T1253" t="s">
        <v>19117</v>
      </c>
      <c r="U1253" t="s">
        <v>19116</v>
      </c>
      <c r="V1253" t="s">
        <v>19115</v>
      </c>
      <c r="W1253" t="s">
        <v>19114</v>
      </c>
      <c r="X1253" t="s">
        <v>19113</v>
      </c>
      <c r="Y1253" t="s">
        <v>19112</v>
      </c>
      <c r="Z1253" t="s">
        <v>12168</v>
      </c>
      <c r="AA1253" t="s">
        <v>144</v>
      </c>
      <c r="AB1253" t="s">
        <v>257</v>
      </c>
      <c r="AC1253" t="s">
        <v>74</v>
      </c>
      <c r="AD1253" t="s">
        <v>74</v>
      </c>
      <c r="AE1253" t="s">
        <v>74</v>
      </c>
      <c r="AF1253" t="s">
        <v>74</v>
      </c>
      <c r="AG1253">
        <v>21</v>
      </c>
      <c r="AH1253">
        <v>33</v>
      </c>
      <c r="AI1253">
        <v>36</v>
      </c>
      <c r="AJ1253">
        <v>0</v>
      </c>
      <c r="AK1253">
        <v>1</v>
      </c>
      <c r="AL1253" t="s">
        <v>13697</v>
      </c>
      <c r="AM1253" t="s">
        <v>13698</v>
      </c>
      <c r="AN1253" t="s">
        <v>13699</v>
      </c>
      <c r="AO1253" t="s">
        <v>13700</v>
      </c>
      <c r="AP1253" t="s">
        <v>18642</v>
      </c>
      <c r="AQ1253" t="s">
        <v>74</v>
      </c>
      <c r="AR1253" t="s">
        <v>13701</v>
      </c>
      <c r="AS1253" t="s">
        <v>13702</v>
      </c>
      <c r="AT1253" t="s">
        <v>1365</v>
      </c>
      <c r="AU1253">
        <v>2010</v>
      </c>
      <c r="AV1253">
        <v>28</v>
      </c>
      <c r="AW1253">
        <v>6</v>
      </c>
      <c r="AX1253" t="s">
        <v>74</v>
      </c>
      <c r="AY1253" t="s">
        <v>74</v>
      </c>
      <c r="AZ1253" t="s">
        <v>74</v>
      </c>
      <c r="BA1253" t="s">
        <v>74</v>
      </c>
      <c r="BB1253">
        <v>836</v>
      </c>
      <c r="BC1253">
        <v>841</v>
      </c>
      <c r="BD1253" t="s">
        <v>74</v>
      </c>
      <c r="BE1253" t="s">
        <v>74</v>
      </c>
      <c r="BF1253" t="s">
        <v>74</v>
      </c>
      <c r="BG1253" t="s">
        <v>74</v>
      </c>
      <c r="BH1253" t="s">
        <v>74</v>
      </c>
      <c r="BI1253">
        <v>6</v>
      </c>
      <c r="BJ1253" t="s">
        <v>2369</v>
      </c>
      <c r="BK1253" t="s">
        <v>101</v>
      </c>
      <c r="BL1253" t="s">
        <v>2369</v>
      </c>
      <c r="BM1253" t="s">
        <v>19111</v>
      </c>
      <c r="BN1253">
        <v>21205461</v>
      </c>
      <c r="BO1253" t="s">
        <v>74</v>
      </c>
      <c r="BP1253" t="s">
        <v>74</v>
      </c>
      <c r="BQ1253" t="s">
        <v>74</v>
      </c>
      <c r="BR1253" t="s">
        <v>104</v>
      </c>
      <c r="BS1253" t="s">
        <v>19110</v>
      </c>
      <c r="BT1253" t="str">
        <f>HYPERLINK("https%3A%2F%2Fwww.webofscience.com%2Fwos%2Fwoscc%2Ffull-record%2FWOS:000286918800006","View Full Record in Web of Science")</f>
        <v>View Full Record in Web of Science</v>
      </c>
    </row>
    <row r="1254" spans="1:72" x14ac:dyDescent="0.25">
      <c r="A1254" t="s">
        <v>72</v>
      </c>
      <c r="B1254" t="s">
        <v>19109</v>
      </c>
      <c r="C1254" t="s">
        <v>74</v>
      </c>
      <c r="D1254" t="s">
        <v>74</v>
      </c>
      <c r="E1254" t="s">
        <v>74</v>
      </c>
      <c r="F1254" t="s">
        <v>19108</v>
      </c>
      <c r="G1254" t="s">
        <v>74</v>
      </c>
      <c r="H1254" t="s">
        <v>74</v>
      </c>
      <c r="I1254" t="s">
        <v>19107</v>
      </c>
      <c r="J1254" t="s">
        <v>216</v>
      </c>
      <c r="K1254" t="s">
        <v>74</v>
      </c>
      <c r="L1254" t="s">
        <v>74</v>
      </c>
      <c r="M1254" t="s">
        <v>78</v>
      </c>
      <c r="N1254" t="s">
        <v>460</v>
      </c>
      <c r="O1254" t="s">
        <v>74</v>
      </c>
      <c r="P1254" t="s">
        <v>74</v>
      </c>
      <c r="Q1254" t="s">
        <v>74</v>
      </c>
      <c r="R1254" t="s">
        <v>74</v>
      </c>
      <c r="S1254" t="s">
        <v>74</v>
      </c>
      <c r="T1254" t="s">
        <v>74</v>
      </c>
      <c r="U1254" t="s">
        <v>19106</v>
      </c>
      <c r="V1254" t="s">
        <v>74</v>
      </c>
      <c r="W1254" t="s">
        <v>19105</v>
      </c>
      <c r="X1254" t="s">
        <v>19104</v>
      </c>
      <c r="Y1254" t="s">
        <v>19103</v>
      </c>
      <c r="Z1254" t="s">
        <v>10573</v>
      </c>
      <c r="AA1254" t="s">
        <v>19102</v>
      </c>
      <c r="AB1254" t="s">
        <v>19101</v>
      </c>
      <c r="AC1254" t="s">
        <v>74</v>
      </c>
      <c r="AD1254" t="s">
        <v>74</v>
      </c>
      <c r="AE1254" t="s">
        <v>74</v>
      </c>
      <c r="AF1254" t="s">
        <v>74</v>
      </c>
      <c r="AG1254">
        <v>10</v>
      </c>
      <c r="AH1254">
        <v>23</v>
      </c>
      <c r="AI1254">
        <v>23</v>
      </c>
      <c r="AJ1254">
        <v>0</v>
      </c>
      <c r="AK1254">
        <v>2</v>
      </c>
      <c r="AL1254" t="s">
        <v>219</v>
      </c>
      <c r="AM1254" t="s">
        <v>220</v>
      </c>
      <c r="AN1254" t="s">
        <v>221</v>
      </c>
      <c r="AO1254" t="s">
        <v>222</v>
      </c>
      <c r="AP1254" t="s">
        <v>74</v>
      </c>
      <c r="AQ1254" t="s">
        <v>74</v>
      </c>
      <c r="AR1254" t="s">
        <v>224</v>
      </c>
      <c r="AS1254" t="s">
        <v>225</v>
      </c>
      <c r="AT1254" t="s">
        <v>315</v>
      </c>
      <c r="AU1254">
        <v>2010</v>
      </c>
      <c r="AV1254">
        <v>36</v>
      </c>
      <c r="AW1254">
        <v>5</v>
      </c>
      <c r="AX1254" t="s">
        <v>74</v>
      </c>
      <c r="AY1254" t="s">
        <v>74</v>
      </c>
      <c r="AZ1254" t="s">
        <v>74</v>
      </c>
      <c r="BA1254" t="s">
        <v>74</v>
      </c>
      <c r="BB1254">
        <v>1209</v>
      </c>
      <c r="BC1254">
        <v>1211</v>
      </c>
      <c r="BD1254" t="s">
        <v>74</v>
      </c>
      <c r="BE1254" t="s">
        <v>19100</v>
      </c>
      <c r="BF1254" t="str">
        <f>HYPERLINK("http://dx.doi.org/10.1183/09031936.00052210","http://dx.doi.org/10.1183/09031936.00052210")</f>
        <v>http://dx.doi.org/10.1183/09031936.00052210</v>
      </c>
      <c r="BG1254" t="s">
        <v>74</v>
      </c>
      <c r="BH1254" t="s">
        <v>74</v>
      </c>
      <c r="BI1254">
        <v>4</v>
      </c>
      <c r="BJ1254" t="s">
        <v>228</v>
      </c>
      <c r="BK1254" t="s">
        <v>101</v>
      </c>
      <c r="BL1254" t="s">
        <v>228</v>
      </c>
      <c r="BM1254" t="s">
        <v>19094</v>
      </c>
      <c r="BN1254">
        <v>21037371</v>
      </c>
      <c r="BO1254" t="s">
        <v>1194</v>
      </c>
      <c r="BP1254" t="s">
        <v>74</v>
      </c>
      <c r="BQ1254" t="s">
        <v>74</v>
      </c>
      <c r="BR1254" t="s">
        <v>104</v>
      </c>
      <c r="BS1254" t="s">
        <v>19099</v>
      </c>
      <c r="BT1254" t="str">
        <f>HYPERLINK("https%3A%2F%2Fwww.webofscience.com%2Fwos%2Fwoscc%2Ffull-record%2FWOS:000283669700031","View Full Record in Web of Science")</f>
        <v>View Full Record in Web of Science</v>
      </c>
    </row>
    <row r="1255" spans="1:72" x14ac:dyDescent="0.25">
      <c r="A1255" t="s">
        <v>72</v>
      </c>
      <c r="B1255" t="s">
        <v>1420</v>
      </c>
      <c r="C1255" t="s">
        <v>74</v>
      </c>
      <c r="D1255" t="s">
        <v>74</v>
      </c>
      <c r="E1255" t="s">
        <v>74</v>
      </c>
      <c r="F1255" t="s">
        <v>2255</v>
      </c>
      <c r="G1255" t="s">
        <v>74</v>
      </c>
      <c r="H1255" t="s">
        <v>74</v>
      </c>
      <c r="I1255" t="s">
        <v>19098</v>
      </c>
      <c r="J1255" t="s">
        <v>216</v>
      </c>
      <c r="K1255" t="s">
        <v>74</v>
      </c>
      <c r="L1255" t="s">
        <v>74</v>
      </c>
      <c r="M1255" t="s">
        <v>78</v>
      </c>
      <c r="N1255" t="s">
        <v>140</v>
      </c>
      <c r="O1255" t="s">
        <v>74</v>
      </c>
      <c r="P1255" t="s">
        <v>74</v>
      </c>
      <c r="Q1255" t="s">
        <v>74</v>
      </c>
      <c r="R1255" t="s">
        <v>74</v>
      </c>
      <c r="S1255" t="s">
        <v>74</v>
      </c>
      <c r="T1255" t="s">
        <v>74</v>
      </c>
      <c r="U1255" t="s">
        <v>74</v>
      </c>
      <c r="V1255" t="s">
        <v>74</v>
      </c>
      <c r="W1255" t="s">
        <v>19097</v>
      </c>
      <c r="X1255" t="s">
        <v>18978</v>
      </c>
      <c r="Y1255" t="s">
        <v>19096</v>
      </c>
      <c r="Z1255" t="s">
        <v>10573</v>
      </c>
      <c r="AA1255" t="s">
        <v>144</v>
      </c>
      <c r="AB1255" t="s">
        <v>257</v>
      </c>
      <c r="AC1255" t="s">
        <v>74</v>
      </c>
      <c r="AD1255" t="s">
        <v>74</v>
      </c>
      <c r="AE1255" t="s">
        <v>74</v>
      </c>
      <c r="AF1255" t="s">
        <v>74</v>
      </c>
      <c r="AG1255">
        <v>21</v>
      </c>
      <c r="AH1255">
        <v>4</v>
      </c>
      <c r="AI1255">
        <v>4</v>
      </c>
      <c r="AJ1255">
        <v>0</v>
      </c>
      <c r="AK1255">
        <v>0</v>
      </c>
      <c r="AL1255" t="s">
        <v>219</v>
      </c>
      <c r="AM1255" t="s">
        <v>220</v>
      </c>
      <c r="AN1255" t="s">
        <v>221</v>
      </c>
      <c r="AO1255" t="s">
        <v>222</v>
      </c>
      <c r="AP1255" t="s">
        <v>223</v>
      </c>
      <c r="AQ1255" t="s">
        <v>74</v>
      </c>
      <c r="AR1255" t="s">
        <v>224</v>
      </c>
      <c r="AS1255" t="s">
        <v>225</v>
      </c>
      <c r="AT1255" t="s">
        <v>315</v>
      </c>
      <c r="AU1255">
        <v>2010</v>
      </c>
      <c r="AV1255">
        <v>36</v>
      </c>
      <c r="AW1255">
        <v>5</v>
      </c>
      <c r="AX1255" t="s">
        <v>74</v>
      </c>
      <c r="AY1255" t="s">
        <v>74</v>
      </c>
      <c r="AZ1255" t="s">
        <v>74</v>
      </c>
      <c r="BA1255" t="s">
        <v>74</v>
      </c>
      <c r="BB1255">
        <v>993</v>
      </c>
      <c r="BC1255">
        <v>994</v>
      </c>
      <c r="BD1255" t="s">
        <v>74</v>
      </c>
      <c r="BE1255" t="s">
        <v>19095</v>
      </c>
      <c r="BF1255" t="str">
        <f>HYPERLINK("http://dx.doi.org/10.1183/09031936.00134210","http://dx.doi.org/10.1183/09031936.00134210")</f>
        <v>http://dx.doi.org/10.1183/09031936.00134210</v>
      </c>
      <c r="BG1255" t="s">
        <v>74</v>
      </c>
      <c r="BH1255" t="s">
        <v>74</v>
      </c>
      <c r="BI1255">
        <v>2</v>
      </c>
      <c r="BJ1255" t="s">
        <v>228</v>
      </c>
      <c r="BK1255" t="s">
        <v>101</v>
      </c>
      <c r="BL1255" t="s">
        <v>228</v>
      </c>
      <c r="BM1255" t="s">
        <v>19094</v>
      </c>
      <c r="BN1255">
        <v>21037368</v>
      </c>
      <c r="BO1255" t="s">
        <v>1194</v>
      </c>
      <c r="BP1255" t="s">
        <v>74</v>
      </c>
      <c r="BQ1255" t="s">
        <v>74</v>
      </c>
      <c r="BR1255" t="s">
        <v>104</v>
      </c>
      <c r="BS1255" t="s">
        <v>19093</v>
      </c>
      <c r="BT1255" t="str">
        <f>HYPERLINK("https%3A%2F%2Fwww.webofscience.com%2Fwos%2Fwoscc%2Ffull-record%2FWOS:000283669700006","View Full Record in Web of Science")</f>
        <v>View Full Record in Web of Science</v>
      </c>
    </row>
    <row r="1256" spans="1:72" x14ac:dyDescent="0.25">
      <c r="A1256" t="s">
        <v>72</v>
      </c>
      <c r="B1256" t="s">
        <v>19092</v>
      </c>
      <c r="C1256" t="s">
        <v>74</v>
      </c>
      <c r="D1256" t="s">
        <v>74</v>
      </c>
      <c r="E1256" t="s">
        <v>74</v>
      </c>
      <c r="F1256" t="s">
        <v>19091</v>
      </c>
      <c r="G1256" t="s">
        <v>74</v>
      </c>
      <c r="H1256" t="s">
        <v>19090</v>
      </c>
      <c r="I1256" t="s">
        <v>19089</v>
      </c>
      <c r="J1256" t="s">
        <v>5624</v>
      </c>
      <c r="K1256" t="s">
        <v>74</v>
      </c>
      <c r="L1256" t="s">
        <v>74</v>
      </c>
      <c r="M1256" t="s">
        <v>78</v>
      </c>
      <c r="N1256" t="s">
        <v>79</v>
      </c>
      <c r="O1256" t="s">
        <v>74</v>
      </c>
      <c r="P1256" t="s">
        <v>74</v>
      </c>
      <c r="Q1256" t="s">
        <v>74</v>
      </c>
      <c r="R1256" t="s">
        <v>74</v>
      </c>
      <c r="S1256" t="s">
        <v>74</v>
      </c>
      <c r="T1256" t="s">
        <v>19088</v>
      </c>
      <c r="U1256" t="s">
        <v>19087</v>
      </c>
      <c r="V1256" t="s">
        <v>19086</v>
      </c>
      <c r="W1256" t="s">
        <v>19085</v>
      </c>
      <c r="X1256" t="s">
        <v>19084</v>
      </c>
      <c r="Y1256" t="s">
        <v>19083</v>
      </c>
      <c r="Z1256" t="s">
        <v>17756</v>
      </c>
      <c r="AA1256" t="s">
        <v>19082</v>
      </c>
      <c r="AB1256" t="s">
        <v>19081</v>
      </c>
      <c r="AC1256" t="s">
        <v>19080</v>
      </c>
      <c r="AD1256" t="s">
        <v>19079</v>
      </c>
      <c r="AE1256" t="s">
        <v>19078</v>
      </c>
      <c r="AF1256" t="s">
        <v>74</v>
      </c>
      <c r="AG1256">
        <v>60</v>
      </c>
      <c r="AH1256">
        <v>81</v>
      </c>
      <c r="AI1256">
        <v>89</v>
      </c>
      <c r="AJ1256">
        <v>1</v>
      </c>
      <c r="AK1256">
        <v>36</v>
      </c>
      <c r="AL1256" t="s">
        <v>169</v>
      </c>
      <c r="AM1256" t="s">
        <v>170</v>
      </c>
      <c r="AN1256" t="s">
        <v>171</v>
      </c>
      <c r="AO1256" t="s">
        <v>5636</v>
      </c>
      <c r="AP1256" t="s">
        <v>5637</v>
      </c>
      <c r="AQ1256" t="s">
        <v>74</v>
      </c>
      <c r="AR1256" t="s">
        <v>5624</v>
      </c>
      <c r="AS1256" t="s">
        <v>601</v>
      </c>
      <c r="AT1256" t="s">
        <v>420</v>
      </c>
      <c r="AU1256">
        <v>2010</v>
      </c>
      <c r="AV1256">
        <v>65</v>
      </c>
      <c r="AW1256">
        <v>10</v>
      </c>
      <c r="AX1256" t="s">
        <v>74</v>
      </c>
      <c r="AY1256" t="s">
        <v>74</v>
      </c>
      <c r="AZ1256" t="s">
        <v>74</v>
      </c>
      <c r="BA1256" t="s">
        <v>74</v>
      </c>
      <c r="BB1256">
        <v>1212</v>
      </c>
      <c r="BC1256">
        <v>1221</v>
      </c>
      <c r="BD1256" t="s">
        <v>74</v>
      </c>
      <c r="BE1256" t="s">
        <v>19077</v>
      </c>
      <c r="BF1256" t="str">
        <f>HYPERLINK("http://dx.doi.org/10.1111/j.1398-9995.2010.02439.x","http://dx.doi.org/10.1111/j.1398-9995.2010.02439.x")</f>
        <v>http://dx.doi.org/10.1111/j.1398-9995.2010.02439.x</v>
      </c>
      <c r="BG1256" t="s">
        <v>74</v>
      </c>
      <c r="BH1256" t="s">
        <v>74</v>
      </c>
      <c r="BI1256">
        <v>10</v>
      </c>
      <c r="BJ1256" t="s">
        <v>3085</v>
      </c>
      <c r="BK1256" t="s">
        <v>101</v>
      </c>
      <c r="BL1256" t="s">
        <v>3085</v>
      </c>
      <c r="BM1256" t="s">
        <v>19076</v>
      </c>
      <c r="BN1256">
        <v>20887423</v>
      </c>
      <c r="BO1256" t="s">
        <v>612</v>
      </c>
      <c r="BP1256" t="s">
        <v>74</v>
      </c>
      <c r="BQ1256" t="s">
        <v>74</v>
      </c>
      <c r="BR1256" t="s">
        <v>104</v>
      </c>
      <c r="BS1256" t="s">
        <v>19075</v>
      </c>
      <c r="BT1256" t="str">
        <f>HYPERLINK("https%3A%2F%2Fwww.webofscience.com%2Fwos%2Fwoscc%2Ffull-record%2FWOS:000281631500002","View Full Record in Web of Science")</f>
        <v>View Full Record in Web of Science</v>
      </c>
    </row>
    <row r="1257" spans="1:72" x14ac:dyDescent="0.25">
      <c r="A1257" t="s">
        <v>72</v>
      </c>
      <c r="B1257" t="s">
        <v>19074</v>
      </c>
      <c r="C1257" t="s">
        <v>74</v>
      </c>
      <c r="D1257" t="s">
        <v>74</v>
      </c>
      <c r="E1257" t="s">
        <v>74</v>
      </c>
      <c r="F1257" t="s">
        <v>19073</v>
      </c>
      <c r="G1257" t="s">
        <v>74</v>
      </c>
      <c r="H1257" t="s">
        <v>74</v>
      </c>
      <c r="I1257" t="s">
        <v>19072</v>
      </c>
      <c r="J1257" t="s">
        <v>15500</v>
      </c>
      <c r="K1257" t="s">
        <v>74</v>
      </c>
      <c r="L1257" t="s">
        <v>74</v>
      </c>
      <c r="M1257" t="s">
        <v>78</v>
      </c>
      <c r="N1257" t="s">
        <v>79</v>
      </c>
      <c r="O1257" t="s">
        <v>74</v>
      </c>
      <c r="P1257" t="s">
        <v>74</v>
      </c>
      <c r="Q1257" t="s">
        <v>74</v>
      </c>
      <c r="R1257" t="s">
        <v>74</v>
      </c>
      <c r="S1257" t="s">
        <v>74</v>
      </c>
      <c r="T1257" t="s">
        <v>74</v>
      </c>
      <c r="U1257" t="s">
        <v>19071</v>
      </c>
      <c r="V1257" t="s">
        <v>19070</v>
      </c>
      <c r="W1257" t="s">
        <v>19069</v>
      </c>
      <c r="X1257" t="s">
        <v>19068</v>
      </c>
      <c r="Y1257" t="s">
        <v>19067</v>
      </c>
      <c r="Z1257" t="s">
        <v>9323</v>
      </c>
      <c r="AA1257" t="s">
        <v>19066</v>
      </c>
      <c r="AB1257" t="s">
        <v>19065</v>
      </c>
      <c r="AC1257" t="s">
        <v>19064</v>
      </c>
      <c r="AD1257" t="s">
        <v>19063</v>
      </c>
      <c r="AE1257" t="s">
        <v>19062</v>
      </c>
      <c r="AF1257" t="s">
        <v>74</v>
      </c>
      <c r="AG1257">
        <v>36</v>
      </c>
      <c r="AH1257">
        <v>48</v>
      </c>
      <c r="AI1257">
        <v>54</v>
      </c>
      <c r="AJ1257">
        <v>0</v>
      </c>
      <c r="AK1257">
        <v>2</v>
      </c>
      <c r="AL1257" t="s">
        <v>169</v>
      </c>
      <c r="AM1257" t="s">
        <v>170</v>
      </c>
      <c r="AN1257" t="s">
        <v>171</v>
      </c>
      <c r="AO1257" t="s">
        <v>15491</v>
      </c>
      <c r="AP1257" t="s">
        <v>16087</v>
      </c>
      <c r="AQ1257" t="s">
        <v>74</v>
      </c>
      <c r="AR1257" t="s">
        <v>16086</v>
      </c>
      <c r="AS1257" t="s">
        <v>15489</v>
      </c>
      <c r="AT1257" t="s">
        <v>420</v>
      </c>
      <c r="AU1257">
        <v>2010</v>
      </c>
      <c r="AV1257">
        <v>62</v>
      </c>
      <c r="AW1257">
        <v>10</v>
      </c>
      <c r="AX1257" t="s">
        <v>74</v>
      </c>
      <c r="AY1257" t="s">
        <v>74</v>
      </c>
      <c r="AZ1257" t="s">
        <v>74</v>
      </c>
      <c r="BA1257" t="s">
        <v>74</v>
      </c>
      <c r="BB1257">
        <v>3093</v>
      </c>
      <c r="BC1257">
        <v>3100</v>
      </c>
      <c r="BD1257" t="s">
        <v>74</v>
      </c>
      <c r="BE1257" t="s">
        <v>19061</v>
      </c>
      <c r="BF1257" t="str">
        <f>HYPERLINK("http://dx.doi.org/10.1002/art.27607","http://dx.doi.org/10.1002/art.27607")</f>
        <v>http://dx.doi.org/10.1002/art.27607</v>
      </c>
      <c r="BG1257" t="s">
        <v>74</v>
      </c>
      <c r="BH1257" t="s">
        <v>74</v>
      </c>
      <c r="BI1257">
        <v>8</v>
      </c>
      <c r="BJ1257" t="s">
        <v>2369</v>
      </c>
      <c r="BK1257" t="s">
        <v>101</v>
      </c>
      <c r="BL1257" t="s">
        <v>2369</v>
      </c>
      <c r="BM1257" t="s">
        <v>19060</v>
      </c>
      <c r="BN1257">
        <v>20556823</v>
      </c>
      <c r="BO1257" t="s">
        <v>74</v>
      </c>
      <c r="BP1257" t="s">
        <v>74</v>
      </c>
      <c r="BQ1257" t="s">
        <v>74</v>
      </c>
      <c r="BR1257" t="s">
        <v>104</v>
      </c>
      <c r="BS1257" t="s">
        <v>19059</v>
      </c>
      <c r="BT1257" t="str">
        <f>HYPERLINK("https%3A%2F%2Fwww.webofscience.com%2Fwos%2Fwoscc%2Ffull-record%2FWOS:000283060900028","View Full Record in Web of Science")</f>
        <v>View Full Record in Web of Science</v>
      </c>
    </row>
    <row r="1258" spans="1:72" x14ac:dyDescent="0.25">
      <c r="A1258" t="s">
        <v>72</v>
      </c>
      <c r="B1258" t="s">
        <v>19058</v>
      </c>
      <c r="C1258" t="s">
        <v>74</v>
      </c>
      <c r="D1258" t="s">
        <v>74</v>
      </c>
      <c r="E1258" t="s">
        <v>74</v>
      </c>
      <c r="F1258" t="s">
        <v>19057</v>
      </c>
      <c r="G1258" t="s">
        <v>74</v>
      </c>
      <c r="H1258" t="s">
        <v>74</v>
      </c>
      <c r="I1258" t="s">
        <v>19056</v>
      </c>
      <c r="J1258" t="s">
        <v>13692</v>
      </c>
      <c r="K1258" t="s">
        <v>74</v>
      </c>
      <c r="L1258" t="s">
        <v>74</v>
      </c>
      <c r="M1258" t="s">
        <v>78</v>
      </c>
      <c r="N1258" t="s">
        <v>52</v>
      </c>
      <c r="O1258" t="s">
        <v>74</v>
      </c>
      <c r="P1258" t="s">
        <v>74</v>
      </c>
      <c r="Q1258" t="s">
        <v>74</v>
      </c>
      <c r="R1258" t="s">
        <v>74</v>
      </c>
      <c r="S1258" t="s">
        <v>74</v>
      </c>
      <c r="T1258" t="s">
        <v>74</v>
      </c>
      <c r="U1258" t="s">
        <v>74</v>
      </c>
      <c r="V1258" t="s">
        <v>74</v>
      </c>
      <c r="W1258" t="s">
        <v>19055</v>
      </c>
      <c r="X1258" t="s">
        <v>19054</v>
      </c>
      <c r="Y1258" t="s">
        <v>74</v>
      </c>
      <c r="Z1258" t="s">
        <v>16064</v>
      </c>
      <c r="AA1258" t="s">
        <v>15494</v>
      </c>
      <c r="AB1258" t="s">
        <v>74</v>
      </c>
      <c r="AC1258" t="s">
        <v>74</v>
      </c>
      <c r="AD1258" t="s">
        <v>74</v>
      </c>
      <c r="AE1258" t="s">
        <v>74</v>
      </c>
      <c r="AF1258" t="s">
        <v>74</v>
      </c>
      <c r="AG1258">
        <v>0</v>
      </c>
      <c r="AH1258">
        <v>0</v>
      </c>
      <c r="AI1258">
        <v>0</v>
      </c>
      <c r="AJ1258">
        <v>0</v>
      </c>
      <c r="AK1258">
        <v>0</v>
      </c>
      <c r="AL1258" t="s">
        <v>13697</v>
      </c>
      <c r="AM1258" t="s">
        <v>13698</v>
      </c>
      <c r="AN1258" t="s">
        <v>13699</v>
      </c>
      <c r="AO1258" t="s">
        <v>13700</v>
      </c>
      <c r="AP1258" t="s">
        <v>74</v>
      </c>
      <c r="AQ1258" t="s">
        <v>74</v>
      </c>
      <c r="AR1258" t="s">
        <v>13701</v>
      </c>
      <c r="AS1258" t="s">
        <v>13702</v>
      </c>
      <c r="AT1258" t="s">
        <v>13258</v>
      </c>
      <c r="AU1258">
        <v>2010</v>
      </c>
      <c r="AV1258">
        <v>28</v>
      </c>
      <c r="AW1258">
        <v>5</v>
      </c>
      <c r="AX1258" t="s">
        <v>74</v>
      </c>
      <c r="AY1258">
        <v>62</v>
      </c>
      <c r="AZ1258" t="s">
        <v>74</v>
      </c>
      <c r="BA1258" t="s">
        <v>74</v>
      </c>
      <c r="BB1258" t="s">
        <v>19053</v>
      </c>
      <c r="BC1258" t="s">
        <v>19052</v>
      </c>
      <c r="BD1258" t="s">
        <v>74</v>
      </c>
      <c r="BE1258" t="s">
        <v>74</v>
      </c>
      <c r="BF1258" t="s">
        <v>74</v>
      </c>
      <c r="BG1258" t="s">
        <v>74</v>
      </c>
      <c r="BH1258" t="s">
        <v>74</v>
      </c>
      <c r="BI1258">
        <v>2</v>
      </c>
      <c r="BJ1258" t="s">
        <v>2369</v>
      </c>
      <c r="BK1258" t="s">
        <v>101</v>
      </c>
      <c r="BL1258" t="s">
        <v>2369</v>
      </c>
      <c r="BM1258" t="s">
        <v>19044</v>
      </c>
      <c r="BN1258" t="s">
        <v>74</v>
      </c>
      <c r="BO1258" t="s">
        <v>74</v>
      </c>
      <c r="BP1258" t="s">
        <v>74</v>
      </c>
      <c r="BQ1258" t="s">
        <v>74</v>
      </c>
      <c r="BR1258" t="s">
        <v>104</v>
      </c>
      <c r="BS1258" t="s">
        <v>19051</v>
      </c>
      <c r="BT1258" t="str">
        <f>HYPERLINK("https%3A%2F%2Fwww.webofscience.com%2Fwos%2Fwoscc%2Ffull-record%2FWOS:000284028600023","View Full Record in Web of Science")</f>
        <v>View Full Record in Web of Science</v>
      </c>
    </row>
    <row r="1259" spans="1:72" x14ac:dyDescent="0.25">
      <c r="A1259" t="s">
        <v>72</v>
      </c>
      <c r="B1259" t="s">
        <v>19050</v>
      </c>
      <c r="C1259" t="s">
        <v>74</v>
      </c>
      <c r="D1259" t="s">
        <v>74</v>
      </c>
      <c r="E1259" t="s">
        <v>74</v>
      </c>
      <c r="F1259" t="s">
        <v>19049</v>
      </c>
      <c r="G1259" t="s">
        <v>74</v>
      </c>
      <c r="H1259" t="s">
        <v>74</v>
      </c>
      <c r="I1259" t="s">
        <v>17635</v>
      </c>
      <c r="J1259" t="s">
        <v>13692</v>
      </c>
      <c r="K1259" t="s">
        <v>74</v>
      </c>
      <c r="L1259" t="s">
        <v>74</v>
      </c>
      <c r="M1259" t="s">
        <v>78</v>
      </c>
      <c r="N1259" t="s">
        <v>52</v>
      </c>
      <c r="O1259" t="s">
        <v>74</v>
      </c>
      <c r="P1259" t="s">
        <v>74</v>
      </c>
      <c r="Q1259" t="s">
        <v>74</v>
      </c>
      <c r="R1259" t="s">
        <v>74</v>
      </c>
      <c r="S1259" t="s">
        <v>74</v>
      </c>
      <c r="T1259" t="s">
        <v>74</v>
      </c>
      <c r="U1259" t="s">
        <v>74</v>
      </c>
      <c r="V1259" t="s">
        <v>74</v>
      </c>
      <c r="W1259" t="s">
        <v>19048</v>
      </c>
      <c r="X1259" t="s">
        <v>19047</v>
      </c>
      <c r="Y1259" t="s">
        <v>74</v>
      </c>
      <c r="Z1259" t="s">
        <v>74</v>
      </c>
      <c r="AA1259" t="s">
        <v>19046</v>
      </c>
      <c r="AB1259" t="s">
        <v>74</v>
      </c>
      <c r="AC1259" t="s">
        <v>74</v>
      </c>
      <c r="AD1259" t="s">
        <v>74</v>
      </c>
      <c r="AE1259" t="s">
        <v>74</v>
      </c>
      <c r="AF1259" t="s">
        <v>74</v>
      </c>
      <c r="AG1259">
        <v>0</v>
      </c>
      <c r="AH1259">
        <v>0</v>
      </c>
      <c r="AI1259">
        <v>0</v>
      </c>
      <c r="AJ1259">
        <v>0</v>
      </c>
      <c r="AK1259">
        <v>0</v>
      </c>
      <c r="AL1259" t="s">
        <v>13697</v>
      </c>
      <c r="AM1259" t="s">
        <v>13698</v>
      </c>
      <c r="AN1259" t="s">
        <v>13699</v>
      </c>
      <c r="AO1259" t="s">
        <v>13700</v>
      </c>
      <c r="AP1259" t="s">
        <v>74</v>
      </c>
      <c r="AQ1259" t="s">
        <v>74</v>
      </c>
      <c r="AR1259" t="s">
        <v>13701</v>
      </c>
      <c r="AS1259" t="s">
        <v>13702</v>
      </c>
      <c r="AT1259" t="s">
        <v>13258</v>
      </c>
      <c r="AU1259">
        <v>2010</v>
      </c>
      <c r="AV1259">
        <v>28</v>
      </c>
      <c r="AW1259">
        <v>5</v>
      </c>
      <c r="AX1259" t="s">
        <v>74</v>
      </c>
      <c r="AY1259">
        <v>62</v>
      </c>
      <c r="AZ1259" t="s">
        <v>74</v>
      </c>
      <c r="BA1259" t="s">
        <v>74</v>
      </c>
      <c r="BB1259" t="s">
        <v>19045</v>
      </c>
      <c r="BC1259" t="s">
        <v>19045</v>
      </c>
      <c r="BD1259" t="s">
        <v>74</v>
      </c>
      <c r="BE1259" t="s">
        <v>74</v>
      </c>
      <c r="BF1259" t="s">
        <v>74</v>
      </c>
      <c r="BG1259" t="s">
        <v>74</v>
      </c>
      <c r="BH1259" t="s">
        <v>74</v>
      </c>
      <c r="BI1259">
        <v>1</v>
      </c>
      <c r="BJ1259" t="s">
        <v>2369</v>
      </c>
      <c r="BK1259" t="s">
        <v>101</v>
      </c>
      <c r="BL1259" t="s">
        <v>2369</v>
      </c>
      <c r="BM1259" t="s">
        <v>19044</v>
      </c>
      <c r="BN1259" t="s">
        <v>74</v>
      </c>
      <c r="BO1259" t="s">
        <v>74</v>
      </c>
      <c r="BP1259" t="s">
        <v>74</v>
      </c>
      <c r="BQ1259" t="s">
        <v>74</v>
      </c>
      <c r="BR1259" t="s">
        <v>104</v>
      </c>
      <c r="BS1259" t="s">
        <v>19043</v>
      </c>
      <c r="BT1259" t="str">
        <f>HYPERLINK("https%3A%2F%2Fwww.webofscience.com%2Fwos%2Fwoscc%2Ffull-record%2FWOS:000284028600041","View Full Record in Web of Science")</f>
        <v>View Full Record in Web of Science</v>
      </c>
    </row>
    <row r="1260" spans="1:72" x14ac:dyDescent="0.25">
      <c r="A1260" t="s">
        <v>72</v>
      </c>
      <c r="B1260" t="s">
        <v>19042</v>
      </c>
      <c r="C1260" t="s">
        <v>74</v>
      </c>
      <c r="D1260" t="s">
        <v>74</v>
      </c>
      <c r="E1260" t="s">
        <v>74</v>
      </c>
      <c r="F1260" t="s">
        <v>19041</v>
      </c>
      <c r="G1260" t="s">
        <v>74</v>
      </c>
      <c r="H1260" t="s">
        <v>19040</v>
      </c>
      <c r="I1260" t="s">
        <v>19039</v>
      </c>
      <c r="J1260" t="s">
        <v>216</v>
      </c>
      <c r="K1260" t="s">
        <v>74</v>
      </c>
      <c r="L1260" t="s">
        <v>74</v>
      </c>
      <c r="M1260" t="s">
        <v>78</v>
      </c>
      <c r="N1260" t="s">
        <v>79</v>
      </c>
      <c r="O1260" t="s">
        <v>74</v>
      </c>
      <c r="P1260" t="s">
        <v>74</v>
      </c>
      <c r="Q1260" t="s">
        <v>74</v>
      </c>
      <c r="R1260" t="s">
        <v>74</v>
      </c>
      <c r="S1260" t="s">
        <v>74</v>
      </c>
      <c r="T1260" t="s">
        <v>19038</v>
      </c>
      <c r="U1260" t="s">
        <v>19037</v>
      </c>
      <c r="V1260" t="s">
        <v>19036</v>
      </c>
      <c r="W1260" t="s">
        <v>19035</v>
      </c>
      <c r="X1260" t="s">
        <v>19034</v>
      </c>
      <c r="Y1260" t="s">
        <v>17998</v>
      </c>
      <c r="Z1260" t="s">
        <v>10573</v>
      </c>
      <c r="AA1260" t="s">
        <v>19033</v>
      </c>
      <c r="AB1260" t="s">
        <v>19032</v>
      </c>
      <c r="AC1260" t="s">
        <v>19031</v>
      </c>
      <c r="AD1260" t="s">
        <v>243</v>
      </c>
      <c r="AE1260" t="s">
        <v>19030</v>
      </c>
      <c r="AF1260" t="s">
        <v>74</v>
      </c>
      <c r="AG1260">
        <v>28</v>
      </c>
      <c r="AH1260">
        <v>524</v>
      </c>
      <c r="AI1260">
        <v>548</v>
      </c>
      <c r="AJ1260">
        <v>0</v>
      </c>
      <c r="AK1260">
        <v>20</v>
      </c>
      <c r="AL1260" t="s">
        <v>219</v>
      </c>
      <c r="AM1260" t="s">
        <v>220</v>
      </c>
      <c r="AN1260" t="s">
        <v>221</v>
      </c>
      <c r="AO1260" t="s">
        <v>222</v>
      </c>
      <c r="AP1260" t="s">
        <v>223</v>
      </c>
      <c r="AQ1260" t="s">
        <v>74</v>
      </c>
      <c r="AR1260" t="s">
        <v>224</v>
      </c>
      <c r="AS1260" t="s">
        <v>225</v>
      </c>
      <c r="AT1260" t="s">
        <v>492</v>
      </c>
      <c r="AU1260">
        <v>2010</v>
      </c>
      <c r="AV1260">
        <v>36</v>
      </c>
      <c r="AW1260">
        <v>3</v>
      </c>
      <c r="AX1260" t="s">
        <v>74</v>
      </c>
      <c r="AY1260" t="s">
        <v>74</v>
      </c>
      <c r="AZ1260" t="s">
        <v>74</v>
      </c>
      <c r="BA1260" t="s">
        <v>74</v>
      </c>
      <c r="BB1260">
        <v>549</v>
      </c>
      <c r="BC1260">
        <v>555</v>
      </c>
      <c r="BD1260" t="s">
        <v>74</v>
      </c>
      <c r="BE1260" t="s">
        <v>19029</v>
      </c>
      <c r="BF1260" t="str">
        <f>HYPERLINK("http://dx.doi.org/10.1183/09031936.00057010","http://dx.doi.org/10.1183/09031936.00057010")</f>
        <v>http://dx.doi.org/10.1183/09031936.00057010</v>
      </c>
      <c r="BG1260" t="s">
        <v>74</v>
      </c>
      <c r="BH1260" t="s">
        <v>74</v>
      </c>
      <c r="BI1260">
        <v>7</v>
      </c>
      <c r="BJ1260" t="s">
        <v>228</v>
      </c>
      <c r="BK1260" t="s">
        <v>101</v>
      </c>
      <c r="BL1260" t="s">
        <v>228</v>
      </c>
      <c r="BM1260" t="s">
        <v>19028</v>
      </c>
      <c r="BN1260">
        <v>20562126</v>
      </c>
      <c r="BO1260" t="s">
        <v>1194</v>
      </c>
      <c r="BP1260" t="s">
        <v>74</v>
      </c>
      <c r="BQ1260" t="s">
        <v>74</v>
      </c>
      <c r="BR1260" t="s">
        <v>104</v>
      </c>
      <c r="BS1260" t="s">
        <v>19027</v>
      </c>
      <c r="BT1260" t="str">
        <f>HYPERLINK("https%3A%2F%2Fwww.webofscience.com%2Fwos%2Fwoscc%2Ffull-record%2FWOS:000282470000016","View Full Record in Web of Science")</f>
        <v>View Full Record in Web of Science</v>
      </c>
    </row>
    <row r="1261" spans="1:72" x14ac:dyDescent="0.25">
      <c r="A1261" t="s">
        <v>72</v>
      </c>
      <c r="B1261" t="s">
        <v>19026</v>
      </c>
      <c r="C1261" t="s">
        <v>74</v>
      </c>
      <c r="D1261" t="s">
        <v>74</v>
      </c>
      <c r="E1261" t="s">
        <v>74</v>
      </c>
      <c r="F1261" t="s">
        <v>19025</v>
      </c>
      <c r="G1261" t="s">
        <v>74</v>
      </c>
      <c r="H1261" t="s">
        <v>74</v>
      </c>
      <c r="I1261" t="s">
        <v>19024</v>
      </c>
      <c r="J1261" t="s">
        <v>475</v>
      </c>
      <c r="K1261" t="s">
        <v>74</v>
      </c>
      <c r="L1261" t="s">
        <v>74</v>
      </c>
      <c r="M1261" t="s">
        <v>78</v>
      </c>
      <c r="N1261" t="s">
        <v>79</v>
      </c>
      <c r="O1261" t="s">
        <v>74</v>
      </c>
      <c r="P1261" t="s">
        <v>74</v>
      </c>
      <c r="Q1261" t="s">
        <v>74</v>
      </c>
      <c r="R1261" t="s">
        <v>74</v>
      </c>
      <c r="S1261" t="s">
        <v>74</v>
      </c>
      <c r="T1261" t="s">
        <v>74</v>
      </c>
      <c r="U1261" t="s">
        <v>19023</v>
      </c>
      <c r="V1261" t="s">
        <v>19022</v>
      </c>
      <c r="W1261" t="s">
        <v>19021</v>
      </c>
      <c r="X1261" t="s">
        <v>19020</v>
      </c>
      <c r="Y1261" t="s">
        <v>19019</v>
      </c>
      <c r="Z1261" t="s">
        <v>12713</v>
      </c>
      <c r="AA1261" t="s">
        <v>144</v>
      </c>
      <c r="AB1261" t="s">
        <v>19018</v>
      </c>
      <c r="AC1261" t="s">
        <v>19017</v>
      </c>
      <c r="AD1261" t="s">
        <v>19017</v>
      </c>
      <c r="AE1261" t="s">
        <v>19016</v>
      </c>
      <c r="AF1261" t="s">
        <v>74</v>
      </c>
      <c r="AG1261">
        <v>28</v>
      </c>
      <c r="AH1261">
        <v>9</v>
      </c>
      <c r="AI1261">
        <v>9</v>
      </c>
      <c r="AJ1261">
        <v>0</v>
      </c>
      <c r="AK1261">
        <v>0</v>
      </c>
      <c r="AL1261" t="s">
        <v>485</v>
      </c>
      <c r="AM1261" t="s">
        <v>486</v>
      </c>
      <c r="AN1261" t="s">
        <v>487</v>
      </c>
      <c r="AO1261" t="s">
        <v>488</v>
      </c>
      <c r="AP1261" t="s">
        <v>489</v>
      </c>
      <c r="AQ1261" t="s">
        <v>74</v>
      </c>
      <c r="AR1261" t="s">
        <v>490</v>
      </c>
      <c r="AS1261" t="s">
        <v>491</v>
      </c>
      <c r="AT1261" t="s">
        <v>492</v>
      </c>
      <c r="AU1261">
        <v>2010</v>
      </c>
      <c r="AV1261">
        <v>140</v>
      </c>
      <c r="AW1261">
        <v>3</v>
      </c>
      <c r="AX1261" t="s">
        <v>74</v>
      </c>
      <c r="AY1261" t="s">
        <v>74</v>
      </c>
      <c r="AZ1261" t="s">
        <v>74</v>
      </c>
      <c r="BA1261" t="s">
        <v>74</v>
      </c>
      <c r="BB1261">
        <v>677</v>
      </c>
      <c r="BC1261">
        <v>683</v>
      </c>
      <c r="BD1261" t="s">
        <v>74</v>
      </c>
      <c r="BE1261" t="s">
        <v>19015</v>
      </c>
      <c r="BF1261" t="str">
        <f>HYPERLINK("http://dx.doi.org/10.1016/j.jtcvs.2010.01.004","http://dx.doi.org/10.1016/j.jtcvs.2010.01.004")</f>
        <v>http://dx.doi.org/10.1016/j.jtcvs.2010.01.004</v>
      </c>
      <c r="BG1261" t="s">
        <v>74</v>
      </c>
      <c r="BH1261" t="s">
        <v>74</v>
      </c>
      <c r="BI1261">
        <v>7</v>
      </c>
      <c r="BJ1261" t="s">
        <v>495</v>
      </c>
      <c r="BK1261" t="s">
        <v>101</v>
      </c>
      <c r="BL1261" t="s">
        <v>496</v>
      </c>
      <c r="BM1261" t="s">
        <v>19014</v>
      </c>
      <c r="BN1261">
        <v>20723731</v>
      </c>
      <c r="BO1261" t="s">
        <v>1194</v>
      </c>
      <c r="BP1261" t="s">
        <v>74</v>
      </c>
      <c r="BQ1261" t="s">
        <v>74</v>
      </c>
      <c r="BR1261" t="s">
        <v>104</v>
      </c>
      <c r="BS1261" t="s">
        <v>19013</v>
      </c>
      <c r="BT1261" t="str">
        <f>HYPERLINK("https%3A%2F%2Fwww.webofscience.com%2Fwos%2Fwoscc%2Ffull-record%2FWOS:000281116000027","View Full Record in Web of Science")</f>
        <v>View Full Record in Web of Science</v>
      </c>
    </row>
    <row r="1262" spans="1:72" x14ac:dyDescent="0.25">
      <c r="A1262" t="s">
        <v>72</v>
      </c>
      <c r="B1262" t="s">
        <v>19012</v>
      </c>
      <c r="C1262" t="s">
        <v>74</v>
      </c>
      <c r="D1262" t="s">
        <v>74</v>
      </c>
      <c r="E1262" t="s">
        <v>74</v>
      </c>
      <c r="F1262" t="s">
        <v>19011</v>
      </c>
      <c r="G1262" t="s">
        <v>74</v>
      </c>
      <c r="H1262" t="s">
        <v>74</v>
      </c>
      <c r="I1262" t="s">
        <v>19010</v>
      </c>
      <c r="J1262" t="s">
        <v>9067</v>
      </c>
      <c r="K1262" t="s">
        <v>74</v>
      </c>
      <c r="L1262" t="s">
        <v>74</v>
      </c>
      <c r="M1262" t="s">
        <v>78</v>
      </c>
      <c r="N1262" t="s">
        <v>79</v>
      </c>
      <c r="O1262" t="s">
        <v>74</v>
      </c>
      <c r="P1262" t="s">
        <v>74</v>
      </c>
      <c r="Q1262" t="s">
        <v>74</v>
      </c>
      <c r="R1262" t="s">
        <v>74</v>
      </c>
      <c r="S1262" t="s">
        <v>74</v>
      </c>
      <c r="T1262" t="s">
        <v>19009</v>
      </c>
      <c r="U1262" t="s">
        <v>19008</v>
      </c>
      <c r="V1262" t="s">
        <v>19007</v>
      </c>
      <c r="W1262" t="s">
        <v>19006</v>
      </c>
      <c r="X1262" t="s">
        <v>15899</v>
      </c>
      <c r="Y1262" t="s">
        <v>19005</v>
      </c>
      <c r="Z1262" t="s">
        <v>12805</v>
      </c>
      <c r="AA1262" t="s">
        <v>19004</v>
      </c>
      <c r="AB1262" t="s">
        <v>19003</v>
      </c>
      <c r="AC1262" t="s">
        <v>19002</v>
      </c>
      <c r="AD1262" t="s">
        <v>19001</v>
      </c>
      <c r="AE1262" t="s">
        <v>19000</v>
      </c>
      <c r="AF1262" t="s">
        <v>74</v>
      </c>
      <c r="AG1262">
        <v>38</v>
      </c>
      <c r="AH1262">
        <v>51</v>
      </c>
      <c r="AI1262">
        <v>51</v>
      </c>
      <c r="AJ1262">
        <v>0</v>
      </c>
      <c r="AK1262">
        <v>0</v>
      </c>
      <c r="AL1262" t="s">
        <v>991</v>
      </c>
      <c r="AM1262" t="s">
        <v>486</v>
      </c>
      <c r="AN1262" t="s">
        <v>992</v>
      </c>
      <c r="AO1262" t="s">
        <v>9073</v>
      </c>
      <c r="AP1262" t="s">
        <v>9074</v>
      </c>
      <c r="AQ1262" t="s">
        <v>74</v>
      </c>
      <c r="AR1262" t="s">
        <v>9075</v>
      </c>
      <c r="AS1262" t="s">
        <v>9076</v>
      </c>
      <c r="AT1262" t="s">
        <v>18999</v>
      </c>
      <c r="AU1262">
        <v>2010</v>
      </c>
      <c r="AV1262">
        <v>56</v>
      </c>
      <c r="AW1262">
        <v>9</v>
      </c>
      <c r="AX1262" t="s">
        <v>74</v>
      </c>
      <c r="AY1262" t="s">
        <v>74</v>
      </c>
      <c r="AZ1262" t="s">
        <v>74</v>
      </c>
      <c r="BA1262" t="s">
        <v>74</v>
      </c>
      <c r="BB1262">
        <v>715</v>
      </c>
      <c r="BC1262">
        <v>720</v>
      </c>
      <c r="BD1262" t="s">
        <v>74</v>
      </c>
      <c r="BE1262" t="s">
        <v>18998</v>
      </c>
      <c r="BF1262" t="str">
        <f>HYPERLINK("http://dx.doi.org/10.1016/j.jacc.2010.03.065","http://dx.doi.org/10.1016/j.jacc.2010.03.065")</f>
        <v>http://dx.doi.org/10.1016/j.jacc.2010.03.065</v>
      </c>
      <c r="BG1262" t="s">
        <v>74</v>
      </c>
      <c r="BH1262" t="s">
        <v>74</v>
      </c>
      <c r="BI1262">
        <v>6</v>
      </c>
      <c r="BJ1262" t="s">
        <v>132</v>
      </c>
      <c r="BK1262" t="s">
        <v>101</v>
      </c>
      <c r="BL1262" t="s">
        <v>133</v>
      </c>
      <c r="BM1262" t="s">
        <v>18997</v>
      </c>
      <c r="BN1262">
        <v>20723801</v>
      </c>
      <c r="BO1262" t="s">
        <v>74</v>
      </c>
      <c r="BP1262" t="s">
        <v>74</v>
      </c>
      <c r="BQ1262" t="s">
        <v>74</v>
      </c>
      <c r="BR1262" t="s">
        <v>104</v>
      </c>
      <c r="BS1262" t="s">
        <v>18996</v>
      </c>
      <c r="BT1262" t="str">
        <f>HYPERLINK("https%3A%2F%2Fwww.webofscience.com%2Fwos%2Fwoscc%2Ffull-record%2FWOS:000280999600007","View Full Record in Web of Science")</f>
        <v>View Full Record in Web of Science</v>
      </c>
    </row>
    <row r="1263" spans="1:72" x14ac:dyDescent="0.25">
      <c r="A1263" t="s">
        <v>72</v>
      </c>
      <c r="B1263" t="s">
        <v>18995</v>
      </c>
      <c r="C1263" t="s">
        <v>74</v>
      </c>
      <c r="D1263" t="s">
        <v>74</v>
      </c>
      <c r="E1263" t="s">
        <v>74</v>
      </c>
      <c r="F1263" t="s">
        <v>18994</v>
      </c>
      <c r="G1263" t="s">
        <v>74</v>
      </c>
      <c r="H1263" t="s">
        <v>74</v>
      </c>
      <c r="I1263" t="s">
        <v>18993</v>
      </c>
      <c r="J1263" t="s">
        <v>324</v>
      </c>
      <c r="K1263" t="s">
        <v>74</v>
      </c>
      <c r="L1263" t="s">
        <v>74</v>
      </c>
      <c r="M1263" t="s">
        <v>78</v>
      </c>
      <c r="N1263" t="s">
        <v>460</v>
      </c>
      <c r="O1263" t="s">
        <v>74</v>
      </c>
      <c r="P1263" t="s">
        <v>74</v>
      </c>
      <c r="Q1263" t="s">
        <v>74</v>
      </c>
      <c r="R1263" t="s">
        <v>74</v>
      </c>
      <c r="S1263" t="s">
        <v>74</v>
      </c>
      <c r="T1263" t="s">
        <v>74</v>
      </c>
      <c r="U1263" t="s">
        <v>74</v>
      </c>
      <c r="V1263" t="s">
        <v>74</v>
      </c>
      <c r="W1263" t="s">
        <v>18992</v>
      </c>
      <c r="X1263" t="s">
        <v>18991</v>
      </c>
      <c r="Y1263" t="s">
        <v>18990</v>
      </c>
      <c r="Z1263" t="s">
        <v>74</v>
      </c>
      <c r="AA1263" t="s">
        <v>17160</v>
      </c>
      <c r="AB1263" t="s">
        <v>18989</v>
      </c>
      <c r="AC1263" t="s">
        <v>74</v>
      </c>
      <c r="AD1263" t="s">
        <v>74</v>
      </c>
      <c r="AE1263" t="s">
        <v>74</v>
      </c>
      <c r="AF1263" t="s">
        <v>74</v>
      </c>
      <c r="AG1263">
        <v>1</v>
      </c>
      <c r="AH1263">
        <v>0</v>
      </c>
      <c r="AI1263">
        <v>0</v>
      </c>
      <c r="AJ1263">
        <v>0</v>
      </c>
      <c r="AK1263">
        <v>0</v>
      </c>
      <c r="AL1263" t="s">
        <v>11161</v>
      </c>
      <c r="AM1263" t="s">
        <v>14574</v>
      </c>
      <c r="AN1263" t="s">
        <v>14573</v>
      </c>
      <c r="AO1263" t="s">
        <v>337</v>
      </c>
      <c r="AP1263" t="s">
        <v>74</v>
      </c>
      <c r="AQ1263" t="s">
        <v>74</v>
      </c>
      <c r="AR1263" t="s">
        <v>324</v>
      </c>
      <c r="AS1263" t="s">
        <v>339</v>
      </c>
      <c r="AT1263" t="s">
        <v>725</v>
      </c>
      <c r="AU1263">
        <v>2010</v>
      </c>
      <c r="AV1263">
        <v>138</v>
      </c>
      <c r="AW1263">
        <v>2</v>
      </c>
      <c r="AX1263" t="s">
        <v>74</v>
      </c>
      <c r="AY1263" t="s">
        <v>74</v>
      </c>
      <c r="AZ1263" t="s">
        <v>74</v>
      </c>
      <c r="BA1263" t="s">
        <v>74</v>
      </c>
      <c r="BB1263">
        <v>462</v>
      </c>
      <c r="BC1263">
        <v>463</v>
      </c>
      <c r="BD1263" t="s">
        <v>74</v>
      </c>
      <c r="BE1263" t="s">
        <v>18988</v>
      </c>
      <c r="BF1263" t="str">
        <f>HYPERLINK("http://dx.doi.org/10.1378/chest.10-0799","http://dx.doi.org/10.1378/chest.10-0799")</f>
        <v>http://dx.doi.org/10.1378/chest.10-0799</v>
      </c>
      <c r="BG1263" t="s">
        <v>74</v>
      </c>
      <c r="BH1263" t="s">
        <v>74</v>
      </c>
      <c r="BI1263">
        <v>2</v>
      </c>
      <c r="BJ1263" t="s">
        <v>341</v>
      </c>
      <c r="BK1263" t="s">
        <v>101</v>
      </c>
      <c r="BL1263" t="s">
        <v>342</v>
      </c>
      <c r="BM1263" t="s">
        <v>18987</v>
      </c>
      <c r="BN1263" t="s">
        <v>74</v>
      </c>
      <c r="BO1263" t="s">
        <v>1194</v>
      </c>
      <c r="BP1263" t="s">
        <v>74</v>
      </c>
      <c r="BQ1263" t="s">
        <v>74</v>
      </c>
      <c r="BR1263" t="s">
        <v>104</v>
      </c>
      <c r="BS1263" t="s">
        <v>18986</v>
      </c>
      <c r="BT1263" t="str">
        <f>HYPERLINK("https%3A%2F%2Fwww.webofscience.com%2Fwos%2Fwoscc%2Ffull-record%2FWOS:000280743600043","View Full Record in Web of Science")</f>
        <v>View Full Record in Web of Science</v>
      </c>
    </row>
    <row r="1264" spans="1:72" x14ac:dyDescent="0.25">
      <c r="A1264" t="s">
        <v>72</v>
      </c>
      <c r="B1264" t="s">
        <v>18985</v>
      </c>
      <c r="C1264" t="s">
        <v>74</v>
      </c>
      <c r="D1264" t="s">
        <v>74</v>
      </c>
      <c r="E1264" t="s">
        <v>74</v>
      </c>
      <c r="F1264" t="s">
        <v>18984</v>
      </c>
      <c r="G1264" t="s">
        <v>74</v>
      </c>
      <c r="H1264" t="s">
        <v>74</v>
      </c>
      <c r="I1264" t="s">
        <v>18983</v>
      </c>
      <c r="J1264" t="s">
        <v>1068</v>
      </c>
      <c r="K1264" t="s">
        <v>74</v>
      </c>
      <c r="L1264" t="s">
        <v>74</v>
      </c>
      <c r="M1264" t="s">
        <v>78</v>
      </c>
      <c r="N1264" t="s">
        <v>79</v>
      </c>
      <c r="O1264" t="s">
        <v>74</v>
      </c>
      <c r="P1264" t="s">
        <v>74</v>
      </c>
      <c r="Q1264" t="s">
        <v>74</v>
      </c>
      <c r="R1264" t="s">
        <v>74</v>
      </c>
      <c r="S1264" t="s">
        <v>74</v>
      </c>
      <c r="T1264" t="s">
        <v>18982</v>
      </c>
      <c r="U1264" t="s">
        <v>18981</v>
      </c>
      <c r="V1264" t="s">
        <v>18980</v>
      </c>
      <c r="W1264" t="s">
        <v>18979</v>
      </c>
      <c r="X1264" t="s">
        <v>18978</v>
      </c>
      <c r="Y1264" t="s">
        <v>16651</v>
      </c>
      <c r="Z1264" t="s">
        <v>15988</v>
      </c>
      <c r="AA1264" t="s">
        <v>18977</v>
      </c>
      <c r="AB1264" t="s">
        <v>18976</v>
      </c>
      <c r="AC1264" t="s">
        <v>74</v>
      </c>
      <c r="AD1264" t="s">
        <v>74</v>
      </c>
      <c r="AE1264" t="s">
        <v>74</v>
      </c>
      <c r="AF1264" t="s">
        <v>74</v>
      </c>
      <c r="AG1264">
        <v>28</v>
      </c>
      <c r="AH1264">
        <v>172</v>
      </c>
      <c r="AI1264">
        <v>189</v>
      </c>
      <c r="AJ1264">
        <v>0</v>
      </c>
      <c r="AK1264">
        <v>6</v>
      </c>
      <c r="AL1264" t="s">
        <v>1073</v>
      </c>
      <c r="AM1264" t="s">
        <v>1074</v>
      </c>
      <c r="AN1264" t="s">
        <v>1075</v>
      </c>
      <c r="AO1264" t="s">
        <v>1076</v>
      </c>
      <c r="AP1264" t="s">
        <v>1077</v>
      </c>
      <c r="AQ1264" t="s">
        <v>74</v>
      </c>
      <c r="AR1264" t="s">
        <v>1078</v>
      </c>
      <c r="AS1264" t="s">
        <v>1079</v>
      </c>
      <c r="AT1264" t="s">
        <v>725</v>
      </c>
      <c r="AU1264">
        <v>2010</v>
      </c>
      <c r="AV1264">
        <v>31</v>
      </c>
      <c r="AW1264">
        <v>15</v>
      </c>
      <c r="AX1264" t="s">
        <v>74</v>
      </c>
      <c r="AY1264" t="s">
        <v>74</v>
      </c>
      <c r="AZ1264" t="s">
        <v>74</v>
      </c>
      <c r="BA1264" t="s">
        <v>74</v>
      </c>
      <c r="BB1264">
        <v>1898</v>
      </c>
      <c r="BC1264">
        <v>1907</v>
      </c>
      <c r="BD1264" t="s">
        <v>74</v>
      </c>
      <c r="BE1264" t="s">
        <v>18975</v>
      </c>
      <c r="BF1264" t="str">
        <f>HYPERLINK("http://dx.doi.org/10.1093/eurheartj/ehq170","http://dx.doi.org/10.1093/eurheartj/ehq170")</f>
        <v>http://dx.doi.org/10.1093/eurheartj/ehq170</v>
      </c>
      <c r="BG1264" t="s">
        <v>74</v>
      </c>
      <c r="BH1264" t="s">
        <v>74</v>
      </c>
      <c r="BI1264">
        <v>10</v>
      </c>
      <c r="BJ1264" t="s">
        <v>132</v>
      </c>
      <c r="BK1264" t="s">
        <v>101</v>
      </c>
      <c r="BL1264" t="s">
        <v>133</v>
      </c>
      <c r="BM1264" t="s">
        <v>18974</v>
      </c>
      <c r="BN1264">
        <v>20543192</v>
      </c>
      <c r="BO1264" t="s">
        <v>1194</v>
      </c>
      <c r="BP1264" t="s">
        <v>74</v>
      </c>
      <c r="BQ1264" t="s">
        <v>74</v>
      </c>
      <c r="BR1264" t="s">
        <v>104</v>
      </c>
      <c r="BS1264" t="s">
        <v>18973</v>
      </c>
      <c r="BT1264" t="str">
        <f>HYPERLINK("https%3A%2F%2Fwww.webofscience.com%2Fwos%2Fwoscc%2Ffull-record%2FWOS:000280704300017","View Full Record in Web of Science")</f>
        <v>View Full Record in Web of Science</v>
      </c>
    </row>
    <row r="1265" spans="1:72" x14ac:dyDescent="0.25">
      <c r="A1265" t="s">
        <v>72</v>
      </c>
      <c r="B1265" t="s">
        <v>18972</v>
      </c>
      <c r="C1265" t="s">
        <v>74</v>
      </c>
      <c r="D1265" t="s">
        <v>74</v>
      </c>
      <c r="E1265" t="s">
        <v>74</v>
      </c>
      <c r="F1265" t="s">
        <v>18971</v>
      </c>
      <c r="G1265" t="s">
        <v>74</v>
      </c>
      <c r="H1265" t="s">
        <v>74</v>
      </c>
      <c r="I1265" t="s">
        <v>18970</v>
      </c>
      <c r="J1265" t="s">
        <v>216</v>
      </c>
      <c r="K1265" t="s">
        <v>74</v>
      </c>
      <c r="L1265" t="s">
        <v>74</v>
      </c>
      <c r="M1265" t="s">
        <v>78</v>
      </c>
      <c r="N1265" t="s">
        <v>79</v>
      </c>
      <c r="O1265" t="s">
        <v>74</v>
      </c>
      <c r="P1265" t="s">
        <v>74</v>
      </c>
      <c r="Q1265" t="s">
        <v>74</v>
      </c>
      <c r="R1265" t="s">
        <v>74</v>
      </c>
      <c r="S1265" t="s">
        <v>74</v>
      </c>
      <c r="T1265" t="s">
        <v>18969</v>
      </c>
      <c r="U1265" t="s">
        <v>18968</v>
      </c>
      <c r="V1265" t="s">
        <v>18967</v>
      </c>
      <c r="W1265" t="s">
        <v>18966</v>
      </c>
      <c r="X1265" t="s">
        <v>18965</v>
      </c>
      <c r="Y1265" t="s">
        <v>18964</v>
      </c>
      <c r="Z1265" t="s">
        <v>18963</v>
      </c>
      <c r="AA1265" t="s">
        <v>18962</v>
      </c>
      <c r="AB1265" t="s">
        <v>18961</v>
      </c>
      <c r="AC1265" t="s">
        <v>18960</v>
      </c>
      <c r="AD1265" t="s">
        <v>18959</v>
      </c>
      <c r="AE1265" t="s">
        <v>18958</v>
      </c>
      <c r="AF1265" t="s">
        <v>74</v>
      </c>
      <c r="AG1265">
        <v>21</v>
      </c>
      <c r="AH1265">
        <v>70</v>
      </c>
      <c r="AI1265">
        <v>78</v>
      </c>
      <c r="AJ1265">
        <v>0</v>
      </c>
      <c r="AK1265">
        <v>4</v>
      </c>
      <c r="AL1265" t="s">
        <v>219</v>
      </c>
      <c r="AM1265" t="s">
        <v>220</v>
      </c>
      <c r="AN1265" t="s">
        <v>221</v>
      </c>
      <c r="AO1265" t="s">
        <v>222</v>
      </c>
      <c r="AP1265" t="s">
        <v>223</v>
      </c>
      <c r="AQ1265" t="s">
        <v>74</v>
      </c>
      <c r="AR1265" t="s">
        <v>224</v>
      </c>
      <c r="AS1265" t="s">
        <v>225</v>
      </c>
      <c r="AT1265" t="s">
        <v>725</v>
      </c>
      <c r="AU1265">
        <v>2010</v>
      </c>
      <c r="AV1265">
        <v>36</v>
      </c>
      <c r="AW1265">
        <v>2</v>
      </c>
      <c r="AX1265" t="s">
        <v>74</v>
      </c>
      <c r="AY1265" t="s">
        <v>74</v>
      </c>
      <c r="AZ1265" t="s">
        <v>74</v>
      </c>
      <c r="BA1265" t="s">
        <v>74</v>
      </c>
      <c r="BB1265">
        <v>269</v>
      </c>
      <c r="BC1265">
        <v>276</v>
      </c>
      <c r="BD1265" t="s">
        <v>74</v>
      </c>
      <c r="BE1265" t="s">
        <v>18957</v>
      </c>
      <c r="BF1265" t="str">
        <f>HYPERLINK("http://dx.doi.org/10.1183/09031936.00124009","http://dx.doi.org/10.1183/09031936.00124009")</f>
        <v>http://dx.doi.org/10.1183/09031936.00124009</v>
      </c>
      <c r="BG1265" t="s">
        <v>74</v>
      </c>
      <c r="BH1265" t="s">
        <v>74</v>
      </c>
      <c r="BI1265">
        <v>8</v>
      </c>
      <c r="BJ1265" t="s">
        <v>228</v>
      </c>
      <c r="BK1265" t="s">
        <v>101</v>
      </c>
      <c r="BL1265" t="s">
        <v>228</v>
      </c>
      <c r="BM1265" t="s">
        <v>18956</v>
      </c>
      <c r="BN1265">
        <v>20110397</v>
      </c>
      <c r="BO1265" t="s">
        <v>1194</v>
      </c>
      <c r="BP1265" t="s">
        <v>74</v>
      </c>
      <c r="BQ1265" t="s">
        <v>74</v>
      </c>
      <c r="BR1265" t="s">
        <v>104</v>
      </c>
      <c r="BS1265" t="s">
        <v>18955</v>
      </c>
      <c r="BT1265" t="str">
        <f>HYPERLINK("https%3A%2F%2Fwww.webofscience.com%2Fwos%2Fwoscc%2Ffull-record%2FWOS:000281601800010","View Full Record in Web of Science")</f>
        <v>View Full Record in Web of Science</v>
      </c>
    </row>
    <row r="1266" spans="1:72" x14ac:dyDescent="0.25">
      <c r="A1266" t="s">
        <v>72</v>
      </c>
      <c r="B1266" t="s">
        <v>18954</v>
      </c>
      <c r="C1266" t="s">
        <v>74</v>
      </c>
      <c r="D1266" t="s">
        <v>74</v>
      </c>
      <c r="E1266" t="s">
        <v>74</v>
      </c>
      <c r="F1266" t="s">
        <v>18953</v>
      </c>
      <c r="G1266" t="s">
        <v>74</v>
      </c>
      <c r="H1266" t="s">
        <v>74</v>
      </c>
      <c r="I1266" t="s">
        <v>18952</v>
      </c>
      <c r="J1266" t="s">
        <v>251</v>
      </c>
      <c r="K1266" t="s">
        <v>74</v>
      </c>
      <c r="L1266" t="s">
        <v>74</v>
      </c>
      <c r="M1266" t="s">
        <v>78</v>
      </c>
      <c r="N1266" t="s">
        <v>79</v>
      </c>
      <c r="O1266" t="s">
        <v>74</v>
      </c>
      <c r="P1266" t="s">
        <v>74</v>
      </c>
      <c r="Q1266" t="s">
        <v>74</v>
      </c>
      <c r="R1266" t="s">
        <v>74</v>
      </c>
      <c r="S1266" t="s">
        <v>74</v>
      </c>
      <c r="T1266" t="s">
        <v>18951</v>
      </c>
      <c r="U1266" t="s">
        <v>18950</v>
      </c>
      <c r="V1266" t="s">
        <v>18949</v>
      </c>
      <c r="W1266" t="s">
        <v>18948</v>
      </c>
      <c r="X1266" t="s">
        <v>18947</v>
      </c>
      <c r="Y1266" t="s">
        <v>18946</v>
      </c>
      <c r="Z1266" t="s">
        <v>10573</v>
      </c>
      <c r="AA1266" t="s">
        <v>18945</v>
      </c>
      <c r="AB1266" t="s">
        <v>18944</v>
      </c>
      <c r="AC1266" t="s">
        <v>18943</v>
      </c>
      <c r="AD1266" t="s">
        <v>18943</v>
      </c>
      <c r="AE1266" t="s">
        <v>18942</v>
      </c>
      <c r="AF1266" t="s">
        <v>74</v>
      </c>
      <c r="AG1266">
        <v>45</v>
      </c>
      <c r="AH1266">
        <v>1116</v>
      </c>
      <c r="AI1266">
        <v>1183</v>
      </c>
      <c r="AJ1266">
        <v>0</v>
      </c>
      <c r="AK1266">
        <v>47</v>
      </c>
      <c r="AL1266" t="s">
        <v>122</v>
      </c>
      <c r="AM1266" t="s">
        <v>123</v>
      </c>
      <c r="AN1266" t="s">
        <v>124</v>
      </c>
      <c r="AO1266" t="s">
        <v>258</v>
      </c>
      <c r="AP1266" t="s">
        <v>259</v>
      </c>
      <c r="AQ1266" t="s">
        <v>74</v>
      </c>
      <c r="AR1266" t="s">
        <v>251</v>
      </c>
      <c r="AS1266" t="s">
        <v>260</v>
      </c>
      <c r="AT1266" t="s">
        <v>18941</v>
      </c>
      <c r="AU1266">
        <v>2010</v>
      </c>
      <c r="AV1266">
        <v>122</v>
      </c>
      <c r="AW1266">
        <v>2</v>
      </c>
      <c r="AX1266" t="s">
        <v>74</v>
      </c>
      <c r="AY1266" t="s">
        <v>74</v>
      </c>
      <c r="AZ1266" t="s">
        <v>74</v>
      </c>
      <c r="BA1266" t="s">
        <v>74</v>
      </c>
      <c r="BB1266">
        <v>156</v>
      </c>
      <c r="BC1266">
        <v>163</v>
      </c>
      <c r="BD1266" t="s">
        <v>74</v>
      </c>
      <c r="BE1266" t="s">
        <v>18940</v>
      </c>
      <c r="BF1266" t="str">
        <f>HYPERLINK("http://dx.doi.org/10.1161/CIRCULATIONAHA.109.911818","http://dx.doi.org/10.1161/CIRCULATIONAHA.109.911818")</f>
        <v>http://dx.doi.org/10.1161/CIRCULATIONAHA.109.911818</v>
      </c>
      <c r="BG1266" t="s">
        <v>74</v>
      </c>
      <c r="BH1266" t="s">
        <v>74</v>
      </c>
      <c r="BI1266">
        <v>8</v>
      </c>
      <c r="BJ1266" t="s">
        <v>263</v>
      </c>
      <c r="BK1266" t="s">
        <v>101</v>
      </c>
      <c r="BL1266" t="s">
        <v>133</v>
      </c>
      <c r="BM1266" t="s">
        <v>18939</v>
      </c>
      <c r="BN1266">
        <v>20585011</v>
      </c>
      <c r="BO1266" t="s">
        <v>74</v>
      </c>
      <c r="BP1266" t="s">
        <v>74</v>
      </c>
      <c r="BQ1266" t="s">
        <v>74</v>
      </c>
      <c r="BR1266" t="s">
        <v>104</v>
      </c>
      <c r="BS1266" t="s">
        <v>18938</v>
      </c>
      <c r="BT1266" t="str">
        <f>HYPERLINK("https%3A%2F%2Fwww.webofscience.com%2Fwos%2Fwoscc%2Ffull-record%2FWOS:000279801700008","View Full Record in Web of Science")</f>
        <v>View Full Record in Web of Science</v>
      </c>
    </row>
    <row r="1267" spans="1:72" x14ac:dyDescent="0.25">
      <c r="A1267" t="s">
        <v>72</v>
      </c>
      <c r="B1267" t="s">
        <v>18937</v>
      </c>
      <c r="C1267" t="s">
        <v>74</v>
      </c>
      <c r="D1267" t="s">
        <v>74</v>
      </c>
      <c r="E1267" t="s">
        <v>74</v>
      </c>
      <c r="F1267" t="s">
        <v>18936</v>
      </c>
      <c r="G1267" t="s">
        <v>74</v>
      </c>
      <c r="H1267" t="s">
        <v>18488</v>
      </c>
      <c r="I1267" t="s">
        <v>18935</v>
      </c>
      <c r="J1267" t="s">
        <v>2580</v>
      </c>
      <c r="K1267" t="s">
        <v>74</v>
      </c>
      <c r="L1267" t="s">
        <v>74</v>
      </c>
      <c r="M1267" t="s">
        <v>78</v>
      </c>
      <c r="N1267" t="s">
        <v>79</v>
      </c>
      <c r="O1267" t="s">
        <v>74</v>
      </c>
      <c r="P1267" t="s">
        <v>74</v>
      </c>
      <c r="Q1267" t="s">
        <v>74</v>
      </c>
      <c r="R1267" t="s">
        <v>74</v>
      </c>
      <c r="S1267" t="s">
        <v>74</v>
      </c>
      <c r="T1267" t="s">
        <v>74</v>
      </c>
      <c r="U1267" t="s">
        <v>18934</v>
      </c>
      <c r="V1267" t="s">
        <v>18933</v>
      </c>
      <c r="W1267" t="s">
        <v>18932</v>
      </c>
      <c r="X1267" t="s">
        <v>18931</v>
      </c>
      <c r="Y1267" t="s">
        <v>18930</v>
      </c>
      <c r="Z1267" t="s">
        <v>17467</v>
      </c>
      <c r="AA1267" t="s">
        <v>18929</v>
      </c>
      <c r="AB1267" t="s">
        <v>18928</v>
      </c>
      <c r="AC1267" t="s">
        <v>74</v>
      </c>
      <c r="AD1267" t="s">
        <v>74</v>
      </c>
      <c r="AE1267" t="s">
        <v>74</v>
      </c>
      <c r="AF1267" t="s">
        <v>74</v>
      </c>
      <c r="AG1267">
        <v>20</v>
      </c>
      <c r="AH1267">
        <v>33</v>
      </c>
      <c r="AI1267">
        <v>34</v>
      </c>
      <c r="AJ1267">
        <v>0</v>
      </c>
      <c r="AK1267">
        <v>5</v>
      </c>
      <c r="AL1267" t="s">
        <v>2590</v>
      </c>
      <c r="AM1267" t="s">
        <v>201</v>
      </c>
      <c r="AN1267" t="s">
        <v>2591</v>
      </c>
      <c r="AO1267" t="s">
        <v>2592</v>
      </c>
      <c r="AP1267" t="s">
        <v>2593</v>
      </c>
      <c r="AQ1267" t="s">
        <v>74</v>
      </c>
      <c r="AR1267" t="s">
        <v>2594</v>
      </c>
      <c r="AS1267" t="s">
        <v>2595</v>
      </c>
      <c r="AT1267" t="s">
        <v>785</v>
      </c>
      <c r="AU1267">
        <v>2010</v>
      </c>
      <c r="AV1267">
        <v>69</v>
      </c>
      <c r="AW1267">
        <v>7</v>
      </c>
      <c r="AX1267" t="s">
        <v>74</v>
      </c>
      <c r="AY1267" t="s">
        <v>74</v>
      </c>
      <c r="AZ1267" t="s">
        <v>74</v>
      </c>
      <c r="BA1267" t="s">
        <v>74</v>
      </c>
      <c r="BB1267">
        <v>1360</v>
      </c>
      <c r="BC1267">
        <v>1363</v>
      </c>
      <c r="BD1267" t="s">
        <v>74</v>
      </c>
      <c r="BE1267" t="s">
        <v>18927</v>
      </c>
      <c r="BF1267" t="str">
        <f>HYPERLINK("http://dx.doi.org/10.1136/ard.2009.120303","http://dx.doi.org/10.1136/ard.2009.120303")</f>
        <v>http://dx.doi.org/10.1136/ard.2009.120303</v>
      </c>
      <c r="BG1267" t="s">
        <v>74</v>
      </c>
      <c r="BH1267" t="s">
        <v>74</v>
      </c>
      <c r="BI1267">
        <v>4</v>
      </c>
      <c r="BJ1267" t="s">
        <v>2369</v>
      </c>
      <c r="BK1267" t="s">
        <v>101</v>
      </c>
      <c r="BL1267" t="s">
        <v>2369</v>
      </c>
      <c r="BM1267" t="s">
        <v>18926</v>
      </c>
      <c r="BN1267">
        <v>20472586</v>
      </c>
      <c r="BO1267" t="s">
        <v>4589</v>
      </c>
      <c r="BP1267" t="s">
        <v>74</v>
      </c>
      <c r="BQ1267" t="s">
        <v>74</v>
      </c>
      <c r="BR1267" t="s">
        <v>104</v>
      </c>
      <c r="BS1267" t="s">
        <v>18925</v>
      </c>
      <c r="BT1267" t="str">
        <f>HYPERLINK("https%3A%2F%2Fwww.webofscience.com%2Fwos%2Fwoscc%2Ffull-record%2FWOS:000279667000023","View Full Record in Web of Science")</f>
        <v>View Full Record in Web of Science</v>
      </c>
    </row>
    <row r="1268" spans="1:72" x14ac:dyDescent="0.25">
      <c r="A1268" t="s">
        <v>72</v>
      </c>
      <c r="B1268" t="s">
        <v>18924</v>
      </c>
      <c r="C1268" t="s">
        <v>74</v>
      </c>
      <c r="D1268" t="s">
        <v>74</v>
      </c>
      <c r="E1268" t="s">
        <v>74</v>
      </c>
      <c r="F1268" t="s">
        <v>18923</v>
      </c>
      <c r="G1268" t="s">
        <v>74</v>
      </c>
      <c r="H1268" t="s">
        <v>74</v>
      </c>
      <c r="I1268" t="s">
        <v>18922</v>
      </c>
      <c r="J1268" t="s">
        <v>216</v>
      </c>
      <c r="K1268" t="s">
        <v>74</v>
      </c>
      <c r="L1268" t="s">
        <v>74</v>
      </c>
      <c r="M1268" t="s">
        <v>78</v>
      </c>
      <c r="N1268" t="s">
        <v>460</v>
      </c>
      <c r="O1268" t="s">
        <v>74</v>
      </c>
      <c r="P1268" t="s">
        <v>74</v>
      </c>
      <c r="Q1268" t="s">
        <v>74</v>
      </c>
      <c r="R1268" t="s">
        <v>74</v>
      </c>
      <c r="S1268" t="s">
        <v>74</v>
      </c>
      <c r="T1268" t="s">
        <v>74</v>
      </c>
      <c r="U1268" t="s">
        <v>18921</v>
      </c>
      <c r="V1268" t="s">
        <v>74</v>
      </c>
      <c r="W1268" t="s">
        <v>18920</v>
      </c>
      <c r="X1268" t="s">
        <v>18919</v>
      </c>
      <c r="Y1268" t="s">
        <v>18918</v>
      </c>
      <c r="Z1268" t="s">
        <v>1917</v>
      </c>
      <c r="AA1268" t="s">
        <v>144</v>
      </c>
      <c r="AB1268" t="s">
        <v>257</v>
      </c>
      <c r="AC1268" t="s">
        <v>74</v>
      </c>
      <c r="AD1268" t="s">
        <v>74</v>
      </c>
      <c r="AE1268" t="s">
        <v>74</v>
      </c>
      <c r="AF1268" t="s">
        <v>74</v>
      </c>
      <c r="AG1268">
        <v>10</v>
      </c>
      <c r="AH1268">
        <v>28</v>
      </c>
      <c r="AI1268">
        <v>29</v>
      </c>
      <c r="AJ1268">
        <v>1</v>
      </c>
      <c r="AK1268">
        <v>3</v>
      </c>
      <c r="AL1268" t="s">
        <v>219</v>
      </c>
      <c r="AM1268" t="s">
        <v>220</v>
      </c>
      <c r="AN1268" t="s">
        <v>221</v>
      </c>
      <c r="AO1268" t="s">
        <v>222</v>
      </c>
      <c r="AP1268" t="s">
        <v>223</v>
      </c>
      <c r="AQ1268" t="s">
        <v>74</v>
      </c>
      <c r="AR1268" t="s">
        <v>224</v>
      </c>
      <c r="AS1268" t="s">
        <v>225</v>
      </c>
      <c r="AT1268" t="s">
        <v>785</v>
      </c>
      <c r="AU1268">
        <v>2010</v>
      </c>
      <c r="AV1268">
        <v>36</v>
      </c>
      <c r="AW1268">
        <v>1</v>
      </c>
      <c r="AX1268" t="s">
        <v>74</v>
      </c>
      <c r="AY1268" t="s">
        <v>74</v>
      </c>
      <c r="AZ1268" t="s">
        <v>74</v>
      </c>
      <c r="BA1268" t="s">
        <v>74</v>
      </c>
      <c r="BB1268">
        <v>202</v>
      </c>
      <c r="BC1268">
        <v>204</v>
      </c>
      <c r="BD1268" t="s">
        <v>74</v>
      </c>
      <c r="BE1268" t="s">
        <v>18917</v>
      </c>
      <c r="BF1268" t="str">
        <f>HYPERLINK("http://dx.doi.org/10.1183/09031936.00004810","http://dx.doi.org/10.1183/09031936.00004810")</f>
        <v>http://dx.doi.org/10.1183/09031936.00004810</v>
      </c>
      <c r="BG1268" t="s">
        <v>74</v>
      </c>
      <c r="BH1268" t="s">
        <v>74</v>
      </c>
      <c r="BI1268">
        <v>3</v>
      </c>
      <c r="BJ1268" t="s">
        <v>228</v>
      </c>
      <c r="BK1268" t="s">
        <v>101</v>
      </c>
      <c r="BL1268" t="s">
        <v>228</v>
      </c>
      <c r="BM1268" t="s">
        <v>18916</v>
      </c>
      <c r="BN1268">
        <v>20595165</v>
      </c>
      <c r="BO1268" t="s">
        <v>1194</v>
      </c>
      <c r="BP1268" t="s">
        <v>74</v>
      </c>
      <c r="BQ1268" t="s">
        <v>74</v>
      </c>
      <c r="BR1268" t="s">
        <v>104</v>
      </c>
      <c r="BS1268" t="s">
        <v>18915</v>
      </c>
      <c r="BT1268" t="str">
        <f>HYPERLINK("https%3A%2F%2Fwww.webofscience.com%2Fwos%2Fwoscc%2Ffull-record%2FWOS:000279394100031","View Full Record in Web of Science")</f>
        <v>View Full Record in Web of Science</v>
      </c>
    </row>
    <row r="1269" spans="1:72" x14ac:dyDescent="0.25">
      <c r="A1269" t="s">
        <v>72</v>
      </c>
      <c r="B1269" t="s">
        <v>18914</v>
      </c>
      <c r="C1269" t="s">
        <v>74</v>
      </c>
      <c r="D1269" t="s">
        <v>74</v>
      </c>
      <c r="E1269" t="s">
        <v>74</v>
      </c>
      <c r="F1269" t="s">
        <v>18913</v>
      </c>
      <c r="G1269" t="s">
        <v>74</v>
      </c>
      <c r="H1269" t="s">
        <v>74</v>
      </c>
      <c r="I1269" t="s">
        <v>18912</v>
      </c>
      <c r="J1269" t="s">
        <v>189</v>
      </c>
      <c r="K1269" t="s">
        <v>74</v>
      </c>
      <c r="L1269" t="s">
        <v>74</v>
      </c>
      <c r="M1269" t="s">
        <v>78</v>
      </c>
      <c r="N1269" t="s">
        <v>8016</v>
      </c>
      <c r="O1269" t="s">
        <v>18898</v>
      </c>
      <c r="P1269" t="s">
        <v>18897</v>
      </c>
      <c r="Q1269" t="s">
        <v>7497</v>
      </c>
      <c r="R1269" t="s">
        <v>74</v>
      </c>
      <c r="S1269" t="s">
        <v>74</v>
      </c>
      <c r="T1269" t="s">
        <v>18911</v>
      </c>
      <c r="U1269" t="s">
        <v>18910</v>
      </c>
      <c r="V1269" t="s">
        <v>18909</v>
      </c>
      <c r="W1269" t="s">
        <v>18908</v>
      </c>
      <c r="X1269" t="s">
        <v>18907</v>
      </c>
      <c r="Y1269" t="s">
        <v>18906</v>
      </c>
      <c r="Z1269" t="s">
        <v>10573</v>
      </c>
      <c r="AA1269" t="s">
        <v>11464</v>
      </c>
      <c r="AB1269" t="s">
        <v>18905</v>
      </c>
      <c r="AC1269" t="s">
        <v>74</v>
      </c>
      <c r="AD1269" t="s">
        <v>74</v>
      </c>
      <c r="AE1269" t="s">
        <v>74</v>
      </c>
      <c r="AF1269" t="s">
        <v>74</v>
      </c>
      <c r="AG1269">
        <v>71</v>
      </c>
      <c r="AH1269">
        <v>68</v>
      </c>
      <c r="AI1269">
        <v>74</v>
      </c>
      <c r="AJ1269">
        <v>0</v>
      </c>
      <c r="AK1269">
        <v>3</v>
      </c>
      <c r="AL1269" t="s">
        <v>200</v>
      </c>
      <c r="AM1269" t="s">
        <v>201</v>
      </c>
      <c r="AN1269" t="s">
        <v>202</v>
      </c>
      <c r="AO1269" t="s">
        <v>203</v>
      </c>
      <c r="AP1269" t="s">
        <v>204</v>
      </c>
      <c r="AQ1269" t="s">
        <v>74</v>
      </c>
      <c r="AR1269" t="s">
        <v>205</v>
      </c>
      <c r="AS1269" t="s">
        <v>206</v>
      </c>
      <c r="AT1269" t="s">
        <v>785</v>
      </c>
      <c r="AU1269">
        <v>2010</v>
      </c>
      <c r="AV1269">
        <v>104</v>
      </c>
      <c r="AW1269" t="s">
        <v>74</v>
      </c>
      <c r="AX1269" t="s">
        <v>74</v>
      </c>
      <c r="AY1269">
        <v>1</v>
      </c>
      <c r="AZ1269" t="s">
        <v>74</v>
      </c>
      <c r="BA1269" t="s">
        <v>74</v>
      </c>
      <c r="BB1269" t="s">
        <v>18904</v>
      </c>
      <c r="BC1269" t="s">
        <v>4997</v>
      </c>
      <c r="BD1269" t="s">
        <v>74</v>
      </c>
      <c r="BE1269" t="s">
        <v>18903</v>
      </c>
      <c r="BF1269" t="str">
        <f>HYPERLINK("http://dx.doi.org/10.1016/j.rmed.2010.03.014","http://dx.doi.org/10.1016/j.rmed.2010.03.014")</f>
        <v>http://dx.doi.org/10.1016/j.rmed.2010.03.014</v>
      </c>
      <c r="BG1269" t="s">
        <v>74</v>
      </c>
      <c r="BH1269" t="s">
        <v>74</v>
      </c>
      <c r="BI1269">
        <v>10</v>
      </c>
      <c r="BJ1269" t="s">
        <v>209</v>
      </c>
      <c r="BK1269" t="s">
        <v>512</v>
      </c>
      <c r="BL1269" t="s">
        <v>210</v>
      </c>
      <c r="BM1269" t="s">
        <v>18884</v>
      </c>
      <c r="BN1269">
        <v>20456932</v>
      </c>
      <c r="BO1269" t="s">
        <v>1194</v>
      </c>
      <c r="BP1269" t="s">
        <v>74</v>
      </c>
      <c r="BQ1269" t="s">
        <v>74</v>
      </c>
      <c r="BR1269" t="s">
        <v>104</v>
      </c>
      <c r="BS1269" t="s">
        <v>18902</v>
      </c>
      <c r="BT1269" t="str">
        <f>HYPERLINK("https%3A%2F%2Fwww.webofscience.com%2Fwos%2Fwoscc%2Ffull-record%2FWOS:000280179100004","View Full Record in Web of Science")</f>
        <v>View Full Record in Web of Science</v>
      </c>
    </row>
    <row r="1270" spans="1:72" x14ac:dyDescent="0.25">
      <c r="A1270" t="s">
        <v>72</v>
      </c>
      <c r="B1270" t="s">
        <v>18901</v>
      </c>
      <c r="C1270" t="s">
        <v>74</v>
      </c>
      <c r="D1270" t="s">
        <v>74</v>
      </c>
      <c r="E1270" t="s">
        <v>74</v>
      </c>
      <c r="F1270" t="s">
        <v>18900</v>
      </c>
      <c r="G1270" t="s">
        <v>74</v>
      </c>
      <c r="H1270" t="s">
        <v>74</v>
      </c>
      <c r="I1270" t="s">
        <v>18899</v>
      </c>
      <c r="J1270" t="s">
        <v>189</v>
      </c>
      <c r="K1270" t="s">
        <v>74</v>
      </c>
      <c r="L1270" t="s">
        <v>74</v>
      </c>
      <c r="M1270" t="s">
        <v>78</v>
      </c>
      <c r="N1270" t="s">
        <v>8016</v>
      </c>
      <c r="O1270" t="s">
        <v>18898</v>
      </c>
      <c r="P1270" t="s">
        <v>18897</v>
      </c>
      <c r="Q1270" t="s">
        <v>7497</v>
      </c>
      <c r="R1270" t="s">
        <v>74</v>
      </c>
      <c r="S1270" t="s">
        <v>74</v>
      </c>
      <c r="T1270" t="s">
        <v>18896</v>
      </c>
      <c r="U1270" t="s">
        <v>18895</v>
      </c>
      <c r="V1270" t="s">
        <v>18894</v>
      </c>
      <c r="W1270" t="s">
        <v>18893</v>
      </c>
      <c r="X1270" t="s">
        <v>18892</v>
      </c>
      <c r="Y1270" t="s">
        <v>18891</v>
      </c>
      <c r="Z1270" t="s">
        <v>18890</v>
      </c>
      <c r="AA1270" t="s">
        <v>18889</v>
      </c>
      <c r="AB1270" t="s">
        <v>18888</v>
      </c>
      <c r="AC1270" t="s">
        <v>74</v>
      </c>
      <c r="AD1270" t="s">
        <v>74</v>
      </c>
      <c r="AE1270" t="s">
        <v>74</v>
      </c>
      <c r="AF1270" t="s">
        <v>74</v>
      </c>
      <c r="AG1270">
        <v>28</v>
      </c>
      <c r="AH1270">
        <v>9</v>
      </c>
      <c r="AI1270">
        <v>10</v>
      </c>
      <c r="AJ1270">
        <v>0</v>
      </c>
      <c r="AK1270">
        <v>0</v>
      </c>
      <c r="AL1270" t="s">
        <v>200</v>
      </c>
      <c r="AM1270" t="s">
        <v>201</v>
      </c>
      <c r="AN1270" t="s">
        <v>202</v>
      </c>
      <c r="AO1270" t="s">
        <v>203</v>
      </c>
      <c r="AP1270" t="s">
        <v>204</v>
      </c>
      <c r="AQ1270" t="s">
        <v>74</v>
      </c>
      <c r="AR1270" t="s">
        <v>205</v>
      </c>
      <c r="AS1270" t="s">
        <v>206</v>
      </c>
      <c r="AT1270" t="s">
        <v>785</v>
      </c>
      <c r="AU1270">
        <v>2010</v>
      </c>
      <c r="AV1270">
        <v>104</v>
      </c>
      <c r="AW1270" t="s">
        <v>74</v>
      </c>
      <c r="AX1270" t="s">
        <v>74</v>
      </c>
      <c r="AY1270">
        <v>1</v>
      </c>
      <c r="AZ1270" t="s">
        <v>74</v>
      </c>
      <c r="BA1270" t="s">
        <v>74</v>
      </c>
      <c r="BB1270" t="s">
        <v>18887</v>
      </c>
      <c r="BC1270" t="s">
        <v>18886</v>
      </c>
      <c r="BD1270" t="s">
        <v>74</v>
      </c>
      <c r="BE1270" t="s">
        <v>18885</v>
      </c>
      <c r="BF1270" t="str">
        <f>HYPERLINK("http://dx.doi.org/10.1016/j.rmed.2010.03.020","http://dx.doi.org/10.1016/j.rmed.2010.03.020")</f>
        <v>http://dx.doi.org/10.1016/j.rmed.2010.03.020</v>
      </c>
      <c r="BG1270" t="s">
        <v>74</v>
      </c>
      <c r="BH1270" t="s">
        <v>74</v>
      </c>
      <c r="BI1270">
        <v>7</v>
      </c>
      <c r="BJ1270" t="s">
        <v>209</v>
      </c>
      <c r="BK1270" t="s">
        <v>512</v>
      </c>
      <c r="BL1270" t="s">
        <v>210</v>
      </c>
      <c r="BM1270" t="s">
        <v>18884</v>
      </c>
      <c r="BN1270">
        <v>20418081</v>
      </c>
      <c r="BO1270" t="s">
        <v>1194</v>
      </c>
      <c r="BP1270" t="s">
        <v>74</v>
      </c>
      <c r="BQ1270" t="s">
        <v>74</v>
      </c>
      <c r="BR1270" t="s">
        <v>104</v>
      </c>
      <c r="BS1270" t="s">
        <v>18883</v>
      </c>
      <c r="BT1270" t="str">
        <f>HYPERLINK("https%3A%2F%2Fwww.webofscience.com%2Fwos%2Fwoscc%2Ffull-record%2FWOS:000280179100010","View Full Record in Web of Science")</f>
        <v>View Full Record in Web of Science</v>
      </c>
    </row>
    <row r="1271" spans="1:72" x14ac:dyDescent="0.25">
      <c r="A1271" t="s">
        <v>72</v>
      </c>
      <c r="B1271" t="s">
        <v>18882</v>
      </c>
      <c r="C1271" t="s">
        <v>74</v>
      </c>
      <c r="D1271" t="s">
        <v>74</v>
      </c>
      <c r="E1271" t="s">
        <v>74</v>
      </c>
      <c r="F1271" t="s">
        <v>18881</v>
      </c>
      <c r="G1271" t="s">
        <v>74</v>
      </c>
      <c r="H1271" t="s">
        <v>74</v>
      </c>
      <c r="I1271" t="s">
        <v>18880</v>
      </c>
      <c r="J1271" t="s">
        <v>637</v>
      </c>
      <c r="K1271" t="s">
        <v>74</v>
      </c>
      <c r="L1271" t="s">
        <v>74</v>
      </c>
      <c r="M1271" t="s">
        <v>78</v>
      </c>
      <c r="N1271" t="s">
        <v>79</v>
      </c>
      <c r="O1271" t="s">
        <v>74</v>
      </c>
      <c r="P1271" t="s">
        <v>74</v>
      </c>
      <c r="Q1271" t="s">
        <v>74</v>
      </c>
      <c r="R1271" t="s">
        <v>74</v>
      </c>
      <c r="S1271" t="s">
        <v>74</v>
      </c>
      <c r="T1271" t="s">
        <v>18879</v>
      </c>
      <c r="U1271" t="s">
        <v>18878</v>
      </c>
      <c r="V1271" t="s">
        <v>18877</v>
      </c>
      <c r="W1271" t="s">
        <v>18876</v>
      </c>
      <c r="X1271" t="s">
        <v>18875</v>
      </c>
      <c r="Y1271" t="s">
        <v>18874</v>
      </c>
      <c r="Z1271" t="s">
        <v>18206</v>
      </c>
      <c r="AA1271" t="s">
        <v>18873</v>
      </c>
      <c r="AB1271" t="s">
        <v>18872</v>
      </c>
      <c r="AC1271" t="s">
        <v>18871</v>
      </c>
      <c r="AD1271" t="s">
        <v>18870</v>
      </c>
      <c r="AE1271" t="s">
        <v>18869</v>
      </c>
      <c r="AF1271" t="s">
        <v>74</v>
      </c>
      <c r="AG1271">
        <v>88</v>
      </c>
      <c r="AH1271">
        <v>77</v>
      </c>
      <c r="AI1271">
        <v>81</v>
      </c>
      <c r="AJ1271">
        <v>0</v>
      </c>
      <c r="AK1271">
        <v>3</v>
      </c>
      <c r="AL1271" t="s">
        <v>649</v>
      </c>
      <c r="AM1271" t="s">
        <v>486</v>
      </c>
      <c r="AN1271" t="s">
        <v>650</v>
      </c>
      <c r="AO1271" t="s">
        <v>651</v>
      </c>
      <c r="AP1271" t="s">
        <v>652</v>
      </c>
      <c r="AQ1271" t="s">
        <v>74</v>
      </c>
      <c r="AR1271" t="s">
        <v>653</v>
      </c>
      <c r="AS1271" t="s">
        <v>654</v>
      </c>
      <c r="AT1271" t="s">
        <v>3288</v>
      </c>
      <c r="AU1271">
        <v>2010</v>
      </c>
      <c r="AV1271">
        <v>181</v>
      </c>
      <c r="AW1271">
        <v>12</v>
      </c>
      <c r="AX1271" t="s">
        <v>74</v>
      </c>
      <c r="AY1271" t="s">
        <v>74</v>
      </c>
      <c r="AZ1271" t="s">
        <v>74</v>
      </c>
      <c r="BA1271" t="s">
        <v>74</v>
      </c>
      <c r="BB1271">
        <v>1285</v>
      </c>
      <c r="BC1271">
        <v>1293</v>
      </c>
      <c r="BD1271" t="s">
        <v>74</v>
      </c>
      <c r="BE1271" t="s">
        <v>18868</v>
      </c>
      <c r="BF1271" t="str">
        <f>HYPERLINK("http://dx.doi.org/10.1164/rccm.200909-1331PP","http://dx.doi.org/10.1164/rccm.200909-1331PP")</f>
        <v>http://dx.doi.org/10.1164/rccm.200909-1331PP</v>
      </c>
      <c r="BG1271" t="s">
        <v>74</v>
      </c>
      <c r="BH1271" t="s">
        <v>74</v>
      </c>
      <c r="BI1271">
        <v>9</v>
      </c>
      <c r="BJ1271" t="s">
        <v>341</v>
      </c>
      <c r="BK1271" t="s">
        <v>101</v>
      </c>
      <c r="BL1271" t="s">
        <v>342</v>
      </c>
      <c r="BM1271" t="s">
        <v>18867</v>
      </c>
      <c r="BN1271">
        <v>20194816</v>
      </c>
      <c r="BO1271" t="s">
        <v>103</v>
      </c>
      <c r="BP1271" t="s">
        <v>74</v>
      </c>
      <c r="BQ1271" t="s">
        <v>74</v>
      </c>
      <c r="BR1271" t="s">
        <v>104</v>
      </c>
      <c r="BS1271" t="s">
        <v>18866</v>
      </c>
      <c r="BT1271" t="str">
        <f>HYPERLINK("https%3A%2F%2Fwww.webofscience.com%2Fwos%2Fwoscc%2Ffull-record%2FWOS:000279162000005","View Full Record in Web of Science")</f>
        <v>View Full Record in Web of Science</v>
      </c>
    </row>
    <row r="1272" spans="1:72" x14ac:dyDescent="0.25">
      <c r="A1272" t="s">
        <v>72</v>
      </c>
      <c r="B1272" t="s">
        <v>18865</v>
      </c>
      <c r="C1272" t="s">
        <v>74</v>
      </c>
      <c r="D1272" t="s">
        <v>74</v>
      </c>
      <c r="E1272" t="s">
        <v>74</v>
      </c>
      <c r="F1272" t="s">
        <v>18864</v>
      </c>
      <c r="G1272" t="s">
        <v>74</v>
      </c>
      <c r="H1272" t="s">
        <v>74</v>
      </c>
      <c r="I1272" t="s">
        <v>18863</v>
      </c>
      <c r="J1272" t="s">
        <v>1843</v>
      </c>
      <c r="K1272" t="s">
        <v>74</v>
      </c>
      <c r="L1272" t="s">
        <v>74</v>
      </c>
      <c r="M1272" t="s">
        <v>78</v>
      </c>
      <c r="N1272" t="s">
        <v>79</v>
      </c>
      <c r="O1272" t="s">
        <v>74</v>
      </c>
      <c r="P1272" t="s">
        <v>74</v>
      </c>
      <c r="Q1272" t="s">
        <v>74</v>
      </c>
      <c r="R1272" t="s">
        <v>74</v>
      </c>
      <c r="S1272" t="s">
        <v>74</v>
      </c>
      <c r="T1272" t="s">
        <v>74</v>
      </c>
      <c r="U1272" t="s">
        <v>18862</v>
      </c>
      <c r="V1272" t="s">
        <v>18861</v>
      </c>
      <c r="W1272" t="s">
        <v>18860</v>
      </c>
      <c r="X1272" t="s">
        <v>18859</v>
      </c>
      <c r="Y1272" t="s">
        <v>18858</v>
      </c>
      <c r="Z1272" t="s">
        <v>17425</v>
      </c>
      <c r="AA1272" t="s">
        <v>18857</v>
      </c>
      <c r="AB1272" t="s">
        <v>18328</v>
      </c>
      <c r="AC1272" t="s">
        <v>74</v>
      </c>
      <c r="AD1272" t="s">
        <v>74</v>
      </c>
      <c r="AE1272" t="s">
        <v>74</v>
      </c>
      <c r="AF1272" t="s">
        <v>74</v>
      </c>
      <c r="AG1272">
        <v>23</v>
      </c>
      <c r="AH1272">
        <v>74</v>
      </c>
      <c r="AI1272">
        <v>82</v>
      </c>
      <c r="AJ1272">
        <v>0</v>
      </c>
      <c r="AK1272">
        <v>5</v>
      </c>
      <c r="AL1272" t="s">
        <v>1854</v>
      </c>
      <c r="AM1272" t="s">
        <v>201</v>
      </c>
      <c r="AN1272" t="s">
        <v>1855</v>
      </c>
      <c r="AO1272" t="s">
        <v>1856</v>
      </c>
      <c r="AP1272" t="s">
        <v>12106</v>
      </c>
      <c r="AQ1272" t="s">
        <v>74</v>
      </c>
      <c r="AR1272" t="s">
        <v>1857</v>
      </c>
      <c r="AS1272" t="s">
        <v>1858</v>
      </c>
      <c r="AT1272" t="s">
        <v>18856</v>
      </c>
      <c r="AU1272">
        <v>2010</v>
      </c>
      <c r="AV1272">
        <v>11</v>
      </c>
      <c r="AW1272" t="s">
        <v>74</v>
      </c>
      <c r="AX1272" t="s">
        <v>74</v>
      </c>
      <c r="AY1272" t="s">
        <v>74</v>
      </c>
      <c r="AZ1272" t="s">
        <v>74</v>
      </c>
      <c r="BA1272" t="s">
        <v>74</v>
      </c>
      <c r="BB1272" t="s">
        <v>74</v>
      </c>
      <c r="BC1272" t="s">
        <v>74</v>
      </c>
      <c r="BD1272">
        <v>73</v>
      </c>
      <c r="BE1272" t="s">
        <v>18855</v>
      </c>
      <c r="BF1272" t="str">
        <f>HYPERLINK("http://dx.doi.org/10.1186/1465-9921-11-73","http://dx.doi.org/10.1186/1465-9921-11-73")</f>
        <v>http://dx.doi.org/10.1186/1465-9921-11-73</v>
      </c>
      <c r="BG1272" t="s">
        <v>74</v>
      </c>
      <c r="BH1272" t="s">
        <v>74</v>
      </c>
      <c r="BI1272">
        <v>8</v>
      </c>
      <c r="BJ1272" t="s">
        <v>228</v>
      </c>
      <c r="BK1272" t="s">
        <v>101</v>
      </c>
      <c r="BL1272" t="s">
        <v>228</v>
      </c>
      <c r="BM1272" t="s">
        <v>18854</v>
      </c>
      <c r="BN1272">
        <v>20534176</v>
      </c>
      <c r="BO1272" t="s">
        <v>809</v>
      </c>
      <c r="BP1272" t="s">
        <v>74</v>
      </c>
      <c r="BQ1272" t="s">
        <v>74</v>
      </c>
      <c r="BR1272" t="s">
        <v>104</v>
      </c>
      <c r="BS1272" t="s">
        <v>18853</v>
      </c>
      <c r="BT1272" t="str">
        <f>HYPERLINK("https%3A%2F%2Fwww.webofscience.com%2Fwos%2Fwoscc%2Ffull-record%2FWOS:000280286900001","View Full Record in Web of Science")</f>
        <v>View Full Record in Web of Science</v>
      </c>
    </row>
    <row r="1273" spans="1:72" x14ac:dyDescent="0.25">
      <c r="A1273" t="s">
        <v>72</v>
      </c>
      <c r="B1273" t="s">
        <v>18852</v>
      </c>
      <c r="C1273" t="s">
        <v>74</v>
      </c>
      <c r="D1273" t="s">
        <v>74</v>
      </c>
      <c r="E1273" t="s">
        <v>74</v>
      </c>
      <c r="F1273" t="s">
        <v>18851</v>
      </c>
      <c r="G1273" t="s">
        <v>74</v>
      </c>
      <c r="H1273" t="s">
        <v>74</v>
      </c>
      <c r="I1273" t="s">
        <v>18850</v>
      </c>
      <c r="J1273" t="s">
        <v>216</v>
      </c>
      <c r="K1273" t="s">
        <v>74</v>
      </c>
      <c r="L1273" t="s">
        <v>74</v>
      </c>
      <c r="M1273" t="s">
        <v>78</v>
      </c>
      <c r="N1273" t="s">
        <v>299</v>
      </c>
      <c r="O1273" t="s">
        <v>74</v>
      </c>
      <c r="P1273" t="s">
        <v>74</v>
      </c>
      <c r="Q1273" t="s">
        <v>74</v>
      </c>
      <c r="R1273" t="s">
        <v>74</v>
      </c>
      <c r="S1273" t="s">
        <v>74</v>
      </c>
      <c r="T1273" t="s">
        <v>18849</v>
      </c>
      <c r="U1273" t="s">
        <v>18848</v>
      </c>
      <c r="V1273" t="s">
        <v>18847</v>
      </c>
      <c r="W1273" t="s">
        <v>18846</v>
      </c>
      <c r="X1273" t="s">
        <v>18845</v>
      </c>
      <c r="Y1273" t="s">
        <v>18844</v>
      </c>
      <c r="Z1273" t="s">
        <v>3864</v>
      </c>
      <c r="AA1273" t="s">
        <v>144</v>
      </c>
      <c r="AB1273" t="s">
        <v>257</v>
      </c>
      <c r="AC1273" t="s">
        <v>74</v>
      </c>
      <c r="AD1273" t="s">
        <v>74</v>
      </c>
      <c r="AE1273" t="s">
        <v>74</v>
      </c>
      <c r="AF1273" t="s">
        <v>74</v>
      </c>
      <c r="AG1273">
        <v>104</v>
      </c>
      <c r="AH1273">
        <v>39</v>
      </c>
      <c r="AI1273">
        <v>44</v>
      </c>
      <c r="AJ1273">
        <v>0</v>
      </c>
      <c r="AK1273">
        <v>4</v>
      </c>
      <c r="AL1273" t="s">
        <v>219</v>
      </c>
      <c r="AM1273" t="s">
        <v>220</v>
      </c>
      <c r="AN1273" t="s">
        <v>221</v>
      </c>
      <c r="AO1273" t="s">
        <v>222</v>
      </c>
      <c r="AP1273" t="s">
        <v>223</v>
      </c>
      <c r="AQ1273" t="s">
        <v>74</v>
      </c>
      <c r="AR1273" t="s">
        <v>224</v>
      </c>
      <c r="AS1273" t="s">
        <v>225</v>
      </c>
      <c r="AT1273" t="s">
        <v>1060</v>
      </c>
      <c r="AU1273">
        <v>2010</v>
      </c>
      <c r="AV1273">
        <v>35</v>
      </c>
      <c r="AW1273">
        <v>6</v>
      </c>
      <c r="AX1273" t="s">
        <v>74</v>
      </c>
      <c r="AY1273" t="s">
        <v>74</v>
      </c>
      <c r="AZ1273" t="s">
        <v>74</v>
      </c>
      <c r="BA1273" t="s">
        <v>74</v>
      </c>
      <c r="BB1273">
        <v>1396</v>
      </c>
      <c r="BC1273">
        <v>1406</v>
      </c>
      <c r="BD1273" t="s">
        <v>74</v>
      </c>
      <c r="BE1273" t="s">
        <v>18843</v>
      </c>
      <c r="BF1273" t="str">
        <f>HYPERLINK("http://dx.doi.org/10.1183/09031936.00175909","http://dx.doi.org/10.1183/09031936.00175909")</f>
        <v>http://dx.doi.org/10.1183/09031936.00175909</v>
      </c>
      <c r="BG1273" t="s">
        <v>74</v>
      </c>
      <c r="BH1273" t="s">
        <v>74</v>
      </c>
      <c r="BI1273">
        <v>11</v>
      </c>
      <c r="BJ1273" t="s">
        <v>228</v>
      </c>
      <c r="BK1273" t="s">
        <v>101</v>
      </c>
      <c r="BL1273" t="s">
        <v>228</v>
      </c>
      <c r="BM1273" t="s">
        <v>18777</v>
      </c>
      <c r="BN1273">
        <v>20513911</v>
      </c>
      <c r="BO1273" t="s">
        <v>1194</v>
      </c>
      <c r="BP1273" t="s">
        <v>74</v>
      </c>
      <c r="BQ1273" t="s">
        <v>74</v>
      </c>
      <c r="BR1273" t="s">
        <v>104</v>
      </c>
      <c r="BS1273" t="s">
        <v>18842</v>
      </c>
      <c r="BT1273" t="str">
        <f>HYPERLINK("https%3A%2F%2Fwww.webofscience.com%2Fwos%2Fwoscc%2Ffull-record%2FWOS:000278194000029","View Full Record in Web of Science")</f>
        <v>View Full Record in Web of Science</v>
      </c>
    </row>
    <row r="1274" spans="1:72" x14ac:dyDescent="0.25">
      <c r="A1274" t="s">
        <v>72</v>
      </c>
      <c r="B1274" t="s">
        <v>18841</v>
      </c>
      <c r="C1274" t="s">
        <v>74</v>
      </c>
      <c r="D1274" t="s">
        <v>74</v>
      </c>
      <c r="E1274" t="s">
        <v>74</v>
      </c>
      <c r="F1274" t="s">
        <v>18840</v>
      </c>
      <c r="G1274" t="s">
        <v>74</v>
      </c>
      <c r="H1274" t="s">
        <v>74</v>
      </c>
      <c r="I1274" t="s">
        <v>18839</v>
      </c>
      <c r="J1274" t="s">
        <v>324</v>
      </c>
      <c r="K1274" t="s">
        <v>74</v>
      </c>
      <c r="L1274" t="s">
        <v>74</v>
      </c>
      <c r="M1274" t="s">
        <v>78</v>
      </c>
      <c r="N1274" t="s">
        <v>79</v>
      </c>
      <c r="O1274" t="s">
        <v>74</v>
      </c>
      <c r="P1274" t="s">
        <v>74</v>
      </c>
      <c r="Q1274" t="s">
        <v>74</v>
      </c>
      <c r="R1274" t="s">
        <v>74</v>
      </c>
      <c r="S1274" t="s">
        <v>74</v>
      </c>
      <c r="T1274" t="s">
        <v>74</v>
      </c>
      <c r="U1274" t="s">
        <v>18838</v>
      </c>
      <c r="V1274" t="s">
        <v>18837</v>
      </c>
      <c r="W1274" t="s">
        <v>18836</v>
      </c>
      <c r="X1274" t="s">
        <v>18835</v>
      </c>
      <c r="Y1274" t="s">
        <v>18834</v>
      </c>
      <c r="Z1274" t="s">
        <v>17927</v>
      </c>
      <c r="AA1274" t="s">
        <v>18833</v>
      </c>
      <c r="AB1274" t="s">
        <v>18832</v>
      </c>
      <c r="AC1274" t="s">
        <v>74</v>
      </c>
      <c r="AD1274" t="s">
        <v>74</v>
      </c>
      <c r="AE1274" t="s">
        <v>74</v>
      </c>
      <c r="AF1274" t="s">
        <v>74</v>
      </c>
      <c r="AG1274">
        <v>26</v>
      </c>
      <c r="AH1274">
        <v>39</v>
      </c>
      <c r="AI1274">
        <v>48</v>
      </c>
      <c r="AJ1274">
        <v>0</v>
      </c>
      <c r="AK1274">
        <v>3</v>
      </c>
      <c r="AL1274" t="s">
        <v>7467</v>
      </c>
      <c r="AM1274" t="s">
        <v>93</v>
      </c>
      <c r="AN1274" t="s">
        <v>7468</v>
      </c>
      <c r="AO1274" t="s">
        <v>337</v>
      </c>
      <c r="AP1274" t="s">
        <v>74</v>
      </c>
      <c r="AQ1274" t="s">
        <v>74</v>
      </c>
      <c r="AR1274" t="s">
        <v>324</v>
      </c>
      <c r="AS1274" t="s">
        <v>339</v>
      </c>
      <c r="AT1274" t="s">
        <v>1060</v>
      </c>
      <c r="AU1274">
        <v>2010</v>
      </c>
      <c r="AV1274">
        <v>137</v>
      </c>
      <c r="AW1274">
        <v>6</v>
      </c>
      <c r="AX1274" t="s">
        <v>74</v>
      </c>
      <c r="AY1274" t="s">
        <v>74</v>
      </c>
      <c r="AZ1274" t="s">
        <v>74</v>
      </c>
      <c r="BA1274" t="s">
        <v>74</v>
      </c>
      <c r="BB1274">
        <v>1297</v>
      </c>
      <c r="BC1274">
        <v>1303</v>
      </c>
      <c r="BD1274" t="s">
        <v>74</v>
      </c>
      <c r="BE1274" t="s">
        <v>18831</v>
      </c>
      <c r="BF1274" t="str">
        <f>HYPERLINK("http://dx.doi.org/10.1378/chest.09-2060","http://dx.doi.org/10.1378/chest.09-2060")</f>
        <v>http://dx.doi.org/10.1378/chest.09-2060</v>
      </c>
      <c r="BG1274" t="s">
        <v>74</v>
      </c>
      <c r="BH1274" t="s">
        <v>74</v>
      </c>
      <c r="BI1274">
        <v>7</v>
      </c>
      <c r="BJ1274" t="s">
        <v>341</v>
      </c>
      <c r="BK1274" t="s">
        <v>101</v>
      </c>
      <c r="BL1274" t="s">
        <v>342</v>
      </c>
      <c r="BM1274" t="s">
        <v>18830</v>
      </c>
      <c r="BN1274">
        <v>20118205</v>
      </c>
      <c r="BO1274" t="s">
        <v>74</v>
      </c>
      <c r="BP1274" t="s">
        <v>74</v>
      </c>
      <c r="BQ1274" t="s">
        <v>74</v>
      </c>
      <c r="BR1274" t="s">
        <v>104</v>
      </c>
      <c r="BS1274" t="s">
        <v>18829</v>
      </c>
      <c r="BT1274" t="str">
        <f>HYPERLINK("https%3A%2F%2Fwww.webofscience.com%2Fwos%2Fwoscc%2Ffull-record%2FWOS:000278561400010","View Full Record in Web of Science")</f>
        <v>View Full Record in Web of Science</v>
      </c>
    </row>
    <row r="1275" spans="1:72" x14ac:dyDescent="0.25">
      <c r="A1275" t="s">
        <v>72</v>
      </c>
      <c r="B1275" t="s">
        <v>18828</v>
      </c>
      <c r="C1275" t="s">
        <v>74</v>
      </c>
      <c r="D1275" t="s">
        <v>74</v>
      </c>
      <c r="E1275" t="s">
        <v>74</v>
      </c>
      <c r="F1275" t="s">
        <v>18827</v>
      </c>
      <c r="G1275" t="s">
        <v>74</v>
      </c>
      <c r="H1275" t="s">
        <v>74</v>
      </c>
      <c r="I1275" t="s">
        <v>18826</v>
      </c>
      <c r="J1275" t="s">
        <v>1529</v>
      </c>
      <c r="K1275" t="s">
        <v>74</v>
      </c>
      <c r="L1275" t="s">
        <v>74</v>
      </c>
      <c r="M1275" t="s">
        <v>1349</v>
      </c>
      <c r="N1275" t="s">
        <v>79</v>
      </c>
      <c r="O1275" t="s">
        <v>74</v>
      </c>
      <c r="P1275" t="s">
        <v>74</v>
      </c>
      <c r="Q1275" t="s">
        <v>74</v>
      </c>
      <c r="R1275" t="s">
        <v>74</v>
      </c>
      <c r="S1275" t="s">
        <v>74</v>
      </c>
      <c r="T1275" t="s">
        <v>74</v>
      </c>
      <c r="U1275" t="s">
        <v>18825</v>
      </c>
      <c r="V1275" t="s">
        <v>18824</v>
      </c>
      <c r="W1275" t="s">
        <v>18823</v>
      </c>
      <c r="X1275" t="s">
        <v>18822</v>
      </c>
      <c r="Y1275" t="s">
        <v>18821</v>
      </c>
      <c r="Z1275" t="s">
        <v>18707</v>
      </c>
      <c r="AA1275" t="s">
        <v>18820</v>
      </c>
      <c r="AB1275" t="s">
        <v>18819</v>
      </c>
      <c r="AC1275" t="s">
        <v>74</v>
      </c>
      <c r="AD1275" t="s">
        <v>74</v>
      </c>
      <c r="AE1275" t="s">
        <v>74</v>
      </c>
      <c r="AF1275" t="s">
        <v>74</v>
      </c>
      <c r="AG1275">
        <v>10</v>
      </c>
      <c r="AH1275">
        <v>0</v>
      </c>
      <c r="AI1275">
        <v>1</v>
      </c>
      <c r="AJ1275">
        <v>0</v>
      </c>
      <c r="AK1275">
        <v>5</v>
      </c>
      <c r="AL1275" t="s">
        <v>1358</v>
      </c>
      <c r="AM1275" t="s">
        <v>1359</v>
      </c>
      <c r="AN1275" t="s">
        <v>1360</v>
      </c>
      <c r="AO1275" t="s">
        <v>1533</v>
      </c>
      <c r="AP1275" t="s">
        <v>74</v>
      </c>
      <c r="AQ1275" t="s">
        <v>74</v>
      </c>
      <c r="AR1275" t="s">
        <v>1535</v>
      </c>
      <c r="AS1275" t="s">
        <v>1536</v>
      </c>
      <c r="AT1275" t="s">
        <v>1060</v>
      </c>
      <c r="AU1275">
        <v>2010</v>
      </c>
      <c r="AV1275">
        <v>39</v>
      </c>
      <c r="AW1275" t="s">
        <v>74</v>
      </c>
      <c r="AX1275" t="s">
        <v>74</v>
      </c>
      <c r="AY1275">
        <v>1</v>
      </c>
      <c r="AZ1275" t="s">
        <v>74</v>
      </c>
      <c r="BA1275" t="s">
        <v>74</v>
      </c>
      <c r="BB1275" t="s">
        <v>18818</v>
      </c>
      <c r="BC1275" t="s">
        <v>18817</v>
      </c>
      <c r="BD1275" t="s">
        <v>74</v>
      </c>
      <c r="BE1275" t="s">
        <v>18816</v>
      </c>
      <c r="BF1275" t="str">
        <f>HYPERLINK("http://dx.doi.org/10.1016/S0755-4982(10)70007-5","http://dx.doi.org/10.1016/S0755-4982(10)70007-5")</f>
        <v>http://dx.doi.org/10.1016/S0755-4982(10)70007-5</v>
      </c>
      <c r="BG1275" t="s">
        <v>74</v>
      </c>
      <c r="BH1275" t="s">
        <v>74</v>
      </c>
      <c r="BI1275">
        <v>5</v>
      </c>
      <c r="BJ1275" t="s">
        <v>1152</v>
      </c>
      <c r="BK1275" t="s">
        <v>101</v>
      </c>
      <c r="BL1275" t="s">
        <v>1153</v>
      </c>
      <c r="BM1275" t="s">
        <v>18806</v>
      </c>
      <c r="BN1275">
        <v>20732618</v>
      </c>
      <c r="BO1275" t="s">
        <v>74</v>
      </c>
      <c r="BP1275" t="s">
        <v>74</v>
      </c>
      <c r="BQ1275" t="s">
        <v>74</v>
      </c>
      <c r="BR1275" t="s">
        <v>104</v>
      </c>
      <c r="BS1275" t="s">
        <v>18815</v>
      </c>
      <c r="BT1275" t="str">
        <f>HYPERLINK("https%3A%2F%2Fwww.webofscience.com%2Fwos%2Fwoscc%2Ffull-record%2FWOS:000280132100007","View Full Record in Web of Science")</f>
        <v>View Full Record in Web of Science</v>
      </c>
    </row>
    <row r="1276" spans="1:72" x14ac:dyDescent="0.25">
      <c r="A1276" t="s">
        <v>72</v>
      </c>
      <c r="B1276" t="s">
        <v>1420</v>
      </c>
      <c r="C1276" t="s">
        <v>74</v>
      </c>
      <c r="D1276" t="s">
        <v>74</v>
      </c>
      <c r="E1276" t="s">
        <v>74</v>
      </c>
      <c r="F1276" t="s">
        <v>1421</v>
      </c>
      <c r="G1276" t="s">
        <v>74</v>
      </c>
      <c r="H1276" t="s">
        <v>74</v>
      </c>
      <c r="I1276" t="s">
        <v>18814</v>
      </c>
      <c r="J1276" t="s">
        <v>1529</v>
      </c>
      <c r="K1276" t="s">
        <v>74</v>
      </c>
      <c r="L1276" t="s">
        <v>74</v>
      </c>
      <c r="M1276" t="s">
        <v>1349</v>
      </c>
      <c r="N1276" t="s">
        <v>79</v>
      </c>
      <c r="O1276" t="s">
        <v>74</v>
      </c>
      <c r="P1276" t="s">
        <v>74</v>
      </c>
      <c r="Q1276" t="s">
        <v>74</v>
      </c>
      <c r="R1276" t="s">
        <v>74</v>
      </c>
      <c r="S1276" t="s">
        <v>74</v>
      </c>
      <c r="T1276" t="s">
        <v>74</v>
      </c>
      <c r="U1276" t="s">
        <v>967</v>
      </c>
      <c r="V1276" t="s">
        <v>18813</v>
      </c>
      <c r="W1276" t="s">
        <v>18812</v>
      </c>
      <c r="X1276" t="s">
        <v>18811</v>
      </c>
      <c r="Y1276" t="s">
        <v>18810</v>
      </c>
      <c r="Z1276" t="s">
        <v>10573</v>
      </c>
      <c r="AA1276" t="s">
        <v>144</v>
      </c>
      <c r="AB1276" t="s">
        <v>257</v>
      </c>
      <c r="AC1276" t="s">
        <v>74</v>
      </c>
      <c r="AD1276" t="s">
        <v>74</v>
      </c>
      <c r="AE1276" t="s">
        <v>74</v>
      </c>
      <c r="AF1276" t="s">
        <v>74</v>
      </c>
      <c r="AG1276">
        <v>19</v>
      </c>
      <c r="AH1276">
        <v>6</v>
      </c>
      <c r="AI1276">
        <v>6</v>
      </c>
      <c r="AJ1276">
        <v>0</v>
      </c>
      <c r="AK1276">
        <v>0</v>
      </c>
      <c r="AL1276" t="s">
        <v>1358</v>
      </c>
      <c r="AM1276" t="s">
        <v>1359</v>
      </c>
      <c r="AN1276" t="s">
        <v>1360</v>
      </c>
      <c r="AO1276" t="s">
        <v>1533</v>
      </c>
      <c r="AP1276" t="s">
        <v>1534</v>
      </c>
      <c r="AQ1276" t="s">
        <v>74</v>
      </c>
      <c r="AR1276" t="s">
        <v>1535</v>
      </c>
      <c r="AS1276" t="s">
        <v>1536</v>
      </c>
      <c r="AT1276" t="s">
        <v>1060</v>
      </c>
      <c r="AU1276">
        <v>2010</v>
      </c>
      <c r="AV1276">
        <v>39</v>
      </c>
      <c r="AW1276" t="s">
        <v>74</v>
      </c>
      <c r="AX1276" t="s">
        <v>74</v>
      </c>
      <c r="AY1276">
        <v>1</v>
      </c>
      <c r="AZ1276" t="s">
        <v>74</v>
      </c>
      <c r="BA1276" t="s">
        <v>74</v>
      </c>
      <c r="BB1276" t="s">
        <v>18809</v>
      </c>
      <c r="BC1276" t="s">
        <v>18808</v>
      </c>
      <c r="BD1276" t="s">
        <v>74</v>
      </c>
      <c r="BE1276" t="s">
        <v>18807</v>
      </c>
      <c r="BF1276" t="str">
        <f>HYPERLINK("http://dx.doi.org/10.1016/S0755-4982(10)70006-3","http://dx.doi.org/10.1016/S0755-4982(10)70006-3")</f>
        <v>http://dx.doi.org/10.1016/S0755-4982(10)70006-3</v>
      </c>
      <c r="BG1276" t="s">
        <v>74</v>
      </c>
      <c r="BH1276" t="s">
        <v>74</v>
      </c>
      <c r="BI1276">
        <v>5</v>
      </c>
      <c r="BJ1276" t="s">
        <v>1152</v>
      </c>
      <c r="BK1276" t="s">
        <v>101</v>
      </c>
      <c r="BL1276" t="s">
        <v>1153</v>
      </c>
      <c r="BM1276" t="s">
        <v>18806</v>
      </c>
      <c r="BN1276">
        <v>20732617</v>
      </c>
      <c r="BO1276" t="s">
        <v>74</v>
      </c>
      <c r="BP1276" t="s">
        <v>74</v>
      </c>
      <c r="BQ1276" t="s">
        <v>74</v>
      </c>
      <c r="BR1276" t="s">
        <v>104</v>
      </c>
      <c r="BS1276" t="s">
        <v>18805</v>
      </c>
      <c r="BT1276" t="str">
        <f>HYPERLINK("https%3A%2F%2Fwww.webofscience.com%2Fwos%2Fwoscc%2Ffull-record%2FWOS:000280132100006","View Full Record in Web of Science")</f>
        <v>View Full Record in Web of Science</v>
      </c>
    </row>
    <row r="1277" spans="1:72" x14ac:dyDescent="0.25">
      <c r="A1277" t="s">
        <v>72</v>
      </c>
      <c r="B1277" t="s">
        <v>18804</v>
      </c>
      <c r="C1277" t="s">
        <v>74</v>
      </c>
      <c r="D1277" t="s">
        <v>74</v>
      </c>
      <c r="E1277" t="s">
        <v>74</v>
      </c>
      <c r="F1277" t="s">
        <v>18803</v>
      </c>
      <c r="G1277" t="s">
        <v>74</v>
      </c>
      <c r="H1277" t="s">
        <v>74</v>
      </c>
      <c r="I1277" t="s">
        <v>18802</v>
      </c>
      <c r="J1277" t="s">
        <v>216</v>
      </c>
      <c r="K1277" t="s">
        <v>74</v>
      </c>
      <c r="L1277" t="s">
        <v>74</v>
      </c>
      <c r="M1277" t="s">
        <v>78</v>
      </c>
      <c r="N1277" t="s">
        <v>79</v>
      </c>
      <c r="O1277" t="s">
        <v>74</v>
      </c>
      <c r="P1277" t="s">
        <v>74</v>
      </c>
      <c r="Q1277" t="s">
        <v>74</v>
      </c>
      <c r="R1277" t="s">
        <v>74</v>
      </c>
      <c r="S1277" t="s">
        <v>74</v>
      </c>
      <c r="T1277" t="s">
        <v>18801</v>
      </c>
      <c r="U1277" t="s">
        <v>18800</v>
      </c>
      <c r="V1277" t="s">
        <v>18799</v>
      </c>
      <c r="W1277" t="s">
        <v>18798</v>
      </c>
      <c r="X1277" t="s">
        <v>18797</v>
      </c>
      <c r="Y1277" t="s">
        <v>18796</v>
      </c>
      <c r="Z1277" t="s">
        <v>10573</v>
      </c>
      <c r="AA1277" t="s">
        <v>18795</v>
      </c>
      <c r="AB1277" t="s">
        <v>18794</v>
      </c>
      <c r="AC1277" t="s">
        <v>18793</v>
      </c>
      <c r="AD1277" t="s">
        <v>18792</v>
      </c>
      <c r="AE1277" t="s">
        <v>18791</v>
      </c>
      <c r="AF1277" t="s">
        <v>74</v>
      </c>
      <c r="AG1277">
        <v>50</v>
      </c>
      <c r="AH1277">
        <v>98</v>
      </c>
      <c r="AI1277">
        <v>99</v>
      </c>
      <c r="AJ1277">
        <v>0</v>
      </c>
      <c r="AK1277">
        <v>3</v>
      </c>
      <c r="AL1277" t="s">
        <v>219</v>
      </c>
      <c r="AM1277" t="s">
        <v>220</v>
      </c>
      <c r="AN1277" t="s">
        <v>221</v>
      </c>
      <c r="AO1277" t="s">
        <v>222</v>
      </c>
      <c r="AP1277" t="s">
        <v>223</v>
      </c>
      <c r="AQ1277" t="s">
        <v>74</v>
      </c>
      <c r="AR1277" t="s">
        <v>224</v>
      </c>
      <c r="AS1277" t="s">
        <v>225</v>
      </c>
      <c r="AT1277" t="s">
        <v>1060</v>
      </c>
      <c r="AU1277">
        <v>2010</v>
      </c>
      <c r="AV1277">
        <v>35</v>
      </c>
      <c r="AW1277">
        <v>6</v>
      </c>
      <c r="AX1277" t="s">
        <v>74</v>
      </c>
      <c r="AY1277" t="s">
        <v>74</v>
      </c>
      <c r="AZ1277" t="s">
        <v>74</v>
      </c>
      <c r="BA1277" t="s">
        <v>74</v>
      </c>
      <c r="BB1277">
        <v>1294</v>
      </c>
      <c r="BC1277">
        <v>1302</v>
      </c>
      <c r="BD1277" t="s">
        <v>74</v>
      </c>
      <c r="BE1277" t="s">
        <v>18790</v>
      </c>
      <c r="BF1277" t="str">
        <f>HYPERLINK("http://dx.doi.org/10.1183/09031936.00113009","http://dx.doi.org/10.1183/09031936.00113009")</f>
        <v>http://dx.doi.org/10.1183/09031936.00113009</v>
      </c>
      <c r="BG1277" t="s">
        <v>74</v>
      </c>
      <c r="BH1277" t="s">
        <v>74</v>
      </c>
      <c r="BI1277">
        <v>9</v>
      </c>
      <c r="BJ1277" t="s">
        <v>228</v>
      </c>
      <c r="BK1277" t="s">
        <v>101</v>
      </c>
      <c r="BL1277" t="s">
        <v>228</v>
      </c>
      <c r="BM1277" t="s">
        <v>18777</v>
      </c>
      <c r="BN1277">
        <v>19897552</v>
      </c>
      <c r="BO1277" t="s">
        <v>74</v>
      </c>
      <c r="BP1277" t="s">
        <v>74</v>
      </c>
      <c r="BQ1277" t="s">
        <v>74</v>
      </c>
      <c r="BR1277" t="s">
        <v>104</v>
      </c>
      <c r="BS1277" t="s">
        <v>18789</v>
      </c>
      <c r="BT1277" t="str">
        <f>HYPERLINK("https%3A%2F%2Fwww.webofscience.com%2Fwos%2Fwoscc%2Ffull-record%2FWOS:000278194000017","View Full Record in Web of Science")</f>
        <v>View Full Record in Web of Science</v>
      </c>
    </row>
    <row r="1278" spans="1:72" x14ac:dyDescent="0.25">
      <c r="A1278" t="s">
        <v>72</v>
      </c>
      <c r="B1278" t="s">
        <v>18788</v>
      </c>
      <c r="C1278" t="s">
        <v>74</v>
      </c>
      <c r="D1278" t="s">
        <v>74</v>
      </c>
      <c r="E1278" t="s">
        <v>74</v>
      </c>
      <c r="F1278" t="s">
        <v>18787</v>
      </c>
      <c r="G1278" t="s">
        <v>74</v>
      </c>
      <c r="H1278" t="s">
        <v>74</v>
      </c>
      <c r="I1278" t="s">
        <v>18786</v>
      </c>
      <c r="J1278" t="s">
        <v>216</v>
      </c>
      <c r="K1278" t="s">
        <v>74</v>
      </c>
      <c r="L1278" t="s">
        <v>74</v>
      </c>
      <c r="M1278" t="s">
        <v>78</v>
      </c>
      <c r="N1278" t="s">
        <v>79</v>
      </c>
      <c r="O1278" t="s">
        <v>74</v>
      </c>
      <c r="P1278" t="s">
        <v>74</v>
      </c>
      <c r="Q1278" t="s">
        <v>74</v>
      </c>
      <c r="R1278" t="s">
        <v>74</v>
      </c>
      <c r="S1278" t="s">
        <v>74</v>
      </c>
      <c r="T1278" t="s">
        <v>18785</v>
      </c>
      <c r="U1278" t="s">
        <v>18784</v>
      </c>
      <c r="V1278" t="s">
        <v>18783</v>
      </c>
      <c r="W1278" t="s">
        <v>18782</v>
      </c>
      <c r="X1278" t="s">
        <v>14590</v>
      </c>
      <c r="Y1278" t="s">
        <v>18781</v>
      </c>
      <c r="Z1278" t="s">
        <v>16133</v>
      </c>
      <c r="AA1278" t="s">
        <v>18780</v>
      </c>
      <c r="AB1278" t="s">
        <v>18779</v>
      </c>
      <c r="AC1278" t="s">
        <v>74</v>
      </c>
      <c r="AD1278" t="s">
        <v>74</v>
      </c>
      <c r="AE1278" t="s">
        <v>74</v>
      </c>
      <c r="AF1278" t="s">
        <v>74</v>
      </c>
      <c r="AG1278">
        <v>44</v>
      </c>
      <c r="AH1278">
        <v>192</v>
      </c>
      <c r="AI1278">
        <v>204</v>
      </c>
      <c r="AJ1278">
        <v>0</v>
      </c>
      <c r="AK1278">
        <v>6</v>
      </c>
      <c r="AL1278" t="s">
        <v>219</v>
      </c>
      <c r="AM1278" t="s">
        <v>220</v>
      </c>
      <c r="AN1278" t="s">
        <v>221</v>
      </c>
      <c r="AO1278" t="s">
        <v>222</v>
      </c>
      <c r="AP1278" t="s">
        <v>223</v>
      </c>
      <c r="AQ1278" t="s">
        <v>74</v>
      </c>
      <c r="AR1278" t="s">
        <v>224</v>
      </c>
      <c r="AS1278" t="s">
        <v>225</v>
      </c>
      <c r="AT1278" t="s">
        <v>1060</v>
      </c>
      <c r="AU1278">
        <v>2010</v>
      </c>
      <c r="AV1278">
        <v>35</v>
      </c>
      <c r="AW1278">
        <v>6</v>
      </c>
      <c r="AX1278" t="s">
        <v>74</v>
      </c>
      <c r="AY1278" t="s">
        <v>74</v>
      </c>
      <c r="AZ1278" t="s">
        <v>74</v>
      </c>
      <c r="BA1278" t="s">
        <v>74</v>
      </c>
      <c r="BB1278">
        <v>1286</v>
      </c>
      <c r="BC1278">
        <v>1293</v>
      </c>
      <c r="BD1278" t="s">
        <v>74</v>
      </c>
      <c r="BE1278" t="s">
        <v>18778</v>
      </c>
      <c r="BF1278" t="str">
        <f>HYPERLINK("http://dx.doi.org/10.1183/09031936.00070209","http://dx.doi.org/10.1183/09031936.00070209")</f>
        <v>http://dx.doi.org/10.1183/09031936.00070209</v>
      </c>
      <c r="BG1278" t="s">
        <v>74</v>
      </c>
      <c r="BH1278" t="s">
        <v>74</v>
      </c>
      <c r="BI1278">
        <v>8</v>
      </c>
      <c r="BJ1278" t="s">
        <v>228</v>
      </c>
      <c r="BK1278" t="s">
        <v>101</v>
      </c>
      <c r="BL1278" t="s">
        <v>228</v>
      </c>
      <c r="BM1278" t="s">
        <v>18777</v>
      </c>
      <c r="BN1278">
        <v>19897557</v>
      </c>
      <c r="BO1278" t="s">
        <v>1194</v>
      </c>
      <c r="BP1278" t="s">
        <v>74</v>
      </c>
      <c r="BQ1278" t="s">
        <v>74</v>
      </c>
      <c r="BR1278" t="s">
        <v>104</v>
      </c>
      <c r="BS1278" t="s">
        <v>18776</v>
      </c>
      <c r="BT1278" t="str">
        <f>HYPERLINK("https%3A%2F%2Fwww.webofscience.com%2Fwos%2Fwoscc%2Ffull-record%2FWOS:000278194000016","View Full Record in Web of Science")</f>
        <v>View Full Record in Web of Science</v>
      </c>
    </row>
    <row r="1279" spans="1:72" x14ac:dyDescent="0.25">
      <c r="A1279" t="s">
        <v>72</v>
      </c>
      <c r="B1279" t="s">
        <v>18775</v>
      </c>
      <c r="C1279" t="s">
        <v>74</v>
      </c>
      <c r="D1279" t="s">
        <v>74</v>
      </c>
      <c r="E1279" t="s">
        <v>74</v>
      </c>
      <c r="F1279" t="s">
        <v>18774</v>
      </c>
      <c r="G1279" t="s">
        <v>74</v>
      </c>
      <c r="H1279" t="s">
        <v>74</v>
      </c>
      <c r="I1279" t="s">
        <v>18773</v>
      </c>
      <c r="J1279" t="s">
        <v>216</v>
      </c>
      <c r="K1279" t="s">
        <v>74</v>
      </c>
      <c r="L1279" t="s">
        <v>74</v>
      </c>
      <c r="M1279" t="s">
        <v>78</v>
      </c>
      <c r="N1279" t="s">
        <v>140</v>
      </c>
      <c r="O1279" t="s">
        <v>74</v>
      </c>
      <c r="P1279" t="s">
        <v>74</v>
      </c>
      <c r="Q1279" t="s">
        <v>74</v>
      </c>
      <c r="R1279" t="s">
        <v>74</v>
      </c>
      <c r="S1279" t="s">
        <v>74</v>
      </c>
      <c r="T1279" t="s">
        <v>74</v>
      </c>
      <c r="U1279" t="s">
        <v>18772</v>
      </c>
      <c r="V1279" t="s">
        <v>74</v>
      </c>
      <c r="W1279" t="s">
        <v>18771</v>
      </c>
      <c r="X1279" t="s">
        <v>18770</v>
      </c>
      <c r="Y1279" t="s">
        <v>18769</v>
      </c>
      <c r="Z1279" t="s">
        <v>18768</v>
      </c>
      <c r="AA1279" t="s">
        <v>18767</v>
      </c>
      <c r="AB1279" t="s">
        <v>18766</v>
      </c>
      <c r="AC1279" t="s">
        <v>74</v>
      </c>
      <c r="AD1279" t="s">
        <v>74</v>
      </c>
      <c r="AE1279" t="s">
        <v>74</v>
      </c>
      <c r="AF1279" t="s">
        <v>74</v>
      </c>
      <c r="AG1279">
        <v>32</v>
      </c>
      <c r="AH1279">
        <v>1</v>
      </c>
      <c r="AI1279">
        <v>1</v>
      </c>
      <c r="AJ1279">
        <v>0</v>
      </c>
      <c r="AK1279">
        <v>0</v>
      </c>
      <c r="AL1279" t="s">
        <v>219</v>
      </c>
      <c r="AM1279" t="s">
        <v>220</v>
      </c>
      <c r="AN1279" t="s">
        <v>221</v>
      </c>
      <c r="AO1279" t="s">
        <v>222</v>
      </c>
      <c r="AP1279" t="s">
        <v>223</v>
      </c>
      <c r="AQ1279" t="s">
        <v>74</v>
      </c>
      <c r="AR1279" t="s">
        <v>224</v>
      </c>
      <c r="AS1279" t="s">
        <v>225</v>
      </c>
      <c r="AT1279" t="s">
        <v>2097</v>
      </c>
      <c r="AU1279">
        <v>2010</v>
      </c>
      <c r="AV1279">
        <v>35</v>
      </c>
      <c r="AW1279">
        <v>5</v>
      </c>
      <c r="AX1279" t="s">
        <v>74</v>
      </c>
      <c r="AY1279" t="s">
        <v>74</v>
      </c>
      <c r="AZ1279" t="s">
        <v>74</v>
      </c>
      <c r="BA1279" t="s">
        <v>74</v>
      </c>
      <c r="BB1279">
        <v>945</v>
      </c>
      <c r="BC1279">
        <v>948</v>
      </c>
      <c r="BD1279" t="s">
        <v>74</v>
      </c>
      <c r="BE1279" t="s">
        <v>18765</v>
      </c>
      <c r="BF1279" t="str">
        <f>HYPERLINK("http://dx.doi.org/10.1183/09031936.00035310","http://dx.doi.org/10.1183/09031936.00035310")</f>
        <v>http://dx.doi.org/10.1183/09031936.00035310</v>
      </c>
      <c r="BG1279" t="s">
        <v>74</v>
      </c>
      <c r="BH1279" t="s">
        <v>74</v>
      </c>
      <c r="BI1279">
        <v>4</v>
      </c>
      <c r="BJ1279" t="s">
        <v>228</v>
      </c>
      <c r="BK1279" t="s">
        <v>101</v>
      </c>
      <c r="BL1279" t="s">
        <v>228</v>
      </c>
      <c r="BM1279" t="s">
        <v>18764</v>
      </c>
      <c r="BN1279">
        <v>20436168</v>
      </c>
      <c r="BO1279" t="s">
        <v>74</v>
      </c>
      <c r="BP1279" t="s">
        <v>74</v>
      </c>
      <c r="BQ1279" t="s">
        <v>74</v>
      </c>
      <c r="BR1279" t="s">
        <v>104</v>
      </c>
      <c r="BS1279" t="s">
        <v>18763</v>
      </c>
      <c r="BT1279" t="str">
        <f>HYPERLINK("https%3A%2F%2Fwww.webofscience.com%2Fwos%2Fwoscc%2Ffull-record%2FWOS:000277334800001","View Full Record in Web of Science")</f>
        <v>View Full Record in Web of Science</v>
      </c>
    </row>
    <row r="1280" spans="1:72" x14ac:dyDescent="0.25">
      <c r="A1280" t="s">
        <v>72</v>
      </c>
      <c r="B1280" t="s">
        <v>18762</v>
      </c>
      <c r="C1280" t="s">
        <v>74</v>
      </c>
      <c r="D1280" t="s">
        <v>74</v>
      </c>
      <c r="E1280" t="s">
        <v>74</v>
      </c>
      <c r="F1280" t="s">
        <v>18761</v>
      </c>
      <c r="G1280" t="s">
        <v>74</v>
      </c>
      <c r="H1280" t="s">
        <v>18370</v>
      </c>
      <c r="I1280" t="s">
        <v>18760</v>
      </c>
      <c r="J1280" t="s">
        <v>2355</v>
      </c>
      <c r="K1280" t="s">
        <v>74</v>
      </c>
      <c r="L1280" t="s">
        <v>74</v>
      </c>
      <c r="M1280" t="s">
        <v>78</v>
      </c>
      <c r="N1280" t="s">
        <v>79</v>
      </c>
      <c r="O1280" t="s">
        <v>74</v>
      </c>
      <c r="P1280" t="s">
        <v>74</v>
      </c>
      <c r="Q1280" t="s">
        <v>74</v>
      </c>
      <c r="R1280" t="s">
        <v>74</v>
      </c>
      <c r="S1280" t="s">
        <v>74</v>
      </c>
      <c r="T1280" t="s">
        <v>18759</v>
      </c>
      <c r="U1280" t="s">
        <v>17122</v>
      </c>
      <c r="V1280" t="s">
        <v>18758</v>
      </c>
      <c r="W1280" t="s">
        <v>18757</v>
      </c>
      <c r="X1280" t="s">
        <v>18756</v>
      </c>
      <c r="Y1280" t="s">
        <v>18755</v>
      </c>
      <c r="Z1280" t="s">
        <v>15594</v>
      </c>
      <c r="AA1280" t="s">
        <v>18754</v>
      </c>
      <c r="AB1280" t="s">
        <v>18753</v>
      </c>
      <c r="AC1280" t="s">
        <v>18556</v>
      </c>
      <c r="AD1280" t="s">
        <v>18556</v>
      </c>
      <c r="AE1280" t="s">
        <v>18752</v>
      </c>
      <c r="AF1280" t="s">
        <v>74</v>
      </c>
      <c r="AG1280">
        <v>13</v>
      </c>
      <c r="AH1280">
        <v>52</v>
      </c>
      <c r="AI1280">
        <v>54</v>
      </c>
      <c r="AJ1280">
        <v>0</v>
      </c>
      <c r="AK1280">
        <v>3</v>
      </c>
      <c r="AL1280" t="s">
        <v>1073</v>
      </c>
      <c r="AM1280" t="s">
        <v>1074</v>
      </c>
      <c r="AN1280" t="s">
        <v>1075</v>
      </c>
      <c r="AO1280" t="s">
        <v>2365</v>
      </c>
      <c r="AP1280" t="s">
        <v>2366</v>
      </c>
      <c r="AQ1280" t="s">
        <v>74</v>
      </c>
      <c r="AR1280" t="s">
        <v>2355</v>
      </c>
      <c r="AS1280" t="s">
        <v>2355</v>
      </c>
      <c r="AT1280" t="s">
        <v>2097</v>
      </c>
      <c r="AU1280">
        <v>2010</v>
      </c>
      <c r="AV1280">
        <v>49</v>
      </c>
      <c r="AW1280">
        <v>5</v>
      </c>
      <c r="AX1280" t="s">
        <v>74</v>
      </c>
      <c r="AY1280" t="s">
        <v>74</v>
      </c>
      <c r="AZ1280" t="s">
        <v>74</v>
      </c>
      <c r="BA1280" t="s">
        <v>74</v>
      </c>
      <c r="BB1280">
        <v>940</v>
      </c>
      <c r="BC1280">
        <v>944</v>
      </c>
      <c r="BD1280" t="s">
        <v>74</v>
      </c>
      <c r="BE1280" t="s">
        <v>18751</v>
      </c>
      <c r="BF1280" t="str">
        <f>HYPERLINK("http://dx.doi.org/10.1093/rheumatology/kep449","http://dx.doi.org/10.1093/rheumatology/kep449")</f>
        <v>http://dx.doi.org/10.1093/rheumatology/kep449</v>
      </c>
      <c r="BG1280" t="s">
        <v>74</v>
      </c>
      <c r="BH1280" t="s">
        <v>74</v>
      </c>
      <c r="BI1280">
        <v>5</v>
      </c>
      <c r="BJ1280" t="s">
        <v>2369</v>
      </c>
      <c r="BK1280" t="s">
        <v>101</v>
      </c>
      <c r="BL1280" t="s">
        <v>2369</v>
      </c>
      <c r="BM1280" t="s">
        <v>18750</v>
      </c>
      <c r="BN1280">
        <v>20144930</v>
      </c>
      <c r="BO1280" t="s">
        <v>1194</v>
      </c>
      <c r="BP1280" t="s">
        <v>74</v>
      </c>
      <c r="BQ1280" t="s">
        <v>74</v>
      </c>
      <c r="BR1280" t="s">
        <v>104</v>
      </c>
      <c r="BS1280" t="s">
        <v>18749</v>
      </c>
      <c r="BT1280" t="str">
        <f>HYPERLINK("https%3A%2F%2Fwww.webofscience.com%2Fwos%2Fwoscc%2Ffull-record%2FWOS:000276736400016","View Full Record in Web of Science")</f>
        <v>View Full Record in Web of Science</v>
      </c>
    </row>
    <row r="1281" spans="1:72" x14ac:dyDescent="0.25">
      <c r="A1281" t="s">
        <v>72</v>
      </c>
      <c r="B1281" t="s">
        <v>18748</v>
      </c>
      <c r="C1281" t="s">
        <v>74</v>
      </c>
      <c r="D1281" t="s">
        <v>74</v>
      </c>
      <c r="E1281" t="s">
        <v>74</v>
      </c>
      <c r="F1281" t="s">
        <v>18747</v>
      </c>
      <c r="G1281" t="s">
        <v>74</v>
      </c>
      <c r="H1281" t="s">
        <v>74</v>
      </c>
      <c r="I1281" t="s">
        <v>18746</v>
      </c>
      <c r="J1281" t="s">
        <v>5959</v>
      </c>
      <c r="K1281" t="s">
        <v>74</v>
      </c>
      <c r="L1281" t="s">
        <v>74</v>
      </c>
      <c r="M1281" t="s">
        <v>78</v>
      </c>
      <c r="N1281" t="s">
        <v>79</v>
      </c>
      <c r="O1281" t="s">
        <v>74</v>
      </c>
      <c r="P1281" t="s">
        <v>74</v>
      </c>
      <c r="Q1281" t="s">
        <v>74</v>
      </c>
      <c r="R1281" t="s">
        <v>74</v>
      </c>
      <c r="S1281" t="s">
        <v>74</v>
      </c>
      <c r="T1281" t="s">
        <v>18745</v>
      </c>
      <c r="U1281" t="s">
        <v>18744</v>
      </c>
      <c r="V1281" t="s">
        <v>18743</v>
      </c>
      <c r="W1281" t="s">
        <v>18742</v>
      </c>
      <c r="X1281" t="s">
        <v>18741</v>
      </c>
      <c r="Y1281" t="s">
        <v>18740</v>
      </c>
      <c r="Z1281" t="s">
        <v>18739</v>
      </c>
      <c r="AA1281" t="s">
        <v>144</v>
      </c>
      <c r="AB1281" t="s">
        <v>257</v>
      </c>
      <c r="AC1281" t="s">
        <v>18738</v>
      </c>
      <c r="AD1281" t="s">
        <v>18738</v>
      </c>
      <c r="AE1281" t="s">
        <v>18737</v>
      </c>
      <c r="AF1281" t="s">
        <v>74</v>
      </c>
      <c r="AG1281">
        <v>37</v>
      </c>
      <c r="AH1281">
        <v>27</v>
      </c>
      <c r="AI1281">
        <v>31</v>
      </c>
      <c r="AJ1281">
        <v>0</v>
      </c>
      <c r="AK1281">
        <v>4</v>
      </c>
      <c r="AL1281" t="s">
        <v>122</v>
      </c>
      <c r="AM1281" t="s">
        <v>123</v>
      </c>
      <c r="AN1281" t="s">
        <v>124</v>
      </c>
      <c r="AO1281" t="s">
        <v>5967</v>
      </c>
      <c r="AP1281" t="s">
        <v>5968</v>
      </c>
      <c r="AQ1281" t="s">
        <v>74</v>
      </c>
      <c r="AR1281" t="s">
        <v>5969</v>
      </c>
      <c r="AS1281" t="s">
        <v>5970</v>
      </c>
      <c r="AT1281" t="s">
        <v>2097</v>
      </c>
      <c r="AU1281">
        <v>2010</v>
      </c>
      <c r="AV1281">
        <v>16</v>
      </c>
      <c r="AW1281" t="s">
        <v>74</v>
      </c>
      <c r="AX1281" t="s">
        <v>74</v>
      </c>
      <c r="AY1281">
        <v>1</v>
      </c>
      <c r="AZ1281" t="s">
        <v>74</v>
      </c>
      <c r="BA1281" t="s">
        <v>74</v>
      </c>
      <c r="BB1281" t="s">
        <v>18192</v>
      </c>
      <c r="BC1281" t="s">
        <v>18736</v>
      </c>
      <c r="BD1281" t="s">
        <v>74</v>
      </c>
      <c r="BE1281" t="s">
        <v>18735</v>
      </c>
      <c r="BF1281" t="str">
        <f>HYPERLINK("http://dx.doi.org/10.1097/01.mcp.0000370205.22885.98","http://dx.doi.org/10.1097/01.mcp.0000370205.22885.98")</f>
        <v>http://dx.doi.org/10.1097/01.mcp.0000370205.22885.98</v>
      </c>
      <c r="BG1281" t="s">
        <v>74</v>
      </c>
      <c r="BH1281" t="s">
        <v>74</v>
      </c>
      <c r="BI1281">
        <v>9</v>
      </c>
      <c r="BJ1281" t="s">
        <v>228</v>
      </c>
      <c r="BK1281" t="s">
        <v>101</v>
      </c>
      <c r="BL1281" t="s">
        <v>228</v>
      </c>
      <c r="BM1281" t="s">
        <v>18734</v>
      </c>
      <c r="BN1281">
        <v>20375659</v>
      </c>
      <c r="BO1281" t="s">
        <v>74</v>
      </c>
      <c r="BP1281" t="s">
        <v>74</v>
      </c>
      <c r="BQ1281" t="s">
        <v>74</v>
      </c>
      <c r="BR1281" t="s">
        <v>104</v>
      </c>
      <c r="BS1281" t="s">
        <v>18733</v>
      </c>
      <c r="BT1281" t="str">
        <f>HYPERLINK("https%3A%2F%2Fwww.webofscience.com%2Fwos%2Fwoscc%2Ffull-record%2FWOS:000276953600001","View Full Record in Web of Science")</f>
        <v>View Full Record in Web of Science</v>
      </c>
    </row>
    <row r="1282" spans="1:72" x14ac:dyDescent="0.25">
      <c r="A1282" t="s">
        <v>72</v>
      </c>
      <c r="B1282" t="s">
        <v>18732</v>
      </c>
      <c r="C1282" t="s">
        <v>74</v>
      </c>
      <c r="D1282" t="s">
        <v>74</v>
      </c>
      <c r="E1282" t="s">
        <v>74</v>
      </c>
      <c r="F1282" t="s">
        <v>18731</v>
      </c>
      <c r="G1282" t="s">
        <v>74</v>
      </c>
      <c r="H1282" t="s">
        <v>74</v>
      </c>
      <c r="I1282" t="s">
        <v>18730</v>
      </c>
      <c r="J1282" t="s">
        <v>637</v>
      </c>
      <c r="K1282" t="s">
        <v>74</v>
      </c>
      <c r="L1282" t="s">
        <v>74</v>
      </c>
      <c r="M1282" t="s">
        <v>78</v>
      </c>
      <c r="N1282" t="s">
        <v>79</v>
      </c>
      <c r="O1282" t="s">
        <v>74</v>
      </c>
      <c r="P1282" t="s">
        <v>74</v>
      </c>
      <c r="Q1282" t="s">
        <v>74</v>
      </c>
      <c r="R1282" t="s">
        <v>74</v>
      </c>
      <c r="S1282" t="s">
        <v>74</v>
      </c>
      <c r="T1282" t="s">
        <v>18729</v>
      </c>
      <c r="U1282" t="s">
        <v>18728</v>
      </c>
      <c r="V1282" t="s">
        <v>18727</v>
      </c>
      <c r="W1282" t="s">
        <v>18726</v>
      </c>
      <c r="X1282" t="s">
        <v>18725</v>
      </c>
      <c r="Y1282" t="s">
        <v>18724</v>
      </c>
      <c r="Z1282" t="s">
        <v>17425</v>
      </c>
      <c r="AA1282" t="s">
        <v>18723</v>
      </c>
      <c r="AB1282" t="s">
        <v>18722</v>
      </c>
      <c r="AC1282" t="s">
        <v>18721</v>
      </c>
      <c r="AD1282" t="s">
        <v>18720</v>
      </c>
      <c r="AE1282" t="s">
        <v>18719</v>
      </c>
      <c r="AF1282" t="s">
        <v>74</v>
      </c>
      <c r="AG1282">
        <v>44</v>
      </c>
      <c r="AH1282">
        <v>216</v>
      </c>
      <c r="AI1282">
        <v>235</v>
      </c>
      <c r="AJ1282">
        <v>1</v>
      </c>
      <c r="AK1282">
        <v>15</v>
      </c>
      <c r="AL1282" t="s">
        <v>649</v>
      </c>
      <c r="AM1282" t="s">
        <v>486</v>
      </c>
      <c r="AN1282" t="s">
        <v>650</v>
      </c>
      <c r="AO1282" t="s">
        <v>651</v>
      </c>
      <c r="AP1282" t="s">
        <v>652</v>
      </c>
      <c r="AQ1282" t="s">
        <v>74</v>
      </c>
      <c r="AR1282" t="s">
        <v>653</v>
      </c>
      <c r="AS1282" t="s">
        <v>654</v>
      </c>
      <c r="AT1282" t="s">
        <v>4936</v>
      </c>
      <c r="AU1282">
        <v>2010</v>
      </c>
      <c r="AV1282">
        <v>181</v>
      </c>
      <c r="AW1282">
        <v>8</v>
      </c>
      <c r="AX1282" t="s">
        <v>74</v>
      </c>
      <c r="AY1282" t="s">
        <v>74</v>
      </c>
      <c r="AZ1282" t="s">
        <v>74</v>
      </c>
      <c r="BA1282" t="s">
        <v>74</v>
      </c>
      <c r="BB1282">
        <v>851</v>
      </c>
      <c r="BC1282">
        <v>861</v>
      </c>
      <c r="BD1282" t="s">
        <v>74</v>
      </c>
      <c r="BE1282" t="s">
        <v>18718</v>
      </c>
      <c r="BF1282" t="str">
        <f>HYPERLINK("http://dx.doi.org/10.1164/rccm.200908-1284OC","http://dx.doi.org/10.1164/rccm.200908-1284OC")</f>
        <v>http://dx.doi.org/10.1164/rccm.200908-1284OC</v>
      </c>
      <c r="BG1282" t="s">
        <v>74</v>
      </c>
      <c r="BH1282" t="s">
        <v>74</v>
      </c>
      <c r="BI1282">
        <v>11</v>
      </c>
      <c r="BJ1282" t="s">
        <v>341</v>
      </c>
      <c r="BK1282" t="s">
        <v>101</v>
      </c>
      <c r="BL1282" t="s">
        <v>342</v>
      </c>
      <c r="BM1282" t="s">
        <v>18717</v>
      </c>
      <c r="BN1282">
        <v>20056902</v>
      </c>
      <c r="BO1282" t="s">
        <v>74</v>
      </c>
      <c r="BP1282" t="s">
        <v>74</v>
      </c>
      <c r="BQ1282" t="s">
        <v>74</v>
      </c>
      <c r="BR1282" t="s">
        <v>104</v>
      </c>
      <c r="BS1282" t="s">
        <v>18716</v>
      </c>
      <c r="BT1282" t="str">
        <f>HYPERLINK("https%3A%2F%2Fwww.webofscience.com%2Fwos%2Fwoscc%2Ffull-record%2FWOS:000280446800012","View Full Record in Web of Science")</f>
        <v>View Full Record in Web of Science</v>
      </c>
    </row>
    <row r="1283" spans="1:72" x14ac:dyDescent="0.25">
      <c r="A1283" t="s">
        <v>72</v>
      </c>
      <c r="B1283" t="s">
        <v>18715</v>
      </c>
      <c r="C1283" t="s">
        <v>74</v>
      </c>
      <c r="D1283" t="s">
        <v>74</v>
      </c>
      <c r="E1283" t="s">
        <v>74</v>
      </c>
      <c r="F1283" t="s">
        <v>18714</v>
      </c>
      <c r="G1283" t="s">
        <v>74</v>
      </c>
      <c r="H1283" t="s">
        <v>74</v>
      </c>
      <c r="I1283" t="s">
        <v>18713</v>
      </c>
      <c r="J1283" t="s">
        <v>5456</v>
      </c>
      <c r="K1283" t="s">
        <v>74</v>
      </c>
      <c r="L1283" t="s">
        <v>74</v>
      </c>
      <c r="M1283" t="s">
        <v>78</v>
      </c>
      <c r="N1283" t="s">
        <v>79</v>
      </c>
      <c r="O1283" t="s">
        <v>74</v>
      </c>
      <c r="P1283" t="s">
        <v>74</v>
      </c>
      <c r="Q1283" t="s">
        <v>74</v>
      </c>
      <c r="R1283" t="s">
        <v>74</v>
      </c>
      <c r="S1283" t="s">
        <v>74</v>
      </c>
      <c r="T1283" t="s">
        <v>74</v>
      </c>
      <c r="U1283" t="s">
        <v>18712</v>
      </c>
      <c r="V1283" t="s">
        <v>18711</v>
      </c>
      <c r="W1283" t="s">
        <v>18710</v>
      </c>
      <c r="X1283" t="s">
        <v>18709</v>
      </c>
      <c r="Y1283" t="s">
        <v>18708</v>
      </c>
      <c r="Z1283" t="s">
        <v>18707</v>
      </c>
      <c r="AA1283" t="s">
        <v>18706</v>
      </c>
      <c r="AB1283" t="s">
        <v>18705</v>
      </c>
      <c r="AC1283" t="s">
        <v>18704</v>
      </c>
      <c r="AD1283" t="s">
        <v>74</v>
      </c>
      <c r="AE1283" t="s">
        <v>18703</v>
      </c>
      <c r="AF1283" t="s">
        <v>74</v>
      </c>
      <c r="AG1283">
        <v>19</v>
      </c>
      <c r="AH1283">
        <v>66</v>
      </c>
      <c r="AI1283">
        <v>69</v>
      </c>
      <c r="AJ1283">
        <v>0</v>
      </c>
      <c r="AK1283">
        <v>7</v>
      </c>
      <c r="AL1283" t="s">
        <v>5465</v>
      </c>
      <c r="AM1283" t="s">
        <v>5466</v>
      </c>
      <c r="AN1283" t="s">
        <v>18702</v>
      </c>
      <c r="AO1283" t="s">
        <v>5468</v>
      </c>
      <c r="AP1283" t="s">
        <v>74</v>
      </c>
      <c r="AQ1283" t="s">
        <v>74</v>
      </c>
      <c r="AR1283" t="s">
        <v>5456</v>
      </c>
      <c r="AS1283" t="s">
        <v>5469</v>
      </c>
      <c r="AT1283" t="s">
        <v>8971</v>
      </c>
      <c r="AU1283">
        <v>2010</v>
      </c>
      <c r="AV1283">
        <v>5</v>
      </c>
      <c r="AW1283">
        <v>4</v>
      </c>
      <c r="AX1283" t="s">
        <v>74</v>
      </c>
      <c r="AY1283" t="s">
        <v>74</v>
      </c>
      <c r="AZ1283" t="s">
        <v>74</v>
      </c>
      <c r="BA1283" t="s">
        <v>74</v>
      </c>
      <c r="BB1283" t="s">
        <v>74</v>
      </c>
      <c r="BC1283" t="s">
        <v>74</v>
      </c>
      <c r="BD1283" t="s">
        <v>18701</v>
      </c>
      <c r="BE1283" t="s">
        <v>18700</v>
      </c>
      <c r="BF1283" t="str">
        <f>HYPERLINK("http://dx.doi.org/10.1371/journal.pone.0010128","http://dx.doi.org/10.1371/journal.pone.0010128")</f>
        <v>http://dx.doi.org/10.1371/journal.pone.0010128</v>
      </c>
      <c r="BG1283" t="s">
        <v>74</v>
      </c>
      <c r="BH1283" t="s">
        <v>74</v>
      </c>
      <c r="BI1283">
        <v>5</v>
      </c>
      <c r="BJ1283" t="s">
        <v>290</v>
      </c>
      <c r="BK1283" t="s">
        <v>101</v>
      </c>
      <c r="BL1283" t="s">
        <v>291</v>
      </c>
      <c r="BM1283" t="s">
        <v>18699</v>
      </c>
      <c r="BN1283">
        <v>20405030</v>
      </c>
      <c r="BO1283" t="s">
        <v>1862</v>
      </c>
      <c r="BP1283" t="s">
        <v>74</v>
      </c>
      <c r="BQ1283" t="s">
        <v>74</v>
      </c>
      <c r="BR1283" t="s">
        <v>104</v>
      </c>
      <c r="BS1283" t="s">
        <v>18698</v>
      </c>
      <c r="BT1283" t="str">
        <f>HYPERLINK("https%3A%2F%2Fwww.webofscience.com%2Fwos%2Fwoscc%2Ffull-record%2FWOS:000276705900012","View Full Record in Web of Science")</f>
        <v>View Full Record in Web of Science</v>
      </c>
    </row>
    <row r="1284" spans="1:72" x14ac:dyDescent="0.25">
      <c r="A1284" t="s">
        <v>72</v>
      </c>
      <c r="B1284" t="s">
        <v>18697</v>
      </c>
      <c r="C1284" t="s">
        <v>74</v>
      </c>
      <c r="D1284" t="s">
        <v>74</v>
      </c>
      <c r="E1284" t="s">
        <v>74</v>
      </c>
      <c r="F1284" t="s">
        <v>18696</v>
      </c>
      <c r="G1284" t="s">
        <v>74</v>
      </c>
      <c r="H1284" t="s">
        <v>74</v>
      </c>
      <c r="I1284" t="s">
        <v>18528</v>
      </c>
      <c r="J1284" t="s">
        <v>1924</v>
      </c>
      <c r="K1284" t="s">
        <v>74</v>
      </c>
      <c r="L1284" t="s">
        <v>74</v>
      </c>
      <c r="M1284" t="s">
        <v>78</v>
      </c>
      <c r="N1284" t="s">
        <v>52</v>
      </c>
      <c r="O1284" t="s">
        <v>74</v>
      </c>
      <c r="P1284" t="s">
        <v>74</v>
      </c>
      <c r="Q1284" t="s">
        <v>74</v>
      </c>
      <c r="R1284" t="s">
        <v>74</v>
      </c>
      <c r="S1284" t="s">
        <v>74</v>
      </c>
      <c r="T1284" t="s">
        <v>74</v>
      </c>
      <c r="U1284" t="s">
        <v>74</v>
      </c>
      <c r="V1284" t="s">
        <v>74</v>
      </c>
      <c r="W1284" t="s">
        <v>18695</v>
      </c>
      <c r="X1284" t="s">
        <v>18694</v>
      </c>
      <c r="Y1284" t="s">
        <v>74</v>
      </c>
      <c r="Z1284" t="s">
        <v>74</v>
      </c>
      <c r="AA1284" t="s">
        <v>18693</v>
      </c>
      <c r="AB1284" t="s">
        <v>5709</v>
      </c>
      <c r="AC1284" t="s">
        <v>74</v>
      </c>
      <c r="AD1284" t="s">
        <v>74</v>
      </c>
      <c r="AE1284" t="s">
        <v>74</v>
      </c>
      <c r="AF1284" t="s">
        <v>74</v>
      </c>
      <c r="AG1284">
        <v>0</v>
      </c>
      <c r="AH1284">
        <v>0</v>
      </c>
      <c r="AI1284">
        <v>0</v>
      </c>
      <c r="AJ1284">
        <v>0</v>
      </c>
      <c r="AK1284">
        <v>0</v>
      </c>
      <c r="AL1284" t="s">
        <v>18260</v>
      </c>
      <c r="AM1284" t="s">
        <v>17736</v>
      </c>
      <c r="AN1284" t="s">
        <v>17735</v>
      </c>
      <c r="AO1284" t="s">
        <v>1929</v>
      </c>
      <c r="AP1284" t="s">
        <v>74</v>
      </c>
      <c r="AQ1284" t="s">
        <v>74</v>
      </c>
      <c r="AR1284" t="s">
        <v>1931</v>
      </c>
      <c r="AS1284" t="s">
        <v>1932</v>
      </c>
      <c r="AT1284" t="s">
        <v>997</v>
      </c>
      <c r="AU1284">
        <v>2010</v>
      </c>
      <c r="AV1284">
        <v>24</v>
      </c>
      <c r="AW1284" t="s">
        <v>74</v>
      </c>
      <c r="AX1284" t="s">
        <v>74</v>
      </c>
      <c r="AY1284">
        <v>1</v>
      </c>
      <c r="AZ1284" t="s">
        <v>74</v>
      </c>
      <c r="BA1284">
        <v>493</v>
      </c>
      <c r="BB1284">
        <v>101</v>
      </c>
      <c r="BC1284">
        <v>101</v>
      </c>
      <c r="BD1284" t="s">
        <v>74</v>
      </c>
      <c r="BE1284" t="s">
        <v>74</v>
      </c>
      <c r="BF1284" t="s">
        <v>74</v>
      </c>
      <c r="BG1284" t="s">
        <v>74</v>
      </c>
      <c r="BH1284" t="s">
        <v>74</v>
      </c>
      <c r="BI1284">
        <v>1</v>
      </c>
      <c r="BJ1284" t="s">
        <v>1477</v>
      </c>
      <c r="BK1284" t="s">
        <v>101</v>
      </c>
      <c r="BL1284" t="s">
        <v>1477</v>
      </c>
      <c r="BM1284" t="s">
        <v>18692</v>
      </c>
      <c r="BN1284" t="s">
        <v>74</v>
      </c>
      <c r="BO1284" t="s">
        <v>74</v>
      </c>
      <c r="BP1284" t="s">
        <v>74</v>
      </c>
      <c r="BQ1284" t="s">
        <v>74</v>
      </c>
      <c r="BR1284" t="s">
        <v>104</v>
      </c>
      <c r="BS1284" t="s">
        <v>18691</v>
      </c>
      <c r="BT1284" t="str">
        <f>HYPERLINK("https%3A%2F%2Fwww.webofscience.com%2Fwos%2Fwoscc%2Ffull-record%2FWOS:000276156800494","View Full Record in Web of Science")</f>
        <v>View Full Record in Web of Science</v>
      </c>
    </row>
    <row r="1285" spans="1:72" x14ac:dyDescent="0.25">
      <c r="A1285" t="s">
        <v>72</v>
      </c>
      <c r="B1285" t="s">
        <v>18690</v>
      </c>
      <c r="C1285" t="s">
        <v>74</v>
      </c>
      <c r="D1285" t="s">
        <v>74</v>
      </c>
      <c r="E1285" t="s">
        <v>74</v>
      </c>
      <c r="F1285" t="s">
        <v>18689</v>
      </c>
      <c r="G1285" t="s">
        <v>74</v>
      </c>
      <c r="H1285" t="s">
        <v>74</v>
      </c>
      <c r="I1285" t="s">
        <v>18688</v>
      </c>
      <c r="J1285" t="s">
        <v>4427</v>
      </c>
      <c r="K1285" t="s">
        <v>74</v>
      </c>
      <c r="L1285" t="s">
        <v>74</v>
      </c>
      <c r="M1285" t="s">
        <v>78</v>
      </c>
      <c r="N1285" t="s">
        <v>79</v>
      </c>
      <c r="O1285" t="s">
        <v>74</v>
      </c>
      <c r="P1285" t="s">
        <v>74</v>
      </c>
      <c r="Q1285" t="s">
        <v>74</v>
      </c>
      <c r="R1285" t="s">
        <v>74</v>
      </c>
      <c r="S1285" t="s">
        <v>74</v>
      </c>
      <c r="T1285" t="s">
        <v>18687</v>
      </c>
      <c r="U1285" t="s">
        <v>18686</v>
      </c>
      <c r="V1285" t="s">
        <v>18685</v>
      </c>
      <c r="W1285" t="s">
        <v>18684</v>
      </c>
      <c r="X1285" t="s">
        <v>18683</v>
      </c>
      <c r="Y1285" t="s">
        <v>12459</v>
      </c>
      <c r="Z1285" t="s">
        <v>12460</v>
      </c>
      <c r="AA1285" t="s">
        <v>18682</v>
      </c>
      <c r="AB1285" t="s">
        <v>18681</v>
      </c>
      <c r="AC1285" t="s">
        <v>18680</v>
      </c>
      <c r="AD1285" t="s">
        <v>18679</v>
      </c>
      <c r="AE1285" t="s">
        <v>18678</v>
      </c>
      <c r="AF1285" t="s">
        <v>74</v>
      </c>
      <c r="AG1285">
        <v>34</v>
      </c>
      <c r="AH1285">
        <v>209</v>
      </c>
      <c r="AI1285">
        <v>225</v>
      </c>
      <c r="AJ1285">
        <v>0</v>
      </c>
      <c r="AK1285">
        <v>14</v>
      </c>
      <c r="AL1285" t="s">
        <v>485</v>
      </c>
      <c r="AM1285" t="s">
        <v>486</v>
      </c>
      <c r="AN1285" t="s">
        <v>487</v>
      </c>
      <c r="AO1285" t="s">
        <v>4433</v>
      </c>
      <c r="AP1285" t="s">
        <v>74</v>
      </c>
      <c r="AQ1285" t="s">
        <v>74</v>
      </c>
      <c r="AR1285" t="s">
        <v>4435</v>
      </c>
      <c r="AS1285" t="s">
        <v>4436</v>
      </c>
      <c r="AT1285" t="s">
        <v>98</v>
      </c>
      <c r="AU1285">
        <v>2010</v>
      </c>
      <c r="AV1285">
        <v>125</v>
      </c>
      <c r="AW1285">
        <v>3</v>
      </c>
      <c r="AX1285" t="s">
        <v>74</v>
      </c>
      <c r="AY1285" t="s">
        <v>74</v>
      </c>
      <c r="AZ1285" t="s">
        <v>74</v>
      </c>
      <c r="BA1285" t="s">
        <v>74</v>
      </c>
      <c r="BB1285">
        <v>600</v>
      </c>
      <c r="BC1285">
        <v>608</v>
      </c>
      <c r="BD1285" t="s">
        <v>74</v>
      </c>
      <c r="BE1285" t="s">
        <v>18677</v>
      </c>
      <c r="BF1285" t="str">
        <f>HYPERLINK("http://dx.doi.org/10.1016/j.jaci.2009.11.033","http://dx.doi.org/10.1016/j.jaci.2009.11.033")</f>
        <v>http://dx.doi.org/10.1016/j.jaci.2009.11.033</v>
      </c>
      <c r="BG1285" t="s">
        <v>74</v>
      </c>
      <c r="BH1285" t="s">
        <v>74</v>
      </c>
      <c r="BI1285">
        <v>9</v>
      </c>
      <c r="BJ1285" t="s">
        <v>3085</v>
      </c>
      <c r="BK1285" t="s">
        <v>101</v>
      </c>
      <c r="BL1285" t="s">
        <v>3085</v>
      </c>
      <c r="BM1285" t="s">
        <v>18676</v>
      </c>
      <c r="BN1285">
        <v>20153029</v>
      </c>
      <c r="BO1285" t="s">
        <v>74</v>
      </c>
      <c r="BP1285" t="s">
        <v>74</v>
      </c>
      <c r="BQ1285" t="s">
        <v>74</v>
      </c>
      <c r="BR1285" t="s">
        <v>104</v>
      </c>
      <c r="BS1285" t="s">
        <v>18675</v>
      </c>
      <c r="BT1285" t="str">
        <f>HYPERLINK("https%3A%2F%2Fwww.webofscience.com%2Fwos%2Fwoscc%2Ffull-record%2FWOS:000275883200014","View Full Record in Web of Science")</f>
        <v>View Full Record in Web of Science</v>
      </c>
    </row>
    <row r="1286" spans="1:72" x14ac:dyDescent="0.25">
      <c r="A1286" t="s">
        <v>72</v>
      </c>
      <c r="B1286" t="s">
        <v>18674</v>
      </c>
      <c r="C1286" t="s">
        <v>74</v>
      </c>
      <c r="D1286" t="s">
        <v>74</v>
      </c>
      <c r="E1286" t="s">
        <v>74</v>
      </c>
      <c r="F1286" t="s">
        <v>18673</v>
      </c>
      <c r="G1286" t="s">
        <v>74</v>
      </c>
      <c r="H1286" t="s">
        <v>74</v>
      </c>
      <c r="I1286" t="s">
        <v>18672</v>
      </c>
      <c r="J1286" t="s">
        <v>13692</v>
      </c>
      <c r="K1286" t="s">
        <v>74</v>
      </c>
      <c r="L1286" t="s">
        <v>74</v>
      </c>
      <c r="M1286" t="s">
        <v>78</v>
      </c>
      <c r="N1286" t="s">
        <v>52</v>
      </c>
      <c r="O1286" t="s">
        <v>74</v>
      </c>
      <c r="P1286" t="s">
        <v>74</v>
      </c>
      <c r="Q1286" t="s">
        <v>74</v>
      </c>
      <c r="R1286" t="s">
        <v>74</v>
      </c>
      <c r="S1286" t="s">
        <v>74</v>
      </c>
      <c r="T1286" t="s">
        <v>74</v>
      </c>
      <c r="U1286" t="s">
        <v>74</v>
      </c>
      <c r="V1286" t="s">
        <v>74</v>
      </c>
      <c r="W1286" t="s">
        <v>18671</v>
      </c>
      <c r="X1286" t="s">
        <v>4199</v>
      </c>
      <c r="Y1286" t="s">
        <v>74</v>
      </c>
      <c r="Z1286" t="s">
        <v>74</v>
      </c>
      <c r="AA1286" t="s">
        <v>144</v>
      </c>
      <c r="AB1286" t="s">
        <v>74</v>
      </c>
      <c r="AC1286" t="s">
        <v>74</v>
      </c>
      <c r="AD1286" t="s">
        <v>74</v>
      </c>
      <c r="AE1286" t="s">
        <v>74</v>
      </c>
      <c r="AF1286" t="s">
        <v>74</v>
      </c>
      <c r="AG1286">
        <v>0</v>
      </c>
      <c r="AH1286">
        <v>0</v>
      </c>
      <c r="AI1286">
        <v>0</v>
      </c>
      <c r="AJ1286">
        <v>0</v>
      </c>
      <c r="AK1286">
        <v>0</v>
      </c>
      <c r="AL1286" t="s">
        <v>13697</v>
      </c>
      <c r="AM1286" t="s">
        <v>13698</v>
      </c>
      <c r="AN1286" t="s">
        <v>13699</v>
      </c>
      <c r="AO1286" t="s">
        <v>13700</v>
      </c>
      <c r="AP1286" t="s">
        <v>74</v>
      </c>
      <c r="AQ1286" t="s">
        <v>74</v>
      </c>
      <c r="AR1286" t="s">
        <v>13701</v>
      </c>
      <c r="AS1286" t="s">
        <v>13702</v>
      </c>
      <c r="AT1286" t="s">
        <v>13703</v>
      </c>
      <c r="AU1286">
        <v>2010</v>
      </c>
      <c r="AV1286">
        <v>28</v>
      </c>
      <c r="AW1286">
        <v>2</v>
      </c>
      <c r="AX1286" t="s">
        <v>74</v>
      </c>
      <c r="AY1286">
        <v>58</v>
      </c>
      <c r="AZ1286" t="s">
        <v>74</v>
      </c>
      <c r="BA1286" t="s">
        <v>74</v>
      </c>
      <c r="BB1286" t="s">
        <v>18670</v>
      </c>
      <c r="BC1286" t="s">
        <v>18670</v>
      </c>
      <c r="BD1286" t="s">
        <v>74</v>
      </c>
      <c r="BE1286" t="s">
        <v>74</v>
      </c>
      <c r="BF1286" t="s">
        <v>74</v>
      </c>
      <c r="BG1286" t="s">
        <v>74</v>
      </c>
      <c r="BH1286" t="s">
        <v>74</v>
      </c>
      <c r="BI1286">
        <v>1</v>
      </c>
      <c r="BJ1286" t="s">
        <v>2369</v>
      </c>
      <c r="BK1286" t="s">
        <v>101</v>
      </c>
      <c r="BL1286" t="s">
        <v>2369</v>
      </c>
      <c r="BM1286" t="s">
        <v>18627</v>
      </c>
      <c r="BN1286" t="s">
        <v>74</v>
      </c>
      <c r="BO1286" t="s">
        <v>74</v>
      </c>
      <c r="BP1286" t="s">
        <v>74</v>
      </c>
      <c r="BQ1286" t="s">
        <v>74</v>
      </c>
      <c r="BR1286" t="s">
        <v>104</v>
      </c>
      <c r="BS1286" t="s">
        <v>18669</v>
      </c>
      <c r="BT1286" t="str">
        <f>HYPERLINK("https%3A%2F%2Fwww.webofscience.com%2Fwos%2Fwoscc%2Ffull-record%2FWOS:000279203200217","View Full Record in Web of Science")</f>
        <v>View Full Record in Web of Science</v>
      </c>
    </row>
    <row r="1287" spans="1:72" x14ac:dyDescent="0.25">
      <c r="A1287" t="s">
        <v>72</v>
      </c>
      <c r="B1287" t="s">
        <v>18668</v>
      </c>
      <c r="C1287" t="s">
        <v>74</v>
      </c>
      <c r="D1287" t="s">
        <v>74</v>
      </c>
      <c r="E1287" t="s">
        <v>74</v>
      </c>
      <c r="F1287" t="s">
        <v>18667</v>
      </c>
      <c r="G1287" t="s">
        <v>74</v>
      </c>
      <c r="H1287" t="s">
        <v>74</v>
      </c>
      <c r="I1287" t="s">
        <v>18666</v>
      </c>
      <c r="J1287" t="s">
        <v>13692</v>
      </c>
      <c r="K1287" t="s">
        <v>74</v>
      </c>
      <c r="L1287" t="s">
        <v>74</v>
      </c>
      <c r="M1287" t="s">
        <v>78</v>
      </c>
      <c r="N1287" t="s">
        <v>52</v>
      </c>
      <c r="O1287" t="s">
        <v>74</v>
      </c>
      <c r="P1287" t="s">
        <v>74</v>
      </c>
      <c r="Q1287" t="s">
        <v>74</v>
      </c>
      <c r="R1287" t="s">
        <v>74</v>
      </c>
      <c r="S1287" t="s">
        <v>74</v>
      </c>
      <c r="T1287" t="s">
        <v>74</v>
      </c>
      <c r="U1287" t="s">
        <v>74</v>
      </c>
      <c r="V1287" t="s">
        <v>74</v>
      </c>
      <c r="W1287" t="s">
        <v>18665</v>
      </c>
      <c r="X1287" t="s">
        <v>18664</v>
      </c>
      <c r="Y1287" t="s">
        <v>74</v>
      </c>
      <c r="Z1287" t="s">
        <v>74</v>
      </c>
      <c r="AA1287" t="s">
        <v>18663</v>
      </c>
      <c r="AB1287" t="s">
        <v>13185</v>
      </c>
      <c r="AC1287" t="s">
        <v>74</v>
      </c>
      <c r="AD1287" t="s">
        <v>74</v>
      </c>
      <c r="AE1287" t="s">
        <v>74</v>
      </c>
      <c r="AF1287" t="s">
        <v>74</v>
      </c>
      <c r="AG1287">
        <v>0</v>
      </c>
      <c r="AH1287">
        <v>0</v>
      </c>
      <c r="AI1287">
        <v>0</v>
      </c>
      <c r="AJ1287">
        <v>0</v>
      </c>
      <c r="AK1287">
        <v>0</v>
      </c>
      <c r="AL1287" t="s">
        <v>13697</v>
      </c>
      <c r="AM1287" t="s">
        <v>13698</v>
      </c>
      <c r="AN1287" t="s">
        <v>13699</v>
      </c>
      <c r="AO1287" t="s">
        <v>13700</v>
      </c>
      <c r="AP1287" t="s">
        <v>74</v>
      </c>
      <c r="AQ1287" t="s">
        <v>74</v>
      </c>
      <c r="AR1287" t="s">
        <v>13701</v>
      </c>
      <c r="AS1287" t="s">
        <v>13702</v>
      </c>
      <c r="AT1287" t="s">
        <v>13703</v>
      </c>
      <c r="AU1287">
        <v>2010</v>
      </c>
      <c r="AV1287">
        <v>28</v>
      </c>
      <c r="AW1287">
        <v>2</v>
      </c>
      <c r="AX1287" t="s">
        <v>74</v>
      </c>
      <c r="AY1287">
        <v>58</v>
      </c>
      <c r="AZ1287" t="s">
        <v>74</v>
      </c>
      <c r="BA1287" t="s">
        <v>74</v>
      </c>
      <c r="BB1287" t="s">
        <v>18662</v>
      </c>
      <c r="BC1287" t="s">
        <v>18662</v>
      </c>
      <c r="BD1287" t="s">
        <v>74</v>
      </c>
      <c r="BE1287" t="s">
        <v>74</v>
      </c>
      <c r="BF1287" t="s">
        <v>74</v>
      </c>
      <c r="BG1287" t="s">
        <v>74</v>
      </c>
      <c r="BH1287" t="s">
        <v>74</v>
      </c>
      <c r="BI1287">
        <v>1</v>
      </c>
      <c r="BJ1287" t="s">
        <v>2369</v>
      </c>
      <c r="BK1287" t="s">
        <v>101</v>
      </c>
      <c r="BL1287" t="s">
        <v>2369</v>
      </c>
      <c r="BM1287" t="s">
        <v>18627</v>
      </c>
      <c r="BN1287" t="s">
        <v>74</v>
      </c>
      <c r="BO1287" t="s">
        <v>74</v>
      </c>
      <c r="BP1287" t="s">
        <v>74</v>
      </c>
      <c r="BQ1287" t="s">
        <v>74</v>
      </c>
      <c r="BR1287" t="s">
        <v>104</v>
      </c>
      <c r="BS1287" t="s">
        <v>18661</v>
      </c>
      <c r="BT1287" t="str">
        <f>HYPERLINK("https%3A%2F%2Fwww.webofscience.com%2Fwos%2Fwoscc%2Ffull-record%2FWOS:000279203200206","View Full Record in Web of Science")</f>
        <v>View Full Record in Web of Science</v>
      </c>
    </row>
    <row r="1288" spans="1:72" x14ac:dyDescent="0.25">
      <c r="A1288" t="s">
        <v>72</v>
      </c>
      <c r="B1288" t="s">
        <v>1420</v>
      </c>
      <c r="C1288" t="s">
        <v>74</v>
      </c>
      <c r="D1288" t="s">
        <v>74</v>
      </c>
      <c r="E1288" t="s">
        <v>74</v>
      </c>
      <c r="F1288" t="s">
        <v>1421</v>
      </c>
      <c r="G1288" t="s">
        <v>74</v>
      </c>
      <c r="H1288" t="s">
        <v>74</v>
      </c>
      <c r="I1288" t="s">
        <v>18660</v>
      </c>
      <c r="J1288" t="s">
        <v>13692</v>
      </c>
      <c r="K1288" t="s">
        <v>74</v>
      </c>
      <c r="L1288" t="s">
        <v>74</v>
      </c>
      <c r="M1288" t="s">
        <v>78</v>
      </c>
      <c r="N1288" t="s">
        <v>52</v>
      </c>
      <c r="O1288" t="s">
        <v>74</v>
      </c>
      <c r="P1288" t="s">
        <v>74</v>
      </c>
      <c r="Q1288" t="s">
        <v>74</v>
      </c>
      <c r="R1288" t="s">
        <v>74</v>
      </c>
      <c r="S1288" t="s">
        <v>74</v>
      </c>
      <c r="T1288" t="s">
        <v>74</v>
      </c>
      <c r="U1288" t="s">
        <v>2329</v>
      </c>
      <c r="V1288" t="s">
        <v>74</v>
      </c>
      <c r="W1288" t="s">
        <v>18659</v>
      </c>
      <c r="X1288" t="s">
        <v>14633</v>
      </c>
      <c r="Y1288" t="s">
        <v>74</v>
      </c>
      <c r="Z1288" t="s">
        <v>74</v>
      </c>
      <c r="AA1288" t="s">
        <v>144</v>
      </c>
      <c r="AB1288" t="s">
        <v>74</v>
      </c>
      <c r="AC1288" t="s">
        <v>74</v>
      </c>
      <c r="AD1288" t="s">
        <v>74</v>
      </c>
      <c r="AE1288" t="s">
        <v>74</v>
      </c>
      <c r="AF1288" t="s">
        <v>74</v>
      </c>
      <c r="AG1288">
        <v>8</v>
      </c>
      <c r="AH1288">
        <v>0</v>
      </c>
      <c r="AI1288">
        <v>0</v>
      </c>
      <c r="AJ1288">
        <v>0</v>
      </c>
      <c r="AK1288">
        <v>0</v>
      </c>
      <c r="AL1288" t="s">
        <v>13697</v>
      </c>
      <c r="AM1288" t="s">
        <v>13698</v>
      </c>
      <c r="AN1288" t="s">
        <v>13699</v>
      </c>
      <c r="AO1288" t="s">
        <v>13700</v>
      </c>
      <c r="AP1288" t="s">
        <v>18642</v>
      </c>
      <c r="AQ1288" t="s">
        <v>74</v>
      </c>
      <c r="AR1288" t="s">
        <v>13701</v>
      </c>
      <c r="AS1288" t="s">
        <v>13702</v>
      </c>
      <c r="AT1288" t="s">
        <v>13703</v>
      </c>
      <c r="AU1288">
        <v>2010</v>
      </c>
      <c r="AV1288">
        <v>28</v>
      </c>
      <c r="AW1288">
        <v>2</v>
      </c>
      <c r="AX1288" t="s">
        <v>74</v>
      </c>
      <c r="AY1288">
        <v>58</v>
      </c>
      <c r="AZ1288" t="s">
        <v>74</v>
      </c>
      <c r="BA1288" t="s">
        <v>74</v>
      </c>
      <c r="BB1288" t="s">
        <v>16433</v>
      </c>
      <c r="BC1288" t="s">
        <v>16433</v>
      </c>
      <c r="BD1288" t="s">
        <v>74</v>
      </c>
      <c r="BE1288" t="s">
        <v>74</v>
      </c>
      <c r="BF1288" t="s">
        <v>74</v>
      </c>
      <c r="BG1288" t="s">
        <v>74</v>
      </c>
      <c r="BH1288" t="s">
        <v>74</v>
      </c>
      <c r="BI1288">
        <v>1</v>
      </c>
      <c r="BJ1288" t="s">
        <v>2369</v>
      </c>
      <c r="BK1288" t="s">
        <v>101</v>
      </c>
      <c r="BL1288" t="s">
        <v>2369</v>
      </c>
      <c r="BM1288" t="s">
        <v>18627</v>
      </c>
      <c r="BN1288" t="s">
        <v>74</v>
      </c>
      <c r="BO1288" t="s">
        <v>74</v>
      </c>
      <c r="BP1288" t="s">
        <v>74</v>
      </c>
      <c r="BQ1288" t="s">
        <v>74</v>
      </c>
      <c r="BR1288" t="s">
        <v>104</v>
      </c>
      <c r="BS1288" t="s">
        <v>18658</v>
      </c>
      <c r="BT1288" t="str">
        <f>HYPERLINK("https%3A%2F%2Fwww.webofscience.com%2Fwos%2Fwoscc%2Ffull-record%2FWOS:000279203200034","View Full Record in Web of Science")</f>
        <v>View Full Record in Web of Science</v>
      </c>
    </row>
    <row r="1289" spans="1:72" x14ac:dyDescent="0.25">
      <c r="A1289" t="s">
        <v>72</v>
      </c>
      <c r="B1289" t="s">
        <v>18657</v>
      </c>
      <c r="C1289" t="s">
        <v>74</v>
      </c>
      <c r="D1289" t="s">
        <v>74</v>
      </c>
      <c r="E1289" t="s">
        <v>74</v>
      </c>
      <c r="F1289" t="s">
        <v>18656</v>
      </c>
      <c r="G1289" t="s">
        <v>74</v>
      </c>
      <c r="H1289" t="s">
        <v>18655</v>
      </c>
      <c r="I1289" t="s">
        <v>18654</v>
      </c>
      <c r="J1289" t="s">
        <v>13692</v>
      </c>
      <c r="K1289" t="s">
        <v>74</v>
      </c>
      <c r="L1289" t="s">
        <v>74</v>
      </c>
      <c r="M1289" t="s">
        <v>78</v>
      </c>
      <c r="N1289" t="s">
        <v>79</v>
      </c>
      <c r="O1289" t="s">
        <v>74</v>
      </c>
      <c r="P1289" t="s">
        <v>74</v>
      </c>
      <c r="Q1289" t="s">
        <v>74</v>
      </c>
      <c r="R1289" t="s">
        <v>74</v>
      </c>
      <c r="S1289" t="s">
        <v>74</v>
      </c>
      <c r="T1289" t="s">
        <v>18653</v>
      </c>
      <c r="U1289" t="s">
        <v>18652</v>
      </c>
      <c r="V1289" t="s">
        <v>18651</v>
      </c>
      <c r="W1289" t="s">
        <v>18650</v>
      </c>
      <c r="X1289" t="s">
        <v>18649</v>
      </c>
      <c r="Y1289" t="s">
        <v>18648</v>
      </c>
      <c r="Z1289" t="s">
        <v>17467</v>
      </c>
      <c r="AA1289" t="s">
        <v>18647</v>
      </c>
      <c r="AB1289" t="s">
        <v>18646</v>
      </c>
      <c r="AC1289" t="s">
        <v>18645</v>
      </c>
      <c r="AD1289" t="s">
        <v>18644</v>
      </c>
      <c r="AE1289" t="s">
        <v>18643</v>
      </c>
      <c r="AF1289" t="s">
        <v>74</v>
      </c>
      <c r="AG1289">
        <v>15</v>
      </c>
      <c r="AH1289">
        <v>9</v>
      </c>
      <c r="AI1289">
        <v>10</v>
      </c>
      <c r="AJ1289">
        <v>0</v>
      </c>
      <c r="AK1289">
        <v>3</v>
      </c>
      <c r="AL1289" t="s">
        <v>13697</v>
      </c>
      <c r="AM1289" t="s">
        <v>13698</v>
      </c>
      <c r="AN1289" t="s">
        <v>13699</v>
      </c>
      <c r="AO1289" t="s">
        <v>13700</v>
      </c>
      <c r="AP1289" t="s">
        <v>18642</v>
      </c>
      <c r="AQ1289" t="s">
        <v>74</v>
      </c>
      <c r="AR1289" t="s">
        <v>13701</v>
      </c>
      <c r="AS1289" t="s">
        <v>13702</v>
      </c>
      <c r="AT1289" t="s">
        <v>13703</v>
      </c>
      <c r="AU1289">
        <v>2010</v>
      </c>
      <c r="AV1289">
        <v>28</v>
      </c>
      <c r="AW1289">
        <v>2</v>
      </c>
      <c r="AX1289" t="s">
        <v>74</v>
      </c>
      <c r="AY1289">
        <v>58</v>
      </c>
      <c r="AZ1289" t="s">
        <v>74</v>
      </c>
      <c r="BA1289" t="s">
        <v>74</v>
      </c>
      <c r="BB1289" t="s">
        <v>17617</v>
      </c>
      <c r="BC1289" t="s">
        <v>18641</v>
      </c>
      <c r="BD1289" t="s">
        <v>74</v>
      </c>
      <c r="BE1289" t="s">
        <v>74</v>
      </c>
      <c r="BF1289" t="s">
        <v>74</v>
      </c>
      <c r="BG1289" t="s">
        <v>74</v>
      </c>
      <c r="BH1289" t="s">
        <v>74</v>
      </c>
      <c r="BI1289">
        <v>6</v>
      </c>
      <c r="BJ1289" t="s">
        <v>2369</v>
      </c>
      <c r="BK1289" t="s">
        <v>101</v>
      </c>
      <c r="BL1289" t="s">
        <v>2369</v>
      </c>
      <c r="BM1289" t="s">
        <v>18627</v>
      </c>
      <c r="BN1289">
        <v>20576214</v>
      </c>
      <c r="BO1289" t="s">
        <v>74</v>
      </c>
      <c r="BP1289" t="s">
        <v>74</v>
      </c>
      <c r="BQ1289" t="s">
        <v>74</v>
      </c>
      <c r="BR1289" t="s">
        <v>104</v>
      </c>
      <c r="BS1289" t="s">
        <v>18640</v>
      </c>
      <c r="BT1289" t="str">
        <f>HYPERLINK("https%3A%2F%2Fwww.webofscience.com%2Fwos%2Fwoscc%2Ffull-record%2FWOS:000279203200009","View Full Record in Web of Science")</f>
        <v>View Full Record in Web of Science</v>
      </c>
    </row>
    <row r="1290" spans="1:72" x14ac:dyDescent="0.25">
      <c r="A1290" t="s">
        <v>72</v>
      </c>
      <c r="B1290" t="s">
        <v>18639</v>
      </c>
      <c r="C1290" t="s">
        <v>74</v>
      </c>
      <c r="D1290" t="s">
        <v>74</v>
      </c>
      <c r="E1290" t="s">
        <v>74</v>
      </c>
      <c r="F1290" t="s">
        <v>18638</v>
      </c>
      <c r="G1290" t="s">
        <v>74</v>
      </c>
      <c r="H1290" t="s">
        <v>74</v>
      </c>
      <c r="I1290" t="s">
        <v>18637</v>
      </c>
      <c r="J1290" t="s">
        <v>13692</v>
      </c>
      <c r="K1290" t="s">
        <v>74</v>
      </c>
      <c r="L1290" t="s">
        <v>74</v>
      </c>
      <c r="M1290" t="s">
        <v>78</v>
      </c>
      <c r="N1290" t="s">
        <v>52</v>
      </c>
      <c r="O1290" t="s">
        <v>74</v>
      </c>
      <c r="P1290" t="s">
        <v>74</v>
      </c>
      <c r="Q1290" t="s">
        <v>74</v>
      </c>
      <c r="R1290" t="s">
        <v>74</v>
      </c>
      <c r="S1290" t="s">
        <v>74</v>
      </c>
      <c r="T1290" t="s">
        <v>74</v>
      </c>
      <c r="U1290" t="s">
        <v>74</v>
      </c>
      <c r="V1290" t="s">
        <v>74</v>
      </c>
      <c r="W1290" t="s">
        <v>18636</v>
      </c>
      <c r="X1290" t="s">
        <v>17641</v>
      </c>
      <c r="Y1290" t="s">
        <v>74</v>
      </c>
      <c r="Z1290" t="s">
        <v>74</v>
      </c>
      <c r="AA1290" t="s">
        <v>18635</v>
      </c>
      <c r="AB1290" t="s">
        <v>13185</v>
      </c>
      <c r="AC1290" t="s">
        <v>74</v>
      </c>
      <c r="AD1290" t="s">
        <v>74</v>
      </c>
      <c r="AE1290" t="s">
        <v>74</v>
      </c>
      <c r="AF1290" t="s">
        <v>74</v>
      </c>
      <c r="AG1290">
        <v>0</v>
      </c>
      <c r="AH1290">
        <v>0</v>
      </c>
      <c r="AI1290">
        <v>0</v>
      </c>
      <c r="AJ1290">
        <v>0</v>
      </c>
      <c r="AK1290">
        <v>1</v>
      </c>
      <c r="AL1290" t="s">
        <v>13697</v>
      </c>
      <c r="AM1290" t="s">
        <v>13698</v>
      </c>
      <c r="AN1290" t="s">
        <v>13699</v>
      </c>
      <c r="AO1290" t="s">
        <v>13700</v>
      </c>
      <c r="AP1290" t="s">
        <v>74</v>
      </c>
      <c r="AQ1290" t="s">
        <v>74</v>
      </c>
      <c r="AR1290" t="s">
        <v>13701</v>
      </c>
      <c r="AS1290" t="s">
        <v>13702</v>
      </c>
      <c r="AT1290" t="s">
        <v>13703</v>
      </c>
      <c r="AU1290">
        <v>2010</v>
      </c>
      <c r="AV1290">
        <v>28</v>
      </c>
      <c r="AW1290">
        <v>2</v>
      </c>
      <c r="AX1290" t="s">
        <v>74</v>
      </c>
      <c r="AY1290">
        <v>58</v>
      </c>
      <c r="AZ1290" t="s">
        <v>74</v>
      </c>
      <c r="BA1290" t="s">
        <v>74</v>
      </c>
      <c r="BB1290" t="s">
        <v>18634</v>
      </c>
      <c r="BC1290" t="s">
        <v>18634</v>
      </c>
      <c r="BD1290" t="s">
        <v>74</v>
      </c>
      <c r="BE1290" t="s">
        <v>74</v>
      </c>
      <c r="BF1290" t="s">
        <v>74</v>
      </c>
      <c r="BG1290" t="s">
        <v>74</v>
      </c>
      <c r="BH1290" t="s">
        <v>74</v>
      </c>
      <c r="BI1290">
        <v>1</v>
      </c>
      <c r="BJ1290" t="s">
        <v>2369</v>
      </c>
      <c r="BK1290" t="s">
        <v>101</v>
      </c>
      <c r="BL1290" t="s">
        <v>2369</v>
      </c>
      <c r="BM1290" t="s">
        <v>18627</v>
      </c>
      <c r="BN1290" t="s">
        <v>74</v>
      </c>
      <c r="BO1290" t="s">
        <v>74</v>
      </c>
      <c r="BP1290" t="s">
        <v>74</v>
      </c>
      <c r="BQ1290" t="s">
        <v>74</v>
      </c>
      <c r="BR1290" t="s">
        <v>104</v>
      </c>
      <c r="BS1290" t="s">
        <v>18633</v>
      </c>
      <c r="BT1290" t="str">
        <f>HYPERLINK("https%3A%2F%2Fwww.webofscience.com%2Fwos%2Fwoscc%2Ffull-record%2FWOS:000279203200308","View Full Record in Web of Science")</f>
        <v>View Full Record in Web of Science</v>
      </c>
    </row>
    <row r="1291" spans="1:72" x14ac:dyDescent="0.25">
      <c r="A1291" t="s">
        <v>72</v>
      </c>
      <c r="B1291" t="s">
        <v>18632</v>
      </c>
      <c r="C1291" t="s">
        <v>74</v>
      </c>
      <c r="D1291" t="s">
        <v>74</v>
      </c>
      <c r="E1291" t="s">
        <v>74</v>
      </c>
      <c r="F1291" t="s">
        <v>18631</v>
      </c>
      <c r="G1291" t="s">
        <v>74</v>
      </c>
      <c r="H1291" t="s">
        <v>74</v>
      </c>
      <c r="I1291" t="s">
        <v>18630</v>
      </c>
      <c r="J1291" t="s">
        <v>13692</v>
      </c>
      <c r="K1291" t="s">
        <v>74</v>
      </c>
      <c r="L1291" t="s">
        <v>74</v>
      </c>
      <c r="M1291" t="s">
        <v>78</v>
      </c>
      <c r="N1291" t="s">
        <v>52</v>
      </c>
      <c r="O1291" t="s">
        <v>74</v>
      </c>
      <c r="P1291" t="s">
        <v>74</v>
      </c>
      <c r="Q1291" t="s">
        <v>74</v>
      </c>
      <c r="R1291" t="s">
        <v>74</v>
      </c>
      <c r="S1291" t="s">
        <v>74</v>
      </c>
      <c r="T1291" t="s">
        <v>74</v>
      </c>
      <c r="U1291" t="s">
        <v>74</v>
      </c>
      <c r="V1291" t="s">
        <v>74</v>
      </c>
      <c r="W1291" t="s">
        <v>18629</v>
      </c>
      <c r="X1291" t="s">
        <v>18628</v>
      </c>
      <c r="Y1291" t="s">
        <v>74</v>
      </c>
      <c r="Z1291" t="s">
        <v>74</v>
      </c>
      <c r="AA1291" t="s">
        <v>17160</v>
      </c>
      <c r="AB1291" t="s">
        <v>13185</v>
      </c>
      <c r="AC1291" t="s">
        <v>74</v>
      </c>
      <c r="AD1291" t="s">
        <v>74</v>
      </c>
      <c r="AE1291" t="s">
        <v>74</v>
      </c>
      <c r="AF1291" t="s">
        <v>74</v>
      </c>
      <c r="AG1291">
        <v>0</v>
      </c>
      <c r="AH1291">
        <v>0</v>
      </c>
      <c r="AI1291">
        <v>0</v>
      </c>
      <c r="AJ1291">
        <v>0</v>
      </c>
      <c r="AK1291">
        <v>0</v>
      </c>
      <c r="AL1291" t="s">
        <v>13697</v>
      </c>
      <c r="AM1291" t="s">
        <v>13698</v>
      </c>
      <c r="AN1291" t="s">
        <v>13699</v>
      </c>
      <c r="AO1291" t="s">
        <v>13700</v>
      </c>
      <c r="AP1291" t="s">
        <v>74</v>
      </c>
      <c r="AQ1291" t="s">
        <v>74</v>
      </c>
      <c r="AR1291" t="s">
        <v>13701</v>
      </c>
      <c r="AS1291" t="s">
        <v>13702</v>
      </c>
      <c r="AT1291" t="s">
        <v>13703</v>
      </c>
      <c r="AU1291">
        <v>2010</v>
      </c>
      <c r="AV1291">
        <v>28</v>
      </c>
      <c r="AW1291">
        <v>2</v>
      </c>
      <c r="AX1291" t="s">
        <v>74</v>
      </c>
      <c r="AY1291">
        <v>58</v>
      </c>
      <c r="AZ1291" t="s">
        <v>74</v>
      </c>
      <c r="BA1291" t="s">
        <v>74</v>
      </c>
      <c r="BB1291" t="s">
        <v>999</v>
      </c>
      <c r="BC1291" t="s">
        <v>999</v>
      </c>
      <c r="BD1291" t="s">
        <v>74</v>
      </c>
      <c r="BE1291" t="s">
        <v>74</v>
      </c>
      <c r="BF1291" t="s">
        <v>74</v>
      </c>
      <c r="BG1291" t="s">
        <v>74</v>
      </c>
      <c r="BH1291" t="s">
        <v>74</v>
      </c>
      <c r="BI1291">
        <v>1</v>
      </c>
      <c r="BJ1291" t="s">
        <v>2369</v>
      </c>
      <c r="BK1291" t="s">
        <v>101</v>
      </c>
      <c r="BL1291" t="s">
        <v>2369</v>
      </c>
      <c r="BM1291" t="s">
        <v>18627</v>
      </c>
      <c r="BN1291" t="s">
        <v>74</v>
      </c>
      <c r="BO1291" t="s">
        <v>74</v>
      </c>
      <c r="BP1291" t="s">
        <v>74</v>
      </c>
      <c r="BQ1291" t="s">
        <v>74</v>
      </c>
      <c r="BR1291" t="s">
        <v>104</v>
      </c>
      <c r="BS1291" t="s">
        <v>18626</v>
      </c>
      <c r="BT1291" t="str">
        <f>HYPERLINK("https%3A%2F%2Fwww.webofscience.com%2Fwos%2Fwoscc%2Ffull-record%2FWOS:000279203200070","View Full Record in Web of Science")</f>
        <v>View Full Record in Web of Science</v>
      </c>
    </row>
    <row r="1292" spans="1:72" x14ac:dyDescent="0.25">
      <c r="A1292" t="s">
        <v>72</v>
      </c>
      <c r="B1292" t="s">
        <v>18625</v>
      </c>
      <c r="C1292" t="s">
        <v>74</v>
      </c>
      <c r="D1292" t="s">
        <v>74</v>
      </c>
      <c r="E1292" t="s">
        <v>74</v>
      </c>
      <c r="F1292" t="s">
        <v>18624</v>
      </c>
      <c r="G1292" t="s">
        <v>74</v>
      </c>
      <c r="H1292" t="s">
        <v>74</v>
      </c>
      <c r="I1292" t="s">
        <v>18623</v>
      </c>
      <c r="J1292" t="s">
        <v>2355</v>
      </c>
      <c r="K1292" t="s">
        <v>74</v>
      </c>
      <c r="L1292" t="s">
        <v>74</v>
      </c>
      <c r="M1292" t="s">
        <v>78</v>
      </c>
      <c r="N1292" t="s">
        <v>79</v>
      </c>
      <c r="O1292" t="s">
        <v>74</v>
      </c>
      <c r="P1292" t="s">
        <v>74</v>
      </c>
      <c r="Q1292" t="s">
        <v>74</v>
      </c>
      <c r="R1292" t="s">
        <v>74</v>
      </c>
      <c r="S1292" t="s">
        <v>74</v>
      </c>
      <c r="T1292" t="s">
        <v>18622</v>
      </c>
      <c r="U1292" t="s">
        <v>18621</v>
      </c>
      <c r="V1292" t="s">
        <v>18620</v>
      </c>
      <c r="W1292" t="s">
        <v>18619</v>
      </c>
      <c r="X1292" t="s">
        <v>18618</v>
      </c>
      <c r="Y1292" t="s">
        <v>18617</v>
      </c>
      <c r="Z1292" t="s">
        <v>15988</v>
      </c>
      <c r="AA1292" t="s">
        <v>18616</v>
      </c>
      <c r="AB1292" t="s">
        <v>18615</v>
      </c>
      <c r="AC1292" t="s">
        <v>74</v>
      </c>
      <c r="AD1292" t="s">
        <v>74</v>
      </c>
      <c r="AE1292" t="s">
        <v>74</v>
      </c>
      <c r="AF1292" t="s">
        <v>74</v>
      </c>
      <c r="AG1292">
        <v>41</v>
      </c>
      <c r="AH1292">
        <v>79</v>
      </c>
      <c r="AI1292">
        <v>91</v>
      </c>
      <c r="AJ1292">
        <v>0</v>
      </c>
      <c r="AK1292">
        <v>5</v>
      </c>
      <c r="AL1292" t="s">
        <v>1073</v>
      </c>
      <c r="AM1292" t="s">
        <v>1074</v>
      </c>
      <c r="AN1292" t="s">
        <v>1075</v>
      </c>
      <c r="AO1292" t="s">
        <v>2365</v>
      </c>
      <c r="AP1292" t="s">
        <v>2366</v>
      </c>
      <c r="AQ1292" t="s">
        <v>74</v>
      </c>
      <c r="AR1292" t="s">
        <v>2355</v>
      </c>
      <c r="AS1292" t="s">
        <v>2355</v>
      </c>
      <c r="AT1292" t="s">
        <v>98</v>
      </c>
      <c r="AU1292">
        <v>2010</v>
      </c>
      <c r="AV1292">
        <v>49</v>
      </c>
      <c r="AW1292">
        <v>3</v>
      </c>
      <c r="AX1292" t="s">
        <v>74</v>
      </c>
      <c r="AY1292" t="s">
        <v>74</v>
      </c>
      <c r="AZ1292" t="s">
        <v>74</v>
      </c>
      <c r="BA1292" t="s">
        <v>74</v>
      </c>
      <c r="BB1292">
        <v>490</v>
      </c>
      <c r="BC1292">
        <v>500</v>
      </c>
      <c r="BD1292" t="s">
        <v>74</v>
      </c>
      <c r="BE1292" t="s">
        <v>18614</v>
      </c>
      <c r="BF1292" t="str">
        <f>HYPERLINK("http://dx.doi.org/10.1093/rheumatology/kep398","http://dx.doi.org/10.1093/rheumatology/kep398")</f>
        <v>http://dx.doi.org/10.1093/rheumatology/kep398</v>
      </c>
      <c r="BG1292" t="s">
        <v>74</v>
      </c>
      <c r="BH1292" t="s">
        <v>74</v>
      </c>
      <c r="BI1292">
        <v>11</v>
      </c>
      <c r="BJ1292" t="s">
        <v>2369</v>
      </c>
      <c r="BK1292" t="s">
        <v>101</v>
      </c>
      <c r="BL1292" t="s">
        <v>2369</v>
      </c>
      <c r="BM1292" t="s">
        <v>18613</v>
      </c>
      <c r="BN1292">
        <v>20015974</v>
      </c>
      <c r="BO1292" t="s">
        <v>1194</v>
      </c>
      <c r="BP1292" t="s">
        <v>74</v>
      </c>
      <c r="BQ1292" t="s">
        <v>74</v>
      </c>
      <c r="BR1292" t="s">
        <v>104</v>
      </c>
      <c r="BS1292" t="s">
        <v>18612</v>
      </c>
      <c r="BT1292" t="str">
        <f>HYPERLINK("https%3A%2F%2Fwww.webofscience.com%2Fwos%2Fwoscc%2Ffull-record%2FWOS:000274487000012","View Full Record in Web of Science")</f>
        <v>View Full Record in Web of Science</v>
      </c>
    </row>
    <row r="1293" spans="1:72" x14ac:dyDescent="0.25">
      <c r="A1293" t="s">
        <v>72</v>
      </c>
      <c r="B1293" t="s">
        <v>15543</v>
      </c>
      <c r="C1293" t="s">
        <v>74</v>
      </c>
      <c r="D1293" t="s">
        <v>74</v>
      </c>
      <c r="E1293" t="s">
        <v>74</v>
      </c>
      <c r="F1293" t="s">
        <v>16617</v>
      </c>
      <c r="G1293" t="s">
        <v>74</v>
      </c>
      <c r="H1293" t="s">
        <v>74</v>
      </c>
      <c r="I1293" t="s">
        <v>18611</v>
      </c>
      <c r="J1293" t="s">
        <v>637</v>
      </c>
      <c r="K1293" t="s">
        <v>74</v>
      </c>
      <c r="L1293" t="s">
        <v>74</v>
      </c>
      <c r="M1293" t="s">
        <v>78</v>
      </c>
      <c r="N1293" t="s">
        <v>140</v>
      </c>
      <c r="O1293" t="s">
        <v>74</v>
      </c>
      <c r="P1293" t="s">
        <v>74</v>
      </c>
      <c r="Q1293" t="s">
        <v>74</v>
      </c>
      <c r="R1293" t="s">
        <v>74</v>
      </c>
      <c r="S1293" t="s">
        <v>74</v>
      </c>
      <c r="T1293" t="s">
        <v>74</v>
      </c>
      <c r="U1293" t="s">
        <v>18610</v>
      </c>
      <c r="V1293" t="s">
        <v>74</v>
      </c>
      <c r="W1293" t="s">
        <v>18609</v>
      </c>
      <c r="X1293" t="s">
        <v>18608</v>
      </c>
      <c r="Y1293" t="s">
        <v>18607</v>
      </c>
      <c r="Z1293" t="s">
        <v>74</v>
      </c>
      <c r="AA1293" t="s">
        <v>7706</v>
      </c>
      <c r="AB1293" t="s">
        <v>257</v>
      </c>
      <c r="AC1293" t="s">
        <v>74</v>
      </c>
      <c r="AD1293" t="s">
        <v>74</v>
      </c>
      <c r="AE1293" t="s">
        <v>74</v>
      </c>
      <c r="AF1293" t="s">
        <v>74</v>
      </c>
      <c r="AG1293">
        <v>14</v>
      </c>
      <c r="AH1293">
        <v>9</v>
      </c>
      <c r="AI1293">
        <v>9</v>
      </c>
      <c r="AJ1293">
        <v>0</v>
      </c>
      <c r="AK1293">
        <v>2</v>
      </c>
      <c r="AL1293" t="s">
        <v>649</v>
      </c>
      <c r="AM1293" t="s">
        <v>486</v>
      </c>
      <c r="AN1293" t="s">
        <v>650</v>
      </c>
      <c r="AO1293" t="s">
        <v>651</v>
      </c>
      <c r="AP1293" t="s">
        <v>652</v>
      </c>
      <c r="AQ1293" t="s">
        <v>74</v>
      </c>
      <c r="AR1293" t="s">
        <v>653</v>
      </c>
      <c r="AS1293" t="s">
        <v>654</v>
      </c>
      <c r="AT1293" t="s">
        <v>2573</v>
      </c>
      <c r="AU1293">
        <v>2010</v>
      </c>
      <c r="AV1293">
        <v>181</v>
      </c>
      <c r="AW1293">
        <v>3</v>
      </c>
      <c r="AX1293" t="s">
        <v>74</v>
      </c>
      <c r="AY1293" t="s">
        <v>74</v>
      </c>
      <c r="AZ1293" t="s">
        <v>74</v>
      </c>
      <c r="BA1293" t="s">
        <v>74</v>
      </c>
      <c r="BB1293">
        <v>202</v>
      </c>
      <c r="BC1293">
        <v>203</v>
      </c>
      <c r="BD1293" t="s">
        <v>74</v>
      </c>
      <c r="BE1293" t="s">
        <v>18606</v>
      </c>
      <c r="BF1293" t="str">
        <f>HYPERLINK("http://dx.doi.org/10.1164/rccm.200911-1723ED","http://dx.doi.org/10.1164/rccm.200911-1723ED")</f>
        <v>http://dx.doi.org/10.1164/rccm.200911-1723ED</v>
      </c>
      <c r="BG1293" t="s">
        <v>74</v>
      </c>
      <c r="BH1293" t="s">
        <v>74</v>
      </c>
      <c r="BI1293">
        <v>2</v>
      </c>
      <c r="BJ1293" t="s">
        <v>341</v>
      </c>
      <c r="BK1293" t="s">
        <v>101</v>
      </c>
      <c r="BL1293" t="s">
        <v>342</v>
      </c>
      <c r="BM1293" t="s">
        <v>18605</v>
      </c>
      <c r="BN1293">
        <v>20093654</v>
      </c>
      <c r="BO1293" t="s">
        <v>74</v>
      </c>
      <c r="BP1293" t="s">
        <v>74</v>
      </c>
      <c r="BQ1293" t="s">
        <v>74</v>
      </c>
      <c r="BR1293" t="s">
        <v>104</v>
      </c>
      <c r="BS1293" t="s">
        <v>18604</v>
      </c>
      <c r="BT1293" t="str">
        <f>HYPERLINK("https%3A%2F%2Fwww.webofscience.com%2Fwos%2Fwoscc%2Ffull-record%2FWOS:000273956600002","View Full Record in Web of Science")</f>
        <v>View Full Record in Web of Science</v>
      </c>
    </row>
    <row r="1294" spans="1:72" x14ac:dyDescent="0.25">
      <c r="A1294" t="s">
        <v>72</v>
      </c>
      <c r="B1294" t="s">
        <v>18603</v>
      </c>
      <c r="C1294" t="s">
        <v>74</v>
      </c>
      <c r="D1294" t="s">
        <v>74</v>
      </c>
      <c r="E1294" t="s">
        <v>74</v>
      </c>
      <c r="F1294" t="s">
        <v>18602</v>
      </c>
      <c r="G1294" t="s">
        <v>74</v>
      </c>
      <c r="H1294" t="s">
        <v>74</v>
      </c>
      <c r="I1294" t="s">
        <v>18601</v>
      </c>
      <c r="J1294" t="s">
        <v>1348</v>
      </c>
      <c r="K1294" t="s">
        <v>74</v>
      </c>
      <c r="L1294" t="s">
        <v>74</v>
      </c>
      <c r="M1294" t="s">
        <v>1349</v>
      </c>
      <c r="N1294" t="s">
        <v>140</v>
      </c>
      <c r="O1294" t="s">
        <v>74</v>
      </c>
      <c r="P1294" t="s">
        <v>74</v>
      </c>
      <c r="Q1294" t="s">
        <v>74</v>
      </c>
      <c r="R1294" t="s">
        <v>74</v>
      </c>
      <c r="S1294" t="s">
        <v>74</v>
      </c>
      <c r="T1294" t="s">
        <v>74</v>
      </c>
      <c r="U1294" t="s">
        <v>18600</v>
      </c>
      <c r="V1294" t="s">
        <v>74</v>
      </c>
      <c r="W1294" t="s">
        <v>18599</v>
      </c>
      <c r="X1294" t="s">
        <v>18598</v>
      </c>
      <c r="Y1294" t="s">
        <v>18597</v>
      </c>
      <c r="Z1294" t="s">
        <v>17425</v>
      </c>
      <c r="AA1294" t="s">
        <v>1549</v>
      </c>
      <c r="AB1294" t="s">
        <v>3168</v>
      </c>
      <c r="AC1294" t="s">
        <v>74</v>
      </c>
      <c r="AD1294" t="s">
        <v>74</v>
      </c>
      <c r="AE1294" t="s">
        <v>74</v>
      </c>
      <c r="AF1294" t="s">
        <v>74</v>
      </c>
      <c r="AG1294">
        <v>11</v>
      </c>
      <c r="AH1294">
        <v>0</v>
      </c>
      <c r="AI1294">
        <v>0</v>
      </c>
      <c r="AJ1294">
        <v>0</v>
      </c>
      <c r="AK1294">
        <v>0</v>
      </c>
      <c r="AL1294" t="s">
        <v>1358</v>
      </c>
      <c r="AM1294" t="s">
        <v>1359</v>
      </c>
      <c r="AN1294" t="s">
        <v>1360</v>
      </c>
      <c r="AO1294" t="s">
        <v>1361</v>
      </c>
      <c r="AP1294" t="s">
        <v>1362</v>
      </c>
      <c r="AQ1294" t="s">
        <v>74</v>
      </c>
      <c r="AR1294" t="s">
        <v>1363</v>
      </c>
      <c r="AS1294" t="s">
        <v>1364</v>
      </c>
      <c r="AT1294" t="s">
        <v>129</v>
      </c>
      <c r="AU1294">
        <v>2010</v>
      </c>
      <c r="AV1294">
        <v>27</v>
      </c>
      <c r="AW1294">
        <v>2</v>
      </c>
      <c r="AX1294" t="s">
        <v>74</v>
      </c>
      <c r="AY1294" t="s">
        <v>74</v>
      </c>
      <c r="AZ1294" t="s">
        <v>74</v>
      </c>
      <c r="BA1294" t="s">
        <v>74</v>
      </c>
      <c r="BB1294">
        <v>103</v>
      </c>
      <c r="BC1294">
        <v>105</v>
      </c>
      <c r="BD1294" t="s">
        <v>74</v>
      </c>
      <c r="BE1294" t="s">
        <v>18596</v>
      </c>
      <c r="BF1294" t="str">
        <f>HYPERLINK("http://dx.doi.org/10.1016/j.rmr.2009.12.007","http://dx.doi.org/10.1016/j.rmr.2009.12.007")</f>
        <v>http://dx.doi.org/10.1016/j.rmr.2009.12.007</v>
      </c>
      <c r="BG1294" t="s">
        <v>74</v>
      </c>
      <c r="BH1294" t="s">
        <v>74</v>
      </c>
      <c r="BI1294">
        <v>3</v>
      </c>
      <c r="BJ1294" t="s">
        <v>228</v>
      </c>
      <c r="BK1294" t="s">
        <v>101</v>
      </c>
      <c r="BL1294" t="s">
        <v>228</v>
      </c>
      <c r="BM1294" t="s">
        <v>18583</v>
      </c>
      <c r="BN1294">
        <v>20206056</v>
      </c>
      <c r="BO1294" t="s">
        <v>74</v>
      </c>
      <c r="BP1294" t="s">
        <v>74</v>
      </c>
      <c r="BQ1294" t="s">
        <v>74</v>
      </c>
      <c r="BR1294" t="s">
        <v>104</v>
      </c>
      <c r="BS1294" t="s">
        <v>18595</v>
      </c>
      <c r="BT1294" t="str">
        <f>HYPERLINK("https%3A%2F%2Fwww.webofscience.com%2Fwos%2Fwoscc%2Ffull-record%2FWOS:000275869200001","View Full Record in Web of Science")</f>
        <v>View Full Record in Web of Science</v>
      </c>
    </row>
    <row r="1295" spans="1:72" x14ac:dyDescent="0.25">
      <c r="A1295" t="s">
        <v>72</v>
      </c>
      <c r="B1295" t="s">
        <v>18594</v>
      </c>
      <c r="C1295" t="s">
        <v>74</v>
      </c>
      <c r="D1295" t="s">
        <v>74</v>
      </c>
      <c r="E1295" t="s">
        <v>74</v>
      </c>
      <c r="F1295" t="s">
        <v>18593</v>
      </c>
      <c r="G1295" t="s">
        <v>74</v>
      </c>
      <c r="H1295" t="s">
        <v>74</v>
      </c>
      <c r="I1295" t="s">
        <v>18343</v>
      </c>
      <c r="J1295" t="s">
        <v>1348</v>
      </c>
      <c r="K1295" t="s">
        <v>74</v>
      </c>
      <c r="L1295" t="s">
        <v>74</v>
      </c>
      <c r="M1295" t="s">
        <v>1349</v>
      </c>
      <c r="N1295" t="s">
        <v>299</v>
      </c>
      <c r="O1295" t="s">
        <v>74</v>
      </c>
      <c r="P1295" t="s">
        <v>74</v>
      </c>
      <c r="Q1295" t="s">
        <v>74</v>
      </c>
      <c r="R1295" t="s">
        <v>74</v>
      </c>
      <c r="S1295" t="s">
        <v>74</v>
      </c>
      <c r="T1295" t="s">
        <v>18592</v>
      </c>
      <c r="U1295" t="s">
        <v>18591</v>
      </c>
      <c r="V1295" t="s">
        <v>18590</v>
      </c>
      <c r="W1295" t="s">
        <v>18589</v>
      </c>
      <c r="X1295" t="s">
        <v>18588</v>
      </c>
      <c r="Y1295" t="s">
        <v>18587</v>
      </c>
      <c r="Z1295" t="s">
        <v>18586</v>
      </c>
      <c r="AA1295" t="s">
        <v>14550</v>
      </c>
      <c r="AB1295" t="s">
        <v>18585</v>
      </c>
      <c r="AC1295" t="s">
        <v>74</v>
      </c>
      <c r="AD1295" t="s">
        <v>74</v>
      </c>
      <c r="AE1295" t="s">
        <v>74</v>
      </c>
      <c r="AF1295" t="s">
        <v>74</v>
      </c>
      <c r="AG1295">
        <v>40</v>
      </c>
      <c r="AH1295">
        <v>9</v>
      </c>
      <c r="AI1295">
        <v>13</v>
      </c>
      <c r="AJ1295">
        <v>1</v>
      </c>
      <c r="AK1295">
        <v>11</v>
      </c>
      <c r="AL1295" t="s">
        <v>1358</v>
      </c>
      <c r="AM1295" t="s">
        <v>1359</v>
      </c>
      <c r="AN1295" t="s">
        <v>1360</v>
      </c>
      <c r="AO1295" t="s">
        <v>1361</v>
      </c>
      <c r="AP1295" t="s">
        <v>1362</v>
      </c>
      <c r="AQ1295" t="s">
        <v>74</v>
      </c>
      <c r="AR1295" t="s">
        <v>1363</v>
      </c>
      <c r="AS1295" t="s">
        <v>1364</v>
      </c>
      <c r="AT1295" t="s">
        <v>129</v>
      </c>
      <c r="AU1295">
        <v>2010</v>
      </c>
      <c r="AV1295">
        <v>27</v>
      </c>
      <c r="AW1295">
        <v>2</v>
      </c>
      <c r="AX1295" t="s">
        <v>74</v>
      </c>
      <c r="AY1295" t="s">
        <v>74</v>
      </c>
      <c r="AZ1295" t="s">
        <v>74</v>
      </c>
      <c r="BA1295" t="s">
        <v>74</v>
      </c>
      <c r="BB1295">
        <v>141</v>
      </c>
      <c r="BC1295">
        <v>150</v>
      </c>
      <c r="BD1295" t="s">
        <v>74</v>
      </c>
      <c r="BE1295" t="s">
        <v>18584</v>
      </c>
      <c r="BF1295" t="str">
        <f>HYPERLINK("http://dx.doi.org/10.1016/j.rmr.2009.11.013","http://dx.doi.org/10.1016/j.rmr.2009.11.013")</f>
        <v>http://dx.doi.org/10.1016/j.rmr.2009.11.013</v>
      </c>
      <c r="BG1295" t="s">
        <v>74</v>
      </c>
      <c r="BH1295" t="s">
        <v>74</v>
      </c>
      <c r="BI1295">
        <v>10</v>
      </c>
      <c r="BJ1295" t="s">
        <v>228</v>
      </c>
      <c r="BK1295" t="s">
        <v>101</v>
      </c>
      <c r="BL1295" t="s">
        <v>228</v>
      </c>
      <c r="BM1295" t="s">
        <v>18583</v>
      </c>
      <c r="BN1295">
        <v>20206062</v>
      </c>
      <c r="BO1295" t="s">
        <v>74</v>
      </c>
      <c r="BP1295" t="s">
        <v>74</v>
      </c>
      <c r="BQ1295" t="s">
        <v>74</v>
      </c>
      <c r="BR1295" t="s">
        <v>104</v>
      </c>
      <c r="BS1295" t="s">
        <v>18582</v>
      </c>
      <c r="BT1295" t="str">
        <f>HYPERLINK("https%3A%2F%2Fwww.webofscience.com%2Fwos%2Fwoscc%2Ffull-record%2FWOS:000275869200007","View Full Record in Web of Science")</f>
        <v>View Full Record in Web of Science</v>
      </c>
    </row>
    <row r="1296" spans="1:72" x14ac:dyDescent="0.25">
      <c r="A1296" t="s">
        <v>72</v>
      </c>
      <c r="B1296" t="s">
        <v>17596</v>
      </c>
      <c r="C1296" t="s">
        <v>74</v>
      </c>
      <c r="D1296" t="s">
        <v>74</v>
      </c>
      <c r="E1296" t="s">
        <v>74</v>
      </c>
      <c r="F1296" t="s">
        <v>18581</v>
      </c>
      <c r="G1296" t="s">
        <v>74</v>
      </c>
      <c r="H1296" t="s">
        <v>74</v>
      </c>
      <c r="I1296" t="s">
        <v>18580</v>
      </c>
      <c r="J1296" t="s">
        <v>2580</v>
      </c>
      <c r="K1296" t="s">
        <v>74</v>
      </c>
      <c r="L1296" t="s">
        <v>74</v>
      </c>
      <c r="M1296" t="s">
        <v>78</v>
      </c>
      <c r="N1296" t="s">
        <v>79</v>
      </c>
      <c r="O1296" t="s">
        <v>74</v>
      </c>
      <c r="P1296" t="s">
        <v>74</v>
      </c>
      <c r="Q1296" t="s">
        <v>74</v>
      </c>
      <c r="R1296" t="s">
        <v>74</v>
      </c>
      <c r="S1296" t="s">
        <v>74</v>
      </c>
      <c r="T1296" t="s">
        <v>74</v>
      </c>
      <c r="U1296" t="s">
        <v>18579</v>
      </c>
      <c r="V1296" t="s">
        <v>18578</v>
      </c>
      <c r="W1296" t="s">
        <v>18577</v>
      </c>
      <c r="X1296" t="s">
        <v>18576</v>
      </c>
      <c r="Y1296" t="s">
        <v>18575</v>
      </c>
      <c r="Z1296" t="s">
        <v>16064</v>
      </c>
      <c r="AA1296" t="s">
        <v>18574</v>
      </c>
      <c r="AB1296" t="s">
        <v>17406</v>
      </c>
      <c r="AC1296" t="s">
        <v>18573</v>
      </c>
      <c r="AD1296" t="s">
        <v>18572</v>
      </c>
      <c r="AE1296" t="s">
        <v>18571</v>
      </c>
      <c r="AF1296" t="s">
        <v>74</v>
      </c>
      <c r="AG1296">
        <v>49</v>
      </c>
      <c r="AH1296">
        <v>46</v>
      </c>
      <c r="AI1296">
        <v>49</v>
      </c>
      <c r="AJ1296">
        <v>0</v>
      </c>
      <c r="AK1296">
        <v>5</v>
      </c>
      <c r="AL1296" t="s">
        <v>2590</v>
      </c>
      <c r="AM1296" t="s">
        <v>201</v>
      </c>
      <c r="AN1296" t="s">
        <v>2591</v>
      </c>
      <c r="AO1296" t="s">
        <v>2592</v>
      </c>
      <c r="AP1296" t="s">
        <v>2593</v>
      </c>
      <c r="AQ1296" t="s">
        <v>74</v>
      </c>
      <c r="AR1296" t="s">
        <v>2594</v>
      </c>
      <c r="AS1296" t="s">
        <v>2595</v>
      </c>
      <c r="AT1296" t="s">
        <v>129</v>
      </c>
      <c r="AU1296">
        <v>2010</v>
      </c>
      <c r="AV1296">
        <v>69</v>
      </c>
      <c r="AW1296">
        <v>2</v>
      </c>
      <c r="AX1296" t="s">
        <v>74</v>
      </c>
      <c r="AY1296" t="s">
        <v>74</v>
      </c>
      <c r="AZ1296" t="s">
        <v>74</v>
      </c>
      <c r="BA1296" t="s">
        <v>74</v>
      </c>
      <c r="BB1296">
        <v>428</v>
      </c>
      <c r="BC1296">
        <v>433</v>
      </c>
      <c r="BD1296" t="s">
        <v>74</v>
      </c>
      <c r="BE1296" t="s">
        <v>18570</v>
      </c>
      <c r="BF1296" t="str">
        <f>HYPERLINK("http://dx.doi.org/10.1136/ard.2008.104299","http://dx.doi.org/10.1136/ard.2008.104299")</f>
        <v>http://dx.doi.org/10.1136/ard.2008.104299</v>
      </c>
      <c r="BG1296" t="s">
        <v>74</v>
      </c>
      <c r="BH1296" t="s">
        <v>74</v>
      </c>
      <c r="BI1296">
        <v>6</v>
      </c>
      <c r="BJ1296" t="s">
        <v>2369</v>
      </c>
      <c r="BK1296" t="s">
        <v>101</v>
      </c>
      <c r="BL1296" t="s">
        <v>2369</v>
      </c>
      <c r="BM1296" t="s">
        <v>18569</v>
      </c>
      <c r="BN1296">
        <v>19293162</v>
      </c>
      <c r="BO1296" t="s">
        <v>74</v>
      </c>
      <c r="BP1296" t="s">
        <v>74</v>
      </c>
      <c r="BQ1296" t="s">
        <v>74</v>
      </c>
      <c r="BR1296" t="s">
        <v>104</v>
      </c>
      <c r="BS1296" t="s">
        <v>18568</v>
      </c>
      <c r="BT1296" t="str">
        <f>HYPERLINK("https%3A%2F%2Fwww.webofscience.com%2Fwos%2Fwoscc%2Ffull-record%2FWOS:000274047300022","View Full Record in Web of Science")</f>
        <v>View Full Record in Web of Science</v>
      </c>
    </row>
    <row r="1297" spans="1:72" x14ac:dyDescent="0.25">
      <c r="A1297" t="s">
        <v>72</v>
      </c>
      <c r="B1297" t="s">
        <v>18567</v>
      </c>
      <c r="C1297" t="s">
        <v>74</v>
      </c>
      <c r="D1297" t="s">
        <v>74</v>
      </c>
      <c r="E1297" t="s">
        <v>74</v>
      </c>
      <c r="F1297" t="s">
        <v>18566</v>
      </c>
      <c r="G1297" t="s">
        <v>74</v>
      </c>
      <c r="H1297" t="s">
        <v>74</v>
      </c>
      <c r="I1297" t="s">
        <v>18565</v>
      </c>
      <c r="J1297" t="s">
        <v>16036</v>
      </c>
      <c r="K1297" t="s">
        <v>74</v>
      </c>
      <c r="L1297" t="s">
        <v>74</v>
      </c>
      <c r="M1297" t="s">
        <v>78</v>
      </c>
      <c r="N1297" t="s">
        <v>79</v>
      </c>
      <c r="O1297" t="s">
        <v>74</v>
      </c>
      <c r="P1297" t="s">
        <v>74</v>
      </c>
      <c r="Q1297" t="s">
        <v>74</v>
      </c>
      <c r="R1297" t="s">
        <v>74</v>
      </c>
      <c r="S1297" t="s">
        <v>74</v>
      </c>
      <c r="T1297" t="s">
        <v>18564</v>
      </c>
      <c r="U1297" t="s">
        <v>18563</v>
      </c>
      <c r="V1297" t="s">
        <v>18562</v>
      </c>
      <c r="W1297" t="s">
        <v>18561</v>
      </c>
      <c r="X1297" t="s">
        <v>18560</v>
      </c>
      <c r="Y1297" t="s">
        <v>18559</v>
      </c>
      <c r="Z1297" t="s">
        <v>17927</v>
      </c>
      <c r="AA1297" t="s">
        <v>18558</v>
      </c>
      <c r="AB1297" t="s">
        <v>18557</v>
      </c>
      <c r="AC1297" t="s">
        <v>18556</v>
      </c>
      <c r="AD1297" t="s">
        <v>18556</v>
      </c>
      <c r="AE1297" t="s">
        <v>18555</v>
      </c>
      <c r="AF1297" t="s">
        <v>74</v>
      </c>
      <c r="AG1297">
        <v>32</v>
      </c>
      <c r="AH1297">
        <v>129</v>
      </c>
      <c r="AI1297">
        <v>138</v>
      </c>
      <c r="AJ1297">
        <v>0</v>
      </c>
      <c r="AK1297">
        <v>0</v>
      </c>
      <c r="AL1297" t="s">
        <v>122</v>
      </c>
      <c r="AM1297" t="s">
        <v>123</v>
      </c>
      <c r="AN1297" t="s">
        <v>14769</v>
      </c>
      <c r="AO1297" t="s">
        <v>16037</v>
      </c>
      <c r="AP1297" t="s">
        <v>74</v>
      </c>
      <c r="AQ1297" t="s">
        <v>74</v>
      </c>
      <c r="AR1297" t="s">
        <v>16036</v>
      </c>
      <c r="AS1297" t="s">
        <v>16035</v>
      </c>
      <c r="AT1297" t="s">
        <v>18554</v>
      </c>
      <c r="AU1297">
        <v>2010</v>
      </c>
      <c r="AV1297">
        <v>24</v>
      </c>
      <c r="AW1297">
        <v>1</v>
      </c>
      <c r="AX1297" t="s">
        <v>74</v>
      </c>
      <c r="AY1297" t="s">
        <v>74</v>
      </c>
      <c r="AZ1297" t="s">
        <v>74</v>
      </c>
      <c r="BA1297" t="s">
        <v>74</v>
      </c>
      <c r="BB1297">
        <v>67</v>
      </c>
      <c r="BC1297">
        <v>75</v>
      </c>
      <c r="BD1297" t="s">
        <v>74</v>
      </c>
      <c r="BE1297" t="s">
        <v>18553</v>
      </c>
      <c r="BF1297" t="str">
        <f>HYPERLINK("http://dx.doi.org/10.1097/QAD.0b013e328331c65e","http://dx.doi.org/10.1097/QAD.0b013e328331c65e")</f>
        <v>http://dx.doi.org/10.1097/QAD.0b013e328331c65e</v>
      </c>
      <c r="BG1297" t="s">
        <v>74</v>
      </c>
      <c r="BH1297" t="s">
        <v>74</v>
      </c>
      <c r="BI1297">
        <v>9</v>
      </c>
      <c r="BJ1297" t="s">
        <v>16032</v>
      </c>
      <c r="BK1297" t="s">
        <v>101</v>
      </c>
      <c r="BL1297" t="s">
        <v>16032</v>
      </c>
      <c r="BM1297" t="s">
        <v>18552</v>
      </c>
      <c r="BN1297">
        <v>19770696</v>
      </c>
      <c r="BO1297" t="s">
        <v>1194</v>
      </c>
      <c r="BP1297" t="s">
        <v>74</v>
      </c>
      <c r="BQ1297" t="s">
        <v>74</v>
      </c>
      <c r="BR1297" t="s">
        <v>104</v>
      </c>
      <c r="BS1297" t="s">
        <v>18551</v>
      </c>
      <c r="BT1297" t="str">
        <f>HYPERLINK("https%3A%2F%2Fwww.webofscience.com%2Fwos%2Fwoscc%2Ffull-record%2FWOS:000272917900009","View Full Record in Web of Science")</f>
        <v>View Full Record in Web of Science</v>
      </c>
    </row>
    <row r="1298" spans="1:72" x14ac:dyDescent="0.25">
      <c r="A1298" t="s">
        <v>72</v>
      </c>
      <c r="B1298" t="s">
        <v>18550</v>
      </c>
      <c r="C1298" t="s">
        <v>74</v>
      </c>
      <c r="D1298" t="s">
        <v>74</v>
      </c>
      <c r="E1298" t="s">
        <v>74</v>
      </c>
      <c r="F1298" t="s">
        <v>18549</v>
      </c>
      <c r="G1298" t="s">
        <v>74</v>
      </c>
      <c r="H1298" t="s">
        <v>74</v>
      </c>
      <c r="I1298" t="s">
        <v>18548</v>
      </c>
      <c r="J1298" t="s">
        <v>637</v>
      </c>
      <c r="K1298" t="s">
        <v>74</v>
      </c>
      <c r="L1298" t="s">
        <v>74</v>
      </c>
      <c r="M1298" t="s">
        <v>78</v>
      </c>
      <c r="N1298" t="s">
        <v>52</v>
      </c>
      <c r="O1298" t="s">
        <v>74</v>
      </c>
      <c r="P1298" t="s">
        <v>74</v>
      </c>
      <c r="Q1298" t="s">
        <v>74</v>
      </c>
      <c r="R1298" t="s">
        <v>74</v>
      </c>
      <c r="S1298" t="s">
        <v>74</v>
      </c>
      <c r="T1298" t="s">
        <v>74</v>
      </c>
      <c r="U1298" t="s">
        <v>74</v>
      </c>
      <c r="V1298" t="s">
        <v>74</v>
      </c>
      <c r="W1298" t="s">
        <v>74</v>
      </c>
      <c r="X1298" t="s">
        <v>74</v>
      </c>
      <c r="Y1298" t="s">
        <v>74</v>
      </c>
      <c r="Z1298" t="s">
        <v>74</v>
      </c>
      <c r="AA1298" t="s">
        <v>11657</v>
      </c>
      <c r="AB1298" t="s">
        <v>9470</v>
      </c>
      <c r="AC1298" t="s">
        <v>74</v>
      </c>
      <c r="AD1298" t="s">
        <v>74</v>
      </c>
      <c r="AE1298" t="s">
        <v>74</v>
      </c>
      <c r="AF1298" t="s">
        <v>74</v>
      </c>
      <c r="AG1298">
        <v>0</v>
      </c>
      <c r="AH1298">
        <v>0</v>
      </c>
      <c r="AI1298">
        <v>0</v>
      </c>
      <c r="AJ1298">
        <v>0</v>
      </c>
      <c r="AK1298">
        <v>0</v>
      </c>
      <c r="AL1298" t="s">
        <v>649</v>
      </c>
      <c r="AM1298" t="s">
        <v>486</v>
      </c>
      <c r="AN1298" t="s">
        <v>17481</v>
      </c>
      <c r="AO1298" t="s">
        <v>651</v>
      </c>
      <c r="AP1298" t="s">
        <v>74</v>
      </c>
      <c r="AQ1298" t="s">
        <v>74</v>
      </c>
      <c r="AR1298" t="s">
        <v>653</v>
      </c>
      <c r="AS1298" t="s">
        <v>654</v>
      </c>
      <c r="AT1298" t="s">
        <v>74</v>
      </c>
      <c r="AU1298">
        <v>2010</v>
      </c>
      <c r="AV1298">
        <v>181</v>
      </c>
      <c r="AW1298" t="s">
        <v>74</v>
      </c>
      <c r="AX1298" t="s">
        <v>74</v>
      </c>
      <c r="AY1298" t="s">
        <v>74</v>
      </c>
      <c r="AZ1298" t="s">
        <v>74</v>
      </c>
      <c r="BA1298" t="s">
        <v>18547</v>
      </c>
      <c r="BB1298" t="s">
        <v>74</v>
      </c>
      <c r="BC1298" t="s">
        <v>74</v>
      </c>
      <c r="BD1298" t="s">
        <v>74</v>
      </c>
      <c r="BE1298" t="s">
        <v>74</v>
      </c>
      <c r="BF1298" t="s">
        <v>74</v>
      </c>
      <c r="BG1298" t="s">
        <v>74</v>
      </c>
      <c r="BH1298" t="s">
        <v>74</v>
      </c>
      <c r="BI1298">
        <v>1</v>
      </c>
      <c r="BJ1298" t="s">
        <v>341</v>
      </c>
      <c r="BK1298" t="s">
        <v>101</v>
      </c>
      <c r="BL1298" t="s">
        <v>342</v>
      </c>
      <c r="BM1298" t="s">
        <v>18442</v>
      </c>
      <c r="BN1298" t="s">
        <v>74</v>
      </c>
      <c r="BO1298" t="s">
        <v>74</v>
      </c>
      <c r="BP1298" t="s">
        <v>74</v>
      </c>
      <c r="BQ1298" t="s">
        <v>74</v>
      </c>
      <c r="BR1298" t="s">
        <v>104</v>
      </c>
      <c r="BS1298" t="s">
        <v>18546</v>
      </c>
      <c r="BT1298" t="str">
        <f>HYPERLINK("https%3A%2F%2Fwww.webofscience.com%2Fwos%2Fwoscc%2Ffull-record%2FWOS:000208771004669","View Full Record in Web of Science")</f>
        <v>View Full Record in Web of Science</v>
      </c>
    </row>
    <row r="1299" spans="1:72" x14ac:dyDescent="0.25">
      <c r="A1299" t="s">
        <v>72</v>
      </c>
      <c r="B1299" t="s">
        <v>18545</v>
      </c>
      <c r="C1299" t="s">
        <v>74</v>
      </c>
      <c r="D1299" t="s">
        <v>74</v>
      </c>
      <c r="E1299" t="s">
        <v>74</v>
      </c>
      <c r="F1299" t="s">
        <v>18544</v>
      </c>
      <c r="G1299" t="s">
        <v>74</v>
      </c>
      <c r="H1299" t="s">
        <v>10517</v>
      </c>
      <c r="I1299" t="s">
        <v>18543</v>
      </c>
      <c r="J1299" t="s">
        <v>216</v>
      </c>
      <c r="K1299" t="s">
        <v>74</v>
      </c>
      <c r="L1299" t="s">
        <v>74</v>
      </c>
      <c r="M1299" t="s">
        <v>78</v>
      </c>
      <c r="N1299" t="s">
        <v>79</v>
      </c>
      <c r="O1299" t="s">
        <v>74</v>
      </c>
      <c r="P1299" t="s">
        <v>74</v>
      </c>
      <c r="Q1299" t="s">
        <v>74</v>
      </c>
      <c r="R1299" t="s">
        <v>74</v>
      </c>
      <c r="S1299" t="s">
        <v>74</v>
      </c>
      <c r="T1299" t="s">
        <v>18542</v>
      </c>
      <c r="U1299" t="s">
        <v>18541</v>
      </c>
      <c r="V1299" t="s">
        <v>18540</v>
      </c>
      <c r="W1299" t="s">
        <v>18539</v>
      </c>
      <c r="X1299" t="s">
        <v>18538</v>
      </c>
      <c r="Y1299" t="s">
        <v>18537</v>
      </c>
      <c r="Z1299" t="s">
        <v>18536</v>
      </c>
      <c r="AA1299" t="s">
        <v>7706</v>
      </c>
      <c r="AB1299" t="s">
        <v>18535</v>
      </c>
      <c r="AC1299" t="s">
        <v>18534</v>
      </c>
      <c r="AD1299" t="s">
        <v>18534</v>
      </c>
      <c r="AE1299" t="s">
        <v>18533</v>
      </c>
      <c r="AF1299" t="s">
        <v>74</v>
      </c>
      <c r="AG1299">
        <v>34</v>
      </c>
      <c r="AH1299">
        <v>336</v>
      </c>
      <c r="AI1299">
        <v>358</v>
      </c>
      <c r="AJ1299">
        <v>0</v>
      </c>
      <c r="AK1299">
        <v>14</v>
      </c>
      <c r="AL1299" t="s">
        <v>219</v>
      </c>
      <c r="AM1299" t="s">
        <v>220</v>
      </c>
      <c r="AN1299" t="s">
        <v>221</v>
      </c>
      <c r="AO1299" t="s">
        <v>222</v>
      </c>
      <c r="AP1299" t="s">
        <v>223</v>
      </c>
      <c r="AQ1299" t="s">
        <v>74</v>
      </c>
      <c r="AR1299" t="s">
        <v>224</v>
      </c>
      <c r="AS1299" t="s">
        <v>225</v>
      </c>
      <c r="AT1299" t="s">
        <v>176</v>
      </c>
      <c r="AU1299">
        <v>2010</v>
      </c>
      <c r="AV1299">
        <v>35</v>
      </c>
      <c r="AW1299">
        <v>1</v>
      </c>
      <c r="AX1299" t="s">
        <v>74</v>
      </c>
      <c r="AY1299" t="s">
        <v>74</v>
      </c>
      <c r="AZ1299" t="s">
        <v>74</v>
      </c>
      <c r="BA1299" t="s">
        <v>74</v>
      </c>
      <c r="BB1299">
        <v>105</v>
      </c>
      <c r="BC1299">
        <v>111</v>
      </c>
      <c r="BD1299" t="s">
        <v>74</v>
      </c>
      <c r="BE1299" t="s">
        <v>18532</v>
      </c>
      <c r="BF1299" t="str">
        <f>HYPERLINK("http://dx.doi.org/10.1183/09031936.00038709","http://dx.doi.org/10.1183/09031936.00038709")</f>
        <v>http://dx.doi.org/10.1183/09031936.00038709</v>
      </c>
      <c r="BG1299" t="s">
        <v>74</v>
      </c>
      <c r="BH1299" t="s">
        <v>74</v>
      </c>
      <c r="BI1299">
        <v>7</v>
      </c>
      <c r="BJ1299" t="s">
        <v>228</v>
      </c>
      <c r="BK1299" t="s">
        <v>101</v>
      </c>
      <c r="BL1299" t="s">
        <v>228</v>
      </c>
      <c r="BM1299" t="s">
        <v>18516</v>
      </c>
      <c r="BN1299">
        <v>19643948</v>
      </c>
      <c r="BO1299" t="s">
        <v>1194</v>
      </c>
      <c r="BP1299" t="s">
        <v>74</v>
      </c>
      <c r="BQ1299" t="s">
        <v>74</v>
      </c>
      <c r="BR1299" t="s">
        <v>104</v>
      </c>
      <c r="BS1299" t="s">
        <v>18531</v>
      </c>
      <c r="BT1299" t="str">
        <f>HYPERLINK("https%3A%2F%2Fwww.webofscience.com%2Fwos%2Fwoscc%2Ffull-record%2FWOS:000274091300017","View Full Record in Web of Science")</f>
        <v>View Full Record in Web of Science</v>
      </c>
    </row>
    <row r="1300" spans="1:72" x14ac:dyDescent="0.25">
      <c r="A1300" t="s">
        <v>72</v>
      </c>
      <c r="B1300" t="s">
        <v>18530</v>
      </c>
      <c r="C1300" t="s">
        <v>74</v>
      </c>
      <c r="D1300" t="s">
        <v>74</v>
      </c>
      <c r="E1300" t="s">
        <v>74</v>
      </c>
      <c r="F1300" t="s">
        <v>18529</v>
      </c>
      <c r="G1300" t="s">
        <v>74</v>
      </c>
      <c r="H1300" t="s">
        <v>74</v>
      </c>
      <c r="I1300" t="s">
        <v>18528</v>
      </c>
      <c r="J1300" t="s">
        <v>637</v>
      </c>
      <c r="K1300" t="s">
        <v>74</v>
      </c>
      <c r="L1300" t="s">
        <v>74</v>
      </c>
      <c r="M1300" t="s">
        <v>78</v>
      </c>
      <c r="N1300" t="s">
        <v>52</v>
      </c>
      <c r="O1300" t="s">
        <v>74</v>
      </c>
      <c r="P1300" t="s">
        <v>74</v>
      </c>
      <c r="Q1300" t="s">
        <v>74</v>
      </c>
      <c r="R1300" t="s">
        <v>74</v>
      </c>
      <c r="S1300" t="s">
        <v>74</v>
      </c>
      <c r="T1300" t="s">
        <v>74</v>
      </c>
      <c r="U1300" t="s">
        <v>74</v>
      </c>
      <c r="V1300" t="s">
        <v>74</v>
      </c>
      <c r="W1300" t="s">
        <v>74</v>
      </c>
      <c r="X1300" t="s">
        <v>74</v>
      </c>
      <c r="Y1300" t="s">
        <v>74</v>
      </c>
      <c r="Z1300" t="s">
        <v>74</v>
      </c>
      <c r="AA1300" t="s">
        <v>18527</v>
      </c>
      <c r="AB1300" t="s">
        <v>5709</v>
      </c>
      <c r="AC1300" t="s">
        <v>74</v>
      </c>
      <c r="AD1300" t="s">
        <v>74</v>
      </c>
      <c r="AE1300" t="s">
        <v>74</v>
      </c>
      <c r="AF1300" t="s">
        <v>74</v>
      </c>
      <c r="AG1300">
        <v>0</v>
      </c>
      <c r="AH1300">
        <v>0</v>
      </c>
      <c r="AI1300">
        <v>0</v>
      </c>
      <c r="AJ1300">
        <v>0</v>
      </c>
      <c r="AK1300">
        <v>0</v>
      </c>
      <c r="AL1300" t="s">
        <v>649</v>
      </c>
      <c r="AM1300" t="s">
        <v>486</v>
      </c>
      <c r="AN1300" t="s">
        <v>17481</v>
      </c>
      <c r="AO1300" t="s">
        <v>651</v>
      </c>
      <c r="AP1300" t="s">
        <v>74</v>
      </c>
      <c r="AQ1300" t="s">
        <v>74</v>
      </c>
      <c r="AR1300" t="s">
        <v>653</v>
      </c>
      <c r="AS1300" t="s">
        <v>654</v>
      </c>
      <c r="AT1300" t="s">
        <v>74</v>
      </c>
      <c r="AU1300">
        <v>2010</v>
      </c>
      <c r="AV1300">
        <v>181</v>
      </c>
      <c r="AW1300" t="s">
        <v>74</v>
      </c>
      <c r="AX1300" t="s">
        <v>74</v>
      </c>
      <c r="AY1300" t="s">
        <v>74</v>
      </c>
      <c r="AZ1300" t="s">
        <v>74</v>
      </c>
      <c r="BA1300" t="s">
        <v>17831</v>
      </c>
      <c r="BB1300" t="s">
        <v>74</v>
      </c>
      <c r="BC1300" t="s">
        <v>74</v>
      </c>
      <c r="BD1300" t="s">
        <v>74</v>
      </c>
      <c r="BE1300" t="s">
        <v>74</v>
      </c>
      <c r="BF1300" t="s">
        <v>74</v>
      </c>
      <c r="BG1300" t="s">
        <v>74</v>
      </c>
      <c r="BH1300" t="s">
        <v>74</v>
      </c>
      <c r="BI1300">
        <v>1</v>
      </c>
      <c r="BJ1300" t="s">
        <v>341</v>
      </c>
      <c r="BK1300" t="s">
        <v>101</v>
      </c>
      <c r="BL1300" t="s">
        <v>342</v>
      </c>
      <c r="BM1300" t="s">
        <v>18442</v>
      </c>
      <c r="BN1300" t="s">
        <v>74</v>
      </c>
      <c r="BO1300" t="s">
        <v>74</v>
      </c>
      <c r="BP1300" t="s">
        <v>74</v>
      </c>
      <c r="BQ1300" t="s">
        <v>74</v>
      </c>
      <c r="BR1300" t="s">
        <v>104</v>
      </c>
      <c r="BS1300" t="s">
        <v>18526</v>
      </c>
      <c r="BT1300" t="str">
        <f>HYPERLINK("https%3A%2F%2Fwww.webofscience.com%2Fwos%2Fwoscc%2Ffull-record%2FWOS:000208771002475","View Full Record in Web of Science")</f>
        <v>View Full Record in Web of Science</v>
      </c>
    </row>
    <row r="1301" spans="1:72" x14ac:dyDescent="0.25">
      <c r="A1301" t="s">
        <v>72</v>
      </c>
      <c r="B1301" t="s">
        <v>18525</v>
      </c>
      <c r="C1301" t="s">
        <v>74</v>
      </c>
      <c r="D1301" t="s">
        <v>74</v>
      </c>
      <c r="E1301" t="s">
        <v>74</v>
      </c>
      <c r="F1301" t="s">
        <v>18524</v>
      </c>
      <c r="G1301" t="s">
        <v>74</v>
      </c>
      <c r="H1301" t="s">
        <v>74</v>
      </c>
      <c r="I1301" t="s">
        <v>18523</v>
      </c>
      <c r="J1301" t="s">
        <v>216</v>
      </c>
      <c r="K1301" t="s">
        <v>74</v>
      </c>
      <c r="L1301" t="s">
        <v>74</v>
      </c>
      <c r="M1301" t="s">
        <v>78</v>
      </c>
      <c r="N1301" t="s">
        <v>140</v>
      </c>
      <c r="O1301" t="s">
        <v>74</v>
      </c>
      <c r="P1301" t="s">
        <v>74</v>
      </c>
      <c r="Q1301" t="s">
        <v>74</v>
      </c>
      <c r="R1301" t="s">
        <v>74</v>
      </c>
      <c r="S1301" t="s">
        <v>74</v>
      </c>
      <c r="T1301" t="s">
        <v>74</v>
      </c>
      <c r="U1301" t="s">
        <v>18522</v>
      </c>
      <c r="V1301" t="s">
        <v>74</v>
      </c>
      <c r="W1301" t="s">
        <v>18521</v>
      </c>
      <c r="X1301" t="s">
        <v>14696</v>
      </c>
      <c r="Y1301" t="s">
        <v>18520</v>
      </c>
      <c r="Z1301" t="s">
        <v>18519</v>
      </c>
      <c r="AA1301" t="s">
        <v>1549</v>
      </c>
      <c r="AB1301" t="s">
        <v>18518</v>
      </c>
      <c r="AC1301" t="s">
        <v>74</v>
      </c>
      <c r="AD1301" t="s">
        <v>74</v>
      </c>
      <c r="AE1301" t="s">
        <v>74</v>
      </c>
      <c r="AF1301" t="s">
        <v>74</v>
      </c>
      <c r="AG1301">
        <v>34</v>
      </c>
      <c r="AH1301">
        <v>26</v>
      </c>
      <c r="AI1301">
        <v>28</v>
      </c>
      <c r="AJ1301">
        <v>0</v>
      </c>
      <c r="AK1301">
        <v>2</v>
      </c>
      <c r="AL1301" t="s">
        <v>219</v>
      </c>
      <c r="AM1301" t="s">
        <v>220</v>
      </c>
      <c r="AN1301" t="s">
        <v>221</v>
      </c>
      <c r="AO1301" t="s">
        <v>222</v>
      </c>
      <c r="AP1301" t="s">
        <v>223</v>
      </c>
      <c r="AQ1301" t="s">
        <v>74</v>
      </c>
      <c r="AR1301" t="s">
        <v>224</v>
      </c>
      <c r="AS1301" t="s">
        <v>225</v>
      </c>
      <c r="AT1301" t="s">
        <v>176</v>
      </c>
      <c r="AU1301">
        <v>2010</v>
      </c>
      <c r="AV1301">
        <v>35</v>
      </c>
      <c r="AW1301">
        <v>1</v>
      </c>
      <c r="AX1301" t="s">
        <v>74</v>
      </c>
      <c r="AY1301" t="s">
        <v>74</v>
      </c>
      <c r="AZ1301" t="s">
        <v>74</v>
      </c>
      <c r="BA1301" t="s">
        <v>74</v>
      </c>
      <c r="BB1301">
        <v>6</v>
      </c>
      <c r="BC1301">
        <v>8</v>
      </c>
      <c r="BD1301" t="s">
        <v>74</v>
      </c>
      <c r="BE1301" t="s">
        <v>18517</v>
      </c>
      <c r="BF1301" t="str">
        <f>HYPERLINK("http://dx.doi.org/10.1183/09031936.00081009","http://dx.doi.org/10.1183/09031936.00081009")</f>
        <v>http://dx.doi.org/10.1183/09031936.00081009</v>
      </c>
      <c r="BG1301" t="s">
        <v>74</v>
      </c>
      <c r="BH1301" t="s">
        <v>74</v>
      </c>
      <c r="BI1301">
        <v>3</v>
      </c>
      <c r="BJ1301" t="s">
        <v>228</v>
      </c>
      <c r="BK1301" t="s">
        <v>101</v>
      </c>
      <c r="BL1301" t="s">
        <v>228</v>
      </c>
      <c r="BM1301" t="s">
        <v>18516</v>
      </c>
      <c r="BN1301">
        <v>20044455</v>
      </c>
      <c r="BO1301" t="s">
        <v>1194</v>
      </c>
      <c r="BP1301" t="s">
        <v>74</v>
      </c>
      <c r="BQ1301" t="s">
        <v>74</v>
      </c>
      <c r="BR1301" t="s">
        <v>104</v>
      </c>
      <c r="BS1301" t="s">
        <v>18515</v>
      </c>
      <c r="BT1301" t="str">
        <f>HYPERLINK("https%3A%2F%2Fwww.webofscience.com%2Fwos%2Fwoscc%2Ffull-record%2FWOS:000274091300003","View Full Record in Web of Science")</f>
        <v>View Full Record in Web of Science</v>
      </c>
    </row>
    <row r="1302" spans="1:72" x14ac:dyDescent="0.25">
      <c r="A1302" t="s">
        <v>72</v>
      </c>
      <c r="B1302" t="s">
        <v>18514</v>
      </c>
      <c r="C1302" t="s">
        <v>74</v>
      </c>
      <c r="D1302" t="s">
        <v>74</v>
      </c>
      <c r="E1302" t="s">
        <v>74</v>
      </c>
      <c r="F1302" t="s">
        <v>18513</v>
      </c>
      <c r="G1302" t="s">
        <v>74</v>
      </c>
      <c r="H1302" t="s">
        <v>74</v>
      </c>
      <c r="I1302" t="s">
        <v>18512</v>
      </c>
      <c r="J1302" t="s">
        <v>637</v>
      </c>
      <c r="K1302" t="s">
        <v>74</v>
      </c>
      <c r="L1302" t="s">
        <v>74</v>
      </c>
      <c r="M1302" t="s">
        <v>78</v>
      </c>
      <c r="N1302" t="s">
        <v>52</v>
      </c>
      <c r="O1302" t="s">
        <v>74</v>
      </c>
      <c r="P1302" t="s">
        <v>74</v>
      </c>
      <c r="Q1302" t="s">
        <v>74</v>
      </c>
      <c r="R1302" t="s">
        <v>74</v>
      </c>
      <c r="S1302" t="s">
        <v>74</v>
      </c>
      <c r="T1302" t="s">
        <v>74</v>
      </c>
      <c r="U1302" t="s">
        <v>74</v>
      </c>
      <c r="V1302" t="s">
        <v>74</v>
      </c>
      <c r="W1302" t="s">
        <v>74</v>
      </c>
      <c r="X1302" t="s">
        <v>74</v>
      </c>
      <c r="Y1302" t="s">
        <v>74</v>
      </c>
      <c r="Z1302" t="s">
        <v>74</v>
      </c>
      <c r="AA1302" t="s">
        <v>4895</v>
      </c>
      <c r="AB1302" t="s">
        <v>74</v>
      </c>
      <c r="AC1302" t="s">
        <v>74</v>
      </c>
      <c r="AD1302" t="s">
        <v>74</v>
      </c>
      <c r="AE1302" t="s">
        <v>74</v>
      </c>
      <c r="AF1302" t="s">
        <v>74</v>
      </c>
      <c r="AG1302">
        <v>0</v>
      </c>
      <c r="AH1302">
        <v>0</v>
      </c>
      <c r="AI1302">
        <v>0</v>
      </c>
      <c r="AJ1302">
        <v>0</v>
      </c>
      <c r="AK1302">
        <v>1</v>
      </c>
      <c r="AL1302" t="s">
        <v>649</v>
      </c>
      <c r="AM1302" t="s">
        <v>486</v>
      </c>
      <c r="AN1302" t="s">
        <v>17481</v>
      </c>
      <c r="AO1302" t="s">
        <v>651</v>
      </c>
      <c r="AP1302" t="s">
        <v>74</v>
      </c>
      <c r="AQ1302" t="s">
        <v>74</v>
      </c>
      <c r="AR1302" t="s">
        <v>653</v>
      </c>
      <c r="AS1302" t="s">
        <v>654</v>
      </c>
      <c r="AT1302" t="s">
        <v>74</v>
      </c>
      <c r="AU1302">
        <v>2010</v>
      </c>
      <c r="AV1302">
        <v>181</v>
      </c>
      <c r="AW1302" t="s">
        <v>74</v>
      </c>
      <c r="AX1302" t="s">
        <v>74</v>
      </c>
      <c r="AY1302" t="s">
        <v>74</v>
      </c>
      <c r="AZ1302" t="s">
        <v>74</v>
      </c>
      <c r="BA1302" t="s">
        <v>18511</v>
      </c>
      <c r="BB1302" t="s">
        <v>74</v>
      </c>
      <c r="BC1302" t="s">
        <v>74</v>
      </c>
      <c r="BD1302" t="s">
        <v>74</v>
      </c>
      <c r="BE1302" t="s">
        <v>74</v>
      </c>
      <c r="BF1302" t="s">
        <v>74</v>
      </c>
      <c r="BG1302" t="s">
        <v>74</v>
      </c>
      <c r="BH1302" t="s">
        <v>74</v>
      </c>
      <c r="BI1302">
        <v>1</v>
      </c>
      <c r="BJ1302" t="s">
        <v>341</v>
      </c>
      <c r="BK1302" t="s">
        <v>101</v>
      </c>
      <c r="BL1302" t="s">
        <v>342</v>
      </c>
      <c r="BM1302" t="s">
        <v>18442</v>
      </c>
      <c r="BN1302" t="s">
        <v>74</v>
      </c>
      <c r="BO1302" t="s">
        <v>74</v>
      </c>
      <c r="BP1302" t="s">
        <v>74</v>
      </c>
      <c r="BQ1302" t="s">
        <v>74</v>
      </c>
      <c r="BR1302" t="s">
        <v>104</v>
      </c>
      <c r="BS1302" t="s">
        <v>18510</v>
      </c>
      <c r="BT1302" t="str">
        <f>HYPERLINK("https%3A%2F%2Fwww.webofscience.com%2Fwos%2Fwoscc%2Ffull-record%2FWOS:000208771004684","View Full Record in Web of Science")</f>
        <v>View Full Record in Web of Science</v>
      </c>
    </row>
    <row r="1303" spans="1:72" x14ac:dyDescent="0.25">
      <c r="A1303" t="s">
        <v>72</v>
      </c>
      <c r="B1303" t="s">
        <v>18431</v>
      </c>
      <c r="C1303" t="s">
        <v>74</v>
      </c>
      <c r="D1303" t="s">
        <v>74</v>
      </c>
      <c r="E1303" t="s">
        <v>74</v>
      </c>
      <c r="F1303" t="s">
        <v>18509</v>
      </c>
      <c r="G1303" t="s">
        <v>74</v>
      </c>
      <c r="H1303" t="s">
        <v>74</v>
      </c>
      <c r="I1303" t="s">
        <v>18508</v>
      </c>
      <c r="J1303" t="s">
        <v>637</v>
      </c>
      <c r="K1303" t="s">
        <v>74</v>
      </c>
      <c r="L1303" t="s">
        <v>74</v>
      </c>
      <c r="M1303" t="s">
        <v>78</v>
      </c>
      <c r="N1303" t="s">
        <v>52</v>
      </c>
      <c r="O1303" t="s">
        <v>74</v>
      </c>
      <c r="P1303" t="s">
        <v>74</v>
      </c>
      <c r="Q1303" t="s">
        <v>74</v>
      </c>
      <c r="R1303" t="s">
        <v>74</v>
      </c>
      <c r="S1303" t="s">
        <v>74</v>
      </c>
      <c r="T1303" t="s">
        <v>74</v>
      </c>
      <c r="U1303" t="s">
        <v>74</v>
      </c>
      <c r="V1303" t="s">
        <v>74</v>
      </c>
      <c r="W1303" t="s">
        <v>18507</v>
      </c>
      <c r="X1303" t="s">
        <v>18506</v>
      </c>
      <c r="Y1303" t="s">
        <v>74</v>
      </c>
      <c r="Z1303" t="s">
        <v>276</v>
      </c>
      <c r="AA1303" t="s">
        <v>18505</v>
      </c>
      <c r="AB1303" t="s">
        <v>74</v>
      </c>
      <c r="AC1303" t="s">
        <v>74</v>
      </c>
      <c r="AD1303" t="s">
        <v>74</v>
      </c>
      <c r="AE1303" t="s">
        <v>74</v>
      </c>
      <c r="AF1303" t="s">
        <v>74</v>
      </c>
      <c r="AG1303">
        <v>0</v>
      </c>
      <c r="AH1303">
        <v>0</v>
      </c>
      <c r="AI1303">
        <v>0</v>
      </c>
      <c r="AJ1303">
        <v>0</v>
      </c>
      <c r="AK1303">
        <v>1</v>
      </c>
      <c r="AL1303" t="s">
        <v>649</v>
      </c>
      <c r="AM1303" t="s">
        <v>486</v>
      </c>
      <c r="AN1303" t="s">
        <v>17481</v>
      </c>
      <c r="AO1303" t="s">
        <v>651</v>
      </c>
      <c r="AP1303" t="s">
        <v>74</v>
      </c>
      <c r="AQ1303" t="s">
        <v>74</v>
      </c>
      <c r="AR1303" t="s">
        <v>653</v>
      </c>
      <c r="AS1303" t="s">
        <v>654</v>
      </c>
      <c r="AT1303" t="s">
        <v>74</v>
      </c>
      <c r="AU1303">
        <v>2010</v>
      </c>
      <c r="AV1303">
        <v>181</v>
      </c>
      <c r="AW1303" t="s">
        <v>74</v>
      </c>
      <c r="AX1303" t="s">
        <v>74</v>
      </c>
      <c r="AY1303" t="s">
        <v>74</v>
      </c>
      <c r="AZ1303" t="s">
        <v>74</v>
      </c>
      <c r="BA1303" t="s">
        <v>3366</v>
      </c>
      <c r="BB1303" t="s">
        <v>74</v>
      </c>
      <c r="BC1303" t="s">
        <v>74</v>
      </c>
      <c r="BD1303" t="s">
        <v>74</v>
      </c>
      <c r="BE1303" t="s">
        <v>74</v>
      </c>
      <c r="BF1303" t="s">
        <v>74</v>
      </c>
      <c r="BG1303" t="s">
        <v>74</v>
      </c>
      <c r="BH1303" t="s">
        <v>74</v>
      </c>
      <c r="BI1303">
        <v>1</v>
      </c>
      <c r="BJ1303" t="s">
        <v>341</v>
      </c>
      <c r="BK1303" t="s">
        <v>101</v>
      </c>
      <c r="BL1303" t="s">
        <v>342</v>
      </c>
      <c r="BM1303" t="s">
        <v>18442</v>
      </c>
      <c r="BN1303" t="s">
        <v>74</v>
      </c>
      <c r="BO1303" t="s">
        <v>74</v>
      </c>
      <c r="BP1303" t="s">
        <v>74</v>
      </c>
      <c r="BQ1303" t="s">
        <v>74</v>
      </c>
      <c r="BR1303" t="s">
        <v>104</v>
      </c>
      <c r="BS1303" t="s">
        <v>18504</v>
      </c>
      <c r="BT1303" t="str">
        <f>HYPERLINK("https%3A%2F%2Fwww.webofscience.com%2Fwos%2Fwoscc%2Ffull-record%2FWOS:000208771000191","View Full Record in Web of Science")</f>
        <v>View Full Record in Web of Science</v>
      </c>
    </row>
    <row r="1304" spans="1:72" x14ac:dyDescent="0.25">
      <c r="A1304" t="s">
        <v>72</v>
      </c>
      <c r="B1304" t="s">
        <v>18503</v>
      </c>
      <c r="C1304" t="s">
        <v>74</v>
      </c>
      <c r="D1304" t="s">
        <v>74</v>
      </c>
      <c r="E1304" t="s">
        <v>74</v>
      </c>
      <c r="F1304" t="s">
        <v>18502</v>
      </c>
      <c r="G1304" t="s">
        <v>74</v>
      </c>
      <c r="H1304" t="s">
        <v>74</v>
      </c>
      <c r="I1304" t="s">
        <v>18501</v>
      </c>
      <c r="J1304" t="s">
        <v>637</v>
      </c>
      <c r="K1304" t="s">
        <v>74</v>
      </c>
      <c r="L1304" t="s">
        <v>74</v>
      </c>
      <c r="M1304" t="s">
        <v>78</v>
      </c>
      <c r="N1304" t="s">
        <v>52</v>
      </c>
      <c r="O1304" t="s">
        <v>74</v>
      </c>
      <c r="P1304" t="s">
        <v>74</v>
      </c>
      <c r="Q1304" t="s">
        <v>74</v>
      </c>
      <c r="R1304" t="s">
        <v>74</v>
      </c>
      <c r="S1304" t="s">
        <v>74</v>
      </c>
      <c r="T1304" t="s">
        <v>74</v>
      </c>
      <c r="U1304" t="s">
        <v>74</v>
      </c>
      <c r="V1304" t="s">
        <v>74</v>
      </c>
      <c r="W1304" t="s">
        <v>74</v>
      </c>
      <c r="X1304" t="s">
        <v>74</v>
      </c>
      <c r="Y1304" t="s">
        <v>74</v>
      </c>
      <c r="Z1304" t="s">
        <v>74</v>
      </c>
      <c r="AA1304" t="s">
        <v>18500</v>
      </c>
      <c r="AB1304" t="s">
        <v>18499</v>
      </c>
      <c r="AC1304" t="s">
        <v>74</v>
      </c>
      <c r="AD1304" t="s">
        <v>74</v>
      </c>
      <c r="AE1304" t="s">
        <v>74</v>
      </c>
      <c r="AF1304" t="s">
        <v>74</v>
      </c>
      <c r="AG1304">
        <v>0</v>
      </c>
      <c r="AH1304">
        <v>0</v>
      </c>
      <c r="AI1304">
        <v>0</v>
      </c>
      <c r="AJ1304">
        <v>0</v>
      </c>
      <c r="AK1304">
        <v>0</v>
      </c>
      <c r="AL1304" t="s">
        <v>649</v>
      </c>
      <c r="AM1304" t="s">
        <v>486</v>
      </c>
      <c r="AN1304" t="s">
        <v>17481</v>
      </c>
      <c r="AO1304" t="s">
        <v>651</v>
      </c>
      <c r="AP1304" t="s">
        <v>74</v>
      </c>
      <c r="AQ1304" t="s">
        <v>74</v>
      </c>
      <c r="AR1304" t="s">
        <v>653</v>
      </c>
      <c r="AS1304" t="s">
        <v>654</v>
      </c>
      <c r="AT1304" t="s">
        <v>74</v>
      </c>
      <c r="AU1304">
        <v>2010</v>
      </c>
      <c r="AV1304">
        <v>181</v>
      </c>
      <c r="AW1304" t="s">
        <v>74</v>
      </c>
      <c r="AX1304" t="s">
        <v>74</v>
      </c>
      <c r="AY1304" t="s">
        <v>74</v>
      </c>
      <c r="AZ1304" t="s">
        <v>74</v>
      </c>
      <c r="BA1304" t="s">
        <v>18498</v>
      </c>
      <c r="BB1304" t="s">
        <v>74</v>
      </c>
      <c r="BC1304" t="s">
        <v>74</v>
      </c>
      <c r="BD1304" t="s">
        <v>74</v>
      </c>
      <c r="BE1304" t="s">
        <v>74</v>
      </c>
      <c r="BF1304" t="s">
        <v>74</v>
      </c>
      <c r="BG1304" t="s">
        <v>74</v>
      </c>
      <c r="BH1304" t="s">
        <v>74</v>
      </c>
      <c r="BI1304">
        <v>1</v>
      </c>
      <c r="BJ1304" t="s">
        <v>341</v>
      </c>
      <c r="BK1304" t="s">
        <v>101</v>
      </c>
      <c r="BL1304" t="s">
        <v>342</v>
      </c>
      <c r="BM1304" t="s">
        <v>18442</v>
      </c>
      <c r="BN1304" t="s">
        <v>74</v>
      </c>
      <c r="BO1304" t="s">
        <v>74</v>
      </c>
      <c r="BP1304" t="s">
        <v>74</v>
      </c>
      <c r="BQ1304" t="s">
        <v>74</v>
      </c>
      <c r="BR1304" t="s">
        <v>104</v>
      </c>
      <c r="BS1304" t="s">
        <v>18497</v>
      </c>
      <c r="BT1304" t="str">
        <f>HYPERLINK("https%3A%2F%2Fwww.webofscience.com%2Fwos%2Fwoscc%2Ffull-record%2FWOS:000208771003369","View Full Record in Web of Science")</f>
        <v>View Full Record in Web of Science</v>
      </c>
    </row>
    <row r="1305" spans="1:72" x14ac:dyDescent="0.25">
      <c r="A1305" t="s">
        <v>72</v>
      </c>
      <c r="B1305" t="s">
        <v>1420</v>
      </c>
      <c r="C1305" t="s">
        <v>74</v>
      </c>
      <c r="D1305" t="s">
        <v>74</v>
      </c>
      <c r="E1305" t="s">
        <v>74</v>
      </c>
      <c r="F1305" t="s">
        <v>1421</v>
      </c>
      <c r="G1305" t="s">
        <v>74</v>
      </c>
      <c r="H1305" t="s">
        <v>74</v>
      </c>
      <c r="I1305" t="s">
        <v>18496</v>
      </c>
      <c r="J1305" t="s">
        <v>1529</v>
      </c>
      <c r="K1305" t="s">
        <v>74</v>
      </c>
      <c r="L1305" t="s">
        <v>74</v>
      </c>
      <c r="M1305" t="s">
        <v>1349</v>
      </c>
      <c r="N1305" t="s">
        <v>140</v>
      </c>
      <c r="O1305" t="s">
        <v>74</v>
      </c>
      <c r="P1305" t="s">
        <v>74</v>
      </c>
      <c r="Q1305" t="s">
        <v>74</v>
      </c>
      <c r="R1305" t="s">
        <v>74</v>
      </c>
      <c r="S1305" t="s">
        <v>74</v>
      </c>
      <c r="T1305" t="s">
        <v>74</v>
      </c>
      <c r="U1305" t="s">
        <v>74</v>
      </c>
      <c r="V1305" t="s">
        <v>74</v>
      </c>
      <c r="W1305" t="s">
        <v>18495</v>
      </c>
      <c r="X1305" t="s">
        <v>18494</v>
      </c>
      <c r="Y1305" t="s">
        <v>18493</v>
      </c>
      <c r="Z1305" t="s">
        <v>10573</v>
      </c>
      <c r="AA1305" t="s">
        <v>144</v>
      </c>
      <c r="AB1305" t="s">
        <v>257</v>
      </c>
      <c r="AC1305" t="s">
        <v>74</v>
      </c>
      <c r="AD1305" t="s">
        <v>74</v>
      </c>
      <c r="AE1305" t="s">
        <v>74</v>
      </c>
      <c r="AF1305" t="s">
        <v>74</v>
      </c>
      <c r="AG1305">
        <v>13</v>
      </c>
      <c r="AH1305">
        <v>0</v>
      </c>
      <c r="AI1305">
        <v>0</v>
      </c>
      <c r="AJ1305">
        <v>0</v>
      </c>
      <c r="AK1305">
        <v>0</v>
      </c>
      <c r="AL1305" t="s">
        <v>1358</v>
      </c>
      <c r="AM1305" t="s">
        <v>1359</v>
      </c>
      <c r="AN1305" t="s">
        <v>1360</v>
      </c>
      <c r="AO1305" t="s">
        <v>1533</v>
      </c>
      <c r="AP1305" t="s">
        <v>74</v>
      </c>
      <c r="AQ1305" t="s">
        <v>74</v>
      </c>
      <c r="AR1305" t="s">
        <v>1535</v>
      </c>
      <c r="AS1305" t="s">
        <v>1536</v>
      </c>
      <c r="AT1305" t="s">
        <v>176</v>
      </c>
      <c r="AU1305">
        <v>2010</v>
      </c>
      <c r="AV1305">
        <v>39</v>
      </c>
      <c r="AW1305">
        <v>1</v>
      </c>
      <c r="AX1305" t="s">
        <v>74</v>
      </c>
      <c r="AY1305" t="s">
        <v>74</v>
      </c>
      <c r="AZ1305" t="s">
        <v>74</v>
      </c>
      <c r="BA1305" t="s">
        <v>74</v>
      </c>
      <c r="BB1305">
        <v>50</v>
      </c>
      <c r="BC1305">
        <v>51</v>
      </c>
      <c r="BD1305" t="s">
        <v>74</v>
      </c>
      <c r="BE1305" t="s">
        <v>18492</v>
      </c>
      <c r="BF1305" t="str">
        <f>HYPERLINK("http://dx.doi.org/10.1016/j.lpm.2009.11.001","http://dx.doi.org/10.1016/j.lpm.2009.11.001")</f>
        <v>http://dx.doi.org/10.1016/j.lpm.2009.11.001</v>
      </c>
      <c r="BG1305" t="s">
        <v>74</v>
      </c>
      <c r="BH1305" t="s">
        <v>74</v>
      </c>
      <c r="BI1305">
        <v>2</v>
      </c>
      <c r="BJ1305" t="s">
        <v>1152</v>
      </c>
      <c r="BK1305" t="s">
        <v>101</v>
      </c>
      <c r="BL1305" t="s">
        <v>1153</v>
      </c>
      <c r="BM1305" t="s">
        <v>18454</v>
      </c>
      <c r="BN1305">
        <v>19962854</v>
      </c>
      <c r="BO1305" t="s">
        <v>74</v>
      </c>
      <c r="BP1305" t="s">
        <v>74</v>
      </c>
      <c r="BQ1305" t="s">
        <v>74</v>
      </c>
      <c r="BR1305" t="s">
        <v>104</v>
      </c>
      <c r="BS1305" t="s">
        <v>18491</v>
      </c>
      <c r="BT1305" t="str">
        <f>HYPERLINK("https%3A%2F%2Fwww.webofscience.com%2Fwos%2Fwoscc%2Ffull-record%2FWOS:000274127000009","View Full Record in Web of Science")</f>
        <v>View Full Record in Web of Science</v>
      </c>
    </row>
    <row r="1306" spans="1:72" x14ac:dyDescent="0.25">
      <c r="A1306" t="s">
        <v>72</v>
      </c>
      <c r="B1306" t="s">
        <v>18490</v>
      </c>
      <c r="C1306" t="s">
        <v>74</v>
      </c>
      <c r="D1306" t="s">
        <v>74</v>
      </c>
      <c r="E1306" t="s">
        <v>74</v>
      </c>
      <c r="F1306" t="s">
        <v>18489</v>
      </c>
      <c r="G1306" t="s">
        <v>74</v>
      </c>
      <c r="H1306" t="s">
        <v>18488</v>
      </c>
      <c r="I1306" t="s">
        <v>18487</v>
      </c>
      <c r="J1306" t="s">
        <v>18486</v>
      </c>
      <c r="K1306" t="s">
        <v>74</v>
      </c>
      <c r="L1306" t="s">
        <v>74</v>
      </c>
      <c r="M1306" t="s">
        <v>78</v>
      </c>
      <c r="N1306" t="s">
        <v>79</v>
      </c>
      <c r="O1306" t="s">
        <v>74</v>
      </c>
      <c r="P1306" t="s">
        <v>74</v>
      </c>
      <c r="Q1306" t="s">
        <v>74</v>
      </c>
      <c r="R1306" t="s">
        <v>74</v>
      </c>
      <c r="S1306" t="s">
        <v>74</v>
      </c>
      <c r="T1306" t="s">
        <v>18485</v>
      </c>
      <c r="U1306" t="s">
        <v>18484</v>
      </c>
      <c r="V1306" t="s">
        <v>18483</v>
      </c>
      <c r="W1306" t="s">
        <v>18482</v>
      </c>
      <c r="X1306" t="s">
        <v>18481</v>
      </c>
      <c r="Y1306" t="s">
        <v>18480</v>
      </c>
      <c r="Z1306" t="s">
        <v>16777</v>
      </c>
      <c r="AA1306" t="s">
        <v>18479</v>
      </c>
      <c r="AB1306" t="s">
        <v>18478</v>
      </c>
      <c r="AC1306" t="s">
        <v>18477</v>
      </c>
      <c r="AD1306" t="s">
        <v>18476</v>
      </c>
      <c r="AE1306" t="s">
        <v>18475</v>
      </c>
      <c r="AF1306" t="s">
        <v>74</v>
      </c>
      <c r="AG1306">
        <v>51</v>
      </c>
      <c r="AH1306">
        <v>36</v>
      </c>
      <c r="AI1306">
        <v>38</v>
      </c>
      <c r="AJ1306">
        <v>0</v>
      </c>
      <c r="AK1306">
        <v>2</v>
      </c>
      <c r="AL1306" t="s">
        <v>18474</v>
      </c>
      <c r="AM1306" t="s">
        <v>18473</v>
      </c>
      <c r="AN1306" t="s">
        <v>18472</v>
      </c>
      <c r="AO1306" t="s">
        <v>18471</v>
      </c>
      <c r="AP1306" t="s">
        <v>18470</v>
      </c>
      <c r="AQ1306" t="s">
        <v>74</v>
      </c>
      <c r="AR1306" t="s">
        <v>18469</v>
      </c>
      <c r="AS1306" t="s">
        <v>18468</v>
      </c>
      <c r="AT1306" t="s">
        <v>176</v>
      </c>
      <c r="AU1306">
        <v>2010</v>
      </c>
      <c r="AV1306">
        <v>37</v>
      </c>
      <c r="AW1306">
        <v>1</v>
      </c>
      <c r="AX1306" t="s">
        <v>74</v>
      </c>
      <c r="AY1306" t="s">
        <v>74</v>
      </c>
      <c r="AZ1306" t="s">
        <v>74</v>
      </c>
      <c r="BA1306" t="s">
        <v>74</v>
      </c>
      <c r="BB1306">
        <v>105</v>
      </c>
      <c r="BC1306">
        <v>115</v>
      </c>
      <c r="BD1306" t="s">
        <v>74</v>
      </c>
      <c r="BE1306" t="s">
        <v>18467</v>
      </c>
      <c r="BF1306" t="str">
        <f>HYPERLINK("http://dx.doi.org/10.3899/jrheum.090661","http://dx.doi.org/10.3899/jrheum.090661")</f>
        <v>http://dx.doi.org/10.3899/jrheum.090661</v>
      </c>
      <c r="BG1306" t="s">
        <v>74</v>
      </c>
      <c r="BH1306" t="s">
        <v>74</v>
      </c>
      <c r="BI1306">
        <v>11</v>
      </c>
      <c r="BJ1306" t="s">
        <v>2369</v>
      </c>
      <c r="BK1306" t="s">
        <v>101</v>
      </c>
      <c r="BL1306" t="s">
        <v>2369</v>
      </c>
      <c r="BM1306" t="s">
        <v>18466</v>
      </c>
      <c r="BN1306">
        <v>19955042</v>
      </c>
      <c r="BO1306" t="s">
        <v>13079</v>
      </c>
      <c r="BP1306" t="s">
        <v>74</v>
      </c>
      <c r="BQ1306" t="s">
        <v>74</v>
      </c>
      <c r="BR1306" t="s">
        <v>104</v>
      </c>
      <c r="BS1306" t="s">
        <v>18465</v>
      </c>
      <c r="BT1306" t="str">
        <f>HYPERLINK("https%3A%2F%2Fwww.webofscience.com%2Fwos%2Fwoscc%2Ffull-record%2FWOS:000273749900017","View Full Record in Web of Science")</f>
        <v>View Full Record in Web of Science</v>
      </c>
    </row>
    <row r="1307" spans="1:72" x14ac:dyDescent="0.25">
      <c r="A1307" t="s">
        <v>72</v>
      </c>
      <c r="B1307" t="s">
        <v>18464</v>
      </c>
      <c r="C1307" t="s">
        <v>74</v>
      </c>
      <c r="D1307" t="s">
        <v>74</v>
      </c>
      <c r="E1307" t="s">
        <v>74</v>
      </c>
      <c r="F1307" t="s">
        <v>18463</v>
      </c>
      <c r="G1307" t="s">
        <v>74</v>
      </c>
      <c r="H1307" t="s">
        <v>74</v>
      </c>
      <c r="I1307" t="s">
        <v>18462</v>
      </c>
      <c r="J1307" t="s">
        <v>1529</v>
      </c>
      <c r="K1307" t="s">
        <v>74</v>
      </c>
      <c r="L1307" t="s">
        <v>74</v>
      </c>
      <c r="M1307" t="s">
        <v>1349</v>
      </c>
      <c r="N1307" t="s">
        <v>79</v>
      </c>
      <c r="O1307" t="s">
        <v>74</v>
      </c>
      <c r="P1307" t="s">
        <v>74</v>
      </c>
      <c r="Q1307" t="s">
        <v>74</v>
      </c>
      <c r="R1307" t="s">
        <v>74</v>
      </c>
      <c r="S1307" t="s">
        <v>74</v>
      </c>
      <c r="T1307" t="s">
        <v>74</v>
      </c>
      <c r="U1307" t="s">
        <v>18461</v>
      </c>
      <c r="V1307" t="s">
        <v>18460</v>
      </c>
      <c r="W1307" t="s">
        <v>18459</v>
      </c>
      <c r="X1307" t="s">
        <v>18458</v>
      </c>
      <c r="Y1307" t="s">
        <v>18457</v>
      </c>
      <c r="Z1307" t="s">
        <v>17425</v>
      </c>
      <c r="AA1307" t="s">
        <v>12085</v>
      </c>
      <c r="AB1307" t="s">
        <v>18456</v>
      </c>
      <c r="AC1307" t="s">
        <v>74</v>
      </c>
      <c r="AD1307" t="s">
        <v>74</v>
      </c>
      <c r="AE1307" t="s">
        <v>74</v>
      </c>
      <c r="AF1307" t="s">
        <v>74</v>
      </c>
      <c r="AG1307">
        <v>38</v>
      </c>
      <c r="AH1307">
        <v>8</v>
      </c>
      <c r="AI1307">
        <v>9</v>
      </c>
      <c r="AJ1307">
        <v>0</v>
      </c>
      <c r="AK1307">
        <v>1</v>
      </c>
      <c r="AL1307" t="s">
        <v>1358</v>
      </c>
      <c r="AM1307" t="s">
        <v>1359</v>
      </c>
      <c r="AN1307" t="s">
        <v>1360</v>
      </c>
      <c r="AO1307" t="s">
        <v>1533</v>
      </c>
      <c r="AP1307" t="s">
        <v>1534</v>
      </c>
      <c r="AQ1307" t="s">
        <v>74</v>
      </c>
      <c r="AR1307" t="s">
        <v>1535</v>
      </c>
      <c r="AS1307" t="s">
        <v>1536</v>
      </c>
      <c r="AT1307" t="s">
        <v>176</v>
      </c>
      <c r="AU1307">
        <v>2010</v>
      </c>
      <c r="AV1307">
        <v>39</v>
      </c>
      <c r="AW1307">
        <v>1</v>
      </c>
      <c r="AX1307" t="s">
        <v>74</v>
      </c>
      <c r="AY1307" t="s">
        <v>74</v>
      </c>
      <c r="AZ1307" t="s">
        <v>74</v>
      </c>
      <c r="BA1307" t="s">
        <v>74</v>
      </c>
      <c r="BB1307">
        <v>134</v>
      </c>
      <c r="BC1307">
        <v>143</v>
      </c>
      <c r="BD1307" t="s">
        <v>74</v>
      </c>
      <c r="BE1307" t="s">
        <v>18455</v>
      </c>
      <c r="BF1307" t="str">
        <f>HYPERLINK("http://dx.doi.org/10.1016/j.lpm.2009.09.013","http://dx.doi.org/10.1016/j.lpm.2009.09.013")</f>
        <v>http://dx.doi.org/10.1016/j.lpm.2009.09.013</v>
      </c>
      <c r="BG1307" t="s">
        <v>74</v>
      </c>
      <c r="BH1307" t="s">
        <v>74</v>
      </c>
      <c r="BI1307">
        <v>10</v>
      </c>
      <c r="BJ1307" t="s">
        <v>1152</v>
      </c>
      <c r="BK1307" t="s">
        <v>101</v>
      </c>
      <c r="BL1307" t="s">
        <v>1153</v>
      </c>
      <c r="BM1307" t="s">
        <v>18454</v>
      </c>
      <c r="BN1307">
        <v>19914027</v>
      </c>
      <c r="BO1307" t="s">
        <v>74</v>
      </c>
      <c r="BP1307" t="s">
        <v>74</v>
      </c>
      <c r="BQ1307" t="s">
        <v>74</v>
      </c>
      <c r="BR1307" t="s">
        <v>104</v>
      </c>
      <c r="BS1307" t="s">
        <v>18453</v>
      </c>
      <c r="BT1307" t="str">
        <f>HYPERLINK("https%3A%2F%2Fwww.webofscience.com%2Fwos%2Fwoscc%2Ffull-record%2FWOS:000274127000018","View Full Record in Web of Science")</f>
        <v>View Full Record in Web of Science</v>
      </c>
    </row>
    <row r="1308" spans="1:72" x14ac:dyDescent="0.25">
      <c r="A1308" t="s">
        <v>72</v>
      </c>
      <c r="B1308" t="s">
        <v>18452</v>
      </c>
      <c r="C1308" t="s">
        <v>74</v>
      </c>
      <c r="D1308" t="s">
        <v>74</v>
      </c>
      <c r="E1308" t="s">
        <v>74</v>
      </c>
      <c r="F1308" t="s">
        <v>18451</v>
      </c>
      <c r="G1308" t="s">
        <v>74</v>
      </c>
      <c r="H1308" t="s">
        <v>74</v>
      </c>
      <c r="I1308" t="s">
        <v>18450</v>
      </c>
      <c r="J1308" t="s">
        <v>637</v>
      </c>
      <c r="K1308" t="s">
        <v>74</v>
      </c>
      <c r="L1308" t="s">
        <v>74</v>
      </c>
      <c r="M1308" t="s">
        <v>78</v>
      </c>
      <c r="N1308" t="s">
        <v>52</v>
      </c>
      <c r="O1308" t="s">
        <v>74</v>
      </c>
      <c r="P1308" t="s">
        <v>74</v>
      </c>
      <c r="Q1308" t="s">
        <v>74</v>
      </c>
      <c r="R1308" t="s">
        <v>74</v>
      </c>
      <c r="S1308" t="s">
        <v>74</v>
      </c>
      <c r="T1308" t="s">
        <v>74</v>
      </c>
      <c r="U1308" t="s">
        <v>74</v>
      </c>
      <c r="V1308" t="s">
        <v>74</v>
      </c>
      <c r="W1308" t="s">
        <v>74</v>
      </c>
      <c r="X1308" t="s">
        <v>74</v>
      </c>
      <c r="Y1308" t="s">
        <v>74</v>
      </c>
      <c r="Z1308" t="s">
        <v>74</v>
      </c>
      <c r="AA1308" t="s">
        <v>18449</v>
      </c>
      <c r="AB1308" t="s">
        <v>74</v>
      </c>
      <c r="AC1308" t="s">
        <v>74</v>
      </c>
      <c r="AD1308" t="s">
        <v>74</v>
      </c>
      <c r="AE1308" t="s">
        <v>74</v>
      </c>
      <c r="AF1308" t="s">
        <v>74</v>
      </c>
      <c r="AG1308">
        <v>0</v>
      </c>
      <c r="AH1308">
        <v>7</v>
      </c>
      <c r="AI1308">
        <v>7</v>
      </c>
      <c r="AJ1308">
        <v>0</v>
      </c>
      <c r="AK1308">
        <v>0</v>
      </c>
      <c r="AL1308" t="s">
        <v>649</v>
      </c>
      <c r="AM1308" t="s">
        <v>486</v>
      </c>
      <c r="AN1308" t="s">
        <v>17481</v>
      </c>
      <c r="AO1308" t="s">
        <v>651</v>
      </c>
      <c r="AP1308" t="s">
        <v>74</v>
      </c>
      <c r="AQ1308" t="s">
        <v>74</v>
      </c>
      <c r="AR1308" t="s">
        <v>653</v>
      </c>
      <c r="AS1308" t="s">
        <v>654</v>
      </c>
      <c r="AT1308" t="s">
        <v>74</v>
      </c>
      <c r="AU1308">
        <v>2010</v>
      </c>
      <c r="AV1308">
        <v>181</v>
      </c>
      <c r="AW1308" t="s">
        <v>74</v>
      </c>
      <c r="AX1308" t="s">
        <v>74</v>
      </c>
      <c r="AY1308" t="s">
        <v>74</v>
      </c>
      <c r="AZ1308" t="s">
        <v>74</v>
      </c>
      <c r="BA1308" t="s">
        <v>18448</v>
      </c>
      <c r="BB1308" t="s">
        <v>74</v>
      </c>
      <c r="BC1308" t="s">
        <v>74</v>
      </c>
      <c r="BD1308" t="s">
        <v>74</v>
      </c>
      <c r="BE1308" t="s">
        <v>74</v>
      </c>
      <c r="BF1308" t="s">
        <v>74</v>
      </c>
      <c r="BG1308" t="s">
        <v>74</v>
      </c>
      <c r="BH1308" t="s">
        <v>74</v>
      </c>
      <c r="BI1308">
        <v>1</v>
      </c>
      <c r="BJ1308" t="s">
        <v>341</v>
      </c>
      <c r="BK1308" t="s">
        <v>101</v>
      </c>
      <c r="BL1308" t="s">
        <v>342</v>
      </c>
      <c r="BM1308" t="s">
        <v>18442</v>
      </c>
      <c r="BN1308" t="s">
        <v>74</v>
      </c>
      <c r="BO1308" t="s">
        <v>74</v>
      </c>
      <c r="BP1308" t="s">
        <v>74</v>
      </c>
      <c r="BQ1308" t="s">
        <v>74</v>
      </c>
      <c r="BR1308" t="s">
        <v>104</v>
      </c>
      <c r="BS1308" t="s">
        <v>18447</v>
      </c>
      <c r="BT1308" t="str">
        <f>HYPERLINK("https%3A%2F%2Fwww.webofscience.com%2Fwos%2Fwoscc%2Ffull-record%2FWOS:000208771002448","View Full Record in Web of Science")</f>
        <v>View Full Record in Web of Science</v>
      </c>
    </row>
    <row r="1309" spans="1:72" x14ac:dyDescent="0.25">
      <c r="A1309" t="s">
        <v>72</v>
      </c>
      <c r="B1309" t="s">
        <v>18446</v>
      </c>
      <c r="C1309" t="s">
        <v>74</v>
      </c>
      <c r="D1309" t="s">
        <v>74</v>
      </c>
      <c r="E1309" t="s">
        <v>74</v>
      </c>
      <c r="F1309" t="s">
        <v>18445</v>
      </c>
      <c r="G1309" t="s">
        <v>74</v>
      </c>
      <c r="H1309" t="s">
        <v>74</v>
      </c>
      <c r="I1309" t="s">
        <v>18444</v>
      </c>
      <c r="J1309" t="s">
        <v>637</v>
      </c>
      <c r="K1309" t="s">
        <v>74</v>
      </c>
      <c r="L1309" t="s">
        <v>74</v>
      </c>
      <c r="M1309" t="s">
        <v>78</v>
      </c>
      <c r="N1309" t="s">
        <v>52</v>
      </c>
      <c r="O1309" t="s">
        <v>74</v>
      </c>
      <c r="P1309" t="s">
        <v>74</v>
      </c>
      <c r="Q1309" t="s">
        <v>74</v>
      </c>
      <c r="R1309" t="s">
        <v>74</v>
      </c>
      <c r="S1309" t="s">
        <v>74</v>
      </c>
      <c r="T1309" t="s">
        <v>74</v>
      </c>
      <c r="U1309" t="s">
        <v>74</v>
      </c>
      <c r="V1309" t="s">
        <v>74</v>
      </c>
      <c r="W1309" t="s">
        <v>74</v>
      </c>
      <c r="X1309" t="s">
        <v>74</v>
      </c>
      <c r="Y1309" t="s">
        <v>74</v>
      </c>
      <c r="Z1309" t="s">
        <v>74</v>
      </c>
      <c r="AA1309" t="s">
        <v>11056</v>
      </c>
      <c r="AB1309" t="s">
        <v>74</v>
      </c>
      <c r="AC1309" t="s">
        <v>74</v>
      </c>
      <c r="AD1309" t="s">
        <v>74</v>
      </c>
      <c r="AE1309" t="s">
        <v>74</v>
      </c>
      <c r="AF1309" t="s">
        <v>74</v>
      </c>
      <c r="AG1309">
        <v>0</v>
      </c>
      <c r="AH1309">
        <v>0</v>
      </c>
      <c r="AI1309">
        <v>0</v>
      </c>
      <c r="AJ1309">
        <v>0</v>
      </c>
      <c r="AK1309">
        <v>0</v>
      </c>
      <c r="AL1309" t="s">
        <v>649</v>
      </c>
      <c r="AM1309" t="s">
        <v>486</v>
      </c>
      <c r="AN1309" t="s">
        <v>17481</v>
      </c>
      <c r="AO1309" t="s">
        <v>651</v>
      </c>
      <c r="AP1309" t="s">
        <v>74</v>
      </c>
      <c r="AQ1309" t="s">
        <v>74</v>
      </c>
      <c r="AR1309" t="s">
        <v>653</v>
      </c>
      <c r="AS1309" t="s">
        <v>654</v>
      </c>
      <c r="AT1309" t="s">
        <v>74</v>
      </c>
      <c r="AU1309">
        <v>2010</v>
      </c>
      <c r="AV1309">
        <v>181</v>
      </c>
      <c r="AW1309" t="s">
        <v>74</v>
      </c>
      <c r="AX1309" t="s">
        <v>74</v>
      </c>
      <c r="AY1309" t="s">
        <v>74</v>
      </c>
      <c r="AZ1309" t="s">
        <v>74</v>
      </c>
      <c r="BA1309" t="s">
        <v>18443</v>
      </c>
      <c r="BB1309" t="s">
        <v>74</v>
      </c>
      <c r="BC1309" t="s">
        <v>74</v>
      </c>
      <c r="BD1309" t="s">
        <v>74</v>
      </c>
      <c r="BE1309" t="s">
        <v>74</v>
      </c>
      <c r="BF1309" t="s">
        <v>74</v>
      </c>
      <c r="BG1309" t="s">
        <v>74</v>
      </c>
      <c r="BH1309" t="s">
        <v>74</v>
      </c>
      <c r="BI1309">
        <v>1</v>
      </c>
      <c r="BJ1309" t="s">
        <v>341</v>
      </c>
      <c r="BK1309" t="s">
        <v>101</v>
      </c>
      <c r="BL1309" t="s">
        <v>342</v>
      </c>
      <c r="BM1309" t="s">
        <v>18442</v>
      </c>
      <c r="BN1309" t="s">
        <v>74</v>
      </c>
      <c r="BO1309" t="s">
        <v>74</v>
      </c>
      <c r="BP1309" t="s">
        <v>74</v>
      </c>
      <c r="BQ1309" t="s">
        <v>74</v>
      </c>
      <c r="BR1309" t="s">
        <v>104</v>
      </c>
      <c r="BS1309" t="s">
        <v>18441</v>
      </c>
      <c r="BT1309" t="str">
        <f>HYPERLINK("https%3A%2F%2Fwww.webofscience.com%2Fwos%2Fwoscc%2Ffull-record%2FWOS:000208771002450","View Full Record in Web of Science")</f>
        <v>View Full Record in Web of Science</v>
      </c>
    </row>
    <row r="1310" spans="1:72" x14ac:dyDescent="0.25">
      <c r="A1310" t="s">
        <v>72</v>
      </c>
      <c r="B1310" t="s">
        <v>18346</v>
      </c>
      <c r="C1310" t="s">
        <v>74</v>
      </c>
      <c r="D1310" t="s">
        <v>74</v>
      </c>
      <c r="E1310" t="s">
        <v>74</v>
      </c>
      <c r="F1310" t="s">
        <v>18440</v>
      </c>
      <c r="G1310" t="s">
        <v>74</v>
      </c>
      <c r="H1310" t="s">
        <v>74</v>
      </c>
      <c r="I1310" t="s">
        <v>18343</v>
      </c>
      <c r="J1310" t="s">
        <v>216</v>
      </c>
      <c r="K1310" t="s">
        <v>74</v>
      </c>
      <c r="L1310" t="s">
        <v>74</v>
      </c>
      <c r="M1310" t="s">
        <v>78</v>
      </c>
      <c r="N1310" t="s">
        <v>299</v>
      </c>
      <c r="O1310" t="s">
        <v>74</v>
      </c>
      <c r="P1310" t="s">
        <v>74</v>
      </c>
      <c r="Q1310" t="s">
        <v>74</v>
      </c>
      <c r="R1310" t="s">
        <v>74</v>
      </c>
      <c r="S1310" t="s">
        <v>74</v>
      </c>
      <c r="T1310" t="s">
        <v>74</v>
      </c>
      <c r="U1310" t="s">
        <v>18439</v>
      </c>
      <c r="V1310" t="s">
        <v>74</v>
      </c>
      <c r="W1310" t="s">
        <v>18438</v>
      </c>
      <c r="X1310" t="s">
        <v>18437</v>
      </c>
      <c r="Y1310" t="s">
        <v>18436</v>
      </c>
      <c r="Z1310" t="s">
        <v>10104</v>
      </c>
      <c r="AA1310" t="s">
        <v>18435</v>
      </c>
      <c r="AB1310" t="s">
        <v>18434</v>
      </c>
      <c r="AC1310" t="s">
        <v>74</v>
      </c>
      <c r="AD1310" t="s">
        <v>74</v>
      </c>
      <c r="AE1310" t="s">
        <v>74</v>
      </c>
      <c r="AF1310" t="s">
        <v>74</v>
      </c>
      <c r="AG1310">
        <v>260</v>
      </c>
      <c r="AH1310">
        <v>916</v>
      </c>
      <c r="AI1310">
        <v>970</v>
      </c>
      <c r="AJ1310">
        <v>0</v>
      </c>
      <c r="AK1310">
        <v>25</v>
      </c>
      <c r="AL1310" t="s">
        <v>219</v>
      </c>
      <c r="AM1310" t="s">
        <v>220</v>
      </c>
      <c r="AN1310" t="s">
        <v>221</v>
      </c>
      <c r="AO1310" t="s">
        <v>222</v>
      </c>
      <c r="AP1310" t="s">
        <v>223</v>
      </c>
      <c r="AQ1310" t="s">
        <v>74</v>
      </c>
      <c r="AR1310" t="s">
        <v>224</v>
      </c>
      <c r="AS1310" t="s">
        <v>225</v>
      </c>
      <c r="AT1310" t="s">
        <v>226</v>
      </c>
      <c r="AU1310">
        <v>2009</v>
      </c>
      <c r="AV1310">
        <v>34</v>
      </c>
      <c r="AW1310">
        <v>6</v>
      </c>
      <c r="AX1310" t="s">
        <v>74</v>
      </c>
      <c r="AY1310" t="s">
        <v>74</v>
      </c>
      <c r="AZ1310" t="s">
        <v>74</v>
      </c>
      <c r="BA1310" t="s">
        <v>74</v>
      </c>
      <c r="BB1310">
        <v>1219</v>
      </c>
      <c r="BC1310">
        <v>1263</v>
      </c>
      <c r="BD1310" t="s">
        <v>74</v>
      </c>
      <c r="BE1310" t="s">
        <v>18433</v>
      </c>
      <c r="BF1310" t="str">
        <f>HYPERLINK("http://dx.doi.org/10.1183/09031936.00139009","http://dx.doi.org/10.1183/09031936.00139009")</f>
        <v>http://dx.doi.org/10.1183/09031936.00139009</v>
      </c>
      <c r="BG1310" t="s">
        <v>74</v>
      </c>
      <c r="BH1310" t="s">
        <v>74</v>
      </c>
      <c r="BI1310">
        <v>45</v>
      </c>
      <c r="BJ1310" t="s">
        <v>228</v>
      </c>
      <c r="BK1310" t="s">
        <v>101</v>
      </c>
      <c r="BL1310" t="s">
        <v>228</v>
      </c>
      <c r="BM1310" t="s">
        <v>18402</v>
      </c>
      <c r="BN1310">
        <v>19749199</v>
      </c>
      <c r="BO1310" t="s">
        <v>1908</v>
      </c>
      <c r="BP1310" t="s">
        <v>74</v>
      </c>
      <c r="BQ1310" t="s">
        <v>74</v>
      </c>
      <c r="BR1310" t="s">
        <v>104</v>
      </c>
      <c r="BS1310" t="s">
        <v>18432</v>
      </c>
      <c r="BT1310" t="str">
        <f>HYPERLINK("https%3A%2F%2Fwww.webofscience.com%2Fwos%2Fwoscc%2Ffull-record%2FWOS:000272625000004","View Full Record in Web of Science")</f>
        <v>View Full Record in Web of Science</v>
      </c>
    </row>
    <row r="1311" spans="1:72" x14ac:dyDescent="0.25">
      <c r="A1311" t="s">
        <v>72</v>
      </c>
      <c r="B1311" t="s">
        <v>18431</v>
      </c>
      <c r="C1311" t="s">
        <v>74</v>
      </c>
      <c r="D1311" t="s">
        <v>74</v>
      </c>
      <c r="E1311" t="s">
        <v>74</v>
      </c>
      <c r="F1311" t="s">
        <v>18430</v>
      </c>
      <c r="G1311" t="s">
        <v>74</v>
      </c>
      <c r="H1311" t="s">
        <v>74</v>
      </c>
      <c r="I1311" t="s">
        <v>18429</v>
      </c>
      <c r="J1311" t="s">
        <v>7846</v>
      </c>
      <c r="K1311" t="s">
        <v>74</v>
      </c>
      <c r="L1311" t="s">
        <v>74</v>
      </c>
      <c r="M1311" t="s">
        <v>78</v>
      </c>
      <c r="N1311" t="s">
        <v>79</v>
      </c>
      <c r="O1311" t="s">
        <v>74</v>
      </c>
      <c r="P1311" t="s">
        <v>74</v>
      </c>
      <c r="Q1311" t="s">
        <v>74</v>
      </c>
      <c r="R1311" t="s">
        <v>74</v>
      </c>
      <c r="S1311" t="s">
        <v>74</v>
      </c>
      <c r="T1311" t="s">
        <v>18428</v>
      </c>
      <c r="U1311" t="s">
        <v>18427</v>
      </c>
      <c r="V1311" t="s">
        <v>18426</v>
      </c>
      <c r="W1311" t="s">
        <v>18425</v>
      </c>
      <c r="X1311" t="s">
        <v>18424</v>
      </c>
      <c r="Y1311" t="s">
        <v>18423</v>
      </c>
      <c r="Z1311" t="s">
        <v>276</v>
      </c>
      <c r="AA1311" t="s">
        <v>18422</v>
      </c>
      <c r="AB1311" t="s">
        <v>18421</v>
      </c>
      <c r="AC1311" t="s">
        <v>18420</v>
      </c>
      <c r="AD1311" t="s">
        <v>18419</v>
      </c>
      <c r="AE1311" t="s">
        <v>18418</v>
      </c>
      <c r="AF1311" t="s">
        <v>74</v>
      </c>
      <c r="AG1311">
        <v>46</v>
      </c>
      <c r="AH1311">
        <v>73</v>
      </c>
      <c r="AI1311">
        <v>80</v>
      </c>
      <c r="AJ1311">
        <v>0</v>
      </c>
      <c r="AK1311">
        <v>11</v>
      </c>
      <c r="AL1311" t="s">
        <v>169</v>
      </c>
      <c r="AM1311" t="s">
        <v>170</v>
      </c>
      <c r="AN1311" t="s">
        <v>171</v>
      </c>
      <c r="AO1311" t="s">
        <v>7858</v>
      </c>
      <c r="AP1311" t="s">
        <v>7859</v>
      </c>
      <c r="AQ1311" t="s">
        <v>74</v>
      </c>
      <c r="AR1311" t="s">
        <v>7860</v>
      </c>
      <c r="AS1311" t="s">
        <v>7861</v>
      </c>
      <c r="AT1311" t="s">
        <v>226</v>
      </c>
      <c r="AU1311">
        <v>2009</v>
      </c>
      <c r="AV1311">
        <v>23</v>
      </c>
      <c r="AW1311">
        <v>12</v>
      </c>
      <c r="AX1311" t="s">
        <v>74</v>
      </c>
      <c r="AY1311" t="s">
        <v>74</v>
      </c>
      <c r="AZ1311" t="s">
        <v>74</v>
      </c>
      <c r="BA1311" t="s">
        <v>74</v>
      </c>
      <c r="BB1311">
        <v>4135</v>
      </c>
      <c r="BC1311">
        <v>4147</v>
      </c>
      <c r="BD1311" t="s">
        <v>74</v>
      </c>
      <c r="BE1311" t="s">
        <v>18417</v>
      </c>
      <c r="BF1311" t="str">
        <f>HYPERLINK("http://dx.doi.org/10.1096/fj.09-131664","http://dx.doi.org/10.1096/fj.09-131664")</f>
        <v>http://dx.doi.org/10.1096/fj.09-131664</v>
      </c>
      <c r="BG1311" t="s">
        <v>74</v>
      </c>
      <c r="BH1311" t="s">
        <v>74</v>
      </c>
      <c r="BI1311">
        <v>13</v>
      </c>
      <c r="BJ1311" t="s">
        <v>7863</v>
      </c>
      <c r="BK1311" t="s">
        <v>101</v>
      </c>
      <c r="BL1311" t="s">
        <v>7864</v>
      </c>
      <c r="BM1311" t="s">
        <v>18416</v>
      </c>
      <c r="BN1311">
        <v>19679640</v>
      </c>
      <c r="BO1311" t="s">
        <v>74</v>
      </c>
      <c r="BP1311" t="s">
        <v>74</v>
      </c>
      <c r="BQ1311" t="s">
        <v>74</v>
      </c>
      <c r="BR1311" t="s">
        <v>104</v>
      </c>
      <c r="BS1311" t="s">
        <v>18415</v>
      </c>
      <c r="BT1311" t="str">
        <f>HYPERLINK("https%3A%2F%2Fwww.webofscience.com%2Fwos%2Fwoscc%2Ffull-record%2FWOS:000272193700010","View Full Record in Web of Science")</f>
        <v>View Full Record in Web of Science</v>
      </c>
    </row>
    <row r="1312" spans="1:72" x14ac:dyDescent="0.25">
      <c r="A1312" t="s">
        <v>72</v>
      </c>
      <c r="B1312" t="s">
        <v>18414</v>
      </c>
      <c r="C1312" t="s">
        <v>74</v>
      </c>
      <c r="D1312" t="s">
        <v>74</v>
      </c>
      <c r="E1312" t="s">
        <v>74</v>
      </c>
      <c r="F1312" t="s">
        <v>18413</v>
      </c>
      <c r="G1312" t="s">
        <v>74</v>
      </c>
      <c r="H1312" t="s">
        <v>74</v>
      </c>
      <c r="I1312" t="s">
        <v>18412</v>
      </c>
      <c r="J1312" t="s">
        <v>216</v>
      </c>
      <c r="K1312" t="s">
        <v>74</v>
      </c>
      <c r="L1312" t="s">
        <v>74</v>
      </c>
      <c r="M1312" t="s">
        <v>78</v>
      </c>
      <c r="N1312" t="s">
        <v>79</v>
      </c>
      <c r="O1312" t="s">
        <v>74</v>
      </c>
      <c r="P1312" t="s">
        <v>74</v>
      </c>
      <c r="Q1312" t="s">
        <v>74</v>
      </c>
      <c r="R1312" t="s">
        <v>74</v>
      </c>
      <c r="S1312" t="s">
        <v>74</v>
      </c>
      <c r="T1312" t="s">
        <v>18411</v>
      </c>
      <c r="U1312" t="s">
        <v>18410</v>
      </c>
      <c r="V1312" t="s">
        <v>18409</v>
      </c>
      <c r="W1312" t="s">
        <v>18408</v>
      </c>
      <c r="X1312" t="s">
        <v>18407</v>
      </c>
      <c r="Y1312" t="s">
        <v>18406</v>
      </c>
      <c r="Z1312" t="s">
        <v>10573</v>
      </c>
      <c r="AA1312" t="s">
        <v>18405</v>
      </c>
      <c r="AB1312" t="s">
        <v>18404</v>
      </c>
      <c r="AC1312" t="s">
        <v>74</v>
      </c>
      <c r="AD1312" t="s">
        <v>74</v>
      </c>
      <c r="AE1312" t="s">
        <v>74</v>
      </c>
      <c r="AF1312" t="s">
        <v>74</v>
      </c>
      <c r="AG1312">
        <v>36</v>
      </c>
      <c r="AH1312">
        <v>65</v>
      </c>
      <c r="AI1312">
        <v>72</v>
      </c>
      <c r="AJ1312">
        <v>0</v>
      </c>
      <c r="AK1312">
        <v>2</v>
      </c>
      <c r="AL1312" t="s">
        <v>219</v>
      </c>
      <c r="AM1312" t="s">
        <v>220</v>
      </c>
      <c r="AN1312" t="s">
        <v>221</v>
      </c>
      <c r="AO1312" t="s">
        <v>222</v>
      </c>
      <c r="AP1312" t="s">
        <v>223</v>
      </c>
      <c r="AQ1312" t="s">
        <v>74</v>
      </c>
      <c r="AR1312" t="s">
        <v>224</v>
      </c>
      <c r="AS1312" t="s">
        <v>225</v>
      </c>
      <c r="AT1312" t="s">
        <v>226</v>
      </c>
      <c r="AU1312">
        <v>2009</v>
      </c>
      <c r="AV1312">
        <v>34</v>
      </c>
      <c r="AW1312">
        <v>6</v>
      </c>
      <c r="AX1312" t="s">
        <v>74</v>
      </c>
      <c r="AY1312" t="s">
        <v>74</v>
      </c>
      <c r="AZ1312" t="s">
        <v>74</v>
      </c>
      <c r="BA1312" t="s">
        <v>74</v>
      </c>
      <c r="BB1312">
        <v>1348</v>
      </c>
      <c r="BC1312">
        <v>1356</v>
      </c>
      <c r="BD1312" t="s">
        <v>74</v>
      </c>
      <c r="BE1312" t="s">
        <v>18403</v>
      </c>
      <c r="BF1312" t="str">
        <f>HYPERLINK("http://dx.doi.org/10.1183/09031936.00017809","http://dx.doi.org/10.1183/09031936.00017809")</f>
        <v>http://dx.doi.org/10.1183/09031936.00017809</v>
      </c>
      <c r="BG1312" t="s">
        <v>74</v>
      </c>
      <c r="BH1312" t="s">
        <v>74</v>
      </c>
      <c r="BI1312">
        <v>9</v>
      </c>
      <c r="BJ1312" t="s">
        <v>228</v>
      </c>
      <c r="BK1312" t="s">
        <v>101</v>
      </c>
      <c r="BL1312" t="s">
        <v>228</v>
      </c>
      <c r="BM1312" t="s">
        <v>18402</v>
      </c>
      <c r="BN1312">
        <v>19541723</v>
      </c>
      <c r="BO1312" t="s">
        <v>1194</v>
      </c>
      <c r="BP1312" t="s">
        <v>74</v>
      </c>
      <c r="BQ1312" t="s">
        <v>74</v>
      </c>
      <c r="BR1312" t="s">
        <v>104</v>
      </c>
      <c r="BS1312" t="s">
        <v>18401</v>
      </c>
      <c r="BT1312" t="str">
        <f>HYPERLINK("https%3A%2F%2Fwww.webofscience.com%2Fwos%2Fwoscc%2Ffull-record%2FWOS:000272625000015","View Full Record in Web of Science")</f>
        <v>View Full Record in Web of Science</v>
      </c>
    </row>
    <row r="1313" spans="1:72" x14ac:dyDescent="0.25">
      <c r="A1313" t="s">
        <v>72</v>
      </c>
      <c r="B1313" t="s">
        <v>17908</v>
      </c>
      <c r="C1313" t="s">
        <v>74</v>
      </c>
      <c r="D1313" t="s">
        <v>74</v>
      </c>
      <c r="E1313" t="s">
        <v>74</v>
      </c>
      <c r="F1313" t="s">
        <v>17907</v>
      </c>
      <c r="G1313" t="s">
        <v>74</v>
      </c>
      <c r="H1313" t="s">
        <v>74</v>
      </c>
      <c r="I1313" t="s">
        <v>18400</v>
      </c>
      <c r="J1313" t="s">
        <v>216</v>
      </c>
      <c r="K1313" t="s">
        <v>74</v>
      </c>
      <c r="L1313" t="s">
        <v>74</v>
      </c>
      <c r="M1313" t="s">
        <v>78</v>
      </c>
      <c r="N1313" t="s">
        <v>79</v>
      </c>
      <c r="O1313" t="s">
        <v>74</v>
      </c>
      <c r="P1313" t="s">
        <v>74</v>
      </c>
      <c r="Q1313" t="s">
        <v>74</v>
      </c>
      <c r="R1313" t="s">
        <v>74</v>
      </c>
      <c r="S1313" t="s">
        <v>74</v>
      </c>
      <c r="T1313" t="s">
        <v>18399</v>
      </c>
      <c r="U1313" t="s">
        <v>18398</v>
      </c>
      <c r="V1313" t="s">
        <v>18397</v>
      </c>
      <c r="W1313" t="s">
        <v>18396</v>
      </c>
      <c r="X1313" t="s">
        <v>18395</v>
      </c>
      <c r="Y1313" t="s">
        <v>18394</v>
      </c>
      <c r="Z1313" t="s">
        <v>17903</v>
      </c>
      <c r="AA1313" t="s">
        <v>18393</v>
      </c>
      <c r="AB1313" t="s">
        <v>8281</v>
      </c>
      <c r="AC1313" t="s">
        <v>18392</v>
      </c>
      <c r="AD1313" t="s">
        <v>18391</v>
      </c>
      <c r="AE1313" t="s">
        <v>18390</v>
      </c>
      <c r="AF1313" t="s">
        <v>74</v>
      </c>
      <c r="AG1313">
        <v>33</v>
      </c>
      <c r="AH1313">
        <v>60</v>
      </c>
      <c r="AI1313">
        <v>63</v>
      </c>
      <c r="AJ1313">
        <v>0</v>
      </c>
      <c r="AK1313">
        <v>8</v>
      </c>
      <c r="AL1313" t="s">
        <v>219</v>
      </c>
      <c r="AM1313" t="s">
        <v>220</v>
      </c>
      <c r="AN1313" t="s">
        <v>221</v>
      </c>
      <c r="AO1313" t="s">
        <v>222</v>
      </c>
      <c r="AP1313" t="s">
        <v>223</v>
      </c>
      <c r="AQ1313" t="s">
        <v>74</v>
      </c>
      <c r="AR1313" t="s">
        <v>224</v>
      </c>
      <c r="AS1313" t="s">
        <v>225</v>
      </c>
      <c r="AT1313" t="s">
        <v>315</v>
      </c>
      <c r="AU1313">
        <v>2009</v>
      </c>
      <c r="AV1313">
        <v>34</v>
      </c>
      <c r="AW1313">
        <v>5</v>
      </c>
      <c r="AX1313" t="s">
        <v>74</v>
      </c>
      <c r="AY1313" t="s">
        <v>74</v>
      </c>
      <c r="AZ1313" t="s">
        <v>74</v>
      </c>
      <c r="BA1313" t="s">
        <v>74</v>
      </c>
      <c r="BB1313">
        <v>1100</v>
      </c>
      <c r="BC1313">
        <v>1110</v>
      </c>
      <c r="BD1313" t="s">
        <v>74</v>
      </c>
      <c r="BE1313" t="s">
        <v>18389</v>
      </c>
      <c r="BF1313" t="str">
        <f>HYPERLINK("http://dx.doi.org/10.1183/09031936.00183008","http://dx.doi.org/10.1183/09031936.00183008")</f>
        <v>http://dx.doi.org/10.1183/09031936.00183008</v>
      </c>
      <c r="BG1313" t="s">
        <v>74</v>
      </c>
      <c r="BH1313" t="s">
        <v>74</v>
      </c>
      <c r="BI1313">
        <v>11</v>
      </c>
      <c r="BJ1313" t="s">
        <v>228</v>
      </c>
      <c r="BK1313" t="s">
        <v>101</v>
      </c>
      <c r="BL1313" t="s">
        <v>228</v>
      </c>
      <c r="BM1313" t="s">
        <v>18348</v>
      </c>
      <c r="BN1313">
        <v>19324947</v>
      </c>
      <c r="BO1313" t="s">
        <v>18388</v>
      </c>
      <c r="BP1313" t="s">
        <v>74</v>
      </c>
      <c r="BQ1313" t="s">
        <v>74</v>
      </c>
      <c r="BR1313" t="s">
        <v>104</v>
      </c>
      <c r="BS1313" t="s">
        <v>18387</v>
      </c>
      <c r="BT1313" t="str">
        <f>HYPERLINK("https%3A%2F%2Fwww.webofscience.com%2Fwos%2Fwoscc%2Ffull-record%2FWOS:000271571700016","View Full Record in Web of Science")</f>
        <v>View Full Record in Web of Science</v>
      </c>
    </row>
    <row r="1314" spans="1:72" x14ac:dyDescent="0.25">
      <c r="A1314" t="s">
        <v>72</v>
      </c>
      <c r="B1314" t="s">
        <v>18386</v>
      </c>
      <c r="C1314" t="s">
        <v>74</v>
      </c>
      <c r="D1314" t="s">
        <v>74</v>
      </c>
      <c r="E1314" t="s">
        <v>74</v>
      </c>
      <c r="F1314" t="s">
        <v>18385</v>
      </c>
      <c r="G1314" t="s">
        <v>74</v>
      </c>
      <c r="H1314" t="s">
        <v>18384</v>
      </c>
      <c r="I1314" t="s">
        <v>18383</v>
      </c>
      <c r="J1314" t="s">
        <v>12906</v>
      </c>
      <c r="K1314" t="s">
        <v>74</v>
      </c>
      <c r="L1314" t="s">
        <v>74</v>
      </c>
      <c r="M1314" t="s">
        <v>12907</v>
      </c>
      <c r="N1314" t="s">
        <v>299</v>
      </c>
      <c r="O1314" t="s">
        <v>74</v>
      </c>
      <c r="P1314" t="s">
        <v>74</v>
      </c>
      <c r="Q1314" t="s">
        <v>74</v>
      </c>
      <c r="R1314" t="s">
        <v>74</v>
      </c>
      <c r="S1314" t="s">
        <v>74</v>
      </c>
      <c r="T1314" t="s">
        <v>74</v>
      </c>
      <c r="U1314" t="s">
        <v>18382</v>
      </c>
      <c r="V1314" t="s">
        <v>74</v>
      </c>
      <c r="W1314" t="s">
        <v>18381</v>
      </c>
      <c r="X1314" t="s">
        <v>18340</v>
      </c>
      <c r="Y1314" t="s">
        <v>18380</v>
      </c>
      <c r="Z1314" t="s">
        <v>74</v>
      </c>
      <c r="AA1314" t="s">
        <v>18379</v>
      </c>
      <c r="AB1314" t="s">
        <v>18378</v>
      </c>
      <c r="AC1314" t="s">
        <v>74</v>
      </c>
      <c r="AD1314" t="s">
        <v>74</v>
      </c>
      <c r="AE1314" t="s">
        <v>74</v>
      </c>
      <c r="AF1314" t="s">
        <v>74</v>
      </c>
      <c r="AG1314">
        <v>260</v>
      </c>
      <c r="AH1314">
        <v>0</v>
      </c>
      <c r="AI1314">
        <v>0</v>
      </c>
      <c r="AJ1314">
        <v>0</v>
      </c>
      <c r="AK1314">
        <v>4</v>
      </c>
      <c r="AL1314" t="s">
        <v>18377</v>
      </c>
      <c r="AM1314" t="s">
        <v>12914</v>
      </c>
      <c r="AN1314" t="s">
        <v>12915</v>
      </c>
      <c r="AO1314" t="s">
        <v>12916</v>
      </c>
      <c r="AP1314" t="s">
        <v>12917</v>
      </c>
      <c r="AQ1314" t="s">
        <v>74</v>
      </c>
      <c r="AR1314" t="s">
        <v>12918</v>
      </c>
      <c r="AS1314" t="s">
        <v>12919</v>
      </c>
      <c r="AT1314" t="s">
        <v>315</v>
      </c>
      <c r="AU1314">
        <v>2009</v>
      </c>
      <c r="AV1314">
        <v>67</v>
      </c>
      <c r="AW1314">
        <v>11</v>
      </c>
      <c r="AX1314" t="s">
        <v>74</v>
      </c>
      <c r="AY1314">
        <v>7</v>
      </c>
      <c r="AZ1314" t="s">
        <v>74</v>
      </c>
      <c r="BA1314" t="s">
        <v>74</v>
      </c>
      <c r="BB1314" t="s">
        <v>18376</v>
      </c>
      <c r="BC1314" t="s">
        <v>18375</v>
      </c>
      <c r="BD1314" t="s">
        <v>74</v>
      </c>
      <c r="BE1314" t="s">
        <v>74</v>
      </c>
      <c r="BF1314" t="s">
        <v>74</v>
      </c>
      <c r="BG1314" t="s">
        <v>74</v>
      </c>
      <c r="BH1314" t="s">
        <v>74</v>
      </c>
      <c r="BI1314">
        <v>54</v>
      </c>
      <c r="BJ1314" t="s">
        <v>132</v>
      </c>
      <c r="BK1314" t="s">
        <v>101</v>
      </c>
      <c r="BL1314" t="s">
        <v>133</v>
      </c>
      <c r="BM1314" t="s">
        <v>18374</v>
      </c>
      <c r="BN1314" t="s">
        <v>74</v>
      </c>
      <c r="BO1314" t="s">
        <v>74</v>
      </c>
      <c r="BP1314" t="s">
        <v>74</v>
      </c>
      <c r="BQ1314" t="s">
        <v>74</v>
      </c>
      <c r="BR1314" t="s">
        <v>104</v>
      </c>
      <c r="BS1314" t="s">
        <v>18373</v>
      </c>
      <c r="BT1314" t="str">
        <f>HYPERLINK("https%3A%2F%2Fwww.webofscience.com%2Fwos%2Fwoscc%2Ffull-record%2FWOS:000274171500001","View Full Record in Web of Science")</f>
        <v>View Full Record in Web of Science</v>
      </c>
    </row>
    <row r="1315" spans="1:72" x14ac:dyDescent="0.25">
      <c r="A1315" t="s">
        <v>72</v>
      </c>
      <c r="B1315" t="s">
        <v>18372</v>
      </c>
      <c r="C1315" t="s">
        <v>74</v>
      </c>
      <c r="D1315" t="s">
        <v>74</v>
      </c>
      <c r="E1315" t="s">
        <v>74</v>
      </c>
      <c r="F1315" t="s">
        <v>18371</v>
      </c>
      <c r="G1315" t="s">
        <v>74</v>
      </c>
      <c r="H1315" t="s">
        <v>18370</v>
      </c>
      <c r="I1315" t="s">
        <v>18369</v>
      </c>
      <c r="J1315" t="s">
        <v>324</v>
      </c>
      <c r="K1315" t="s">
        <v>74</v>
      </c>
      <c r="L1315" t="s">
        <v>74</v>
      </c>
      <c r="M1315" t="s">
        <v>78</v>
      </c>
      <c r="N1315" t="s">
        <v>79</v>
      </c>
      <c r="O1315" t="s">
        <v>74</v>
      </c>
      <c r="P1315" t="s">
        <v>74</v>
      </c>
      <c r="Q1315" t="s">
        <v>74</v>
      </c>
      <c r="R1315" t="s">
        <v>74</v>
      </c>
      <c r="S1315" t="s">
        <v>74</v>
      </c>
      <c r="T1315" t="s">
        <v>74</v>
      </c>
      <c r="U1315" t="s">
        <v>18368</v>
      </c>
      <c r="V1315" t="s">
        <v>18367</v>
      </c>
      <c r="W1315" t="s">
        <v>18366</v>
      </c>
      <c r="X1315" t="s">
        <v>18365</v>
      </c>
      <c r="Y1315" t="s">
        <v>18364</v>
      </c>
      <c r="Z1315" t="s">
        <v>15594</v>
      </c>
      <c r="AA1315" t="s">
        <v>18363</v>
      </c>
      <c r="AB1315" t="s">
        <v>18362</v>
      </c>
      <c r="AC1315" t="s">
        <v>18361</v>
      </c>
      <c r="AD1315" t="s">
        <v>18361</v>
      </c>
      <c r="AE1315" t="s">
        <v>18360</v>
      </c>
      <c r="AF1315" t="s">
        <v>74</v>
      </c>
      <c r="AG1315">
        <v>25</v>
      </c>
      <c r="AH1315">
        <v>97</v>
      </c>
      <c r="AI1315">
        <v>100</v>
      </c>
      <c r="AJ1315">
        <v>0</v>
      </c>
      <c r="AK1315">
        <v>2</v>
      </c>
      <c r="AL1315" t="s">
        <v>92</v>
      </c>
      <c r="AM1315" t="s">
        <v>93</v>
      </c>
      <c r="AN1315" t="s">
        <v>94</v>
      </c>
      <c r="AO1315" t="s">
        <v>337</v>
      </c>
      <c r="AP1315" t="s">
        <v>338</v>
      </c>
      <c r="AQ1315" t="s">
        <v>74</v>
      </c>
      <c r="AR1315" t="s">
        <v>324</v>
      </c>
      <c r="AS1315" t="s">
        <v>339</v>
      </c>
      <c r="AT1315" t="s">
        <v>315</v>
      </c>
      <c r="AU1315">
        <v>2009</v>
      </c>
      <c r="AV1315">
        <v>136</v>
      </c>
      <c r="AW1315">
        <v>5</v>
      </c>
      <c r="AX1315" t="s">
        <v>74</v>
      </c>
      <c r="AY1315" t="s">
        <v>74</v>
      </c>
      <c r="AZ1315" t="s">
        <v>74</v>
      </c>
      <c r="BA1315" t="s">
        <v>74</v>
      </c>
      <c r="BB1315">
        <v>1211</v>
      </c>
      <c r="BC1315">
        <v>1219</v>
      </c>
      <c r="BD1315" t="s">
        <v>74</v>
      </c>
      <c r="BE1315" t="s">
        <v>18359</v>
      </c>
      <c r="BF1315" t="str">
        <f>HYPERLINK("http://dx.doi.org/10.1378/chest.08-3042","http://dx.doi.org/10.1378/chest.08-3042")</f>
        <v>http://dx.doi.org/10.1378/chest.08-3042</v>
      </c>
      <c r="BG1315" t="s">
        <v>74</v>
      </c>
      <c r="BH1315" t="s">
        <v>74</v>
      </c>
      <c r="BI1315">
        <v>9</v>
      </c>
      <c r="BJ1315" t="s">
        <v>341</v>
      </c>
      <c r="BK1315" t="s">
        <v>101</v>
      </c>
      <c r="BL1315" t="s">
        <v>342</v>
      </c>
      <c r="BM1315" t="s">
        <v>18358</v>
      </c>
      <c r="BN1315">
        <v>19429720</v>
      </c>
      <c r="BO1315" t="s">
        <v>74</v>
      </c>
      <c r="BP1315" t="s">
        <v>74</v>
      </c>
      <c r="BQ1315" t="s">
        <v>74</v>
      </c>
      <c r="BR1315" t="s">
        <v>104</v>
      </c>
      <c r="BS1315" t="s">
        <v>18357</v>
      </c>
      <c r="BT1315" t="str">
        <f>HYPERLINK("https%3A%2F%2Fwww.webofscience.com%2Fwos%2Fwoscc%2Ffull-record%2FWOS:000271916000006","View Full Record in Web of Science")</f>
        <v>View Full Record in Web of Science</v>
      </c>
    </row>
    <row r="1316" spans="1:72" x14ac:dyDescent="0.25">
      <c r="A1316" t="s">
        <v>72</v>
      </c>
      <c r="B1316" t="s">
        <v>18356</v>
      </c>
      <c r="C1316" t="s">
        <v>74</v>
      </c>
      <c r="D1316" t="s">
        <v>74</v>
      </c>
      <c r="E1316" t="s">
        <v>74</v>
      </c>
      <c r="F1316" t="s">
        <v>18355</v>
      </c>
      <c r="G1316" t="s">
        <v>74</v>
      </c>
      <c r="H1316" t="s">
        <v>74</v>
      </c>
      <c r="I1316" t="s">
        <v>18354</v>
      </c>
      <c r="J1316" t="s">
        <v>216</v>
      </c>
      <c r="K1316" t="s">
        <v>74</v>
      </c>
      <c r="L1316" t="s">
        <v>74</v>
      </c>
      <c r="M1316" t="s">
        <v>78</v>
      </c>
      <c r="N1316" t="s">
        <v>460</v>
      </c>
      <c r="O1316" t="s">
        <v>74</v>
      </c>
      <c r="P1316" t="s">
        <v>74</v>
      </c>
      <c r="Q1316" t="s">
        <v>74</v>
      </c>
      <c r="R1316" t="s">
        <v>74</v>
      </c>
      <c r="S1316" t="s">
        <v>74</v>
      </c>
      <c r="T1316" t="s">
        <v>74</v>
      </c>
      <c r="U1316" t="s">
        <v>74</v>
      </c>
      <c r="V1316" t="s">
        <v>74</v>
      </c>
      <c r="W1316" t="s">
        <v>18353</v>
      </c>
      <c r="X1316" t="s">
        <v>14516</v>
      </c>
      <c r="Y1316" t="s">
        <v>18352</v>
      </c>
      <c r="Z1316" t="s">
        <v>17425</v>
      </c>
      <c r="AA1316" t="s">
        <v>18351</v>
      </c>
      <c r="AB1316" t="s">
        <v>18350</v>
      </c>
      <c r="AC1316" t="s">
        <v>74</v>
      </c>
      <c r="AD1316" t="s">
        <v>74</v>
      </c>
      <c r="AE1316" t="s">
        <v>74</v>
      </c>
      <c r="AF1316" t="s">
        <v>74</v>
      </c>
      <c r="AG1316">
        <v>7</v>
      </c>
      <c r="AH1316">
        <v>27</v>
      </c>
      <c r="AI1316">
        <v>29</v>
      </c>
      <c r="AJ1316">
        <v>0</v>
      </c>
      <c r="AK1316">
        <v>0</v>
      </c>
      <c r="AL1316" t="s">
        <v>219</v>
      </c>
      <c r="AM1316" t="s">
        <v>220</v>
      </c>
      <c r="AN1316" t="s">
        <v>221</v>
      </c>
      <c r="AO1316" t="s">
        <v>222</v>
      </c>
      <c r="AP1316" t="s">
        <v>223</v>
      </c>
      <c r="AQ1316" t="s">
        <v>74</v>
      </c>
      <c r="AR1316" t="s">
        <v>224</v>
      </c>
      <c r="AS1316" t="s">
        <v>225</v>
      </c>
      <c r="AT1316" t="s">
        <v>315</v>
      </c>
      <c r="AU1316">
        <v>2009</v>
      </c>
      <c r="AV1316">
        <v>34</v>
      </c>
      <c r="AW1316">
        <v>5</v>
      </c>
      <c r="AX1316" t="s">
        <v>74</v>
      </c>
      <c r="AY1316" t="s">
        <v>74</v>
      </c>
      <c r="AZ1316" t="s">
        <v>74</v>
      </c>
      <c r="BA1316" t="s">
        <v>74</v>
      </c>
      <c r="BB1316">
        <v>1204</v>
      </c>
      <c r="BC1316">
        <v>1206</v>
      </c>
      <c r="BD1316" t="s">
        <v>74</v>
      </c>
      <c r="BE1316" t="s">
        <v>18349</v>
      </c>
      <c r="BF1316" t="str">
        <f>HYPERLINK("http://dx.doi.org/10.1183/09031936.00102609","http://dx.doi.org/10.1183/09031936.00102609")</f>
        <v>http://dx.doi.org/10.1183/09031936.00102609</v>
      </c>
      <c r="BG1316" t="s">
        <v>74</v>
      </c>
      <c r="BH1316" t="s">
        <v>74</v>
      </c>
      <c r="BI1316">
        <v>3</v>
      </c>
      <c r="BJ1316" t="s">
        <v>228</v>
      </c>
      <c r="BK1316" t="s">
        <v>101</v>
      </c>
      <c r="BL1316" t="s">
        <v>228</v>
      </c>
      <c r="BM1316" t="s">
        <v>18348</v>
      </c>
      <c r="BN1316">
        <v>19880623</v>
      </c>
      <c r="BO1316" t="s">
        <v>1194</v>
      </c>
      <c r="BP1316" t="s">
        <v>74</v>
      </c>
      <c r="BQ1316" t="s">
        <v>74</v>
      </c>
      <c r="BR1316" t="s">
        <v>104</v>
      </c>
      <c r="BS1316" t="s">
        <v>18347</v>
      </c>
      <c r="BT1316" t="str">
        <f>HYPERLINK("https%3A%2F%2Fwww.webofscience.com%2Fwos%2Fwoscc%2Ffull-record%2FWOS:000271571700031","View Full Record in Web of Science")</f>
        <v>View Full Record in Web of Science</v>
      </c>
    </row>
    <row r="1317" spans="1:72" x14ac:dyDescent="0.25">
      <c r="A1317" t="s">
        <v>72</v>
      </c>
      <c r="B1317" t="s">
        <v>18346</v>
      </c>
      <c r="C1317" t="s">
        <v>74</v>
      </c>
      <c r="D1317" t="s">
        <v>74</v>
      </c>
      <c r="E1317" t="s">
        <v>74</v>
      </c>
      <c r="F1317" t="s">
        <v>18345</v>
      </c>
      <c r="G1317" t="s">
        <v>74</v>
      </c>
      <c r="H1317" t="s">
        <v>18344</v>
      </c>
      <c r="I1317" t="s">
        <v>18343</v>
      </c>
      <c r="J1317" t="s">
        <v>1068</v>
      </c>
      <c r="K1317" t="s">
        <v>74</v>
      </c>
      <c r="L1317" t="s">
        <v>74</v>
      </c>
      <c r="M1317" t="s">
        <v>78</v>
      </c>
      <c r="N1317" t="s">
        <v>299</v>
      </c>
      <c r="O1317" t="s">
        <v>74</v>
      </c>
      <c r="P1317" t="s">
        <v>74</v>
      </c>
      <c r="Q1317" t="s">
        <v>74</v>
      </c>
      <c r="R1317" t="s">
        <v>74</v>
      </c>
      <c r="S1317" t="s">
        <v>74</v>
      </c>
      <c r="T1317" t="s">
        <v>74</v>
      </c>
      <c r="U1317" t="s">
        <v>18342</v>
      </c>
      <c r="V1317" t="s">
        <v>74</v>
      </c>
      <c r="W1317" t="s">
        <v>18341</v>
      </c>
      <c r="X1317" t="s">
        <v>18340</v>
      </c>
      <c r="Y1317" t="s">
        <v>18339</v>
      </c>
      <c r="Z1317" t="s">
        <v>10104</v>
      </c>
      <c r="AA1317" t="s">
        <v>18338</v>
      </c>
      <c r="AB1317" t="s">
        <v>18337</v>
      </c>
      <c r="AC1317" t="s">
        <v>74</v>
      </c>
      <c r="AD1317" t="s">
        <v>74</v>
      </c>
      <c r="AE1317" t="s">
        <v>74</v>
      </c>
      <c r="AF1317" t="s">
        <v>74</v>
      </c>
      <c r="AG1317">
        <v>260</v>
      </c>
      <c r="AH1317">
        <v>2756</v>
      </c>
      <c r="AI1317">
        <v>3117</v>
      </c>
      <c r="AJ1317">
        <v>1</v>
      </c>
      <c r="AK1317">
        <v>257</v>
      </c>
      <c r="AL1317" t="s">
        <v>1073</v>
      </c>
      <c r="AM1317" t="s">
        <v>1074</v>
      </c>
      <c r="AN1317" t="s">
        <v>1075</v>
      </c>
      <c r="AO1317" t="s">
        <v>1076</v>
      </c>
      <c r="AP1317" t="s">
        <v>1077</v>
      </c>
      <c r="AQ1317" t="s">
        <v>74</v>
      </c>
      <c r="AR1317" t="s">
        <v>1078</v>
      </c>
      <c r="AS1317" t="s">
        <v>1079</v>
      </c>
      <c r="AT1317" t="s">
        <v>420</v>
      </c>
      <c r="AU1317">
        <v>2009</v>
      </c>
      <c r="AV1317">
        <v>30</v>
      </c>
      <c r="AW1317">
        <v>20</v>
      </c>
      <c r="AX1317" t="s">
        <v>74</v>
      </c>
      <c r="AY1317" t="s">
        <v>74</v>
      </c>
      <c r="AZ1317" t="s">
        <v>74</v>
      </c>
      <c r="BA1317" t="s">
        <v>74</v>
      </c>
      <c r="BB1317">
        <v>2493</v>
      </c>
      <c r="BC1317">
        <v>2537</v>
      </c>
      <c r="BD1317" t="s">
        <v>74</v>
      </c>
      <c r="BE1317" t="s">
        <v>18336</v>
      </c>
      <c r="BF1317" t="str">
        <f>HYPERLINK("http://dx.doi.org/10.1093/eurheartj/ehp297","http://dx.doi.org/10.1093/eurheartj/ehp297")</f>
        <v>http://dx.doi.org/10.1093/eurheartj/ehp297</v>
      </c>
      <c r="BG1317" t="s">
        <v>74</v>
      </c>
      <c r="BH1317" t="s">
        <v>74</v>
      </c>
      <c r="BI1317">
        <v>45</v>
      </c>
      <c r="BJ1317" t="s">
        <v>132</v>
      </c>
      <c r="BK1317" t="s">
        <v>101</v>
      </c>
      <c r="BL1317" t="s">
        <v>133</v>
      </c>
      <c r="BM1317" t="s">
        <v>18335</v>
      </c>
      <c r="BN1317">
        <v>19713419</v>
      </c>
      <c r="BO1317" t="s">
        <v>1908</v>
      </c>
      <c r="BP1317" t="s">
        <v>74</v>
      </c>
      <c r="BQ1317" t="s">
        <v>74</v>
      </c>
      <c r="BR1317" t="s">
        <v>104</v>
      </c>
      <c r="BS1317" t="s">
        <v>18334</v>
      </c>
      <c r="BT1317" t="str">
        <f>HYPERLINK("https%3A%2F%2Fwww.webofscience.com%2Fwos%2Fwoscc%2Ffull-record%2FWOS:000270985300023","View Full Record in Web of Science")</f>
        <v>View Full Record in Web of Science</v>
      </c>
    </row>
    <row r="1318" spans="1:72" x14ac:dyDescent="0.25">
      <c r="A1318" t="s">
        <v>72</v>
      </c>
      <c r="B1318" t="s">
        <v>18333</v>
      </c>
      <c r="C1318" t="s">
        <v>74</v>
      </c>
      <c r="D1318" t="s">
        <v>74</v>
      </c>
      <c r="E1318" t="s">
        <v>74</v>
      </c>
      <c r="F1318" t="s">
        <v>18332</v>
      </c>
      <c r="G1318" t="s">
        <v>74</v>
      </c>
      <c r="H1318" t="s">
        <v>74</v>
      </c>
      <c r="I1318" t="s">
        <v>18331</v>
      </c>
      <c r="J1318" t="s">
        <v>324</v>
      </c>
      <c r="K1318" t="s">
        <v>74</v>
      </c>
      <c r="L1318" t="s">
        <v>74</v>
      </c>
      <c r="M1318" t="s">
        <v>78</v>
      </c>
      <c r="N1318" t="s">
        <v>460</v>
      </c>
      <c r="O1318" t="s">
        <v>74</v>
      </c>
      <c r="P1318" t="s">
        <v>74</v>
      </c>
      <c r="Q1318" t="s">
        <v>74</v>
      </c>
      <c r="R1318" t="s">
        <v>74</v>
      </c>
      <c r="S1318" t="s">
        <v>74</v>
      </c>
      <c r="T1318" t="s">
        <v>74</v>
      </c>
      <c r="U1318" t="s">
        <v>2329</v>
      </c>
      <c r="V1318" t="s">
        <v>74</v>
      </c>
      <c r="W1318" t="s">
        <v>18330</v>
      </c>
      <c r="X1318" t="s">
        <v>14156</v>
      </c>
      <c r="Y1318" t="s">
        <v>18329</v>
      </c>
      <c r="Z1318" t="s">
        <v>10573</v>
      </c>
      <c r="AA1318" t="s">
        <v>8570</v>
      </c>
      <c r="AB1318" t="s">
        <v>18328</v>
      </c>
      <c r="AC1318" t="s">
        <v>74</v>
      </c>
      <c r="AD1318" t="s">
        <v>74</v>
      </c>
      <c r="AE1318" t="s">
        <v>74</v>
      </c>
      <c r="AF1318" t="s">
        <v>74</v>
      </c>
      <c r="AG1318">
        <v>5</v>
      </c>
      <c r="AH1318">
        <v>8</v>
      </c>
      <c r="AI1318">
        <v>9</v>
      </c>
      <c r="AJ1318">
        <v>0</v>
      </c>
      <c r="AK1318">
        <v>0</v>
      </c>
      <c r="AL1318" t="s">
        <v>7467</v>
      </c>
      <c r="AM1318" t="s">
        <v>93</v>
      </c>
      <c r="AN1318" t="s">
        <v>7468</v>
      </c>
      <c r="AO1318" t="s">
        <v>337</v>
      </c>
      <c r="AP1318" t="s">
        <v>74</v>
      </c>
      <c r="AQ1318" t="s">
        <v>74</v>
      </c>
      <c r="AR1318" t="s">
        <v>324</v>
      </c>
      <c r="AS1318" t="s">
        <v>339</v>
      </c>
      <c r="AT1318" t="s">
        <v>420</v>
      </c>
      <c r="AU1318">
        <v>2009</v>
      </c>
      <c r="AV1318">
        <v>136</v>
      </c>
      <c r="AW1318">
        <v>4</v>
      </c>
      <c r="AX1318" t="s">
        <v>74</v>
      </c>
      <c r="AY1318" t="s">
        <v>74</v>
      </c>
      <c r="AZ1318" t="s">
        <v>74</v>
      </c>
      <c r="BA1318" t="s">
        <v>74</v>
      </c>
      <c r="BB1318">
        <v>1181</v>
      </c>
      <c r="BC1318">
        <v>1181</v>
      </c>
      <c r="BD1318" t="s">
        <v>74</v>
      </c>
      <c r="BE1318" t="s">
        <v>18327</v>
      </c>
      <c r="BF1318" t="str">
        <f>HYPERLINK("http://dx.doi.org/10.1378/chest.09-0455","http://dx.doi.org/10.1378/chest.09-0455")</f>
        <v>http://dx.doi.org/10.1378/chest.09-0455</v>
      </c>
      <c r="BG1318" t="s">
        <v>74</v>
      </c>
      <c r="BH1318" t="s">
        <v>74</v>
      </c>
      <c r="BI1318">
        <v>1</v>
      </c>
      <c r="BJ1318" t="s">
        <v>341</v>
      </c>
      <c r="BK1318" t="s">
        <v>101</v>
      </c>
      <c r="BL1318" t="s">
        <v>342</v>
      </c>
      <c r="BM1318" t="s">
        <v>18326</v>
      </c>
      <c r="BN1318">
        <v>19809068</v>
      </c>
      <c r="BO1318" t="s">
        <v>1194</v>
      </c>
      <c r="BP1318" t="s">
        <v>74</v>
      </c>
      <c r="BQ1318" t="s">
        <v>74</v>
      </c>
      <c r="BR1318" t="s">
        <v>104</v>
      </c>
      <c r="BS1318" t="s">
        <v>18325</v>
      </c>
      <c r="BT1318" t="str">
        <f>HYPERLINK("https%3A%2F%2Fwww.webofscience.com%2Fwos%2Fwoscc%2Ffull-record%2FWOS:000270855500042","View Full Record in Web of Science")</f>
        <v>View Full Record in Web of Science</v>
      </c>
    </row>
    <row r="1319" spans="1:72" x14ac:dyDescent="0.25">
      <c r="A1319" t="s">
        <v>72</v>
      </c>
      <c r="B1319" t="s">
        <v>18324</v>
      </c>
      <c r="C1319" t="s">
        <v>74</v>
      </c>
      <c r="D1319" t="s">
        <v>74</v>
      </c>
      <c r="E1319" t="s">
        <v>74</v>
      </c>
      <c r="F1319" t="s">
        <v>18323</v>
      </c>
      <c r="G1319" t="s">
        <v>74</v>
      </c>
      <c r="H1319" t="s">
        <v>74</v>
      </c>
      <c r="I1319" t="s">
        <v>18322</v>
      </c>
      <c r="J1319" t="s">
        <v>1348</v>
      </c>
      <c r="K1319" t="s">
        <v>74</v>
      </c>
      <c r="L1319" t="s">
        <v>74</v>
      </c>
      <c r="M1319" t="s">
        <v>1349</v>
      </c>
      <c r="N1319" t="s">
        <v>79</v>
      </c>
      <c r="O1319" t="s">
        <v>74</v>
      </c>
      <c r="P1319" t="s">
        <v>74</v>
      </c>
      <c r="Q1319" t="s">
        <v>74</v>
      </c>
      <c r="R1319" t="s">
        <v>74</v>
      </c>
      <c r="S1319" t="s">
        <v>74</v>
      </c>
      <c r="T1319" t="s">
        <v>18321</v>
      </c>
      <c r="U1319" t="s">
        <v>18320</v>
      </c>
      <c r="V1319" t="s">
        <v>18319</v>
      </c>
      <c r="W1319" t="s">
        <v>18318</v>
      </c>
      <c r="X1319" t="s">
        <v>18317</v>
      </c>
      <c r="Y1319" t="s">
        <v>18316</v>
      </c>
      <c r="Z1319" t="s">
        <v>18315</v>
      </c>
      <c r="AA1319" t="s">
        <v>14144</v>
      </c>
      <c r="AB1319" t="s">
        <v>18314</v>
      </c>
      <c r="AC1319" t="s">
        <v>74</v>
      </c>
      <c r="AD1319" t="s">
        <v>74</v>
      </c>
      <c r="AE1319" t="s">
        <v>74</v>
      </c>
      <c r="AF1319" t="s">
        <v>74</v>
      </c>
      <c r="AG1319">
        <v>54</v>
      </c>
      <c r="AH1319">
        <v>3</v>
      </c>
      <c r="AI1319">
        <v>3</v>
      </c>
      <c r="AJ1319">
        <v>0</v>
      </c>
      <c r="AK1319">
        <v>5</v>
      </c>
      <c r="AL1319" t="s">
        <v>1358</v>
      </c>
      <c r="AM1319" t="s">
        <v>1359</v>
      </c>
      <c r="AN1319" t="s">
        <v>1360</v>
      </c>
      <c r="AO1319" t="s">
        <v>1361</v>
      </c>
      <c r="AP1319" t="s">
        <v>1362</v>
      </c>
      <c r="AQ1319" t="s">
        <v>74</v>
      </c>
      <c r="AR1319" t="s">
        <v>1363</v>
      </c>
      <c r="AS1319" t="s">
        <v>1364</v>
      </c>
      <c r="AT1319" t="s">
        <v>420</v>
      </c>
      <c r="AU1319">
        <v>2009</v>
      </c>
      <c r="AV1319">
        <v>26</v>
      </c>
      <c r="AW1319">
        <v>8</v>
      </c>
      <c r="AX1319" t="s">
        <v>74</v>
      </c>
      <c r="AY1319" t="s">
        <v>74</v>
      </c>
      <c r="AZ1319" t="s">
        <v>74</v>
      </c>
      <c r="BA1319" t="s">
        <v>74</v>
      </c>
      <c r="BB1319">
        <v>851</v>
      </c>
      <c r="BC1319">
        <v>858</v>
      </c>
      <c r="BD1319" t="s">
        <v>74</v>
      </c>
      <c r="BE1319" t="s">
        <v>18313</v>
      </c>
      <c r="BF1319" t="str">
        <f>HYPERLINK("http://dx.doi.org/10.1016/S0761-8425(09)73680-0","http://dx.doi.org/10.1016/S0761-8425(09)73680-0")</f>
        <v>http://dx.doi.org/10.1016/S0761-8425(09)73680-0</v>
      </c>
      <c r="BG1319" t="s">
        <v>74</v>
      </c>
      <c r="BH1319" t="s">
        <v>74</v>
      </c>
      <c r="BI1319">
        <v>8</v>
      </c>
      <c r="BJ1319" t="s">
        <v>228</v>
      </c>
      <c r="BK1319" t="s">
        <v>101</v>
      </c>
      <c r="BL1319" t="s">
        <v>228</v>
      </c>
      <c r="BM1319" t="s">
        <v>18312</v>
      </c>
      <c r="BN1319">
        <v>19953029</v>
      </c>
      <c r="BO1319" t="s">
        <v>612</v>
      </c>
      <c r="BP1319" t="s">
        <v>74</v>
      </c>
      <c r="BQ1319" t="s">
        <v>74</v>
      </c>
      <c r="BR1319" t="s">
        <v>104</v>
      </c>
      <c r="BS1319" t="s">
        <v>18311</v>
      </c>
      <c r="BT1319" t="str">
        <f>HYPERLINK("https%3A%2F%2Fwww.webofscience.com%2Fwos%2Fwoscc%2Ffull-record%2FWOS:000272152700005","View Full Record in Web of Science")</f>
        <v>View Full Record in Web of Science</v>
      </c>
    </row>
    <row r="1320" spans="1:72" x14ac:dyDescent="0.25">
      <c r="A1320" t="s">
        <v>72</v>
      </c>
      <c r="B1320" t="s">
        <v>18310</v>
      </c>
      <c r="C1320" t="s">
        <v>74</v>
      </c>
      <c r="D1320" t="s">
        <v>74</v>
      </c>
      <c r="E1320" t="s">
        <v>74</v>
      </c>
      <c r="F1320" t="s">
        <v>18309</v>
      </c>
      <c r="G1320" t="s">
        <v>74</v>
      </c>
      <c r="H1320" t="s">
        <v>74</v>
      </c>
      <c r="I1320" t="s">
        <v>18308</v>
      </c>
      <c r="J1320" t="s">
        <v>216</v>
      </c>
      <c r="K1320" t="s">
        <v>74</v>
      </c>
      <c r="L1320" t="s">
        <v>74</v>
      </c>
      <c r="M1320" t="s">
        <v>78</v>
      </c>
      <c r="N1320" t="s">
        <v>79</v>
      </c>
      <c r="O1320" t="s">
        <v>74</v>
      </c>
      <c r="P1320" t="s">
        <v>74</v>
      </c>
      <c r="Q1320" t="s">
        <v>74</v>
      </c>
      <c r="R1320" t="s">
        <v>74</v>
      </c>
      <c r="S1320" t="s">
        <v>74</v>
      </c>
      <c r="T1320" t="s">
        <v>18307</v>
      </c>
      <c r="U1320" t="s">
        <v>18306</v>
      </c>
      <c r="V1320" t="s">
        <v>18305</v>
      </c>
      <c r="W1320" t="s">
        <v>18304</v>
      </c>
      <c r="X1320" t="s">
        <v>18303</v>
      </c>
      <c r="Y1320" t="s">
        <v>18302</v>
      </c>
      <c r="Z1320" t="s">
        <v>15038</v>
      </c>
      <c r="AA1320" t="s">
        <v>18301</v>
      </c>
      <c r="AB1320" t="s">
        <v>18300</v>
      </c>
      <c r="AC1320" t="s">
        <v>18299</v>
      </c>
      <c r="AD1320" t="s">
        <v>18298</v>
      </c>
      <c r="AE1320" t="s">
        <v>18297</v>
      </c>
      <c r="AF1320" t="s">
        <v>74</v>
      </c>
      <c r="AG1320">
        <v>25</v>
      </c>
      <c r="AH1320">
        <v>2</v>
      </c>
      <c r="AI1320">
        <v>2</v>
      </c>
      <c r="AJ1320">
        <v>0</v>
      </c>
      <c r="AK1320">
        <v>2</v>
      </c>
      <c r="AL1320" t="s">
        <v>219</v>
      </c>
      <c r="AM1320" t="s">
        <v>220</v>
      </c>
      <c r="AN1320" t="s">
        <v>221</v>
      </c>
      <c r="AO1320" t="s">
        <v>222</v>
      </c>
      <c r="AP1320" t="s">
        <v>223</v>
      </c>
      <c r="AQ1320" t="s">
        <v>74</v>
      </c>
      <c r="AR1320" t="s">
        <v>224</v>
      </c>
      <c r="AS1320" t="s">
        <v>225</v>
      </c>
      <c r="AT1320" t="s">
        <v>492</v>
      </c>
      <c r="AU1320">
        <v>2009</v>
      </c>
      <c r="AV1320">
        <v>34</v>
      </c>
      <c r="AW1320">
        <v>3</v>
      </c>
      <c r="AX1320" t="s">
        <v>74</v>
      </c>
      <c r="AY1320" t="s">
        <v>74</v>
      </c>
      <c r="AZ1320" t="s">
        <v>74</v>
      </c>
      <c r="BA1320" t="s">
        <v>74</v>
      </c>
      <c r="BB1320">
        <v>731</v>
      </c>
      <c r="BC1320">
        <v>739</v>
      </c>
      <c r="BD1320" t="s">
        <v>74</v>
      </c>
      <c r="BE1320" t="s">
        <v>18296</v>
      </c>
      <c r="BF1320" t="str">
        <f>HYPERLINK("http://dx.doi.org/10.1183/09031936.00006508","http://dx.doi.org/10.1183/09031936.00006508")</f>
        <v>http://dx.doi.org/10.1183/09031936.00006508</v>
      </c>
      <c r="BG1320" t="s">
        <v>74</v>
      </c>
      <c r="BH1320" t="s">
        <v>74</v>
      </c>
      <c r="BI1320">
        <v>9</v>
      </c>
      <c r="BJ1320" t="s">
        <v>228</v>
      </c>
      <c r="BK1320" t="s">
        <v>101</v>
      </c>
      <c r="BL1320" t="s">
        <v>228</v>
      </c>
      <c r="BM1320" t="s">
        <v>18295</v>
      </c>
      <c r="BN1320">
        <v>19324959</v>
      </c>
      <c r="BO1320" t="s">
        <v>1194</v>
      </c>
      <c r="BP1320" t="s">
        <v>74</v>
      </c>
      <c r="BQ1320" t="s">
        <v>74</v>
      </c>
      <c r="BR1320" t="s">
        <v>104</v>
      </c>
      <c r="BS1320" t="s">
        <v>18294</v>
      </c>
      <c r="BT1320" t="str">
        <f>HYPERLINK("https%3A%2F%2Fwww.webofscience.com%2Fwos%2Fwoscc%2Ffull-record%2FWOS:000269702800026","View Full Record in Web of Science")</f>
        <v>View Full Record in Web of Science</v>
      </c>
    </row>
    <row r="1321" spans="1:72" x14ac:dyDescent="0.25">
      <c r="A1321" t="s">
        <v>72</v>
      </c>
      <c r="B1321" t="s">
        <v>18293</v>
      </c>
      <c r="C1321" t="s">
        <v>74</v>
      </c>
      <c r="D1321" t="s">
        <v>74</v>
      </c>
      <c r="E1321" t="s">
        <v>74</v>
      </c>
      <c r="F1321" t="s">
        <v>18292</v>
      </c>
      <c r="G1321" t="s">
        <v>74</v>
      </c>
      <c r="H1321" t="s">
        <v>74</v>
      </c>
      <c r="I1321" t="s">
        <v>18291</v>
      </c>
      <c r="J1321" t="s">
        <v>6728</v>
      </c>
      <c r="K1321" t="s">
        <v>74</v>
      </c>
      <c r="L1321" t="s">
        <v>74</v>
      </c>
      <c r="M1321" t="s">
        <v>78</v>
      </c>
      <c r="N1321" t="s">
        <v>299</v>
      </c>
      <c r="O1321" t="s">
        <v>74</v>
      </c>
      <c r="P1321" t="s">
        <v>74</v>
      </c>
      <c r="Q1321" t="s">
        <v>74</v>
      </c>
      <c r="R1321" t="s">
        <v>74</v>
      </c>
      <c r="S1321" t="s">
        <v>74</v>
      </c>
      <c r="T1321" t="s">
        <v>18290</v>
      </c>
      <c r="U1321" t="s">
        <v>18289</v>
      </c>
      <c r="V1321" t="s">
        <v>18288</v>
      </c>
      <c r="W1321" t="s">
        <v>18287</v>
      </c>
      <c r="X1321" t="s">
        <v>18286</v>
      </c>
      <c r="Y1321" t="s">
        <v>18285</v>
      </c>
      <c r="Z1321" t="s">
        <v>15988</v>
      </c>
      <c r="AA1321" t="s">
        <v>8496</v>
      </c>
      <c r="AB1321" t="s">
        <v>18284</v>
      </c>
      <c r="AC1321" t="s">
        <v>74</v>
      </c>
      <c r="AD1321" t="s">
        <v>74</v>
      </c>
      <c r="AE1321" t="s">
        <v>74</v>
      </c>
      <c r="AF1321" t="s">
        <v>74</v>
      </c>
      <c r="AG1321">
        <v>55</v>
      </c>
      <c r="AH1321">
        <v>87</v>
      </c>
      <c r="AI1321">
        <v>96</v>
      </c>
      <c r="AJ1321">
        <v>0</v>
      </c>
      <c r="AK1321">
        <v>15</v>
      </c>
      <c r="AL1321" t="s">
        <v>1781</v>
      </c>
      <c r="AM1321" t="s">
        <v>486</v>
      </c>
      <c r="AN1321" t="s">
        <v>4357</v>
      </c>
      <c r="AO1321" t="s">
        <v>6737</v>
      </c>
      <c r="AP1321" t="s">
        <v>6738</v>
      </c>
      <c r="AQ1321" t="s">
        <v>74</v>
      </c>
      <c r="AR1321" t="s">
        <v>6739</v>
      </c>
      <c r="AS1321" t="s">
        <v>6740</v>
      </c>
      <c r="AT1321" t="s">
        <v>492</v>
      </c>
      <c r="AU1321">
        <v>2009</v>
      </c>
      <c r="AV1321">
        <v>26</v>
      </c>
      <c r="AW1321">
        <v>9</v>
      </c>
      <c r="AX1321" t="s">
        <v>74</v>
      </c>
      <c r="AY1321" t="s">
        <v>74</v>
      </c>
      <c r="AZ1321" t="s">
        <v>74</v>
      </c>
      <c r="BA1321" t="s">
        <v>74</v>
      </c>
      <c r="BB1321">
        <v>813</v>
      </c>
      <c r="BC1321">
        <v>825</v>
      </c>
      <c r="BD1321" t="s">
        <v>74</v>
      </c>
      <c r="BE1321" t="s">
        <v>18283</v>
      </c>
      <c r="BF1321" t="str">
        <f>HYPERLINK("http://dx.doi.org/10.1007/s12325-009-0064-z","http://dx.doi.org/10.1007/s12325-009-0064-z")</f>
        <v>http://dx.doi.org/10.1007/s12325-009-0064-z</v>
      </c>
      <c r="BG1321" t="s">
        <v>74</v>
      </c>
      <c r="BH1321" t="s">
        <v>74</v>
      </c>
      <c r="BI1321">
        <v>13</v>
      </c>
      <c r="BJ1321" t="s">
        <v>6742</v>
      </c>
      <c r="BK1321" t="s">
        <v>101</v>
      </c>
      <c r="BL1321" t="s">
        <v>6743</v>
      </c>
      <c r="BM1321" t="s">
        <v>18282</v>
      </c>
      <c r="BN1321">
        <v>19768639</v>
      </c>
      <c r="BO1321" t="s">
        <v>74</v>
      </c>
      <c r="BP1321" t="s">
        <v>74</v>
      </c>
      <c r="BQ1321" t="s">
        <v>74</v>
      </c>
      <c r="BR1321" t="s">
        <v>104</v>
      </c>
      <c r="BS1321" t="s">
        <v>18281</v>
      </c>
      <c r="BT1321" t="str">
        <f>HYPERLINK("https%3A%2F%2Fwww.webofscience.com%2Fwos%2Fwoscc%2Ffull-record%2FWOS:000270825900001","View Full Record in Web of Science")</f>
        <v>View Full Record in Web of Science</v>
      </c>
    </row>
    <row r="1322" spans="1:72" x14ac:dyDescent="0.25">
      <c r="A1322" t="s">
        <v>72</v>
      </c>
      <c r="B1322" t="s">
        <v>18280</v>
      </c>
      <c r="C1322" t="s">
        <v>74</v>
      </c>
      <c r="D1322" t="s">
        <v>74</v>
      </c>
      <c r="E1322" t="s">
        <v>74</v>
      </c>
      <c r="F1322" t="s">
        <v>18279</v>
      </c>
      <c r="G1322" t="s">
        <v>74</v>
      </c>
      <c r="H1322" t="s">
        <v>74</v>
      </c>
      <c r="I1322" t="s">
        <v>18278</v>
      </c>
      <c r="J1322" t="s">
        <v>637</v>
      </c>
      <c r="K1322" t="s">
        <v>74</v>
      </c>
      <c r="L1322" t="s">
        <v>74</v>
      </c>
      <c r="M1322" t="s">
        <v>78</v>
      </c>
      <c r="N1322" t="s">
        <v>460</v>
      </c>
      <c r="O1322" t="s">
        <v>74</v>
      </c>
      <c r="P1322" t="s">
        <v>74</v>
      </c>
      <c r="Q1322" t="s">
        <v>74</v>
      </c>
      <c r="R1322" t="s">
        <v>74</v>
      </c>
      <c r="S1322" t="s">
        <v>74</v>
      </c>
      <c r="T1322" t="s">
        <v>74</v>
      </c>
      <c r="U1322" t="s">
        <v>74</v>
      </c>
      <c r="V1322" t="s">
        <v>74</v>
      </c>
      <c r="W1322" t="s">
        <v>18277</v>
      </c>
      <c r="X1322" t="s">
        <v>18276</v>
      </c>
      <c r="Y1322" t="s">
        <v>18275</v>
      </c>
      <c r="Z1322" t="s">
        <v>74</v>
      </c>
      <c r="AA1322" t="s">
        <v>14869</v>
      </c>
      <c r="AB1322" t="s">
        <v>74</v>
      </c>
      <c r="AC1322" t="s">
        <v>74</v>
      </c>
      <c r="AD1322" t="s">
        <v>74</v>
      </c>
      <c r="AE1322" t="s">
        <v>74</v>
      </c>
      <c r="AF1322" t="s">
        <v>74</v>
      </c>
      <c r="AG1322">
        <v>6</v>
      </c>
      <c r="AH1322">
        <v>0</v>
      </c>
      <c r="AI1322">
        <v>0</v>
      </c>
      <c r="AJ1322">
        <v>0</v>
      </c>
      <c r="AK1322">
        <v>0</v>
      </c>
      <c r="AL1322" t="s">
        <v>649</v>
      </c>
      <c r="AM1322" t="s">
        <v>486</v>
      </c>
      <c r="AN1322" t="s">
        <v>14919</v>
      </c>
      <c r="AO1322" t="s">
        <v>651</v>
      </c>
      <c r="AP1322" t="s">
        <v>74</v>
      </c>
      <c r="AQ1322" t="s">
        <v>74</v>
      </c>
      <c r="AR1322" t="s">
        <v>653</v>
      </c>
      <c r="AS1322" t="s">
        <v>654</v>
      </c>
      <c r="AT1322" t="s">
        <v>6124</v>
      </c>
      <c r="AU1322">
        <v>2009</v>
      </c>
      <c r="AV1322">
        <v>180</v>
      </c>
      <c r="AW1322">
        <v>4</v>
      </c>
      <c r="AX1322" t="s">
        <v>74</v>
      </c>
      <c r="AY1322" t="s">
        <v>74</v>
      </c>
      <c r="AZ1322" t="s">
        <v>74</v>
      </c>
      <c r="BA1322" t="s">
        <v>74</v>
      </c>
      <c r="BB1322">
        <v>378</v>
      </c>
      <c r="BC1322">
        <v>379</v>
      </c>
      <c r="BD1322" t="s">
        <v>74</v>
      </c>
      <c r="BE1322" t="s">
        <v>18274</v>
      </c>
      <c r="BF1322" t="str">
        <f>HYPERLINK("http://dx.doi.org/10.1164/ajrccm.180.4.378a","http://dx.doi.org/10.1164/ajrccm.180.4.378a")</f>
        <v>http://dx.doi.org/10.1164/ajrccm.180.4.378a</v>
      </c>
      <c r="BG1322" t="s">
        <v>74</v>
      </c>
      <c r="BH1322" t="s">
        <v>74</v>
      </c>
      <c r="BI1322">
        <v>2</v>
      </c>
      <c r="BJ1322" t="s">
        <v>341</v>
      </c>
      <c r="BK1322" t="s">
        <v>101</v>
      </c>
      <c r="BL1322" t="s">
        <v>342</v>
      </c>
      <c r="BM1322" t="s">
        <v>18273</v>
      </c>
      <c r="BN1322" t="s">
        <v>74</v>
      </c>
      <c r="BO1322" t="s">
        <v>74</v>
      </c>
      <c r="BP1322" t="s">
        <v>74</v>
      </c>
      <c r="BQ1322" t="s">
        <v>74</v>
      </c>
      <c r="BR1322" t="s">
        <v>104</v>
      </c>
      <c r="BS1322" t="s">
        <v>18272</v>
      </c>
      <c r="BT1322" t="str">
        <f>HYPERLINK("https%3A%2F%2Fwww.webofscience.com%2Fwos%2Fwoscc%2Ffull-record%2FWOS:000269021200016","View Full Record in Web of Science")</f>
        <v>View Full Record in Web of Science</v>
      </c>
    </row>
    <row r="1323" spans="1:72" x14ac:dyDescent="0.25">
      <c r="A1323" t="s">
        <v>72</v>
      </c>
      <c r="B1323" t="s">
        <v>18271</v>
      </c>
      <c r="C1323" t="s">
        <v>74</v>
      </c>
      <c r="D1323" t="s">
        <v>74</v>
      </c>
      <c r="E1323" t="s">
        <v>74</v>
      </c>
      <c r="F1323" t="s">
        <v>18270</v>
      </c>
      <c r="G1323" t="s">
        <v>74</v>
      </c>
      <c r="H1323" t="s">
        <v>74</v>
      </c>
      <c r="I1323" t="s">
        <v>18269</v>
      </c>
      <c r="J1323" t="s">
        <v>5624</v>
      </c>
      <c r="K1323" t="s">
        <v>74</v>
      </c>
      <c r="L1323" t="s">
        <v>74</v>
      </c>
      <c r="M1323" t="s">
        <v>78</v>
      </c>
      <c r="N1323" t="s">
        <v>79</v>
      </c>
      <c r="O1323" t="s">
        <v>74</v>
      </c>
      <c r="P1323" t="s">
        <v>74</v>
      </c>
      <c r="Q1323" t="s">
        <v>74</v>
      </c>
      <c r="R1323" t="s">
        <v>74</v>
      </c>
      <c r="S1323" t="s">
        <v>74</v>
      </c>
      <c r="T1323" t="s">
        <v>18268</v>
      </c>
      <c r="U1323" t="s">
        <v>18267</v>
      </c>
      <c r="V1323" t="s">
        <v>18266</v>
      </c>
      <c r="W1323" t="s">
        <v>18265</v>
      </c>
      <c r="X1323" t="s">
        <v>18264</v>
      </c>
      <c r="Y1323" t="s">
        <v>18263</v>
      </c>
      <c r="Z1323" t="s">
        <v>74</v>
      </c>
      <c r="AA1323" t="s">
        <v>18262</v>
      </c>
      <c r="AB1323" t="s">
        <v>18261</v>
      </c>
      <c r="AC1323" t="s">
        <v>74</v>
      </c>
      <c r="AD1323" t="s">
        <v>74</v>
      </c>
      <c r="AE1323" t="s">
        <v>74</v>
      </c>
      <c r="AF1323" t="s">
        <v>74</v>
      </c>
      <c r="AG1323">
        <v>24</v>
      </c>
      <c r="AH1323">
        <v>114</v>
      </c>
      <c r="AI1323">
        <v>135</v>
      </c>
      <c r="AJ1323">
        <v>1</v>
      </c>
      <c r="AK1323">
        <v>11</v>
      </c>
      <c r="AL1323" t="s">
        <v>18260</v>
      </c>
      <c r="AM1323" t="s">
        <v>17736</v>
      </c>
      <c r="AN1323" t="s">
        <v>17735</v>
      </c>
      <c r="AO1323" t="s">
        <v>5636</v>
      </c>
      <c r="AP1323" t="s">
        <v>74</v>
      </c>
      <c r="AQ1323" t="s">
        <v>74</v>
      </c>
      <c r="AR1323" t="s">
        <v>5624</v>
      </c>
      <c r="AS1323" t="s">
        <v>601</v>
      </c>
      <c r="AT1323" t="s">
        <v>725</v>
      </c>
      <c r="AU1323">
        <v>2009</v>
      </c>
      <c r="AV1323">
        <v>64</v>
      </c>
      <c r="AW1323">
        <v>8</v>
      </c>
      <c r="AX1323" t="s">
        <v>74</v>
      </c>
      <c r="AY1323" t="s">
        <v>74</v>
      </c>
      <c r="AZ1323" t="s">
        <v>74</v>
      </c>
      <c r="BA1323" t="s">
        <v>74</v>
      </c>
      <c r="BB1323">
        <v>1194</v>
      </c>
      <c r="BC1323">
        <v>1201</v>
      </c>
      <c r="BD1323" t="s">
        <v>74</v>
      </c>
      <c r="BE1323" t="s">
        <v>18259</v>
      </c>
      <c r="BF1323" t="str">
        <f>HYPERLINK("http://dx.doi.org/10.1111/j.1398-9995.2009.02122.x","http://dx.doi.org/10.1111/j.1398-9995.2009.02122.x")</f>
        <v>http://dx.doi.org/10.1111/j.1398-9995.2009.02122.x</v>
      </c>
      <c r="BG1323" t="s">
        <v>74</v>
      </c>
      <c r="BH1323" t="s">
        <v>74</v>
      </c>
      <c r="BI1323">
        <v>8</v>
      </c>
      <c r="BJ1323" t="s">
        <v>3085</v>
      </c>
      <c r="BK1323" t="s">
        <v>101</v>
      </c>
      <c r="BL1323" t="s">
        <v>3085</v>
      </c>
      <c r="BM1323" t="s">
        <v>18258</v>
      </c>
      <c r="BN1323">
        <v>19614621</v>
      </c>
      <c r="BO1323" t="s">
        <v>74</v>
      </c>
      <c r="BP1323" t="s">
        <v>74</v>
      </c>
      <c r="BQ1323" t="s">
        <v>74</v>
      </c>
      <c r="BR1323" t="s">
        <v>104</v>
      </c>
      <c r="BS1323" t="s">
        <v>18257</v>
      </c>
      <c r="BT1323" t="str">
        <f>HYPERLINK("https%3A%2F%2Fwww.webofscience.com%2Fwos%2Fwoscc%2Ffull-record%2FWOS:000267830700013","View Full Record in Web of Science")</f>
        <v>View Full Record in Web of Science</v>
      </c>
    </row>
    <row r="1324" spans="1:72" x14ac:dyDescent="0.25">
      <c r="A1324" t="s">
        <v>72</v>
      </c>
      <c r="B1324" t="s">
        <v>18256</v>
      </c>
      <c r="C1324" t="s">
        <v>74</v>
      </c>
      <c r="D1324" t="s">
        <v>74</v>
      </c>
      <c r="E1324" t="s">
        <v>74</v>
      </c>
      <c r="F1324" t="s">
        <v>18255</v>
      </c>
      <c r="G1324" t="s">
        <v>74</v>
      </c>
      <c r="H1324" t="s">
        <v>74</v>
      </c>
      <c r="I1324" t="s">
        <v>18254</v>
      </c>
      <c r="J1324" t="s">
        <v>1047</v>
      </c>
      <c r="K1324" t="s">
        <v>74</v>
      </c>
      <c r="L1324" t="s">
        <v>74</v>
      </c>
      <c r="M1324" t="s">
        <v>78</v>
      </c>
      <c r="N1324" t="s">
        <v>140</v>
      </c>
      <c r="O1324" t="s">
        <v>74</v>
      </c>
      <c r="P1324" t="s">
        <v>74</v>
      </c>
      <c r="Q1324" t="s">
        <v>74</v>
      </c>
      <c r="R1324" t="s">
        <v>74</v>
      </c>
      <c r="S1324" t="s">
        <v>74</v>
      </c>
      <c r="T1324" t="s">
        <v>74</v>
      </c>
      <c r="U1324" t="s">
        <v>74</v>
      </c>
      <c r="V1324" t="s">
        <v>74</v>
      </c>
      <c r="W1324" t="s">
        <v>18253</v>
      </c>
      <c r="X1324" t="s">
        <v>18252</v>
      </c>
      <c r="Y1324" t="s">
        <v>18251</v>
      </c>
      <c r="Z1324" t="s">
        <v>18250</v>
      </c>
      <c r="AA1324" t="s">
        <v>144</v>
      </c>
      <c r="AB1324" t="s">
        <v>257</v>
      </c>
      <c r="AC1324" t="s">
        <v>74</v>
      </c>
      <c r="AD1324" t="s">
        <v>74</v>
      </c>
      <c r="AE1324" t="s">
        <v>74</v>
      </c>
      <c r="AF1324" t="s">
        <v>74</v>
      </c>
      <c r="AG1324">
        <v>0</v>
      </c>
      <c r="AH1324">
        <v>0</v>
      </c>
      <c r="AI1324">
        <v>0</v>
      </c>
      <c r="AJ1324">
        <v>0</v>
      </c>
      <c r="AK1324">
        <v>0</v>
      </c>
      <c r="AL1324" t="s">
        <v>1054</v>
      </c>
      <c r="AM1324" t="s">
        <v>486</v>
      </c>
      <c r="AN1324" t="s">
        <v>1055</v>
      </c>
      <c r="AO1324" t="s">
        <v>1056</v>
      </c>
      <c r="AP1324" t="s">
        <v>1057</v>
      </c>
      <c r="AQ1324" t="s">
        <v>74</v>
      </c>
      <c r="AR1324" t="s">
        <v>1058</v>
      </c>
      <c r="AS1324" t="s">
        <v>1059</v>
      </c>
      <c r="AT1324" t="s">
        <v>725</v>
      </c>
      <c r="AU1324">
        <v>2009</v>
      </c>
      <c r="AV1324">
        <v>30</v>
      </c>
      <c r="AW1324">
        <v>4</v>
      </c>
      <c r="AX1324" t="s">
        <v>74</v>
      </c>
      <c r="AY1324" t="s">
        <v>74</v>
      </c>
      <c r="AZ1324" t="s">
        <v>74</v>
      </c>
      <c r="BA1324" t="s">
        <v>74</v>
      </c>
      <c r="BB1324">
        <v>367</v>
      </c>
      <c r="BC1324">
        <v>368</v>
      </c>
      <c r="BD1324" t="s">
        <v>74</v>
      </c>
      <c r="BE1324" t="s">
        <v>18249</v>
      </c>
      <c r="BF1324" t="str">
        <f>HYPERLINK("http://dx.doi.org/10.1055/s-0029-1233305","http://dx.doi.org/10.1055/s-0029-1233305")</f>
        <v>http://dx.doi.org/10.1055/s-0029-1233305</v>
      </c>
      <c r="BG1324" t="s">
        <v>74</v>
      </c>
      <c r="BH1324" t="s">
        <v>74</v>
      </c>
      <c r="BI1324">
        <v>2</v>
      </c>
      <c r="BJ1324" t="s">
        <v>341</v>
      </c>
      <c r="BK1324" t="s">
        <v>101</v>
      </c>
      <c r="BL1324" t="s">
        <v>342</v>
      </c>
      <c r="BM1324" t="s">
        <v>18236</v>
      </c>
      <c r="BN1324">
        <v>19634075</v>
      </c>
      <c r="BO1324" t="s">
        <v>74</v>
      </c>
      <c r="BP1324" t="s">
        <v>74</v>
      </c>
      <c r="BQ1324" t="s">
        <v>74</v>
      </c>
      <c r="BR1324" t="s">
        <v>104</v>
      </c>
      <c r="BS1324" t="s">
        <v>18248</v>
      </c>
      <c r="BT1324" t="str">
        <f>HYPERLINK("https%3A%2F%2Fwww.webofscience.com%2Fwos%2Fwoscc%2Ffull-record%2FWOS:000268780200001","View Full Record in Web of Science")</f>
        <v>View Full Record in Web of Science</v>
      </c>
    </row>
    <row r="1325" spans="1:72" x14ac:dyDescent="0.25">
      <c r="A1325" t="s">
        <v>72</v>
      </c>
      <c r="B1325" t="s">
        <v>18247</v>
      </c>
      <c r="C1325" t="s">
        <v>74</v>
      </c>
      <c r="D1325" t="s">
        <v>74</v>
      </c>
      <c r="E1325" t="s">
        <v>74</v>
      </c>
      <c r="F1325" t="s">
        <v>18246</v>
      </c>
      <c r="G1325" t="s">
        <v>74</v>
      </c>
      <c r="H1325" t="s">
        <v>74</v>
      </c>
      <c r="I1325" t="s">
        <v>18245</v>
      </c>
      <c r="J1325" t="s">
        <v>1047</v>
      </c>
      <c r="K1325" t="s">
        <v>74</v>
      </c>
      <c r="L1325" t="s">
        <v>74</v>
      </c>
      <c r="M1325" t="s">
        <v>78</v>
      </c>
      <c r="N1325" t="s">
        <v>299</v>
      </c>
      <c r="O1325" t="s">
        <v>74</v>
      </c>
      <c r="P1325" t="s">
        <v>74</v>
      </c>
      <c r="Q1325" t="s">
        <v>74</v>
      </c>
      <c r="R1325" t="s">
        <v>74</v>
      </c>
      <c r="S1325" t="s">
        <v>74</v>
      </c>
      <c r="T1325" t="s">
        <v>18244</v>
      </c>
      <c r="U1325" t="s">
        <v>18243</v>
      </c>
      <c r="V1325" t="s">
        <v>18242</v>
      </c>
      <c r="W1325" t="s">
        <v>18241</v>
      </c>
      <c r="X1325" t="s">
        <v>14516</v>
      </c>
      <c r="Y1325" t="s">
        <v>18240</v>
      </c>
      <c r="Z1325" t="s">
        <v>17425</v>
      </c>
      <c r="AA1325" t="s">
        <v>18239</v>
      </c>
      <c r="AB1325" t="s">
        <v>18238</v>
      </c>
      <c r="AC1325" t="s">
        <v>74</v>
      </c>
      <c r="AD1325" t="s">
        <v>74</v>
      </c>
      <c r="AE1325" t="s">
        <v>74</v>
      </c>
      <c r="AF1325" t="s">
        <v>74</v>
      </c>
      <c r="AG1325">
        <v>79</v>
      </c>
      <c r="AH1325">
        <v>32</v>
      </c>
      <c r="AI1325">
        <v>36</v>
      </c>
      <c r="AJ1325">
        <v>0</v>
      </c>
      <c r="AK1325">
        <v>2</v>
      </c>
      <c r="AL1325" t="s">
        <v>1054</v>
      </c>
      <c r="AM1325" t="s">
        <v>486</v>
      </c>
      <c r="AN1325" t="s">
        <v>1055</v>
      </c>
      <c r="AO1325" t="s">
        <v>1056</v>
      </c>
      <c r="AP1325" t="s">
        <v>1057</v>
      </c>
      <c r="AQ1325" t="s">
        <v>74</v>
      </c>
      <c r="AR1325" t="s">
        <v>1058</v>
      </c>
      <c r="AS1325" t="s">
        <v>1059</v>
      </c>
      <c r="AT1325" t="s">
        <v>725</v>
      </c>
      <c r="AU1325">
        <v>2009</v>
      </c>
      <c r="AV1325">
        <v>30</v>
      </c>
      <c r="AW1325">
        <v>4</v>
      </c>
      <c r="AX1325" t="s">
        <v>74</v>
      </c>
      <c r="AY1325" t="s">
        <v>74</v>
      </c>
      <c r="AZ1325" t="s">
        <v>74</v>
      </c>
      <c r="BA1325" t="s">
        <v>74</v>
      </c>
      <c r="BB1325">
        <v>411</v>
      </c>
      <c r="BC1325">
        <v>420</v>
      </c>
      <c r="BD1325" t="s">
        <v>74</v>
      </c>
      <c r="BE1325" t="s">
        <v>18237</v>
      </c>
      <c r="BF1325" t="str">
        <f>HYPERLINK("http://dx.doi.org/10.1055/s-0029-1233310","http://dx.doi.org/10.1055/s-0029-1233310")</f>
        <v>http://dx.doi.org/10.1055/s-0029-1233310</v>
      </c>
      <c r="BG1325" t="s">
        <v>74</v>
      </c>
      <c r="BH1325" t="s">
        <v>74</v>
      </c>
      <c r="BI1325">
        <v>10</v>
      </c>
      <c r="BJ1325" t="s">
        <v>341</v>
      </c>
      <c r="BK1325" t="s">
        <v>101</v>
      </c>
      <c r="BL1325" t="s">
        <v>342</v>
      </c>
      <c r="BM1325" t="s">
        <v>18236</v>
      </c>
      <c r="BN1325">
        <v>19634080</v>
      </c>
      <c r="BO1325" t="s">
        <v>74</v>
      </c>
      <c r="BP1325" t="s">
        <v>74</v>
      </c>
      <c r="BQ1325" t="s">
        <v>74</v>
      </c>
      <c r="BR1325" t="s">
        <v>104</v>
      </c>
      <c r="BS1325" t="s">
        <v>18235</v>
      </c>
      <c r="BT1325" t="str">
        <f>HYPERLINK("https%3A%2F%2Fwww.webofscience.com%2Fwos%2Fwoscc%2Ffull-record%2FWOS:000268780200006","View Full Record in Web of Science")</f>
        <v>View Full Record in Web of Science</v>
      </c>
    </row>
    <row r="1326" spans="1:72" x14ac:dyDescent="0.25">
      <c r="A1326" t="s">
        <v>72</v>
      </c>
      <c r="B1326" t="s">
        <v>18234</v>
      </c>
      <c r="C1326" t="s">
        <v>74</v>
      </c>
      <c r="D1326" t="s">
        <v>74</v>
      </c>
      <c r="E1326" t="s">
        <v>74</v>
      </c>
      <c r="F1326" t="s">
        <v>18233</v>
      </c>
      <c r="G1326" t="s">
        <v>74</v>
      </c>
      <c r="H1326" t="s">
        <v>74</v>
      </c>
      <c r="I1326" t="s">
        <v>18232</v>
      </c>
      <c r="J1326" t="s">
        <v>9067</v>
      </c>
      <c r="K1326" t="s">
        <v>74</v>
      </c>
      <c r="L1326" t="s">
        <v>74</v>
      </c>
      <c r="M1326" t="s">
        <v>78</v>
      </c>
      <c r="N1326" t="s">
        <v>8016</v>
      </c>
      <c r="O1326" t="s">
        <v>18215</v>
      </c>
      <c r="P1326" t="s">
        <v>18214</v>
      </c>
      <c r="Q1326" t="s">
        <v>18213</v>
      </c>
      <c r="R1326" t="s">
        <v>74</v>
      </c>
      <c r="S1326" t="s">
        <v>74</v>
      </c>
      <c r="T1326" t="s">
        <v>18231</v>
      </c>
      <c r="U1326" t="s">
        <v>18230</v>
      </c>
      <c r="V1326" t="s">
        <v>18229</v>
      </c>
      <c r="W1326" t="s">
        <v>18228</v>
      </c>
      <c r="X1326" t="s">
        <v>18227</v>
      </c>
      <c r="Y1326" t="s">
        <v>18226</v>
      </c>
      <c r="Z1326" t="s">
        <v>18225</v>
      </c>
      <c r="AA1326" t="s">
        <v>18224</v>
      </c>
      <c r="AB1326" t="s">
        <v>8798</v>
      </c>
      <c r="AC1326" t="s">
        <v>18223</v>
      </c>
      <c r="AD1326" t="s">
        <v>8029</v>
      </c>
      <c r="AE1326" t="s">
        <v>74</v>
      </c>
      <c r="AF1326" t="s">
        <v>74</v>
      </c>
      <c r="AG1326">
        <v>135</v>
      </c>
      <c r="AH1326">
        <v>57</v>
      </c>
      <c r="AI1326">
        <v>71</v>
      </c>
      <c r="AJ1326">
        <v>0</v>
      </c>
      <c r="AK1326">
        <v>12</v>
      </c>
      <c r="AL1326" t="s">
        <v>991</v>
      </c>
      <c r="AM1326" t="s">
        <v>486</v>
      </c>
      <c r="AN1326" t="s">
        <v>8530</v>
      </c>
      <c r="AO1326" t="s">
        <v>9073</v>
      </c>
      <c r="AP1326" t="s">
        <v>74</v>
      </c>
      <c r="AQ1326" t="s">
        <v>74</v>
      </c>
      <c r="AR1326" t="s">
        <v>9075</v>
      </c>
      <c r="AS1326" t="s">
        <v>9076</v>
      </c>
      <c r="AT1326" t="s">
        <v>6291</v>
      </c>
      <c r="AU1326">
        <v>2009</v>
      </c>
      <c r="AV1326">
        <v>54</v>
      </c>
      <c r="AW1326">
        <v>1</v>
      </c>
      <c r="AX1326" t="s">
        <v>74</v>
      </c>
      <c r="AY1326" t="s">
        <v>74</v>
      </c>
      <c r="AZ1326" t="s">
        <v>74</v>
      </c>
      <c r="BA1326" t="s">
        <v>74</v>
      </c>
      <c r="BB1326" t="s">
        <v>18222</v>
      </c>
      <c r="BC1326" t="s">
        <v>18221</v>
      </c>
      <c r="BD1326" t="s">
        <v>74</v>
      </c>
      <c r="BE1326" t="s">
        <v>18220</v>
      </c>
      <c r="BF1326" t="str">
        <f>HYPERLINK("http://dx.doi.org/10.1016/j.jacc.2009.04.014","http://dx.doi.org/10.1016/j.jacc.2009.04.014")</f>
        <v>http://dx.doi.org/10.1016/j.jacc.2009.04.014</v>
      </c>
      <c r="BG1326" t="s">
        <v>74</v>
      </c>
      <c r="BH1326" t="s">
        <v>74</v>
      </c>
      <c r="BI1326">
        <v>10</v>
      </c>
      <c r="BJ1326" t="s">
        <v>132</v>
      </c>
      <c r="BK1326" t="s">
        <v>512</v>
      </c>
      <c r="BL1326" t="s">
        <v>133</v>
      </c>
      <c r="BM1326" t="s">
        <v>18189</v>
      </c>
      <c r="BN1326">
        <v>19555854</v>
      </c>
      <c r="BO1326" t="s">
        <v>4589</v>
      </c>
      <c r="BP1326" t="s">
        <v>74</v>
      </c>
      <c r="BQ1326" t="s">
        <v>74</v>
      </c>
      <c r="BR1326" t="s">
        <v>104</v>
      </c>
      <c r="BS1326" t="s">
        <v>18219</v>
      </c>
      <c r="BT1326" t="str">
        <f>HYPERLINK("https%3A%2F%2Fwww.webofscience.com%2Fwos%2Fwoscc%2Ffull-record%2FWOS:000267547500012","View Full Record in Web of Science")</f>
        <v>View Full Record in Web of Science</v>
      </c>
    </row>
    <row r="1327" spans="1:72" x14ac:dyDescent="0.25">
      <c r="A1327" t="s">
        <v>72</v>
      </c>
      <c r="B1327" t="s">
        <v>18218</v>
      </c>
      <c r="C1327" t="s">
        <v>74</v>
      </c>
      <c r="D1327" t="s">
        <v>74</v>
      </c>
      <c r="E1327" t="s">
        <v>74</v>
      </c>
      <c r="F1327" t="s">
        <v>18217</v>
      </c>
      <c r="G1327" t="s">
        <v>74</v>
      </c>
      <c r="H1327" t="s">
        <v>74</v>
      </c>
      <c r="I1327" t="s">
        <v>18216</v>
      </c>
      <c r="J1327" t="s">
        <v>9067</v>
      </c>
      <c r="K1327" t="s">
        <v>74</v>
      </c>
      <c r="L1327" t="s">
        <v>74</v>
      </c>
      <c r="M1327" t="s">
        <v>78</v>
      </c>
      <c r="N1327" t="s">
        <v>8016</v>
      </c>
      <c r="O1327" t="s">
        <v>18215</v>
      </c>
      <c r="P1327" t="s">
        <v>18214</v>
      </c>
      <c r="Q1327" t="s">
        <v>18213</v>
      </c>
      <c r="R1327" t="s">
        <v>74</v>
      </c>
      <c r="S1327" t="s">
        <v>74</v>
      </c>
      <c r="T1327" t="s">
        <v>18212</v>
      </c>
      <c r="U1327" t="s">
        <v>18211</v>
      </c>
      <c r="V1327" t="s">
        <v>18210</v>
      </c>
      <c r="W1327" t="s">
        <v>18209</v>
      </c>
      <c r="X1327" t="s">
        <v>18208</v>
      </c>
      <c r="Y1327" t="s">
        <v>18207</v>
      </c>
      <c r="Z1327" t="s">
        <v>18206</v>
      </c>
      <c r="AA1327" t="s">
        <v>18205</v>
      </c>
      <c r="AB1327" t="s">
        <v>18204</v>
      </c>
      <c r="AC1327" t="s">
        <v>18203</v>
      </c>
      <c r="AD1327" t="s">
        <v>18202</v>
      </c>
      <c r="AE1327" t="s">
        <v>74</v>
      </c>
      <c r="AF1327" t="s">
        <v>74</v>
      </c>
      <c r="AG1327">
        <v>98</v>
      </c>
      <c r="AH1327">
        <v>563</v>
      </c>
      <c r="AI1327">
        <v>606</v>
      </c>
      <c r="AJ1327">
        <v>3</v>
      </c>
      <c r="AK1327">
        <v>65</v>
      </c>
      <c r="AL1327" t="s">
        <v>991</v>
      </c>
      <c r="AM1327" t="s">
        <v>486</v>
      </c>
      <c r="AN1327" t="s">
        <v>992</v>
      </c>
      <c r="AO1327" t="s">
        <v>9073</v>
      </c>
      <c r="AP1327" t="s">
        <v>9074</v>
      </c>
      <c r="AQ1327" t="s">
        <v>74</v>
      </c>
      <c r="AR1327" t="s">
        <v>9075</v>
      </c>
      <c r="AS1327" t="s">
        <v>9076</v>
      </c>
      <c r="AT1327" t="s">
        <v>6291</v>
      </c>
      <c r="AU1327">
        <v>2009</v>
      </c>
      <c r="AV1327">
        <v>54</v>
      </c>
      <c r="AW1327">
        <v>1</v>
      </c>
      <c r="AX1327" t="s">
        <v>74</v>
      </c>
      <c r="AY1327">
        <v>1</v>
      </c>
      <c r="AZ1327" t="s">
        <v>74</v>
      </c>
      <c r="BA1327" t="s">
        <v>74</v>
      </c>
      <c r="BB1327" t="s">
        <v>1788</v>
      </c>
      <c r="BC1327" t="s">
        <v>18201</v>
      </c>
      <c r="BD1327" t="s">
        <v>74</v>
      </c>
      <c r="BE1327" t="s">
        <v>18200</v>
      </c>
      <c r="BF1327" t="str">
        <f>HYPERLINK("http://dx.doi.org/10.1016/j.jacc.2009.04.006","http://dx.doi.org/10.1016/j.jacc.2009.04.006")</f>
        <v>http://dx.doi.org/10.1016/j.jacc.2009.04.006</v>
      </c>
      <c r="BG1327" t="s">
        <v>74</v>
      </c>
      <c r="BH1327" t="s">
        <v>74</v>
      </c>
      <c r="BI1327">
        <v>10</v>
      </c>
      <c r="BJ1327" t="s">
        <v>132</v>
      </c>
      <c r="BK1327" t="s">
        <v>512</v>
      </c>
      <c r="BL1327" t="s">
        <v>133</v>
      </c>
      <c r="BM1327" t="s">
        <v>18189</v>
      </c>
      <c r="BN1327">
        <v>19555853</v>
      </c>
      <c r="BO1327" t="s">
        <v>1194</v>
      </c>
      <c r="BP1327" t="s">
        <v>74</v>
      </c>
      <c r="BQ1327" t="s">
        <v>74</v>
      </c>
      <c r="BR1327" t="s">
        <v>104</v>
      </c>
      <c r="BS1327" t="s">
        <v>18199</v>
      </c>
      <c r="BT1327" t="str">
        <f>HYPERLINK("https%3A%2F%2Fwww.webofscience.com%2Fwos%2Fwoscc%2Ffull-record%2FWOS:000267547500003","View Full Record in Web of Science")</f>
        <v>View Full Record in Web of Science</v>
      </c>
    </row>
    <row r="1328" spans="1:72" x14ac:dyDescent="0.25">
      <c r="A1328" t="s">
        <v>72</v>
      </c>
      <c r="B1328" t="s">
        <v>18198</v>
      </c>
      <c r="C1328" t="s">
        <v>74</v>
      </c>
      <c r="D1328" t="s">
        <v>74</v>
      </c>
      <c r="E1328" t="s">
        <v>74</v>
      </c>
      <c r="F1328" t="s">
        <v>18197</v>
      </c>
      <c r="G1328" t="s">
        <v>74</v>
      </c>
      <c r="H1328" t="s">
        <v>74</v>
      </c>
      <c r="I1328" t="s">
        <v>18196</v>
      </c>
      <c r="J1328" t="s">
        <v>9067</v>
      </c>
      <c r="K1328" t="s">
        <v>74</v>
      </c>
      <c r="L1328" t="s">
        <v>74</v>
      </c>
      <c r="M1328" t="s">
        <v>78</v>
      </c>
      <c r="N1328" t="s">
        <v>140</v>
      </c>
      <c r="O1328" t="s">
        <v>74</v>
      </c>
      <c r="P1328" t="s">
        <v>74</v>
      </c>
      <c r="Q1328" t="s">
        <v>74</v>
      </c>
      <c r="R1328" t="s">
        <v>74</v>
      </c>
      <c r="S1328" t="s">
        <v>74</v>
      </c>
      <c r="T1328" t="s">
        <v>74</v>
      </c>
      <c r="U1328" t="s">
        <v>74</v>
      </c>
      <c r="V1328" t="s">
        <v>74</v>
      </c>
      <c r="W1328" t="s">
        <v>18195</v>
      </c>
      <c r="X1328" t="s">
        <v>18194</v>
      </c>
      <c r="Y1328" t="s">
        <v>18193</v>
      </c>
      <c r="Z1328" t="s">
        <v>12519</v>
      </c>
      <c r="AA1328" t="s">
        <v>144</v>
      </c>
      <c r="AB1328" t="s">
        <v>257</v>
      </c>
      <c r="AC1328" t="s">
        <v>74</v>
      </c>
      <c r="AD1328" t="s">
        <v>74</v>
      </c>
      <c r="AE1328" t="s">
        <v>74</v>
      </c>
      <c r="AF1328" t="s">
        <v>74</v>
      </c>
      <c r="AG1328">
        <v>0</v>
      </c>
      <c r="AH1328">
        <v>44</v>
      </c>
      <c r="AI1328">
        <v>50</v>
      </c>
      <c r="AJ1328">
        <v>0</v>
      </c>
      <c r="AK1328">
        <v>2</v>
      </c>
      <c r="AL1328" t="s">
        <v>991</v>
      </c>
      <c r="AM1328" t="s">
        <v>486</v>
      </c>
      <c r="AN1328" t="s">
        <v>8530</v>
      </c>
      <c r="AO1328" t="s">
        <v>9073</v>
      </c>
      <c r="AP1328" t="s">
        <v>9074</v>
      </c>
      <c r="AQ1328" t="s">
        <v>74</v>
      </c>
      <c r="AR1328" t="s">
        <v>9075</v>
      </c>
      <c r="AS1328" t="s">
        <v>9076</v>
      </c>
      <c r="AT1328" t="s">
        <v>6291</v>
      </c>
      <c r="AU1328">
        <v>2009</v>
      </c>
      <c r="AV1328">
        <v>54</v>
      </c>
      <c r="AW1328">
        <v>1</v>
      </c>
      <c r="AX1328" t="s">
        <v>74</v>
      </c>
      <c r="AY1328">
        <v>1</v>
      </c>
      <c r="AZ1328" t="s">
        <v>74</v>
      </c>
      <c r="BA1328" t="s">
        <v>74</v>
      </c>
      <c r="BB1328" t="s">
        <v>18192</v>
      </c>
      <c r="BC1328" t="s">
        <v>18191</v>
      </c>
      <c r="BD1328" t="s">
        <v>74</v>
      </c>
      <c r="BE1328" t="s">
        <v>18190</v>
      </c>
      <c r="BF1328" t="str">
        <f>HYPERLINK("http://dx.doi.org/10.1016/j.jacc.2009.04.013","http://dx.doi.org/10.1016/j.jacc.2009.04.013")</f>
        <v>http://dx.doi.org/10.1016/j.jacc.2009.04.013</v>
      </c>
      <c r="BG1328" t="s">
        <v>74</v>
      </c>
      <c r="BH1328" t="s">
        <v>74</v>
      </c>
      <c r="BI1328">
        <v>2</v>
      </c>
      <c r="BJ1328" t="s">
        <v>132</v>
      </c>
      <c r="BK1328" t="s">
        <v>101</v>
      </c>
      <c r="BL1328" t="s">
        <v>133</v>
      </c>
      <c r="BM1328" t="s">
        <v>18189</v>
      </c>
      <c r="BN1328">
        <v>19555852</v>
      </c>
      <c r="BO1328" t="s">
        <v>1194</v>
      </c>
      <c r="BP1328" t="s">
        <v>74</v>
      </c>
      <c r="BQ1328" t="s">
        <v>74</v>
      </c>
      <c r="BR1328" t="s">
        <v>104</v>
      </c>
      <c r="BS1328" t="s">
        <v>18188</v>
      </c>
      <c r="BT1328" t="str">
        <f>HYPERLINK("https%3A%2F%2Fwww.webofscience.com%2Fwos%2Fwoscc%2Ffull-record%2FWOS:000267547500001","View Full Record in Web of Science")</f>
        <v>View Full Record in Web of Science</v>
      </c>
    </row>
    <row r="1329" spans="1:72" x14ac:dyDescent="0.25">
      <c r="A1329" t="s">
        <v>72</v>
      </c>
      <c r="B1329" t="s">
        <v>18187</v>
      </c>
      <c r="C1329" t="s">
        <v>74</v>
      </c>
      <c r="D1329" t="s">
        <v>74</v>
      </c>
      <c r="E1329" t="s">
        <v>74</v>
      </c>
      <c r="F1329" t="s">
        <v>18186</v>
      </c>
      <c r="G1329" t="s">
        <v>74</v>
      </c>
      <c r="H1329" t="s">
        <v>74</v>
      </c>
      <c r="I1329" t="s">
        <v>18185</v>
      </c>
      <c r="J1329" t="s">
        <v>637</v>
      </c>
      <c r="K1329" t="s">
        <v>74</v>
      </c>
      <c r="L1329" t="s">
        <v>74</v>
      </c>
      <c r="M1329" t="s">
        <v>78</v>
      </c>
      <c r="N1329" t="s">
        <v>79</v>
      </c>
      <c r="O1329" t="s">
        <v>74</v>
      </c>
      <c r="P1329" t="s">
        <v>74</v>
      </c>
      <c r="Q1329" t="s">
        <v>74</v>
      </c>
      <c r="R1329" t="s">
        <v>74</v>
      </c>
      <c r="S1329" t="s">
        <v>74</v>
      </c>
      <c r="T1329" t="s">
        <v>18184</v>
      </c>
      <c r="U1329" t="s">
        <v>18183</v>
      </c>
      <c r="V1329" t="s">
        <v>18182</v>
      </c>
      <c r="W1329" t="s">
        <v>18181</v>
      </c>
      <c r="X1329" t="s">
        <v>18180</v>
      </c>
      <c r="Y1329" t="s">
        <v>18179</v>
      </c>
      <c r="Z1329" t="s">
        <v>18178</v>
      </c>
      <c r="AA1329" t="s">
        <v>18177</v>
      </c>
      <c r="AB1329" t="s">
        <v>18176</v>
      </c>
      <c r="AC1329" t="s">
        <v>18175</v>
      </c>
      <c r="AD1329" t="s">
        <v>18174</v>
      </c>
      <c r="AE1329" t="s">
        <v>18173</v>
      </c>
      <c r="AF1329" t="s">
        <v>74</v>
      </c>
      <c r="AG1329">
        <v>40</v>
      </c>
      <c r="AH1329">
        <v>148</v>
      </c>
      <c r="AI1329">
        <v>174</v>
      </c>
      <c r="AJ1329">
        <v>0</v>
      </c>
      <c r="AK1329">
        <v>16</v>
      </c>
      <c r="AL1329" t="s">
        <v>649</v>
      </c>
      <c r="AM1329" t="s">
        <v>486</v>
      </c>
      <c r="AN1329" t="s">
        <v>650</v>
      </c>
      <c r="AO1329" t="s">
        <v>651</v>
      </c>
      <c r="AP1329" t="s">
        <v>652</v>
      </c>
      <c r="AQ1329" t="s">
        <v>74</v>
      </c>
      <c r="AR1329" t="s">
        <v>653</v>
      </c>
      <c r="AS1329" t="s">
        <v>654</v>
      </c>
      <c r="AT1329" t="s">
        <v>3288</v>
      </c>
      <c r="AU1329">
        <v>2009</v>
      </c>
      <c r="AV1329">
        <v>179</v>
      </c>
      <c r="AW1329">
        <v>12</v>
      </c>
      <c r="AX1329" t="s">
        <v>74</v>
      </c>
      <c r="AY1329" t="s">
        <v>74</v>
      </c>
      <c r="AZ1329" t="s">
        <v>74</v>
      </c>
      <c r="BA1329" t="s">
        <v>74</v>
      </c>
      <c r="BB1329">
        <v>1151</v>
      </c>
      <c r="BC1329">
        <v>1158</v>
      </c>
      <c r="BD1329" t="s">
        <v>74</v>
      </c>
      <c r="BE1329" t="s">
        <v>18172</v>
      </c>
      <c r="BF1329" t="str">
        <f>HYPERLINK("http://dx.doi.org/10.1164/rccm.200805-691OC","http://dx.doi.org/10.1164/rccm.200805-691OC")</f>
        <v>http://dx.doi.org/10.1164/rccm.200805-691OC</v>
      </c>
      <c r="BG1329" t="s">
        <v>74</v>
      </c>
      <c r="BH1329" t="s">
        <v>74</v>
      </c>
      <c r="BI1329">
        <v>8</v>
      </c>
      <c r="BJ1329" t="s">
        <v>341</v>
      </c>
      <c r="BK1329" t="s">
        <v>101</v>
      </c>
      <c r="BL1329" t="s">
        <v>342</v>
      </c>
      <c r="BM1329" t="s">
        <v>18171</v>
      </c>
      <c r="BN1329">
        <v>19299501</v>
      </c>
      <c r="BO1329" t="s">
        <v>74</v>
      </c>
      <c r="BP1329" t="s">
        <v>74</v>
      </c>
      <c r="BQ1329" t="s">
        <v>74</v>
      </c>
      <c r="BR1329" t="s">
        <v>104</v>
      </c>
      <c r="BS1329" t="s">
        <v>18170</v>
      </c>
      <c r="BT1329" t="str">
        <f>HYPERLINK("https%3A%2F%2Fwww.webofscience.com%2Fwos%2Fwoscc%2Ffull-record%2FWOS:000266787500014","View Full Record in Web of Science")</f>
        <v>View Full Record in Web of Science</v>
      </c>
    </row>
    <row r="1330" spans="1:72" x14ac:dyDescent="0.25">
      <c r="A1330" t="s">
        <v>72</v>
      </c>
      <c r="B1330" t="s">
        <v>18169</v>
      </c>
      <c r="C1330" t="s">
        <v>74</v>
      </c>
      <c r="D1330" t="s">
        <v>74</v>
      </c>
      <c r="E1330" t="s">
        <v>74</v>
      </c>
      <c r="F1330" t="s">
        <v>18168</v>
      </c>
      <c r="G1330" t="s">
        <v>74</v>
      </c>
      <c r="H1330" t="s">
        <v>74</v>
      </c>
      <c r="I1330" t="s">
        <v>18167</v>
      </c>
      <c r="J1330" t="s">
        <v>6728</v>
      </c>
      <c r="K1330" t="s">
        <v>74</v>
      </c>
      <c r="L1330" t="s">
        <v>74</v>
      </c>
      <c r="M1330" t="s">
        <v>78</v>
      </c>
      <c r="N1330" t="s">
        <v>299</v>
      </c>
      <c r="O1330" t="s">
        <v>74</v>
      </c>
      <c r="P1330" t="s">
        <v>74</v>
      </c>
      <c r="Q1330" t="s">
        <v>74</v>
      </c>
      <c r="R1330" t="s">
        <v>74</v>
      </c>
      <c r="S1330" t="s">
        <v>74</v>
      </c>
      <c r="T1330" t="s">
        <v>18166</v>
      </c>
      <c r="U1330" t="s">
        <v>18165</v>
      </c>
      <c r="V1330" t="s">
        <v>18164</v>
      </c>
      <c r="W1330" t="s">
        <v>18163</v>
      </c>
      <c r="X1330" t="s">
        <v>18162</v>
      </c>
      <c r="Y1330" t="s">
        <v>18161</v>
      </c>
      <c r="Z1330" t="s">
        <v>17756</v>
      </c>
      <c r="AA1330" t="s">
        <v>18160</v>
      </c>
      <c r="AB1330" t="s">
        <v>18159</v>
      </c>
      <c r="AC1330" t="s">
        <v>74</v>
      </c>
      <c r="AD1330" t="s">
        <v>74</v>
      </c>
      <c r="AE1330" t="s">
        <v>74</v>
      </c>
      <c r="AF1330" t="s">
        <v>74</v>
      </c>
      <c r="AG1330">
        <v>73</v>
      </c>
      <c r="AH1330">
        <v>15</v>
      </c>
      <c r="AI1330">
        <v>16</v>
      </c>
      <c r="AJ1330">
        <v>0</v>
      </c>
      <c r="AK1330">
        <v>8</v>
      </c>
      <c r="AL1330" t="s">
        <v>1781</v>
      </c>
      <c r="AM1330" t="s">
        <v>486</v>
      </c>
      <c r="AN1330" t="s">
        <v>4730</v>
      </c>
      <c r="AO1330" t="s">
        <v>6737</v>
      </c>
      <c r="AP1330" t="s">
        <v>6738</v>
      </c>
      <c r="AQ1330" t="s">
        <v>74</v>
      </c>
      <c r="AR1330" t="s">
        <v>6739</v>
      </c>
      <c r="AS1330" t="s">
        <v>6740</v>
      </c>
      <c r="AT1330" t="s">
        <v>1060</v>
      </c>
      <c r="AU1330">
        <v>2009</v>
      </c>
      <c r="AV1330">
        <v>26</v>
      </c>
      <c r="AW1330">
        <v>6</v>
      </c>
      <c r="AX1330" t="s">
        <v>74</v>
      </c>
      <c r="AY1330" t="s">
        <v>74</v>
      </c>
      <c r="AZ1330" t="s">
        <v>74</v>
      </c>
      <c r="BA1330" t="s">
        <v>74</v>
      </c>
      <c r="BB1330">
        <v>575</v>
      </c>
      <c r="BC1330">
        <v>587</v>
      </c>
      <c r="BD1330" t="s">
        <v>74</v>
      </c>
      <c r="BE1330" t="s">
        <v>18158</v>
      </c>
      <c r="BF1330" t="str">
        <f>HYPERLINK("http://dx.doi.org/10.1007/s12325-009-0038-1","http://dx.doi.org/10.1007/s12325-009-0038-1")</f>
        <v>http://dx.doi.org/10.1007/s12325-009-0038-1</v>
      </c>
      <c r="BG1330" t="s">
        <v>74</v>
      </c>
      <c r="BH1330" t="s">
        <v>74</v>
      </c>
      <c r="BI1330">
        <v>13</v>
      </c>
      <c r="BJ1330" t="s">
        <v>6742</v>
      </c>
      <c r="BK1330" t="s">
        <v>101</v>
      </c>
      <c r="BL1330" t="s">
        <v>6743</v>
      </c>
      <c r="BM1330" t="s">
        <v>18157</v>
      </c>
      <c r="BN1330">
        <v>19562275</v>
      </c>
      <c r="BO1330" t="s">
        <v>74</v>
      </c>
      <c r="BP1330" t="s">
        <v>74</v>
      </c>
      <c r="BQ1330" t="s">
        <v>74</v>
      </c>
      <c r="BR1330" t="s">
        <v>104</v>
      </c>
      <c r="BS1330" t="s">
        <v>18156</v>
      </c>
      <c r="BT1330" t="str">
        <f>HYPERLINK("https%3A%2F%2Fwww.webofscience.com%2Fwos%2Fwoscc%2Ffull-record%2FWOS:000267777400001","View Full Record in Web of Science")</f>
        <v>View Full Record in Web of Science</v>
      </c>
    </row>
    <row r="1331" spans="1:72" x14ac:dyDescent="0.25">
      <c r="A1331" t="s">
        <v>72</v>
      </c>
      <c r="B1331" t="s">
        <v>18155</v>
      </c>
      <c r="C1331" t="s">
        <v>74</v>
      </c>
      <c r="D1331" t="s">
        <v>74</v>
      </c>
      <c r="E1331" t="s">
        <v>74</v>
      </c>
      <c r="F1331" t="s">
        <v>18154</v>
      </c>
      <c r="G1331" t="s">
        <v>74</v>
      </c>
      <c r="H1331" t="s">
        <v>18153</v>
      </c>
      <c r="I1331" t="s">
        <v>18152</v>
      </c>
      <c r="J1331" t="s">
        <v>15500</v>
      </c>
      <c r="K1331" t="s">
        <v>74</v>
      </c>
      <c r="L1331" t="s">
        <v>74</v>
      </c>
      <c r="M1331" t="s">
        <v>78</v>
      </c>
      <c r="N1331" t="s">
        <v>79</v>
      </c>
      <c r="O1331" t="s">
        <v>74</v>
      </c>
      <c r="P1331" t="s">
        <v>74</v>
      </c>
      <c r="Q1331" t="s">
        <v>74</v>
      </c>
      <c r="R1331" t="s">
        <v>74</v>
      </c>
      <c r="S1331" t="s">
        <v>74</v>
      </c>
      <c r="T1331" t="s">
        <v>74</v>
      </c>
      <c r="U1331" t="s">
        <v>18151</v>
      </c>
      <c r="V1331" t="s">
        <v>18150</v>
      </c>
      <c r="W1331" t="s">
        <v>18149</v>
      </c>
      <c r="X1331" t="s">
        <v>18148</v>
      </c>
      <c r="Y1331" t="s">
        <v>18147</v>
      </c>
      <c r="Z1331" t="s">
        <v>15594</v>
      </c>
      <c r="AA1331" t="s">
        <v>18146</v>
      </c>
      <c r="AB1331" t="s">
        <v>18145</v>
      </c>
      <c r="AC1331" t="s">
        <v>17912</v>
      </c>
      <c r="AD1331" t="s">
        <v>17912</v>
      </c>
      <c r="AE1331" t="s">
        <v>18144</v>
      </c>
      <c r="AF1331" t="s">
        <v>74</v>
      </c>
      <c r="AG1331">
        <v>25</v>
      </c>
      <c r="AH1331">
        <v>157</v>
      </c>
      <c r="AI1331">
        <v>163</v>
      </c>
      <c r="AJ1331">
        <v>0</v>
      </c>
      <c r="AK1331">
        <v>6</v>
      </c>
      <c r="AL1331" t="s">
        <v>169</v>
      </c>
      <c r="AM1331" t="s">
        <v>170</v>
      </c>
      <c r="AN1331" t="s">
        <v>171</v>
      </c>
      <c r="AO1331" t="s">
        <v>15491</v>
      </c>
      <c r="AP1331" t="s">
        <v>16087</v>
      </c>
      <c r="AQ1331" t="s">
        <v>74</v>
      </c>
      <c r="AR1331" t="s">
        <v>16086</v>
      </c>
      <c r="AS1331" t="s">
        <v>15489</v>
      </c>
      <c r="AT1331" t="s">
        <v>1060</v>
      </c>
      <c r="AU1331">
        <v>2009</v>
      </c>
      <c r="AV1331">
        <v>60</v>
      </c>
      <c r="AW1331">
        <v>6</v>
      </c>
      <c r="AX1331" t="s">
        <v>74</v>
      </c>
      <c r="AY1331" t="s">
        <v>74</v>
      </c>
      <c r="AZ1331" t="s">
        <v>74</v>
      </c>
      <c r="BA1331" t="s">
        <v>74</v>
      </c>
      <c r="BB1331">
        <v>1831</v>
      </c>
      <c r="BC1331">
        <v>1839</v>
      </c>
      <c r="BD1331" t="s">
        <v>74</v>
      </c>
      <c r="BE1331" t="s">
        <v>18143</v>
      </c>
      <c r="BF1331" t="str">
        <f>HYPERLINK("http://dx.doi.org/10.1002/art.24525","http://dx.doi.org/10.1002/art.24525")</f>
        <v>http://dx.doi.org/10.1002/art.24525</v>
      </c>
      <c r="BG1331" t="s">
        <v>74</v>
      </c>
      <c r="BH1331" t="s">
        <v>74</v>
      </c>
      <c r="BI1331">
        <v>9</v>
      </c>
      <c r="BJ1331" t="s">
        <v>2369</v>
      </c>
      <c r="BK1331" t="s">
        <v>101</v>
      </c>
      <c r="BL1331" t="s">
        <v>2369</v>
      </c>
      <c r="BM1331" t="s">
        <v>18142</v>
      </c>
      <c r="BN1331">
        <v>19479881</v>
      </c>
      <c r="BO1331" t="s">
        <v>74</v>
      </c>
      <c r="BP1331" t="s">
        <v>74</v>
      </c>
      <c r="BQ1331" t="s">
        <v>74</v>
      </c>
      <c r="BR1331" t="s">
        <v>104</v>
      </c>
      <c r="BS1331" t="s">
        <v>18141</v>
      </c>
      <c r="BT1331" t="str">
        <f>HYPERLINK("https%3A%2F%2Fwww.webofscience.com%2Fwos%2Fwoscc%2Ffull-record%2FWOS:000267116800035","View Full Record in Web of Science")</f>
        <v>View Full Record in Web of Science</v>
      </c>
    </row>
    <row r="1332" spans="1:72" x14ac:dyDescent="0.25">
      <c r="A1332" t="s">
        <v>72</v>
      </c>
      <c r="B1332" t="s">
        <v>18140</v>
      </c>
      <c r="C1332" t="s">
        <v>74</v>
      </c>
      <c r="D1332" t="s">
        <v>74</v>
      </c>
      <c r="E1332" t="s">
        <v>74</v>
      </c>
      <c r="F1332" t="s">
        <v>18139</v>
      </c>
      <c r="G1332" t="s">
        <v>74</v>
      </c>
      <c r="H1332" t="s">
        <v>74</v>
      </c>
      <c r="I1332" t="s">
        <v>18138</v>
      </c>
      <c r="J1332" t="s">
        <v>1529</v>
      </c>
      <c r="K1332" t="s">
        <v>74</v>
      </c>
      <c r="L1332" t="s">
        <v>74</v>
      </c>
      <c r="M1332" t="s">
        <v>1349</v>
      </c>
      <c r="N1332" t="s">
        <v>79</v>
      </c>
      <c r="O1332" t="s">
        <v>74</v>
      </c>
      <c r="P1332" t="s">
        <v>74</v>
      </c>
      <c r="Q1332" t="s">
        <v>74</v>
      </c>
      <c r="R1332" t="s">
        <v>74</v>
      </c>
      <c r="S1332" t="s">
        <v>74</v>
      </c>
      <c r="T1332" t="s">
        <v>74</v>
      </c>
      <c r="U1332" t="s">
        <v>18137</v>
      </c>
      <c r="V1332" t="s">
        <v>18136</v>
      </c>
      <c r="W1332" t="s">
        <v>18135</v>
      </c>
      <c r="X1332" t="s">
        <v>18134</v>
      </c>
      <c r="Y1332" t="s">
        <v>18133</v>
      </c>
      <c r="Z1332" t="s">
        <v>15594</v>
      </c>
      <c r="AA1332" t="s">
        <v>18132</v>
      </c>
      <c r="AB1332" t="s">
        <v>18131</v>
      </c>
      <c r="AC1332" t="s">
        <v>74</v>
      </c>
      <c r="AD1332" t="s">
        <v>74</v>
      </c>
      <c r="AE1332" t="s">
        <v>74</v>
      </c>
      <c r="AF1332" t="s">
        <v>74</v>
      </c>
      <c r="AG1332">
        <v>61</v>
      </c>
      <c r="AH1332">
        <v>6</v>
      </c>
      <c r="AI1332">
        <v>6</v>
      </c>
      <c r="AJ1332">
        <v>0</v>
      </c>
      <c r="AK1332">
        <v>1</v>
      </c>
      <c r="AL1332" t="s">
        <v>1358</v>
      </c>
      <c r="AM1332" t="s">
        <v>1359</v>
      </c>
      <c r="AN1332" t="s">
        <v>1360</v>
      </c>
      <c r="AO1332" t="s">
        <v>1533</v>
      </c>
      <c r="AP1332" t="s">
        <v>1534</v>
      </c>
      <c r="AQ1332" t="s">
        <v>74</v>
      </c>
      <c r="AR1332" t="s">
        <v>1535</v>
      </c>
      <c r="AS1332" t="s">
        <v>1536</v>
      </c>
      <c r="AT1332" t="s">
        <v>1060</v>
      </c>
      <c r="AU1332">
        <v>2009</v>
      </c>
      <c r="AV1332">
        <v>38</v>
      </c>
      <c r="AW1332">
        <v>6</v>
      </c>
      <c r="AX1332" t="s">
        <v>74</v>
      </c>
      <c r="AY1332" t="s">
        <v>74</v>
      </c>
      <c r="AZ1332" t="s">
        <v>74</v>
      </c>
      <c r="BA1332" t="s">
        <v>74</v>
      </c>
      <c r="BB1332">
        <v>911</v>
      </c>
      <c r="BC1332">
        <v>926</v>
      </c>
      <c r="BD1332" t="s">
        <v>74</v>
      </c>
      <c r="BE1332" t="s">
        <v>18130</v>
      </c>
      <c r="BF1332" t="str">
        <f>HYPERLINK("http://dx.doi.org/10.1016/j.lpm.2008.08.017","http://dx.doi.org/10.1016/j.lpm.2008.08.017")</f>
        <v>http://dx.doi.org/10.1016/j.lpm.2008.08.017</v>
      </c>
      <c r="BG1332" t="s">
        <v>74</v>
      </c>
      <c r="BH1332" t="s">
        <v>74</v>
      </c>
      <c r="BI1332">
        <v>16</v>
      </c>
      <c r="BJ1332" t="s">
        <v>1152</v>
      </c>
      <c r="BK1332" t="s">
        <v>101</v>
      </c>
      <c r="BL1332" t="s">
        <v>1153</v>
      </c>
      <c r="BM1332" t="s">
        <v>18129</v>
      </c>
      <c r="BN1332">
        <v>19195823</v>
      </c>
      <c r="BO1332" t="s">
        <v>74</v>
      </c>
      <c r="BP1332" t="s">
        <v>74</v>
      </c>
      <c r="BQ1332" t="s">
        <v>74</v>
      </c>
      <c r="BR1332" t="s">
        <v>104</v>
      </c>
      <c r="BS1332" t="s">
        <v>18128</v>
      </c>
      <c r="BT1332" t="str">
        <f>HYPERLINK("https%3A%2F%2Fwww.webofscience.com%2Fwos%2Fwoscc%2Ffull-record%2FWOS:000267221800007","View Full Record in Web of Science")</f>
        <v>View Full Record in Web of Science</v>
      </c>
    </row>
    <row r="1333" spans="1:72" x14ac:dyDescent="0.25">
      <c r="A1333" t="s">
        <v>72</v>
      </c>
      <c r="B1333" t="s">
        <v>18127</v>
      </c>
      <c r="C1333" t="s">
        <v>74</v>
      </c>
      <c r="D1333" t="s">
        <v>74</v>
      </c>
      <c r="E1333" t="s">
        <v>74</v>
      </c>
      <c r="F1333" t="s">
        <v>18126</v>
      </c>
      <c r="G1333" t="s">
        <v>74</v>
      </c>
      <c r="H1333" t="s">
        <v>74</v>
      </c>
      <c r="I1333" t="s">
        <v>18125</v>
      </c>
      <c r="J1333" t="s">
        <v>216</v>
      </c>
      <c r="K1333" t="s">
        <v>74</v>
      </c>
      <c r="L1333" t="s">
        <v>74</v>
      </c>
      <c r="M1333" t="s">
        <v>78</v>
      </c>
      <c r="N1333" t="s">
        <v>79</v>
      </c>
      <c r="O1333" t="s">
        <v>74</v>
      </c>
      <c r="P1333" t="s">
        <v>74</v>
      </c>
      <c r="Q1333" t="s">
        <v>74</v>
      </c>
      <c r="R1333" t="s">
        <v>74</v>
      </c>
      <c r="S1333" t="s">
        <v>74</v>
      </c>
      <c r="T1333" t="s">
        <v>18124</v>
      </c>
      <c r="U1333" t="s">
        <v>18123</v>
      </c>
      <c r="V1333" t="s">
        <v>18122</v>
      </c>
      <c r="W1333" t="s">
        <v>18121</v>
      </c>
      <c r="X1333" t="s">
        <v>18120</v>
      </c>
      <c r="Y1333" t="s">
        <v>18119</v>
      </c>
      <c r="Z1333" t="s">
        <v>18118</v>
      </c>
      <c r="AA1333" t="s">
        <v>18117</v>
      </c>
      <c r="AB1333" t="s">
        <v>18116</v>
      </c>
      <c r="AC1333" t="s">
        <v>74</v>
      </c>
      <c r="AD1333" t="s">
        <v>74</v>
      </c>
      <c r="AE1333" t="s">
        <v>74</v>
      </c>
      <c r="AF1333" t="s">
        <v>74</v>
      </c>
      <c r="AG1333">
        <v>21</v>
      </c>
      <c r="AH1333">
        <v>7</v>
      </c>
      <c r="AI1333">
        <v>7</v>
      </c>
      <c r="AJ1333">
        <v>0</v>
      </c>
      <c r="AK1333">
        <v>1</v>
      </c>
      <c r="AL1333" t="s">
        <v>219</v>
      </c>
      <c r="AM1333" t="s">
        <v>220</v>
      </c>
      <c r="AN1333" t="s">
        <v>221</v>
      </c>
      <c r="AO1333" t="s">
        <v>222</v>
      </c>
      <c r="AP1333" t="s">
        <v>223</v>
      </c>
      <c r="AQ1333" t="s">
        <v>74</v>
      </c>
      <c r="AR1333" t="s">
        <v>224</v>
      </c>
      <c r="AS1333" t="s">
        <v>225</v>
      </c>
      <c r="AT1333" t="s">
        <v>1060</v>
      </c>
      <c r="AU1333">
        <v>2009</v>
      </c>
      <c r="AV1333">
        <v>33</v>
      </c>
      <c r="AW1333">
        <v>6</v>
      </c>
      <c r="AX1333" t="s">
        <v>74</v>
      </c>
      <c r="AY1333" t="s">
        <v>74</v>
      </c>
      <c r="AZ1333" t="s">
        <v>74</v>
      </c>
      <c r="BA1333" t="s">
        <v>74</v>
      </c>
      <c r="BB1333">
        <v>1498</v>
      </c>
      <c r="BC1333">
        <v>1502</v>
      </c>
      <c r="BD1333" t="s">
        <v>74</v>
      </c>
      <c r="BE1333" t="s">
        <v>18115</v>
      </c>
      <c r="BF1333" t="str">
        <f>HYPERLINK("http://dx.doi.org/10.1183/09031936.00138107","http://dx.doi.org/10.1183/09031936.00138107")</f>
        <v>http://dx.doi.org/10.1183/09031936.00138107</v>
      </c>
      <c r="BG1333" t="s">
        <v>74</v>
      </c>
      <c r="BH1333" t="s">
        <v>74</v>
      </c>
      <c r="BI1333">
        <v>5</v>
      </c>
      <c r="BJ1333" t="s">
        <v>228</v>
      </c>
      <c r="BK1333" t="s">
        <v>101</v>
      </c>
      <c r="BL1333" t="s">
        <v>228</v>
      </c>
      <c r="BM1333" t="s">
        <v>18114</v>
      </c>
      <c r="BN1333">
        <v>19483051</v>
      </c>
      <c r="BO1333" t="s">
        <v>1194</v>
      </c>
      <c r="BP1333" t="s">
        <v>74</v>
      </c>
      <c r="BQ1333" t="s">
        <v>74</v>
      </c>
      <c r="BR1333" t="s">
        <v>104</v>
      </c>
      <c r="BS1333" t="s">
        <v>18113</v>
      </c>
      <c r="BT1333" t="str">
        <f>HYPERLINK("https%3A%2F%2Fwww.webofscience.com%2Fwos%2Fwoscc%2Ffull-record%2FWOS:000267301800032","View Full Record in Web of Science")</f>
        <v>View Full Record in Web of Science</v>
      </c>
    </row>
    <row r="1334" spans="1:72" x14ac:dyDescent="0.25">
      <c r="A1334" t="s">
        <v>72</v>
      </c>
      <c r="B1334" t="s">
        <v>18112</v>
      </c>
      <c r="C1334" t="s">
        <v>74</v>
      </c>
      <c r="D1334" t="s">
        <v>74</v>
      </c>
      <c r="E1334" t="s">
        <v>74</v>
      </c>
      <c r="F1334" t="s">
        <v>18111</v>
      </c>
      <c r="G1334" t="s">
        <v>74</v>
      </c>
      <c r="H1334" t="s">
        <v>74</v>
      </c>
      <c r="I1334" t="s">
        <v>18110</v>
      </c>
      <c r="J1334" t="s">
        <v>2355</v>
      </c>
      <c r="K1334" t="s">
        <v>74</v>
      </c>
      <c r="L1334" t="s">
        <v>74</v>
      </c>
      <c r="M1334" t="s">
        <v>78</v>
      </c>
      <c r="N1334" t="s">
        <v>8016</v>
      </c>
      <c r="O1334" t="s">
        <v>18109</v>
      </c>
      <c r="P1334" t="s">
        <v>18108</v>
      </c>
      <c r="Q1334" t="s">
        <v>16657</v>
      </c>
      <c r="R1334" t="s">
        <v>74</v>
      </c>
      <c r="S1334" t="s">
        <v>74</v>
      </c>
      <c r="T1334" t="s">
        <v>18107</v>
      </c>
      <c r="U1334" t="s">
        <v>18106</v>
      </c>
      <c r="V1334" t="s">
        <v>18105</v>
      </c>
      <c r="W1334" t="s">
        <v>18104</v>
      </c>
      <c r="X1334" t="s">
        <v>18103</v>
      </c>
      <c r="Y1334" t="s">
        <v>18102</v>
      </c>
      <c r="Z1334" t="s">
        <v>12519</v>
      </c>
      <c r="AA1334" t="s">
        <v>18101</v>
      </c>
      <c r="AB1334" t="s">
        <v>18100</v>
      </c>
      <c r="AC1334" t="s">
        <v>74</v>
      </c>
      <c r="AD1334" t="s">
        <v>74</v>
      </c>
      <c r="AE1334" t="s">
        <v>74</v>
      </c>
      <c r="AF1334" t="s">
        <v>74</v>
      </c>
      <c r="AG1334">
        <v>42</v>
      </c>
      <c r="AH1334">
        <v>61</v>
      </c>
      <c r="AI1334">
        <v>67</v>
      </c>
      <c r="AJ1334">
        <v>0</v>
      </c>
      <c r="AK1334">
        <v>5</v>
      </c>
      <c r="AL1334" t="s">
        <v>1073</v>
      </c>
      <c r="AM1334" t="s">
        <v>1074</v>
      </c>
      <c r="AN1334" t="s">
        <v>1075</v>
      </c>
      <c r="AO1334" t="s">
        <v>2365</v>
      </c>
      <c r="AP1334" t="s">
        <v>2366</v>
      </c>
      <c r="AQ1334" t="s">
        <v>74</v>
      </c>
      <c r="AR1334" t="s">
        <v>2355</v>
      </c>
      <c r="AS1334" t="s">
        <v>2355</v>
      </c>
      <c r="AT1334" t="s">
        <v>1060</v>
      </c>
      <c r="AU1334">
        <v>2009</v>
      </c>
      <c r="AV1334">
        <v>48</v>
      </c>
      <c r="AW1334" t="s">
        <v>74</v>
      </c>
      <c r="AX1334" t="s">
        <v>74</v>
      </c>
      <c r="AY1334">
        <v>3</v>
      </c>
      <c r="AZ1334" t="s">
        <v>74</v>
      </c>
      <c r="BA1334" t="s">
        <v>74</v>
      </c>
      <c r="BB1334">
        <v>25</v>
      </c>
      <c r="BC1334">
        <v>31</v>
      </c>
      <c r="BD1334" t="s">
        <v>74</v>
      </c>
      <c r="BE1334" t="s">
        <v>18099</v>
      </c>
      <c r="BF1334" t="str">
        <f>HYPERLINK("http://dx.doi.org/10.1093/rheumatology/kep107","http://dx.doi.org/10.1093/rheumatology/kep107")</f>
        <v>http://dx.doi.org/10.1093/rheumatology/kep107</v>
      </c>
      <c r="BG1334" t="s">
        <v>74</v>
      </c>
      <c r="BH1334" t="s">
        <v>74</v>
      </c>
      <c r="BI1334">
        <v>7</v>
      </c>
      <c r="BJ1334" t="s">
        <v>2369</v>
      </c>
      <c r="BK1334" t="s">
        <v>512</v>
      </c>
      <c r="BL1334" t="s">
        <v>2369</v>
      </c>
      <c r="BM1334" t="s">
        <v>18098</v>
      </c>
      <c r="BN1334">
        <v>19487219</v>
      </c>
      <c r="BO1334" t="s">
        <v>2854</v>
      </c>
      <c r="BP1334" t="s">
        <v>74</v>
      </c>
      <c r="BQ1334" t="s">
        <v>74</v>
      </c>
      <c r="BR1334" t="s">
        <v>104</v>
      </c>
      <c r="BS1334" t="s">
        <v>18097</v>
      </c>
      <c r="BT1334" t="str">
        <f>HYPERLINK("https%3A%2F%2Fwww.webofscience.com%2Fwos%2Fwoscc%2Ffull-record%2FWOS:000268243300006","View Full Record in Web of Science")</f>
        <v>View Full Record in Web of Science</v>
      </c>
    </row>
    <row r="1335" spans="1:72" x14ac:dyDescent="0.25">
      <c r="A1335" t="s">
        <v>72</v>
      </c>
      <c r="B1335" t="s">
        <v>1420</v>
      </c>
      <c r="C1335" t="s">
        <v>74</v>
      </c>
      <c r="D1335" t="s">
        <v>74</v>
      </c>
      <c r="E1335" t="s">
        <v>74</v>
      </c>
      <c r="F1335" t="s">
        <v>1421</v>
      </c>
      <c r="G1335" t="s">
        <v>74</v>
      </c>
      <c r="H1335" t="s">
        <v>74</v>
      </c>
      <c r="I1335" t="s">
        <v>18096</v>
      </c>
      <c r="J1335" t="s">
        <v>637</v>
      </c>
      <c r="K1335" t="s">
        <v>74</v>
      </c>
      <c r="L1335" t="s">
        <v>74</v>
      </c>
      <c r="M1335" t="s">
        <v>78</v>
      </c>
      <c r="N1335" t="s">
        <v>79</v>
      </c>
      <c r="O1335" t="s">
        <v>74</v>
      </c>
      <c r="P1335" t="s">
        <v>74</v>
      </c>
      <c r="Q1335" t="s">
        <v>74</v>
      </c>
      <c r="R1335" t="s">
        <v>74</v>
      </c>
      <c r="S1335" t="s">
        <v>74</v>
      </c>
      <c r="T1335" t="s">
        <v>74</v>
      </c>
      <c r="U1335" t="s">
        <v>18095</v>
      </c>
      <c r="V1335" t="s">
        <v>74</v>
      </c>
      <c r="W1335" t="s">
        <v>18094</v>
      </c>
      <c r="X1335" t="s">
        <v>14590</v>
      </c>
      <c r="Y1335" t="s">
        <v>18093</v>
      </c>
      <c r="Z1335" t="s">
        <v>10573</v>
      </c>
      <c r="AA1335" t="s">
        <v>144</v>
      </c>
      <c r="AB1335" t="s">
        <v>257</v>
      </c>
      <c r="AC1335" t="s">
        <v>74</v>
      </c>
      <c r="AD1335" t="s">
        <v>74</v>
      </c>
      <c r="AE1335" t="s">
        <v>74</v>
      </c>
      <c r="AF1335" t="s">
        <v>74</v>
      </c>
      <c r="AG1335">
        <v>89</v>
      </c>
      <c r="AH1335">
        <v>27</v>
      </c>
      <c r="AI1335">
        <v>38</v>
      </c>
      <c r="AJ1335">
        <v>0</v>
      </c>
      <c r="AK1335">
        <v>0</v>
      </c>
      <c r="AL1335" t="s">
        <v>649</v>
      </c>
      <c r="AM1335" t="s">
        <v>486</v>
      </c>
      <c r="AN1335" t="s">
        <v>650</v>
      </c>
      <c r="AO1335" t="s">
        <v>651</v>
      </c>
      <c r="AP1335" t="s">
        <v>652</v>
      </c>
      <c r="AQ1335" t="s">
        <v>74</v>
      </c>
      <c r="AR1335" t="s">
        <v>653</v>
      </c>
      <c r="AS1335" t="s">
        <v>654</v>
      </c>
      <c r="AT1335" t="s">
        <v>4936</v>
      </c>
      <c r="AU1335">
        <v>2009</v>
      </c>
      <c r="AV1335">
        <v>179</v>
      </c>
      <c r="AW1335">
        <v>8</v>
      </c>
      <c r="AX1335" t="s">
        <v>74</v>
      </c>
      <c r="AY1335" t="s">
        <v>74</v>
      </c>
      <c r="AZ1335" t="s">
        <v>74</v>
      </c>
      <c r="BA1335" t="s">
        <v>74</v>
      </c>
      <c r="BB1335">
        <v>650</v>
      </c>
      <c r="BC1335">
        <v>656</v>
      </c>
      <c r="BD1335" t="s">
        <v>74</v>
      </c>
      <c r="BE1335" t="s">
        <v>18092</v>
      </c>
      <c r="BF1335" t="str">
        <f>HYPERLINK("http://dx.doi.org/10.1164/rccm.200901-0136UP","http://dx.doi.org/10.1164/rccm.200901-0136UP")</f>
        <v>http://dx.doi.org/10.1164/rccm.200901-0136UP</v>
      </c>
      <c r="BG1335" t="s">
        <v>74</v>
      </c>
      <c r="BH1335" t="s">
        <v>74</v>
      </c>
      <c r="BI1335">
        <v>7</v>
      </c>
      <c r="BJ1335" t="s">
        <v>341</v>
      </c>
      <c r="BK1335" t="s">
        <v>101</v>
      </c>
      <c r="BL1335" t="s">
        <v>342</v>
      </c>
      <c r="BM1335" t="s">
        <v>18091</v>
      </c>
      <c r="BN1335">
        <v>19351872</v>
      </c>
      <c r="BO1335" t="s">
        <v>74</v>
      </c>
      <c r="BP1335" t="s">
        <v>74</v>
      </c>
      <c r="BQ1335" t="s">
        <v>74</v>
      </c>
      <c r="BR1335" t="s">
        <v>104</v>
      </c>
      <c r="BS1335" t="s">
        <v>18090</v>
      </c>
      <c r="BT1335" t="str">
        <f>HYPERLINK("https%3A%2F%2Fwww.webofscience.com%2Fwos%2Fwoscc%2Ffull-record%2FWOS:000265251500005","View Full Record in Web of Science")</f>
        <v>View Full Record in Web of Science</v>
      </c>
    </row>
    <row r="1336" spans="1:72" x14ac:dyDescent="0.25">
      <c r="A1336" t="s">
        <v>72</v>
      </c>
      <c r="B1336" t="s">
        <v>18089</v>
      </c>
      <c r="C1336" t="s">
        <v>74</v>
      </c>
      <c r="D1336" t="s">
        <v>74</v>
      </c>
      <c r="E1336" t="s">
        <v>74</v>
      </c>
      <c r="F1336" t="s">
        <v>18088</v>
      </c>
      <c r="G1336" t="s">
        <v>74</v>
      </c>
      <c r="H1336" t="s">
        <v>74</v>
      </c>
      <c r="I1336" t="s">
        <v>18087</v>
      </c>
      <c r="J1336" t="s">
        <v>251</v>
      </c>
      <c r="K1336" t="s">
        <v>74</v>
      </c>
      <c r="L1336" t="s">
        <v>74</v>
      </c>
      <c r="M1336" t="s">
        <v>78</v>
      </c>
      <c r="N1336" t="s">
        <v>79</v>
      </c>
      <c r="O1336" t="s">
        <v>74</v>
      </c>
      <c r="P1336" t="s">
        <v>74</v>
      </c>
      <c r="Q1336" t="s">
        <v>74</v>
      </c>
      <c r="R1336" t="s">
        <v>74</v>
      </c>
      <c r="S1336" t="s">
        <v>74</v>
      </c>
      <c r="T1336" t="s">
        <v>18086</v>
      </c>
      <c r="U1336" t="s">
        <v>18085</v>
      </c>
      <c r="V1336" t="s">
        <v>18084</v>
      </c>
      <c r="W1336" t="s">
        <v>18083</v>
      </c>
      <c r="X1336" t="s">
        <v>18082</v>
      </c>
      <c r="Y1336" t="s">
        <v>18081</v>
      </c>
      <c r="Z1336" t="s">
        <v>18080</v>
      </c>
      <c r="AA1336" t="s">
        <v>18079</v>
      </c>
      <c r="AB1336" t="s">
        <v>18078</v>
      </c>
      <c r="AC1336" t="s">
        <v>18077</v>
      </c>
      <c r="AD1336" t="s">
        <v>18076</v>
      </c>
      <c r="AE1336" t="s">
        <v>18075</v>
      </c>
      <c r="AF1336" t="s">
        <v>74</v>
      </c>
      <c r="AG1336">
        <v>34</v>
      </c>
      <c r="AH1336">
        <v>183</v>
      </c>
      <c r="AI1336">
        <v>188</v>
      </c>
      <c r="AJ1336">
        <v>1</v>
      </c>
      <c r="AK1336">
        <v>9</v>
      </c>
      <c r="AL1336" t="s">
        <v>122</v>
      </c>
      <c r="AM1336" t="s">
        <v>123</v>
      </c>
      <c r="AN1336" t="s">
        <v>124</v>
      </c>
      <c r="AO1336" t="s">
        <v>258</v>
      </c>
      <c r="AP1336" t="s">
        <v>259</v>
      </c>
      <c r="AQ1336" t="s">
        <v>74</v>
      </c>
      <c r="AR1336" t="s">
        <v>251</v>
      </c>
      <c r="AS1336" t="s">
        <v>260</v>
      </c>
      <c r="AT1336" t="s">
        <v>18074</v>
      </c>
      <c r="AU1336">
        <v>2009</v>
      </c>
      <c r="AV1336">
        <v>119</v>
      </c>
      <c r="AW1336">
        <v>13</v>
      </c>
      <c r="AX1336" t="s">
        <v>74</v>
      </c>
      <c r="AY1336" t="s">
        <v>74</v>
      </c>
      <c r="AZ1336" t="s">
        <v>74</v>
      </c>
      <c r="BA1336" t="s">
        <v>74</v>
      </c>
      <c r="BB1336">
        <v>1747</v>
      </c>
      <c r="BC1336">
        <v>1757</v>
      </c>
      <c r="BD1336" t="s">
        <v>74</v>
      </c>
      <c r="BE1336" t="s">
        <v>18073</v>
      </c>
      <c r="BF1336" t="str">
        <f>HYPERLINK("http://dx.doi.org/10.1161/CIRCULATIONAHA.108.800938","http://dx.doi.org/10.1161/CIRCULATIONAHA.108.800938")</f>
        <v>http://dx.doi.org/10.1161/CIRCULATIONAHA.108.800938</v>
      </c>
      <c r="BG1336" t="s">
        <v>74</v>
      </c>
      <c r="BH1336" t="s">
        <v>74</v>
      </c>
      <c r="BI1336">
        <v>11</v>
      </c>
      <c r="BJ1336" t="s">
        <v>263</v>
      </c>
      <c r="BK1336" t="s">
        <v>101</v>
      </c>
      <c r="BL1336" t="s">
        <v>133</v>
      </c>
      <c r="BM1336" t="s">
        <v>18072</v>
      </c>
      <c r="BN1336">
        <v>19307479</v>
      </c>
      <c r="BO1336" t="s">
        <v>1194</v>
      </c>
      <c r="BP1336" t="s">
        <v>74</v>
      </c>
      <c r="BQ1336" t="s">
        <v>74</v>
      </c>
      <c r="BR1336" t="s">
        <v>104</v>
      </c>
      <c r="BS1336" t="s">
        <v>18071</v>
      </c>
      <c r="BT1336" t="str">
        <f>HYPERLINK("https%3A%2F%2Fwww.webofscience.com%2Fwos%2Fwoscc%2Ffull-record%2FWOS:000264928800009","View Full Record in Web of Science")</f>
        <v>View Full Record in Web of Science</v>
      </c>
    </row>
    <row r="1337" spans="1:72" x14ac:dyDescent="0.25">
      <c r="A1337" t="s">
        <v>72</v>
      </c>
      <c r="B1337" t="s">
        <v>18070</v>
      </c>
      <c r="C1337" t="s">
        <v>74</v>
      </c>
      <c r="D1337" t="s">
        <v>74</v>
      </c>
      <c r="E1337" t="s">
        <v>74</v>
      </c>
      <c r="F1337" t="s">
        <v>18069</v>
      </c>
      <c r="G1337" t="s">
        <v>74</v>
      </c>
      <c r="H1337" t="s">
        <v>74</v>
      </c>
      <c r="I1337" t="s">
        <v>18068</v>
      </c>
      <c r="J1337" t="s">
        <v>251</v>
      </c>
      <c r="K1337" t="s">
        <v>74</v>
      </c>
      <c r="L1337" t="s">
        <v>74</v>
      </c>
      <c r="M1337" t="s">
        <v>78</v>
      </c>
      <c r="N1337" t="s">
        <v>79</v>
      </c>
      <c r="O1337" t="s">
        <v>74</v>
      </c>
      <c r="P1337" t="s">
        <v>74</v>
      </c>
      <c r="Q1337" t="s">
        <v>74</v>
      </c>
      <c r="R1337" t="s">
        <v>74</v>
      </c>
      <c r="S1337" t="s">
        <v>74</v>
      </c>
      <c r="T1337" t="s">
        <v>18067</v>
      </c>
      <c r="U1337" t="s">
        <v>18066</v>
      </c>
      <c r="V1337" t="s">
        <v>18065</v>
      </c>
      <c r="W1337" t="s">
        <v>18064</v>
      </c>
      <c r="X1337" t="s">
        <v>18063</v>
      </c>
      <c r="Y1337" t="s">
        <v>18062</v>
      </c>
      <c r="Z1337" t="s">
        <v>12805</v>
      </c>
      <c r="AA1337" t="s">
        <v>18061</v>
      </c>
      <c r="AB1337" t="s">
        <v>18060</v>
      </c>
      <c r="AC1337" t="s">
        <v>74</v>
      </c>
      <c r="AD1337" t="s">
        <v>74</v>
      </c>
      <c r="AE1337" t="s">
        <v>74</v>
      </c>
      <c r="AF1337" t="s">
        <v>74</v>
      </c>
      <c r="AG1337">
        <v>41</v>
      </c>
      <c r="AH1337">
        <v>139</v>
      </c>
      <c r="AI1337">
        <v>144</v>
      </c>
      <c r="AJ1337">
        <v>0</v>
      </c>
      <c r="AK1337">
        <v>2</v>
      </c>
      <c r="AL1337" t="s">
        <v>122</v>
      </c>
      <c r="AM1337" t="s">
        <v>123</v>
      </c>
      <c r="AN1337" t="s">
        <v>124</v>
      </c>
      <c r="AO1337" t="s">
        <v>258</v>
      </c>
      <c r="AP1337" t="s">
        <v>259</v>
      </c>
      <c r="AQ1337" t="s">
        <v>74</v>
      </c>
      <c r="AR1337" t="s">
        <v>251</v>
      </c>
      <c r="AS1337" t="s">
        <v>260</v>
      </c>
      <c r="AT1337" t="s">
        <v>18059</v>
      </c>
      <c r="AU1337">
        <v>2009</v>
      </c>
      <c r="AV1337">
        <v>119</v>
      </c>
      <c r="AW1337">
        <v>11</v>
      </c>
      <c r="AX1337" t="s">
        <v>74</v>
      </c>
      <c r="AY1337" t="s">
        <v>74</v>
      </c>
      <c r="AZ1337" t="s">
        <v>74</v>
      </c>
      <c r="BA1337" t="s">
        <v>74</v>
      </c>
      <c r="BB1337">
        <v>1518</v>
      </c>
      <c r="BC1337">
        <v>1523</v>
      </c>
      <c r="BD1337" t="s">
        <v>74</v>
      </c>
      <c r="BE1337" t="s">
        <v>18058</v>
      </c>
      <c r="BF1337" t="str">
        <f>HYPERLINK("http://dx.doi.org/10.1161/CIRCULATIONAHA.108.803221","http://dx.doi.org/10.1161/CIRCULATIONAHA.108.803221")</f>
        <v>http://dx.doi.org/10.1161/CIRCULATIONAHA.108.803221</v>
      </c>
      <c r="BG1337" t="s">
        <v>74</v>
      </c>
      <c r="BH1337" t="s">
        <v>74</v>
      </c>
      <c r="BI1337">
        <v>6</v>
      </c>
      <c r="BJ1337" t="s">
        <v>263</v>
      </c>
      <c r="BK1337" t="s">
        <v>101</v>
      </c>
      <c r="BL1337" t="s">
        <v>133</v>
      </c>
      <c r="BM1337" t="s">
        <v>18057</v>
      </c>
      <c r="BN1337">
        <v>19273723</v>
      </c>
      <c r="BO1337" t="s">
        <v>74</v>
      </c>
      <c r="BP1337" t="s">
        <v>74</v>
      </c>
      <c r="BQ1337" t="s">
        <v>74</v>
      </c>
      <c r="BR1337" t="s">
        <v>104</v>
      </c>
      <c r="BS1337" t="s">
        <v>18056</v>
      </c>
      <c r="BT1337" t="str">
        <f>HYPERLINK("https%3A%2F%2Fwww.webofscience.com%2Fwos%2Fwoscc%2Ffull-record%2FWOS:000264460800009","View Full Record in Web of Science")</f>
        <v>View Full Record in Web of Science</v>
      </c>
    </row>
    <row r="1338" spans="1:72" x14ac:dyDescent="0.25">
      <c r="A1338" t="s">
        <v>72</v>
      </c>
      <c r="B1338" t="s">
        <v>18055</v>
      </c>
      <c r="C1338" t="s">
        <v>74</v>
      </c>
      <c r="D1338" t="s">
        <v>74</v>
      </c>
      <c r="E1338" t="s">
        <v>74</v>
      </c>
      <c r="F1338" t="s">
        <v>18054</v>
      </c>
      <c r="G1338" t="s">
        <v>74</v>
      </c>
      <c r="H1338" t="s">
        <v>74</v>
      </c>
      <c r="I1338" t="s">
        <v>18053</v>
      </c>
      <c r="J1338" t="s">
        <v>216</v>
      </c>
      <c r="K1338" t="s">
        <v>74</v>
      </c>
      <c r="L1338" t="s">
        <v>74</v>
      </c>
      <c r="M1338" t="s">
        <v>78</v>
      </c>
      <c r="N1338" t="s">
        <v>79</v>
      </c>
      <c r="O1338" t="s">
        <v>74</v>
      </c>
      <c r="P1338" t="s">
        <v>74</v>
      </c>
      <c r="Q1338" t="s">
        <v>74</v>
      </c>
      <c r="R1338" t="s">
        <v>74</v>
      </c>
      <c r="S1338" t="s">
        <v>74</v>
      </c>
      <c r="T1338" t="s">
        <v>18052</v>
      </c>
      <c r="U1338" t="s">
        <v>18051</v>
      </c>
      <c r="V1338" t="s">
        <v>18050</v>
      </c>
      <c r="W1338" t="s">
        <v>18049</v>
      </c>
      <c r="X1338" t="s">
        <v>18048</v>
      </c>
      <c r="Y1338" t="s">
        <v>18047</v>
      </c>
      <c r="Z1338" t="s">
        <v>18046</v>
      </c>
      <c r="AA1338" t="s">
        <v>18045</v>
      </c>
      <c r="AB1338" t="s">
        <v>18044</v>
      </c>
      <c r="AC1338" t="s">
        <v>74</v>
      </c>
      <c r="AD1338" t="s">
        <v>74</v>
      </c>
      <c r="AE1338" t="s">
        <v>74</v>
      </c>
      <c r="AF1338" t="s">
        <v>74</v>
      </c>
      <c r="AG1338">
        <v>19</v>
      </c>
      <c r="AH1338">
        <v>52</v>
      </c>
      <c r="AI1338">
        <v>54</v>
      </c>
      <c r="AJ1338">
        <v>0</v>
      </c>
      <c r="AK1338">
        <v>1</v>
      </c>
      <c r="AL1338" t="s">
        <v>219</v>
      </c>
      <c r="AM1338" t="s">
        <v>220</v>
      </c>
      <c r="AN1338" t="s">
        <v>221</v>
      </c>
      <c r="AO1338" t="s">
        <v>222</v>
      </c>
      <c r="AP1338" t="s">
        <v>74</v>
      </c>
      <c r="AQ1338" t="s">
        <v>74</v>
      </c>
      <c r="AR1338" t="s">
        <v>224</v>
      </c>
      <c r="AS1338" t="s">
        <v>225</v>
      </c>
      <c r="AT1338" t="s">
        <v>98</v>
      </c>
      <c r="AU1338">
        <v>2009</v>
      </c>
      <c r="AV1338">
        <v>33</v>
      </c>
      <c r="AW1338">
        <v>3</v>
      </c>
      <c r="AX1338" t="s">
        <v>74</v>
      </c>
      <c r="AY1338" t="s">
        <v>74</v>
      </c>
      <c r="AZ1338" t="s">
        <v>74</v>
      </c>
      <c r="BA1338" t="s">
        <v>74</v>
      </c>
      <c r="BB1338">
        <v>684</v>
      </c>
      <c r="BC1338">
        <v>688</v>
      </c>
      <c r="BD1338" t="s">
        <v>74</v>
      </c>
      <c r="BE1338" t="s">
        <v>18043</v>
      </c>
      <c r="BF1338" t="str">
        <f>HYPERLINK("http://dx.doi.org/10.1183/09031936.00086308","http://dx.doi.org/10.1183/09031936.00086308")</f>
        <v>http://dx.doi.org/10.1183/09031936.00086308</v>
      </c>
      <c r="BG1338" t="s">
        <v>74</v>
      </c>
      <c r="BH1338" t="s">
        <v>74</v>
      </c>
      <c r="BI1338">
        <v>5</v>
      </c>
      <c r="BJ1338" t="s">
        <v>228</v>
      </c>
      <c r="BK1338" t="s">
        <v>101</v>
      </c>
      <c r="BL1338" t="s">
        <v>228</v>
      </c>
      <c r="BM1338" t="s">
        <v>17996</v>
      </c>
      <c r="BN1338">
        <v>19251806</v>
      </c>
      <c r="BO1338" t="s">
        <v>1194</v>
      </c>
      <c r="BP1338" t="s">
        <v>74</v>
      </c>
      <c r="BQ1338" t="s">
        <v>74</v>
      </c>
      <c r="BR1338" t="s">
        <v>104</v>
      </c>
      <c r="BS1338" t="s">
        <v>18042</v>
      </c>
      <c r="BT1338" t="str">
        <f>HYPERLINK("https%3A%2F%2Fwww.webofscience.com%2Fwos%2Fwoscc%2Ffull-record%2FWOS:000263942400033","View Full Record in Web of Science")</f>
        <v>View Full Record in Web of Science</v>
      </c>
    </row>
    <row r="1339" spans="1:72" x14ac:dyDescent="0.25">
      <c r="A1339" t="s">
        <v>72</v>
      </c>
      <c r="B1339" t="s">
        <v>18041</v>
      </c>
      <c r="C1339" t="s">
        <v>74</v>
      </c>
      <c r="D1339" t="s">
        <v>74</v>
      </c>
      <c r="E1339" t="s">
        <v>74</v>
      </c>
      <c r="F1339" t="s">
        <v>18040</v>
      </c>
      <c r="G1339" t="s">
        <v>74</v>
      </c>
      <c r="H1339" t="s">
        <v>74</v>
      </c>
      <c r="I1339" t="s">
        <v>18039</v>
      </c>
      <c r="J1339" t="s">
        <v>1529</v>
      </c>
      <c r="K1339" t="s">
        <v>74</v>
      </c>
      <c r="L1339" t="s">
        <v>74</v>
      </c>
      <c r="M1339" t="s">
        <v>1349</v>
      </c>
      <c r="N1339" t="s">
        <v>140</v>
      </c>
      <c r="O1339" t="s">
        <v>74</v>
      </c>
      <c r="P1339" t="s">
        <v>74</v>
      </c>
      <c r="Q1339" t="s">
        <v>74</v>
      </c>
      <c r="R1339" t="s">
        <v>74</v>
      </c>
      <c r="S1339" t="s">
        <v>74</v>
      </c>
      <c r="T1339" t="s">
        <v>74</v>
      </c>
      <c r="U1339" t="s">
        <v>74</v>
      </c>
      <c r="V1339" t="s">
        <v>74</v>
      </c>
      <c r="W1339" t="s">
        <v>18038</v>
      </c>
      <c r="X1339" t="s">
        <v>18037</v>
      </c>
      <c r="Y1339" t="s">
        <v>18036</v>
      </c>
      <c r="Z1339" t="s">
        <v>18035</v>
      </c>
      <c r="AA1339" t="s">
        <v>5351</v>
      </c>
      <c r="AB1339" t="s">
        <v>257</v>
      </c>
      <c r="AC1339" t="s">
        <v>74</v>
      </c>
      <c r="AD1339" t="s">
        <v>74</v>
      </c>
      <c r="AE1339" t="s">
        <v>74</v>
      </c>
      <c r="AF1339" t="s">
        <v>74</v>
      </c>
      <c r="AG1339">
        <v>13</v>
      </c>
      <c r="AH1339">
        <v>0</v>
      </c>
      <c r="AI1339">
        <v>0</v>
      </c>
      <c r="AJ1339">
        <v>0</v>
      </c>
      <c r="AK1339">
        <v>0</v>
      </c>
      <c r="AL1339" t="s">
        <v>1358</v>
      </c>
      <c r="AM1339" t="s">
        <v>1359</v>
      </c>
      <c r="AN1339" t="s">
        <v>1360</v>
      </c>
      <c r="AO1339" t="s">
        <v>1533</v>
      </c>
      <c r="AP1339" t="s">
        <v>1534</v>
      </c>
      <c r="AQ1339" t="s">
        <v>74</v>
      </c>
      <c r="AR1339" t="s">
        <v>1535</v>
      </c>
      <c r="AS1339" t="s">
        <v>1536</v>
      </c>
      <c r="AT1339" t="s">
        <v>98</v>
      </c>
      <c r="AU1339">
        <v>2009</v>
      </c>
      <c r="AV1339">
        <v>38</v>
      </c>
      <c r="AW1339">
        <v>3</v>
      </c>
      <c r="AX1339" t="s">
        <v>74</v>
      </c>
      <c r="AY1339" t="s">
        <v>74</v>
      </c>
      <c r="AZ1339" t="s">
        <v>74</v>
      </c>
      <c r="BA1339" t="s">
        <v>74</v>
      </c>
      <c r="BB1339">
        <v>398</v>
      </c>
      <c r="BC1339">
        <v>399</v>
      </c>
      <c r="BD1339" t="s">
        <v>74</v>
      </c>
      <c r="BE1339" t="s">
        <v>18034</v>
      </c>
      <c r="BF1339" t="str">
        <f>HYPERLINK("http://dx.doi.org/10.1016/j.lpm.2009.01.005","http://dx.doi.org/10.1016/j.lpm.2009.01.005")</f>
        <v>http://dx.doi.org/10.1016/j.lpm.2009.01.005</v>
      </c>
      <c r="BG1339" t="s">
        <v>74</v>
      </c>
      <c r="BH1339" t="s">
        <v>74</v>
      </c>
      <c r="BI1339">
        <v>2</v>
      </c>
      <c r="BJ1339" t="s">
        <v>1152</v>
      </c>
      <c r="BK1339" t="s">
        <v>101</v>
      </c>
      <c r="BL1339" t="s">
        <v>1153</v>
      </c>
      <c r="BM1339" t="s">
        <v>18033</v>
      </c>
      <c r="BN1339">
        <v>19195819</v>
      </c>
      <c r="BO1339" t="s">
        <v>74</v>
      </c>
      <c r="BP1339" t="s">
        <v>74</v>
      </c>
      <c r="BQ1339" t="s">
        <v>74</v>
      </c>
      <c r="BR1339" t="s">
        <v>104</v>
      </c>
      <c r="BS1339" t="s">
        <v>18032</v>
      </c>
      <c r="BT1339" t="str">
        <f>HYPERLINK("https%3A%2F%2Fwww.webofscience.com%2Fwos%2Fwoscc%2Ffull-record%2FWOS:000264584200009","View Full Record in Web of Science")</f>
        <v>View Full Record in Web of Science</v>
      </c>
    </row>
    <row r="1340" spans="1:72" x14ac:dyDescent="0.25">
      <c r="A1340" t="s">
        <v>72</v>
      </c>
      <c r="B1340" t="s">
        <v>18031</v>
      </c>
      <c r="C1340" t="s">
        <v>74</v>
      </c>
      <c r="D1340" t="s">
        <v>74</v>
      </c>
      <c r="E1340" t="s">
        <v>74</v>
      </c>
      <c r="F1340" t="s">
        <v>18030</v>
      </c>
      <c r="G1340" t="s">
        <v>74</v>
      </c>
      <c r="H1340" t="s">
        <v>74</v>
      </c>
      <c r="I1340" t="s">
        <v>18029</v>
      </c>
      <c r="J1340" t="s">
        <v>324</v>
      </c>
      <c r="K1340" t="s">
        <v>74</v>
      </c>
      <c r="L1340" t="s">
        <v>74</v>
      </c>
      <c r="M1340" t="s">
        <v>78</v>
      </c>
      <c r="N1340" t="s">
        <v>79</v>
      </c>
      <c r="O1340" t="s">
        <v>74</v>
      </c>
      <c r="P1340" t="s">
        <v>74</v>
      </c>
      <c r="Q1340" t="s">
        <v>74</v>
      </c>
      <c r="R1340" t="s">
        <v>74</v>
      </c>
      <c r="S1340" t="s">
        <v>74</v>
      </c>
      <c r="T1340" t="s">
        <v>18028</v>
      </c>
      <c r="U1340" t="s">
        <v>18027</v>
      </c>
      <c r="V1340" t="s">
        <v>18026</v>
      </c>
      <c r="W1340" t="s">
        <v>18025</v>
      </c>
      <c r="X1340" t="s">
        <v>18024</v>
      </c>
      <c r="Y1340" t="s">
        <v>16025</v>
      </c>
      <c r="Z1340" t="s">
        <v>18023</v>
      </c>
      <c r="AA1340" t="s">
        <v>18022</v>
      </c>
      <c r="AB1340" t="s">
        <v>18021</v>
      </c>
      <c r="AC1340" t="s">
        <v>74</v>
      </c>
      <c r="AD1340" t="s">
        <v>74</v>
      </c>
      <c r="AE1340" t="s">
        <v>74</v>
      </c>
      <c r="AF1340" t="s">
        <v>74</v>
      </c>
      <c r="AG1340">
        <v>36</v>
      </c>
      <c r="AH1340">
        <v>88</v>
      </c>
      <c r="AI1340">
        <v>93</v>
      </c>
      <c r="AJ1340">
        <v>0</v>
      </c>
      <c r="AK1340">
        <v>0</v>
      </c>
      <c r="AL1340" t="s">
        <v>92</v>
      </c>
      <c r="AM1340" t="s">
        <v>93</v>
      </c>
      <c r="AN1340" t="s">
        <v>94</v>
      </c>
      <c r="AO1340" t="s">
        <v>337</v>
      </c>
      <c r="AP1340" t="s">
        <v>338</v>
      </c>
      <c r="AQ1340" t="s">
        <v>74</v>
      </c>
      <c r="AR1340" t="s">
        <v>324</v>
      </c>
      <c r="AS1340" t="s">
        <v>339</v>
      </c>
      <c r="AT1340" t="s">
        <v>98</v>
      </c>
      <c r="AU1340">
        <v>2009</v>
      </c>
      <c r="AV1340">
        <v>135</v>
      </c>
      <c r="AW1340">
        <v>3</v>
      </c>
      <c r="AX1340" t="s">
        <v>74</v>
      </c>
      <c r="AY1340" t="s">
        <v>74</v>
      </c>
      <c r="AZ1340" t="s">
        <v>74</v>
      </c>
      <c r="BA1340" t="s">
        <v>74</v>
      </c>
      <c r="BB1340">
        <v>760</v>
      </c>
      <c r="BC1340">
        <v>768</v>
      </c>
      <c r="BD1340" t="s">
        <v>74</v>
      </c>
      <c r="BE1340" t="s">
        <v>18020</v>
      </c>
      <c r="BF1340" t="str">
        <f>HYPERLINK("http://dx.doi.org/10.1378/chest.08-0904","http://dx.doi.org/10.1378/chest.08-0904")</f>
        <v>http://dx.doi.org/10.1378/chest.08-0904</v>
      </c>
      <c r="BG1340" t="s">
        <v>74</v>
      </c>
      <c r="BH1340" t="s">
        <v>74</v>
      </c>
      <c r="BI1340">
        <v>9</v>
      </c>
      <c r="BJ1340" t="s">
        <v>341</v>
      </c>
      <c r="BK1340" t="s">
        <v>101</v>
      </c>
      <c r="BL1340" t="s">
        <v>342</v>
      </c>
      <c r="BM1340" t="s">
        <v>18019</v>
      </c>
      <c r="BN1340">
        <v>18849403</v>
      </c>
      <c r="BO1340" t="s">
        <v>74</v>
      </c>
      <c r="BP1340" t="s">
        <v>74</v>
      </c>
      <c r="BQ1340" t="s">
        <v>74</v>
      </c>
      <c r="BR1340" t="s">
        <v>104</v>
      </c>
      <c r="BS1340" t="s">
        <v>18018</v>
      </c>
      <c r="BT1340" t="str">
        <f>HYPERLINK("https%3A%2F%2Fwww.webofscience.com%2Fwos%2Fwoscc%2Ffull-record%2FWOS:000264310500025","View Full Record in Web of Science")</f>
        <v>View Full Record in Web of Science</v>
      </c>
    </row>
    <row r="1341" spans="1:72" x14ac:dyDescent="0.25">
      <c r="A1341" t="s">
        <v>72</v>
      </c>
      <c r="B1341" t="s">
        <v>18017</v>
      </c>
      <c r="C1341" t="s">
        <v>74</v>
      </c>
      <c r="D1341" t="s">
        <v>74</v>
      </c>
      <c r="E1341" t="s">
        <v>74</v>
      </c>
      <c r="F1341" t="s">
        <v>18016</v>
      </c>
      <c r="G1341" t="s">
        <v>74</v>
      </c>
      <c r="H1341" t="s">
        <v>18015</v>
      </c>
      <c r="I1341" t="s">
        <v>18014</v>
      </c>
      <c r="J1341" t="s">
        <v>2355</v>
      </c>
      <c r="K1341" t="s">
        <v>74</v>
      </c>
      <c r="L1341" t="s">
        <v>74</v>
      </c>
      <c r="M1341" t="s">
        <v>78</v>
      </c>
      <c r="N1341" t="s">
        <v>79</v>
      </c>
      <c r="O1341" t="s">
        <v>74</v>
      </c>
      <c r="P1341" t="s">
        <v>74</v>
      </c>
      <c r="Q1341" t="s">
        <v>74</v>
      </c>
      <c r="R1341" t="s">
        <v>74</v>
      </c>
      <c r="S1341" t="s">
        <v>74</v>
      </c>
      <c r="T1341" t="s">
        <v>18013</v>
      </c>
      <c r="U1341" t="s">
        <v>18012</v>
      </c>
      <c r="V1341" t="s">
        <v>18011</v>
      </c>
      <c r="W1341" t="s">
        <v>18010</v>
      </c>
      <c r="X1341" t="s">
        <v>18009</v>
      </c>
      <c r="Y1341" t="s">
        <v>18008</v>
      </c>
      <c r="Z1341" t="s">
        <v>15594</v>
      </c>
      <c r="AA1341" t="s">
        <v>18007</v>
      </c>
      <c r="AB1341" t="s">
        <v>18006</v>
      </c>
      <c r="AC1341" t="s">
        <v>17912</v>
      </c>
      <c r="AD1341" t="s">
        <v>17912</v>
      </c>
      <c r="AE1341" t="s">
        <v>18005</v>
      </c>
      <c r="AF1341" t="s">
        <v>74</v>
      </c>
      <c r="AG1341">
        <v>15</v>
      </c>
      <c r="AH1341">
        <v>143</v>
      </c>
      <c r="AI1341">
        <v>154</v>
      </c>
      <c r="AJ1341">
        <v>0</v>
      </c>
      <c r="AK1341">
        <v>9</v>
      </c>
      <c r="AL1341" t="s">
        <v>1073</v>
      </c>
      <c r="AM1341" t="s">
        <v>1074</v>
      </c>
      <c r="AN1341" t="s">
        <v>1075</v>
      </c>
      <c r="AO1341" t="s">
        <v>2365</v>
      </c>
      <c r="AP1341" t="s">
        <v>2366</v>
      </c>
      <c r="AQ1341" t="s">
        <v>74</v>
      </c>
      <c r="AR1341" t="s">
        <v>2355</v>
      </c>
      <c r="AS1341" t="s">
        <v>2355</v>
      </c>
      <c r="AT1341" t="s">
        <v>98</v>
      </c>
      <c r="AU1341">
        <v>2009</v>
      </c>
      <c r="AV1341">
        <v>48</v>
      </c>
      <c r="AW1341">
        <v>3</v>
      </c>
      <c r="AX1341" t="s">
        <v>74</v>
      </c>
      <c r="AY1341" t="s">
        <v>74</v>
      </c>
      <c r="AZ1341" t="s">
        <v>74</v>
      </c>
      <c r="BA1341" t="s">
        <v>74</v>
      </c>
      <c r="BB1341">
        <v>304</v>
      </c>
      <c r="BC1341">
        <v>308</v>
      </c>
      <c r="BD1341" t="s">
        <v>74</v>
      </c>
      <c r="BE1341" t="s">
        <v>18004</v>
      </c>
      <c r="BF1341" t="str">
        <f>HYPERLINK("http://dx.doi.org/10.1093/rheumatology/ken488","http://dx.doi.org/10.1093/rheumatology/ken488")</f>
        <v>http://dx.doi.org/10.1093/rheumatology/ken488</v>
      </c>
      <c r="BG1341" t="s">
        <v>74</v>
      </c>
      <c r="BH1341" t="s">
        <v>74</v>
      </c>
      <c r="BI1341">
        <v>5</v>
      </c>
      <c r="BJ1341" t="s">
        <v>2369</v>
      </c>
      <c r="BK1341" t="s">
        <v>101</v>
      </c>
      <c r="BL1341" t="s">
        <v>2369</v>
      </c>
      <c r="BM1341" t="s">
        <v>18003</v>
      </c>
      <c r="BN1341">
        <v>19174571</v>
      </c>
      <c r="BO1341" t="s">
        <v>18002</v>
      </c>
      <c r="BP1341" t="s">
        <v>74</v>
      </c>
      <c r="BQ1341" t="s">
        <v>74</v>
      </c>
      <c r="BR1341" t="s">
        <v>104</v>
      </c>
      <c r="BS1341" t="s">
        <v>18001</v>
      </c>
      <c r="BT1341" t="str">
        <f>HYPERLINK("https%3A%2F%2Fwww.webofscience.com%2Fwos%2Fwoscc%2Ffull-record%2FWOS:000263603500021","View Full Record in Web of Science")</f>
        <v>View Full Record in Web of Science</v>
      </c>
    </row>
    <row r="1342" spans="1:72" x14ac:dyDescent="0.25">
      <c r="A1342" t="s">
        <v>72</v>
      </c>
      <c r="B1342" t="s">
        <v>1420</v>
      </c>
      <c r="C1342" t="s">
        <v>74</v>
      </c>
      <c r="D1342" t="s">
        <v>74</v>
      </c>
      <c r="E1342" t="s">
        <v>74</v>
      </c>
      <c r="F1342" t="s">
        <v>2255</v>
      </c>
      <c r="G1342" t="s">
        <v>74</v>
      </c>
      <c r="H1342" t="s">
        <v>74</v>
      </c>
      <c r="I1342" t="s">
        <v>18000</v>
      </c>
      <c r="J1342" t="s">
        <v>216</v>
      </c>
      <c r="K1342" t="s">
        <v>74</v>
      </c>
      <c r="L1342" t="s">
        <v>74</v>
      </c>
      <c r="M1342" t="s">
        <v>78</v>
      </c>
      <c r="N1342" t="s">
        <v>140</v>
      </c>
      <c r="O1342" t="s">
        <v>74</v>
      </c>
      <c r="P1342" t="s">
        <v>74</v>
      </c>
      <c r="Q1342" t="s">
        <v>74</v>
      </c>
      <c r="R1342" t="s">
        <v>74</v>
      </c>
      <c r="S1342" t="s">
        <v>74</v>
      </c>
      <c r="T1342" t="s">
        <v>74</v>
      </c>
      <c r="U1342" t="s">
        <v>74</v>
      </c>
      <c r="V1342" t="s">
        <v>74</v>
      </c>
      <c r="W1342" t="s">
        <v>17999</v>
      </c>
      <c r="X1342" t="s">
        <v>14590</v>
      </c>
      <c r="Y1342" t="s">
        <v>17998</v>
      </c>
      <c r="Z1342" t="s">
        <v>10573</v>
      </c>
      <c r="AA1342" t="s">
        <v>144</v>
      </c>
      <c r="AB1342" t="s">
        <v>257</v>
      </c>
      <c r="AC1342" t="s">
        <v>74</v>
      </c>
      <c r="AD1342" t="s">
        <v>74</v>
      </c>
      <c r="AE1342" t="s">
        <v>74</v>
      </c>
      <c r="AF1342" t="s">
        <v>74</v>
      </c>
      <c r="AG1342">
        <v>15</v>
      </c>
      <c r="AH1342">
        <v>6</v>
      </c>
      <c r="AI1342">
        <v>6</v>
      </c>
      <c r="AJ1342">
        <v>0</v>
      </c>
      <c r="AK1342">
        <v>0</v>
      </c>
      <c r="AL1342" t="s">
        <v>219</v>
      </c>
      <c r="AM1342" t="s">
        <v>220</v>
      </c>
      <c r="AN1342" t="s">
        <v>221</v>
      </c>
      <c r="AO1342" t="s">
        <v>222</v>
      </c>
      <c r="AP1342" t="s">
        <v>223</v>
      </c>
      <c r="AQ1342" t="s">
        <v>74</v>
      </c>
      <c r="AR1342" t="s">
        <v>224</v>
      </c>
      <c r="AS1342" t="s">
        <v>225</v>
      </c>
      <c r="AT1342" t="s">
        <v>98</v>
      </c>
      <c r="AU1342">
        <v>2009</v>
      </c>
      <c r="AV1342">
        <v>33</v>
      </c>
      <c r="AW1342">
        <v>3</v>
      </c>
      <c r="AX1342" t="s">
        <v>74</v>
      </c>
      <c r="AY1342" t="s">
        <v>74</v>
      </c>
      <c r="AZ1342" t="s">
        <v>74</v>
      </c>
      <c r="BA1342" t="s">
        <v>74</v>
      </c>
      <c r="BB1342">
        <v>466</v>
      </c>
      <c r="BC1342">
        <v>467</v>
      </c>
      <c r="BD1342" t="s">
        <v>74</v>
      </c>
      <c r="BE1342" t="s">
        <v>17997</v>
      </c>
      <c r="BF1342" t="str">
        <f>HYPERLINK("http://dx.doi.org/10.1183/09031936.00001509","http://dx.doi.org/10.1183/09031936.00001509")</f>
        <v>http://dx.doi.org/10.1183/09031936.00001509</v>
      </c>
      <c r="BG1342" t="s">
        <v>74</v>
      </c>
      <c r="BH1342" t="s">
        <v>74</v>
      </c>
      <c r="BI1342">
        <v>2</v>
      </c>
      <c r="BJ1342" t="s">
        <v>228</v>
      </c>
      <c r="BK1342" t="s">
        <v>101</v>
      </c>
      <c r="BL1342" t="s">
        <v>228</v>
      </c>
      <c r="BM1342" t="s">
        <v>17996</v>
      </c>
      <c r="BN1342">
        <v>19251794</v>
      </c>
      <c r="BO1342" t="s">
        <v>1194</v>
      </c>
      <c r="BP1342" t="s">
        <v>74</v>
      </c>
      <c r="BQ1342" t="s">
        <v>74</v>
      </c>
      <c r="BR1342" t="s">
        <v>104</v>
      </c>
      <c r="BS1342" t="s">
        <v>17995</v>
      </c>
      <c r="BT1342" t="str">
        <f>HYPERLINK("https%3A%2F%2Fwww.webofscience.com%2Fwos%2Fwoscc%2Ffull-record%2FWOS:000263942400005","View Full Record in Web of Science")</f>
        <v>View Full Record in Web of Science</v>
      </c>
    </row>
    <row r="1343" spans="1:72" x14ac:dyDescent="0.25">
      <c r="A1343" t="s">
        <v>72</v>
      </c>
      <c r="B1343" t="s">
        <v>17859</v>
      </c>
      <c r="C1343" t="s">
        <v>74</v>
      </c>
      <c r="D1343" t="s">
        <v>74</v>
      </c>
      <c r="E1343" t="s">
        <v>74</v>
      </c>
      <c r="F1343" t="s">
        <v>17994</v>
      </c>
      <c r="G1343" t="s">
        <v>74</v>
      </c>
      <c r="H1343" t="s">
        <v>74</v>
      </c>
      <c r="I1343" t="s">
        <v>17993</v>
      </c>
      <c r="J1343" t="s">
        <v>8916</v>
      </c>
      <c r="K1343" t="s">
        <v>74</v>
      </c>
      <c r="L1343" t="s">
        <v>74</v>
      </c>
      <c r="M1343" t="s">
        <v>78</v>
      </c>
      <c r="N1343" t="s">
        <v>79</v>
      </c>
      <c r="O1343" t="s">
        <v>74</v>
      </c>
      <c r="P1343" t="s">
        <v>74</v>
      </c>
      <c r="Q1343" t="s">
        <v>74</v>
      </c>
      <c r="R1343" t="s">
        <v>74</v>
      </c>
      <c r="S1343" t="s">
        <v>74</v>
      </c>
      <c r="T1343" t="s">
        <v>74</v>
      </c>
      <c r="U1343" t="s">
        <v>17992</v>
      </c>
      <c r="V1343" t="s">
        <v>17991</v>
      </c>
      <c r="W1343" t="s">
        <v>17990</v>
      </c>
      <c r="X1343" t="s">
        <v>17989</v>
      </c>
      <c r="Y1343" t="s">
        <v>17988</v>
      </c>
      <c r="Z1343" t="s">
        <v>7431</v>
      </c>
      <c r="AA1343" t="s">
        <v>17987</v>
      </c>
      <c r="AB1343" t="s">
        <v>17986</v>
      </c>
      <c r="AC1343" t="s">
        <v>17985</v>
      </c>
      <c r="AD1343" t="s">
        <v>17984</v>
      </c>
      <c r="AE1343" t="s">
        <v>17983</v>
      </c>
      <c r="AF1343" t="s">
        <v>74</v>
      </c>
      <c r="AG1343">
        <v>48</v>
      </c>
      <c r="AH1343">
        <v>164</v>
      </c>
      <c r="AI1343">
        <v>180</v>
      </c>
      <c r="AJ1343">
        <v>0</v>
      </c>
      <c r="AK1343">
        <v>10</v>
      </c>
      <c r="AL1343" t="s">
        <v>7942</v>
      </c>
      <c r="AM1343" t="s">
        <v>7943</v>
      </c>
      <c r="AN1343" t="s">
        <v>7944</v>
      </c>
      <c r="AO1343" t="s">
        <v>8927</v>
      </c>
      <c r="AP1343" t="s">
        <v>8928</v>
      </c>
      <c r="AQ1343" t="s">
        <v>74</v>
      </c>
      <c r="AR1343" t="s">
        <v>8929</v>
      </c>
      <c r="AS1343" t="s">
        <v>8930</v>
      </c>
      <c r="AT1343" t="s">
        <v>98</v>
      </c>
      <c r="AU1343">
        <v>2009</v>
      </c>
      <c r="AV1343">
        <v>119</v>
      </c>
      <c r="AW1343">
        <v>3</v>
      </c>
      <c r="AX1343" t="s">
        <v>74</v>
      </c>
      <c r="AY1343" t="s">
        <v>74</v>
      </c>
      <c r="AZ1343" t="s">
        <v>74</v>
      </c>
      <c r="BA1343" t="s">
        <v>74</v>
      </c>
      <c r="BB1343">
        <v>512</v>
      </c>
      <c r="BC1343">
        <v>523</v>
      </c>
      <c r="BD1343" t="s">
        <v>74</v>
      </c>
      <c r="BE1343" t="s">
        <v>17982</v>
      </c>
      <c r="BF1343" t="str">
        <f>HYPERLINK("http://dx.doi.org/10.1172/JCI35070","http://dx.doi.org/10.1172/JCI35070")</f>
        <v>http://dx.doi.org/10.1172/JCI35070</v>
      </c>
      <c r="BG1343" t="s">
        <v>74</v>
      </c>
      <c r="BH1343" t="s">
        <v>74</v>
      </c>
      <c r="BI1343">
        <v>12</v>
      </c>
      <c r="BJ1343" t="s">
        <v>2122</v>
      </c>
      <c r="BK1343" t="s">
        <v>101</v>
      </c>
      <c r="BL1343" t="s">
        <v>2123</v>
      </c>
      <c r="BM1343" t="s">
        <v>17981</v>
      </c>
      <c r="BN1343">
        <v>19197140</v>
      </c>
      <c r="BO1343" t="s">
        <v>7357</v>
      </c>
      <c r="BP1343" t="s">
        <v>74</v>
      </c>
      <c r="BQ1343" t="s">
        <v>74</v>
      </c>
      <c r="BR1343" t="s">
        <v>104</v>
      </c>
      <c r="BS1343" t="s">
        <v>17980</v>
      </c>
      <c r="BT1343" t="str">
        <f>HYPERLINK("https%3A%2F%2Fwww.webofscience.com%2Fwos%2Fwoscc%2Ffull-record%2FWOS:000263941000014","View Full Record in Web of Science")</f>
        <v>View Full Record in Web of Science</v>
      </c>
    </row>
    <row r="1344" spans="1:72" x14ac:dyDescent="0.25">
      <c r="A1344" t="s">
        <v>72</v>
      </c>
      <c r="B1344" t="s">
        <v>17979</v>
      </c>
      <c r="C1344" t="s">
        <v>74</v>
      </c>
      <c r="D1344" t="s">
        <v>74</v>
      </c>
      <c r="E1344" t="s">
        <v>74</v>
      </c>
      <c r="F1344" t="s">
        <v>17978</v>
      </c>
      <c r="G1344" t="s">
        <v>74</v>
      </c>
      <c r="H1344" t="s">
        <v>74</v>
      </c>
      <c r="I1344" t="s">
        <v>17977</v>
      </c>
      <c r="J1344" t="s">
        <v>5624</v>
      </c>
      <c r="K1344" t="s">
        <v>74</v>
      </c>
      <c r="L1344" t="s">
        <v>74</v>
      </c>
      <c r="M1344" t="s">
        <v>78</v>
      </c>
      <c r="N1344" t="s">
        <v>299</v>
      </c>
      <c r="O1344" t="s">
        <v>74</v>
      </c>
      <c r="P1344" t="s">
        <v>74</v>
      </c>
      <c r="Q1344" t="s">
        <v>74</v>
      </c>
      <c r="R1344" t="s">
        <v>74</v>
      </c>
      <c r="S1344" t="s">
        <v>74</v>
      </c>
      <c r="T1344" t="s">
        <v>17976</v>
      </c>
      <c r="U1344" t="s">
        <v>17975</v>
      </c>
      <c r="V1344" t="s">
        <v>17974</v>
      </c>
      <c r="W1344" t="s">
        <v>17973</v>
      </c>
      <c r="X1344" t="s">
        <v>17972</v>
      </c>
      <c r="Y1344" t="s">
        <v>17971</v>
      </c>
      <c r="Z1344" t="s">
        <v>74</v>
      </c>
      <c r="AA1344" t="s">
        <v>17970</v>
      </c>
      <c r="AB1344" t="s">
        <v>17969</v>
      </c>
      <c r="AC1344" t="s">
        <v>74</v>
      </c>
      <c r="AD1344" t="s">
        <v>74</v>
      </c>
      <c r="AE1344" t="s">
        <v>74</v>
      </c>
      <c r="AF1344" t="s">
        <v>74</v>
      </c>
      <c r="AG1344">
        <v>128</v>
      </c>
      <c r="AH1344">
        <v>42</v>
      </c>
      <c r="AI1344">
        <v>51</v>
      </c>
      <c r="AJ1344">
        <v>0</v>
      </c>
      <c r="AK1344">
        <v>7</v>
      </c>
      <c r="AL1344" t="s">
        <v>169</v>
      </c>
      <c r="AM1344" t="s">
        <v>170</v>
      </c>
      <c r="AN1344" t="s">
        <v>171</v>
      </c>
      <c r="AO1344" t="s">
        <v>5636</v>
      </c>
      <c r="AP1344" t="s">
        <v>5637</v>
      </c>
      <c r="AQ1344" t="s">
        <v>74</v>
      </c>
      <c r="AR1344" t="s">
        <v>5624</v>
      </c>
      <c r="AS1344" t="s">
        <v>601</v>
      </c>
      <c r="AT1344" t="s">
        <v>98</v>
      </c>
      <c r="AU1344">
        <v>2009</v>
      </c>
      <c r="AV1344">
        <v>64</v>
      </c>
      <c r="AW1344">
        <v>3</v>
      </c>
      <c r="AX1344" t="s">
        <v>74</v>
      </c>
      <c r="AY1344" t="s">
        <v>74</v>
      </c>
      <c r="AZ1344" t="s">
        <v>74</v>
      </c>
      <c r="BA1344" t="s">
        <v>74</v>
      </c>
      <c r="BB1344">
        <v>354</v>
      </c>
      <c r="BC1344">
        <v>367</v>
      </c>
      <c r="BD1344" t="s">
        <v>74</v>
      </c>
      <c r="BE1344" t="s">
        <v>17968</v>
      </c>
      <c r="BF1344" t="str">
        <f>HYPERLINK("http://dx.doi.org/10.1111/j.1398-9995.2009.01971.x","http://dx.doi.org/10.1111/j.1398-9995.2009.01971.x")</f>
        <v>http://dx.doi.org/10.1111/j.1398-9995.2009.01971.x</v>
      </c>
      <c r="BG1344" t="s">
        <v>74</v>
      </c>
      <c r="BH1344" t="s">
        <v>74</v>
      </c>
      <c r="BI1344">
        <v>14</v>
      </c>
      <c r="BJ1344" t="s">
        <v>3085</v>
      </c>
      <c r="BK1344" t="s">
        <v>101</v>
      </c>
      <c r="BL1344" t="s">
        <v>3085</v>
      </c>
      <c r="BM1344" t="s">
        <v>17967</v>
      </c>
      <c r="BN1344">
        <v>19210358</v>
      </c>
      <c r="BO1344" t="s">
        <v>1194</v>
      </c>
      <c r="BP1344" t="s">
        <v>74</v>
      </c>
      <c r="BQ1344" t="s">
        <v>74</v>
      </c>
      <c r="BR1344" t="s">
        <v>104</v>
      </c>
      <c r="BS1344" t="s">
        <v>17966</v>
      </c>
      <c r="BT1344" t="str">
        <f>HYPERLINK("https%3A%2F%2Fwww.webofscience.com%2Fwos%2Fwoscc%2Ffull-record%2FWOS:000263676500005","View Full Record in Web of Science")</f>
        <v>View Full Record in Web of Science</v>
      </c>
    </row>
    <row r="1345" spans="1:72" x14ac:dyDescent="0.25">
      <c r="A1345" t="s">
        <v>72</v>
      </c>
      <c r="B1345" t="s">
        <v>17965</v>
      </c>
      <c r="C1345" t="s">
        <v>74</v>
      </c>
      <c r="D1345" t="s">
        <v>74</v>
      </c>
      <c r="E1345" t="s">
        <v>74</v>
      </c>
      <c r="F1345" t="s">
        <v>17964</v>
      </c>
      <c r="G1345" t="s">
        <v>74</v>
      </c>
      <c r="H1345" t="s">
        <v>74</v>
      </c>
      <c r="I1345" t="s">
        <v>17963</v>
      </c>
      <c r="J1345" t="s">
        <v>5624</v>
      </c>
      <c r="K1345" t="s">
        <v>74</v>
      </c>
      <c r="L1345" t="s">
        <v>74</v>
      </c>
      <c r="M1345" t="s">
        <v>78</v>
      </c>
      <c r="N1345" t="s">
        <v>140</v>
      </c>
      <c r="O1345" t="s">
        <v>74</v>
      </c>
      <c r="P1345" t="s">
        <v>74</v>
      </c>
      <c r="Q1345" t="s">
        <v>74</v>
      </c>
      <c r="R1345" t="s">
        <v>74</v>
      </c>
      <c r="S1345" t="s">
        <v>74</v>
      </c>
      <c r="T1345" t="s">
        <v>74</v>
      </c>
      <c r="U1345" t="s">
        <v>17962</v>
      </c>
      <c r="V1345" t="s">
        <v>74</v>
      </c>
      <c r="W1345" t="s">
        <v>17961</v>
      </c>
      <c r="X1345" t="s">
        <v>17960</v>
      </c>
      <c r="Y1345" t="s">
        <v>7809</v>
      </c>
      <c r="Z1345" t="s">
        <v>74</v>
      </c>
      <c r="AA1345" t="s">
        <v>17959</v>
      </c>
      <c r="AB1345" t="s">
        <v>16896</v>
      </c>
      <c r="AC1345" t="s">
        <v>74</v>
      </c>
      <c r="AD1345" t="s">
        <v>74</v>
      </c>
      <c r="AE1345" t="s">
        <v>74</v>
      </c>
      <c r="AF1345" t="s">
        <v>74</v>
      </c>
      <c r="AG1345">
        <v>72</v>
      </c>
      <c r="AH1345">
        <v>9</v>
      </c>
      <c r="AI1345">
        <v>9</v>
      </c>
      <c r="AJ1345">
        <v>0</v>
      </c>
      <c r="AK1345">
        <v>8</v>
      </c>
      <c r="AL1345" t="s">
        <v>169</v>
      </c>
      <c r="AM1345" t="s">
        <v>170</v>
      </c>
      <c r="AN1345" t="s">
        <v>171</v>
      </c>
      <c r="AO1345" t="s">
        <v>5636</v>
      </c>
      <c r="AP1345" t="s">
        <v>5637</v>
      </c>
      <c r="AQ1345" t="s">
        <v>74</v>
      </c>
      <c r="AR1345" t="s">
        <v>5624</v>
      </c>
      <c r="AS1345" t="s">
        <v>601</v>
      </c>
      <c r="AT1345" t="s">
        <v>176</v>
      </c>
      <c r="AU1345">
        <v>2009</v>
      </c>
      <c r="AV1345">
        <v>64</v>
      </c>
      <c r="AW1345">
        <v>1</v>
      </c>
      <c r="AX1345" t="s">
        <v>74</v>
      </c>
      <c r="AY1345" t="s">
        <v>74</v>
      </c>
      <c r="AZ1345" t="s">
        <v>74</v>
      </c>
      <c r="BA1345" t="s">
        <v>74</v>
      </c>
      <c r="BB1345">
        <v>1</v>
      </c>
      <c r="BC1345">
        <v>4</v>
      </c>
      <c r="BD1345" t="s">
        <v>74</v>
      </c>
      <c r="BE1345" t="s">
        <v>17958</v>
      </c>
      <c r="BF1345" t="str">
        <f>HYPERLINK("http://dx.doi.org/10.1111/j.1398-9995.2008.01954.x","http://dx.doi.org/10.1111/j.1398-9995.2008.01954.x")</f>
        <v>http://dx.doi.org/10.1111/j.1398-9995.2008.01954.x</v>
      </c>
      <c r="BG1345" t="s">
        <v>74</v>
      </c>
      <c r="BH1345" t="s">
        <v>74</v>
      </c>
      <c r="BI1345">
        <v>4</v>
      </c>
      <c r="BJ1345" t="s">
        <v>3085</v>
      </c>
      <c r="BK1345" t="s">
        <v>101</v>
      </c>
      <c r="BL1345" t="s">
        <v>3085</v>
      </c>
      <c r="BM1345" t="s">
        <v>17861</v>
      </c>
      <c r="BN1345">
        <v>19132972</v>
      </c>
      <c r="BO1345" t="s">
        <v>1194</v>
      </c>
      <c r="BP1345" t="s">
        <v>74</v>
      </c>
      <c r="BQ1345" t="s">
        <v>74</v>
      </c>
      <c r="BR1345" t="s">
        <v>104</v>
      </c>
      <c r="BS1345" t="s">
        <v>17957</v>
      </c>
      <c r="BT1345" t="str">
        <f>HYPERLINK("https%3A%2F%2Fwww.webofscience.com%2Fwos%2Fwoscc%2Ffull-record%2FWOS:000261974400001","View Full Record in Web of Science")</f>
        <v>View Full Record in Web of Science</v>
      </c>
    </row>
    <row r="1346" spans="1:72" x14ac:dyDescent="0.25">
      <c r="A1346" t="s">
        <v>72</v>
      </c>
      <c r="B1346" t="s">
        <v>17956</v>
      </c>
      <c r="C1346" t="s">
        <v>74</v>
      </c>
      <c r="D1346" t="s">
        <v>74</v>
      </c>
      <c r="E1346" t="s">
        <v>74</v>
      </c>
      <c r="F1346" t="s">
        <v>17955</v>
      </c>
      <c r="G1346" t="s">
        <v>74</v>
      </c>
      <c r="H1346" t="s">
        <v>74</v>
      </c>
      <c r="I1346" t="s">
        <v>17954</v>
      </c>
      <c r="J1346" t="s">
        <v>637</v>
      </c>
      <c r="K1346" t="s">
        <v>74</v>
      </c>
      <c r="L1346" t="s">
        <v>74</v>
      </c>
      <c r="M1346" t="s">
        <v>78</v>
      </c>
      <c r="N1346" t="s">
        <v>52</v>
      </c>
      <c r="O1346" t="s">
        <v>74</v>
      </c>
      <c r="P1346" t="s">
        <v>74</v>
      </c>
      <c r="Q1346" t="s">
        <v>74</v>
      </c>
      <c r="R1346" t="s">
        <v>74</v>
      </c>
      <c r="S1346" t="s">
        <v>74</v>
      </c>
      <c r="T1346" t="s">
        <v>74</v>
      </c>
      <c r="U1346" t="s">
        <v>74</v>
      </c>
      <c r="V1346" t="s">
        <v>74</v>
      </c>
      <c r="W1346" t="s">
        <v>17953</v>
      </c>
      <c r="X1346" t="s">
        <v>17952</v>
      </c>
      <c r="Y1346" t="s">
        <v>74</v>
      </c>
      <c r="Z1346" t="s">
        <v>17951</v>
      </c>
      <c r="AA1346" t="s">
        <v>17950</v>
      </c>
      <c r="AB1346" t="s">
        <v>74</v>
      </c>
      <c r="AC1346" t="s">
        <v>74</v>
      </c>
      <c r="AD1346" t="s">
        <v>74</v>
      </c>
      <c r="AE1346" t="s">
        <v>74</v>
      </c>
      <c r="AF1346" t="s">
        <v>74</v>
      </c>
      <c r="AG1346">
        <v>0</v>
      </c>
      <c r="AH1346">
        <v>0</v>
      </c>
      <c r="AI1346">
        <v>0</v>
      </c>
      <c r="AJ1346">
        <v>0</v>
      </c>
      <c r="AK1346">
        <v>0</v>
      </c>
      <c r="AL1346" t="s">
        <v>649</v>
      </c>
      <c r="AM1346" t="s">
        <v>486</v>
      </c>
      <c r="AN1346" t="s">
        <v>17481</v>
      </c>
      <c r="AO1346" t="s">
        <v>651</v>
      </c>
      <c r="AP1346" t="s">
        <v>74</v>
      </c>
      <c r="AQ1346" t="s">
        <v>74</v>
      </c>
      <c r="AR1346" t="s">
        <v>653</v>
      </c>
      <c r="AS1346" t="s">
        <v>654</v>
      </c>
      <c r="AT1346" t="s">
        <v>74</v>
      </c>
      <c r="AU1346">
        <v>2009</v>
      </c>
      <c r="AV1346">
        <v>179</v>
      </c>
      <c r="AW1346" t="s">
        <v>74</v>
      </c>
      <c r="AX1346" t="s">
        <v>74</v>
      </c>
      <c r="AY1346" t="s">
        <v>74</v>
      </c>
      <c r="AZ1346" t="s">
        <v>74</v>
      </c>
      <c r="BA1346" t="s">
        <v>17949</v>
      </c>
      <c r="BB1346" t="s">
        <v>74</v>
      </c>
      <c r="BC1346" t="s">
        <v>74</v>
      </c>
      <c r="BD1346" t="s">
        <v>74</v>
      </c>
      <c r="BE1346" t="s">
        <v>74</v>
      </c>
      <c r="BF1346" t="s">
        <v>74</v>
      </c>
      <c r="BG1346" t="s">
        <v>74</v>
      </c>
      <c r="BH1346" t="s">
        <v>74</v>
      </c>
      <c r="BI1346">
        <v>1</v>
      </c>
      <c r="BJ1346" t="s">
        <v>341</v>
      </c>
      <c r="BK1346" t="s">
        <v>101</v>
      </c>
      <c r="BL1346" t="s">
        <v>342</v>
      </c>
      <c r="BM1346" t="s">
        <v>17768</v>
      </c>
      <c r="BN1346" t="s">
        <v>74</v>
      </c>
      <c r="BO1346" t="s">
        <v>74</v>
      </c>
      <c r="BP1346" t="s">
        <v>74</v>
      </c>
      <c r="BQ1346" t="s">
        <v>74</v>
      </c>
      <c r="BR1346" t="s">
        <v>104</v>
      </c>
      <c r="BS1346" t="s">
        <v>17948</v>
      </c>
      <c r="BT1346" t="str">
        <f>HYPERLINK("https%3A%2F%2Fwww.webofscience.com%2Fwos%2Fwoscc%2Ffull-record%2FWOS:000208733104394","View Full Record in Web of Science")</f>
        <v>View Full Record in Web of Science</v>
      </c>
    </row>
    <row r="1347" spans="1:72" x14ac:dyDescent="0.25">
      <c r="A1347" t="s">
        <v>72</v>
      </c>
      <c r="B1347" t="s">
        <v>17947</v>
      </c>
      <c r="C1347" t="s">
        <v>74</v>
      </c>
      <c r="D1347" t="s">
        <v>74</v>
      </c>
      <c r="E1347" t="s">
        <v>74</v>
      </c>
      <c r="F1347" t="s">
        <v>17946</v>
      </c>
      <c r="G1347" t="s">
        <v>74</v>
      </c>
      <c r="H1347" t="s">
        <v>17945</v>
      </c>
      <c r="I1347" t="s">
        <v>17944</v>
      </c>
      <c r="J1347" t="s">
        <v>637</v>
      </c>
      <c r="K1347" t="s">
        <v>74</v>
      </c>
      <c r="L1347" t="s">
        <v>74</v>
      </c>
      <c r="M1347" t="s">
        <v>78</v>
      </c>
      <c r="N1347" t="s">
        <v>52</v>
      </c>
      <c r="O1347" t="s">
        <v>74</v>
      </c>
      <c r="P1347" t="s">
        <v>74</v>
      </c>
      <c r="Q1347" t="s">
        <v>74</v>
      </c>
      <c r="R1347" t="s">
        <v>74</v>
      </c>
      <c r="S1347" t="s">
        <v>74</v>
      </c>
      <c r="T1347" t="s">
        <v>74</v>
      </c>
      <c r="U1347" t="s">
        <v>74</v>
      </c>
      <c r="V1347" t="s">
        <v>74</v>
      </c>
      <c r="W1347" t="s">
        <v>17943</v>
      </c>
      <c r="X1347" t="s">
        <v>17942</v>
      </c>
      <c r="Y1347" t="s">
        <v>74</v>
      </c>
      <c r="Z1347" t="s">
        <v>1917</v>
      </c>
      <c r="AA1347" t="s">
        <v>13948</v>
      </c>
      <c r="AB1347" t="s">
        <v>74</v>
      </c>
      <c r="AC1347" t="s">
        <v>74</v>
      </c>
      <c r="AD1347" t="s">
        <v>74</v>
      </c>
      <c r="AE1347" t="s">
        <v>74</v>
      </c>
      <c r="AF1347" t="s">
        <v>74</v>
      </c>
      <c r="AG1347">
        <v>0</v>
      </c>
      <c r="AH1347">
        <v>1</v>
      </c>
      <c r="AI1347">
        <v>1</v>
      </c>
      <c r="AJ1347">
        <v>0</v>
      </c>
      <c r="AK1347">
        <v>0</v>
      </c>
      <c r="AL1347" t="s">
        <v>649</v>
      </c>
      <c r="AM1347" t="s">
        <v>486</v>
      </c>
      <c r="AN1347" t="s">
        <v>17481</v>
      </c>
      <c r="AO1347" t="s">
        <v>651</v>
      </c>
      <c r="AP1347" t="s">
        <v>74</v>
      </c>
      <c r="AQ1347" t="s">
        <v>74</v>
      </c>
      <c r="AR1347" t="s">
        <v>653</v>
      </c>
      <c r="AS1347" t="s">
        <v>654</v>
      </c>
      <c r="AT1347" t="s">
        <v>74</v>
      </c>
      <c r="AU1347">
        <v>2009</v>
      </c>
      <c r="AV1347">
        <v>179</v>
      </c>
      <c r="AW1347" t="s">
        <v>74</v>
      </c>
      <c r="AX1347" t="s">
        <v>74</v>
      </c>
      <c r="AY1347" t="s">
        <v>74</v>
      </c>
      <c r="AZ1347" t="s">
        <v>74</v>
      </c>
      <c r="BA1347" t="s">
        <v>17941</v>
      </c>
      <c r="BB1347" t="s">
        <v>74</v>
      </c>
      <c r="BC1347" t="s">
        <v>74</v>
      </c>
      <c r="BD1347" t="s">
        <v>74</v>
      </c>
      <c r="BE1347" t="s">
        <v>74</v>
      </c>
      <c r="BF1347" t="s">
        <v>74</v>
      </c>
      <c r="BG1347" t="s">
        <v>74</v>
      </c>
      <c r="BH1347" t="s">
        <v>74</v>
      </c>
      <c r="BI1347">
        <v>1</v>
      </c>
      <c r="BJ1347" t="s">
        <v>341</v>
      </c>
      <c r="BK1347" t="s">
        <v>101</v>
      </c>
      <c r="BL1347" t="s">
        <v>342</v>
      </c>
      <c r="BM1347" t="s">
        <v>17768</v>
      </c>
      <c r="BN1347" t="s">
        <v>74</v>
      </c>
      <c r="BO1347" t="s">
        <v>74</v>
      </c>
      <c r="BP1347" t="s">
        <v>74</v>
      </c>
      <c r="BQ1347" t="s">
        <v>74</v>
      </c>
      <c r="BR1347" t="s">
        <v>104</v>
      </c>
      <c r="BS1347" t="s">
        <v>17940</v>
      </c>
      <c r="BT1347" t="str">
        <f>HYPERLINK("https%3A%2F%2Fwww.webofscience.com%2Fwos%2Fwoscc%2Ffull-record%2FWOS:000208733104390","View Full Record in Web of Science")</f>
        <v>View Full Record in Web of Science</v>
      </c>
    </row>
    <row r="1348" spans="1:72" x14ac:dyDescent="0.25">
      <c r="A1348" t="s">
        <v>72</v>
      </c>
      <c r="B1348" t="s">
        <v>17939</v>
      </c>
      <c r="C1348" t="s">
        <v>74</v>
      </c>
      <c r="D1348" t="s">
        <v>74</v>
      </c>
      <c r="E1348" t="s">
        <v>74</v>
      </c>
      <c r="F1348" t="s">
        <v>17938</v>
      </c>
      <c r="G1348" t="s">
        <v>74</v>
      </c>
      <c r="H1348" t="s">
        <v>74</v>
      </c>
      <c r="I1348" t="s">
        <v>17937</v>
      </c>
      <c r="J1348" t="s">
        <v>637</v>
      </c>
      <c r="K1348" t="s">
        <v>74</v>
      </c>
      <c r="L1348" t="s">
        <v>74</v>
      </c>
      <c r="M1348" t="s">
        <v>78</v>
      </c>
      <c r="N1348" t="s">
        <v>52</v>
      </c>
      <c r="O1348" t="s">
        <v>74</v>
      </c>
      <c r="P1348" t="s">
        <v>74</v>
      </c>
      <c r="Q1348" t="s">
        <v>74</v>
      </c>
      <c r="R1348" t="s">
        <v>74</v>
      </c>
      <c r="S1348" t="s">
        <v>74</v>
      </c>
      <c r="T1348" t="s">
        <v>74</v>
      </c>
      <c r="U1348" t="s">
        <v>74</v>
      </c>
      <c r="V1348" t="s">
        <v>74</v>
      </c>
      <c r="W1348" t="s">
        <v>17936</v>
      </c>
      <c r="X1348" t="s">
        <v>17935</v>
      </c>
      <c r="Y1348" t="s">
        <v>74</v>
      </c>
      <c r="Z1348" t="s">
        <v>17927</v>
      </c>
      <c r="AA1348" t="s">
        <v>17934</v>
      </c>
      <c r="AB1348" t="s">
        <v>5709</v>
      </c>
      <c r="AC1348" t="s">
        <v>74</v>
      </c>
      <c r="AD1348" t="s">
        <v>74</v>
      </c>
      <c r="AE1348" t="s">
        <v>74</v>
      </c>
      <c r="AF1348" t="s">
        <v>74</v>
      </c>
      <c r="AG1348">
        <v>0</v>
      </c>
      <c r="AH1348">
        <v>0</v>
      </c>
      <c r="AI1348">
        <v>0</v>
      </c>
      <c r="AJ1348">
        <v>0</v>
      </c>
      <c r="AK1348">
        <v>0</v>
      </c>
      <c r="AL1348" t="s">
        <v>649</v>
      </c>
      <c r="AM1348" t="s">
        <v>486</v>
      </c>
      <c r="AN1348" t="s">
        <v>17481</v>
      </c>
      <c r="AO1348" t="s">
        <v>651</v>
      </c>
      <c r="AP1348" t="s">
        <v>74</v>
      </c>
      <c r="AQ1348" t="s">
        <v>74</v>
      </c>
      <c r="AR1348" t="s">
        <v>653</v>
      </c>
      <c r="AS1348" t="s">
        <v>654</v>
      </c>
      <c r="AT1348" t="s">
        <v>74</v>
      </c>
      <c r="AU1348">
        <v>2009</v>
      </c>
      <c r="AV1348">
        <v>179</v>
      </c>
      <c r="AW1348" t="s">
        <v>74</v>
      </c>
      <c r="AX1348" t="s">
        <v>74</v>
      </c>
      <c r="AY1348" t="s">
        <v>74</v>
      </c>
      <c r="AZ1348" t="s">
        <v>74</v>
      </c>
      <c r="BA1348" t="s">
        <v>17933</v>
      </c>
      <c r="BB1348" t="s">
        <v>74</v>
      </c>
      <c r="BC1348" t="s">
        <v>74</v>
      </c>
      <c r="BD1348" t="s">
        <v>74</v>
      </c>
      <c r="BE1348" t="s">
        <v>74</v>
      </c>
      <c r="BF1348" t="s">
        <v>74</v>
      </c>
      <c r="BG1348" t="s">
        <v>74</v>
      </c>
      <c r="BH1348" t="s">
        <v>74</v>
      </c>
      <c r="BI1348">
        <v>1</v>
      </c>
      <c r="BJ1348" t="s">
        <v>341</v>
      </c>
      <c r="BK1348" t="s">
        <v>101</v>
      </c>
      <c r="BL1348" t="s">
        <v>342</v>
      </c>
      <c r="BM1348" t="s">
        <v>17768</v>
      </c>
      <c r="BN1348" t="s">
        <v>74</v>
      </c>
      <c r="BO1348" t="s">
        <v>74</v>
      </c>
      <c r="BP1348" t="s">
        <v>74</v>
      </c>
      <c r="BQ1348" t="s">
        <v>74</v>
      </c>
      <c r="BR1348" t="s">
        <v>104</v>
      </c>
      <c r="BS1348" t="s">
        <v>17932</v>
      </c>
      <c r="BT1348" t="str">
        <f>HYPERLINK("https%3A%2F%2Fwww.webofscience.com%2Fwos%2Fwoscc%2Ffull-record%2FWOS:000208733101774","View Full Record in Web of Science")</f>
        <v>View Full Record in Web of Science</v>
      </c>
    </row>
    <row r="1349" spans="1:72" x14ac:dyDescent="0.25">
      <c r="A1349" t="s">
        <v>72</v>
      </c>
      <c r="B1349" t="s">
        <v>17931</v>
      </c>
      <c r="C1349" t="s">
        <v>74</v>
      </c>
      <c r="D1349" t="s">
        <v>74</v>
      </c>
      <c r="E1349" t="s">
        <v>74</v>
      </c>
      <c r="F1349" t="s">
        <v>17930</v>
      </c>
      <c r="G1349" t="s">
        <v>74</v>
      </c>
      <c r="H1349" t="s">
        <v>74</v>
      </c>
      <c r="I1349" t="s">
        <v>17929</v>
      </c>
      <c r="J1349" t="s">
        <v>637</v>
      </c>
      <c r="K1349" t="s">
        <v>74</v>
      </c>
      <c r="L1349" t="s">
        <v>74</v>
      </c>
      <c r="M1349" t="s">
        <v>78</v>
      </c>
      <c r="N1349" t="s">
        <v>52</v>
      </c>
      <c r="O1349" t="s">
        <v>74</v>
      </c>
      <c r="P1349" t="s">
        <v>74</v>
      </c>
      <c r="Q1349" t="s">
        <v>74</v>
      </c>
      <c r="R1349" t="s">
        <v>74</v>
      </c>
      <c r="S1349" t="s">
        <v>74</v>
      </c>
      <c r="T1349" t="s">
        <v>74</v>
      </c>
      <c r="U1349" t="s">
        <v>74</v>
      </c>
      <c r="V1349" t="s">
        <v>74</v>
      </c>
      <c r="W1349" t="s">
        <v>17928</v>
      </c>
      <c r="X1349" t="s">
        <v>14156</v>
      </c>
      <c r="Y1349" t="s">
        <v>74</v>
      </c>
      <c r="Z1349" t="s">
        <v>17927</v>
      </c>
      <c r="AA1349" t="s">
        <v>17926</v>
      </c>
      <c r="AB1349" t="s">
        <v>74</v>
      </c>
      <c r="AC1349" t="s">
        <v>74</v>
      </c>
      <c r="AD1349" t="s">
        <v>74</v>
      </c>
      <c r="AE1349" t="s">
        <v>74</v>
      </c>
      <c r="AF1349" t="s">
        <v>74</v>
      </c>
      <c r="AG1349">
        <v>0</v>
      </c>
      <c r="AH1349">
        <v>1</v>
      </c>
      <c r="AI1349">
        <v>1</v>
      </c>
      <c r="AJ1349">
        <v>0</v>
      </c>
      <c r="AK1349">
        <v>0</v>
      </c>
      <c r="AL1349" t="s">
        <v>649</v>
      </c>
      <c r="AM1349" t="s">
        <v>486</v>
      </c>
      <c r="AN1349" t="s">
        <v>17481</v>
      </c>
      <c r="AO1349" t="s">
        <v>651</v>
      </c>
      <c r="AP1349" t="s">
        <v>74</v>
      </c>
      <c r="AQ1349" t="s">
        <v>74</v>
      </c>
      <c r="AR1349" t="s">
        <v>653</v>
      </c>
      <c r="AS1349" t="s">
        <v>654</v>
      </c>
      <c r="AT1349" t="s">
        <v>74</v>
      </c>
      <c r="AU1349">
        <v>2009</v>
      </c>
      <c r="AV1349">
        <v>179</v>
      </c>
      <c r="AW1349" t="s">
        <v>74</v>
      </c>
      <c r="AX1349" t="s">
        <v>74</v>
      </c>
      <c r="AY1349" t="s">
        <v>74</v>
      </c>
      <c r="AZ1349" t="s">
        <v>74</v>
      </c>
      <c r="BA1349" t="s">
        <v>17925</v>
      </c>
      <c r="BB1349" t="s">
        <v>74</v>
      </c>
      <c r="BC1349" t="s">
        <v>74</v>
      </c>
      <c r="BD1349" t="s">
        <v>74</v>
      </c>
      <c r="BE1349" t="s">
        <v>74</v>
      </c>
      <c r="BF1349" t="s">
        <v>74</v>
      </c>
      <c r="BG1349" t="s">
        <v>74</v>
      </c>
      <c r="BH1349" t="s">
        <v>74</v>
      </c>
      <c r="BI1349">
        <v>1</v>
      </c>
      <c r="BJ1349" t="s">
        <v>341</v>
      </c>
      <c r="BK1349" t="s">
        <v>101</v>
      </c>
      <c r="BL1349" t="s">
        <v>342</v>
      </c>
      <c r="BM1349" t="s">
        <v>17768</v>
      </c>
      <c r="BN1349" t="s">
        <v>74</v>
      </c>
      <c r="BO1349" t="s">
        <v>74</v>
      </c>
      <c r="BP1349" t="s">
        <v>74</v>
      </c>
      <c r="BQ1349" t="s">
        <v>74</v>
      </c>
      <c r="BR1349" t="s">
        <v>104</v>
      </c>
      <c r="BS1349" t="s">
        <v>17924</v>
      </c>
      <c r="BT1349" t="str">
        <f>HYPERLINK("https%3A%2F%2Fwww.webofscience.com%2Fwos%2Fwoscc%2Ffull-record%2FWOS:000208733101772","View Full Record in Web of Science")</f>
        <v>View Full Record in Web of Science</v>
      </c>
    </row>
    <row r="1350" spans="1:72" x14ac:dyDescent="0.25">
      <c r="A1350" t="s">
        <v>72</v>
      </c>
      <c r="B1350" t="s">
        <v>17923</v>
      </c>
      <c r="C1350" t="s">
        <v>74</v>
      </c>
      <c r="D1350" t="s">
        <v>74</v>
      </c>
      <c r="E1350" t="s">
        <v>74</v>
      </c>
      <c r="F1350" t="s">
        <v>17922</v>
      </c>
      <c r="G1350" t="s">
        <v>74</v>
      </c>
      <c r="H1350" t="s">
        <v>74</v>
      </c>
      <c r="I1350" t="s">
        <v>17921</v>
      </c>
      <c r="J1350" t="s">
        <v>216</v>
      </c>
      <c r="K1350" t="s">
        <v>74</v>
      </c>
      <c r="L1350" t="s">
        <v>74</v>
      </c>
      <c r="M1350" t="s">
        <v>78</v>
      </c>
      <c r="N1350" t="s">
        <v>79</v>
      </c>
      <c r="O1350" t="s">
        <v>74</v>
      </c>
      <c r="P1350" t="s">
        <v>74</v>
      </c>
      <c r="Q1350" t="s">
        <v>74</v>
      </c>
      <c r="R1350" t="s">
        <v>74</v>
      </c>
      <c r="S1350" t="s">
        <v>74</v>
      </c>
      <c r="T1350" t="s">
        <v>17920</v>
      </c>
      <c r="U1350" t="s">
        <v>17919</v>
      </c>
      <c r="V1350" t="s">
        <v>17918</v>
      </c>
      <c r="W1350" t="s">
        <v>17917</v>
      </c>
      <c r="X1350" t="s">
        <v>17916</v>
      </c>
      <c r="Y1350" t="s">
        <v>17915</v>
      </c>
      <c r="Z1350" t="s">
        <v>15988</v>
      </c>
      <c r="AA1350" t="s">
        <v>17914</v>
      </c>
      <c r="AB1350" t="s">
        <v>17913</v>
      </c>
      <c r="AC1350" t="s">
        <v>17912</v>
      </c>
      <c r="AD1350" t="s">
        <v>17912</v>
      </c>
      <c r="AE1350" t="s">
        <v>17911</v>
      </c>
      <c r="AF1350" t="s">
        <v>74</v>
      </c>
      <c r="AG1350">
        <v>31</v>
      </c>
      <c r="AH1350">
        <v>84</v>
      </c>
      <c r="AI1350">
        <v>85</v>
      </c>
      <c r="AJ1350">
        <v>0</v>
      </c>
      <c r="AK1350">
        <v>4</v>
      </c>
      <c r="AL1350" t="s">
        <v>219</v>
      </c>
      <c r="AM1350" t="s">
        <v>220</v>
      </c>
      <c r="AN1350" t="s">
        <v>221</v>
      </c>
      <c r="AO1350" t="s">
        <v>222</v>
      </c>
      <c r="AP1350" t="s">
        <v>223</v>
      </c>
      <c r="AQ1350" t="s">
        <v>74</v>
      </c>
      <c r="AR1350" t="s">
        <v>224</v>
      </c>
      <c r="AS1350" t="s">
        <v>225</v>
      </c>
      <c r="AT1350" t="s">
        <v>176</v>
      </c>
      <c r="AU1350">
        <v>2009</v>
      </c>
      <c r="AV1350">
        <v>33</v>
      </c>
      <c r="AW1350">
        <v>1</v>
      </c>
      <c r="AX1350" t="s">
        <v>74</v>
      </c>
      <c r="AY1350" t="s">
        <v>74</v>
      </c>
      <c r="AZ1350" t="s">
        <v>74</v>
      </c>
      <c r="BA1350" t="s">
        <v>74</v>
      </c>
      <c r="BB1350">
        <v>92</v>
      </c>
      <c r="BC1350">
        <v>98</v>
      </c>
      <c r="BD1350" t="s">
        <v>74</v>
      </c>
      <c r="BE1350" t="s">
        <v>17910</v>
      </c>
      <c r="BF1350" t="str">
        <f>HYPERLINK("http://dx.doi.org/10.1183/09031936.00094808","http://dx.doi.org/10.1183/09031936.00094808")</f>
        <v>http://dx.doi.org/10.1183/09031936.00094808</v>
      </c>
      <c r="BG1350" t="s">
        <v>74</v>
      </c>
      <c r="BH1350" t="s">
        <v>74</v>
      </c>
      <c r="BI1350">
        <v>7</v>
      </c>
      <c r="BJ1350" t="s">
        <v>228</v>
      </c>
      <c r="BK1350" t="s">
        <v>101</v>
      </c>
      <c r="BL1350" t="s">
        <v>228</v>
      </c>
      <c r="BM1350" t="s">
        <v>17807</v>
      </c>
      <c r="BN1350">
        <v>18799506</v>
      </c>
      <c r="BO1350" t="s">
        <v>1194</v>
      </c>
      <c r="BP1350" t="s">
        <v>74</v>
      </c>
      <c r="BQ1350" t="s">
        <v>74</v>
      </c>
      <c r="BR1350" t="s">
        <v>104</v>
      </c>
      <c r="BS1350" t="s">
        <v>17909</v>
      </c>
      <c r="BT1350" t="str">
        <f>HYPERLINK("https%3A%2F%2Fwww.webofscience.com%2Fwos%2Fwoscc%2Ffull-record%2FWOS:000264988000014","View Full Record in Web of Science")</f>
        <v>View Full Record in Web of Science</v>
      </c>
    </row>
    <row r="1351" spans="1:72" x14ac:dyDescent="0.25">
      <c r="A1351" t="s">
        <v>72</v>
      </c>
      <c r="B1351" t="s">
        <v>17908</v>
      </c>
      <c r="C1351" t="s">
        <v>74</v>
      </c>
      <c r="D1351" t="s">
        <v>74</v>
      </c>
      <c r="E1351" t="s">
        <v>74</v>
      </c>
      <c r="F1351" t="s">
        <v>17907</v>
      </c>
      <c r="G1351" t="s">
        <v>74</v>
      </c>
      <c r="H1351" t="s">
        <v>74</v>
      </c>
      <c r="I1351" t="s">
        <v>17906</v>
      </c>
      <c r="J1351" t="s">
        <v>637</v>
      </c>
      <c r="K1351" t="s">
        <v>74</v>
      </c>
      <c r="L1351" t="s">
        <v>74</v>
      </c>
      <c r="M1351" t="s">
        <v>78</v>
      </c>
      <c r="N1351" t="s">
        <v>52</v>
      </c>
      <c r="O1351" t="s">
        <v>74</v>
      </c>
      <c r="P1351" t="s">
        <v>74</v>
      </c>
      <c r="Q1351" t="s">
        <v>74</v>
      </c>
      <c r="R1351" t="s">
        <v>74</v>
      </c>
      <c r="S1351" t="s">
        <v>74</v>
      </c>
      <c r="T1351" t="s">
        <v>74</v>
      </c>
      <c r="U1351" t="s">
        <v>74</v>
      </c>
      <c r="V1351" t="s">
        <v>74</v>
      </c>
      <c r="W1351" t="s">
        <v>17905</v>
      </c>
      <c r="X1351" t="s">
        <v>17904</v>
      </c>
      <c r="Y1351" t="s">
        <v>74</v>
      </c>
      <c r="Z1351" t="s">
        <v>17903</v>
      </c>
      <c r="AA1351" t="s">
        <v>17902</v>
      </c>
      <c r="AB1351" t="s">
        <v>74</v>
      </c>
      <c r="AC1351" t="s">
        <v>74</v>
      </c>
      <c r="AD1351" t="s">
        <v>74</v>
      </c>
      <c r="AE1351" t="s">
        <v>74</v>
      </c>
      <c r="AF1351" t="s">
        <v>74</v>
      </c>
      <c r="AG1351">
        <v>0</v>
      </c>
      <c r="AH1351">
        <v>0</v>
      </c>
      <c r="AI1351">
        <v>0</v>
      </c>
      <c r="AJ1351">
        <v>0</v>
      </c>
      <c r="AK1351">
        <v>0</v>
      </c>
      <c r="AL1351" t="s">
        <v>649</v>
      </c>
      <c r="AM1351" t="s">
        <v>486</v>
      </c>
      <c r="AN1351" t="s">
        <v>650</v>
      </c>
      <c r="AO1351" t="s">
        <v>651</v>
      </c>
      <c r="AP1351" t="s">
        <v>652</v>
      </c>
      <c r="AQ1351" t="s">
        <v>74</v>
      </c>
      <c r="AR1351" t="s">
        <v>653</v>
      </c>
      <c r="AS1351" t="s">
        <v>654</v>
      </c>
      <c r="AT1351" t="s">
        <v>74</v>
      </c>
      <c r="AU1351">
        <v>2009</v>
      </c>
      <c r="AV1351">
        <v>179</v>
      </c>
      <c r="AW1351" t="s">
        <v>74</v>
      </c>
      <c r="AX1351" t="s">
        <v>74</v>
      </c>
      <c r="AY1351" t="s">
        <v>74</v>
      </c>
      <c r="AZ1351" t="s">
        <v>74</v>
      </c>
      <c r="BA1351" t="s">
        <v>17901</v>
      </c>
      <c r="BB1351" t="s">
        <v>74</v>
      </c>
      <c r="BC1351" t="s">
        <v>74</v>
      </c>
      <c r="BD1351" t="s">
        <v>74</v>
      </c>
      <c r="BE1351" t="s">
        <v>74</v>
      </c>
      <c r="BF1351" t="s">
        <v>74</v>
      </c>
      <c r="BG1351" t="s">
        <v>74</v>
      </c>
      <c r="BH1351" t="s">
        <v>74</v>
      </c>
      <c r="BI1351">
        <v>1</v>
      </c>
      <c r="BJ1351" t="s">
        <v>341</v>
      </c>
      <c r="BK1351" t="s">
        <v>101</v>
      </c>
      <c r="BL1351" t="s">
        <v>342</v>
      </c>
      <c r="BM1351" t="s">
        <v>17768</v>
      </c>
      <c r="BN1351" t="s">
        <v>74</v>
      </c>
      <c r="BO1351" t="s">
        <v>74</v>
      </c>
      <c r="BP1351" t="s">
        <v>74</v>
      </c>
      <c r="BQ1351" t="s">
        <v>74</v>
      </c>
      <c r="BR1351" t="s">
        <v>104</v>
      </c>
      <c r="BS1351" t="s">
        <v>17900</v>
      </c>
      <c r="BT1351" t="str">
        <f>HYPERLINK("https%3A%2F%2Fwww.webofscience.com%2Fwos%2Fwoscc%2Ffull-record%2FWOS:000208733105599","View Full Record in Web of Science")</f>
        <v>View Full Record in Web of Science</v>
      </c>
    </row>
    <row r="1352" spans="1:72" x14ac:dyDescent="0.25">
      <c r="A1352" t="s">
        <v>72</v>
      </c>
      <c r="B1352" t="s">
        <v>17899</v>
      </c>
      <c r="C1352" t="s">
        <v>74</v>
      </c>
      <c r="D1352" t="s">
        <v>74</v>
      </c>
      <c r="E1352" t="s">
        <v>74</v>
      </c>
      <c r="F1352" t="s">
        <v>17898</v>
      </c>
      <c r="G1352" t="s">
        <v>74</v>
      </c>
      <c r="H1352" t="s">
        <v>74</v>
      </c>
      <c r="I1352" t="s">
        <v>17897</v>
      </c>
      <c r="J1352" t="s">
        <v>637</v>
      </c>
      <c r="K1352" t="s">
        <v>74</v>
      </c>
      <c r="L1352" t="s">
        <v>74</v>
      </c>
      <c r="M1352" t="s">
        <v>78</v>
      </c>
      <c r="N1352" t="s">
        <v>52</v>
      </c>
      <c r="O1352" t="s">
        <v>74</v>
      </c>
      <c r="P1352" t="s">
        <v>74</v>
      </c>
      <c r="Q1352" t="s">
        <v>74</v>
      </c>
      <c r="R1352" t="s">
        <v>74</v>
      </c>
      <c r="S1352" t="s">
        <v>74</v>
      </c>
      <c r="T1352" t="s">
        <v>74</v>
      </c>
      <c r="U1352" t="s">
        <v>74</v>
      </c>
      <c r="V1352" t="s">
        <v>74</v>
      </c>
      <c r="W1352" t="s">
        <v>17896</v>
      </c>
      <c r="X1352" t="s">
        <v>17895</v>
      </c>
      <c r="Y1352" t="s">
        <v>74</v>
      </c>
      <c r="Z1352" t="s">
        <v>8881</v>
      </c>
      <c r="AA1352" t="s">
        <v>17894</v>
      </c>
      <c r="AB1352" t="s">
        <v>5709</v>
      </c>
      <c r="AC1352" t="s">
        <v>74</v>
      </c>
      <c r="AD1352" t="s">
        <v>74</v>
      </c>
      <c r="AE1352" t="s">
        <v>74</v>
      </c>
      <c r="AF1352" t="s">
        <v>74</v>
      </c>
      <c r="AG1352">
        <v>0</v>
      </c>
      <c r="AH1352">
        <v>0</v>
      </c>
      <c r="AI1352">
        <v>0</v>
      </c>
      <c r="AJ1352">
        <v>0</v>
      </c>
      <c r="AK1352">
        <v>0</v>
      </c>
      <c r="AL1352" t="s">
        <v>649</v>
      </c>
      <c r="AM1352" t="s">
        <v>486</v>
      </c>
      <c r="AN1352" t="s">
        <v>17481</v>
      </c>
      <c r="AO1352" t="s">
        <v>651</v>
      </c>
      <c r="AP1352" t="s">
        <v>74</v>
      </c>
      <c r="AQ1352" t="s">
        <v>74</v>
      </c>
      <c r="AR1352" t="s">
        <v>653</v>
      </c>
      <c r="AS1352" t="s">
        <v>654</v>
      </c>
      <c r="AT1352" t="s">
        <v>74</v>
      </c>
      <c r="AU1352">
        <v>2009</v>
      </c>
      <c r="AV1352">
        <v>179</v>
      </c>
      <c r="AW1352" t="s">
        <v>74</v>
      </c>
      <c r="AX1352" t="s">
        <v>74</v>
      </c>
      <c r="AY1352" t="s">
        <v>74</v>
      </c>
      <c r="AZ1352" t="s">
        <v>74</v>
      </c>
      <c r="BA1352" t="s">
        <v>17893</v>
      </c>
      <c r="BB1352" t="s">
        <v>74</v>
      </c>
      <c r="BC1352" t="s">
        <v>74</v>
      </c>
      <c r="BD1352" t="s">
        <v>74</v>
      </c>
      <c r="BE1352" t="s">
        <v>74</v>
      </c>
      <c r="BF1352" t="s">
        <v>74</v>
      </c>
      <c r="BG1352" t="s">
        <v>74</v>
      </c>
      <c r="BH1352" t="s">
        <v>74</v>
      </c>
      <c r="BI1352">
        <v>1</v>
      </c>
      <c r="BJ1352" t="s">
        <v>341</v>
      </c>
      <c r="BK1352" t="s">
        <v>101</v>
      </c>
      <c r="BL1352" t="s">
        <v>342</v>
      </c>
      <c r="BM1352" t="s">
        <v>17768</v>
      </c>
      <c r="BN1352" t="s">
        <v>74</v>
      </c>
      <c r="BO1352" t="s">
        <v>74</v>
      </c>
      <c r="BP1352" t="s">
        <v>74</v>
      </c>
      <c r="BQ1352" t="s">
        <v>74</v>
      </c>
      <c r="BR1352" t="s">
        <v>104</v>
      </c>
      <c r="BS1352" t="s">
        <v>17892</v>
      </c>
      <c r="BT1352" t="str">
        <f>HYPERLINK("https%3A%2F%2Fwww.webofscience.com%2Fwos%2Fwoscc%2Ffull-record%2FWOS:000208733104364","View Full Record in Web of Science")</f>
        <v>View Full Record in Web of Science</v>
      </c>
    </row>
    <row r="1353" spans="1:72" x14ac:dyDescent="0.25">
      <c r="A1353" t="s">
        <v>72</v>
      </c>
      <c r="B1353" t="s">
        <v>17891</v>
      </c>
      <c r="C1353" t="s">
        <v>74</v>
      </c>
      <c r="D1353" t="s">
        <v>74</v>
      </c>
      <c r="E1353" t="s">
        <v>74</v>
      </c>
      <c r="F1353" t="s">
        <v>17890</v>
      </c>
      <c r="G1353" t="s">
        <v>74</v>
      </c>
      <c r="H1353" t="s">
        <v>74</v>
      </c>
      <c r="I1353" t="s">
        <v>17889</v>
      </c>
      <c r="J1353" t="s">
        <v>637</v>
      </c>
      <c r="K1353" t="s">
        <v>74</v>
      </c>
      <c r="L1353" t="s">
        <v>74</v>
      </c>
      <c r="M1353" t="s">
        <v>78</v>
      </c>
      <c r="N1353" t="s">
        <v>52</v>
      </c>
      <c r="O1353" t="s">
        <v>74</v>
      </c>
      <c r="P1353" t="s">
        <v>74</v>
      </c>
      <c r="Q1353" t="s">
        <v>74</v>
      </c>
      <c r="R1353" t="s">
        <v>74</v>
      </c>
      <c r="S1353" t="s">
        <v>74</v>
      </c>
      <c r="T1353" t="s">
        <v>74</v>
      </c>
      <c r="U1353" t="s">
        <v>74</v>
      </c>
      <c r="V1353" t="s">
        <v>74</v>
      </c>
      <c r="W1353" t="s">
        <v>17888</v>
      </c>
      <c r="X1353" t="s">
        <v>17887</v>
      </c>
      <c r="Y1353" t="s">
        <v>74</v>
      </c>
      <c r="Z1353" t="s">
        <v>17886</v>
      </c>
      <c r="AA1353" t="s">
        <v>17885</v>
      </c>
      <c r="AB1353" t="s">
        <v>17884</v>
      </c>
      <c r="AC1353" t="s">
        <v>74</v>
      </c>
      <c r="AD1353" t="s">
        <v>74</v>
      </c>
      <c r="AE1353" t="s">
        <v>74</v>
      </c>
      <c r="AF1353" t="s">
        <v>74</v>
      </c>
      <c r="AG1353">
        <v>0</v>
      </c>
      <c r="AH1353">
        <v>0</v>
      </c>
      <c r="AI1353">
        <v>0</v>
      </c>
      <c r="AJ1353">
        <v>0</v>
      </c>
      <c r="AK1353">
        <v>0</v>
      </c>
      <c r="AL1353" t="s">
        <v>649</v>
      </c>
      <c r="AM1353" t="s">
        <v>486</v>
      </c>
      <c r="AN1353" t="s">
        <v>17481</v>
      </c>
      <c r="AO1353" t="s">
        <v>651</v>
      </c>
      <c r="AP1353" t="s">
        <v>74</v>
      </c>
      <c r="AQ1353" t="s">
        <v>74</v>
      </c>
      <c r="AR1353" t="s">
        <v>653</v>
      </c>
      <c r="AS1353" t="s">
        <v>654</v>
      </c>
      <c r="AT1353" t="s">
        <v>74</v>
      </c>
      <c r="AU1353">
        <v>2009</v>
      </c>
      <c r="AV1353">
        <v>179</v>
      </c>
      <c r="AW1353" t="s">
        <v>74</v>
      </c>
      <c r="AX1353" t="s">
        <v>74</v>
      </c>
      <c r="AY1353" t="s">
        <v>74</v>
      </c>
      <c r="AZ1353" t="s">
        <v>74</v>
      </c>
      <c r="BA1353" t="s">
        <v>17883</v>
      </c>
      <c r="BB1353" t="s">
        <v>74</v>
      </c>
      <c r="BC1353" t="s">
        <v>74</v>
      </c>
      <c r="BD1353" t="s">
        <v>74</v>
      </c>
      <c r="BE1353" t="s">
        <v>74</v>
      </c>
      <c r="BF1353" t="s">
        <v>74</v>
      </c>
      <c r="BG1353" t="s">
        <v>74</v>
      </c>
      <c r="BH1353" t="s">
        <v>74</v>
      </c>
      <c r="BI1353">
        <v>1</v>
      </c>
      <c r="BJ1353" t="s">
        <v>341</v>
      </c>
      <c r="BK1353" t="s">
        <v>101</v>
      </c>
      <c r="BL1353" t="s">
        <v>342</v>
      </c>
      <c r="BM1353" t="s">
        <v>17768</v>
      </c>
      <c r="BN1353" t="s">
        <v>74</v>
      </c>
      <c r="BO1353" t="s">
        <v>74</v>
      </c>
      <c r="BP1353" t="s">
        <v>74</v>
      </c>
      <c r="BQ1353" t="s">
        <v>74</v>
      </c>
      <c r="BR1353" t="s">
        <v>104</v>
      </c>
      <c r="BS1353" t="s">
        <v>17882</v>
      </c>
      <c r="BT1353" t="str">
        <f>HYPERLINK("https%3A%2F%2Fwww.webofscience.com%2Fwos%2Fwoscc%2Ffull-record%2FWOS:000208733101771","View Full Record in Web of Science")</f>
        <v>View Full Record in Web of Science</v>
      </c>
    </row>
    <row r="1354" spans="1:72" x14ac:dyDescent="0.25">
      <c r="A1354" t="s">
        <v>72</v>
      </c>
      <c r="B1354" t="s">
        <v>17881</v>
      </c>
      <c r="C1354" t="s">
        <v>74</v>
      </c>
      <c r="D1354" t="s">
        <v>74</v>
      </c>
      <c r="E1354" t="s">
        <v>74</v>
      </c>
      <c r="F1354" t="s">
        <v>17880</v>
      </c>
      <c r="G1354" t="s">
        <v>74</v>
      </c>
      <c r="H1354" t="s">
        <v>74</v>
      </c>
      <c r="I1354" t="s">
        <v>17879</v>
      </c>
      <c r="J1354" t="s">
        <v>637</v>
      </c>
      <c r="K1354" t="s">
        <v>74</v>
      </c>
      <c r="L1354" t="s">
        <v>74</v>
      </c>
      <c r="M1354" t="s">
        <v>78</v>
      </c>
      <c r="N1354" t="s">
        <v>52</v>
      </c>
      <c r="O1354" t="s">
        <v>74</v>
      </c>
      <c r="P1354" t="s">
        <v>74</v>
      </c>
      <c r="Q1354" t="s">
        <v>74</v>
      </c>
      <c r="R1354" t="s">
        <v>74</v>
      </c>
      <c r="S1354" t="s">
        <v>74</v>
      </c>
      <c r="T1354" t="s">
        <v>74</v>
      </c>
      <c r="U1354" t="s">
        <v>74</v>
      </c>
      <c r="V1354" t="s">
        <v>74</v>
      </c>
      <c r="W1354" t="s">
        <v>17878</v>
      </c>
      <c r="X1354" t="s">
        <v>17877</v>
      </c>
      <c r="Y1354" t="s">
        <v>74</v>
      </c>
      <c r="Z1354" t="s">
        <v>276</v>
      </c>
      <c r="AA1354" t="s">
        <v>87</v>
      </c>
      <c r="AB1354" t="s">
        <v>74</v>
      </c>
      <c r="AC1354" t="s">
        <v>74</v>
      </c>
      <c r="AD1354" t="s">
        <v>74</v>
      </c>
      <c r="AE1354" t="s">
        <v>74</v>
      </c>
      <c r="AF1354" t="s">
        <v>74</v>
      </c>
      <c r="AG1354">
        <v>0</v>
      </c>
      <c r="AH1354">
        <v>0</v>
      </c>
      <c r="AI1354">
        <v>0</v>
      </c>
      <c r="AJ1354">
        <v>0</v>
      </c>
      <c r="AK1354">
        <v>0</v>
      </c>
      <c r="AL1354" t="s">
        <v>649</v>
      </c>
      <c r="AM1354" t="s">
        <v>486</v>
      </c>
      <c r="AN1354" t="s">
        <v>17481</v>
      </c>
      <c r="AO1354" t="s">
        <v>651</v>
      </c>
      <c r="AP1354" t="s">
        <v>74</v>
      </c>
      <c r="AQ1354" t="s">
        <v>74</v>
      </c>
      <c r="AR1354" t="s">
        <v>653</v>
      </c>
      <c r="AS1354" t="s">
        <v>654</v>
      </c>
      <c r="AT1354" t="s">
        <v>74</v>
      </c>
      <c r="AU1354">
        <v>2009</v>
      </c>
      <c r="AV1354">
        <v>179</v>
      </c>
      <c r="AW1354" t="s">
        <v>74</v>
      </c>
      <c r="AX1354" t="s">
        <v>74</v>
      </c>
      <c r="AY1354" t="s">
        <v>74</v>
      </c>
      <c r="AZ1354" t="s">
        <v>74</v>
      </c>
      <c r="BA1354" t="s">
        <v>17876</v>
      </c>
      <c r="BB1354" t="s">
        <v>74</v>
      </c>
      <c r="BC1354" t="s">
        <v>74</v>
      </c>
      <c r="BD1354" t="s">
        <v>74</v>
      </c>
      <c r="BE1354" t="s">
        <v>74</v>
      </c>
      <c r="BF1354" t="s">
        <v>74</v>
      </c>
      <c r="BG1354" t="s">
        <v>74</v>
      </c>
      <c r="BH1354" t="s">
        <v>74</v>
      </c>
      <c r="BI1354">
        <v>1</v>
      </c>
      <c r="BJ1354" t="s">
        <v>341</v>
      </c>
      <c r="BK1354" t="s">
        <v>101</v>
      </c>
      <c r="BL1354" t="s">
        <v>342</v>
      </c>
      <c r="BM1354" t="s">
        <v>17768</v>
      </c>
      <c r="BN1354" t="s">
        <v>74</v>
      </c>
      <c r="BO1354" t="s">
        <v>74</v>
      </c>
      <c r="BP1354" t="s">
        <v>74</v>
      </c>
      <c r="BQ1354" t="s">
        <v>74</v>
      </c>
      <c r="BR1354" t="s">
        <v>104</v>
      </c>
      <c r="BS1354" t="s">
        <v>17875</v>
      </c>
      <c r="BT1354" t="str">
        <f>HYPERLINK("https%3A%2F%2Fwww.webofscience.com%2Fwos%2Fwoscc%2Ffull-record%2FWOS:000208733100803","View Full Record in Web of Science")</f>
        <v>View Full Record in Web of Science</v>
      </c>
    </row>
    <row r="1355" spans="1:72" x14ac:dyDescent="0.25">
      <c r="A1355" t="s">
        <v>72</v>
      </c>
      <c r="B1355" t="s">
        <v>17874</v>
      </c>
      <c r="C1355" t="s">
        <v>74</v>
      </c>
      <c r="D1355" t="s">
        <v>74</v>
      </c>
      <c r="E1355" t="s">
        <v>74</v>
      </c>
      <c r="F1355" t="s">
        <v>17873</v>
      </c>
      <c r="G1355" t="s">
        <v>74</v>
      </c>
      <c r="H1355" t="s">
        <v>74</v>
      </c>
      <c r="I1355" t="s">
        <v>17872</v>
      </c>
      <c r="J1355" t="s">
        <v>5624</v>
      </c>
      <c r="K1355" t="s">
        <v>74</v>
      </c>
      <c r="L1355" t="s">
        <v>74</v>
      </c>
      <c r="M1355" t="s">
        <v>78</v>
      </c>
      <c r="N1355" t="s">
        <v>79</v>
      </c>
      <c r="O1355" t="s">
        <v>74</v>
      </c>
      <c r="P1355" t="s">
        <v>74</v>
      </c>
      <c r="Q1355" t="s">
        <v>74</v>
      </c>
      <c r="R1355" t="s">
        <v>74</v>
      </c>
      <c r="S1355" t="s">
        <v>74</v>
      </c>
      <c r="T1355" t="s">
        <v>17871</v>
      </c>
      <c r="U1355" t="s">
        <v>17870</v>
      </c>
      <c r="V1355" t="s">
        <v>17869</v>
      </c>
      <c r="W1355" t="s">
        <v>17868</v>
      </c>
      <c r="X1355" t="s">
        <v>17867</v>
      </c>
      <c r="Y1355" t="s">
        <v>17866</v>
      </c>
      <c r="Z1355" t="s">
        <v>74</v>
      </c>
      <c r="AA1355" t="s">
        <v>9641</v>
      </c>
      <c r="AB1355" t="s">
        <v>17865</v>
      </c>
      <c r="AC1355" t="s">
        <v>17864</v>
      </c>
      <c r="AD1355" t="s">
        <v>17864</v>
      </c>
      <c r="AE1355" t="s">
        <v>17863</v>
      </c>
      <c r="AF1355" t="s">
        <v>74</v>
      </c>
      <c r="AG1355">
        <v>17</v>
      </c>
      <c r="AH1355">
        <v>49</v>
      </c>
      <c r="AI1355">
        <v>52</v>
      </c>
      <c r="AJ1355">
        <v>0</v>
      </c>
      <c r="AK1355">
        <v>1</v>
      </c>
      <c r="AL1355" t="s">
        <v>169</v>
      </c>
      <c r="AM1355" t="s">
        <v>170</v>
      </c>
      <c r="AN1355" t="s">
        <v>171</v>
      </c>
      <c r="AO1355" t="s">
        <v>5636</v>
      </c>
      <c r="AP1355" t="s">
        <v>5637</v>
      </c>
      <c r="AQ1355" t="s">
        <v>74</v>
      </c>
      <c r="AR1355" t="s">
        <v>5624</v>
      </c>
      <c r="AS1355" t="s">
        <v>601</v>
      </c>
      <c r="AT1355" t="s">
        <v>176</v>
      </c>
      <c r="AU1355">
        <v>2009</v>
      </c>
      <c r="AV1355">
        <v>64</v>
      </c>
      <c r="AW1355">
        <v>1</v>
      </c>
      <c r="AX1355" t="s">
        <v>74</v>
      </c>
      <c r="AY1355" t="s">
        <v>74</v>
      </c>
      <c r="AZ1355" t="s">
        <v>74</v>
      </c>
      <c r="BA1355" t="s">
        <v>74</v>
      </c>
      <c r="BB1355">
        <v>81</v>
      </c>
      <c r="BC1355">
        <v>84</v>
      </c>
      <c r="BD1355" t="s">
        <v>74</v>
      </c>
      <c r="BE1355" t="s">
        <v>17862</v>
      </c>
      <c r="BF1355" t="str">
        <f>HYPERLINK("http://dx.doi.org/10.1111/j.1398-9995.2008.01846.x","http://dx.doi.org/10.1111/j.1398-9995.2008.01846.x")</f>
        <v>http://dx.doi.org/10.1111/j.1398-9995.2008.01846.x</v>
      </c>
      <c r="BG1355" t="s">
        <v>74</v>
      </c>
      <c r="BH1355" t="s">
        <v>74</v>
      </c>
      <c r="BI1355">
        <v>4</v>
      </c>
      <c r="BJ1355" t="s">
        <v>3085</v>
      </c>
      <c r="BK1355" t="s">
        <v>101</v>
      </c>
      <c r="BL1355" t="s">
        <v>3085</v>
      </c>
      <c r="BM1355" t="s">
        <v>17861</v>
      </c>
      <c r="BN1355">
        <v>19076535</v>
      </c>
      <c r="BO1355" t="s">
        <v>74</v>
      </c>
      <c r="BP1355" t="s">
        <v>74</v>
      </c>
      <c r="BQ1355" t="s">
        <v>74</v>
      </c>
      <c r="BR1355" t="s">
        <v>104</v>
      </c>
      <c r="BS1355" t="s">
        <v>17860</v>
      </c>
      <c r="BT1355" t="str">
        <f>HYPERLINK("https%3A%2F%2Fwww.webofscience.com%2Fwos%2Fwoscc%2Ffull-record%2FWOS:000261974400010","View Full Record in Web of Science")</f>
        <v>View Full Record in Web of Science</v>
      </c>
    </row>
    <row r="1356" spans="1:72" x14ac:dyDescent="0.25">
      <c r="A1356" t="s">
        <v>72</v>
      </c>
      <c r="B1356" t="s">
        <v>17859</v>
      </c>
      <c r="C1356" t="s">
        <v>74</v>
      </c>
      <c r="D1356" t="s">
        <v>74</v>
      </c>
      <c r="E1356" t="s">
        <v>74</v>
      </c>
      <c r="F1356" t="s">
        <v>17858</v>
      </c>
      <c r="G1356" t="s">
        <v>74</v>
      </c>
      <c r="H1356" t="s">
        <v>74</v>
      </c>
      <c r="I1356" t="s">
        <v>17857</v>
      </c>
      <c r="J1356" t="s">
        <v>637</v>
      </c>
      <c r="K1356" t="s">
        <v>74</v>
      </c>
      <c r="L1356" t="s">
        <v>74</v>
      </c>
      <c r="M1356" t="s">
        <v>78</v>
      </c>
      <c r="N1356" t="s">
        <v>52</v>
      </c>
      <c r="O1356" t="s">
        <v>74</v>
      </c>
      <c r="P1356" t="s">
        <v>74</v>
      </c>
      <c r="Q1356" t="s">
        <v>74</v>
      </c>
      <c r="R1356" t="s">
        <v>74</v>
      </c>
      <c r="S1356" t="s">
        <v>74</v>
      </c>
      <c r="T1356" t="s">
        <v>74</v>
      </c>
      <c r="U1356" t="s">
        <v>74</v>
      </c>
      <c r="V1356" t="s">
        <v>74</v>
      </c>
      <c r="W1356" t="s">
        <v>17856</v>
      </c>
      <c r="X1356" t="s">
        <v>17855</v>
      </c>
      <c r="Y1356" t="s">
        <v>74</v>
      </c>
      <c r="Z1356" t="s">
        <v>74</v>
      </c>
      <c r="AA1356" t="s">
        <v>17854</v>
      </c>
      <c r="AB1356" t="s">
        <v>74</v>
      </c>
      <c r="AC1356" t="s">
        <v>74</v>
      </c>
      <c r="AD1356" t="s">
        <v>74</v>
      </c>
      <c r="AE1356" t="s">
        <v>74</v>
      </c>
      <c r="AF1356" t="s">
        <v>74</v>
      </c>
      <c r="AG1356">
        <v>0</v>
      </c>
      <c r="AH1356">
        <v>0</v>
      </c>
      <c r="AI1356">
        <v>0</v>
      </c>
      <c r="AJ1356">
        <v>0</v>
      </c>
      <c r="AK1356">
        <v>0</v>
      </c>
      <c r="AL1356" t="s">
        <v>649</v>
      </c>
      <c r="AM1356" t="s">
        <v>486</v>
      </c>
      <c r="AN1356" t="s">
        <v>17481</v>
      </c>
      <c r="AO1356" t="s">
        <v>651</v>
      </c>
      <c r="AP1356" t="s">
        <v>74</v>
      </c>
      <c r="AQ1356" t="s">
        <v>74</v>
      </c>
      <c r="AR1356" t="s">
        <v>653</v>
      </c>
      <c r="AS1356" t="s">
        <v>654</v>
      </c>
      <c r="AT1356" t="s">
        <v>74</v>
      </c>
      <c r="AU1356">
        <v>2009</v>
      </c>
      <c r="AV1356">
        <v>179</v>
      </c>
      <c r="AW1356" t="s">
        <v>74</v>
      </c>
      <c r="AX1356" t="s">
        <v>74</v>
      </c>
      <c r="AY1356" t="s">
        <v>74</v>
      </c>
      <c r="AZ1356" t="s">
        <v>74</v>
      </c>
      <c r="BA1356" t="s">
        <v>17853</v>
      </c>
      <c r="BB1356" t="s">
        <v>74</v>
      </c>
      <c r="BC1356" t="s">
        <v>74</v>
      </c>
      <c r="BD1356" t="s">
        <v>74</v>
      </c>
      <c r="BE1356" t="s">
        <v>74</v>
      </c>
      <c r="BF1356" t="s">
        <v>74</v>
      </c>
      <c r="BG1356" t="s">
        <v>74</v>
      </c>
      <c r="BH1356" t="s">
        <v>74</v>
      </c>
      <c r="BI1356">
        <v>1</v>
      </c>
      <c r="BJ1356" t="s">
        <v>341</v>
      </c>
      <c r="BK1356" t="s">
        <v>101</v>
      </c>
      <c r="BL1356" t="s">
        <v>342</v>
      </c>
      <c r="BM1356" t="s">
        <v>17768</v>
      </c>
      <c r="BN1356" t="s">
        <v>74</v>
      </c>
      <c r="BO1356" t="s">
        <v>74</v>
      </c>
      <c r="BP1356" t="s">
        <v>74</v>
      </c>
      <c r="BQ1356" t="s">
        <v>74</v>
      </c>
      <c r="BR1356" t="s">
        <v>104</v>
      </c>
      <c r="BS1356" t="s">
        <v>17852</v>
      </c>
      <c r="BT1356" t="str">
        <f>HYPERLINK("https%3A%2F%2Fwww.webofscience.com%2Fwos%2Fwoscc%2Ffull-record%2FWOS:000208733100819","View Full Record in Web of Science")</f>
        <v>View Full Record in Web of Science</v>
      </c>
    </row>
    <row r="1357" spans="1:72" x14ac:dyDescent="0.25">
      <c r="A1357" t="s">
        <v>72</v>
      </c>
      <c r="B1357" t="s">
        <v>17851</v>
      </c>
      <c r="C1357" t="s">
        <v>74</v>
      </c>
      <c r="D1357" t="s">
        <v>74</v>
      </c>
      <c r="E1357" t="s">
        <v>74</v>
      </c>
      <c r="F1357" t="s">
        <v>17850</v>
      </c>
      <c r="G1357" t="s">
        <v>74</v>
      </c>
      <c r="H1357" t="s">
        <v>74</v>
      </c>
      <c r="I1357" t="s">
        <v>17849</v>
      </c>
      <c r="J1357" t="s">
        <v>637</v>
      </c>
      <c r="K1357" t="s">
        <v>74</v>
      </c>
      <c r="L1357" t="s">
        <v>74</v>
      </c>
      <c r="M1357" t="s">
        <v>78</v>
      </c>
      <c r="N1357" t="s">
        <v>52</v>
      </c>
      <c r="O1357" t="s">
        <v>74</v>
      </c>
      <c r="P1357" t="s">
        <v>74</v>
      </c>
      <c r="Q1357" t="s">
        <v>74</v>
      </c>
      <c r="R1357" t="s">
        <v>74</v>
      </c>
      <c r="S1357" t="s">
        <v>74</v>
      </c>
      <c r="T1357" t="s">
        <v>74</v>
      </c>
      <c r="U1357" t="s">
        <v>74</v>
      </c>
      <c r="V1357" t="s">
        <v>74</v>
      </c>
      <c r="W1357" t="s">
        <v>17848</v>
      </c>
      <c r="X1357" t="s">
        <v>14156</v>
      </c>
      <c r="Y1357" t="s">
        <v>74</v>
      </c>
      <c r="Z1357" t="s">
        <v>16987</v>
      </c>
      <c r="AA1357" t="s">
        <v>17847</v>
      </c>
      <c r="AB1357" t="s">
        <v>5709</v>
      </c>
      <c r="AC1357" t="s">
        <v>74</v>
      </c>
      <c r="AD1357" t="s">
        <v>74</v>
      </c>
      <c r="AE1357" t="s">
        <v>74</v>
      </c>
      <c r="AF1357" t="s">
        <v>74</v>
      </c>
      <c r="AG1357">
        <v>0</v>
      </c>
      <c r="AH1357">
        <v>2</v>
      </c>
      <c r="AI1357">
        <v>2</v>
      </c>
      <c r="AJ1357">
        <v>0</v>
      </c>
      <c r="AK1357">
        <v>0</v>
      </c>
      <c r="AL1357" t="s">
        <v>649</v>
      </c>
      <c r="AM1357" t="s">
        <v>486</v>
      </c>
      <c r="AN1357" t="s">
        <v>17481</v>
      </c>
      <c r="AO1357" t="s">
        <v>651</v>
      </c>
      <c r="AP1357" t="s">
        <v>74</v>
      </c>
      <c r="AQ1357" t="s">
        <v>74</v>
      </c>
      <c r="AR1357" t="s">
        <v>653</v>
      </c>
      <c r="AS1357" t="s">
        <v>654</v>
      </c>
      <c r="AT1357" t="s">
        <v>74</v>
      </c>
      <c r="AU1357">
        <v>2009</v>
      </c>
      <c r="AV1357">
        <v>179</v>
      </c>
      <c r="AW1357" t="s">
        <v>74</v>
      </c>
      <c r="AX1357" t="s">
        <v>74</v>
      </c>
      <c r="AY1357" t="s">
        <v>74</v>
      </c>
      <c r="AZ1357" t="s">
        <v>74</v>
      </c>
      <c r="BA1357" t="s">
        <v>17846</v>
      </c>
      <c r="BB1357" t="s">
        <v>74</v>
      </c>
      <c r="BC1357" t="s">
        <v>74</v>
      </c>
      <c r="BD1357" t="s">
        <v>74</v>
      </c>
      <c r="BE1357" t="s">
        <v>74</v>
      </c>
      <c r="BF1357" t="s">
        <v>74</v>
      </c>
      <c r="BG1357" t="s">
        <v>74</v>
      </c>
      <c r="BH1357" t="s">
        <v>74</v>
      </c>
      <c r="BI1357">
        <v>1</v>
      </c>
      <c r="BJ1357" t="s">
        <v>341</v>
      </c>
      <c r="BK1357" t="s">
        <v>101</v>
      </c>
      <c r="BL1357" t="s">
        <v>342</v>
      </c>
      <c r="BM1357" t="s">
        <v>17768</v>
      </c>
      <c r="BN1357" t="s">
        <v>74</v>
      </c>
      <c r="BO1357" t="s">
        <v>74</v>
      </c>
      <c r="BP1357" t="s">
        <v>74</v>
      </c>
      <c r="BQ1357" t="s">
        <v>74</v>
      </c>
      <c r="BR1357" t="s">
        <v>104</v>
      </c>
      <c r="BS1357" t="s">
        <v>17845</v>
      </c>
      <c r="BT1357" t="str">
        <f>HYPERLINK("https%3A%2F%2Fwww.webofscience.com%2Fwos%2Fwoscc%2Ffull-record%2FWOS:000208733101786","View Full Record in Web of Science")</f>
        <v>View Full Record in Web of Science</v>
      </c>
    </row>
    <row r="1358" spans="1:72" x14ac:dyDescent="0.25">
      <c r="A1358" t="s">
        <v>72</v>
      </c>
      <c r="B1358" t="s">
        <v>17844</v>
      </c>
      <c r="C1358" t="s">
        <v>74</v>
      </c>
      <c r="D1358" t="s">
        <v>74</v>
      </c>
      <c r="E1358" t="s">
        <v>74</v>
      </c>
      <c r="F1358" t="s">
        <v>17843</v>
      </c>
      <c r="G1358" t="s">
        <v>74</v>
      </c>
      <c r="H1358" t="s">
        <v>74</v>
      </c>
      <c r="I1358" t="s">
        <v>17842</v>
      </c>
      <c r="J1358" t="s">
        <v>637</v>
      </c>
      <c r="K1358" t="s">
        <v>74</v>
      </c>
      <c r="L1358" t="s">
        <v>74</v>
      </c>
      <c r="M1358" t="s">
        <v>78</v>
      </c>
      <c r="N1358" t="s">
        <v>52</v>
      </c>
      <c r="O1358" t="s">
        <v>74</v>
      </c>
      <c r="P1358" t="s">
        <v>74</v>
      </c>
      <c r="Q1358" t="s">
        <v>74</v>
      </c>
      <c r="R1358" t="s">
        <v>74</v>
      </c>
      <c r="S1358" t="s">
        <v>74</v>
      </c>
      <c r="T1358" t="s">
        <v>74</v>
      </c>
      <c r="U1358" t="s">
        <v>74</v>
      </c>
      <c r="V1358" t="s">
        <v>74</v>
      </c>
      <c r="W1358" t="s">
        <v>17841</v>
      </c>
      <c r="X1358" t="s">
        <v>14156</v>
      </c>
      <c r="Y1358" t="s">
        <v>74</v>
      </c>
      <c r="Z1358" t="s">
        <v>10573</v>
      </c>
      <c r="AA1358" t="s">
        <v>17840</v>
      </c>
      <c r="AB1358" t="s">
        <v>9861</v>
      </c>
      <c r="AC1358" t="s">
        <v>74</v>
      </c>
      <c r="AD1358" t="s">
        <v>74</v>
      </c>
      <c r="AE1358" t="s">
        <v>74</v>
      </c>
      <c r="AF1358" t="s">
        <v>74</v>
      </c>
      <c r="AG1358">
        <v>0</v>
      </c>
      <c r="AH1358">
        <v>1</v>
      </c>
      <c r="AI1358">
        <v>1</v>
      </c>
      <c r="AJ1358">
        <v>0</v>
      </c>
      <c r="AK1358">
        <v>0</v>
      </c>
      <c r="AL1358" t="s">
        <v>649</v>
      </c>
      <c r="AM1358" t="s">
        <v>486</v>
      </c>
      <c r="AN1358" t="s">
        <v>17481</v>
      </c>
      <c r="AO1358" t="s">
        <v>651</v>
      </c>
      <c r="AP1358" t="s">
        <v>74</v>
      </c>
      <c r="AQ1358" t="s">
        <v>74</v>
      </c>
      <c r="AR1358" t="s">
        <v>653</v>
      </c>
      <c r="AS1358" t="s">
        <v>654</v>
      </c>
      <c r="AT1358" t="s">
        <v>74</v>
      </c>
      <c r="AU1358">
        <v>2009</v>
      </c>
      <c r="AV1358">
        <v>179</v>
      </c>
      <c r="AW1358" t="s">
        <v>74</v>
      </c>
      <c r="AX1358" t="s">
        <v>74</v>
      </c>
      <c r="AY1358" t="s">
        <v>74</v>
      </c>
      <c r="AZ1358" t="s">
        <v>74</v>
      </c>
      <c r="BA1358" t="s">
        <v>17839</v>
      </c>
      <c r="BB1358" t="s">
        <v>74</v>
      </c>
      <c r="BC1358" t="s">
        <v>74</v>
      </c>
      <c r="BD1358" t="s">
        <v>74</v>
      </c>
      <c r="BE1358" t="s">
        <v>74</v>
      </c>
      <c r="BF1358" t="s">
        <v>74</v>
      </c>
      <c r="BG1358" t="s">
        <v>74</v>
      </c>
      <c r="BH1358" t="s">
        <v>74</v>
      </c>
      <c r="BI1358">
        <v>1</v>
      </c>
      <c r="BJ1358" t="s">
        <v>341</v>
      </c>
      <c r="BK1358" t="s">
        <v>101</v>
      </c>
      <c r="BL1358" t="s">
        <v>342</v>
      </c>
      <c r="BM1358" t="s">
        <v>17768</v>
      </c>
      <c r="BN1358" t="s">
        <v>74</v>
      </c>
      <c r="BO1358" t="s">
        <v>74</v>
      </c>
      <c r="BP1358" t="s">
        <v>74</v>
      </c>
      <c r="BQ1358" t="s">
        <v>74</v>
      </c>
      <c r="BR1358" t="s">
        <v>104</v>
      </c>
      <c r="BS1358" t="s">
        <v>17838</v>
      </c>
      <c r="BT1358" t="str">
        <f>HYPERLINK("https%3A%2F%2Fwww.webofscience.com%2Fwos%2Fwoscc%2Ffull-record%2FWOS:000208733103642","View Full Record in Web of Science")</f>
        <v>View Full Record in Web of Science</v>
      </c>
    </row>
    <row r="1359" spans="1:72" x14ac:dyDescent="0.25">
      <c r="A1359" t="s">
        <v>72</v>
      </c>
      <c r="B1359" t="s">
        <v>17837</v>
      </c>
      <c r="C1359" t="s">
        <v>74</v>
      </c>
      <c r="D1359" t="s">
        <v>74</v>
      </c>
      <c r="E1359" t="s">
        <v>74</v>
      </c>
      <c r="F1359" t="s">
        <v>17836</v>
      </c>
      <c r="G1359" t="s">
        <v>74</v>
      </c>
      <c r="H1359" t="s">
        <v>74</v>
      </c>
      <c r="I1359" t="s">
        <v>17835</v>
      </c>
      <c r="J1359" t="s">
        <v>637</v>
      </c>
      <c r="K1359" t="s">
        <v>74</v>
      </c>
      <c r="L1359" t="s">
        <v>74</v>
      </c>
      <c r="M1359" t="s">
        <v>78</v>
      </c>
      <c r="N1359" t="s">
        <v>52</v>
      </c>
      <c r="O1359" t="s">
        <v>74</v>
      </c>
      <c r="P1359" t="s">
        <v>74</v>
      </c>
      <c r="Q1359" t="s">
        <v>74</v>
      </c>
      <c r="R1359" t="s">
        <v>74</v>
      </c>
      <c r="S1359" t="s">
        <v>74</v>
      </c>
      <c r="T1359" t="s">
        <v>74</v>
      </c>
      <c r="U1359" t="s">
        <v>74</v>
      </c>
      <c r="V1359" t="s">
        <v>74</v>
      </c>
      <c r="W1359" t="s">
        <v>17834</v>
      </c>
      <c r="X1359" t="s">
        <v>17833</v>
      </c>
      <c r="Y1359" t="s">
        <v>74</v>
      </c>
      <c r="Z1359" t="s">
        <v>17425</v>
      </c>
      <c r="AA1359" t="s">
        <v>17832</v>
      </c>
      <c r="AB1359" t="s">
        <v>5709</v>
      </c>
      <c r="AC1359" t="s">
        <v>74</v>
      </c>
      <c r="AD1359" t="s">
        <v>74</v>
      </c>
      <c r="AE1359" t="s">
        <v>74</v>
      </c>
      <c r="AF1359" t="s">
        <v>74</v>
      </c>
      <c r="AG1359">
        <v>0</v>
      </c>
      <c r="AH1359">
        <v>0</v>
      </c>
      <c r="AI1359">
        <v>0</v>
      </c>
      <c r="AJ1359">
        <v>0</v>
      </c>
      <c r="AK1359">
        <v>0</v>
      </c>
      <c r="AL1359" t="s">
        <v>649</v>
      </c>
      <c r="AM1359" t="s">
        <v>486</v>
      </c>
      <c r="AN1359" t="s">
        <v>17481</v>
      </c>
      <c r="AO1359" t="s">
        <v>651</v>
      </c>
      <c r="AP1359" t="s">
        <v>74</v>
      </c>
      <c r="AQ1359" t="s">
        <v>74</v>
      </c>
      <c r="AR1359" t="s">
        <v>653</v>
      </c>
      <c r="AS1359" t="s">
        <v>654</v>
      </c>
      <c r="AT1359" t="s">
        <v>74</v>
      </c>
      <c r="AU1359">
        <v>2009</v>
      </c>
      <c r="AV1359">
        <v>179</v>
      </c>
      <c r="AW1359" t="s">
        <v>74</v>
      </c>
      <c r="AX1359" t="s">
        <v>74</v>
      </c>
      <c r="AY1359" t="s">
        <v>74</v>
      </c>
      <c r="AZ1359" t="s">
        <v>74</v>
      </c>
      <c r="BA1359" t="s">
        <v>17831</v>
      </c>
      <c r="BB1359" t="s">
        <v>74</v>
      </c>
      <c r="BC1359" t="s">
        <v>74</v>
      </c>
      <c r="BD1359" t="s">
        <v>74</v>
      </c>
      <c r="BE1359" t="s">
        <v>74</v>
      </c>
      <c r="BF1359" t="s">
        <v>74</v>
      </c>
      <c r="BG1359" t="s">
        <v>74</v>
      </c>
      <c r="BH1359" t="s">
        <v>74</v>
      </c>
      <c r="BI1359">
        <v>1</v>
      </c>
      <c r="BJ1359" t="s">
        <v>341</v>
      </c>
      <c r="BK1359" t="s">
        <v>101</v>
      </c>
      <c r="BL1359" t="s">
        <v>342</v>
      </c>
      <c r="BM1359" t="s">
        <v>17768</v>
      </c>
      <c r="BN1359" t="s">
        <v>74</v>
      </c>
      <c r="BO1359" t="s">
        <v>74</v>
      </c>
      <c r="BP1359" t="s">
        <v>74</v>
      </c>
      <c r="BQ1359" t="s">
        <v>74</v>
      </c>
      <c r="BR1359" t="s">
        <v>104</v>
      </c>
      <c r="BS1359" t="s">
        <v>17830</v>
      </c>
      <c r="BT1359" t="str">
        <f>HYPERLINK("https%3A%2F%2Fwww.webofscience.com%2Fwos%2Fwoscc%2Ffull-record%2FWOS:000208733102600","View Full Record in Web of Science")</f>
        <v>View Full Record in Web of Science</v>
      </c>
    </row>
    <row r="1360" spans="1:72" x14ac:dyDescent="0.25">
      <c r="A1360" t="s">
        <v>72</v>
      </c>
      <c r="B1360" t="s">
        <v>17829</v>
      </c>
      <c r="C1360" t="s">
        <v>74</v>
      </c>
      <c r="D1360" t="s">
        <v>74</v>
      </c>
      <c r="E1360" t="s">
        <v>74</v>
      </c>
      <c r="F1360" t="s">
        <v>17828</v>
      </c>
      <c r="G1360" t="s">
        <v>74</v>
      </c>
      <c r="H1360" t="s">
        <v>74</v>
      </c>
      <c r="I1360" t="s">
        <v>17827</v>
      </c>
      <c r="J1360" t="s">
        <v>637</v>
      </c>
      <c r="K1360" t="s">
        <v>74</v>
      </c>
      <c r="L1360" t="s">
        <v>74</v>
      </c>
      <c r="M1360" t="s">
        <v>78</v>
      </c>
      <c r="N1360" t="s">
        <v>52</v>
      </c>
      <c r="O1360" t="s">
        <v>74</v>
      </c>
      <c r="P1360" t="s">
        <v>74</v>
      </c>
      <c r="Q1360" t="s">
        <v>74</v>
      </c>
      <c r="R1360" t="s">
        <v>74</v>
      </c>
      <c r="S1360" t="s">
        <v>74</v>
      </c>
      <c r="T1360" t="s">
        <v>74</v>
      </c>
      <c r="U1360" t="s">
        <v>74</v>
      </c>
      <c r="V1360" t="s">
        <v>74</v>
      </c>
      <c r="W1360" t="s">
        <v>17826</v>
      </c>
      <c r="X1360" t="s">
        <v>17825</v>
      </c>
      <c r="Y1360" t="s">
        <v>74</v>
      </c>
      <c r="Z1360" t="s">
        <v>17425</v>
      </c>
      <c r="AA1360" t="s">
        <v>17824</v>
      </c>
      <c r="AB1360" t="s">
        <v>17823</v>
      </c>
      <c r="AC1360" t="s">
        <v>74</v>
      </c>
      <c r="AD1360" t="s">
        <v>74</v>
      </c>
      <c r="AE1360" t="s">
        <v>74</v>
      </c>
      <c r="AF1360" t="s">
        <v>74</v>
      </c>
      <c r="AG1360">
        <v>0</v>
      </c>
      <c r="AH1360">
        <v>0</v>
      </c>
      <c r="AI1360">
        <v>0</v>
      </c>
      <c r="AJ1360">
        <v>0</v>
      </c>
      <c r="AK1360">
        <v>0</v>
      </c>
      <c r="AL1360" t="s">
        <v>649</v>
      </c>
      <c r="AM1360" t="s">
        <v>486</v>
      </c>
      <c r="AN1360" t="s">
        <v>17481</v>
      </c>
      <c r="AO1360" t="s">
        <v>651</v>
      </c>
      <c r="AP1360" t="s">
        <v>74</v>
      </c>
      <c r="AQ1360" t="s">
        <v>74</v>
      </c>
      <c r="AR1360" t="s">
        <v>653</v>
      </c>
      <c r="AS1360" t="s">
        <v>654</v>
      </c>
      <c r="AT1360" t="s">
        <v>74</v>
      </c>
      <c r="AU1360">
        <v>2009</v>
      </c>
      <c r="AV1360">
        <v>179</v>
      </c>
      <c r="AW1360" t="s">
        <v>74</v>
      </c>
      <c r="AX1360" t="s">
        <v>74</v>
      </c>
      <c r="AY1360" t="s">
        <v>74</v>
      </c>
      <c r="AZ1360" t="s">
        <v>74</v>
      </c>
      <c r="BA1360" t="s">
        <v>17822</v>
      </c>
      <c r="BB1360" t="s">
        <v>74</v>
      </c>
      <c r="BC1360" t="s">
        <v>74</v>
      </c>
      <c r="BD1360" t="s">
        <v>74</v>
      </c>
      <c r="BE1360" t="s">
        <v>74</v>
      </c>
      <c r="BF1360" t="s">
        <v>74</v>
      </c>
      <c r="BG1360" t="s">
        <v>74</v>
      </c>
      <c r="BH1360" t="s">
        <v>74</v>
      </c>
      <c r="BI1360">
        <v>1</v>
      </c>
      <c r="BJ1360" t="s">
        <v>341</v>
      </c>
      <c r="BK1360" t="s">
        <v>101</v>
      </c>
      <c r="BL1360" t="s">
        <v>342</v>
      </c>
      <c r="BM1360" t="s">
        <v>17768</v>
      </c>
      <c r="BN1360" t="s">
        <v>74</v>
      </c>
      <c r="BO1360" t="s">
        <v>74</v>
      </c>
      <c r="BP1360" t="s">
        <v>74</v>
      </c>
      <c r="BQ1360" t="s">
        <v>74</v>
      </c>
      <c r="BR1360" t="s">
        <v>104</v>
      </c>
      <c r="BS1360" t="s">
        <v>17821</v>
      </c>
      <c r="BT1360" t="str">
        <f>HYPERLINK("https%3A%2F%2Fwww.webofscience.com%2Fwos%2Fwoscc%2Ffull-record%2FWOS:000208733101778","View Full Record in Web of Science")</f>
        <v>View Full Record in Web of Science</v>
      </c>
    </row>
    <row r="1361" spans="1:72" x14ac:dyDescent="0.25">
      <c r="A1361" t="s">
        <v>72</v>
      </c>
      <c r="B1361" t="s">
        <v>17820</v>
      </c>
      <c r="C1361" t="s">
        <v>74</v>
      </c>
      <c r="D1361" t="s">
        <v>74</v>
      </c>
      <c r="E1361" t="s">
        <v>74</v>
      </c>
      <c r="F1361" t="s">
        <v>17819</v>
      </c>
      <c r="G1361" t="s">
        <v>74</v>
      </c>
      <c r="H1361" t="s">
        <v>74</v>
      </c>
      <c r="I1361" t="s">
        <v>9133</v>
      </c>
      <c r="J1361" t="s">
        <v>216</v>
      </c>
      <c r="K1361" t="s">
        <v>74</v>
      </c>
      <c r="L1361" t="s">
        <v>74</v>
      </c>
      <c r="M1361" t="s">
        <v>78</v>
      </c>
      <c r="N1361" t="s">
        <v>79</v>
      </c>
      <c r="O1361" t="s">
        <v>74</v>
      </c>
      <c r="P1361" t="s">
        <v>74</v>
      </c>
      <c r="Q1361" t="s">
        <v>74</v>
      </c>
      <c r="R1361" t="s">
        <v>74</v>
      </c>
      <c r="S1361" t="s">
        <v>74</v>
      </c>
      <c r="T1361" t="s">
        <v>17818</v>
      </c>
      <c r="U1361" t="s">
        <v>17817</v>
      </c>
      <c r="V1361" t="s">
        <v>17816</v>
      </c>
      <c r="W1361" t="s">
        <v>17815</v>
      </c>
      <c r="X1361" t="s">
        <v>17814</v>
      </c>
      <c r="Y1361" t="s">
        <v>17813</v>
      </c>
      <c r="Z1361" t="s">
        <v>10573</v>
      </c>
      <c r="AA1361" t="s">
        <v>17812</v>
      </c>
      <c r="AB1361" t="s">
        <v>17811</v>
      </c>
      <c r="AC1361" t="s">
        <v>17810</v>
      </c>
      <c r="AD1361" t="s">
        <v>17810</v>
      </c>
      <c r="AE1361" t="s">
        <v>17809</v>
      </c>
      <c r="AF1361" t="s">
        <v>74</v>
      </c>
      <c r="AG1361">
        <v>93</v>
      </c>
      <c r="AH1361">
        <v>218</v>
      </c>
      <c r="AI1361">
        <v>234</v>
      </c>
      <c r="AJ1361">
        <v>0</v>
      </c>
      <c r="AK1361">
        <v>5</v>
      </c>
      <c r="AL1361" t="s">
        <v>219</v>
      </c>
      <c r="AM1361" t="s">
        <v>220</v>
      </c>
      <c r="AN1361" t="s">
        <v>221</v>
      </c>
      <c r="AO1361" t="s">
        <v>222</v>
      </c>
      <c r="AP1361" t="s">
        <v>223</v>
      </c>
      <c r="AQ1361" t="s">
        <v>74</v>
      </c>
      <c r="AR1361" t="s">
        <v>224</v>
      </c>
      <c r="AS1361" t="s">
        <v>225</v>
      </c>
      <c r="AT1361" t="s">
        <v>176</v>
      </c>
      <c r="AU1361">
        <v>2009</v>
      </c>
      <c r="AV1361">
        <v>33</v>
      </c>
      <c r="AW1361">
        <v>1</v>
      </c>
      <c r="AX1361" t="s">
        <v>74</v>
      </c>
      <c r="AY1361" t="s">
        <v>74</v>
      </c>
      <c r="AZ1361" t="s">
        <v>74</v>
      </c>
      <c r="BA1361" t="s">
        <v>74</v>
      </c>
      <c r="BB1361">
        <v>189</v>
      </c>
      <c r="BC1361">
        <v>200</v>
      </c>
      <c r="BD1361" t="s">
        <v>74</v>
      </c>
      <c r="BE1361" t="s">
        <v>17808</v>
      </c>
      <c r="BF1361" t="str">
        <f>HYPERLINK("http://dx.doi.org/10.1183/09031936.00090608","http://dx.doi.org/10.1183/09031936.00090608")</f>
        <v>http://dx.doi.org/10.1183/09031936.00090608</v>
      </c>
      <c r="BG1361" t="s">
        <v>74</v>
      </c>
      <c r="BH1361" t="s">
        <v>74</v>
      </c>
      <c r="BI1361">
        <v>12</v>
      </c>
      <c r="BJ1361" t="s">
        <v>228</v>
      </c>
      <c r="BK1361" t="s">
        <v>101</v>
      </c>
      <c r="BL1361" t="s">
        <v>228</v>
      </c>
      <c r="BM1361" t="s">
        <v>17807</v>
      </c>
      <c r="BN1361">
        <v>19118230</v>
      </c>
      <c r="BO1361" t="s">
        <v>1194</v>
      </c>
      <c r="BP1361" t="s">
        <v>74</v>
      </c>
      <c r="BQ1361" t="s">
        <v>74</v>
      </c>
      <c r="BR1361" t="s">
        <v>104</v>
      </c>
      <c r="BS1361" t="s">
        <v>17806</v>
      </c>
      <c r="BT1361" t="str">
        <f>HYPERLINK("https%3A%2F%2Fwww.webofscience.com%2Fwos%2Fwoscc%2Ffull-record%2FWOS:000264988000028","View Full Record in Web of Science")</f>
        <v>View Full Record in Web of Science</v>
      </c>
    </row>
    <row r="1362" spans="1:72" x14ac:dyDescent="0.25">
      <c r="A1362" t="s">
        <v>72</v>
      </c>
      <c r="B1362" t="s">
        <v>17805</v>
      </c>
      <c r="C1362" t="s">
        <v>74</v>
      </c>
      <c r="D1362" t="s">
        <v>74</v>
      </c>
      <c r="E1362" t="s">
        <v>74</v>
      </c>
      <c r="F1362" t="s">
        <v>17804</v>
      </c>
      <c r="G1362" t="s">
        <v>74</v>
      </c>
      <c r="H1362" t="s">
        <v>74</v>
      </c>
      <c r="I1362" t="s">
        <v>17803</v>
      </c>
      <c r="J1362" t="s">
        <v>637</v>
      </c>
      <c r="K1362" t="s">
        <v>74</v>
      </c>
      <c r="L1362" t="s">
        <v>74</v>
      </c>
      <c r="M1362" t="s">
        <v>78</v>
      </c>
      <c r="N1362" t="s">
        <v>52</v>
      </c>
      <c r="O1362" t="s">
        <v>74</v>
      </c>
      <c r="P1362" t="s">
        <v>74</v>
      </c>
      <c r="Q1362" t="s">
        <v>74</v>
      </c>
      <c r="R1362" t="s">
        <v>74</v>
      </c>
      <c r="S1362" t="s">
        <v>74</v>
      </c>
      <c r="T1362" t="s">
        <v>74</v>
      </c>
      <c r="U1362" t="s">
        <v>74</v>
      </c>
      <c r="V1362" t="s">
        <v>74</v>
      </c>
      <c r="W1362" t="s">
        <v>17802</v>
      </c>
      <c r="X1362" t="s">
        <v>17801</v>
      </c>
      <c r="Y1362" t="s">
        <v>74</v>
      </c>
      <c r="Z1362" t="s">
        <v>16064</v>
      </c>
      <c r="AA1362" t="s">
        <v>17800</v>
      </c>
      <c r="AB1362" t="s">
        <v>74</v>
      </c>
      <c r="AC1362" t="s">
        <v>74</v>
      </c>
      <c r="AD1362" t="s">
        <v>74</v>
      </c>
      <c r="AE1362" t="s">
        <v>74</v>
      </c>
      <c r="AF1362" t="s">
        <v>74</v>
      </c>
      <c r="AG1362">
        <v>0</v>
      </c>
      <c r="AH1362">
        <v>0</v>
      </c>
      <c r="AI1362">
        <v>0</v>
      </c>
      <c r="AJ1362">
        <v>0</v>
      </c>
      <c r="AK1362">
        <v>0</v>
      </c>
      <c r="AL1362" t="s">
        <v>649</v>
      </c>
      <c r="AM1362" t="s">
        <v>486</v>
      </c>
      <c r="AN1362" t="s">
        <v>17481</v>
      </c>
      <c r="AO1362" t="s">
        <v>651</v>
      </c>
      <c r="AP1362" t="s">
        <v>74</v>
      </c>
      <c r="AQ1362" t="s">
        <v>74</v>
      </c>
      <c r="AR1362" t="s">
        <v>653</v>
      </c>
      <c r="AS1362" t="s">
        <v>654</v>
      </c>
      <c r="AT1362" t="s">
        <v>74</v>
      </c>
      <c r="AU1362">
        <v>2009</v>
      </c>
      <c r="AV1362">
        <v>179</v>
      </c>
      <c r="AW1362" t="s">
        <v>74</v>
      </c>
      <c r="AX1362" t="s">
        <v>74</v>
      </c>
      <c r="AY1362" t="s">
        <v>74</v>
      </c>
      <c r="AZ1362" t="s">
        <v>74</v>
      </c>
      <c r="BA1362" t="s">
        <v>17799</v>
      </c>
      <c r="BB1362" t="s">
        <v>74</v>
      </c>
      <c r="BC1362" t="s">
        <v>74</v>
      </c>
      <c r="BD1362" t="s">
        <v>74</v>
      </c>
      <c r="BE1362" t="s">
        <v>74</v>
      </c>
      <c r="BF1362" t="s">
        <v>74</v>
      </c>
      <c r="BG1362" t="s">
        <v>74</v>
      </c>
      <c r="BH1362" t="s">
        <v>74</v>
      </c>
      <c r="BI1362">
        <v>1</v>
      </c>
      <c r="BJ1362" t="s">
        <v>341</v>
      </c>
      <c r="BK1362" t="s">
        <v>101</v>
      </c>
      <c r="BL1362" t="s">
        <v>342</v>
      </c>
      <c r="BM1362" t="s">
        <v>17768</v>
      </c>
      <c r="BN1362" t="s">
        <v>74</v>
      </c>
      <c r="BO1362" t="s">
        <v>74</v>
      </c>
      <c r="BP1362" t="s">
        <v>74</v>
      </c>
      <c r="BQ1362" t="s">
        <v>74</v>
      </c>
      <c r="BR1362" t="s">
        <v>104</v>
      </c>
      <c r="BS1362" t="s">
        <v>17798</v>
      </c>
      <c r="BT1362" t="str">
        <f>HYPERLINK("https%3A%2F%2Fwww.webofscience.com%2Fwos%2Fwoscc%2Ffull-record%2FWOS:000208733104358","View Full Record in Web of Science")</f>
        <v>View Full Record in Web of Science</v>
      </c>
    </row>
    <row r="1363" spans="1:72" x14ac:dyDescent="0.25">
      <c r="A1363" t="s">
        <v>72</v>
      </c>
      <c r="B1363" t="s">
        <v>17797</v>
      </c>
      <c r="C1363" t="s">
        <v>74</v>
      </c>
      <c r="D1363" t="s">
        <v>74</v>
      </c>
      <c r="E1363" t="s">
        <v>74</v>
      </c>
      <c r="F1363" t="s">
        <v>17796</v>
      </c>
      <c r="G1363" t="s">
        <v>74</v>
      </c>
      <c r="H1363" t="s">
        <v>74</v>
      </c>
      <c r="I1363" t="s">
        <v>17795</v>
      </c>
      <c r="J1363" t="s">
        <v>637</v>
      </c>
      <c r="K1363" t="s">
        <v>74</v>
      </c>
      <c r="L1363" t="s">
        <v>74</v>
      </c>
      <c r="M1363" t="s">
        <v>78</v>
      </c>
      <c r="N1363" t="s">
        <v>52</v>
      </c>
      <c r="O1363" t="s">
        <v>74</v>
      </c>
      <c r="P1363" t="s">
        <v>74</v>
      </c>
      <c r="Q1363" t="s">
        <v>74</v>
      </c>
      <c r="R1363" t="s">
        <v>74</v>
      </c>
      <c r="S1363" t="s">
        <v>74</v>
      </c>
      <c r="T1363" t="s">
        <v>74</v>
      </c>
      <c r="U1363" t="s">
        <v>74</v>
      </c>
      <c r="V1363" t="s">
        <v>74</v>
      </c>
      <c r="W1363" t="s">
        <v>17794</v>
      </c>
      <c r="X1363" t="s">
        <v>14156</v>
      </c>
      <c r="Y1363" t="s">
        <v>74</v>
      </c>
      <c r="Z1363" t="s">
        <v>17785</v>
      </c>
      <c r="AA1363" t="s">
        <v>17793</v>
      </c>
      <c r="AB1363" t="s">
        <v>5709</v>
      </c>
      <c r="AC1363" t="s">
        <v>74</v>
      </c>
      <c r="AD1363" t="s">
        <v>74</v>
      </c>
      <c r="AE1363" t="s">
        <v>74</v>
      </c>
      <c r="AF1363" t="s">
        <v>74</v>
      </c>
      <c r="AG1363">
        <v>0</v>
      </c>
      <c r="AH1363">
        <v>0</v>
      </c>
      <c r="AI1363">
        <v>0</v>
      </c>
      <c r="AJ1363">
        <v>0</v>
      </c>
      <c r="AK1363">
        <v>1</v>
      </c>
      <c r="AL1363" t="s">
        <v>649</v>
      </c>
      <c r="AM1363" t="s">
        <v>486</v>
      </c>
      <c r="AN1363" t="s">
        <v>17481</v>
      </c>
      <c r="AO1363" t="s">
        <v>651</v>
      </c>
      <c r="AP1363" t="s">
        <v>74</v>
      </c>
      <c r="AQ1363" t="s">
        <v>74</v>
      </c>
      <c r="AR1363" t="s">
        <v>653</v>
      </c>
      <c r="AS1363" t="s">
        <v>654</v>
      </c>
      <c r="AT1363" t="s">
        <v>74</v>
      </c>
      <c r="AU1363">
        <v>2009</v>
      </c>
      <c r="AV1363">
        <v>179</v>
      </c>
      <c r="AW1363" t="s">
        <v>74</v>
      </c>
      <c r="AX1363" t="s">
        <v>74</v>
      </c>
      <c r="AY1363" t="s">
        <v>74</v>
      </c>
      <c r="AZ1363" t="s">
        <v>74</v>
      </c>
      <c r="BA1363" t="s">
        <v>17792</v>
      </c>
      <c r="BB1363" t="s">
        <v>74</v>
      </c>
      <c r="BC1363" t="s">
        <v>74</v>
      </c>
      <c r="BD1363" t="s">
        <v>74</v>
      </c>
      <c r="BE1363" t="s">
        <v>74</v>
      </c>
      <c r="BF1363" t="s">
        <v>74</v>
      </c>
      <c r="BG1363" t="s">
        <v>74</v>
      </c>
      <c r="BH1363" t="s">
        <v>74</v>
      </c>
      <c r="BI1363">
        <v>1</v>
      </c>
      <c r="BJ1363" t="s">
        <v>341</v>
      </c>
      <c r="BK1363" t="s">
        <v>101</v>
      </c>
      <c r="BL1363" t="s">
        <v>342</v>
      </c>
      <c r="BM1363" t="s">
        <v>17768</v>
      </c>
      <c r="BN1363" t="s">
        <v>74</v>
      </c>
      <c r="BO1363" t="s">
        <v>74</v>
      </c>
      <c r="BP1363" t="s">
        <v>74</v>
      </c>
      <c r="BQ1363" t="s">
        <v>74</v>
      </c>
      <c r="BR1363" t="s">
        <v>104</v>
      </c>
      <c r="BS1363" t="s">
        <v>17791</v>
      </c>
      <c r="BT1363" t="str">
        <f>HYPERLINK("https%3A%2F%2Fwww.webofscience.com%2Fwos%2Fwoscc%2Ffull-record%2FWOS:000208733102578","View Full Record in Web of Science")</f>
        <v>View Full Record in Web of Science</v>
      </c>
    </row>
    <row r="1364" spans="1:72" x14ac:dyDescent="0.25">
      <c r="A1364" t="s">
        <v>72</v>
      </c>
      <c r="B1364" t="s">
        <v>17790</v>
      </c>
      <c r="C1364" t="s">
        <v>74</v>
      </c>
      <c r="D1364" t="s">
        <v>74</v>
      </c>
      <c r="E1364" t="s">
        <v>74</v>
      </c>
      <c r="F1364" t="s">
        <v>17789</v>
      </c>
      <c r="G1364" t="s">
        <v>74</v>
      </c>
      <c r="H1364" t="s">
        <v>74</v>
      </c>
      <c r="I1364" t="s">
        <v>17788</v>
      </c>
      <c r="J1364" t="s">
        <v>637</v>
      </c>
      <c r="K1364" t="s">
        <v>74</v>
      </c>
      <c r="L1364" t="s">
        <v>74</v>
      </c>
      <c r="M1364" t="s">
        <v>78</v>
      </c>
      <c r="N1364" t="s">
        <v>52</v>
      </c>
      <c r="O1364" t="s">
        <v>74</v>
      </c>
      <c r="P1364" t="s">
        <v>74</v>
      </c>
      <c r="Q1364" t="s">
        <v>74</v>
      </c>
      <c r="R1364" t="s">
        <v>74</v>
      </c>
      <c r="S1364" t="s">
        <v>74</v>
      </c>
      <c r="T1364" t="s">
        <v>74</v>
      </c>
      <c r="U1364" t="s">
        <v>74</v>
      </c>
      <c r="V1364" t="s">
        <v>74</v>
      </c>
      <c r="W1364" t="s">
        <v>17787</v>
      </c>
      <c r="X1364" t="s">
        <v>17786</v>
      </c>
      <c r="Y1364" t="s">
        <v>74</v>
      </c>
      <c r="Z1364" t="s">
        <v>17785</v>
      </c>
      <c r="AA1364" t="s">
        <v>17784</v>
      </c>
      <c r="AB1364" t="s">
        <v>9470</v>
      </c>
      <c r="AC1364" t="s">
        <v>74</v>
      </c>
      <c r="AD1364" t="s">
        <v>74</v>
      </c>
      <c r="AE1364" t="s">
        <v>74</v>
      </c>
      <c r="AF1364" t="s">
        <v>74</v>
      </c>
      <c r="AG1364">
        <v>0</v>
      </c>
      <c r="AH1364">
        <v>0</v>
      </c>
      <c r="AI1364">
        <v>0</v>
      </c>
      <c r="AJ1364">
        <v>0</v>
      </c>
      <c r="AK1364">
        <v>0</v>
      </c>
      <c r="AL1364" t="s">
        <v>649</v>
      </c>
      <c r="AM1364" t="s">
        <v>486</v>
      </c>
      <c r="AN1364" t="s">
        <v>17481</v>
      </c>
      <c r="AO1364" t="s">
        <v>651</v>
      </c>
      <c r="AP1364" t="s">
        <v>74</v>
      </c>
      <c r="AQ1364" t="s">
        <v>74</v>
      </c>
      <c r="AR1364" t="s">
        <v>653</v>
      </c>
      <c r="AS1364" t="s">
        <v>654</v>
      </c>
      <c r="AT1364" t="s">
        <v>74</v>
      </c>
      <c r="AU1364">
        <v>2009</v>
      </c>
      <c r="AV1364">
        <v>179</v>
      </c>
      <c r="AW1364" t="s">
        <v>74</v>
      </c>
      <c r="AX1364" t="s">
        <v>74</v>
      </c>
      <c r="AY1364" t="s">
        <v>74</v>
      </c>
      <c r="AZ1364" t="s">
        <v>74</v>
      </c>
      <c r="BA1364" t="s">
        <v>17783</v>
      </c>
      <c r="BB1364" t="s">
        <v>74</v>
      </c>
      <c r="BC1364" t="s">
        <v>74</v>
      </c>
      <c r="BD1364" t="s">
        <v>74</v>
      </c>
      <c r="BE1364" t="s">
        <v>74</v>
      </c>
      <c r="BF1364" t="s">
        <v>74</v>
      </c>
      <c r="BG1364" t="s">
        <v>74</v>
      </c>
      <c r="BH1364" t="s">
        <v>74</v>
      </c>
      <c r="BI1364">
        <v>1</v>
      </c>
      <c r="BJ1364" t="s">
        <v>341</v>
      </c>
      <c r="BK1364" t="s">
        <v>101</v>
      </c>
      <c r="BL1364" t="s">
        <v>342</v>
      </c>
      <c r="BM1364" t="s">
        <v>17768</v>
      </c>
      <c r="BN1364" t="s">
        <v>74</v>
      </c>
      <c r="BO1364" t="s">
        <v>74</v>
      </c>
      <c r="BP1364" t="s">
        <v>74</v>
      </c>
      <c r="BQ1364" t="s">
        <v>74</v>
      </c>
      <c r="BR1364" t="s">
        <v>104</v>
      </c>
      <c r="BS1364" t="s">
        <v>17782</v>
      </c>
      <c r="BT1364" t="str">
        <f>HYPERLINK("https%3A%2F%2Fwww.webofscience.com%2Fwos%2Fwoscc%2Ffull-record%2FWOS:000208733101477","View Full Record in Web of Science")</f>
        <v>View Full Record in Web of Science</v>
      </c>
    </row>
    <row r="1365" spans="1:72" x14ac:dyDescent="0.25">
      <c r="A1365" t="s">
        <v>72</v>
      </c>
      <c r="B1365" t="s">
        <v>17781</v>
      </c>
      <c r="C1365" t="s">
        <v>74</v>
      </c>
      <c r="D1365" t="s">
        <v>74</v>
      </c>
      <c r="E1365" t="s">
        <v>74</v>
      </c>
      <c r="F1365" t="s">
        <v>17780</v>
      </c>
      <c r="G1365" t="s">
        <v>74</v>
      </c>
      <c r="H1365" t="s">
        <v>74</v>
      </c>
      <c r="I1365" t="s">
        <v>17779</v>
      </c>
      <c r="J1365" t="s">
        <v>637</v>
      </c>
      <c r="K1365" t="s">
        <v>74</v>
      </c>
      <c r="L1365" t="s">
        <v>74</v>
      </c>
      <c r="M1365" t="s">
        <v>78</v>
      </c>
      <c r="N1365" t="s">
        <v>52</v>
      </c>
      <c r="O1365" t="s">
        <v>74</v>
      </c>
      <c r="P1365" t="s">
        <v>74</v>
      </c>
      <c r="Q1365" t="s">
        <v>74</v>
      </c>
      <c r="R1365" t="s">
        <v>74</v>
      </c>
      <c r="S1365" t="s">
        <v>74</v>
      </c>
      <c r="T1365" t="s">
        <v>74</v>
      </c>
      <c r="U1365" t="s">
        <v>74</v>
      </c>
      <c r="V1365" t="s">
        <v>74</v>
      </c>
      <c r="W1365" t="s">
        <v>17778</v>
      </c>
      <c r="X1365" t="s">
        <v>14156</v>
      </c>
      <c r="Y1365" t="s">
        <v>74</v>
      </c>
      <c r="Z1365" t="s">
        <v>17777</v>
      </c>
      <c r="AA1365" t="s">
        <v>17776</v>
      </c>
      <c r="AB1365" t="s">
        <v>74</v>
      </c>
      <c r="AC1365" t="s">
        <v>74</v>
      </c>
      <c r="AD1365" t="s">
        <v>74</v>
      </c>
      <c r="AE1365" t="s">
        <v>74</v>
      </c>
      <c r="AF1365" t="s">
        <v>74</v>
      </c>
      <c r="AG1365">
        <v>0</v>
      </c>
      <c r="AH1365">
        <v>2</v>
      </c>
      <c r="AI1365">
        <v>2</v>
      </c>
      <c r="AJ1365">
        <v>0</v>
      </c>
      <c r="AK1365">
        <v>2</v>
      </c>
      <c r="AL1365" t="s">
        <v>649</v>
      </c>
      <c r="AM1365" t="s">
        <v>486</v>
      </c>
      <c r="AN1365" t="s">
        <v>17481</v>
      </c>
      <c r="AO1365" t="s">
        <v>651</v>
      </c>
      <c r="AP1365" t="s">
        <v>74</v>
      </c>
      <c r="AQ1365" t="s">
        <v>74</v>
      </c>
      <c r="AR1365" t="s">
        <v>653</v>
      </c>
      <c r="AS1365" t="s">
        <v>654</v>
      </c>
      <c r="AT1365" t="s">
        <v>74</v>
      </c>
      <c r="AU1365">
        <v>2009</v>
      </c>
      <c r="AV1365">
        <v>179</v>
      </c>
      <c r="AW1365" t="s">
        <v>74</v>
      </c>
      <c r="AX1365" t="s">
        <v>74</v>
      </c>
      <c r="AY1365" t="s">
        <v>74</v>
      </c>
      <c r="AZ1365" t="s">
        <v>74</v>
      </c>
      <c r="BA1365" t="s">
        <v>17775</v>
      </c>
      <c r="BB1365" t="s">
        <v>74</v>
      </c>
      <c r="BC1365" t="s">
        <v>74</v>
      </c>
      <c r="BD1365" t="s">
        <v>74</v>
      </c>
      <c r="BE1365" t="s">
        <v>74</v>
      </c>
      <c r="BF1365" t="s">
        <v>74</v>
      </c>
      <c r="BG1365" t="s">
        <v>74</v>
      </c>
      <c r="BH1365" t="s">
        <v>74</v>
      </c>
      <c r="BI1365">
        <v>1</v>
      </c>
      <c r="BJ1365" t="s">
        <v>341</v>
      </c>
      <c r="BK1365" t="s">
        <v>101</v>
      </c>
      <c r="BL1365" t="s">
        <v>342</v>
      </c>
      <c r="BM1365" t="s">
        <v>17768</v>
      </c>
      <c r="BN1365" t="s">
        <v>74</v>
      </c>
      <c r="BO1365" t="s">
        <v>74</v>
      </c>
      <c r="BP1365" t="s">
        <v>74</v>
      </c>
      <c r="BQ1365" t="s">
        <v>74</v>
      </c>
      <c r="BR1365" t="s">
        <v>104</v>
      </c>
      <c r="BS1365" t="s">
        <v>17774</v>
      </c>
      <c r="BT1365" t="str">
        <f>HYPERLINK("https%3A%2F%2Fwww.webofscience.com%2Fwos%2Fwoscc%2Ffull-record%2FWOS:000208733102603","View Full Record in Web of Science")</f>
        <v>View Full Record in Web of Science</v>
      </c>
    </row>
    <row r="1366" spans="1:72" x14ac:dyDescent="0.25">
      <c r="A1366" t="s">
        <v>72</v>
      </c>
      <c r="B1366" t="s">
        <v>17773</v>
      </c>
      <c r="C1366" t="s">
        <v>74</v>
      </c>
      <c r="D1366" t="s">
        <v>74</v>
      </c>
      <c r="E1366" t="s">
        <v>74</v>
      </c>
      <c r="F1366" t="s">
        <v>17772</v>
      </c>
      <c r="G1366" t="s">
        <v>74</v>
      </c>
      <c r="H1366" t="s">
        <v>74</v>
      </c>
      <c r="I1366" t="s">
        <v>17771</v>
      </c>
      <c r="J1366" t="s">
        <v>637</v>
      </c>
      <c r="K1366" t="s">
        <v>74</v>
      </c>
      <c r="L1366" t="s">
        <v>74</v>
      </c>
      <c r="M1366" t="s">
        <v>78</v>
      </c>
      <c r="N1366" t="s">
        <v>52</v>
      </c>
      <c r="O1366" t="s">
        <v>74</v>
      </c>
      <c r="P1366" t="s">
        <v>74</v>
      </c>
      <c r="Q1366" t="s">
        <v>74</v>
      </c>
      <c r="R1366" t="s">
        <v>74</v>
      </c>
      <c r="S1366" t="s">
        <v>74</v>
      </c>
      <c r="T1366" t="s">
        <v>74</v>
      </c>
      <c r="U1366" t="s">
        <v>74</v>
      </c>
      <c r="V1366" t="s">
        <v>74</v>
      </c>
      <c r="W1366" t="s">
        <v>17770</v>
      </c>
      <c r="X1366" t="s">
        <v>14156</v>
      </c>
      <c r="Y1366" t="s">
        <v>74</v>
      </c>
      <c r="Z1366" t="s">
        <v>16133</v>
      </c>
      <c r="AA1366" t="s">
        <v>14695</v>
      </c>
      <c r="AB1366" t="s">
        <v>74</v>
      </c>
      <c r="AC1366" t="s">
        <v>74</v>
      </c>
      <c r="AD1366" t="s">
        <v>74</v>
      </c>
      <c r="AE1366" t="s">
        <v>74</v>
      </c>
      <c r="AF1366" t="s">
        <v>74</v>
      </c>
      <c r="AG1366">
        <v>0</v>
      </c>
      <c r="AH1366">
        <v>0</v>
      </c>
      <c r="AI1366">
        <v>0</v>
      </c>
      <c r="AJ1366">
        <v>0</v>
      </c>
      <c r="AK1366">
        <v>0</v>
      </c>
      <c r="AL1366" t="s">
        <v>649</v>
      </c>
      <c r="AM1366" t="s">
        <v>486</v>
      </c>
      <c r="AN1366" t="s">
        <v>17481</v>
      </c>
      <c r="AO1366" t="s">
        <v>651</v>
      </c>
      <c r="AP1366" t="s">
        <v>74</v>
      </c>
      <c r="AQ1366" t="s">
        <v>74</v>
      </c>
      <c r="AR1366" t="s">
        <v>653</v>
      </c>
      <c r="AS1366" t="s">
        <v>654</v>
      </c>
      <c r="AT1366" t="s">
        <v>74</v>
      </c>
      <c r="AU1366">
        <v>2009</v>
      </c>
      <c r="AV1366">
        <v>179</v>
      </c>
      <c r="AW1366" t="s">
        <v>74</v>
      </c>
      <c r="AX1366" t="s">
        <v>74</v>
      </c>
      <c r="AY1366" t="s">
        <v>74</v>
      </c>
      <c r="AZ1366" t="s">
        <v>74</v>
      </c>
      <c r="BA1366" t="s">
        <v>17769</v>
      </c>
      <c r="BB1366" t="s">
        <v>74</v>
      </c>
      <c r="BC1366" t="s">
        <v>74</v>
      </c>
      <c r="BD1366" t="s">
        <v>74</v>
      </c>
      <c r="BE1366" t="s">
        <v>74</v>
      </c>
      <c r="BF1366" t="s">
        <v>74</v>
      </c>
      <c r="BG1366" t="s">
        <v>74</v>
      </c>
      <c r="BH1366" t="s">
        <v>74</v>
      </c>
      <c r="BI1366">
        <v>1</v>
      </c>
      <c r="BJ1366" t="s">
        <v>341</v>
      </c>
      <c r="BK1366" t="s">
        <v>101</v>
      </c>
      <c r="BL1366" t="s">
        <v>342</v>
      </c>
      <c r="BM1366" t="s">
        <v>17768</v>
      </c>
      <c r="BN1366" t="s">
        <v>74</v>
      </c>
      <c r="BO1366" t="s">
        <v>74</v>
      </c>
      <c r="BP1366" t="s">
        <v>74</v>
      </c>
      <c r="BQ1366" t="s">
        <v>74</v>
      </c>
      <c r="BR1366" t="s">
        <v>104</v>
      </c>
      <c r="BS1366" t="s">
        <v>17767</v>
      </c>
      <c r="BT1366" t="str">
        <f>HYPERLINK("https%3A%2F%2Fwww.webofscience.com%2Fwos%2Fwoscc%2Ffull-record%2FWOS:000208733101773","View Full Record in Web of Science")</f>
        <v>View Full Record in Web of Science</v>
      </c>
    </row>
    <row r="1367" spans="1:72" x14ac:dyDescent="0.25">
      <c r="A1367" t="s">
        <v>72</v>
      </c>
      <c r="B1367" t="s">
        <v>17766</v>
      </c>
      <c r="C1367" t="s">
        <v>74</v>
      </c>
      <c r="D1367" t="s">
        <v>74</v>
      </c>
      <c r="E1367" t="s">
        <v>74</v>
      </c>
      <c r="F1367" t="s">
        <v>17765</v>
      </c>
      <c r="G1367" t="s">
        <v>74</v>
      </c>
      <c r="H1367" t="s">
        <v>74</v>
      </c>
      <c r="I1367" t="s">
        <v>17764</v>
      </c>
      <c r="J1367" t="s">
        <v>17763</v>
      </c>
      <c r="K1367" t="s">
        <v>74</v>
      </c>
      <c r="L1367" t="s">
        <v>74</v>
      </c>
      <c r="M1367" t="s">
        <v>78</v>
      </c>
      <c r="N1367" t="s">
        <v>299</v>
      </c>
      <c r="O1367" t="s">
        <v>74</v>
      </c>
      <c r="P1367" t="s">
        <v>74</v>
      </c>
      <c r="Q1367" t="s">
        <v>74</v>
      </c>
      <c r="R1367" t="s">
        <v>74</v>
      </c>
      <c r="S1367" t="s">
        <v>74</v>
      </c>
      <c r="T1367" t="s">
        <v>17762</v>
      </c>
      <c r="U1367" t="s">
        <v>17761</v>
      </c>
      <c r="V1367" t="s">
        <v>17760</v>
      </c>
      <c r="W1367" t="s">
        <v>17759</v>
      </c>
      <c r="X1367" t="s">
        <v>17758</v>
      </c>
      <c r="Y1367" t="s">
        <v>17757</v>
      </c>
      <c r="Z1367" t="s">
        <v>17756</v>
      </c>
      <c r="AA1367" t="s">
        <v>7246</v>
      </c>
      <c r="AB1367" t="s">
        <v>257</v>
      </c>
      <c r="AC1367" t="s">
        <v>74</v>
      </c>
      <c r="AD1367" t="s">
        <v>74</v>
      </c>
      <c r="AE1367" t="s">
        <v>74</v>
      </c>
      <c r="AF1367" t="s">
        <v>74</v>
      </c>
      <c r="AG1367">
        <v>62</v>
      </c>
      <c r="AH1367">
        <v>16</v>
      </c>
      <c r="AI1367">
        <v>16</v>
      </c>
      <c r="AJ1367">
        <v>0</v>
      </c>
      <c r="AK1367">
        <v>5</v>
      </c>
      <c r="AL1367" t="s">
        <v>148</v>
      </c>
      <c r="AM1367" t="s">
        <v>149</v>
      </c>
      <c r="AN1367" t="s">
        <v>150</v>
      </c>
      <c r="AO1367" t="s">
        <v>17755</v>
      </c>
      <c r="AP1367" t="s">
        <v>17754</v>
      </c>
      <c r="AQ1367" t="s">
        <v>74</v>
      </c>
      <c r="AR1367" t="s">
        <v>17753</v>
      </c>
      <c r="AS1367" t="s">
        <v>17752</v>
      </c>
      <c r="AT1367" t="s">
        <v>226</v>
      </c>
      <c r="AU1367">
        <v>2008</v>
      </c>
      <c r="AV1367">
        <v>8</v>
      </c>
      <c r="AW1367">
        <v>12</v>
      </c>
      <c r="AX1367" t="s">
        <v>74</v>
      </c>
      <c r="AY1367" t="s">
        <v>74</v>
      </c>
      <c r="AZ1367" t="s">
        <v>74</v>
      </c>
      <c r="BA1367" t="s">
        <v>74</v>
      </c>
      <c r="BB1367">
        <v>1921</v>
      </c>
      <c r="BC1367">
        <v>1928</v>
      </c>
      <c r="BD1367" t="s">
        <v>74</v>
      </c>
      <c r="BE1367" t="s">
        <v>17751</v>
      </c>
      <c r="BF1367" t="str">
        <f>HYPERLINK("http://dx.doi.org/10.1517/14712590802496928","http://dx.doi.org/10.1517/14712590802496928")</f>
        <v>http://dx.doi.org/10.1517/14712590802496928</v>
      </c>
      <c r="BG1367" t="s">
        <v>74</v>
      </c>
      <c r="BH1367" t="s">
        <v>74</v>
      </c>
      <c r="BI1367">
        <v>8</v>
      </c>
      <c r="BJ1367" t="s">
        <v>17750</v>
      </c>
      <c r="BK1367" t="s">
        <v>101</v>
      </c>
      <c r="BL1367" t="s">
        <v>17749</v>
      </c>
      <c r="BM1367" t="s">
        <v>17748</v>
      </c>
      <c r="BN1367">
        <v>18990078</v>
      </c>
      <c r="BO1367" t="s">
        <v>74</v>
      </c>
      <c r="BP1367" t="s">
        <v>74</v>
      </c>
      <c r="BQ1367" t="s">
        <v>74</v>
      </c>
      <c r="BR1367" t="s">
        <v>104</v>
      </c>
      <c r="BS1367" t="s">
        <v>17747</v>
      </c>
      <c r="BT1367" t="str">
        <f>HYPERLINK("https%3A%2F%2Fwww.webofscience.com%2Fwos%2Fwoscc%2Ffull-record%2FWOS:000261371800009","View Full Record in Web of Science")</f>
        <v>View Full Record in Web of Science</v>
      </c>
    </row>
    <row r="1368" spans="1:72" x14ac:dyDescent="0.25">
      <c r="A1368" t="s">
        <v>72</v>
      </c>
      <c r="B1368" t="s">
        <v>17746</v>
      </c>
      <c r="C1368" t="s">
        <v>74</v>
      </c>
      <c r="D1368" t="s">
        <v>74</v>
      </c>
      <c r="E1368" t="s">
        <v>74</v>
      </c>
      <c r="F1368" t="s">
        <v>17745</v>
      </c>
      <c r="G1368" t="s">
        <v>74</v>
      </c>
      <c r="H1368" t="s">
        <v>74</v>
      </c>
      <c r="I1368" t="s">
        <v>17744</v>
      </c>
      <c r="J1368" t="s">
        <v>5624</v>
      </c>
      <c r="K1368" t="s">
        <v>74</v>
      </c>
      <c r="L1368" t="s">
        <v>74</v>
      </c>
      <c r="M1368" t="s">
        <v>78</v>
      </c>
      <c r="N1368" t="s">
        <v>299</v>
      </c>
      <c r="O1368" t="s">
        <v>74</v>
      </c>
      <c r="P1368" t="s">
        <v>74</v>
      </c>
      <c r="Q1368" t="s">
        <v>74</v>
      </c>
      <c r="R1368" t="s">
        <v>74</v>
      </c>
      <c r="S1368" t="s">
        <v>74</v>
      </c>
      <c r="T1368" t="s">
        <v>17743</v>
      </c>
      <c r="U1368" t="s">
        <v>17742</v>
      </c>
      <c r="V1368" t="s">
        <v>17741</v>
      </c>
      <c r="W1368" t="s">
        <v>17740</v>
      </c>
      <c r="X1368" t="s">
        <v>17739</v>
      </c>
      <c r="Y1368" t="s">
        <v>17738</v>
      </c>
      <c r="Z1368" t="s">
        <v>74</v>
      </c>
      <c r="AA1368" t="s">
        <v>144</v>
      </c>
      <c r="AB1368" t="s">
        <v>257</v>
      </c>
      <c r="AC1368" t="s">
        <v>145</v>
      </c>
      <c r="AD1368" t="s">
        <v>146</v>
      </c>
      <c r="AE1368" t="s">
        <v>17737</v>
      </c>
      <c r="AF1368" t="s">
        <v>74</v>
      </c>
      <c r="AG1368">
        <v>81</v>
      </c>
      <c r="AH1368">
        <v>19</v>
      </c>
      <c r="AI1368">
        <v>19</v>
      </c>
      <c r="AJ1368">
        <v>0</v>
      </c>
      <c r="AK1368">
        <v>4</v>
      </c>
      <c r="AL1368" t="s">
        <v>10904</v>
      </c>
      <c r="AM1368" t="s">
        <v>17736</v>
      </c>
      <c r="AN1368" t="s">
        <v>17735</v>
      </c>
      <c r="AO1368" t="s">
        <v>5636</v>
      </c>
      <c r="AP1368" t="s">
        <v>74</v>
      </c>
      <c r="AQ1368" t="s">
        <v>74</v>
      </c>
      <c r="AR1368" t="s">
        <v>5624</v>
      </c>
      <c r="AS1368" t="s">
        <v>601</v>
      </c>
      <c r="AT1368" t="s">
        <v>226</v>
      </c>
      <c r="AU1368">
        <v>2008</v>
      </c>
      <c r="AV1368">
        <v>63</v>
      </c>
      <c r="AW1368">
        <v>12</v>
      </c>
      <c r="AX1368" t="s">
        <v>74</v>
      </c>
      <c r="AY1368" t="s">
        <v>74</v>
      </c>
      <c r="AZ1368" t="s">
        <v>74</v>
      </c>
      <c r="BA1368" t="s">
        <v>74</v>
      </c>
      <c r="BB1368">
        <v>1567</v>
      </c>
      <c r="BC1368">
        <v>1580</v>
      </c>
      <c r="BD1368" t="s">
        <v>74</v>
      </c>
      <c r="BE1368" t="s">
        <v>17734</v>
      </c>
      <c r="BF1368" t="str">
        <f>HYPERLINK("http://dx.doi.org/10.1111/j.1398-9995.2008.01863.x","http://dx.doi.org/10.1111/j.1398-9995.2008.01863.x")</f>
        <v>http://dx.doi.org/10.1111/j.1398-9995.2008.01863.x</v>
      </c>
      <c r="BG1368" t="s">
        <v>74</v>
      </c>
      <c r="BH1368" t="s">
        <v>74</v>
      </c>
      <c r="BI1368">
        <v>14</v>
      </c>
      <c r="BJ1368" t="s">
        <v>3085</v>
      </c>
      <c r="BK1368" t="s">
        <v>101</v>
      </c>
      <c r="BL1368" t="s">
        <v>3085</v>
      </c>
      <c r="BM1368" t="s">
        <v>17733</v>
      </c>
      <c r="BN1368">
        <v>19032229</v>
      </c>
      <c r="BO1368" t="s">
        <v>1194</v>
      </c>
      <c r="BP1368" t="s">
        <v>74</v>
      </c>
      <c r="BQ1368" t="s">
        <v>74</v>
      </c>
      <c r="BR1368" t="s">
        <v>104</v>
      </c>
      <c r="BS1368" t="s">
        <v>17732</v>
      </c>
      <c r="BT1368" t="str">
        <f>HYPERLINK("https%3A%2F%2Fwww.webofscience.com%2Fwos%2Fwoscc%2Ffull-record%2FWOS:000261053900003","View Full Record in Web of Science")</f>
        <v>View Full Record in Web of Science</v>
      </c>
    </row>
    <row r="1369" spans="1:72" x14ac:dyDescent="0.25">
      <c r="A1369" t="s">
        <v>72</v>
      </c>
      <c r="B1369" t="s">
        <v>17731</v>
      </c>
      <c r="C1369" t="s">
        <v>74</v>
      </c>
      <c r="D1369" t="s">
        <v>74</v>
      </c>
      <c r="E1369" t="s">
        <v>74</v>
      </c>
      <c r="F1369" t="s">
        <v>17730</v>
      </c>
      <c r="G1369" t="s">
        <v>74</v>
      </c>
      <c r="H1369" t="s">
        <v>74</v>
      </c>
      <c r="I1369" t="s">
        <v>17729</v>
      </c>
      <c r="J1369" t="s">
        <v>6978</v>
      </c>
      <c r="K1369" t="s">
        <v>74</v>
      </c>
      <c r="L1369" t="s">
        <v>74</v>
      </c>
      <c r="M1369" t="s">
        <v>78</v>
      </c>
      <c r="N1369" t="s">
        <v>52</v>
      </c>
      <c r="O1369" t="s">
        <v>6979</v>
      </c>
      <c r="P1369" t="s">
        <v>17728</v>
      </c>
      <c r="Q1369" t="s">
        <v>6981</v>
      </c>
      <c r="R1369" t="s">
        <v>6982</v>
      </c>
      <c r="S1369" t="s">
        <v>74</v>
      </c>
      <c r="T1369" t="s">
        <v>74</v>
      </c>
      <c r="U1369" t="s">
        <v>74</v>
      </c>
      <c r="V1369" t="s">
        <v>74</v>
      </c>
      <c r="W1369" t="s">
        <v>17727</v>
      </c>
      <c r="X1369" t="s">
        <v>14156</v>
      </c>
      <c r="Y1369" t="s">
        <v>74</v>
      </c>
      <c r="Z1369" t="s">
        <v>74</v>
      </c>
      <c r="AA1369" t="s">
        <v>17726</v>
      </c>
      <c r="AB1369" t="s">
        <v>9861</v>
      </c>
      <c r="AC1369" t="s">
        <v>74</v>
      </c>
      <c r="AD1369" t="s">
        <v>74</v>
      </c>
      <c r="AE1369" t="s">
        <v>74</v>
      </c>
      <c r="AF1369" t="s">
        <v>74</v>
      </c>
      <c r="AG1369">
        <v>0</v>
      </c>
      <c r="AH1369">
        <v>0</v>
      </c>
      <c r="AI1369">
        <v>0</v>
      </c>
      <c r="AJ1369">
        <v>0</v>
      </c>
      <c r="AK1369">
        <v>0</v>
      </c>
      <c r="AL1369" t="s">
        <v>15444</v>
      </c>
      <c r="AM1369" t="s">
        <v>201</v>
      </c>
      <c r="AN1369" t="s">
        <v>2591</v>
      </c>
      <c r="AO1369" t="s">
        <v>6985</v>
      </c>
      <c r="AP1369" t="s">
        <v>74</v>
      </c>
      <c r="AQ1369" t="s">
        <v>74</v>
      </c>
      <c r="AR1369" t="s">
        <v>6978</v>
      </c>
      <c r="AS1369" t="s">
        <v>6987</v>
      </c>
      <c r="AT1369" t="s">
        <v>226</v>
      </c>
      <c r="AU1369">
        <v>2008</v>
      </c>
      <c r="AV1369">
        <v>63</v>
      </c>
      <c r="AW1369" t="s">
        <v>74</v>
      </c>
      <c r="AX1369" t="s">
        <v>74</v>
      </c>
      <c r="AY1369" t="s">
        <v>74</v>
      </c>
      <c r="AZ1369" t="s">
        <v>74</v>
      </c>
      <c r="BA1369" t="s">
        <v>74</v>
      </c>
      <c r="BB1369" t="s">
        <v>17725</v>
      </c>
      <c r="BC1369" t="s">
        <v>17724</v>
      </c>
      <c r="BD1369" t="s">
        <v>74</v>
      </c>
      <c r="BE1369" t="s">
        <v>74</v>
      </c>
      <c r="BF1369" t="s">
        <v>74</v>
      </c>
      <c r="BG1369" t="s">
        <v>74</v>
      </c>
      <c r="BH1369" t="s">
        <v>74</v>
      </c>
      <c r="BI1369">
        <v>2</v>
      </c>
      <c r="BJ1369" t="s">
        <v>228</v>
      </c>
      <c r="BK1369" t="s">
        <v>512</v>
      </c>
      <c r="BL1369" t="s">
        <v>228</v>
      </c>
      <c r="BM1369" t="s">
        <v>17723</v>
      </c>
      <c r="BN1369" t="s">
        <v>74</v>
      </c>
      <c r="BO1369" t="s">
        <v>74</v>
      </c>
      <c r="BP1369" t="s">
        <v>74</v>
      </c>
      <c r="BQ1369" t="s">
        <v>74</v>
      </c>
      <c r="BR1369" t="s">
        <v>104</v>
      </c>
      <c r="BS1369" t="s">
        <v>17722</v>
      </c>
      <c r="BT1369" t="str">
        <f>HYPERLINK("https%3A%2F%2Fwww.webofscience.com%2Fwos%2Fwoscc%2Ffull-record%2FWOS:000261351100070","View Full Record in Web of Science")</f>
        <v>View Full Record in Web of Science</v>
      </c>
    </row>
    <row r="1370" spans="1:72" x14ac:dyDescent="0.25">
      <c r="A1370" t="s">
        <v>72</v>
      </c>
      <c r="B1370" t="s">
        <v>17721</v>
      </c>
      <c r="C1370" t="s">
        <v>74</v>
      </c>
      <c r="D1370" t="s">
        <v>74</v>
      </c>
      <c r="E1370" t="s">
        <v>74</v>
      </c>
      <c r="F1370" t="s">
        <v>17720</v>
      </c>
      <c r="G1370" t="s">
        <v>74</v>
      </c>
      <c r="H1370" t="s">
        <v>74</v>
      </c>
      <c r="I1370" t="s">
        <v>17719</v>
      </c>
      <c r="J1370" t="s">
        <v>251</v>
      </c>
      <c r="K1370" t="s">
        <v>74</v>
      </c>
      <c r="L1370" t="s">
        <v>74</v>
      </c>
      <c r="M1370" t="s">
        <v>78</v>
      </c>
      <c r="N1370" t="s">
        <v>52</v>
      </c>
      <c r="O1370" t="s">
        <v>17718</v>
      </c>
      <c r="P1370" t="s">
        <v>17717</v>
      </c>
      <c r="Q1370" t="s">
        <v>10801</v>
      </c>
      <c r="R1370" t="s">
        <v>1376</v>
      </c>
      <c r="S1370" t="s">
        <v>74</v>
      </c>
      <c r="T1370" t="s">
        <v>74</v>
      </c>
      <c r="U1370" t="s">
        <v>74</v>
      </c>
      <c r="V1370" t="s">
        <v>74</v>
      </c>
      <c r="W1370" t="s">
        <v>17716</v>
      </c>
      <c r="X1370" t="s">
        <v>17715</v>
      </c>
      <c r="Y1370" t="s">
        <v>74</v>
      </c>
      <c r="Z1370" t="s">
        <v>74</v>
      </c>
      <c r="AA1370" t="s">
        <v>17714</v>
      </c>
      <c r="AB1370" t="s">
        <v>74</v>
      </c>
      <c r="AC1370" t="s">
        <v>74</v>
      </c>
      <c r="AD1370" t="s">
        <v>74</v>
      </c>
      <c r="AE1370" t="s">
        <v>74</v>
      </c>
      <c r="AF1370" t="s">
        <v>74</v>
      </c>
      <c r="AG1370">
        <v>0</v>
      </c>
      <c r="AH1370">
        <v>0</v>
      </c>
      <c r="AI1370">
        <v>0</v>
      </c>
      <c r="AJ1370">
        <v>0</v>
      </c>
      <c r="AK1370">
        <v>0</v>
      </c>
      <c r="AL1370" t="s">
        <v>122</v>
      </c>
      <c r="AM1370" t="s">
        <v>123</v>
      </c>
      <c r="AN1370" t="s">
        <v>14769</v>
      </c>
      <c r="AO1370" t="s">
        <v>258</v>
      </c>
      <c r="AP1370" t="s">
        <v>74</v>
      </c>
      <c r="AQ1370" t="s">
        <v>74</v>
      </c>
      <c r="AR1370" t="s">
        <v>251</v>
      </c>
      <c r="AS1370" t="s">
        <v>260</v>
      </c>
      <c r="AT1370" t="s">
        <v>17713</v>
      </c>
      <c r="AU1370">
        <v>2008</v>
      </c>
      <c r="AV1370">
        <v>118</v>
      </c>
      <c r="AW1370">
        <v>18</v>
      </c>
      <c r="AX1370" t="s">
        <v>74</v>
      </c>
      <c r="AY1370" t="s">
        <v>74</v>
      </c>
      <c r="AZ1370" t="s">
        <v>74</v>
      </c>
      <c r="BA1370" t="s">
        <v>74</v>
      </c>
      <c r="BB1370" t="s">
        <v>17712</v>
      </c>
      <c r="BC1370" t="s">
        <v>17711</v>
      </c>
      <c r="BD1370" t="s">
        <v>74</v>
      </c>
      <c r="BE1370" t="s">
        <v>74</v>
      </c>
      <c r="BF1370" t="s">
        <v>74</v>
      </c>
      <c r="BG1370" t="s">
        <v>74</v>
      </c>
      <c r="BH1370" t="s">
        <v>74</v>
      </c>
      <c r="BI1370">
        <v>2</v>
      </c>
      <c r="BJ1370" t="s">
        <v>263</v>
      </c>
      <c r="BK1370" t="s">
        <v>101</v>
      </c>
      <c r="BL1370" t="s">
        <v>133</v>
      </c>
      <c r="BM1370" t="s">
        <v>17710</v>
      </c>
      <c r="BN1370" t="s">
        <v>74</v>
      </c>
      <c r="BO1370" t="s">
        <v>74</v>
      </c>
      <c r="BP1370" t="s">
        <v>74</v>
      </c>
      <c r="BQ1370" t="s">
        <v>74</v>
      </c>
      <c r="BR1370" t="s">
        <v>104</v>
      </c>
      <c r="BS1370" t="s">
        <v>17709</v>
      </c>
      <c r="BT1370" t="str">
        <f>HYPERLINK("https%3A%2F%2Fwww.webofscience.com%2Fwos%2Fwoscc%2Ffull-record%2FWOS:000262104500413","View Full Record in Web of Science")</f>
        <v>View Full Record in Web of Science</v>
      </c>
    </row>
    <row r="1371" spans="1:72" x14ac:dyDescent="0.25">
      <c r="A1371" t="s">
        <v>72</v>
      </c>
      <c r="B1371" t="s">
        <v>17708</v>
      </c>
      <c r="C1371" t="s">
        <v>74</v>
      </c>
      <c r="D1371" t="s">
        <v>74</v>
      </c>
      <c r="E1371" t="s">
        <v>74</v>
      </c>
      <c r="F1371" t="s">
        <v>17707</v>
      </c>
      <c r="G1371" t="s">
        <v>74</v>
      </c>
      <c r="H1371" t="s">
        <v>74</v>
      </c>
      <c r="I1371" t="s">
        <v>17706</v>
      </c>
      <c r="J1371" t="s">
        <v>17705</v>
      </c>
      <c r="K1371" t="s">
        <v>74</v>
      </c>
      <c r="L1371" t="s">
        <v>74</v>
      </c>
      <c r="M1371" t="s">
        <v>78</v>
      </c>
      <c r="N1371" t="s">
        <v>299</v>
      </c>
      <c r="O1371" t="s">
        <v>74</v>
      </c>
      <c r="P1371" t="s">
        <v>74</v>
      </c>
      <c r="Q1371" t="s">
        <v>74</v>
      </c>
      <c r="R1371" t="s">
        <v>74</v>
      </c>
      <c r="S1371" t="s">
        <v>74</v>
      </c>
      <c r="T1371" t="s">
        <v>17704</v>
      </c>
      <c r="U1371" t="s">
        <v>17703</v>
      </c>
      <c r="V1371" t="s">
        <v>17702</v>
      </c>
      <c r="W1371" t="s">
        <v>17701</v>
      </c>
      <c r="X1371" t="s">
        <v>17700</v>
      </c>
      <c r="Y1371" t="s">
        <v>17699</v>
      </c>
      <c r="Z1371" t="s">
        <v>10573</v>
      </c>
      <c r="AA1371" t="s">
        <v>6302</v>
      </c>
      <c r="AB1371" t="s">
        <v>17698</v>
      </c>
      <c r="AC1371" t="s">
        <v>74</v>
      </c>
      <c r="AD1371" t="s">
        <v>74</v>
      </c>
      <c r="AE1371" t="s">
        <v>74</v>
      </c>
      <c r="AF1371" t="s">
        <v>74</v>
      </c>
      <c r="AG1371">
        <v>52</v>
      </c>
      <c r="AH1371">
        <v>105</v>
      </c>
      <c r="AI1371">
        <v>132</v>
      </c>
      <c r="AJ1371">
        <v>0</v>
      </c>
      <c r="AK1371">
        <v>18</v>
      </c>
      <c r="AL1371" t="s">
        <v>991</v>
      </c>
      <c r="AM1371" t="s">
        <v>486</v>
      </c>
      <c r="AN1371" t="s">
        <v>8530</v>
      </c>
      <c r="AO1371" t="s">
        <v>17697</v>
      </c>
      <c r="AP1371" t="s">
        <v>17696</v>
      </c>
      <c r="AQ1371" t="s">
        <v>74</v>
      </c>
      <c r="AR1371" t="s">
        <v>17695</v>
      </c>
      <c r="AS1371" t="s">
        <v>17694</v>
      </c>
      <c r="AT1371" t="s">
        <v>17693</v>
      </c>
      <c r="AU1371">
        <v>2008</v>
      </c>
      <c r="AV1371">
        <v>49</v>
      </c>
      <c r="AW1371" t="s">
        <v>10183</v>
      </c>
      <c r="AX1371" t="s">
        <v>74</v>
      </c>
      <c r="AY1371" t="s">
        <v>74</v>
      </c>
      <c r="AZ1371" t="s">
        <v>1080</v>
      </c>
      <c r="BA1371" t="s">
        <v>74</v>
      </c>
      <c r="BB1371">
        <v>113</v>
      </c>
      <c r="BC1371">
        <v>118</v>
      </c>
      <c r="BD1371" t="s">
        <v>74</v>
      </c>
      <c r="BE1371" t="s">
        <v>17692</v>
      </c>
      <c r="BF1371" t="str">
        <f>HYPERLINK("http://dx.doi.org/10.1016/j.vph.2008.06.003","http://dx.doi.org/10.1016/j.vph.2008.06.003")</f>
        <v>http://dx.doi.org/10.1016/j.vph.2008.06.003</v>
      </c>
      <c r="BG1371" t="s">
        <v>74</v>
      </c>
      <c r="BH1371" t="s">
        <v>74</v>
      </c>
      <c r="BI1371">
        <v>6</v>
      </c>
      <c r="BJ1371" t="s">
        <v>1477</v>
      </c>
      <c r="BK1371" t="s">
        <v>101</v>
      </c>
      <c r="BL1371" t="s">
        <v>1477</v>
      </c>
      <c r="BM1371" t="s">
        <v>17691</v>
      </c>
      <c r="BN1371">
        <v>18606248</v>
      </c>
      <c r="BO1371" t="s">
        <v>74</v>
      </c>
      <c r="BP1371" t="s">
        <v>74</v>
      </c>
      <c r="BQ1371" t="s">
        <v>74</v>
      </c>
      <c r="BR1371" t="s">
        <v>104</v>
      </c>
      <c r="BS1371" t="s">
        <v>17690</v>
      </c>
      <c r="BT1371" t="str">
        <f>HYPERLINK("https%3A%2F%2Fwww.webofscience.com%2Fwos%2Fwoscc%2Ffull-record%2FWOS:000261126300002","View Full Record in Web of Science")</f>
        <v>View Full Record in Web of Science</v>
      </c>
    </row>
    <row r="1372" spans="1:72" x14ac:dyDescent="0.25">
      <c r="A1372" t="s">
        <v>72</v>
      </c>
      <c r="B1372" t="s">
        <v>17689</v>
      </c>
      <c r="C1372" t="s">
        <v>74</v>
      </c>
      <c r="D1372" t="s">
        <v>74</v>
      </c>
      <c r="E1372" t="s">
        <v>74</v>
      </c>
      <c r="F1372" t="s">
        <v>17688</v>
      </c>
      <c r="G1372" t="s">
        <v>74</v>
      </c>
      <c r="H1372" t="s">
        <v>74</v>
      </c>
      <c r="I1372" t="s">
        <v>17687</v>
      </c>
      <c r="J1372" t="s">
        <v>1348</v>
      </c>
      <c r="K1372" t="s">
        <v>74</v>
      </c>
      <c r="L1372" t="s">
        <v>74</v>
      </c>
      <c r="M1372" t="s">
        <v>1349</v>
      </c>
      <c r="N1372" t="s">
        <v>299</v>
      </c>
      <c r="O1372" t="s">
        <v>74</v>
      </c>
      <c r="P1372" t="s">
        <v>74</v>
      </c>
      <c r="Q1372" t="s">
        <v>74</v>
      </c>
      <c r="R1372" t="s">
        <v>74</v>
      </c>
      <c r="S1372" t="s">
        <v>74</v>
      </c>
      <c r="T1372" t="s">
        <v>17686</v>
      </c>
      <c r="U1372" t="s">
        <v>17685</v>
      </c>
      <c r="V1372" t="s">
        <v>17684</v>
      </c>
      <c r="W1372" t="s">
        <v>17683</v>
      </c>
      <c r="X1372" t="s">
        <v>17682</v>
      </c>
      <c r="Y1372" t="s">
        <v>17681</v>
      </c>
      <c r="Z1372" t="s">
        <v>17425</v>
      </c>
      <c r="AA1372" t="s">
        <v>17680</v>
      </c>
      <c r="AB1372" t="s">
        <v>17679</v>
      </c>
      <c r="AC1372" t="s">
        <v>74</v>
      </c>
      <c r="AD1372" t="s">
        <v>74</v>
      </c>
      <c r="AE1372" t="s">
        <v>74</v>
      </c>
      <c r="AF1372" t="s">
        <v>74</v>
      </c>
      <c r="AG1372">
        <v>140</v>
      </c>
      <c r="AH1372">
        <v>2</v>
      </c>
      <c r="AI1372">
        <v>2</v>
      </c>
      <c r="AJ1372">
        <v>0</v>
      </c>
      <c r="AK1372">
        <v>4</v>
      </c>
      <c r="AL1372" t="s">
        <v>1358</v>
      </c>
      <c r="AM1372" t="s">
        <v>1359</v>
      </c>
      <c r="AN1372" t="s">
        <v>1360</v>
      </c>
      <c r="AO1372" t="s">
        <v>1361</v>
      </c>
      <c r="AP1372" t="s">
        <v>1362</v>
      </c>
      <c r="AQ1372" t="s">
        <v>74</v>
      </c>
      <c r="AR1372" t="s">
        <v>1363</v>
      </c>
      <c r="AS1372" t="s">
        <v>1364</v>
      </c>
      <c r="AT1372" t="s">
        <v>420</v>
      </c>
      <c r="AU1372">
        <v>2008</v>
      </c>
      <c r="AV1372">
        <v>25</v>
      </c>
      <c r="AW1372">
        <v>8</v>
      </c>
      <c r="AX1372" t="s">
        <v>74</v>
      </c>
      <c r="AY1372" t="s">
        <v>74</v>
      </c>
      <c r="AZ1372" t="s">
        <v>74</v>
      </c>
      <c r="BA1372" t="s">
        <v>74</v>
      </c>
      <c r="BB1372">
        <v>933</v>
      </c>
      <c r="BC1372">
        <v>951</v>
      </c>
      <c r="BD1372" t="s">
        <v>74</v>
      </c>
      <c r="BE1372" t="s">
        <v>17678</v>
      </c>
      <c r="BF1372" t="str">
        <f>HYPERLINK("http://dx.doi.org/10.1016/S0761-8425(08)74411-5","http://dx.doi.org/10.1016/S0761-8425(08)74411-5")</f>
        <v>http://dx.doi.org/10.1016/S0761-8425(08)74411-5</v>
      </c>
      <c r="BG1372" t="s">
        <v>74</v>
      </c>
      <c r="BH1372" t="s">
        <v>74</v>
      </c>
      <c r="BI1372">
        <v>19</v>
      </c>
      <c r="BJ1372" t="s">
        <v>228</v>
      </c>
      <c r="BK1372" t="s">
        <v>101</v>
      </c>
      <c r="BL1372" t="s">
        <v>228</v>
      </c>
      <c r="BM1372" t="s">
        <v>17677</v>
      </c>
      <c r="BN1372">
        <v>18971801</v>
      </c>
      <c r="BO1372" t="s">
        <v>74</v>
      </c>
      <c r="BP1372" t="s">
        <v>74</v>
      </c>
      <c r="BQ1372" t="s">
        <v>74</v>
      </c>
      <c r="BR1372" t="s">
        <v>104</v>
      </c>
      <c r="BS1372" t="s">
        <v>17676</v>
      </c>
      <c r="BT1372" t="str">
        <f>HYPERLINK("https%3A%2F%2Fwww.webofscience.com%2Fwos%2Fwoscc%2Ffull-record%2FWOS:000260772500007","View Full Record in Web of Science")</f>
        <v>View Full Record in Web of Science</v>
      </c>
    </row>
    <row r="1373" spans="1:72" x14ac:dyDescent="0.25">
      <c r="A1373" t="s">
        <v>72</v>
      </c>
      <c r="B1373" t="s">
        <v>17675</v>
      </c>
      <c r="C1373" t="s">
        <v>74</v>
      </c>
      <c r="D1373" t="s">
        <v>74</v>
      </c>
      <c r="E1373" t="s">
        <v>74</v>
      </c>
      <c r="F1373" t="s">
        <v>17674</v>
      </c>
      <c r="G1373" t="s">
        <v>74</v>
      </c>
      <c r="H1373" t="s">
        <v>74</v>
      </c>
      <c r="I1373" t="s">
        <v>17673</v>
      </c>
      <c r="J1373" t="s">
        <v>637</v>
      </c>
      <c r="K1373" t="s">
        <v>74</v>
      </c>
      <c r="L1373" t="s">
        <v>74</v>
      </c>
      <c r="M1373" t="s">
        <v>78</v>
      </c>
      <c r="N1373" t="s">
        <v>140</v>
      </c>
      <c r="O1373" t="s">
        <v>74</v>
      </c>
      <c r="P1373" t="s">
        <v>74</v>
      </c>
      <c r="Q1373" t="s">
        <v>74</v>
      </c>
      <c r="R1373" t="s">
        <v>74</v>
      </c>
      <c r="S1373" t="s">
        <v>74</v>
      </c>
      <c r="T1373" t="s">
        <v>74</v>
      </c>
      <c r="U1373" t="s">
        <v>17672</v>
      </c>
      <c r="V1373" t="s">
        <v>74</v>
      </c>
      <c r="W1373" t="s">
        <v>17671</v>
      </c>
      <c r="X1373" t="s">
        <v>17670</v>
      </c>
      <c r="Y1373" t="s">
        <v>17669</v>
      </c>
      <c r="Z1373" t="s">
        <v>74</v>
      </c>
      <c r="AA1373" t="s">
        <v>378</v>
      </c>
      <c r="AB1373" t="s">
        <v>2319</v>
      </c>
      <c r="AC1373" t="s">
        <v>74</v>
      </c>
      <c r="AD1373" t="s">
        <v>74</v>
      </c>
      <c r="AE1373" t="s">
        <v>74</v>
      </c>
      <c r="AF1373" t="s">
        <v>74</v>
      </c>
      <c r="AG1373">
        <v>16</v>
      </c>
      <c r="AH1373">
        <v>16</v>
      </c>
      <c r="AI1373">
        <v>16</v>
      </c>
      <c r="AJ1373">
        <v>0</v>
      </c>
      <c r="AK1373">
        <v>2</v>
      </c>
      <c r="AL1373" t="s">
        <v>649</v>
      </c>
      <c r="AM1373" t="s">
        <v>486</v>
      </c>
      <c r="AN1373" t="s">
        <v>650</v>
      </c>
      <c r="AO1373" t="s">
        <v>651</v>
      </c>
      <c r="AP1373" t="s">
        <v>652</v>
      </c>
      <c r="AQ1373" t="s">
        <v>74</v>
      </c>
      <c r="AR1373" t="s">
        <v>653</v>
      </c>
      <c r="AS1373" t="s">
        <v>654</v>
      </c>
      <c r="AT1373" t="s">
        <v>5777</v>
      </c>
      <c r="AU1373">
        <v>2008</v>
      </c>
      <c r="AV1373">
        <v>178</v>
      </c>
      <c r="AW1373">
        <v>6</v>
      </c>
      <c r="AX1373" t="s">
        <v>74</v>
      </c>
      <c r="AY1373" t="s">
        <v>74</v>
      </c>
      <c r="AZ1373" t="s">
        <v>74</v>
      </c>
      <c r="BA1373" t="s">
        <v>74</v>
      </c>
      <c r="BB1373">
        <v>551</v>
      </c>
      <c r="BC1373">
        <v>552</v>
      </c>
      <c r="BD1373" t="s">
        <v>74</v>
      </c>
      <c r="BE1373" t="s">
        <v>17668</v>
      </c>
      <c r="BF1373" t="str">
        <f>HYPERLINK("http://dx.doi.org/10.1164/rccm.200806-867ED","http://dx.doi.org/10.1164/rccm.200806-867ED")</f>
        <v>http://dx.doi.org/10.1164/rccm.200806-867ED</v>
      </c>
      <c r="BG1373" t="s">
        <v>74</v>
      </c>
      <c r="BH1373" t="s">
        <v>74</v>
      </c>
      <c r="BI1373">
        <v>2</v>
      </c>
      <c r="BJ1373" t="s">
        <v>341</v>
      </c>
      <c r="BK1373" t="s">
        <v>101</v>
      </c>
      <c r="BL1373" t="s">
        <v>342</v>
      </c>
      <c r="BM1373" t="s">
        <v>17654</v>
      </c>
      <c r="BN1373">
        <v>18755928</v>
      </c>
      <c r="BO1373" t="s">
        <v>74</v>
      </c>
      <c r="BP1373" t="s">
        <v>74</v>
      </c>
      <c r="BQ1373" t="s">
        <v>74</v>
      </c>
      <c r="BR1373" t="s">
        <v>104</v>
      </c>
      <c r="BS1373" t="s">
        <v>17667</v>
      </c>
      <c r="BT1373" t="str">
        <f>HYPERLINK("https%3A%2F%2Fwww.webofscience.com%2Fwos%2Fwoscc%2Ffull-record%2FWOS:000259158600001","View Full Record in Web of Science")</f>
        <v>View Full Record in Web of Science</v>
      </c>
    </row>
    <row r="1374" spans="1:72" x14ac:dyDescent="0.25">
      <c r="A1374" t="s">
        <v>72</v>
      </c>
      <c r="B1374" t="s">
        <v>17666</v>
      </c>
      <c r="C1374" t="s">
        <v>74</v>
      </c>
      <c r="D1374" t="s">
        <v>74</v>
      </c>
      <c r="E1374" t="s">
        <v>74</v>
      </c>
      <c r="F1374" t="s">
        <v>17665</v>
      </c>
      <c r="G1374" t="s">
        <v>74</v>
      </c>
      <c r="H1374" t="s">
        <v>74</v>
      </c>
      <c r="I1374" t="s">
        <v>17664</v>
      </c>
      <c r="J1374" t="s">
        <v>637</v>
      </c>
      <c r="K1374" t="s">
        <v>74</v>
      </c>
      <c r="L1374" t="s">
        <v>74</v>
      </c>
      <c r="M1374" t="s">
        <v>78</v>
      </c>
      <c r="N1374" t="s">
        <v>79</v>
      </c>
      <c r="O1374" t="s">
        <v>74</v>
      </c>
      <c r="P1374" t="s">
        <v>74</v>
      </c>
      <c r="Q1374" t="s">
        <v>74</v>
      </c>
      <c r="R1374" t="s">
        <v>74</v>
      </c>
      <c r="S1374" t="s">
        <v>74</v>
      </c>
      <c r="T1374" t="s">
        <v>17663</v>
      </c>
      <c r="U1374" t="s">
        <v>17662</v>
      </c>
      <c r="V1374" t="s">
        <v>17661</v>
      </c>
      <c r="W1374" t="s">
        <v>17660</v>
      </c>
      <c r="X1374" t="s">
        <v>17659</v>
      </c>
      <c r="Y1374" t="s">
        <v>17658</v>
      </c>
      <c r="Z1374" t="s">
        <v>2236</v>
      </c>
      <c r="AA1374" t="s">
        <v>17657</v>
      </c>
      <c r="AB1374" t="s">
        <v>17656</v>
      </c>
      <c r="AC1374" t="s">
        <v>74</v>
      </c>
      <c r="AD1374" t="s">
        <v>74</v>
      </c>
      <c r="AE1374" t="s">
        <v>74</v>
      </c>
      <c r="AF1374" t="s">
        <v>74</v>
      </c>
      <c r="AG1374">
        <v>35</v>
      </c>
      <c r="AH1374">
        <v>177</v>
      </c>
      <c r="AI1374">
        <v>179</v>
      </c>
      <c r="AJ1374">
        <v>0</v>
      </c>
      <c r="AK1374">
        <v>3</v>
      </c>
      <c r="AL1374" t="s">
        <v>649</v>
      </c>
      <c r="AM1374" t="s">
        <v>486</v>
      </c>
      <c r="AN1374" t="s">
        <v>17481</v>
      </c>
      <c r="AO1374" t="s">
        <v>651</v>
      </c>
      <c r="AP1374" t="s">
        <v>74</v>
      </c>
      <c r="AQ1374" t="s">
        <v>74</v>
      </c>
      <c r="AR1374" t="s">
        <v>653</v>
      </c>
      <c r="AS1374" t="s">
        <v>654</v>
      </c>
      <c r="AT1374" t="s">
        <v>5777</v>
      </c>
      <c r="AU1374">
        <v>2008</v>
      </c>
      <c r="AV1374">
        <v>178</v>
      </c>
      <c r="AW1374">
        <v>6</v>
      </c>
      <c r="AX1374" t="s">
        <v>74</v>
      </c>
      <c r="AY1374" t="s">
        <v>74</v>
      </c>
      <c r="AZ1374" t="s">
        <v>74</v>
      </c>
      <c r="BA1374" t="s">
        <v>74</v>
      </c>
      <c r="BB1374">
        <v>637</v>
      </c>
      <c r="BC1374">
        <v>643</v>
      </c>
      <c r="BD1374" t="s">
        <v>74</v>
      </c>
      <c r="BE1374" t="s">
        <v>17655</v>
      </c>
      <c r="BF1374" t="str">
        <f>HYPERLINK("http://dx.doi.org/10.1164/rccm.200804-613OC","http://dx.doi.org/10.1164/rccm.200804-613OC")</f>
        <v>http://dx.doi.org/10.1164/rccm.200804-613OC</v>
      </c>
      <c r="BG1374" t="s">
        <v>74</v>
      </c>
      <c r="BH1374" t="s">
        <v>74</v>
      </c>
      <c r="BI1374">
        <v>7</v>
      </c>
      <c r="BJ1374" t="s">
        <v>341</v>
      </c>
      <c r="BK1374" t="s">
        <v>101</v>
      </c>
      <c r="BL1374" t="s">
        <v>342</v>
      </c>
      <c r="BM1374" t="s">
        <v>17654</v>
      </c>
      <c r="BN1374">
        <v>18617641</v>
      </c>
      <c r="BO1374" t="s">
        <v>74</v>
      </c>
      <c r="BP1374" t="s">
        <v>74</v>
      </c>
      <c r="BQ1374" t="s">
        <v>74</v>
      </c>
      <c r="BR1374" t="s">
        <v>104</v>
      </c>
      <c r="BS1374" t="s">
        <v>17653</v>
      </c>
      <c r="BT1374" t="str">
        <f>HYPERLINK("https%3A%2F%2Fwww.webofscience.com%2Fwos%2Fwoscc%2Ffull-record%2FWOS:000259158600014","View Full Record in Web of Science")</f>
        <v>View Full Record in Web of Science</v>
      </c>
    </row>
    <row r="1375" spans="1:72" x14ac:dyDescent="0.25">
      <c r="A1375" t="s">
        <v>72</v>
      </c>
      <c r="B1375" t="s">
        <v>17652</v>
      </c>
      <c r="C1375" t="s">
        <v>74</v>
      </c>
      <c r="D1375" t="s">
        <v>74</v>
      </c>
      <c r="E1375" t="s">
        <v>74</v>
      </c>
      <c r="F1375" t="s">
        <v>17651</v>
      </c>
      <c r="G1375" t="s">
        <v>74</v>
      </c>
      <c r="H1375" t="s">
        <v>17644</v>
      </c>
      <c r="I1375" t="s">
        <v>17650</v>
      </c>
      <c r="J1375" t="s">
        <v>1068</v>
      </c>
      <c r="K1375" t="s">
        <v>74</v>
      </c>
      <c r="L1375" t="s">
        <v>74</v>
      </c>
      <c r="M1375" t="s">
        <v>78</v>
      </c>
      <c r="N1375" t="s">
        <v>52</v>
      </c>
      <c r="O1375" t="s">
        <v>74</v>
      </c>
      <c r="P1375" t="s">
        <v>74</v>
      </c>
      <c r="Q1375" t="s">
        <v>74</v>
      </c>
      <c r="R1375" t="s">
        <v>74</v>
      </c>
      <c r="S1375" t="s">
        <v>74</v>
      </c>
      <c r="T1375" t="s">
        <v>74</v>
      </c>
      <c r="U1375" t="s">
        <v>74</v>
      </c>
      <c r="V1375" t="s">
        <v>74</v>
      </c>
      <c r="W1375" t="s">
        <v>17649</v>
      </c>
      <c r="X1375" t="s">
        <v>17641</v>
      </c>
      <c r="Y1375" t="s">
        <v>74</v>
      </c>
      <c r="Z1375" t="s">
        <v>74</v>
      </c>
      <c r="AA1375" t="s">
        <v>17648</v>
      </c>
      <c r="AB1375" t="s">
        <v>4885</v>
      </c>
      <c r="AC1375" t="s">
        <v>74</v>
      </c>
      <c r="AD1375" t="s">
        <v>74</v>
      </c>
      <c r="AE1375" t="s">
        <v>74</v>
      </c>
      <c r="AF1375" t="s">
        <v>74</v>
      </c>
      <c r="AG1375">
        <v>0</v>
      </c>
      <c r="AH1375">
        <v>0</v>
      </c>
      <c r="AI1375">
        <v>0</v>
      </c>
      <c r="AJ1375">
        <v>0</v>
      </c>
      <c r="AK1375">
        <v>0</v>
      </c>
      <c r="AL1375" t="s">
        <v>1073</v>
      </c>
      <c r="AM1375" t="s">
        <v>1074</v>
      </c>
      <c r="AN1375" t="s">
        <v>1075</v>
      </c>
      <c r="AO1375" t="s">
        <v>1076</v>
      </c>
      <c r="AP1375" t="s">
        <v>74</v>
      </c>
      <c r="AQ1375" t="s">
        <v>74</v>
      </c>
      <c r="AR1375" t="s">
        <v>1078</v>
      </c>
      <c r="AS1375" t="s">
        <v>1079</v>
      </c>
      <c r="AT1375" t="s">
        <v>492</v>
      </c>
      <c r="AU1375">
        <v>2008</v>
      </c>
      <c r="AV1375">
        <v>29</v>
      </c>
      <c r="AW1375" t="s">
        <v>74</v>
      </c>
      <c r="AX1375" t="s">
        <v>74</v>
      </c>
      <c r="AY1375">
        <v>1</v>
      </c>
      <c r="AZ1375" t="s">
        <v>74</v>
      </c>
      <c r="BA1375" t="s">
        <v>74</v>
      </c>
      <c r="BB1375">
        <v>252</v>
      </c>
      <c r="BC1375">
        <v>252</v>
      </c>
      <c r="BD1375" t="s">
        <v>74</v>
      </c>
      <c r="BE1375" t="s">
        <v>74</v>
      </c>
      <c r="BF1375" t="s">
        <v>74</v>
      </c>
      <c r="BG1375" t="s">
        <v>74</v>
      </c>
      <c r="BH1375" t="s">
        <v>74</v>
      </c>
      <c r="BI1375">
        <v>1</v>
      </c>
      <c r="BJ1375" t="s">
        <v>132</v>
      </c>
      <c r="BK1375" t="s">
        <v>101</v>
      </c>
      <c r="BL1375" t="s">
        <v>133</v>
      </c>
      <c r="BM1375" t="s">
        <v>17639</v>
      </c>
      <c r="BN1375" t="s">
        <v>74</v>
      </c>
      <c r="BO1375" t="s">
        <v>74</v>
      </c>
      <c r="BP1375" t="s">
        <v>74</v>
      </c>
      <c r="BQ1375" t="s">
        <v>74</v>
      </c>
      <c r="BR1375" t="s">
        <v>104</v>
      </c>
      <c r="BS1375" t="s">
        <v>17647</v>
      </c>
      <c r="BT1375" t="str">
        <f>HYPERLINK("https%3A%2F%2Fwww.webofscience.com%2Fwos%2Fwoscc%2Ffull-record%2FWOS:000208702501206","View Full Record in Web of Science")</f>
        <v>View Full Record in Web of Science</v>
      </c>
    </row>
    <row r="1376" spans="1:72" x14ac:dyDescent="0.25">
      <c r="A1376" t="s">
        <v>72</v>
      </c>
      <c r="B1376" t="s">
        <v>17646</v>
      </c>
      <c r="C1376" t="s">
        <v>74</v>
      </c>
      <c r="D1376" t="s">
        <v>74</v>
      </c>
      <c r="E1376" t="s">
        <v>74</v>
      </c>
      <c r="F1376" t="s">
        <v>17645</v>
      </c>
      <c r="G1376" t="s">
        <v>74</v>
      </c>
      <c r="H1376" t="s">
        <v>17644</v>
      </c>
      <c r="I1376" t="s">
        <v>17643</v>
      </c>
      <c r="J1376" t="s">
        <v>1068</v>
      </c>
      <c r="K1376" t="s">
        <v>74</v>
      </c>
      <c r="L1376" t="s">
        <v>74</v>
      </c>
      <c r="M1376" t="s">
        <v>78</v>
      </c>
      <c r="N1376" t="s">
        <v>52</v>
      </c>
      <c r="O1376" t="s">
        <v>74</v>
      </c>
      <c r="P1376" t="s">
        <v>74</v>
      </c>
      <c r="Q1376" t="s">
        <v>74</v>
      </c>
      <c r="R1376" t="s">
        <v>74</v>
      </c>
      <c r="S1376" t="s">
        <v>74</v>
      </c>
      <c r="T1376" t="s">
        <v>74</v>
      </c>
      <c r="U1376" t="s">
        <v>74</v>
      </c>
      <c r="V1376" t="s">
        <v>74</v>
      </c>
      <c r="W1376" t="s">
        <v>17642</v>
      </c>
      <c r="X1376" t="s">
        <v>17641</v>
      </c>
      <c r="Y1376" t="s">
        <v>74</v>
      </c>
      <c r="Z1376" t="s">
        <v>74</v>
      </c>
      <c r="AA1376" t="s">
        <v>17640</v>
      </c>
      <c r="AB1376" t="s">
        <v>4885</v>
      </c>
      <c r="AC1376" t="s">
        <v>74</v>
      </c>
      <c r="AD1376" t="s">
        <v>74</v>
      </c>
      <c r="AE1376" t="s">
        <v>74</v>
      </c>
      <c r="AF1376" t="s">
        <v>74</v>
      </c>
      <c r="AG1376">
        <v>0</v>
      </c>
      <c r="AH1376">
        <v>0</v>
      </c>
      <c r="AI1376">
        <v>0</v>
      </c>
      <c r="AJ1376">
        <v>0</v>
      </c>
      <c r="AK1376">
        <v>0</v>
      </c>
      <c r="AL1376" t="s">
        <v>1073</v>
      </c>
      <c r="AM1376" t="s">
        <v>1074</v>
      </c>
      <c r="AN1376" t="s">
        <v>1075</v>
      </c>
      <c r="AO1376" t="s">
        <v>1076</v>
      </c>
      <c r="AP1376" t="s">
        <v>74</v>
      </c>
      <c r="AQ1376" t="s">
        <v>74</v>
      </c>
      <c r="AR1376" t="s">
        <v>1078</v>
      </c>
      <c r="AS1376" t="s">
        <v>1079</v>
      </c>
      <c r="AT1376" t="s">
        <v>492</v>
      </c>
      <c r="AU1376">
        <v>2008</v>
      </c>
      <c r="AV1376">
        <v>29</v>
      </c>
      <c r="AW1376" t="s">
        <v>74</v>
      </c>
      <c r="AX1376" t="s">
        <v>74</v>
      </c>
      <c r="AY1376">
        <v>1</v>
      </c>
      <c r="AZ1376" t="s">
        <v>74</v>
      </c>
      <c r="BA1376" t="s">
        <v>74</v>
      </c>
      <c r="BB1376">
        <v>518</v>
      </c>
      <c r="BC1376">
        <v>518</v>
      </c>
      <c r="BD1376" t="s">
        <v>74</v>
      </c>
      <c r="BE1376" t="s">
        <v>74</v>
      </c>
      <c r="BF1376" t="s">
        <v>74</v>
      </c>
      <c r="BG1376" t="s">
        <v>74</v>
      </c>
      <c r="BH1376" t="s">
        <v>74</v>
      </c>
      <c r="BI1376">
        <v>1</v>
      </c>
      <c r="BJ1376" t="s">
        <v>132</v>
      </c>
      <c r="BK1376" t="s">
        <v>101</v>
      </c>
      <c r="BL1376" t="s">
        <v>133</v>
      </c>
      <c r="BM1376" t="s">
        <v>17639</v>
      </c>
      <c r="BN1376" t="s">
        <v>74</v>
      </c>
      <c r="BO1376" t="s">
        <v>74</v>
      </c>
      <c r="BP1376" t="s">
        <v>74</v>
      </c>
      <c r="BQ1376" t="s">
        <v>74</v>
      </c>
      <c r="BR1376" t="s">
        <v>104</v>
      </c>
      <c r="BS1376" t="s">
        <v>17638</v>
      </c>
      <c r="BT1376" t="str">
        <f>HYPERLINK("https%3A%2F%2Fwww.webofscience.com%2Fwos%2Fwoscc%2Ffull-record%2FWOS:000208702502485","View Full Record in Web of Science")</f>
        <v>View Full Record in Web of Science</v>
      </c>
    </row>
    <row r="1377" spans="1:72" x14ac:dyDescent="0.25">
      <c r="A1377" t="s">
        <v>72</v>
      </c>
      <c r="B1377" t="s">
        <v>17637</v>
      </c>
      <c r="C1377" t="s">
        <v>74</v>
      </c>
      <c r="D1377" t="s">
        <v>74</v>
      </c>
      <c r="E1377" t="s">
        <v>74</v>
      </c>
      <c r="F1377" t="s">
        <v>17636</v>
      </c>
      <c r="G1377" t="s">
        <v>74</v>
      </c>
      <c r="H1377" t="s">
        <v>74</v>
      </c>
      <c r="I1377" t="s">
        <v>17635</v>
      </c>
      <c r="J1377" t="s">
        <v>15500</v>
      </c>
      <c r="K1377" t="s">
        <v>74</v>
      </c>
      <c r="L1377" t="s">
        <v>74</v>
      </c>
      <c r="M1377" t="s">
        <v>78</v>
      </c>
      <c r="N1377" t="s">
        <v>52</v>
      </c>
      <c r="O1377" t="s">
        <v>17585</v>
      </c>
      <c r="P1377" t="s">
        <v>17584</v>
      </c>
      <c r="Q1377" t="s">
        <v>3360</v>
      </c>
      <c r="R1377" t="s">
        <v>10882</v>
      </c>
      <c r="S1377" t="s">
        <v>74</v>
      </c>
      <c r="T1377" t="s">
        <v>74</v>
      </c>
      <c r="U1377" t="s">
        <v>74</v>
      </c>
      <c r="V1377" t="s">
        <v>74</v>
      </c>
      <c r="W1377" t="s">
        <v>17634</v>
      </c>
      <c r="X1377" t="s">
        <v>17633</v>
      </c>
      <c r="Y1377" t="s">
        <v>74</v>
      </c>
      <c r="Z1377" t="s">
        <v>74</v>
      </c>
      <c r="AA1377" t="s">
        <v>17632</v>
      </c>
      <c r="AB1377" t="s">
        <v>74</v>
      </c>
      <c r="AC1377" t="s">
        <v>74</v>
      </c>
      <c r="AD1377" t="s">
        <v>74</v>
      </c>
      <c r="AE1377" t="s">
        <v>74</v>
      </c>
      <c r="AF1377" t="s">
        <v>74</v>
      </c>
      <c r="AG1377">
        <v>0</v>
      </c>
      <c r="AH1377">
        <v>0</v>
      </c>
      <c r="AI1377">
        <v>0</v>
      </c>
      <c r="AJ1377">
        <v>0</v>
      </c>
      <c r="AK1377">
        <v>0</v>
      </c>
      <c r="AL1377" t="s">
        <v>15493</v>
      </c>
      <c r="AM1377" t="s">
        <v>170</v>
      </c>
      <c r="AN1377" t="s">
        <v>15755</v>
      </c>
      <c r="AO1377" t="s">
        <v>15491</v>
      </c>
      <c r="AP1377" t="s">
        <v>74</v>
      </c>
      <c r="AQ1377" t="s">
        <v>74</v>
      </c>
      <c r="AR1377" t="s">
        <v>15490</v>
      </c>
      <c r="AS1377" t="s">
        <v>15489</v>
      </c>
      <c r="AT1377" t="s">
        <v>492</v>
      </c>
      <c r="AU1377">
        <v>2008</v>
      </c>
      <c r="AV1377">
        <v>58</v>
      </c>
      <c r="AW1377">
        <v>9</v>
      </c>
      <c r="AX1377" t="s">
        <v>74</v>
      </c>
      <c r="AY1377" t="s">
        <v>998</v>
      </c>
      <c r="AZ1377" t="s">
        <v>74</v>
      </c>
      <c r="BA1377" t="s">
        <v>74</v>
      </c>
      <c r="BB1377" t="s">
        <v>17631</v>
      </c>
      <c r="BC1377" t="s">
        <v>17631</v>
      </c>
      <c r="BD1377" t="s">
        <v>74</v>
      </c>
      <c r="BE1377" t="s">
        <v>74</v>
      </c>
      <c r="BF1377" t="s">
        <v>74</v>
      </c>
      <c r="BG1377" t="s">
        <v>74</v>
      </c>
      <c r="BH1377" t="s">
        <v>74</v>
      </c>
      <c r="BI1377">
        <v>1</v>
      </c>
      <c r="BJ1377" t="s">
        <v>2369</v>
      </c>
      <c r="BK1377" t="s">
        <v>14074</v>
      </c>
      <c r="BL1377" t="s">
        <v>2369</v>
      </c>
      <c r="BM1377" t="s">
        <v>17579</v>
      </c>
      <c r="BN1377" t="s">
        <v>74</v>
      </c>
      <c r="BO1377" t="s">
        <v>74</v>
      </c>
      <c r="BP1377" t="s">
        <v>74</v>
      </c>
      <c r="BQ1377" t="s">
        <v>74</v>
      </c>
      <c r="BR1377" t="s">
        <v>104</v>
      </c>
      <c r="BS1377" t="s">
        <v>17630</v>
      </c>
      <c r="BT1377" t="str">
        <f>HYPERLINK("https%3A%2F%2Fwww.webofscience.com%2Fwos%2Fwoscc%2Ffull-record%2FWOS:000259244202311","View Full Record in Web of Science")</f>
        <v>View Full Record in Web of Science</v>
      </c>
    </row>
    <row r="1378" spans="1:72" x14ac:dyDescent="0.25">
      <c r="A1378" t="s">
        <v>72</v>
      </c>
      <c r="B1378" t="s">
        <v>1420</v>
      </c>
      <c r="C1378" t="s">
        <v>74</v>
      </c>
      <c r="D1378" t="s">
        <v>74</v>
      </c>
      <c r="E1378" t="s">
        <v>74</v>
      </c>
      <c r="F1378" t="s">
        <v>1421</v>
      </c>
      <c r="G1378" t="s">
        <v>74</v>
      </c>
      <c r="H1378" t="s">
        <v>74</v>
      </c>
      <c r="I1378" t="s">
        <v>17629</v>
      </c>
      <c r="J1378" t="s">
        <v>16036</v>
      </c>
      <c r="K1378" t="s">
        <v>74</v>
      </c>
      <c r="L1378" t="s">
        <v>74</v>
      </c>
      <c r="M1378" t="s">
        <v>78</v>
      </c>
      <c r="N1378" t="s">
        <v>8016</v>
      </c>
      <c r="O1378" t="s">
        <v>17628</v>
      </c>
      <c r="P1378" t="s">
        <v>17627</v>
      </c>
      <c r="Q1378" t="s">
        <v>17626</v>
      </c>
      <c r="R1378" t="s">
        <v>74</v>
      </c>
      <c r="S1378" t="s">
        <v>74</v>
      </c>
      <c r="T1378" t="s">
        <v>17625</v>
      </c>
      <c r="U1378" t="s">
        <v>17624</v>
      </c>
      <c r="V1378" t="s">
        <v>17623</v>
      </c>
      <c r="W1378" t="s">
        <v>17622</v>
      </c>
      <c r="X1378" t="s">
        <v>17621</v>
      </c>
      <c r="Y1378" t="s">
        <v>17620</v>
      </c>
      <c r="Z1378" t="s">
        <v>10573</v>
      </c>
      <c r="AA1378" t="s">
        <v>144</v>
      </c>
      <c r="AB1378" t="s">
        <v>257</v>
      </c>
      <c r="AC1378" t="s">
        <v>74</v>
      </c>
      <c r="AD1378" t="s">
        <v>74</v>
      </c>
      <c r="AE1378" t="s">
        <v>74</v>
      </c>
      <c r="AF1378" t="s">
        <v>74</v>
      </c>
      <c r="AG1378">
        <v>44</v>
      </c>
      <c r="AH1378">
        <v>24</v>
      </c>
      <c r="AI1378">
        <v>24</v>
      </c>
      <c r="AJ1378">
        <v>0</v>
      </c>
      <c r="AK1378">
        <v>1</v>
      </c>
      <c r="AL1378" t="s">
        <v>122</v>
      </c>
      <c r="AM1378" t="s">
        <v>123</v>
      </c>
      <c r="AN1378" t="s">
        <v>124</v>
      </c>
      <c r="AO1378" t="s">
        <v>16037</v>
      </c>
      <c r="AP1378" t="s">
        <v>17619</v>
      </c>
      <c r="AQ1378" t="s">
        <v>74</v>
      </c>
      <c r="AR1378" t="s">
        <v>16036</v>
      </c>
      <c r="AS1378" t="s">
        <v>16035</v>
      </c>
      <c r="AT1378" t="s">
        <v>492</v>
      </c>
      <c r="AU1378">
        <v>2008</v>
      </c>
      <c r="AV1378">
        <v>22</v>
      </c>
      <c r="AW1378" t="s">
        <v>74</v>
      </c>
      <c r="AX1378" t="s">
        <v>74</v>
      </c>
      <c r="AY1378">
        <v>3</v>
      </c>
      <c r="AZ1378" t="s">
        <v>74</v>
      </c>
      <c r="BA1378" t="s">
        <v>74</v>
      </c>
      <c r="BB1378" t="s">
        <v>17618</v>
      </c>
      <c r="BC1378" t="s">
        <v>17617</v>
      </c>
      <c r="BD1378" t="s">
        <v>74</v>
      </c>
      <c r="BE1378" t="s">
        <v>17616</v>
      </c>
      <c r="BF1378" t="str">
        <f>HYPERLINK("http://dx.doi.org/10.1097/01.aids.0000327515.55041.da","http://dx.doi.org/10.1097/01.aids.0000327515.55041.da")</f>
        <v>http://dx.doi.org/10.1097/01.aids.0000327515.55041.da</v>
      </c>
      <c r="BG1378" t="s">
        <v>74</v>
      </c>
      <c r="BH1378" t="s">
        <v>74</v>
      </c>
      <c r="BI1378">
        <v>7</v>
      </c>
      <c r="BJ1378" t="s">
        <v>16032</v>
      </c>
      <c r="BK1378" t="s">
        <v>512</v>
      </c>
      <c r="BL1378" t="s">
        <v>16032</v>
      </c>
      <c r="BM1378" t="s">
        <v>17615</v>
      </c>
      <c r="BN1378">
        <v>18845921</v>
      </c>
      <c r="BO1378" t="s">
        <v>1194</v>
      </c>
      <c r="BP1378" t="s">
        <v>74</v>
      </c>
      <c r="BQ1378" t="s">
        <v>74</v>
      </c>
      <c r="BR1378" t="s">
        <v>104</v>
      </c>
      <c r="BS1378" t="s">
        <v>17614</v>
      </c>
      <c r="BT1378" t="str">
        <f>HYPERLINK("https%3A%2F%2Fwww.webofscience.com%2Fwos%2Fwoscc%2Ffull-record%2FWOS:000260436700007","View Full Record in Web of Science")</f>
        <v>View Full Record in Web of Science</v>
      </c>
    </row>
    <row r="1379" spans="1:72" x14ac:dyDescent="0.25">
      <c r="A1379" t="s">
        <v>72</v>
      </c>
      <c r="B1379" t="s">
        <v>17613</v>
      </c>
      <c r="C1379" t="s">
        <v>74</v>
      </c>
      <c r="D1379" t="s">
        <v>74</v>
      </c>
      <c r="E1379" t="s">
        <v>74</v>
      </c>
      <c r="F1379" t="s">
        <v>17612</v>
      </c>
      <c r="G1379" t="s">
        <v>74</v>
      </c>
      <c r="H1379" t="s">
        <v>74</v>
      </c>
      <c r="I1379" t="s">
        <v>17611</v>
      </c>
      <c r="J1379" t="s">
        <v>15500</v>
      </c>
      <c r="K1379" t="s">
        <v>74</v>
      </c>
      <c r="L1379" t="s">
        <v>74</v>
      </c>
      <c r="M1379" t="s">
        <v>78</v>
      </c>
      <c r="N1379" t="s">
        <v>52</v>
      </c>
      <c r="O1379" t="s">
        <v>17585</v>
      </c>
      <c r="P1379" t="s">
        <v>17584</v>
      </c>
      <c r="Q1379" t="s">
        <v>3360</v>
      </c>
      <c r="R1379" t="s">
        <v>10882</v>
      </c>
      <c r="S1379" t="s">
        <v>74</v>
      </c>
      <c r="T1379" t="s">
        <v>74</v>
      </c>
      <c r="U1379" t="s">
        <v>74</v>
      </c>
      <c r="V1379" t="s">
        <v>74</v>
      </c>
      <c r="W1379" t="s">
        <v>17610</v>
      </c>
      <c r="X1379" t="s">
        <v>17609</v>
      </c>
      <c r="Y1379" t="s">
        <v>74</v>
      </c>
      <c r="Z1379" t="s">
        <v>74</v>
      </c>
      <c r="AA1379" t="s">
        <v>17608</v>
      </c>
      <c r="AB1379" t="s">
        <v>13185</v>
      </c>
      <c r="AC1379" t="s">
        <v>74</v>
      </c>
      <c r="AD1379" t="s">
        <v>74</v>
      </c>
      <c r="AE1379" t="s">
        <v>74</v>
      </c>
      <c r="AF1379" t="s">
        <v>74</v>
      </c>
      <c r="AG1379">
        <v>0</v>
      </c>
      <c r="AH1379">
        <v>0</v>
      </c>
      <c r="AI1379">
        <v>0</v>
      </c>
      <c r="AJ1379">
        <v>0</v>
      </c>
      <c r="AK1379">
        <v>1</v>
      </c>
      <c r="AL1379" t="s">
        <v>15493</v>
      </c>
      <c r="AM1379" t="s">
        <v>170</v>
      </c>
      <c r="AN1379" t="s">
        <v>15755</v>
      </c>
      <c r="AO1379" t="s">
        <v>15491</v>
      </c>
      <c r="AP1379" t="s">
        <v>74</v>
      </c>
      <c r="AQ1379" t="s">
        <v>74</v>
      </c>
      <c r="AR1379" t="s">
        <v>15490</v>
      </c>
      <c r="AS1379" t="s">
        <v>15489</v>
      </c>
      <c r="AT1379" t="s">
        <v>492</v>
      </c>
      <c r="AU1379">
        <v>2008</v>
      </c>
      <c r="AV1379">
        <v>58</v>
      </c>
      <c r="AW1379">
        <v>9</v>
      </c>
      <c r="AX1379" t="s">
        <v>74</v>
      </c>
      <c r="AY1379" t="s">
        <v>998</v>
      </c>
      <c r="AZ1379" t="s">
        <v>74</v>
      </c>
      <c r="BA1379" t="s">
        <v>74</v>
      </c>
      <c r="BB1379" t="s">
        <v>17607</v>
      </c>
      <c r="BC1379" t="s">
        <v>17607</v>
      </c>
      <c r="BD1379" t="s">
        <v>74</v>
      </c>
      <c r="BE1379" t="s">
        <v>74</v>
      </c>
      <c r="BF1379" t="s">
        <v>74</v>
      </c>
      <c r="BG1379" t="s">
        <v>74</v>
      </c>
      <c r="BH1379" t="s">
        <v>74</v>
      </c>
      <c r="BI1379">
        <v>1</v>
      </c>
      <c r="BJ1379" t="s">
        <v>2369</v>
      </c>
      <c r="BK1379" t="s">
        <v>14074</v>
      </c>
      <c r="BL1379" t="s">
        <v>2369</v>
      </c>
      <c r="BM1379" t="s">
        <v>17579</v>
      </c>
      <c r="BN1379" t="s">
        <v>74</v>
      </c>
      <c r="BO1379" t="s">
        <v>74</v>
      </c>
      <c r="BP1379" t="s">
        <v>74</v>
      </c>
      <c r="BQ1379" t="s">
        <v>74</v>
      </c>
      <c r="BR1379" t="s">
        <v>104</v>
      </c>
      <c r="BS1379" t="s">
        <v>17606</v>
      </c>
      <c r="BT1379" t="str">
        <f>HYPERLINK("https%3A%2F%2Fwww.webofscience.com%2Fwos%2Fwoscc%2Ffull-record%2FWOS:000259244202262","View Full Record in Web of Science")</f>
        <v>View Full Record in Web of Science</v>
      </c>
    </row>
    <row r="1380" spans="1:72" x14ac:dyDescent="0.25">
      <c r="A1380" t="s">
        <v>72</v>
      </c>
      <c r="B1380" t="s">
        <v>17605</v>
      </c>
      <c r="C1380" t="s">
        <v>74</v>
      </c>
      <c r="D1380" t="s">
        <v>74</v>
      </c>
      <c r="E1380" t="s">
        <v>74</v>
      </c>
      <c r="F1380" t="s">
        <v>17604</v>
      </c>
      <c r="G1380" t="s">
        <v>74</v>
      </c>
      <c r="H1380" t="s">
        <v>74</v>
      </c>
      <c r="I1380" t="s">
        <v>17603</v>
      </c>
      <c r="J1380" t="s">
        <v>15500</v>
      </c>
      <c r="K1380" t="s">
        <v>74</v>
      </c>
      <c r="L1380" t="s">
        <v>74</v>
      </c>
      <c r="M1380" t="s">
        <v>78</v>
      </c>
      <c r="N1380" t="s">
        <v>52</v>
      </c>
      <c r="O1380" t="s">
        <v>17585</v>
      </c>
      <c r="P1380" t="s">
        <v>17584</v>
      </c>
      <c r="Q1380" t="s">
        <v>3360</v>
      </c>
      <c r="R1380" t="s">
        <v>10882</v>
      </c>
      <c r="S1380" t="s">
        <v>74</v>
      </c>
      <c r="T1380" t="s">
        <v>74</v>
      </c>
      <c r="U1380" t="s">
        <v>74</v>
      </c>
      <c r="V1380" t="s">
        <v>74</v>
      </c>
      <c r="W1380" t="s">
        <v>17602</v>
      </c>
      <c r="X1380" t="s">
        <v>17601</v>
      </c>
      <c r="Y1380" t="s">
        <v>74</v>
      </c>
      <c r="Z1380" t="s">
        <v>74</v>
      </c>
      <c r="AA1380" t="s">
        <v>17600</v>
      </c>
      <c r="AB1380" t="s">
        <v>17599</v>
      </c>
      <c r="AC1380" t="s">
        <v>74</v>
      </c>
      <c r="AD1380" t="s">
        <v>74</v>
      </c>
      <c r="AE1380" t="s">
        <v>74</v>
      </c>
      <c r="AF1380" t="s">
        <v>74</v>
      </c>
      <c r="AG1380">
        <v>0</v>
      </c>
      <c r="AH1380">
        <v>0</v>
      </c>
      <c r="AI1380">
        <v>0</v>
      </c>
      <c r="AJ1380">
        <v>0</v>
      </c>
      <c r="AK1380">
        <v>1</v>
      </c>
      <c r="AL1380" t="s">
        <v>15493</v>
      </c>
      <c r="AM1380" t="s">
        <v>170</v>
      </c>
      <c r="AN1380" t="s">
        <v>15755</v>
      </c>
      <c r="AO1380" t="s">
        <v>15491</v>
      </c>
      <c r="AP1380" t="s">
        <v>74</v>
      </c>
      <c r="AQ1380" t="s">
        <v>74</v>
      </c>
      <c r="AR1380" t="s">
        <v>16086</v>
      </c>
      <c r="AS1380" t="s">
        <v>15489</v>
      </c>
      <c r="AT1380" t="s">
        <v>492</v>
      </c>
      <c r="AU1380">
        <v>2008</v>
      </c>
      <c r="AV1380">
        <v>58</v>
      </c>
      <c r="AW1380">
        <v>9</v>
      </c>
      <c r="AX1380" t="s">
        <v>74</v>
      </c>
      <c r="AY1380" t="s">
        <v>998</v>
      </c>
      <c r="AZ1380" t="s">
        <v>74</v>
      </c>
      <c r="BA1380" t="s">
        <v>74</v>
      </c>
      <c r="BB1380" t="s">
        <v>17598</v>
      </c>
      <c r="BC1380" t="s">
        <v>17598</v>
      </c>
      <c r="BD1380" t="s">
        <v>74</v>
      </c>
      <c r="BE1380" t="s">
        <v>74</v>
      </c>
      <c r="BF1380" t="s">
        <v>74</v>
      </c>
      <c r="BG1380" t="s">
        <v>74</v>
      </c>
      <c r="BH1380" t="s">
        <v>74</v>
      </c>
      <c r="BI1380">
        <v>1</v>
      </c>
      <c r="BJ1380" t="s">
        <v>2369</v>
      </c>
      <c r="BK1380" t="s">
        <v>512</v>
      </c>
      <c r="BL1380" t="s">
        <v>2369</v>
      </c>
      <c r="BM1380" t="s">
        <v>17579</v>
      </c>
      <c r="BN1380" t="s">
        <v>74</v>
      </c>
      <c r="BO1380" t="s">
        <v>74</v>
      </c>
      <c r="BP1380" t="s">
        <v>74</v>
      </c>
      <c r="BQ1380" t="s">
        <v>74</v>
      </c>
      <c r="BR1380" t="s">
        <v>104</v>
      </c>
      <c r="BS1380" t="s">
        <v>17597</v>
      </c>
      <c r="BT1380" t="str">
        <f>HYPERLINK("https%3A%2F%2Fwww.webofscience.com%2Fwos%2Fwoscc%2Ffull-record%2FWOS:000259244200579","View Full Record in Web of Science")</f>
        <v>View Full Record in Web of Science</v>
      </c>
    </row>
    <row r="1381" spans="1:72" x14ac:dyDescent="0.25">
      <c r="A1381" t="s">
        <v>72</v>
      </c>
      <c r="B1381" t="s">
        <v>17596</v>
      </c>
      <c r="C1381" t="s">
        <v>74</v>
      </c>
      <c r="D1381" t="s">
        <v>74</v>
      </c>
      <c r="E1381" t="s">
        <v>74</v>
      </c>
      <c r="F1381" t="s">
        <v>17595</v>
      </c>
      <c r="G1381" t="s">
        <v>74</v>
      </c>
      <c r="H1381" t="s">
        <v>74</v>
      </c>
      <c r="I1381" t="s">
        <v>17594</v>
      </c>
      <c r="J1381" t="s">
        <v>15500</v>
      </c>
      <c r="K1381" t="s">
        <v>74</v>
      </c>
      <c r="L1381" t="s">
        <v>74</v>
      </c>
      <c r="M1381" t="s">
        <v>78</v>
      </c>
      <c r="N1381" t="s">
        <v>52</v>
      </c>
      <c r="O1381" t="s">
        <v>17585</v>
      </c>
      <c r="P1381" t="s">
        <v>17584</v>
      </c>
      <c r="Q1381" t="s">
        <v>3360</v>
      </c>
      <c r="R1381" t="s">
        <v>10882</v>
      </c>
      <c r="S1381" t="s">
        <v>74</v>
      </c>
      <c r="T1381" t="s">
        <v>74</v>
      </c>
      <c r="U1381" t="s">
        <v>74</v>
      </c>
      <c r="V1381" t="s">
        <v>74</v>
      </c>
      <c r="W1381" t="s">
        <v>17593</v>
      </c>
      <c r="X1381" t="s">
        <v>17592</v>
      </c>
      <c r="Y1381" t="s">
        <v>74</v>
      </c>
      <c r="Z1381" t="s">
        <v>74</v>
      </c>
      <c r="AA1381" t="s">
        <v>17591</v>
      </c>
      <c r="AB1381" t="s">
        <v>74</v>
      </c>
      <c r="AC1381" t="s">
        <v>74</v>
      </c>
      <c r="AD1381" t="s">
        <v>74</v>
      </c>
      <c r="AE1381" t="s">
        <v>74</v>
      </c>
      <c r="AF1381" t="s">
        <v>74</v>
      </c>
      <c r="AG1381">
        <v>0</v>
      </c>
      <c r="AH1381">
        <v>0</v>
      </c>
      <c r="AI1381">
        <v>0</v>
      </c>
      <c r="AJ1381">
        <v>0</v>
      </c>
      <c r="AK1381">
        <v>1</v>
      </c>
      <c r="AL1381" t="s">
        <v>15493</v>
      </c>
      <c r="AM1381" t="s">
        <v>170</v>
      </c>
      <c r="AN1381" t="s">
        <v>15755</v>
      </c>
      <c r="AO1381" t="s">
        <v>15491</v>
      </c>
      <c r="AP1381" t="s">
        <v>74</v>
      </c>
      <c r="AQ1381" t="s">
        <v>74</v>
      </c>
      <c r="AR1381" t="s">
        <v>15490</v>
      </c>
      <c r="AS1381" t="s">
        <v>15489</v>
      </c>
      <c r="AT1381" t="s">
        <v>492</v>
      </c>
      <c r="AU1381">
        <v>2008</v>
      </c>
      <c r="AV1381">
        <v>58</v>
      </c>
      <c r="AW1381">
        <v>9</v>
      </c>
      <c r="AX1381" t="s">
        <v>74</v>
      </c>
      <c r="AY1381" t="s">
        <v>998</v>
      </c>
      <c r="AZ1381" t="s">
        <v>74</v>
      </c>
      <c r="BA1381" t="s">
        <v>74</v>
      </c>
      <c r="BB1381" t="s">
        <v>17590</v>
      </c>
      <c r="BC1381" t="s">
        <v>17590</v>
      </c>
      <c r="BD1381" t="s">
        <v>74</v>
      </c>
      <c r="BE1381" t="s">
        <v>74</v>
      </c>
      <c r="BF1381" t="s">
        <v>74</v>
      </c>
      <c r="BG1381" t="s">
        <v>74</v>
      </c>
      <c r="BH1381" t="s">
        <v>74</v>
      </c>
      <c r="BI1381">
        <v>1</v>
      </c>
      <c r="BJ1381" t="s">
        <v>2369</v>
      </c>
      <c r="BK1381" t="s">
        <v>14074</v>
      </c>
      <c r="BL1381" t="s">
        <v>2369</v>
      </c>
      <c r="BM1381" t="s">
        <v>17579</v>
      </c>
      <c r="BN1381" t="s">
        <v>74</v>
      </c>
      <c r="BO1381" t="s">
        <v>74</v>
      </c>
      <c r="BP1381" t="s">
        <v>74</v>
      </c>
      <c r="BQ1381" t="s">
        <v>74</v>
      </c>
      <c r="BR1381" t="s">
        <v>104</v>
      </c>
      <c r="BS1381" t="s">
        <v>17589</v>
      </c>
      <c r="BT1381" t="str">
        <f>HYPERLINK("https%3A%2F%2Fwww.webofscience.com%2Fwos%2Fwoscc%2Ffull-record%2FWOS:000259244202310","View Full Record in Web of Science")</f>
        <v>View Full Record in Web of Science</v>
      </c>
    </row>
    <row r="1382" spans="1:72" x14ac:dyDescent="0.25">
      <c r="A1382" t="s">
        <v>72</v>
      </c>
      <c r="B1382" t="s">
        <v>17588</v>
      </c>
      <c r="C1382" t="s">
        <v>74</v>
      </c>
      <c r="D1382" t="s">
        <v>74</v>
      </c>
      <c r="E1382" t="s">
        <v>74</v>
      </c>
      <c r="F1382" t="s">
        <v>17587</v>
      </c>
      <c r="G1382" t="s">
        <v>74</v>
      </c>
      <c r="H1382" t="s">
        <v>74</v>
      </c>
      <c r="I1382" t="s">
        <v>17586</v>
      </c>
      <c r="J1382" t="s">
        <v>15500</v>
      </c>
      <c r="K1382" t="s">
        <v>74</v>
      </c>
      <c r="L1382" t="s">
        <v>74</v>
      </c>
      <c r="M1382" t="s">
        <v>78</v>
      </c>
      <c r="N1382" t="s">
        <v>52</v>
      </c>
      <c r="O1382" t="s">
        <v>17585</v>
      </c>
      <c r="P1382" t="s">
        <v>17584</v>
      </c>
      <c r="Q1382" t="s">
        <v>3360</v>
      </c>
      <c r="R1382" t="s">
        <v>10882</v>
      </c>
      <c r="S1382" t="s">
        <v>74</v>
      </c>
      <c r="T1382" t="s">
        <v>74</v>
      </c>
      <c r="U1382" t="s">
        <v>74</v>
      </c>
      <c r="V1382" t="s">
        <v>74</v>
      </c>
      <c r="W1382" t="s">
        <v>17583</v>
      </c>
      <c r="X1382" t="s">
        <v>17582</v>
      </c>
      <c r="Y1382" t="s">
        <v>74</v>
      </c>
      <c r="Z1382" t="s">
        <v>74</v>
      </c>
      <c r="AA1382" t="s">
        <v>17581</v>
      </c>
      <c r="AB1382" t="s">
        <v>74</v>
      </c>
      <c r="AC1382" t="s">
        <v>74</v>
      </c>
      <c r="AD1382" t="s">
        <v>74</v>
      </c>
      <c r="AE1382" t="s">
        <v>74</v>
      </c>
      <c r="AF1382" t="s">
        <v>74</v>
      </c>
      <c r="AG1382">
        <v>0</v>
      </c>
      <c r="AH1382">
        <v>0</v>
      </c>
      <c r="AI1382">
        <v>0</v>
      </c>
      <c r="AJ1382">
        <v>0</v>
      </c>
      <c r="AK1382">
        <v>0</v>
      </c>
      <c r="AL1382" t="s">
        <v>15493</v>
      </c>
      <c r="AM1382" t="s">
        <v>170</v>
      </c>
      <c r="AN1382" t="s">
        <v>15755</v>
      </c>
      <c r="AO1382" t="s">
        <v>15491</v>
      </c>
      <c r="AP1382" t="s">
        <v>74</v>
      </c>
      <c r="AQ1382" t="s">
        <v>74</v>
      </c>
      <c r="AR1382" t="s">
        <v>15490</v>
      </c>
      <c r="AS1382" t="s">
        <v>15489</v>
      </c>
      <c r="AT1382" t="s">
        <v>492</v>
      </c>
      <c r="AU1382">
        <v>2008</v>
      </c>
      <c r="AV1382">
        <v>58</v>
      </c>
      <c r="AW1382">
        <v>9</v>
      </c>
      <c r="AX1382" t="s">
        <v>74</v>
      </c>
      <c r="AY1382" t="s">
        <v>998</v>
      </c>
      <c r="AZ1382" t="s">
        <v>74</v>
      </c>
      <c r="BA1382" t="s">
        <v>74</v>
      </c>
      <c r="BB1382" t="s">
        <v>17580</v>
      </c>
      <c r="BC1382" t="s">
        <v>17580</v>
      </c>
      <c r="BD1382" t="s">
        <v>74</v>
      </c>
      <c r="BE1382" t="s">
        <v>74</v>
      </c>
      <c r="BF1382" t="s">
        <v>74</v>
      </c>
      <c r="BG1382" t="s">
        <v>74</v>
      </c>
      <c r="BH1382" t="s">
        <v>74</v>
      </c>
      <c r="BI1382">
        <v>1</v>
      </c>
      <c r="BJ1382" t="s">
        <v>2369</v>
      </c>
      <c r="BK1382" t="s">
        <v>14074</v>
      </c>
      <c r="BL1382" t="s">
        <v>2369</v>
      </c>
      <c r="BM1382" t="s">
        <v>17579</v>
      </c>
      <c r="BN1382" t="s">
        <v>74</v>
      </c>
      <c r="BO1382" t="s">
        <v>74</v>
      </c>
      <c r="BP1382" t="s">
        <v>74</v>
      </c>
      <c r="BQ1382" t="s">
        <v>74</v>
      </c>
      <c r="BR1382" t="s">
        <v>104</v>
      </c>
      <c r="BS1382" t="s">
        <v>17578</v>
      </c>
      <c r="BT1382" t="str">
        <f>HYPERLINK("https%3A%2F%2Fwww.webofscience.com%2Fwos%2Fwoscc%2Ffull-record%2FWOS:000259244202291","View Full Record in Web of Science")</f>
        <v>View Full Record in Web of Science</v>
      </c>
    </row>
    <row r="1383" spans="1:72" x14ac:dyDescent="0.25">
      <c r="A1383" t="s">
        <v>72</v>
      </c>
      <c r="B1383" t="s">
        <v>17477</v>
      </c>
      <c r="C1383" t="s">
        <v>74</v>
      </c>
      <c r="D1383" t="s">
        <v>74</v>
      </c>
      <c r="E1383" t="s">
        <v>74</v>
      </c>
      <c r="F1383" t="s">
        <v>17577</v>
      </c>
      <c r="G1383" t="s">
        <v>74</v>
      </c>
      <c r="H1383" t="s">
        <v>74</v>
      </c>
      <c r="I1383" t="s">
        <v>17576</v>
      </c>
      <c r="J1383" t="s">
        <v>17473</v>
      </c>
      <c r="K1383" t="s">
        <v>74</v>
      </c>
      <c r="L1383" t="s">
        <v>74</v>
      </c>
      <c r="M1383" t="s">
        <v>78</v>
      </c>
      <c r="N1383" t="s">
        <v>217</v>
      </c>
      <c r="O1383" t="s">
        <v>74</v>
      </c>
      <c r="P1383" t="s">
        <v>74</v>
      </c>
      <c r="Q1383" t="s">
        <v>74</v>
      </c>
      <c r="R1383" t="s">
        <v>74</v>
      </c>
      <c r="S1383" t="s">
        <v>74</v>
      </c>
      <c r="T1383" t="s">
        <v>74</v>
      </c>
      <c r="U1383" t="s">
        <v>74</v>
      </c>
      <c r="V1383" t="s">
        <v>74</v>
      </c>
      <c r="W1383" t="s">
        <v>74</v>
      </c>
      <c r="X1383" t="s">
        <v>74</v>
      </c>
      <c r="Y1383" t="s">
        <v>74</v>
      </c>
      <c r="Z1383" t="s">
        <v>74</v>
      </c>
      <c r="AA1383" t="s">
        <v>17575</v>
      </c>
      <c r="AB1383" t="s">
        <v>74</v>
      </c>
      <c r="AC1383" t="s">
        <v>74</v>
      </c>
      <c r="AD1383" t="s">
        <v>74</v>
      </c>
      <c r="AE1383" t="s">
        <v>74</v>
      </c>
      <c r="AF1383" t="s">
        <v>74</v>
      </c>
      <c r="AG1383">
        <v>1</v>
      </c>
      <c r="AH1383">
        <v>2</v>
      </c>
      <c r="AI1383">
        <v>2</v>
      </c>
      <c r="AJ1383">
        <v>0</v>
      </c>
      <c r="AK1383">
        <v>1</v>
      </c>
      <c r="AL1383" t="s">
        <v>15493</v>
      </c>
      <c r="AM1383" t="s">
        <v>170</v>
      </c>
      <c r="AN1383" t="s">
        <v>15755</v>
      </c>
      <c r="AO1383" t="s">
        <v>15491</v>
      </c>
      <c r="AP1383" t="s">
        <v>74</v>
      </c>
      <c r="AQ1383" t="s">
        <v>74</v>
      </c>
      <c r="AR1383" t="s">
        <v>17464</v>
      </c>
      <c r="AS1383" t="s">
        <v>17463</v>
      </c>
      <c r="AT1383" t="s">
        <v>6124</v>
      </c>
      <c r="AU1383">
        <v>2008</v>
      </c>
      <c r="AV1383">
        <v>59</v>
      </c>
      <c r="AW1383">
        <v>8</v>
      </c>
      <c r="AX1383" t="s">
        <v>74</v>
      </c>
      <c r="AY1383" t="s">
        <v>74</v>
      </c>
      <c r="AZ1383" t="s">
        <v>74</v>
      </c>
      <c r="BA1383" t="s">
        <v>74</v>
      </c>
      <c r="BB1383">
        <v>1202</v>
      </c>
      <c r="BC1383">
        <v>1202</v>
      </c>
      <c r="BD1383" t="s">
        <v>74</v>
      </c>
      <c r="BE1383" t="s">
        <v>74</v>
      </c>
      <c r="BF1383" t="s">
        <v>74</v>
      </c>
      <c r="BG1383" t="s">
        <v>74</v>
      </c>
      <c r="BH1383" t="s">
        <v>74</v>
      </c>
      <c r="BI1383">
        <v>1</v>
      </c>
      <c r="BJ1383" t="s">
        <v>2369</v>
      </c>
      <c r="BK1383" t="s">
        <v>101</v>
      </c>
      <c r="BL1383" t="s">
        <v>2369</v>
      </c>
      <c r="BM1383" t="s">
        <v>17574</v>
      </c>
      <c r="BN1383" t="s">
        <v>74</v>
      </c>
      <c r="BO1383" t="s">
        <v>74</v>
      </c>
      <c r="BP1383" t="s">
        <v>74</v>
      </c>
      <c r="BQ1383" t="s">
        <v>74</v>
      </c>
      <c r="BR1383" t="s">
        <v>104</v>
      </c>
      <c r="BS1383" t="s">
        <v>17573</v>
      </c>
      <c r="BT1383" t="str">
        <f>HYPERLINK("https%3A%2F%2Fwww.webofscience.com%2Fwos%2Fwoscc%2Ffull-record%2FWOS:000258888800026","View Full Record in Web of Science")</f>
        <v>View Full Record in Web of Science</v>
      </c>
    </row>
    <row r="1384" spans="1:72" x14ac:dyDescent="0.25">
      <c r="A1384" t="s">
        <v>72</v>
      </c>
      <c r="B1384" t="s">
        <v>17572</v>
      </c>
      <c r="C1384" t="s">
        <v>74</v>
      </c>
      <c r="D1384" t="s">
        <v>74</v>
      </c>
      <c r="E1384" t="s">
        <v>74</v>
      </c>
      <c r="F1384" t="s">
        <v>17571</v>
      </c>
      <c r="G1384" t="s">
        <v>74</v>
      </c>
      <c r="H1384" t="s">
        <v>74</v>
      </c>
      <c r="I1384" t="s">
        <v>17570</v>
      </c>
      <c r="J1384" t="s">
        <v>216</v>
      </c>
      <c r="K1384" t="s">
        <v>74</v>
      </c>
      <c r="L1384" t="s">
        <v>74</v>
      </c>
      <c r="M1384" t="s">
        <v>78</v>
      </c>
      <c r="N1384" t="s">
        <v>79</v>
      </c>
      <c r="O1384" t="s">
        <v>74</v>
      </c>
      <c r="P1384" t="s">
        <v>74</v>
      </c>
      <c r="Q1384" t="s">
        <v>74</v>
      </c>
      <c r="R1384" t="s">
        <v>74</v>
      </c>
      <c r="S1384" t="s">
        <v>74</v>
      </c>
      <c r="T1384" t="s">
        <v>17569</v>
      </c>
      <c r="U1384" t="s">
        <v>17568</v>
      </c>
      <c r="V1384" t="s">
        <v>17567</v>
      </c>
      <c r="W1384" t="s">
        <v>17566</v>
      </c>
      <c r="X1384" t="s">
        <v>17565</v>
      </c>
      <c r="Y1384" t="s">
        <v>17564</v>
      </c>
      <c r="Z1384" t="s">
        <v>17563</v>
      </c>
      <c r="AA1384" t="s">
        <v>17562</v>
      </c>
      <c r="AB1384" t="s">
        <v>17561</v>
      </c>
      <c r="AC1384" t="s">
        <v>74</v>
      </c>
      <c r="AD1384" t="s">
        <v>74</v>
      </c>
      <c r="AE1384" t="s">
        <v>74</v>
      </c>
      <c r="AF1384" t="s">
        <v>74</v>
      </c>
      <c r="AG1384">
        <v>17</v>
      </c>
      <c r="AH1384">
        <v>26</v>
      </c>
      <c r="AI1384">
        <v>28</v>
      </c>
      <c r="AJ1384">
        <v>1</v>
      </c>
      <c r="AK1384">
        <v>3</v>
      </c>
      <c r="AL1384" t="s">
        <v>219</v>
      </c>
      <c r="AM1384" t="s">
        <v>220</v>
      </c>
      <c r="AN1384" t="s">
        <v>15273</v>
      </c>
      <c r="AO1384" t="s">
        <v>222</v>
      </c>
      <c r="AP1384" t="s">
        <v>74</v>
      </c>
      <c r="AQ1384" t="s">
        <v>74</v>
      </c>
      <c r="AR1384" t="s">
        <v>224</v>
      </c>
      <c r="AS1384" t="s">
        <v>225</v>
      </c>
      <c r="AT1384" t="s">
        <v>725</v>
      </c>
      <c r="AU1384">
        <v>2008</v>
      </c>
      <c r="AV1384">
        <v>32</v>
      </c>
      <c r="AW1384">
        <v>2</v>
      </c>
      <c r="AX1384" t="s">
        <v>74</v>
      </c>
      <c r="AY1384" t="s">
        <v>74</v>
      </c>
      <c r="AZ1384" t="s">
        <v>74</v>
      </c>
      <c r="BA1384" t="s">
        <v>74</v>
      </c>
      <c r="BB1384">
        <v>513</v>
      </c>
      <c r="BC1384">
        <v>516</v>
      </c>
      <c r="BD1384" t="s">
        <v>74</v>
      </c>
      <c r="BE1384" t="s">
        <v>17560</v>
      </c>
      <c r="BF1384" t="str">
        <f>HYPERLINK("http://dx.doi.org/10.1183/09031936.00005408","http://dx.doi.org/10.1183/09031936.00005408")</f>
        <v>http://dx.doi.org/10.1183/09031936.00005408</v>
      </c>
      <c r="BG1384" t="s">
        <v>74</v>
      </c>
      <c r="BH1384" t="s">
        <v>74</v>
      </c>
      <c r="BI1384">
        <v>4</v>
      </c>
      <c r="BJ1384" t="s">
        <v>228</v>
      </c>
      <c r="BK1384" t="s">
        <v>101</v>
      </c>
      <c r="BL1384" t="s">
        <v>228</v>
      </c>
      <c r="BM1384" t="s">
        <v>17529</v>
      </c>
      <c r="BN1384">
        <v>18669791</v>
      </c>
      <c r="BO1384" t="s">
        <v>74</v>
      </c>
      <c r="BP1384" t="s">
        <v>74</v>
      </c>
      <c r="BQ1384" t="s">
        <v>74</v>
      </c>
      <c r="BR1384" t="s">
        <v>104</v>
      </c>
      <c r="BS1384" t="s">
        <v>17559</v>
      </c>
      <c r="BT1384" t="str">
        <f>HYPERLINK("https%3A%2F%2Fwww.webofscience.com%2Fwos%2Fwoscc%2Ffull-record%2FWOS:000258417000035","View Full Record in Web of Science")</f>
        <v>View Full Record in Web of Science</v>
      </c>
    </row>
    <row r="1385" spans="1:72" x14ac:dyDescent="0.25">
      <c r="A1385" t="s">
        <v>72</v>
      </c>
      <c r="B1385" t="s">
        <v>17558</v>
      </c>
      <c r="C1385" t="s">
        <v>74</v>
      </c>
      <c r="D1385" t="s">
        <v>74</v>
      </c>
      <c r="E1385" t="s">
        <v>74</v>
      </c>
      <c r="F1385" t="s">
        <v>17557</v>
      </c>
      <c r="G1385" t="s">
        <v>74</v>
      </c>
      <c r="H1385" t="s">
        <v>74</v>
      </c>
      <c r="I1385" t="s">
        <v>17556</v>
      </c>
      <c r="J1385" t="s">
        <v>17555</v>
      </c>
      <c r="K1385" t="s">
        <v>74</v>
      </c>
      <c r="L1385" t="s">
        <v>74</v>
      </c>
      <c r="M1385" t="s">
        <v>78</v>
      </c>
      <c r="N1385" t="s">
        <v>79</v>
      </c>
      <c r="O1385" t="s">
        <v>74</v>
      </c>
      <c r="P1385" t="s">
        <v>74</v>
      </c>
      <c r="Q1385" t="s">
        <v>74</v>
      </c>
      <c r="R1385" t="s">
        <v>74</v>
      </c>
      <c r="S1385" t="s">
        <v>74</v>
      </c>
      <c r="T1385" t="s">
        <v>74</v>
      </c>
      <c r="U1385" t="s">
        <v>16216</v>
      </c>
      <c r="V1385" t="s">
        <v>17554</v>
      </c>
      <c r="W1385" t="s">
        <v>17553</v>
      </c>
      <c r="X1385" t="s">
        <v>17552</v>
      </c>
      <c r="Y1385" t="s">
        <v>17551</v>
      </c>
      <c r="Z1385" t="s">
        <v>17550</v>
      </c>
      <c r="AA1385" t="s">
        <v>17549</v>
      </c>
      <c r="AB1385" t="s">
        <v>2803</v>
      </c>
      <c r="AC1385" t="s">
        <v>74</v>
      </c>
      <c r="AD1385" t="s">
        <v>74</v>
      </c>
      <c r="AE1385" t="s">
        <v>74</v>
      </c>
      <c r="AF1385" t="s">
        <v>74</v>
      </c>
      <c r="AG1385">
        <v>19</v>
      </c>
      <c r="AH1385">
        <v>78</v>
      </c>
      <c r="AI1385">
        <v>88</v>
      </c>
      <c r="AJ1385">
        <v>0</v>
      </c>
      <c r="AK1385">
        <v>2</v>
      </c>
      <c r="AL1385" t="s">
        <v>7501</v>
      </c>
      <c r="AM1385" t="s">
        <v>486</v>
      </c>
      <c r="AN1385" t="s">
        <v>9667</v>
      </c>
      <c r="AO1385" t="s">
        <v>17548</v>
      </c>
      <c r="AP1385" t="s">
        <v>17547</v>
      </c>
      <c r="AQ1385" t="s">
        <v>74</v>
      </c>
      <c r="AR1385" t="s">
        <v>17546</v>
      </c>
      <c r="AS1385" t="s">
        <v>17545</v>
      </c>
      <c r="AT1385" t="s">
        <v>725</v>
      </c>
      <c r="AU1385">
        <v>2008</v>
      </c>
      <c r="AV1385">
        <v>64</v>
      </c>
      <c r="AW1385">
        <v>2</v>
      </c>
      <c r="AX1385" t="s">
        <v>74</v>
      </c>
      <c r="AY1385" t="s">
        <v>74</v>
      </c>
      <c r="AZ1385" t="s">
        <v>74</v>
      </c>
      <c r="BA1385" t="s">
        <v>74</v>
      </c>
      <c r="BB1385">
        <v>200</v>
      </c>
      <c r="BC1385">
        <v>204</v>
      </c>
      <c r="BD1385" t="s">
        <v>74</v>
      </c>
      <c r="BE1385" t="s">
        <v>17544</v>
      </c>
      <c r="BF1385" t="str">
        <f>HYPERLINK("http://dx.doi.org/10.1203/PDR.0b013e318179954c","http://dx.doi.org/10.1203/PDR.0b013e318179954c")</f>
        <v>http://dx.doi.org/10.1203/PDR.0b013e318179954c</v>
      </c>
      <c r="BG1385" t="s">
        <v>74</v>
      </c>
      <c r="BH1385" t="s">
        <v>74</v>
      </c>
      <c r="BI1385">
        <v>5</v>
      </c>
      <c r="BJ1385" t="s">
        <v>4364</v>
      </c>
      <c r="BK1385" t="s">
        <v>101</v>
      </c>
      <c r="BL1385" t="s">
        <v>4364</v>
      </c>
      <c r="BM1385" t="s">
        <v>17543</v>
      </c>
      <c r="BN1385">
        <v>18414142</v>
      </c>
      <c r="BO1385" t="s">
        <v>1194</v>
      </c>
      <c r="BP1385" t="s">
        <v>74</v>
      </c>
      <c r="BQ1385" t="s">
        <v>74</v>
      </c>
      <c r="BR1385" t="s">
        <v>104</v>
      </c>
      <c r="BS1385" t="s">
        <v>17542</v>
      </c>
      <c r="BT1385" t="str">
        <f>HYPERLINK("https%3A%2F%2Fwww.webofscience.com%2Fwos%2Fwoscc%2Ffull-record%2FWOS:000258022000017","View Full Record in Web of Science")</f>
        <v>View Full Record in Web of Science</v>
      </c>
    </row>
    <row r="1386" spans="1:72" x14ac:dyDescent="0.25">
      <c r="A1386" t="s">
        <v>72</v>
      </c>
      <c r="B1386" t="s">
        <v>17541</v>
      </c>
      <c r="C1386" t="s">
        <v>74</v>
      </c>
      <c r="D1386" t="s">
        <v>74</v>
      </c>
      <c r="E1386" t="s">
        <v>74</v>
      </c>
      <c r="F1386" t="s">
        <v>17540</v>
      </c>
      <c r="G1386" t="s">
        <v>74</v>
      </c>
      <c r="H1386" t="s">
        <v>74</v>
      </c>
      <c r="I1386" t="s">
        <v>17539</v>
      </c>
      <c r="J1386" t="s">
        <v>216</v>
      </c>
      <c r="K1386" t="s">
        <v>74</v>
      </c>
      <c r="L1386" t="s">
        <v>74</v>
      </c>
      <c r="M1386" t="s">
        <v>78</v>
      </c>
      <c r="N1386" t="s">
        <v>79</v>
      </c>
      <c r="O1386" t="s">
        <v>74</v>
      </c>
      <c r="P1386" t="s">
        <v>74</v>
      </c>
      <c r="Q1386" t="s">
        <v>74</v>
      </c>
      <c r="R1386" t="s">
        <v>74</v>
      </c>
      <c r="S1386" t="s">
        <v>74</v>
      </c>
      <c r="T1386" t="s">
        <v>17538</v>
      </c>
      <c r="U1386" t="s">
        <v>17537</v>
      </c>
      <c r="V1386" t="s">
        <v>17536</v>
      </c>
      <c r="W1386" t="s">
        <v>17535</v>
      </c>
      <c r="X1386" t="s">
        <v>17534</v>
      </c>
      <c r="Y1386" t="s">
        <v>17533</v>
      </c>
      <c r="Z1386" t="s">
        <v>17532</v>
      </c>
      <c r="AA1386" t="s">
        <v>14550</v>
      </c>
      <c r="AB1386" t="s">
        <v>17531</v>
      </c>
      <c r="AC1386" t="s">
        <v>74</v>
      </c>
      <c r="AD1386" t="s">
        <v>74</v>
      </c>
      <c r="AE1386" t="s">
        <v>74</v>
      </c>
      <c r="AF1386" t="s">
        <v>74</v>
      </c>
      <c r="AG1386">
        <v>22</v>
      </c>
      <c r="AH1386">
        <v>74</v>
      </c>
      <c r="AI1386">
        <v>76</v>
      </c>
      <c r="AJ1386">
        <v>0</v>
      </c>
      <c r="AK1386">
        <v>3</v>
      </c>
      <c r="AL1386" t="s">
        <v>219</v>
      </c>
      <c r="AM1386" t="s">
        <v>220</v>
      </c>
      <c r="AN1386" t="s">
        <v>221</v>
      </c>
      <c r="AO1386" t="s">
        <v>222</v>
      </c>
      <c r="AP1386" t="s">
        <v>223</v>
      </c>
      <c r="AQ1386" t="s">
        <v>74</v>
      </c>
      <c r="AR1386" t="s">
        <v>224</v>
      </c>
      <c r="AS1386" t="s">
        <v>225</v>
      </c>
      <c r="AT1386" t="s">
        <v>725</v>
      </c>
      <c r="AU1386">
        <v>2008</v>
      </c>
      <c r="AV1386">
        <v>32</v>
      </c>
      <c r="AW1386">
        <v>2</v>
      </c>
      <c r="AX1386" t="s">
        <v>74</v>
      </c>
      <c r="AY1386" t="s">
        <v>74</v>
      </c>
      <c r="AZ1386" t="s">
        <v>74</v>
      </c>
      <c r="BA1386" t="s">
        <v>74</v>
      </c>
      <c r="BB1386">
        <v>393</v>
      </c>
      <c r="BC1386">
        <v>398</v>
      </c>
      <c r="BD1386" t="s">
        <v>74</v>
      </c>
      <c r="BE1386" t="s">
        <v>17530</v>
      </c>
      <c r="BF1386" t="str">
        <f>HYPERLINK("http://dx.doi.org/10.1183/09031936.00009008","http://dx.doi.org/10.1183/09031936.00009008")</f>
        <v>http://dx.doi.org/10.1183/09031936.00009008</v>
      </c>
      <c r="BG1386" t="s">
        <v>74</v>
      </c>
      <c r="BH1386" t="s">
        <v>74</v>
      </c>
      <c r="BI1386">
        <v>6</v>
      </c>
      <c r="BJ1386" t="s">
        <v>228</v>
      </c>
      <c r="BK1386" t="s">
        <v>101</v>
      </c>
      <c r="BL1386" t="s">
        <v>228</v>
      </c>
      <c r="BM1386" t="s">
        <v>17529</v>
      </c>
      <c r="BN1386">
        <v>18417516</v>
      </c>
      <c r="BO1386" t="s">
        <v>1194</v>
      </c>
      <c r="BP1386" t="s">
        <v>74</v>
      </c>
      <c r="BQ1386" t="s">
        <v>74</v>
      </c>
      <c r="BR1386" t="s">
        <v>104</v>
      </c>
      <c r="BS1386" t="s">
        <v>17528</v>
      </c>
      <c r="BT1386" t="str">
        <f>HYPERLINK("https%3A%2F%2Fwww.webofscience.com%2Fwos%2Fwoscc%2Ffull-record%2FWOS:000258417000021","View Full Record in Web of Science")</f>
        <v>View Full Record in Web of Science</v>
      </c>
    </row>
    <row r="1387" spans="1:72" x14ac:dyDescent="0.25">
      <c r="A1387" t="s">
        <v>72</v>
      </c>
      <c r="B1387" t="s">
        <v>17527</v>
      </c>
      <c r="C1387" t="s">
        <v>74</v>
      </c>
      <c r="D1387" t="s">
        <v>74</v>
      </c>
      <c r="E1387" t="s">
        <v>74</v>
      </c>
      <c r="F1387" t="s">
        <v>17526</v>
      </c>
      <c r="G1387" t="s">
        <v>74</v>
      </c>
      <c r="H1387" t="s">
        <v>74</v>
      </c>
      <c r="I1387" t="s">
        <v>17525</v>
      </c>
      <c r="J1387" t="s">
        <v>5624</v>
      </c>
      <c r="K1387" t="s">
        <v>74</v>
      </c>
      <c r="L1387" t="s">
        <v>74</v>
      </c>
      <c r="M1387" t="s">
        <v>78</v>
      </c>
      <c r="N1387" t="s">
        <v>299</v>
      </c>
      <c r="O1387" t="s">
        <v>74</v>
      </c>
      <c r="P1387" t="s">
        <v>74</v>
      </c>
      <c r="Q1387" t="s">
        <v>74</v>
      </c>
      <c r="R1387" t="s">
        <v>74</v>
      </c>
      <c r="S1387" t="s">
        <v>74</v>
      </c>
      <c r="T1387" t="s">
        <v>17524</v>
      </c>
      <c r="U1387" t="s">
        <v>17523</v>
      </c>
      <c r="V1387" t="s">
        <v>17522</v>
      </c>
      <c r="W1387" t="s">
        <v>17521</v>
      </c>
      <c r="X1387" t="s">
        <v>17520</v>
      </c>
      <c r="Y1387" t="s">
        <v>17367</v>
      </c>
      <c r="Z1387" t="s">
        <v>74</v>
      </c>
      <c r="AA1387" t="s">
        <v>17519</v>
      </c>
      <c r="AB1387" t="s">
        <v>17518</v>
      </c>
      <c r="AC1387" t="s">
        <v>74</v>
      </c>
      <c r="AD1387" t="s">
        <v>74</v>
      </c>
      <c r="AE1387" t="s">
        <v>74</v>
      </c>
      <c r="AF1387" t="s">
        <v>74</v>
      </c>
      <c r="AG1387">
        <v>154</v>
      </c>
      <c r="AH1387">
        <v>153</v>
      </c>
      <c r="AI1387">
        <v>166</v>
      </c>
      <c r="AJ1387">
        <v>0</v>
      </c>
      <c r="AK1387">
        <v>18</v>
      </c>
      <c r="AL1387" t="s">
        <v>169</v>
      </c>
      <c r="AM1387" t="s">
        <v>170</v>
      </c>
      <c r="AN1387" t="s">
        <v>171</v>
      </c>
      <c r="AO1387" t="s">
        <v>5636</v>
      </c>
      <c r="AP1387" t="s">
        <v>5637</v>
      </c>
      <c r="AQ1387" t="s">
        <v>74</v>
      </c>
      <c r="AR1387" t="s">
        <v>5624</v>
      </c>
      <c r="AS1387" t="s">
        <v>601</v>
      </c>
      <c r="AT1387" t="s">
        <v>785</v>
      </c>
      <c r="AU1387">
        <v>2008</v>
      </c>
      <c r="AV1387">
        <v>63</v>
      </c>
      <c r="AW1387">
        <v>7</v>
      </c>
      <c r="AX1387" t="s">
        <v>74</v>
      </c>
      <c r="AY1387" t="s">
        <v>74</v>
      </c>
      <c r="AZ1387" t="s">
        <v>74</v>
      </c>
      <c r="BA1387" t="s">
        <v>74</v>
      </c>
      <c r="BB1387">
        <v>842</v>
      </c>
      <c r="BC1387">
        <v>853</v>
      </c>
      <c r="BD1387" t="s">
        <v>74</v>
      </c>
      <c r="BE1387" t="s">
        <v>17517</v>
      </c>
      <c r="BF1387" t="str">
        <f>HYPERLINK("http://dx.doi.org/10.1111/j.1398-9995.2008.01715.x","http://dx.doi.org/10.1111/j.1398-9995.2008.01715.x")</f>
        <v>http://dx.doi.org/10.1111/j.1398-9995.2008.01715.x</v>
      </c>
      <c r="BG1387" t="s">
        <v>74</v>
      </c>
      <c r="BH1387" t="s">
        <v>74</v>
      </c>
      <c r="BI1387">
        <v>12</v>
      </c>
      <c r="BJ1387" t="s">
        <v>3085</v>
      </c>
      <c r="BK1387" t="s">
        <v>101</v>
      </c>
      <c r="BL1387" t="s">
        <v>3085</v>
      </c>
      <c r="BM1387" t="s">
        <v>17516</v>
      </c>
      <c r="BN1387">
        <v>18588549</v>
      </c>
      <c r="BO1387" t="s">
        <v>74</v>
      </c>
      <c r="BP1387" t="s">
        <v>74</v>
      </c>
      <c r="BQ1387" t="s">
        <v>74</v>
      </c>
      <c r="BR1387" t="s">
        <v>104</v>
      </c>
      <c r="BS1387" t="s">
        <v>17515</v>
      </c>
      <c r="BT1387" t="str">
        <f>HYPERLINK("https%3A%2F%2Fwww.webofscience.com%2Fwos%2Fwoscc%2Ffull-record%2FWOS:000256720100006","View Full Record in Web of Science")</f>
        <v>View Full Record in Web of Science</v>
      </c>
    </row>
    <row r="1388" spans="1:72" x14ac:dyDescent="0.25">
      <c r="A1388" t="s">
        <v>72</v>
      </c>
      <c r="B1388" t="s">
        <v>7833</v>
      </c>
      <c r="C1388" t="s">
        <v>74</v>
      </c>
      <c r="D1388" t="s">
        <v>74</v>
      </c>
      <c r="E1388" t="s">
        <v>74</v>
      </c>
      <c r="F1388" t="s">
        <v>17514</v>
      </c>
      <c r="G1388" t="s">
        <v>74</v>
      </c>
      <c r="H1388" t="s">
        <v>74</v>
      </c>
      <c r="I1388" t="s">
        <v>17513</v>
      </c>
      <c r="J1388" t="s">
        <v>216</v>
      </c>
      <c r="K1388" t="s">
        <v>74</v>
      </c>
      <c r="L1388" t="s">
        <v>74</v>
      </c>
      <c r="M1388" t="s">
        <v>78</v>
      </c>
      <c r="N1388" t="s">
        <v>140</v>
      </c>
      <c r="O1388" t="s">
        <v>74</v>
      </c>
      <c r="P1388" t="s">
        <v>74</v>
      </c>
      <c r="Q1388" t="s">
        <v>74</v>
      </c>
      <c r="R1388" t="s">
        <v>74</v>
      </c>
      <c r="S1388" t="s">
        <v>74</v>
      </c>
      <c r="T1388" t="s">
        <v>74</v>
      </c>
      <c r="U1388" t="s">
        <v>17512</v>
      </c>
      <c r="V1388" t="s">
        <v>74</v>
      </c>
      <c r="W1388" t="s">
        <v>17511</v>
      </c>
      <c r="X1388" t="s">
        <v>17510</v>
      </c>
      <c r="Y1388" t="s">
        <v>17509</v>
      </c>
      <c r="Z1388" t="s">
        <v>1689</v>
      </c>
      <c r="AA1388" t="s">
        <v>378</v>
      </c>
      <c r="AB1388" t="s">
        <v>2319</v>
      </c>
      <c r="AC1388" t="s">
        <v>74</v>
      </c>
      <c r="AD1388" t="s">
        <v>74</v>
      </c>
      <c r="AE1388" t="s">
        <v>74</v>
      </c>
      <c r="AF1388" t="s">
        <v>74</v>
      </c>
      <c r="AG1388">
        <v>15</v>
      </c>
      <c r="AH1388">
        <v>1</v>
      </c>
      <c r="AI1388">
        <v>1</v>
      </c>
      <c r="AJ1388">
        <v>0</v>
      </c>
      <c r="AK1388">
        <v>0</v>
      </c>
      <c r="AL1388" t="s">
        <v>219</v>
      </c>
      <c r="AM1388" t="s">
        <v>220</v>
      </c>
      <c r="AN1388" t="s">
        <v>15273</v>
      </c>
      <c r="AO1388" t="s">
        <v>222</v>
      </c>
      <c r="AP1388" t="s">
        <v>74</v>
      </c>
      <c r="AQ1388" t="s">
        <v>74</v>
      </c>
      <c r="AR1388" t="s">
        <v>224</v>
      </c>
      <c r="AS1388" t="s">
        <v>225</v>
      </c>
      <c r="AT1388" t="s">
        <v>785</v>
      </c>
      <c r="AU1388">
        <v>2008</v>
      </c>
      <c r="AV1388">
        <v>32</v>
      </c>
      <c r="AW1388">
        <v>1</v>
      </c>
      <c r="AX1388" t="s">
        <v>74</v>
      </c>
      <c r="AY1388" t="s">
        <v>74</v>
      </c>
      <c r="AZ1388" t="s">
        <v>74</v>
      </c>
      <c r="BA1388" t="s">
        <v>74</v>
      </c>
      <c r="BB1388">
        <v>15</v>
      </c>
      <c r="BC1388">
        <v>16</v>
      </c>
      <c r="BD1388" t="s">
        <v>74</v>
      </c>
      <c r="BE1388" t="s">
        <v>17508</v>
      </c>
      <c r="BF1388" t="str">
        <f>HYPERLINK("http://dx.doi.org/10.1183/09031936.00041008","http://dx.doi.org/10.1183/09031936.00041008")</f>
        <v>http://dx.doi.org/10.1183/09031936.00041008</v>
      </c>
      <c r="BG1388" t="s">
        <v>74</v>
      </c>
      <c r="BH1388" t="s">
        <v>74</v>
      </c>
      <c r="BI1388">
        <v>2</v>
      </c>
      <c r="BJ1388" t="s">
        <v>228</v>
      </c>
      <c r="BK1388" t="s">
        <v>101</v>
      </c>
      <c r="BL1388" t="s">
        <v>228</v>
      </c>
      <c r="BM1388" t="s">
        <v>17507</v>
      </c>
      <c r="BN1388">
        <v>18591335</v>
      </c>
      <c r="BO1388" t="s">
        <v>1194</v>
      </c>
      <c r="BP1388" t="s">
        <v>74</v>
      </c>
      <c r="BQ1388" t="s">
        <v>74</v>
      </c>
      <c r="BR1388" t="s">
        <v>104</v>
      </c>
      <c r="BS1388" t="s">
        <v>17506</v>
      </c>
      <c r="BT1388" t="str">
        <f>HYPERLINK("https%3A%2F%2Fwww.webofscience.com%2Fwos%2Fwoscc%2Ffull-record%2FWOS:000257300200005","View Full Record in Web of Science")</f>
        <v>View Full Record in Web of Science</v>
      </c>
    </row>
    <row r="1389" spans="1:72" x14ac:dyDescent="0.25">
      <c r="A1389" t="s">
        <v>72</v>
      </c>
      <c r="B1389" t="s">
        <v>17505</v>
      </c>
      <c r="C1389" t="s">
        <v>74</v>
      </c>
      <c r="D1389" t="s">
        <v>74</v>
      </c>
      <c r="E1389" t="s">
        <v>74</v>
      </c>
      <c r="F1389" t="s">
        <v>17504</v>
      </c>
      <c r="G1389" t="s">
        <v>74</v>
      </c>
      <c r="H1389" t="s">
        <v>74</v>
      </c>
      <c r="I1389" t="s">
        <v>17503</v>
      </c>
      <c r="J1389" t="s">
        <v>11031</v>
      </c>
      <c r="K1389" t="s">
        <v>74</v>
      </c>
      <c r="L1389" t="s">
        <v>74</v>
      </c>
      <c r="M1389" t="s">
        <v>78</v>
      </c>
      <c r="N1389" t="s">
        <v>79</v>
      </c>
      <c r="O1389" t="s">
        <v>74</v>
      </c>
      <c r="P1389" t="s">
        <v>74</v>
      </c>
      <c r="Q1389" t="s">
        <v>74</v>
      </c>
      <c r="R1389" t="s">
        <v>74</v>
      </c>
      <c r="S1389" t="s">
        <v>74</v>
      </c>
      <c r="T1389" t="s">
        <v>74</v>
      </c>
      <c r="U1389" t="s">
        <v>17502</v>
      </c>
      <c r="V1389" t="s">
        <v>17501</v>
      </c>
      <c r="W1389" t="s">
        <v>17500</v>
      </c>
      <c r="X1389" t="s">
        <v>17499</v>
      </c>
      <c r="Y1389" t="s">
        <v>17498</v>
      </c>
      <c r="Z1389" t="s">
        <v>10573</v>
      </c>
      <c r="AA1389" t="s">
        <v>17497</v>
      </c>
      <c r="AB1389" t="s">
        <v>17496</v>
      </c>
      <c r="AC1389" t="s">
        <v>74</v>
      </c>
      <c r="AD1389" t="s">
        <v>74</v>
      </c>
      <c r="AE1389" t="s">
        <v>74</v>
      </c>
      <c r="AF1389" t="s">
        <v>74</v>
      </c>
      <c r="AG1389">
        <v>51</v>
      </c>
      <c r="AH1389">
        <v>255</v>
      </c>
      <c r="AI1389">
        <v>273</v>
      </c>
      <c r="AJ1389">
        <v>0</v>
      </c>
      <c r="AK1389">
        <v>10</v>
      </c>
      <c r="AL1389" t="s">
        <v>122</v>
      </c>
      <c r="AM1389" t="s">
        <v>123</v>
      </c>
      <c r="AN1389" t="s">
        <v>124</v>
      </c>
      <c r="AO1389" t="s">
        <v>11040</v>
      </c>
      <c r="AP1389" t="s">
        <v>11041</v>
      </c>
      <c r="AQ1389" t="s">
        <v>74</v>
      </c>
      <c r="AR1389" t="s">
        <v>11031</v>
      </c>
      <c r="AS1389" t="s">
        <v>11042</v>
      </c>
      <c r="AT1389" t="s">
        <v>785</v>
      </c>
      <c r="AU1389">
        <v>2008</v>
      </c>
      <c r="AV1389">
        <v>87</v>
      </c>
      <c r="AW1389">
        <v>4</v>
      </c>
      <c r="AX1389" t="s">
        <v>74</v>
      </c>
      <c r="AY1389" t="s">
        <v>74</v>
      </c>
      <c r="AZ1389" t="s">
        <v>74</v>
      </c>
      <c r="BA1389" t="s">
        <v>74</v>
      </c>
      <c r="BB1389">
        <v>220</v>
      </c>
      <c r="BC1389">
        <v>233</v>
      </c>
      <c r="BD1389" t="s">
        <v>74</v>
      </c>
      <c r="BE1389" t="s">
        <v>17495</v>
      </c>
      <c r="BF1389" t="str">
        <f>HYPERLINK("http://dx.doi.org/10.1097/MD.0b013e31818193bb","http://dx.doi.org/10.1097/MD.0b013e31818193bb")</f>
        <v>http://dx.doi.org/10.1097/MD.0b013e31818193bb</v>
      </c>
      <c r="BG1389" t="s">
        <v>74</v>
      </c>
      <c r="BH1389" t="s">
        <v>74</v>
      </c>
      <c r="BI1389">
        <v>14</v>
      </c>
      <c r="BJ1389" t="s">
        <v>1152</v>
      </c>
      <c r="BK1389" t="s">
        <v>101</v>
      </c>
      <c r="BL1389" t="s">
        <v>1153</v>
      </c>
      <c r="BM1389" t="s">
        <v>17494</v>
      </c>
      <c r="BN1389">
        <v>18626305</v>
      </c>
      <c r="BO1389" t="s">
        <v>1194</v>
      </c>
      <c r="BP1389" t="s">
        <v>74</v>
      </c>
      <c r="BQ1389" t="s">
        <v>74</v>
      </c>
      <c r="BR1389" t="s">
        <v>104</v>
      </c>
      <c r="BS1389" t="s">
        <v>17493</v>
      </c>
      <c r="BT1389" t="str">
        <f>HYPERLINK("https%3A%2F%2Fwww.webofscience.com%2Fwos%2Fwoscc%2Ffull-record%2FWOS:000257894100005","View Full Record in Web of Science")</f>
        <v>View Full Record in Web of Science</v>
      </c>
    </row>
    <row r="1390" spans="1:72" x14ac:dyDescent="0.25">
      <c r="A1390" t="s">
        <v>72</v>
      </c>
      <c r="B1390" t="s">
        <v>17492</v>
      </c>
      <c r="C1390" t="s">
        <v>74</v>
      </c>
      <c r="D1390" t="s">
        <v>74</v>
      </c>
      <c r="E1390" t="s">
        <v>74</v>
      </c>
      <c r="F1390" t="s">
        <v>17491</v>
      </c>
      <c r="G1390" t="s">
        <v>74</v>
      </c>
      <c r="H1390" t="s">
        <v>74</v>
      </c>
      <c r="I1390" t="s">
        <v>17490</v>
      </c>
      <c r="J1390" t="s">
        <v>637</v>
      </c>
      <c r="K1390" t="s">
        <v>74</v>
      </c>
      <c r="L1390" t="s">
        <v>74</v>
      </c>
      <c r="M1390" t="s">
        <v>78</v>
      </c>
      <c r="N1390" t="s">
        <v>79</v>
      </c>
      <c r="O1390" t="s">
        <v>74</v>
      </c>
      <c r="P1390" t="s">
        <v>74</v>
      </c>
      <c r="Q1390" t="s">
        <v>74</v>
      </c>
      <c r="R1390" t="s">
        <v>74</v>
      </c>
      <c r="S1390" t="s">
        <v>74</v>
      </c>
      <c r="T1390" t="s">
        <v>17489</v>
      </c>
      <c r="U1390" t="s">
        <v>17488</v>
      </c>
      <c r="V1390" t="s">
        <v>17487</v>
      </c>
      <c r="W1390" t="s">
        <v>17486</v>
      </c>
      <c r="X1390" t="s">
        <v>17485</v>
      </c>
      <c r="Y1390" t="s">
        <v>17484</v>
      </c>
      <c r="Z1390" t="s">
        <v>10573</v>
      </c>
      <c r="AA1390" t="s">
        <v>17483</v>
      </c>
      <c r="AB1390" t="s">
        <v>17482</v>
      </c>
      <c r="AC1390" t="s">
        <v>74</v>
      </c>
      <c r="AD1390" t="s">
        <v>74</v>
      </c>
      <c r="AE1390" t="s">
        <v>74</v>
      </c>
      <c r="AF1390" t="s">
        <v>74</v>
      </c>
      <c r="AG1390">
        <v>26</v>
      </c>
      <c r="AH1390">
        <v>373</v>
      </c>
      <c r="AI1390">
        <v>411</v>
      </c>
      <c r="AJ1390">
        <v>3</v>
      </c>
      <c r="AK1390">
        <v>39</v>
      </c>
      <c r="AL1390" t="s">
        <v>649</v>
      </c>
      <c r="AM1390" t="s">
        <v>486</v>
      </c>
      <c r="AN1390" t="s">
        <v>17481</v>
      </c>
      <c r="AO1390" t="s">
        <v>651</v>
      </c>
      <c r="AP1390" t="s">
        <v>74</v>
      </c>
      <c r="AQ1390" t="s">
        <v>74</v>
      </c>
      <c r="AR1390" t="s">
        <v>653</v>
      </c>
      <c r="AS1390" t="s">
        <v>654</v>
      </c>
      <c r="AT1390" t="s">
        <v>806</v>
      </c>
      <c r="AU1390">
        <v>2008</v>
      </c>
      <c r="AV1390">
        <v>178</v>
      </c>
      <c r="AW1390">
        <v>1</v>
      </c>
      <c r="AX1390" t="s">
        <v>74</v>
      </c>
      <c r="AY1390" t="s">
        <v>74</v>
      </c>
      <c r="AZ1390" t="s">
        <v>74</v>
      </c>
      <c r="BA1390" t="s">
        <v>74</v>
      </c>
      <c r="BB1390">
        <v>81</v>
      </c>
      <c r="BC1390">
        <v>88</v>
      </c>
      <c r="BD1390" t="s">
        <v>74</v>
      </c>
      <c r="BE1390" t="s">
        <v>17480</v>
      </c>
      <c r="BF1390" t="str">
        <f>HYPERLINK("http://dx.doi.org/10.1164/rccm.200707-1037OC","http://dx.doi.org/10.1164/rccm.200707-1037OC")</f>
        <v>http://dx.doi.org/10.1164/rccm.200707-1037OC</v>
      </c>
      <c r="BG1390" t="s">
        <v>74</v>
      </c>
      <c r="BH1390" t="s">
        <v>74</v>
      </c>
      <c r="BI1390">
        <v>8</v>
      </c>
      <c r="BJ1390" t="s">
        <v>341</v>
      </c>
      <c r="BK1390" t="s">
        <v>101</v>
      </c>
      <c r="BL1390" t="s">
        <v>342</v>
      </c>
      <c r="BM1390" t="s">
        <v>17479</v>
      </c>
      <c r="BN1390">
        <v>18420966</v>
      </c>
      <c r="BO1390" t="s">
        <v>612</v>
      </c>
      <c r="BP1390" t="s">
        <v>74</v>
      </c>
      <c r="BQ1390" t="s">
        <v>74</v>
      </c>
      <c r="BR1390" t="s">
        <v>104</v>
      </c>
      <c r="BS1390" t="s">
        <v>17478</v>
      </c>
      <c r="BT1390" t="str">
        <f>HYPERLINK("https%3A%2F%2Fwww.webofscience.com%2Fwos%2Fwoscc%2Ffull-record%2FWOS:000257199800014","View Full Record in Web of Science")</f>
        <v>View Full Record in Web of Science</v>
      </c>
    </row>
    <row r="1391" spans="1:72" x14ac:dyDescent="0.25">
      <c r="A1391" t="s">
        <v>72</v>
      </c>
      <c r="B1391" t="s">
        <v>17477</v>
      </c>
      <c r="C1391" t="s">
        <v>74</v>
      </c>
      <c r="D1391" t="s">
        <v>74</v>
      </c>
      <c r="E1391" t="s">
        <v>74</v>
      </c>
      <c r="F1391" t="s">
        <v>17476</v>
      </c>
      <c r="G1391" t="s">
        <v>74</v>
      </c>
      <c r="H1391" t="s">
        <v>17475</v>
      </c>
      <c r="I1391" t="s">
        <v>17474</v>
      </c>
      <c r="J1391" t="s">
        <v>17473</v>
      </c>
      <c r="K1391" t="s">
        <v>74</v>
      </c>
      <c r="L1391" t="s">
        <v>74</v>
      </c>
      <c r="M1391" t="s">
        <v>78</v>
      </c>
      <c r="N1391" t="s">
        <v>79</v>
      </c>
      <c r="O1391" t="s">
        <v>74</v>
      </c>
      <c r="P1391" t="s">
        <v>74</v>
      </c>
      <c r="Q1391" t="s">
        <v>74</v>
      </c>
      <c r="R1391" t="s">
        <v>74</v>
      </c>
      <c r="S1391" t="s">
        <v>74</v>
      </c>
      <c r="T1391" t="s">
        <v>74</v>
      </c>
      <c r="U1391" t="s">
        <v>17472</v>
      </c>
      <c r="V1391" t="s">
        <v>17471</v>
      </c>
      <c r="W1391" t="s">
        <v>17470</v>
      </c>
      <c r="X1391" t="s">
        <v>17469</v>
      </c>
      <c r="Y1391" t="s">
        <v>17468</v>
      </c>
      <c r="Z1391" t="s">
        <v>17467</v>
      </c>
      <c r="AA1391" t="s">
        <v>17466</v>
      </c>
      <c r="AB1391" t="s">
        <v>17465</v>
      </c>
      <c r="AC1391" t="s">
        <v>74</v>
      </c>
      <c r="AD1391" t="s">
        <v>74</v>
      </c>
      <c r="AE1391" t="s">
        <v>74</v>
      </c>
      <c r="AF1391" t="s">
        <v>74</v>
      </c>
      <c r="AG1391">
        <v>34</v>
      </c>
      <c r="AH1391">
        <v>51</v>
      </c>
      <c r="AI1391">
        <v>53</v>
      </c>
      <c r="AJ1391">
        <v>1</v>
      </c>
      <c r="AK1391">
        <v>8</v>
      </c>
      <c r="AL1391" t="s">
        <v>15493</v>
      </c>
      <c r="AM1391" t="s">
        <v>170</v>
      </c>
      <c r="AN1391" t="s">
        <v>15755</v>
      </c>
      <c r="AO1391" t="s">
        <v>15491</v>
      </c>
      <c r="AP1391" t="s">
        <v>16087</v>
      </c>
      <c r="AQ1391" t="s">
        <v>74</v>
      </c>
      <c r="AR1391" t="s">
        <v>17464</v>
      </c>
      <c r="AS1391" t="s">
        <v>17463</v>
      </c>
      <c r="AT1391" t="s">
        <v>3288</v>
      </c>
      <c r="AU1391">
        <v>2008</v>
      </c>
      <c r="AV1391">
        <v>59</v>
      </c>
      <c r="AW1391">
        <v>6</v>
      </c>
      <c r="AX1391" t="s">
        <v>74</v>
      </c>
      <c r="AY1391" t="s">
        <v>74</v>
      </c>
      <c r="AZ1391" t="s">
        <v>74</v>
      </c>
      <c r="BA1391" t="s">
        <v>74</v>
      </c>
      <c r="BB1391">
        <v>867</v>
      </c>
      <c r="BC1391">
        <v>875</v>
      </c>
      <c r="BD1391" t="s">
        <v>74</v>
      </c>
      <c r="BE1391" t="s">
        <v>17462</v>
      </c>
      <c r="BF1391" t="str">
        <f>HYPERLINK("http://dx.doi.org/10.1002/art.23718","http://dx.doi.org/10.1002/art.23718")</f>
        <v>http://dx.doi.org/10.1002/art.23718</v>
      </c>
      <c r="BG1391" t="s">
        <v>74</v>
      </c>
      <c r="BH1391" t="s">
        <v>74</v>
      </c>
      <c r="BI1391">
        <v>9</v>
      </c>
      <c r="BJ1391" t="s">
        <v>2369</v>
      </c>
      <c r="BK1391" t="s">
        <v>101</v>
      </c>
      <c r="BL1391" t="s">
        <v>2369</v>
      </c>
      <c r="BM1391" t="s">
        <v>17461</v>
      </c>
      <c r="BN1391">
        <v>18512721</v>
      </c>
      <c r="BO1391" t="s">
        <v>103</v>
      </c>
      <c r="BP1391" t="s">
        <v>74</v>
      </c>
      <c r="BQ1391" t="s">
        <v>74</v>
      </c>
      <c r="BR1391" t="s">
        <v>104</v>
      </c>
      <c r="BS1391" t="s">
        <v>17460</v>
      </c>
      <c r="BT1391" t="str">
        <f>HYPERLINK("https%3A%2F%2Fwww.webofscience.com%2Fwos%2Fwoscc%2Ffull-record%2FWOS:000256692500015","View Full Record in Web of Science")</f>
        <v>View Full Record in Web of Science</v>
      </c>
    </row>
    <row r="1392" spans="1:72" x14ac:dyDescent="0.25">
      <c r="A1392" t="s">
        <v>72</v>
      </c>
      <c r="B1392" t="s">
        <v>17459</v>
      </c>
      <c r="C1392" t="s">
        <v>74</v>
      </c>
      <c r="D1392" t="s">
        <v>74</v>
      </c>
      <c r="E1392" t="s">
        <v>74</v>
      </c>
      <c r="F1392" t="s">
        <v>17458</v>
      </c>
      <c r="G1392" t="s">
        <v>74</v>
      </c>
      <c r="H1392" t="s">
        <v>74</v>
      </c>
      <c r="I1392" t="s">
        <v>17457</v>
      </c>
      <c r="J1392" t="s">
        <v>637</v>
      </c>
      <c r="K1392" t="s">
        <v>74</v>
      </c>
      <c r="L1392" t="s">
        <v>74</v>
      </c>
      <c r="M1392" t="s">
        <v>78</v>
      </c>
      <c r="N1392" t="s">
        <v>79</v>
      </c>
      <c r="O1392" t="s">
        <v>74</v>
      </c>
      <c r="P1392" t="s">
        <v>74</v>
      </c>
      <c r="Q1392" t="s">
        <v>74</v>
      </c>
      <c r="R1392" t="s">
        <v>74</v>
      </c>
      <c r="S1392" t="s">
        <v>74</v>
      </c>
      <c r="T1392" t="s">
        <v>17456</v>
      </c>
      <c r="U1392" t="s">
        <v>17455</v>
      </c>
      <c r="V1392" t="s">
        <v>17454</v>
      </c>
      <c r="W1392" t="s">
        <v>17453</v>
      </c>
      <c r="X1392" t="s">
        <v>17452</v>
      </c>
      <c r="Y1392" t="s">
        <v>17451</v>
      </c>
      <c r="Z1392" t="s">
        <v>10573</v>
      </c>
      <c r="AA1392" t="s">
        <v>17450</v>
      </c>
      <c r="AB1392" t="s">
        <v>17449</v>
      </c>
      <c r="AC1392" t="s">
        <v>74</v>
      </c>
      <c r="AD1392" t="s">
        <v>74</v>
      </c>
      <c r="AE1392" t="s">
        <v>74</v>
      </c>
      <c r="AF1392" t="s">
        <v>74</v>
      </c>
      <c r="AG1392">
        <v>40</v>
      </c>
      <c r="AH1392">
        <v>214</v>
      </c>
      <c r="AI1392">
        <v>233</v>
      </c>
      <c r="AJ1392">
        <v>1</v>
      </c>
      <c r="AK1392">
        <v>6</v>
      </c>
      <c r="AL1392" t="s">
        <v>649</v>
      </c>
      <c r="AM1392" t="s">
        <v>486</v>
      </c>
      <c r="AN1392" t="s">
        <v>650</v>
      </c>
      <c r="AO1392" t="s">
        <v>651</v>
      </c>
      <c r="AP1392" t="s">
        <v>652</v>
      </c>
      <c r="AQ1392" t="s">
        <v>74</v>
      </c>
      <c r="AR1392" t="s">
        <v>653</v>
      </c>
      <c r="AS1392" t="s">
        <v>654</v>
      </c>
      <c r="AT1392" t="s">
        <v>3288</v>
      </c>
      <c r="AU1392">
        <v>2008</v>
      </c>
      <c r="AV1392">
        <v>177</v>
      </c>
      <c r="AW1392">
        <v>12</v>
      </c>
      <c r="AX1392" t="s">
        <v>74</v>
      </c>
      <c r="AY1392" t="s">
        <v>74</v>
      </c>
      <c r="AZ1392" t="s">
        <v>74</v>
      </c>
      <c r="BA1392" t="s">
        <v>74</v>
      </c>
      <c r="BB1392">
        <v>1377</v>
      </c>
      <c r="BC1392">
        <v>1383</v>
      </c>
      <c r="BD1392" t="s">
        <v>74</v>
      </c>
      <c r="BE1392" t="s">
        <v>17448</v>
      </c>
      <c r="BF1392" t="str">
        <f>HYPERLINK("http://dx.doi.org/10.1164/rccm.200712-1807OC","http://dx.doi.org/10.1164/rccm.200712-1807OC")</f>
        <v>http://dx.doi.org/10.1164/rccm.200712-1807OC</v>
      </c>
      <c r="BG1392" t="s">
        <v>74</v>
      </c>
      <c r="BH1392" t="s">
        <v>74</v>
      </c>
      <c r="BI1392">
        <v>7</v>
      </c>
      <c r="BJ1392" t="s">
        <v>341</v>
      </c>
      <c r="BK1392" t="s">
        <v>101</v>
      </c>
      <c r="BL1392" t="s">
        <v>342</v>
      </c>
      <c r="BM1392" t="s">
        <v>17447</v>
      </c>
      <c r="BN1392">
        <v>18356561</v>
      </c>
      <c r="BO1392" t="s">
        <v>74</v>
      </c>
      <c r="BP1392" t="s">
        <v>74</v>
      </c>
      <c r="BQ1392" t="s">
        <v>74</v>
      </c>
      <c r="BR1392" t="s">
        <v>104</v>
      </c>
      <c r="BS1392" t="s">
        <v>17446</v>
      </c>
      <c r="BT1392" t="str">
        <f>HYPERLINK("https%3A%2F%2Fwww.webofscience.com%2Fwos%2Fwoscc%2Ffull-record%2FWOS:000256549700013","View Full Record in Web of Science")</f>
        <v>View Full Record in Web of Science</v>
      </c>
    </row>
    <row r="1393" spans="1:72" x14ac:dyDescent="0.25">
      <c r="A1393" t="s">
        <v>72</v>
      </c>
      <c r="B1393" t="s">
        <v>17445</v>
      </c>
      <c r="C1393" t="s">
        <v>74</v>
      </c>
      <c r="D1393" t="s">
        <v>74</v>
      </c>
      <c r="E1393" t="s">
        <v>74</v>
      </c>
      <c r="F1393" t="s">
        <v>17444</v>
      </c>
      <c r="G1393" t="s">
        <v>74</v>
      </c>
      <c r="H1393" t="s">
        <v>74</v>
      </c>
      <c r="I1393" t="s">
        <v>17443</v>
      </c>
      <c r="J1393" t="s">
        <v>5624</v>
      </c>
      <c r="K1393" t="s">
        <v>74</v>
      </c>
      <c r="L1393" t="s">
        <v>74</v>
      </c>
      <c r="M1393" t="s">
        <v>78</v>
      </c>
      <c r="N1393" t="s">
        <v>140</v>
      </c>
      <c r="O1393" t="s">
        <v>74</v>
      </c>
      <c r="P1393" t="s">
        <v>74</v>
      </c>
      <c r="Q1393" t="s">
        <v>74</v>
      </c>
      <c r="R1393" t="s">
        <v>74</v>
      </c>
      <c r="S1393" t="s">
        <v>74</v>
      </c>
      <c r="T1393" t="s">
        <v>74</v>
      </c>
      <c r="U1393" t="s">
        <v>17442</v>
      </c>
      <c r="V1393" t="s">
        <v>74</v>
      </c>
      <c r="W1393" t="s">
        <v>17441</v>
      </c>
      <c r="X1393" t="s">
        <v>17440</v>
      </c>
      <c r="Y1393" t="s">
        <v>17439</v>
      </c>
      <c r="Z1393" t="s">
        <v>74</v>
      </c>
      <c r="AA1393" t="s">
        <v>17438</v>
      </c>
      <c r="AB1393" t="s">
        <v>16396</v>
      </c>
      <c r="AC1393" t="s">
        <v>74</v>
      </c>
      <c r="AD1393" t="s">
        <v>74</v>
      </c>
      <c r="AE1393" t="s">
        <v>74</v>
      </c>
      <c r="AF1393" t="s">
        <v>74</v>
      </c>
      <c r="AG1393">
        <v>21</v>
      </c>
      <c r="AH1393">
        <v>14</v>
      </c>
      <c r="AI1393">
        <v>15</v>
      </c>
      <c r="AJ1393">
        <v>0</v>
      </c>
      <c r="AK1393">
        <v>5</v>
      </c>
      <c r="AL1393" t="s">
        <v>169</v>
      </c>
      <c r="AM1393" t="s">
        <v>170</v>
      </c>
      <c r="AN1393" t="s">
        <v>171</v>
      </c>
      <c r="AO1393" t="s">
        <v>5636</v>
      </c>
      <c r="AP1393" t="s">
        <v>5637</v>
      </c>
      <c r="AQ1393" t="s">
        <v>74</v>
      </c>
      <c r="AR1393" t="s">
        <v>5624</v>
      </c>
      <c r="AS1393" t="s">
        <v>601</v>
      </c>
      <c r="AT1393" t="s">
        <v>1060</v>
      </c>
      <c r="AU1393">
        <v>2008</v>
      </c>
      <c r="AV1393">
        <v>63</v>
      </c>
      <c r="AW1393">
        <v>6</v>
      </c>
      <c r="AX1393" t="s">
        <v>74</v>
      </c>
      <c r="AY1393" t="s">
        <v>74</v>
      </c>
      <c r="AZ1393" t="s">
        <v>74</v>
      </c>
      <c r="BA1393" t="s">
        <v>74</v>
      </c>
      <c r="BB1393">
        <v>631</v>
      </c>
      <c r="BC1393">
        <v>633</v>
      </c>
      <c r="BD1393" t="s">
        <v>74</v>
      </c>
      <c r="BE1393" t="s">
        <v>17437</v>
      </c>
      <c r="BF1393" t="str">
        <f>HYPERLINK("http://dx.doi.org/10.1111/j.1398-9995.2008.01730.x","http://dx.doi.org/10.1111/j.1398-9995.2008.01730.x")</f>
        <v>http://dx.doi.org/10.1111/j.1398-9995.2008.01730.x</v>
      </c>
      <c r="BG1393" t="s">
        <v>74</v>
      </c>
      <c r="BH1393" t="s">
        <v>74</v>
      </c>
      <c r="BI1393">
        <v>3</v>
      </c>
      <c r="BJ1393" t="s">
        <v>3085</v>
      </c>
      <c r="BK1393" t="s">
        <v>101</v>
      </c>
      <c r="BL1393" t="s">
        <v>3085</v>
      </c>
      <c r="BM1393" t="s">
        <v>17436</v>
      </c>
      <c r="BN1393">
        <v>18445180</v>
      </c>
      <c r="BO1393" t="s">
        <v>1194</v>
      </c>
      <c r="BP1393" t="s">
        <v>74</v>
      </c>
      <c r="BQ1393" t="s">
        <v>74</v>
      </c>
      <c r="BR1393" t="s">
        <v>104</v>
      </c>
      <c r="BS1393" t="s">
        <v>17435</v>
      </c>
      <c r="BT1393" t="str">
        <f>HYPERLINK("https%3A%2F%2Fwww.webofscience.com%2Fwos%2Fwoscc%2Ffull-record%2FWOS:000255285300001","View Full Record in Web of Science")</f>
        <v>View Full Record in Web of Science</v>
      </c>
    </row>
    <row r="1394" spans="1:72" x14ac:dyDescent="0.25">
      <c r="A1394" t="s">
        <v>72</v>
      </c>
      <c r="B1394" t="s">
        <v>17434</v>
      </c>
      <c r="C1394" t="s">
        <v>74</v>
      </c>
      <c r="D1394" t="s">
        <v>74</v>
      </c>
      <c r="E1394" t="s">
        <v>74</v>
      </c>
      <c r="F1394" t="s">
        <v>17433</v>
      </c>
      <c r="G1394" t="s">
        <v>74</v>
      </c>
      <c r="H1394" t="s">
        <v>74</v>
      </c>
      <c r="I1394" t="s">
        <v>17432</v>
      </c>
      <c r="J1394" t="s">
        <v>17431</v>
      </c>
      <c r="K1394" t="s">
        <v>74</v>
      </c>
      <c r="L1394" t="s">
        <v>74</v>
      </c>
      <c r="M1394" t="s">
        <v>1349</v>
      </c>
      <c r="N1394" t="s">
        <v>79</v>
      </c>
      <c r="O1394" t="s">
        <v>74</v>
      </c>
      <c r="P1394" t="s">
        <v>74</v>
      </c>
      <c r="Q1394" t="s">
        <v>74</v>
      </c>
      <c r="R1394" t="s">
        <v>74</v>
      </c>
      <c r="S1394" t="s">
        <v>74</v>
      </c>
      <c r="T1394" t="s">
        <v>17430</v>
      </c>
      <c r="U1394" t="s">
        <v>17429</v>
      </c>
      <c r="V1394" t="s">
        <v>17428</v>
      </c>
      <c r="W1394" t="s">
        <v>17427</v>
      </c>
      <c r="X1394" t="s">
        <v>14516</v>
      </c>
      <c r="Y1394" t="s">
        <v>17426</v>
      </c>
      <c r="Z1394" t="s">
        <v>17425</v>
      </c>
      <c r="AA1394" t="s">
        <v>17424</v>
      </c>
      <c r="AB1394" t="s">
        <v>6346</v>
      </c>
      <c r="AC1394" t="s">
        <v>74</v>
      </c>
      <c r="AD1394" t="s">
        <v>74</v>
      </c>
      <c r="AE1394" t="s">
        <v>74</v>
      </c>
      <c r="AF1394" t="s">
        <v>74</v>
      </c>
      <c r="AG1394">
        <v>56</v>
      </c>
      <c r="AH1394">
        <v>0</v>
      </c>
      <c r="AI1394">
        <v>0</v>
      </c>
      <c r="AJ1394">
        <v>0</v>
      </c>
      <c r="AK1394">
        <v>2</v>
      </c>
      <c r="AL1394" t="s">
        <v>92</v>
      </c>
      <c r="AM1394" t="s">
        <v>361</v>
      </c>
      <c r="AN1394" t="s">
        <v>362</v>
      </c>
      <c r="AO1394" t="s">
        <v>17423</v>
      </c>
      <c r="AP1394" t="s">
        <v>17422</v>
      </c>
      <c r="AQ1394" t="s">
        <v>74</v>
      </c>
      <c r="AR1394" t="s">
        <v>17421</v>
      </c>
      <c r="AS1394" t="s">
        <v>17420</v>
      </c>
      <c r="AT1394" t="s">
        <v>1060</v>
      </c>
      <c r="AU1394">
        <v>2008</v>
      </c>
      <c r="AV1394">
        <v>64</v>
      </c>
      <c r="AW1394">
        <v>3</v>
      </c>
      <c r="AX1394" t="s">
        <v>74</v>
      </c>
      <c r="AY1394" t="s">
        <v>74</v>
      </c>
      <c r="AZ1394" t="s">
        <v>74</v>
      </c>
      <c r="BA1394" t="s">
        <v>74</v>
      </c>
      <c r="BB1394">
        <v>151</v>
      </c>
      <c r="BC1394">
        <v>161</v>
      </c>
      <c r="BD1394" t="s">
        <v>74</v>
      </c>
      <c r="BE1394" t="s">
        <v>17419</v>
      </c>
      <c r="BF1394" t="str">
        <f>HYPERLINK("http://dx.doi.org/10.1016/j.pneumo.2008.05.001","http://dx.doi.org/10.1016/j.pneumo.2008.05.001")</f>
        <v>http://dx.doi.org/10.1016/j.pneumo.2008.05.001</v>
      </c>
      <c r="BG1394" t="s">
        <v>74</v>
      </c>
      <c r="BH1394" t="s">
        <v>74</v>
      </c>
      <c r="BI1394">
        <v>11</v>
      </c>
      <c r="BJ1394" t="s">
        <v>228</v>
      </c>
      <c r="BK1394" t="s">
        <v>101</v>
      </c>
      <c r="BL1394" t="s">
        <v>228</v>
      </c>
      <c r="BM1394" t="s">
        <v>17418</v>
      </c>
      <c r="BN1394">
        <v>18656791</v>
      </c>
      <c r="BO1394" t="s">
        <v>74</v>
      </c>
      <c r="BP1394" t="s">
        <v>74</v>
      </c>
      <c r="BQ1394" t="s">
        <v>74</v>
      </c>
      <c r="BR1394" t="s">
        <v>104</v>
      </c>
      <c r="BS1394" t="s">
        <v>17417</v>
      </c>
      <c r="BT1394" t="str">
        <f>HYPERLINK("https%3A%2F%2Fwww.webofscience.com%2Fwos%2Fwoscc%2Ffull-record%2FWOS:000258450100007","View Full Record in Web of Science")</f>
        <v>View Full Record in Web of Science</v>
      </c>
    </row>
    <row r="1395" spans="1:72" x14ac:dyDescent="0.25">
      <c r="A1395" t="s">
        <v>72</v>
      </c>
      <c r="B1395" t="s">
        <v>17416</v>
      </c>
      <c r="C1395" t="s">
        <v>74</v>
      </c>
      <c r="D1395" t="s">
        <v>74</v>
      </c>
      <c r="E1395" t="s">
        <v>74</v>
      </c>
      <c r="F1395" t="s">
        <v>17415</v>
      </c>
      <c r="G1395" t="s">
        <v>74</v>
      </c>
      <c r="H1395" t="s">
        <v>74</v>
      </c>
      <c r="I1395" t="s">
        <v>17414</v>
      </c>
      <c r="J1395" t="s">
        <v>637</v>
      </c>
      <c r="K1395" t="s">
        <v>74</v>
      </c>
      <c r="L1395" t="s">
        <v>74</v>
      </c>
      <c r="M1395" t="s">
        <v>78</v>
      </c>
      <c r="N1395" t="s">
        <v>79</v>
      </c>
      <c r="O1395" t="s">
        <v>74</v>
      </c>
      <c r="P1395" t="s">
        <v>74</v>
      </c>
      <c r="Q1395" t="s">
        <v>74</v>
      </c>
      <c r="R1395" t="s">
        <v>74</v>
      </c>
      <c r="S1395" t="s">
        <v>74</v>
      </c>
      <c r="T1395" t="s">
        <v>17413</v>
      </c>
      <c r="U1395" t="s">
        <v>17412</v>
      </c>
      <c r="V1395" t="s">
        <v>17411</v>
      </c>
      <c r="W1395" t="s">
        <v>17410</v>
      </c>
      <c r="X1395" t="s">
        <v>17409</v>
      </c>
      <c r="Y1395" t="s">
        <v>17408</v>
      </c>
      <c r="Z1395" t="s">
        <v>16064</v>
      </c>
      <c r="AA1395" t="s">
        <v>17407</v>
      </c>
      <c r="AB1395" t="s">
        <v>17406</v>
      </c>
      <c r="AC1395" t="s">
        <v>74</v>
      </c>
      <c r="AD1395" t="s">
        <v>74</v>
      </c>
      <c r="AE1395" t="s">
        <v>74</v>
      </c>
      <c r="AF1395" t="s">
        <v>74</v>
      </c>
      <c r="AG1395">
        <v>30</v>
      </c>
      <c r="AH1395">
        <v>91</v>
      </c>
      <c r="AI1395">
        <v>97</v>
      </c>
      <c r="AJ1395">
        <v>0</v>
      </c>
      <c r="AK1395">
        <v>3</v>
      </c>
      <c r="AL1395" t="s">
        <v>649</v>
      </c>
      <c r="AM1395" t="s">
        <v>486</v>
      </c>
      <c r="AN1395" t="s">
        <v>650</v>
      </c>
      <c r="AO1395" t="s">
        <v>651</v>
      </c>
      <c r="AP1395" t="s">
        <v>652</v>
      </c>
      <c r="AQ1395" t="s">
        <v>74</v>
      </c>
      <c r="AR1395" t="s">
        <v>653</v>
      </c>
      <c r="AS1395" t="s">
        <v>654</v>
      </c>
      <c r="AT1395" t="s">
        <v>8773</v>
      </c>
      <c r="AU1395">
        <v>2008</v>
      </c>
      <c r="AV1395">
        <v>177</v>
      </c>
      <c r="AW1395">
        <v>10</v>
      </c>
      <c r="AX1395" t="s">
        <v>74</v>
      </c>
      <c r="AY1395" t="s">
        <v>74</v>
      </c>
      <c r="AZ1395" t="s">
        <v>74</v>
      </c>
      <c r="BA1395" t="s">
        <v>74</v>
      </c>
      <c r="BB1395">
        <v>1128</v>
      </c>
      <c r="BC1395">
        <v>1134</v>
      </c>
      <c r="BD1395" t="s">
        <v>74</v>
      </c>
      <c r="BE1395" t="s">
        <v>17405</v>
      </c>
      <c r="BF1395" t="str">
        <f>HYPERLINK("http://dx.doi.org/10.1164/rccm.200707-1015OC","http://dx.doi.org/10.1164/rccm.200707-1015OC")</f>
        <v>http://dx.doi.org/10.1164/rccm.200707-1015OC</v>
      </c>
      <c r="BG1395" t="s">
        <v>74</v>
      </c>
      <c r="BH1395" t="s">
        <v>74</v>
      </c>
      <c r="BI1395">
        <v>7</v>
      </c>
      <c r="BJ1395" t="s">
        <v>341</v>
      </c>
      <c r="BK1395" t="s">
        <v>101</v>
      </c>
      <c r="BL1395" t="s">
        <v>342</v>
      </c>
      <c r="BM1395" t="s">
        <v>17404</v>
      </c>
      <c r="BN1395">
        <v>18276943</v>
      </c>
      <c r="BO1395" t="s">
        <v>612</v>
      </c>
      <c r="BP1395" t="s">
        <v>74</v>
      </c>
      <c r="BQ1395" t="s">
        <v>74</v>
      </c>
      <c r="BR1395" t="s">
        <v>104</v>
      </c>
      <c r="BS1395" t="s">
        <v>17403</v>
      </c>
      <c r="BT1395" t="str">
        <f>HYPERLINK("https%3A%2F%2Fwww.webofscience.com%2Fwos%2Fwoscc%2Ffull-record%2FWOS:000256046000014","View Full Record in Web of Science")</f>
        <v>View Full Record in Web of Science</v>
      </c>
    </row>
    <row r="1396" spans="1:72" x14ac:dyDescent="0.25">
      <c r="A1396" t="s">
        <v>72</v>
      </c>
      <c r="B1396" t="s">
        <v>1420</v>
      </c>
      <c r="C1396" t="s">
        <v>74</v>
      </c>
      <c r="D1396" t="s">
        <v>74</v>
      </c>
      <c r="E1396" t="s">
        <v>74</v>
      </c>
      <c r="F1396" t="s">
        <v>2255</v>
      </c>
      <c r="G1396" t="s">
        <v>74</v>
      </c>
      <c r="H1396" t="s">
        <v>74</v>
      </c>
      <c r="I1396" t="s">
        <v>17402</v>
      </c>
      <c r="J1396" t="s">
        <v>5624</v>
      </c>
      <c r="K1396" t="s">
        <v>74</v>
      </c>
      <c r="L1396" t="s">
        <v>74</v>
      </c>
      <c r="M1396" t="s">
        <v>78</v>
      </c>
      <c r="N1396" t="s">
        <v>140</v>
      </c>
      <c r="O1396" t="s">
        <v>74</v>
      </c>
      <c r="P1396" t="s">
        <v>74</v>
      </c>
      <c r="Q1396" t="s">
        <v>74</v>
      </c>
      <c r="R1396" t="s">
        <v>74</v>
      </c>
      <c r="S1396" t="s">
        <v>74</v>
      </c>
      <c r="T1396" t="s">
        <v>74</v>
      </c>
      <c r="U1396" t="s">
        <v>17401</v>
      </c>
      <c r="V1396" t="s">
        <v>74</v>
      </c>
      <c r="W1396" t="s">
        <v>15878</v>
      </c>
      <c r="X1396" t="s">
        <v>14156</v>
      </c>
      <c r="Y1396" t="s">
        <v>14576</v>
      </c>
      <c r="Z1396" t="s">
        <v>74</v>
      </c>
      <c r="AA1396" t="s">
        <v>144</v>
      </c>
      <c r="AB1396" t="s">
        <v>257</v>
      </c>
      <c r="AC1396" t="s">
        <v>74</v>
      </c>
      <c r="AD1396" t="s">
        <v>74</v>
      </c>
      <c r="AE1396" t="s">
        <v>74</v>
      </c>
      <c r="AF1396" t="s">
        <v>74</v>
      </c>
      <c r="AG1396">
        <v>24</v>
      </c>
      <c r="AH1396">
        <v>1</v>
      </c>
      <c r="AI1396">
        <v>2</v>
      </c>
      <c r="AJ1396">
        <v>0</v>
      </c>
      <c r="AK1396">
        <v>1</v>
      </c>
      <c r="AL1396" t="s">
        <v>16259</v>
      </c>
      <c r="AM1396" t="s">
        <v>1074</v>
      </c>
      <c r="AN1396" t="s">
        <v>16258</v>
      </c>
      <c r="AO1396" t="s">
        <v>5636</v>
      </c>
      <c r="AP1396" t="s">
        <v>74</v>
      </c>
      <c r="AQ1396" t="s">
        <v>74</v>
      </c>
      <c r="AR1396" t="s">
        <v>5624</v>
      </c>
      <c r="AS1396" t="s">
        <v>601</v>
      </c>
      <c r="AT1396" t="s">
        <v>2097</v>
      </c>
      <c r="AU1396">
        <v>2008</v>
      </c>
      <c r="AV1396">
        <v>63</v>
      </c>
      <c r="AW1396">
        <v>5</v>
      </c>
      <c r="AX1396" t="s">
        <v>74</v>
      </c>
      <c r="AY1396" t="s">
        <v>74</v>
      </c>
      <c r="AZ1396" t="s">
        <v>74</v>
      </c>
      <c r="BA1396" t="s">
        <v>74</v>
      </c>
      <c r="BB1396">
        <v>489</v>
      </c>
      <c r="BC1396">
        <v>491</v>
      </c>
      <c r="BD1396" t="s">
        <v>74</v>
      </c>
      <c r="BE1396" t="s">
        <v>17400</v>
      </c>
      <c r="BF1396" t="str">
        <f>HYPERLINK("http://dx.doi.org/10.1111/j.1398-9995.2008.01738.x","http://dx.doi.org/10.1111/j.1398-9995.2008.01738.x")</f>
        <v>http://dx.doi.org/10.1111/j.1398-9995.2008.01738.x</v>
      </c>
      <c r="BG1396" t="s">
        <v>74</v>
      </c>
      <c r="BH1396" t="s">
        <v>74</v>
      </c>
      <c r="BI1396">
        <v>3</v>
      </c>
      <c r="BJ1396" t="s">
        <v>3085</v>
      </c>
      <c r="BK1396" t="s">
        <v>101</v>
      </c>
      <c r="BL1396" t="s">
        <v>3085</v>
      </c>
      <c r="BM1396" t="s">
        <v>17389</v>
      </c>
      <c r="BN1396">
        <v>18394122</v>
      </c>
      <c r="BO1396" t="s">
        <v>74</v>
      </c>
      <c r="BP1396" t="s">
        <v>74</v>
      </c>
      <c r="BQ1396" t="s">
        <v>74</v>
      </c>
      <c r="BR1396" t="s">
        <v>104</v>
      </c>
      <c r="BS1396" t="s">
        <v>17399</v>
      </c>
      <c r="BT1396" t="str">
        <f>HYPERLINK("https%3A%2F%2Fwww.webofscience.com%2Fwos%2Fwoscc%2Ffull-record%2FWOS:000254638700001","View Full Record in Web of Science")</f>
        <v>View Full Record in Web of Science</v>
      </c>
    </row>
    <row r="1397" spans="1:72" x14ac:dyDescent="0.25">
      <c r="A1397" t="s">
        <v>72</v>
      </c>
      <c r="B1397" t="s">
        <v>17398</v>
      </c>
      <c r="C1397" t="s">
        <v>74</v>
      </c>
      <c r="D1397" t="s">
        <v>74</v>
      </c>
      <c r="E1397" t="s">
        <v>74</v>
      </c>
      <c r="F1397" t="s">
        <v>17397</v>
      </c>
      <c r="G1397" t="s">
        <v>74</v>
      </c>
      <c r="H1397" t="s">
        <v>74</v>
      </c>
      <c r="I1397" t="s">
        <v>17396</v>
      </c>
      <c r="J1397" t="s">
        <v>5624</v>
      </c>
      <c r="K1397" t="s">
        <v>74</v>
      </c>
      <c r="L1397" t="s">
        <v>74</v>
      </c>
      <c r="M1397" t="s">
        <v>78</v>
      </c>
      <c r="N1397" t="s">
        <v>79</v>
      </c>
      <c r="O1397" t="s">
        <v>74</v>
      </c>
      <c r="P1397" t="s">
        <v>74</v>
      </c>
      <c r="Q1397" t="s">
        <v>74</v>
      </c>
      <c r="R1397" t="s">
        <v>74</v>
      </c>
      <c r="S1397" t="s">
        <v>74</v>
      </c>
      <c r="T1397" t="s">
        <v>74</v>
      </c>
      <c r="U1397" t="s">
        <v>17395</v>
      </c>
      <c r="V1397" t="s">
        <v>17394</v>
      </c>
      <c r="W1397" t="s">
        <v>17393</v>
      </c>
      <c r="X1397" t="s">
        <v>17392</v>
      </c>
      <c r="Y1397" t="s">
        <v>17391</v>
      </c>
      <c r="Z1397" t="s">
        <v>74</v>
      </c>
      <c r="AA1397" t="s">
        <v>144</v>
      </c>
      <c r="AB1397" t="s">
        <v>257</v>
      </c>
      <c r="AC1397" t="s">
        <v>74</v>
      </c>
      <c r="AD1397" t="s">
        <v>74</v>
      </c>
      <c r="AE1397" t="s">
        <v>74</v>
      </c>
      <c r="AF1397" t="s">
        <v>74</v>
      </c>
      <c r="AG1397">
        <v>16</v>
      </c>
      <c r="AH1397">
        <v>36</v>
      </c>
      <c r="AI1397">
        <v>40</v>
      </c>
      <c r="AJ1397">
        <v>0</v>
      </c>
      <c r="AK1397">
        <v>1</v>
      </c>
      <c r="AL1397" t="s">
        <v>169</v>
      </c>
      <c r="AM1397" t="s">
        <v>170</v>
      </c>
      <c r="AN1397" t="s">
        <v>171</v>
      </c>
      <c r="AO1397" t="s">
        <v>5636</v>
      </c>
      <c r="AP1397" t="s">
        <v>5637</v>
      </c>
      <c r="AQ1397" t="s">
        <v>74</v>
      </c>
      <c r="AR1397" t="s">
        <v>5624</v>
      </c>
      <c r="AS1397" t="s">
        <v>601</v>
      </c>
      <c r="AT1397" t="s">
        <v>2097</v>
      </c>
      <c r="AU1397">
        <v>2008</v>
      </c>
      <c r="AV1397">
        <v>63</v>
      </c>
      <c r="AW1397">
        <v>5</v>
      </c>
      <c r="AX1397" t="s">
        <v>74</v>
      </c>
      <c r="AY1397" t="s">
        <v>74</v>
      </c>
      <c r="AZ1397" t="s">
        <v>74</v>
      </c>
      <c r="BA1397" t="s">
        <v>74</v>
      </c>
      <c r="BB1397">
        <v>592</v>
      </c>
      <c r="BC1397">
        <v>596</v>
      </c>
      <c r="BD1397" t="s">
        <v>74</v>
      </c>
      <c r="BE1397" t="s">
        <v>17390</v>
      </c>
      <c r="BF1397" t="str">
        <f>HYPERLINK("http://dx.doi.org/10.1111/j.1398-9995.2008.01654.x","http://dx.doi.org/10.1111/j.1398-9995.2008.01654.x")</f>
        <v>http://dx.doi.org/10.1111/j.1398-9995.2008.01654.x</v>
      </c>
      <c r="BG1397" t="s">
        <v>74</v>
      </c>
      <c r="BH1397" t="s">
        <v>74</v>
      </c>
      <c r="BI1397">
        <v>5</v>
      </c>
      <c r="BJ1397" t="s">
        <v>3085</v>
      </c>
      <c r="BK1397" t="s">
        <v>101</v>
      </c>
      <c r="BL1397" t="s">
        <v>3085</v>
      </c>
      <c r="BM1397" t="s">
        <v>17389</v>
      </c>
      <c r="BN1397">
        <v>18355388</v>
      </c>
      <c r="BO1397" t="s">
        <v>74</v>
      </c>
      <c r="BP1397" t="s">
        <v>74</v>
      </c>
      <c r="BQ1397" t="s">
        <v>74</v>
      </c>
      <c r="BR1397" t="s">
        <v>104</v>
      </c>
      <c r="BS1397" t="s">
        <v>17388</v>
      </c>
      <c r="BT1397" t="str">
        <f>HYPERLINK("https%3A%2F%2Fwww.webofscience.com%2Fwos%2Fwoscc%2Ffull-record%2FWOS:000254638700015","View Full Record in Web of Science")</f>
        <v>View Full Record in Web of Science</v>
      </c>
    </row>
    <row r="1398" spans="1:72" x14ac:dyDescent="0.25">
      <c r="A1398" t="s">
        <v>72</v>
      </c>
      <c r="B1398" t="s">
        <v>17387</v>
      </c>
      <c r="C1398" t="s">
        <v>74</v>
      </c>
      <c r="D1398" t="s">
        <v>74</v>
      </c>
      <c r="E1398" t="s">
        <v>74</v>
      </c>
      <c r="F1398" t="s">
        <v>17347</v>
      </c>
      <c r="G1398" t="s">
        <v>74</v>
      </c>
      <c r="H1398" t="s">
        <v>74</v>
      </c>
      <c r="I1398" t="s">
        <v>17386</v>
      </c>
      <c r="J1398" t="s">
        <v>216</v>
      </c>
      <c r="K1398" t="s">
        <v>74</v>
      </c>
      <c r="L1398" t="s">
        <v>74</v>
      </c>
      <c r="M1398" t="s">
        <v>78</v>
      </c>
      <c r="N1398" t="s">
        <v>217</v>
      </c>
      <c r="O1398" t="s">
        <v>74</v>
      </c>
      <c r="P1398" t="s">
        <v>74</v>
      </c>
      <c r="Q1398" t="s">
        <v>74</v>
      </c>
      <c r="R1398" t="s">
        <v>74</v>
      </c>
      <c r="S1398" t="s">
        <v>74</v>
      </c>
      <c r="T1398" t="s">
        <v>74</v>
      </c>
      <c r="U1398" t="s">
        <v>74</v>
      </c>
      <c r="V1398" t="s">
        <v>74</v>
      </c>
      <c r="W1398" t="s">
        <v>74</v>
      </c>
      <c r="X1398" t="s">
        <v>74</v>
      </c>
      <c r="Y1398" t="s">
        <v>74</v>
      </c>
      <c r="Z1398" t="s">
        <v>74</v>
      </c>
      <c r="AA1398" t="s">
        <v>17385</v>
      </c>
      <c r="AB1398" t="s">
        <v>17384</v>
      </c>
      <c r="AC1398" t="s">
        <v>74</v>
      </c>
      <c r="AD1398" t="s">
        <v>74</v>
      </c>
      <c r="AE1398" t="s">
        <v>74</v>
      </c>
      <c r="AF1398" t="s">
        <v>74</v>
      </c>
      <c r="AG1398">
        <v>1</v>
      </c>
      <c r="AH1398">
        <v>3</v>
      </c>
      <c r="AI1398">
        <v>3</v>
      </c>
      <c r="AJ1398">
        <v>0</v>
      </c>
      <c r="AK1398">
        <v>0</v>
      </c>
      <c r="AL1398" t="s">
        <v>219</v>
      </c>
      <c r="AM1398" t="s">
        <v>220</v>
      </c>
      <c r="AN1398" t="s">
        <v>221</v>
      </c>
      <c r="AO1398" t="s">
        <v>222</v>
      </c>
      <c r="AP1398" t="s">
        <v>74</v>
      </c>
      <c r="AQ1398" t="s">
        <v>74</v>
      </c>
      <c r="AR1398" t="s">
        <v>224</v>
      </c>
      <c r="AS1398" t="s">
        <v>225</v>
      </c>
      <c r="AT1398" t="s">
        <v>997</v>
      </c>
      <c r="AU1398">
        <v>2008</v>
      </c>
      <c r="AV1398">
        <v>31</v>
      </c>
      <c r="AW1398">
        <v>4</v>
      </c>
      <c r="AX1398" t="s">
        <v>74</v>
      </c>
      <c r="AY1398" t="s">
        <v>74</v>
      </c>
      <c r="AZ1398" t="s">
        <v>74</v>
      </c>
      <c r="BA1398" t="s">
        <v>74</v>
      </c>
      <c r="BB1398">
        <v>912</v>
      </c>
      <c r="BC1398">
        <v>912</v>
      </c>
      <c r="BD1398" t="s">
        <v>74</v>
      </c>
      <c r="BE1398" t="s">
        <v>74</v>
      </c>
      <c r="BF1398" t="s">
        <v>74</v>
      </c>
      <c r="BG1398" t="s">
        <v>74</v>
      </c>
      <c r="BH1398" t="s">
        <v>74</v>
      </c>
      <c r="BI1398">
        <v>1</v>
      </c>
      <c r="BJ1398" t="s">
        <v>228</v>
      </c>
      <c r="BK1398" t="s">
        <v>101</v>
      </c>
      <c r="BL1398" t="s">
        <v>228</v>
      </c>
      <c r="BM1398" t="s">
        <v>17383</v>
      </c>
      <c r="BN1398" t="s">
        <v>74</v>
      </c>
      <c r="BO1398" t="s">
        <v>74</v>
      </c>
      <c r="BP1398" t="s">
        <v>74</v>
      </c>
      <c r="BQ1398" t="s">
        <v>74</v>
      </c>
      <c r="BR1398" t="s">
        <v>104</v>
      </c>
      <c r="BS1398" t="s">
        <v>17382</v>
      </c>
      <c r="BT1398" t="str">
        <f>HYPERLINK("https%3A%2F%2Fwww.webofscience.com%2Fwos%2Fwoscc%2Ffull-record%2FWOS:000254866300040","View Full Record in Web of Science")</f>
        <v>View Full Record in Web of Science</v>
      </c>
    </row>
    <row r="1399" spans="1:72" x14ac:dyDescent="0.25">
      <c r="A1399" t="s">
        <v>72</v>
      </c>
      <c r="B1399" t="s">
        <v>1420</v>
      </c>
      <c r="C1399" t="s">
        <v>74</v>
      </c>
      <c r="D1399" t="s">
        <v>74</v>
      </c>
      <c r="E1399" t="s">
        <v>74</v>
      </c>
      <c r="F1399" t="s">
        <v>1421</v>
      </c>
      <c r="G1399" t="s">
        <v>74</v>
      </c>
      <c r="H1399" t="s">
        <v>74</v>
      </c>
      <c r="I1399" t="s">
        <v>17381</v>
      </c>
      <c r="J1399" t="s">
        <v>637</v>
      </c>
      <c r="K1399" t="s">
        <v>74</v>
      </c>
      <c r="L1399" t="s">
        <v>74</v>
      </c>
      <c r="M1399" t="s">
        <v>78</v>
      </c>
      <c r="N1399" t="s">
        <v>79</v>
      </c>
      <c r="O1399" t="s">
        <v>74</v>
      </c>
      <c r="P1399" t="s">
        <v>74</v>
      </c>
      <c r="Q1399" t="s">
        <v>74</v>
      </c>
      <c r="R1399" t="s">
        <v>74</v>
      </c>
      <c r="S1399" t="s">
        <v>74</v>
      </c>
      <c r="T1399" t="s">
        <v>74</v>
      </c>
      <c r="U1399" t="s">
        <v>17380</v>
      </c>
      <c r="V1399" t="s">
        <v>17379</v>
      </c>
      <c r="W1399" t="s">
        <v>17378</v>
      </c>
      <c r="X1399" t="s">
        <v>14516</v>
      </c>
      <c r="Y1399" t="s">
        <v>17377</v>
      </c>
      <c r="Z1399" t="s">
        <v>10573</v>
      </c>
      <c r="AA1399" t="s">
        <v>144</v>
      </c>
      <c r="AB1399" t="s">
        <v>257</v>
      </c>
      <c r="AC1399" t="s">
        <v>74</v>
      </c>
      <c r="AD1399" t="s">
        <v>74</v>
      </c>
      <c r="AE1399" t="s">
        <v>74</v>
      </c>
      <c r="AF1399" t="s">
        <v>74</v>
      </c>
      <c r="AG1399">
        <v>68</v>
      </c>
      <c r="AH1399">
        <v>33</v>
      </c>
      <c r="AI1399">
        <v>33</v>
      </c>
      <c r="AJ1399">
        <v>0</v>
      </c>
      <c r="AK1399">
        <v>2</v>
      </c>
      <c r="AL1399" t="s">
        <v>649</v>
      </c>
      <c r="AM1399" t="s">
        <v>486</v>
      </c>
      <c r="AN1399" t="s">
        <v>650</v>
      </c>
      <c r="AO1399" t="s">
        <v>651</v>
      </c>
      <c r="AP1399" t="s">
        <v>652</v>
      </c>
      <c r="AQ1399" t="s">
        <v>74</v>
      </c>
      <c r="AR1399" t="s">
        <v>653</v>
      </c>
      <c r="AS1399" t="s">
        <v>654</v>
      </c>
      <c r="AT1399" t="s">
        <v>5048</v>
      </c>
      <c r="AU1399">
        <v>2008</v>
      </c>
      <c r="AV1399">
        <v>177</v>
      </c>
      <c r="AW1399">
        <v>6</v>
      </c>
      <c r="AX1399" t="s">
        <v>74</v>
      </c>
      <c r="AY1399" t="s">
        <v>74</v>
      </c>
      <c r="AZ1399" t="s">
        <v>74</v>
      </c>
      <c r="BA1399" t="s">
        <v>74</v>
      </c>
      <c r="BB1399">
        <v>574</v>
      </c>
      <c r="BC1399">
        <v>579</v>
      </c>
      <c r="BD1399" t="s">
        <v>74</v>
      </c>
      <c r="BE1399" t="s">
        <v>17376</v>
      </c>
      <c r="BF1399" t="str">
        <f>HYPERLINK("http://dx.doi.org/10.1164/rccm.200801-029UP","http://dx.doi.org/10.1164/rccm.200801-029UP")</f>
        <v>http://dx.doi.org/10.1164/rccm.200801-029UP</v>
      </c>
      <c r="BG1399" t="s">
        <v>74</v>
      </c>
      <c r="BH1399" t="s">
        <v>74</v>
      </c>
      <c r="BI1399">
        <v>6</v>
      </c>
      <c r="BJ1399" t="s">
        <v>341</v>
      </c>
      <c r="BK1399" t="s">
        <v>101</v>
      </c>
      <c r="BL1399" t="s">
        <v>342</v>
      </c>
      <c r="BM1399" t="s">
        <v>17375</v>
      </c>
      <c r="BN1399">
        <v>18316769</v>
      </c>
      <c r="BO1399" t="s">
        <v>74</v>
      </c>
      <c r="BP1399" t="s">
        <v>74</v>
      </c>
      <c r="BQ1399" t="s">
        <v>74</v>
      </c>
      <c r="BR1399" t="s">
        <v>104</v>
      </c>
      <c r="BS1399" t="s">
        <v>17374</v>
      </c>
      <c r="BT1399" t="str">
        <f>HYPERLINK("https%3A%2F%2Fwww.webofscience.com%2Fwos%2Fwoscc%2Ffull-record%2FWOS:000253852000005","View Full Record in Web of Science")</f>
        <v>View Full Record in Web of Science</v>
      </c>
    </row>
    <row r="1400" spans="1:72" x14ac:dyDescent="0.25">
      <c r="A1400" t="s">
        <v>72</v>
      </c>
      <c r="B1400" t="s">
        <v>17373</v>
      </c>
      <c r="C1400" t="s">
        <v>74</v>
      </c>
      <c r="D1400" t="s">
        <v>74</v>
      </c>
      <c r="E1400" t="s">
        <v>74</v>
      </c>
      <c r="F1400" t="s">
        <v>17372</v>
      </c>
      <c r="G1400" t="s">
        <v>74</v>
      </c>
      <c r="H1400" t="s">
        <v>74</v>
      </c>
      <c r="I1400" t="s">
        <v>17371</v>
      </c>
      <c r="J1400" t="s">
        <v>5624</v>
      </c>
      <c r="K1400" t="s">
        <v>74</v>
      </c>
      <c r="L1400" t="s">
        <v>74</v>
      </c>
      <c r="M1400" t="s">
        <v>78</v>
      </c>
      <c r="N1400" t="s">
        <v>140</v>
      </c>
      <c r="O1400" t="s">
        <v>74</v>
      </c>
      <c r="P1400" t="s">
        <v>74</v>
      </c>
      <c r="Q1400" t="s">
        <v>74</v>
      </c>
      <c r="R1400" t="s">
        <v>74</v>
      </c>
      <c r="S1400" t="s">
        <v>74</v>
      </c>
      <c r="T1400" t="s">
        <v>74</v>
      </c>
      <c r="U1400" t="s">
        <v>17370</v>
      </c>
      <c r="V1400" t="s">
        <v>74</v>
      </c>
      <c r="W1400" t="s">
        <v>17369</v>
      </c>
      <c r="X1400" t="s">
        <v>17368</v>
      </c>
      <c r="Y1400" t="s">
        <v>17367</v>
      </c>
      <c r="Z1400" t="s">
        <v>74</v>
      </c>
      <c r="AA1400" t="s">
        <v>17366</v>
      </c>
      <c r="AB1400" t="s">
        <v>17365</v>
      </c>
      <c r="AC1400" t="s">
        <v>74</v>
      </c>
      <c r="AD1400" t="s">
        <v>74</v>
      </c>
      <c r="AE1400" t="s">
        <v>74</v>
      </c>
      <c r="AF1400" t="s">
        <v>74</v>
      </c>
      <c r="AG1400">
        <v>40</v>
      </c>
      <c r="AH1400">
        <v>17</v>
      </c>
      <c r="AI1400">
        <v>18</v>
      </c>
      <c r="AJ1400">
        <v>0</v>
      </c>
      <c r="AK1400">
        <v>3</v>
      </c>
      <c r="AL1400" t="s">
        <v>169</v>
      </c>
      <c r="AM1400" t="s">
        <v>170</v>
      </c>
      <c r="AN1400" t="s">
        <v>171</v>
      </c>
      <c r="AO1400" t="s">
        <v>5636</v>
      </c>
      <c r="AP1400" t="s">
        <v>5637</v>
      </c>
      <c r="AQ1400" t="s">
        <v>74</v>
      </c>
      <c r="AR1400" t="s">
        <v>5624</v>
      </c>
      <c r="AS1400" t="s">
        <v>601</v>
      </c>
      <c r="AT1400" t="s">
        <v>129</v>
      </c>
      <c r="AU1400">
        <v>2008</v>
      </c>
      <c r="AV1400">
        <v>63</v>
      </c>
      <c r="AW1400">
        <v>2</v>
      </c>
      <c r="AX1400" t="s">
        <v>74</v>
      </c>
      <c r="AY1400" t="s">
        <v>74</v>
      </c>
      <c r="AZ1400" t="s">
        <v>74</v>
      </c>
      <c r="BA1400" t="s">
        <v>74</v>
      </c>
      <c r="BB1400">
        <v>143</v>
      </c>
      <c r="BC1400">
        <v>147</v>
      </c>
      <c r="BD1400" t="s">
        <v>74</v>
      </c>
      <c r="BE1400" t="s">
        <v>17364</v>
      </c>
      <c r="BF1400" t="str">
        <f>HYPERLINK("http://dx.doi.org/10.1111/j.1398-9995.2007.01615.x","http://dx.doi.org/10.1111/j.1398-9995.2007.01615.x")</f>
        <v>http://dx.doi.org/10.1111/j.1398-9995.2007.01615.x</v>
      </c>
      <c r="BG1400" t="s">
        <v>74</v>
      </c>
      <c r="BH1400" t="s">
        <v>74</v>
      </c>
      <c r="BI1400">
        <v>5</v>
      </c>
      <c r="BJ1400" t="s">
        <v>3085</v>
      </c>
      <c r="BK1400" t="s">
        <v>101</v>
      </c>
      <c r="BL1400" t="s">
        <v>3085</v>
      </c>
      <c r="BM1400" t="s">
        <v>17363</v>
      </c>
      <c r="BN1400">
        <v>18186804</v>
      </c>
      <c r="BO1400" t="s">
        <v>1194</v>
      </c>
      <c r="BP1400" t="s">
        <v>74</v>
      </c>
      <c r="BQ1400" t="s">
        <v>74</v>
      </c>
      <c r="BR1400" t="s">
        <v>104</v>
      </c>
      <c r="BS1400" t="s">
        <v>17362</v>
      </c>
      <c r="BT1400" t="str">
        <f>HYPERLINK("https%3A%2F%2Fwww.webofscience.com%2Fwos%2Fwoscc%2Ffull-record%2FWOS:000252119400001","View Full Record in Web of Science")</f>
        <v>View Full Record in Web of Science</v>
      </c>
    </row>
    <row r="1401" spans="1:72" x14ac:dyDescent="0.25">
      <c r="A1401" t="s">
        <v>72</v>
      </c>
      <c r="B1401" t="s">
        <v>17361</v>
      </c>
      <c r="C1401" t="s">
        <v>74</v>
      </c>
      <c r="D1401" t="s">
        <v>74</v>
      </c>
      <c r="E1401" t="s">
        <v>74</v>
      </c>
      <c r="F1401" t="s">
        <v>17360</v>
      </c>
      <c r="G1401" t="s">
        <v>74</v>
      </c>
      <c r="H1401" t="s">
        <v>74</v>
      </c>
      <c r="I1401" t="s">
        <v>17359</v>
      </c>
      <c r="J1401" t="s">
        <v>15500</v>
      </c>
      <c r="K1401" t="s">
        <v>74</v>
      </c>
      <c r="L1401" t="s">
        <v>74</v>
      </c>
      <c r="M1401" t="s">
        <v>78</v>
      </c>
      <c r="N1401" t="s">
        <v>79</v>
      </c>
      <c r="O1401" t="s">
        <v>74</v>
      </c>
      <c r="P1401" t="s">
        <v>74</v>
      </c>
      <c r="Q1401" t="s">
        <v>74</v>
      </c>
      <c r="R1401" t="s">
        <v>74</v>
      </c>
      <c r="S1401" t="s">
        <v>74</v>
      </c>
      <c r="T1401" t="s">
        <v>74</v>
      </c>
      <c r="U1401" t="s">
        <v>17358</v>
      </c>
      <c r="V1401" t="s">
        <v>17357</v>
      </c>
      <c r="W1401" t="s">
        <v>17356</v>
      </c>
      <c r="X1401" t="s">
        <v>17355</v>
      </c>
      <c r="Y1401" t="s">
        <v>17354</v>
      </c>
      <c r="Z1401" t="s">
        <v>10573</v>
      </c>
      <c r="AA1401" t="s">
        <v>17353</v>
      </c>
      <c r="AB1401" t="s">
        <v>17352</v>
      </c>
      <c r="AC1401" t="s">
        <v>74</v>
      </c>
      <c r="AD1401" t="s">
        <v>74</v>
      </c>
      <c r="AE1401" t="s">
        <v>74</v>
      </c>
      <c r="AF1401" t="s">
        <v>74</v>
      </c>
      <c r="AG1401">
        <v>34</v>
      </c>
      <c r="AH1401">
        <v>280</v>
      </c>
      <c r="AI1401">
        <v>302</v>
      </c>
      <c r="AJ1401">
        <v>2</v>
      </c>
      <c r="AK1401">
        <v>13</v>
      </c>
      <c r="AL1401" t="s">
        <v>169</v>
      </c>
      <c r="AM1401" t="s">
        <v>170</v>
      </c>
      <c r="AN1401" t="s">
        <v>171</v>
      </c>
      <c r="AO1401" t="s">
        <v>15491</v>
      </c>
      <c r="AP1401" t="s">
        <v>16087</v>
      </c>
      <c r="AQ1401" t="s">
        <v>74</v>
      </c>
      <c r="AR1401" t="s">
        <v>16086</v>
      </c>
      <c r="AS1401" t="s">
        <v>15489</v>
      </c>
      <c r="AT1401" t="s">
        <v>129</v>
      </c>
      <c r="AU1401">
        <v>2008</v>
      </c>
      <c r="AV1401">
        <v>58</v>
      </c>
      <c r="AW1401">
        <v>2</v>
      </c>
      <c r="AX1401" t="s">
        <v>74</v>
      </c>
      <c r="AY1401" t="s">
        <v>74</v>
      </c>
      <c r="AZ1401" t="s">
        <v>74</v>
      </c>
      <c r="BA1401" t="s">
        <v>74</v>
      </c>
      <c r="BB1401">
        <v>521</v>
      </c>
      <c r="BC1401">
        <v>531</v>
      </c>
      <c r="BD1401" t="s">
        <v>74</v>
      </c>
      <c r="BE1401" t="s">
        <v>17351</v>
      </c>
      <c r="BF1401" t="str">
        <f>HYPERLINK("http://dx.doi.org/10.1002/art.23303","http://dx.doi.org/10.1002/art.23303")</f>
        <v>http://dx.doi.org/10.1002/art.23303</v>
      </c>
      <c r="BG1401" t="s">
        <v>74</v>
      </c>
      <c r="BH1401" t="s">
        <v>74</v>
      </c>
      <c r="BI1401">
        <v>11</v>
      </c>
      <c r="BJ1401" t="s">
        <v>2369</v>
      </c>
      <c r="BK1401" t="s">
        <v>101</v>
      </c>
      <c r="BL1401" t="s">
        <v>2369</v>
      </c>
      <c r="BM1401" t="s">
        <v>17350</v>
      </c>
      <c r="BN1401">
        <v>18240255</v>
      </c>
      <c r="BO1401" t="s">
        <v>74</v>
      </c>
      <c r="BP1401" t="s">
        <v>74</v>
      </c>
      <c r="BQ1401" t="s">
        <v>74</v>
      </c>
      <c r="BR1401" t="s">
        <v>104</v>
      </c>
      <c r="BS1401" t="s">
        <v>17349</v>
      </c>
      <c r="BT1401" t="str">
        <f>HYPERLINK("https%3A%2F%2Fwww.webofscience.com%2Fwos%2Fwoscc%2Ffull-record%2FWOS:000253260700020","View Full Record in Web of Science")</f>
        <v>View Full Record in Web of Science</v>
      </c>
    </row>
    <row r="1402" spans="1:72" x14ac:dyDescent="0.25">
      <c r="A1402" t="s">
        <v>72</v>
      </c>
      <c r="B1402" t="s">
        <v>17348</v>
      </c>
      <c r="C1402" t="s">
        <v>74</v>
      </c>
      <c r="D1402" t="s">
        <v>74</v>
      </c>
      <c r="E1402" t="s">
        <v>74</v>
      </c>
      <c r="F1402" t="s">
        <v>17347</v>
      </c>
      <c r="G1402" t="s">
        <v>74</v>
      </c>
      <c r="H1402" t="s">
        <v>74</v>
      </c>
      <c r="I1402" t="s">
        <v>17346</v>
      </c>
      <c r="J1402" t="s">
        <v>216</v>
      </c>
      <c r="K1402" t="s">
        <v>74</v>
      </c>
      <c r="L1402" t="s">
        <v>74</v>
      </c>
      <c r="M1402" t="s">
        <v>78</v>
      </c>
      <c r="N1402" t="s">
        <v>79</v>
      </c>
      <c r="O1402" t="s">
        <v>74</v>
      </c>
      <c r="P1402" t="s">
        <v>74</v>
      </c>
      <c r="Q1402" t="s">
        <v>74</v>
      </c>
      <c r="R1402" t="s">
        <v>74</v>
      </c>
      <c r="S1402" t="s">
        <v>74</v>
      </c>
      <c r="T1402" t="s">
        <v>17345</v>
      </c>
      <c r="U1402" t="s">
        <v>17344</v>
      </c>
      <c r="V1402" t="s">
        <v>17343</v>
      </c>
      <c r="W1402" t="s">
        <v>17342</v>
      </c>
      <c r="X1402" t="s">
        <v>17341</v>
      </c>
      <c r="Y1402" t="s">
        <v>17340</v>
      </c>
      <c r="Z1402" t="s">
        <v>10573</v>
      </c>
      <c r="AA1402" t="s">
        <v>17339</v>
      </c>
      <c r="AB1402" t="s">
        <v>17338</v>
      </c>
      <c r="AC1402" t="s">
        <v>74</v>
      </c>
      <c r="AD1402" t="s">
        <v>74</v>
      </c>
      <c r="AE1402" t="s">
        <v>74</v>
      </c>
      <c r="AF1402" t="s">
        <v>74</v>
      </c>
      <c r="AG1402">
        <v>35</v>
      </c>
      <c r="AH1402">
        <v>95</v>
      </c>
      <c r="AI1402">
        <v>99</v>
      </c>
      <c r="AJ1402">
        <v>0</v>
      </c>
      <c r="AK1402">
        <v>2</v>
      </c>
      <c r="AL1402" t="s">
        <v>219</v>
      </c>
      <c r="AM1402" t="s">
        <v>220</v>
      </c>
      <c r="AN1402" t="s">
        <v>221</v>
      </c>
      <c r="AO1402" t="s">
        <v>222</v>
      </c>
      <c r="AP1402" t="s">
        <v>223</v>
      </c>
      <c r="AQ1402" t="s">
        <v>74</v>
      </c>
      <c r="AR1402" t="s">
        <v>224</v>
      </c>
      <c r="AS1402" t="s">
        <v>225</v>
      </c>
      <c r="AT1402" t="s">
        <v>129</v>
      </c>
      <c r="AU1402">
        <v>2008</v>
      </c>
      <c r="AV1402">
        <v>31</v>
      </c>
      <c r="AW1402">
        <v>2</v>
      </c>
      <c r="AX1402" t="s">
        <v>74</v>
      </c>
      <c r="AY1402" t="s">
        <v>74</v>
      </c>
      <c r="AZ1402" t="s">
        <v>74</v>
      </c>
      <c r="BA1402" t="s">
        <v>74</v>
      </c>
      <c r="BB1402">
        <v>343</v>
      </c>
      <c r="BC1402">
        <v>348</v>
      </c>
      <c r="BD1402" t="s">
        <v>74</v>
      </c>
      <c r="BE1402" t="s">
        <v>17337</v>
      </c>
      <c r="BF1402" t="str">
        <f>HYPERLINK("http://dx.doi.org/10.1183/09031936.00104807","http://dx.doi.org/10.1183/09031936.00104807")</f>
        <v>http://dx.doi.org/10.1183/09031936.00104807</v>
      </c>
      <c r="BG1402" t="s">
        <v>74</v>
      </c>
      <c r="BH1402" t="s">
        <v>74</v>
      </c>
      <c r="BI1402">
        <v>6</v>
      </c>
      <c r="BJ1402" t="s">
        <v>228</v>
      </c>
      <c r="BK1402" t="s">
        <v>101</v>
      </c>
      <c r="BL1402" t="s">
        <v>228</v>
      </c>
      <c r="BM1402" t="s">
        <v>17336</v>
      </c>
      <c r="BN1402">
        <v>17959632</v>
      </c>
      <c r="BO1402" t="s">
        <v>1194</v>
      </c>
      <c r="BP1402" t="s">
        <v>74</v>
      </c>
      <c r="BQ1402" t="s">
        <v>74</v>
      </c>
      <c r="BR1402" t="s">
        <v>104</v>
      </c>
      <c r="BS1402" t="s">
        <v>17335</v>
      </c>
      <c r="BT1402" t="str">
        <f>HYPERLINK("https%3A%2F%2Fwww.webofscience.com%2Fwos%2Fwoscc%2Ffull-record%2FWOS:000253038400019","View Full Record in Web of Science")</f>
        <v>View Full Record in Web of Science</v>
      </c>
    </row>
    <row r="1403" spans="1:72" x14ac:dyDescent="0.25">
      <c r="A1403" t="s">
        <v>72</v>
      </c>
      <c r="B1403" t="s">
        <v>17334</v>
      </c>
      <c r="C1403" t="s">
        <v>74</v>
      </c>
      <c r="D1403" t="s">
        <v>74</v>
      </c>
      <c r="E1403" t="s">
        <v>74</v>
      </c>
      <c r="F1403" t="s">
        <v>17333</v>
      </c>
      <c r="G1403" t="s">
        <v>74</v>
      </c>
      <c r="H1403" t="s">
        <v>74</v>
      </c>
      <c r="I1403" t="s">
        <v>17332</v>
      </c>
      <c r="J1403" t="s">
        <v>5624</v>
      </c>
      <c r="K1403" t="s">
        <v>74</v>
      </c>
      <c r="L1403" t="s">
        <v>74</v>
      </c>
      <c r="M1403" t="s">
        <v>78</v>
      </c>
      <c r="N1403" t="s">
        <v>140</v>
      </c>
      <c r="O1403" t="s">
        <v>74</v>
      </c>
      <c r="P1403" t="s">
        <v>74</v>
      </c>
      <c r="Q1403" t="s">
        <v>74</v>
      </c>
      <c r="R1403" t="s">
        <v>74</v>
      </c>
      <c r="S1403" t="s">
        <v>74</v>
      </c>
      <c r="T1403" t="s">
        <v>74</v>
      </c>
      <c r="U1403" t="s">
        <v>17331</v>
      </c>
      <c r="V1403" t="s">
        <v>74</v>
      </c>
      <c r="W1403" t="s">
        <v>17330</v>
      </c>
      <c r="X1403" t="s">
        <v>17329</v>
      </c>
      <c r="Y1403" t="s">
        <v>17328</v>
      </c>
      <c r="Z1403" t="s">
        <v>74</v>
      </c>
      <c r="AA1403" t="s">
        <v>17327</v>
      </c>
      <c r="AB1403" t="s">
        <v>17326</v>
      </c>
      <c r="AC1403" t="s">
        <v>74</v>
      </c>
      <c r="AD1403" t="s">
        <v>74</v>
      </c>
      <c r="AE1403" t="s">
        <v>74</v>
      </c>
      <c r="AF1403" t="s">
        <v>74</v>
      </c>
      <c r="AG1403">
        <v>35</v>
      </c>
      <c r="AH1403">
        <v>66</v>
      </c>
      <c r="AI1403">
        <v>69</v>
      </c>
      <c r="AJ1403">
        <v>0</v>
      </c>
      <c r="AK1403">
        <v>3</v>
      </c>
      <c r="AL1403" t="s">
        <v>169</v>
      </c>
      <c r="AM1403" t="s">
        <v>170</v>
      </c>
      <c r="AN1403" t="s">
        <v>171</v>
      </c>
      <c r="AO1403" t="s">
        <v>5636</v>
      </c>
      <c r="AP1403" t="s">
        <v>5637</v>
      </c>
      <c r="AQ1403" t="s">
        <v>74</v>
      </c>
      <c r="AR1403" t="s">
        <v>5624</v>
      </c>
      <c r="AS1403" t="s">
        <v>601</v>
      </c>
      <c r="AT1403" t="s">
        <v>176</v>
      </c>
      <c r="AU1403">
        <v>2008</v>
      </c>
      <c r="AV1403">
        <v>63</v>
      </c>
      <c r="AW1403">
        <v>1</v>
      </c>
      <c r="AX1403" t="s">
        <v>74</v>
      </c>
      <c r="AY1403" t="s">
        <v>74</v>
      </c>
      <c r="AZ1403" t="s">
        <v>74</v>
      </c>
      <c r="BA1403" t="s">
        <v>74</v>
      </c>
      <c r="BB1403">
        <v>1</v>
      </c>
      <c r="BC1403">
        <v>4</v>
      </c>
      <c r="BD1403" t="s">
        <v>74</v>
      </c>
      <c r="BE1403" t="s">
        <v>17325</v>
      </c>
      <c r="BF1403" t="str">
        <f>HYPERLINK("http://dx.doi.org/10.1111/j.1398-9995.2007.01594.x","http://dx.doi.org/10.1111/j.1398-9995.2007.01594.x")</f>
        <v>http://dx.doi.org/10.1111/j.1398-9995.2007.01594.x</v>
      </c>
      <c r="BG1403" t="s">
        <v>74</v>
      </c>
      <c r="BH1403" t="s">
        <v>74</v>
      </c>
      <c r="BI1403">
        <v>4</v>
      </c>
      <c r="BJ1403" t="s">
        <v>3085</v>
      </c>
      <c r="BK1403" t="s">
        <v>101</v>
      </c>
      <c r="BL1403" t="s">
        <v>3085</v>
      </c>
      <c r="BM1403" t="s">
        <v>17324</v>
      </c>
      <c r="BN1403">
        <v>18053012</v>
      </c>
      <c r="BO1403" t="s">
        <v>74</v>
      </c>
      <c r="BP1403" t="s">
        <v>74</v>
      </c>
      <c r="BQ1403" t="s">
        <v>74</v>
      </c>
      <c r="BR1403" t="s">
        <v>104</v>
      </c>
      <c r="BS1403" t="s">
        <v>17323</v>
      </c>
      <c r="BT1403" t="str">
        <f>HYPERLINK("https%3A%2F%2Fwww.webofscience.com%2Fwos%2Fwoscc%2Ffull-record%2FWOS:000251327700001","View Full Record in Web of Science")</f>
        <v>View Full Record in Web of Science</v>
      </c>
    </row>
    <row r="1404" spans="1:72" x14ac:dyDescent="0.25">
      <c r="A1404" t="s">
        <v>72</v>
      </c>
      <c r="B1404" t="s">
        <v>17322</v>
      </c>
      <c r="C1404" t="s">
        <v>74</v>
      </c>
      <c r="D1404" t="s">
        <v>74</v>
      </c>
      <c r="E1404" t="s">
        <v>74</v>
      </c>
      <c r="F1404" t="s">
        <v>17321</v>
      </c>
      <c r="G1404" t="s">
        <v>74</v>
      </c>
      <c r="H1404" t="s">
        <v>74</v>
      </c>
      <c r="I1404" t="s">
        <v>17320</v>
      </c>
      <c r="J1404" t="s">
        <v>5624</v>
      </c>
      <c r="K1404" t="s">
        <v>74</v>
      </c>
      <c r="L1404" t="s">
        <v>74</v>
      </c>
      <c r="M1404" t="s">
        <v>78</v>
      </c>
      <c r="N1404" t="s">
        <v>299</v>
      </c>
      <c r="O1404" t="s">
        <v>74</v>
      </c>
      <c r="P1404" t="s">
        <v>74</v>
      </c>
      <c r="Q1404" t="s">
        <v>74</v>
      </c>
      <c r="R1404" t="s">
        <v>74</v>
      </c>
      <c r="S1404" t="s">
        <v>74</v>
      </c>
      <c r="T1404" t="s">
        <v>17319</v>
      </c>
      <c r="U1404" t="s">
        <v>17318</v>
      </c>
      <c r="V1404" t="s">
        <v>17317</v>
      </c>
      <c r="W1404" t="s">
        <v>17316</v>
      </c>
      <c r="X1404" t="s">
        <v>17315</v>
      </c>
      <c r="Y1404" t="s">
        <v>7809</v>
      </c>
      <c r="Z1404" t="s">
        <v>74</v>
      </c>
      <c r="AA1404" t="s">
        <v>17314</v>
      </c>
      <c r="AB1404" t="s">
        <v>17313</v>
      </c>
      <c r="AC1404" t="s">
        <v>74</v>
      </c>
      <c r="AD1404" t="s">
        <v>74</v>
      </c>
      <c r="AE1404" t="s">
        <v>74</v>
      </c>
      <c r="AF1404" t="s">
        <v>74</v>
      </c>
      <c r="AG1404">
        <v>2241</v>
      </c>
      <c r="AH1404">
        <v>3651</v>
      </c>
      <c r="AI1404">
        <v>4160</v>
      </c>
      <c r="AJ1404">
        <v>29</v>
      </c>
      <c r="AK1404">
        <v>846</v>
      </c>
      <c r="AL1404" t="s">
        <v>169</v>
      </c>
      <c r="AM1404" t="s">
        <v>170</v>
      </c>
      <c r="AN1404" t="s">
        <v>171</v>
      </c>
      <c r="AO1404" t="s">
        <v>5636</v>
      </c>
      <c r="AP1404" t="s">
        <v>5637</v>
      </c>
      <c r="AQ1404" t="s">
        <v>74</v>
      </c>
      <c r="AR1404" t="s">
        <v>5624</v>
      </c>
      <c r="AS1404" t="s">
        <v>601</v>
      </c>
      <c r="AT1404" t="s">
        <v>74</v>
      </c>
      <c r="AU1404">
        <v>2008</v>
      </c>
      <c r="AV1404">
        <v>63</v>
      </c>
      <c r="AW1404" t="s">
        <v>74</v>
      </c>
      <c r="AX1404" t="s">
        <v>74</v>
      </c>
      <c r="AY1404">
        <v>86</v>
      </c>
      <c r="AZ1404" t="s">
        <v>74</v>
      </c>
      <c r="BA1404" t="s">
        <v>74</v>
      </c>
      <c r="BB1404">
        <v>8</v>
      </c>
      <c r="BC1404" t="s">
        <v>3083</v>
      </c>
      <c r="BD1404" t="s">
        <v>74</v>
      </c>
      <c r="BE1404" t="s">
        <v>17312</v>
      </c>
      <c r="BF1404" t="str">
        <f>HYPERLINK("http://dx.doi.org/10.1111/j.1398-9995.2007.01620.x","http://dx.doi.org/10.1111/j.1398-9995.2007.01620.x")</f>
        <v>http://dx.doi.org/10.1111/j.1398-9995.2007.01620.x</v>
      </c>
      <c r="BG1404" t="s">
        <v>74</v>
      </c>
      <c r="BH1404" t="s">
        <v>74</v>
      </c>
      <c r="BI1404">
        <v>154</v>
      </c>
      <c r="BJ1404" t="s">
        <v>3085</v>
      </c>
      <c r="BK1404" t="s">
        <v>101</v>
      </c>
      <c r="BL1404" t="s">
        <v>3085</v>
      </c>
      <c r="BM1404" t="s">
        <v>17311</v>
      </c>
      <c r="BN1404">
        <v>18331513</v>
      </c>
      <c r="BO1404" t="s">
        <v>1194</v>
      </c>
      <c r="BP1404" t="s">
        <v>74</v>
      </c>
      <c r="BQ1404" t="s">
        <v>74</v>
      </c>
      <c r="BR1404" t="s">
        <v>104</v>
      </c>
      <c r="BS1404" t="s">
        <v>17310</v>
      </c>
      <c r="BT1404" t="str">
        <f>HYPERLINK("https%3A%2F%2Fwww.webofscience.com%2Fwos%2Fwoscc%2Ffull-record%2FWOS:000253825900001","View Full Record in Web of Science")</f>
        <v>View Full Record in Web of Science</v>
      </c>
    </row>
    <row r="1405" spans="1:72" x14ac:dyDescent="0.25">
      <c r="A1405" t="s">
        <v>72</v>
      </c>
      <c r="B1405" t="s">
        <v>17309</v>
      </c>
      <c r="C1405" t="s">
        <v>74</v>
      </c>
      <c r="D1405" t="s">
        <v>74</v>
      </c>
      <c r="E1405" t="s">
        <v>74</v>
      </c>
      <c r="F1405" t="s">
        <v>17308</v>
      </c>
      <c r="G1405" t="s">
        <v>74</v>
      </c>
      <c r="H1405" t="s">
        <v>74</v>
      </c>
      <c r="I1405" t="s">
        <v>17307</v>
      </c>
      <c r="J1405" t="s">
        <v>1529</v>
      </c>
      <c r="K1405" t="s">
        <v>74</v>
      </c>
      <c r="L1405" t="s">
        <v>74</v>
      </c>
      <c r="M1405" t="s">
        <v>1349</v>
      </c>
      <c r="N1405" t="s">
        <v>140</v>
      </c>
      <c r="O1405" t="s">
        <v>74</v>
      </c>
      <c r="P1405" t="s">
        <v>74</v>
      </c>
      <c r="Q1405" t="s">
        <v>74</v>
      </c>
      <c r="R1405" t="s">
        <v>74</v>
      </c>
      <c r="S1405" t="s">
        <v>74</v>
      </c>
      <c r="T1405" t="s">
        <v>74</v>
      </c>
      <c r="U1405" t="s">
        <v>17306</v>
      </c>
      <c r="V1405" t="s">
        <v>74</v>
      </c>
      <c r="W1405" t="s">
        <v>17305</v>
      </c>
      <c r="X1405" t="s">
        <v>17304</v>
      </c>
      <c r="Y1405" t="s">
        <v>17303</v>
      </c>
      <c r="Z1405" t="s">
        <v>17084</v>
      </c>
      <c r="AA1405" t="s">
        <v>780</v>
      </c>
      <c r="AB1405" t="s">
        <v>17264</v>
      </c>
      <c r="AC1405" t="s">
        <v>74</v>
      </c>
      <c r="AD1405" t="s">
        <v>74</v>
      </c>
      <c r="AE1405" t="s">
        <v>74</v>
      </c>
      <c r="AF1405" t="s">
        <v>74</v>
      </c>
      <c r="AG1405">
        <v>8</v>
      </c>
      <c r="AH1405">
        <v>0</v>
      </c>
      <c r="AI1405">
        <v>0</v>
      </c>
      <c r="AJ1405">
        <v>0</v>
      </c>
      <c r="AK1405">
        <v>1</v>
      </c>
      <c r="AL1405" t="s">
        <v>1358</v>
      </c>
      <c r="AM1405" t="s">
        <v>1359</v>
      </c>
      <c r="AN1405" t="s">
        <v>1360</v>
      </c>
      <c r="AO1405" t="s">
        <v>1533</v>
      </c>
      <c r="AP1405" t="s">
        <v>74</v>
      </c>
      <c r="AQ1405" t="s">
        <v>74</v>
      </c>
      <c r="AR1405" t="s">
        <v>1535</v>
      </c>
      <c r="AS1405" t="s">
        <v>1536</v>
      </c>
      <c r="AT1405" t="s">
        <v>176</v>
      </c>
      <c r="AU1405">
        <v>2008</v>
      </c>
      <c r="AV1405">
        <v>37</v>
      </c>
      <c r="AW1405">
        <v>1</v>
      </c>
      <c r="AX1405">
        <v>2</v>
      </c>
      <c r="AY1405" t="s">
        <v>74</v>
      </c>
      <c r="AZ1405" t="s">
        <v>74</v>
      </c>
      <c r="BA1405" t="s">
        <v>74</v>
      </c>
      <c r="BB1405">
        <v>97</v>
      </c>
      <c r="BC1405">
        <v>98</v>
      </c>
      <c r="BD1405" t="s">
        <v>74</v>
      </c>
      <c r="BE1405" t="s">
        <v>17302</v>
      </c>
      <c r="BF1405" t="str">
        <f>HYPERLINK("http://dx.doi.org/10.1016/j.lpm.2007.10.007","http://dx.doi.org/10.1016/j.lpm.2007.10.007")</f>
        <v>http://dx.doi.org/10.1016/j.lpm.2007.10.007</v>
      </c>
      <c r="BG1405" t="s">
        <v>74</v>
      </c>
      <c r="BH1405" t="s">
        <v>74</v>
      </c>
      <c r="BI1405">
        <v>2</v>
      </c>
      <c r="BJ1405" t="s">
        <v>1152</v>
      </c>
      <c r="BK1405" t="s">
        <v>101</v>
      </c>
      <c r="BL1405" t="s">
        <v>1153</v>
      </c>
      <c r="BM1405" t="s">
        <v>17262</v>
      </c>
      <c r="BN1405">
        <v>18055162</v>
      </c>
      <c r="BO1405" t="s">
        <v>74</v>
      </c>
      <c r="BP1405" t="s">
        <v>74</v>
      </c>
      <c r="BQ1405" t="s">
        <v>74</v>
      </c>
      <c r="BR1405" t="s">
        <v>104</v>
      </c>
      <c r="BS1405" t="s">
        <v>17301</v>
      </c>
      <c r="BT1405" t="str">
        <f>HYPERLINK("https%3A%2F%2Fwww.webofscience.com%2Fwos%2Fwoscc%2Ffull-record%2FWOS:000252707300005","View Full Record in Web of Science")</f>
        <v>View Full Record in Web of Science</v>
      </c>
    </row>
    <row r="1406" spans="1:72" x14ac:dyDescent="0.25">
      <c r="A1406" t="s">
        <v>72</v>
      </c>
      <c r="B1406" t="s">
        <v>17300</v>
      </c>
      <c r="C1406" t="s">
        <v>74</v>
      </c>
      <c r="D1406" t="s">
        <v>74</v>
      </c>
      <c r="E1406" t="s">
        <v>74</v>
      </c>
      <c r="F1406" t="s">
        <v>17299</v>
      </c>
      <c r="G1406" t="s">
        <v>74</v>
      </c>
      <c r="H1406" t="s">
        <v>17298</v>
      </c>
      <c r="I1406" t="s">
        <v>17297</v>
      </c>
      <c r="J1406" t="s">
        <v>2580</v>
      </c>
      <c r="K1406" t="s">
        <v>74</v>
      </c>
      <c r="L1406" t="s">
        <v>74</v>
      </c>
      <c r="M1406" t="s">
        <v>78</v>
      </c>
      <c r="N1406" t="s">
        <v>79</v>
      </c>
      <c r="O1406" t="s">
        <v>74</v>
      </c>
      <c r="P1406" t="s">
        <v>74</v>
      </c>
      <c r="Q1406" t="s">
        <v>74</v>
      </c>
      <c r="R1406" t="s">
        <v>74</v>
      </c>
      <c r="S1406" t="s">
        <v>74</v>
      </c>
      <c r="T1406" t="s">
        <v>74</v>
      </c>
      <c r="U1406" t="s">
        <v>17296</v>
      </c>
      <c r="V1406" t="s">
        <v>17295</v>
      </c>
      <c r="W1406" t="s">
        <v>17294</v>
      </c>
      <c r="X1406" t="s">
        <v>17293</v>
      </c>
      <c r="Y1406" t="s">
        <v>17292</v>
      </c>
      <c r="Z1406" t="s">
        <v>17291</v>
      </c>
      <c r="AA1406" t="s">
        <v>17290</v>
      </c>
      <c r="AB1406" t="s">
        <v>17289</v>
      </c>
      <c r="AC1406" t="s">
        <v>74</v>
      </c>
      <c r="AD1406" t="s">
        <v>74</v>
      </c>
      <c r="AE1406" t="s">
        <v>74</v>
      </c>
      <c r="AF1406" t="s">
        <v>74</v>
      </c>
      <c r="AG1406">
        <v>35</v>
      </c>
      <c r="AH1406">
        <v>127</v>
      </c>
      <c r="AI1406">
        <v>130</v>
      </c>
      <c r="AJ1406">
        <v>0</v>
      </c>
      <c r="AK1406">
        <v>5</v>
      </c>
      <c r="AL1406" t="s">
        <v>2590</v>
      </c>
      <c r="AM1406" t="s">
        <v>201</v>
      </c>
      <c r="AN1406" t="s">
        <v>2591</v>
      </c>
      <c r="AO1406" t="s">
        <v>2592</v>
      </c>
      <c r="AP1406" t="s">
        <v>2593</v>
      </c>
      <c r="AQ1406" t="s">
        <v>74</v>
      </c>
      <c r="AR1406" t="s">
        <v>2594</v>
      </c>
      <c r="AS1406" t="s">
        <v>2595</v>
      </c>
      <c r="AT1406" t="s">
        <v>176</v>
      </c>
      <c r="AU1406">
        <v>2008</v>
      </c>
      <c r="AV1406">
        <v>67</v>
      </c>
      <c r="AW1406">
        <v>1</v>
      </c>
      <c r="AX1406" t="s">
        <v>74</v>
      </c>
      <c r="AY1406" t="s">
        <v>74</v>
      </c>
      <c r="AZ1406" t="s">
        <v>74</v>
      </c>
      <c r="BA1406" t="s">
        <v>74</v>
      </c>
      <c r="BB1406">
        <v>31</v>
      </c>
      <c r="BC1406">
        <v>36</v>
      </c>
      <c r="BD1406" t="s">
        <v>74</v>
      </c>
      <c r="BE1406" t="s">
        <v>17288</v>
      </c>
      <c r="BF1406" t="str">
        <f>HYPERLINK("http://dx.doi.org/10.1136/ard.2006.057760","http://dx.doi.org/10.1136/ard.2006.057760")</f>
        <v>http://dx.doi.org/10.1136/ard.2006.057760</v>
      </c>
      <c r="BG1406" t="s">
        <v>74</v>
      </c>
      <c r="BH1406" t="s">
        <v>74</v>
      </c>
      <c r="BI1406">
        <v>6</v>
      </c>
      <c r="BJ1406" t="s">
        <v>2369</v>
      </c>
      <c r="BK1406" t="s">
        <v>101</v>
      </c>
      <c r="BL1406" t="s">
        <v>2369</v>
      </c>
      <c r="BM1406" t="s">
        <v>17287</v>
      </c>
      <c r="BN1406">
        <v>17267515</v>
      </c>
      <c r="BO1406" t="s">
        <v>74</v>
      </c>
      <c r="BP1406" t="s">
        <v>74</v>
      </c>
      <c r="BQ1406" t="s">
        <v>74</v>
      </c>
      <c r="BR1406" t="s">
        <v>104</v>
      </c>
      <c r="BS1406" t="s">
        <v>17286</v>
      </c>
      <c r="BT1406" t="str">
        <f>HYPERLINK("https%3A%2F%2Fwww.webofscience.com%2Fwos%2Fwoscc%2Ffull-record%2FWOS:000251615600006","View Full Record in Web of Science")</f>
        <v>View Full Record in Web of Science</v>
      </c>
    </row>
    <row r="1407" spans="1:72" x14ac:dyDescent="0.25">
      <c r="A1407" t="s">
        <v>72</v>
      </c>
      <c r="B1407" t="s">
        <v>17285</v>
      </c>
      <c r="C1407" t="s">
        <v>74</v>
      </c>
      <c r="D1407" t="s">
        <v>74</v>
      </c>
      <c r="E1407" t="s">
        <v>74</v>
      </c>
      <c r="F1407" t="s">
        <v>17284</v>
      </c>
      <c r="G1407" t="s">
        <v>74</v>
      </c>
      <c r="H1407" t="s">
        <v>74</v>
      </c>
      <c r="I1407" t="s">
        <v>17283</v>
      </c>
      <c r="J1407" t="s">
        <v>9316</v>
      </c>
      <c r="K1407" t="s">
        <v>74</v>
      </c>
      <c r="L1407" t="s">
        <v>74</v>
      </c>
      <c r="M1407" t="s">
        <v>78</v>
      </c>
      <c r="N1407" t="s">
        <v>79</v>
      </c>
      <c r="O1407" t="s">
        <v>74</v>
      </c>
      <c r="P1407" t="s">
        <v>74</v>
      </c>
      <c r="Q1407" t="s">
        <v>74</v>
      </c>
      <c r="R1407" t="s">
        <v>74</v>
      </c>
      <c r="S1407" t="s">
        <v>74</v>
      </c>
      <c r="T1407" t="s">
        <v>17282</v>
      </c>
      <c r="U1407" t="s">
        <v>17281</v>
      </c>
      <c r="V1407" t="s">
        <v>17280</v>
      </c>
      <c r="W1407" t="s">
        <v>17279</v>
      </c>
      <c r="X1407" t="s">
        <v>17278</v>
      </c>
      <c r="Y1407" t="s">
        <v>17277</v>
      </c>
      <c r="Z1407" t="s">
        <v>17276</v>
      </c>
      <c r="AA1407" t="s">
        <v>17275</v>
      </c>
      <c r="AB1407" t="s">
        <v>17274</v>
      </c>
      <c r="AC1407" t="s">
        <v>74</v>
      </c>
      <c r="AD1407" t="s">
        <v>74</v>
      </c>
      <c r="AE1407" t="s">
        <v>74</v>
      </c>
      <c r="AF1407" t="s">
        <v>74</v>
      </c>
      <c r="AG1407">
        <v>37</v>
      </c>
      <c r="AH1407">
        <v>54</v>
      </c>
      <c r="AI1407">
        <v>56</v>
      </c>
      <c r="AJ1407">
        <v>0</v>
      </c>
      <c r="AK1407">
        <v>7</v>
      </c>
      <c r="AL1407" t="s">
        <v>9328</v>
      </c>
      <c r="AM1407" t="s">
        <v>1114</v>
      </c>
      <c r="AN1407" t="s">
        <v>9329</v>
      </c>
      <c r="AO1407" t="s">
        <v>9330</v>
      </c>
      <c r="AP1407" t="s">
        <v>9331</v>
      </c>
      <c r="AQ1407" t="s">
        <v>74</v>
      </c>
      <c r="AR1407" t="s">
        <v>9316</v>
      </c>
      <c r="AS1407" t="s">
        <v>9332</v>
      </c>
      <c r="AT1407" t="s">
        <v>74</v>
      </c>
      <c r="AU1407">
        <v>2008</v>
      </c>
      <c r="AV1407">
        <v>76</v>
      </c>
      <c r="AW1407">
        <v>3</v>
      </c>
      <c r="AX1407" t="s">
        <v>74</v>
      </c>
      <c r="AY1407" t="s">
        <v>74</v>
      </c>
      <c r="AZ1407" t="s">
        <v>74</v>
      </c>
      <c r="BA1407" t="s">
        <v>74</v>
      </c>
      <c r="BB1407">
        <v>295</v>
      </c>
      <c r="BC1407">
        <v>302</v>
      </c>
      <c r="BD1407" t="s">
        <v>74</v>
      </c>
      <c r="BE1407" t="s">
        <v>17273</v>
      </c>
      <c r="BF1407" t="str">
        <f>HYPERLINK("http://dx.doi.org/10.1159/000112822","http://dx.doi.org/10.1159/000112822")</f>
        <v>http://dx.doi.org/10.1159/000112822</v>
      </c>
      <c r="BG1407" t="s">
        <v>74</v>
      </c>
      <c r="BH1407" t="s">
        <v>74</v>
      </c>
      <c r="BI1407">
        <v>8</v>
      </c>
      <c r="BJ1407" t="s">
        <v>228</v>
      </c>
      <c r="BK1407" t="s">
        <v>101</v>
      </c>
      <c r="BL1407" t="s">
        <v>228</v>
      </c>
      <c r="BM1407" t="s">
        <v>17272</v>
      </c>
      <c r="BN1407">
        <v>18160817</v>
      </c>
      <c r="BO1407" t="s">
        <v>74</v>
      </c>
      <c r="BP1407" t="s">
        <v>74</v>
      </c>
      <c r="BQ1407" t="s">
        <v>74</v>
      </c>
      <c r="BR1407" t="s">
        <v>104</v>
      </c>
      <c r="BS1407" t="s">
        <v>17271</v>
      </c>
      <c r="BT1407" t="str">
        <f>HYPERLINK("https%3A%2F%2Fwww.webofscience.com%2Fwos%2Fwoscc%2Ffull-record%2FWOS:000259784600010","View Full Record in Web of Science")</f>
        <v>View Full Record in Web of Science</v>
      </c>
    </row>
    <row r="1408" spans="1:72" x14ac:dyDescent="0.25">
      <c r="A1408" t="s">
        <v>72</v>
      </c>
      <c r="B1408" t="s">
        <v>17270</v>
      </c>
      <c r="C1408" t="s">
        <v>74</v>
      </c>
      <c r="D1408" t="s">
        <v>74</v>
      </c>
      <c r="E1408" t="s">
        <v>74</v>
      </c>
      <c r="F1408" t="s">
        <v>17269</v>
      </c>
      <c r="G1408" t="s">
        <v>74</v>
      </c>
      <c r="H1408" t="s">
        <v>74</v>
      </c>
      <c r="I1408" t="s">
        <v>17268</v>
      </c>
      <c r="J1408" t="s">
        <v>1529</v>
      </c>
      <c r="K1408" t="s">
        <v>74</v>
      </c>
      <c r="L1408" t="s">
        <v>74</v>
      </c>
      <c r="M1408" t="s">
        <v>1349</v>
      </c>
      <c r="N1408" t="s">
        <v>79</v>
      </c>
      <c r="O1408" t="s">
        <v>74</v>
      </c>
      <c r="P1408" t="s">
        <v>74</v>
      </c>
      <c r="Q1408" t="s">
        <v>74</v>
      </c>
      <c r="R1408" t="s">
        <v>74</v>
      </c>
      <c r="S1408" t="s">
        <v>74</v>
      </c>
      <c r="T1408" t="s">
        <v>74</v>
      </c>
      <c r="U1408" t="s">
        <v>17267</v>
      </c>
      <c r="V1408" t="s">
        <v>17266</v>
      </c>
      <c r="W1408" t="s">
        <v>17265</v>
      </c>
      <c r="X1408" t="s">
        <v>15946</v>
      </c>
      <c r="Y1408" t="s">
        <v>14576</v>
      </c>
      <c r="Z1408" t="s">
        <v>10573</v>
      </c>
      <c r="AA1408" t="s">
        <v>780</v>
      </c>
      <c r="AB1408" t="s">
        <v>17264</v>
      </c>
      <c r="AC1408" t="s">
        <v>74</v>
      </c>
      <c r="AD1408" t="s">
        <v>74</v>
      </c>
      <c r="AE1408" t="s">
        <v>74</v>
      </c>
      <c r="AF1408" t="s">
        <v>74</v>
      </c>
      <c r="AG1408">
        <v>47</v>
      </c>
      <c r="AH1408">
        <v>0</v>
      </c>
      <c r="AI1408">
        <v>1</v>
      </c>
      <c r="AJ1408">
        <v>0</v>
      </c>
      <c r="AK1408">
        <v>2</v>
      </c>
      <c r="AL1408" t="s">
        <v>1358</v>
      </c>
      <c r="AM1408" t="s">
        <v>1359</v>
      </c>
      <c r="AN1408" t="s">
        <v>1360</v>
      </c>
      <c r="AO1408" t="s">
        <v>1533</v>
      </c>
      <c r="AP1408" t="s">
        <v>1534</v>
      </c>
      <c r="AQ1408" t="s">
        <v>74</v>
      </c>
      <c r="AR1408" t="s">
        <v>1535</v>
      </c>
      <c r="AS1408" t="s">
        <v>1536</v>
      </c>
      <c r="AT1408" t="s">
        <v>176</v>
      </c>
      <c r="AU1408">
        <v>2008</v>
      </c>
      <c r="AV1408">
        <v>37</v>
      </c>
      <c r="AW1408">
        <v>1</v>
      </c>
      <c r="AX1408">
        <v>2</v>
      </c>
      <c r="AY1408" t="s">
        <v>74</v>
      </c>
      <c r="AZ1408" t="s">
        <v>74</v>
      </c>
      <c r="BA1408" t="s">
        <v>74</v>
      </c>
      <c r="BB1408">
        <v>173</v>
      </c>
      <c r="BC1408">
        <v>181</v>
      </c>
      <c r="BD1408" t="s">
        <v>74</v>
      </c>
      <c r="BE1408" t="s">
        <v>17263</v>
      </c>
      <c r="BF1408" t="str">
        <f>HYPERLINK("http://dx.doi.org/10.1016/j.lpm.2007.08.008","http://dx.doi.org/10.1016/j.lpm.2007.08.008")</f>
        <v>http://dx.doi.org/10.1016/j.lpm.2007.08.008</v>
      </c>
      <c r="BG1408" t="s">
        <v>74</v>
      </c>
      <c r="BH1408" t="s">
        <v>74</v>
      </c>
      <c r="BI1408">
        <v>9</v>
      </c>
      <c r="BJ1408" t="s">
        <v>1152</v>
      </c>
      <c r="BK1408" t="s">
        <v>101</v>
      </c>
      <c r="BL1408" t="s">
        <v>1153</v>
      </c>
      <c r="BM1408" t="s">
        <v>17262</v>
      </c>
      <c r="BN1408">
        <v>17980548</v>
      </c>
      <c r="BO1408" t="s">
        <v>74</v>
      </c>
      <c r="BP1408" t="s">
        <v>74</v>
      </c>
      <c r="BQ1408" t="s">
        <v>74</v>
      </c>
      <c r="BR1408" t="s">
        <v>104</v>
      </c>
      <c r="BS1408" t="s">
        <v>17261</v>
      </c>
      <c r="BT1408" t="str">
        <f>HYPERLINK("https%3A%2F%2Fwww.webofscience.com%2Fwos%2Fwoscc%2Ffull-record%2FWOS:000252707300015","View Full Record in Web of Science")</f>
        <v>View Full Record in Web of Science</v>
      </c>
    </row>
    <row r="1409" spans="1:72" x14ac:dyDescent="0.25">
      <c r="A1409" t="s">
        <v>72</v>
      </c>
      <c r="B1409" t="s">
        <v>17260</v>
      </c>
      <c r="C1409" t="s">
        <v>74</v>
      </c>
      <c r="D1409" t="s">
        <v>74</v>
      </c>
      <c r="E1409" t="s">
        <v>74</v>
      </c>
      <c r="F1409" t="s">
        <v>17259</v>
      </c>
      <c r="G1409" t="s">
        <v>74</v>
      </c>
      <c r="H1409" t="s">
        <v>74</v>
      </c>
      <c r="I1409" t="s">
        <v>17258</v>
      </c>
      <c r="J1409" t="s">
        <v>9316</v>
      </c>
      <c r="K1409" t="s">
        <v>74</v>
      </c>
      <c r="L1409" t="s">
        <v>74</v>
      </c>
      <c r="M1409" t="s">
        <v>78</v>
      </c>
      <c r="N1409" t="s">
        <v>140</v>
      </c>
      <c r="O1409" t="s">
        <v>74</v>
      </c>
      <c r="P1409" t="s">
        <v>74</v>
      </c>
      <c r="Q1409" t="s">
        <v>74</v>
      </c>
      <c r="R1409" t="s">
        <v>74</v>
      </c>
      <c r="S1409" t="s">
        <v>74</v>
      </c>
      <c r="T1409" t="s">
        <v>74</v>
      </c>
      <c r="U1409" t="s">
        <v>17257</v>
      </c>
      <c r="V1409" t="s">
        <v>74</v>
      </c>
      <c r="W1409" t="s">
        <v>17256</v>
      </c>
      <c r="X1409" t="s">
        <v>17255</v>
      </c>
      <c r="Y1409" t="s">
        <v>17254</v>
      </c>
      <c r="Z1409" t="s">
        <v>13011</v>
      </c>
      <c r="AA1409" t="s">
        <v>17253</v>
      </c>
      <c r="AB1409" t="s">
        <v>17252</v>
      </c>
      <c r="AC1409" t="s">
        <v>74</v>
      </c>
      <c r="AD1409" t="s">
        <v>74</v>
      </c>
      <c r="AE1409" t="s">
        <v>74</v>
      </c>
      <c r="AF1409" t="s">
        <v>74</v>
      </c>
      <c r="AG1409">
        <v>36</v>
      </c>
      <c r="AH1409">
        <v>10</v>
      </c>
      <c r="AI1409">
        <v>10</v>
      </c>
      <c r="AJ1409">
        <v>0</v>
      </c>
      <c r="AK1409">
        <v>2</v>
      </c>
      <c r="AL1409" t="s">
        <v>9328</v>
      </c>
      <c r="AM1409" t="s">
        <v>1114</v>
      </c>
      <c r="AN1409" t="s">
        <v>9329</v>
      </c>
      <c r="AO1409" t="s">
        <v>9330</v>
      </c>
      <c r="AP1409" t="s">
        <v>74</v>
      </c>
      <c r="AQ1409" t="s">
        <v>74</v>
      </c>
      <c r="AR1409" t="s">
        <v>9316</v>
      </c>
      <c r="AS1409" t="s">
        <v>9332</v>
      </c>
      <c r="AT1409" t="s">
        <v>74</v>
      </c>
      <c r="AU1409">
        <v>2008</v>
      </c>
      <c r="AV1409">
        <v>75</v>
      </c>
      <c r="AW1409">
        <v>3</v>
      </c>
      <c r="AX1409" t="s">
        <v>74</v>
      </c>
      <c r="AY1409" t="s">
        <v>74</v>
      </c>
      <c r="AZ1409" t="s">
        <v>74</v>
      </c>
      <c r="BA1409" t="s">
        <v>74</v>
      </c>
      <c r="BB1409">
        <v>253</v>
      </c>
      <c r="BC1409">
        <v>256</v>
      </c>
      <c r="BD1409" t="s">
        <v>74</v>
      </c>
      <c r="BE1409" t="s">
        <v>17251</v>
      </c>
      <c r="BF1409" t="str">
        <f>HYPERLINK("http://dx.doi.org/10.1159/000114655","http://dx.doi.org/10.1159/000114655")</f>
        <v>http://dx.doi.org/10.1159/000114655</v>
      </c>
      <c r="BG1409" t="s">
        <v>74</v>
      </c>
      <c r="BH1409" t="s">
        <v>74</v>
      </c>
      <c r="BI1409">
        <v>4</v>
      </c>
      <c r="BJ1409" t="s">
        <v>228</v>
      </c>
      <c r="BK1409" t="s">
        <v>101</v>
      </c>
      <c r="BL1409" t="s">
        <v>228</v>
      </c>
      <c r="BM1409" t="s">
        <v>17250</v>
      </c>
      <c r="BN1409">
        <v>18367851</v>
      </c>
      <c r="BO1409" t="s">
        <v>74</v>
      </c>
      <c r="BP1409" t="s">
        <v>74</v>
      </c>
      <c r="BQ1409" t="s">
        <v>74</v>
      </c>
      <c r="BR1409" t="s">
        <v>104</v>
      </c>
      <c r="BS1409" t="s">
        <v>17249</v>
      </c>
      <c r="BT1409" t="str">
        <f>HYPERLINK("https%3A%2F%2Fwww.webofscience.com%2Fwos%2Fwoscc%2Ffull-record%2FWOS:000255895400003","View Full Record in Web of Science")</f>
        <v>View Full Record in Web of Science</v>
      </c>
    </row>
    <row r="1410" spans="1:72" x14ac:dyDescent="0.25">
      <c r="A1410" t="s">
        <v>72</v>
      </c>
      <c r="B1410" t="s">
        <v>17248</v>
      </c>
      <c r="C1410" t="s">
        <v>74</v>
      </c>
      <c r="D1410" t="s">
        <v>74</v>
      </c>
      <c r="E1410" t="s">
        <v>74</v>
      </c>
      <c r="F1410" t="s">
        <v>17247</v>
      </c>
      <c r="G1410" t="s">
        <v>74</v>
      </c>
      <c r="H1410" t="s">
        <v>74</v>
      </c>
      <c r="I1410" t="s">
        <v>17246</v>
      </c>
      <c r="J1410" t="s">
        <v>6978</v>
      </c>
      <c r="K1410" t="s">
        <v>74</v>
      </c>
      <c r="L1410" t="s">
        <v>74</v>
      </c>
      <c r="M1410" t="s">
        <v>78</v>
      </c>
      <c r="N1410" t="s">
        <v>79</v>
      </c>
      <c r="O1410" t="s">
        <v>74</v>
      </c>
      <c r="P1410" t="s">
        <v>74</v>
      </c>
      <c r="Q1410" t="s">
        <v>74</v>
      </c>
      <c r="R1410" t="s">
        <v>74</v>
      </c>
      <c r="S1410" t="s">
        <v>74</v>
      </c>
      <c r="T1410" t="s">
        <v>74</v>
      </c>
      <c r="U1410" t="s">
        <v>17245</v>
      </c>
      <c r="V1410" t="s">
        <v>17244</v>
      </c>
      <c r="W1410" t="s">
        <v>17243</v>
      </c>
      <c r="X1410" t="s">
        <v>17242</v>
      </c>
      <c r="Y1410" t="s">
        <v>17241</v>
      </c>
      <c r="Z1410" t="s">
        <v>17240</v>
      </c>
      <c r="AA1410" t="s">
        <v>17239</v>
      </c>
      <c r="AB1410" t="s">
        <v>17238</v>
      </c>
      <c r="AC1410" t="s">
        <v>74</v>
      </c>
      <c r="AD1410" t="s">
        <v>74</v>
      </c>
      <c r="AE1410" t="s">
        <v>74</v>
      </c>
      <c r="AF1410" t="s">
        <v>74</v>
      </c>
      <c r="AG1410">
        <v>54</v>
      </c>
      <c r="AH1410">
        <v>131</v>
      </c>
      <c r="AI1410">
        <v>140</v>
      </c>
      <c r="AJ1410">
        <v>0</v>
      </c>
      <c r="AK1410">
        <v>5</v>
      </c>
      <c r="AL1410" t="s">
        <v>15444</v>
      </c>
      <c r="AM1410" t="s">
        <v>201</v>
      </c>
      <c r="AN1410" t="s">
        <v>2591</v>
      </c>
      <c r="AO1410" t="s">
        <v>6985</v>
      </c>
      <c r="AP1410" t="s">
        <v>74</v>
      </c>
      <c r="AQ1410" t="s">
        <v>74</v>
      </c>
      <c r="AR1410" t="s">
        <v>6978</v>
      </c>
      <c r="AS1410" t="s">
        <v>6987</v>
      </c>
      <c r="AT1410" t="s">
        <v>176</v>
      </c>
      <c r="AU1410">
        <v>2008</v>
      </c>
      <c r="AV1410">
        <v>63</v>
      </c>
      <c r="AW1410">
        <v>1</v>
      </c>
      <c r="AX1410" t="s">
        <v>74</v>
      </c>
      <c r="AY1410" t="s">
        <v>74</v>
      </c>
      <c r="AZ1410" t="s">
        <v>74</v>
      </c>
      <c r="BA1410" t="s">
        <v>74</v>
      </c>
      <c r="BB1410">
        <v>53</v>
      </c>
      <c r="BC1410">
        <v>59</v>
      </c>
      <c r="BD1410" t="s">
        <v>74</v>
      </c>
      <c r="BE1410" t="s">
        <v>17237</v>
      </c>
      <c r="BF1410" t="str">
        <f>HYPERLINK("http://dx.doi.org/10.1136/thx.2006.069237","http://dx.doi.org/10.1136/thx.2006.069237")</f>
        <v>http://dx.doi.org/10.1136/thx.2006.069237</v>
      </c>
      <c r="BG1410" t="s">
        <v>74</v>
      </c>
      <c r="BH1410" t="s">
        <v>74</v>
      </c>
      <c r="BI1410">
        <v>7</v>
      </c>
      <c r="BJ1410" t="s">
        <v>228</v>
      </c>
      <c r="BK1410" t="s">
        <v>101</v>
      </c>
      <c r="BL1410" t="s">
        <v>228</v>
      </c>
      <c r="BM1410" t="s">
        <v>17236</v>
      </c>
      <c r="BN1410">
        <v>17557770</v>
      </c>
      <c r="BO1410" t="s">
        <v>2854</v>
      </c>
      <c r="BP1410" t="s">
        <v>74</v>
      </c>
      <c r="BQ1410" t="s">
        <v>74</v>
      </c>
      <c r="BR1410" t="s">
        <v>104</v>
      </c>
      <c r="BS1410" t="s">
        <v>17235</v>
      </c>
      <c r="BT1410" t="str">
        <f>HYPERLINK("https%3A%2F%2Fwww.webofscience.com%2Fwos%2Fwoscc%2Ffull-record%2FWOS:000251835800013","View Full Record in Web of Science")</f>
        <v>View Full Record in Web of Science</v>
      </c>
    </row>
    <row r="1411" spans="1:72" x14ac:dyDescent="0.25">
      <c r="A1411" t="s">
        <v>72</v>
      </c>
      <c r="B1411" t="s">
        <v>1420</v>
      </c>
      <c r="C1411" t="s">
        <v>74</v>
      </c>
      <c r="D1411" t="s">
        <v>74</v>
      </c>
      <c r="E1411" t="s">
        <v>74</v>
      </c>
      <c r="F1411" t="s">
        <v>2255</v>
      </c>
      <c r="G1411" t="s">
        <v>74</v>
      </c>
      <c r="H1411" t="s">
        <v>74</v>
      </c>
      <c r="I1411" t="s">
        <v>17234</v>
      </c>
      <c r="J1411" t="s">
        <v>8129</v>
      </c>
      <c r="K1411" t="s">
        <v>74</v>
      </c>
      <c r="L1411" t="s">
        <v>74</v>
      </c>
      <c r="M1411" t="s">
        <v>1349</v>
      </c>
      <c r="N1411" t="s">
        <v>8016</v>
      </c>
      <c r="O1411" t="s">
        <v>17233</v>
      </c>
      <c r="P1411">
        <v>2007</v>
      </c>
      <c r="Q1411" t="s">
        <v>17232</v>
      </c>
      <c r="R1411" t="s">
        <v>17231</v>
      </c>
      <c r="S1411" t="s">
        <v>74</v>
      </c>
      <c r="T1411" t="s">
        <v>17230</v>
      </c>
      <c r="U1411" t="s">
        <v>17229</v>
      </c>
      <c r="V1411" t="s">
        <v>74</v>
      </c>
      <c r="W1411" t="s">
        <v>17228</v>
      </c>
      <c r="X1411" t="s">
        <v>14516</v>
      </c>
      <c r="Y1411" t="s">
        <v>17227</v>
      </c>
      <c r="Z1411" t="s">
        <v>15743</v>
      </c>
      <c r="AA1411" t="s">
        <v>144</v>
      </c>
      <c r="AB1411" t="s">
        <v>257</v>
      </c>
      <c r="AC1411" t="s">
        <v>74</v>
      </c>
      <c r="AD1411" t="s">
        <v>74</v>
      </c>
      <c r="AE1411" t="s">
        <v>74</v>
      </c>
      <c r="AF1411" t="s">
        <v>74</v>
      </c>
      <c r="AG1411">
        <v>19</v>
      </c>
      <c r="AH1411">
        <v>0</v>
      </c>
      <c r="AI1411">
        <v>0</v>
      </c>
      <c r="AJ1411">
        <v>0</v>
      </c>
      <c r="AK1411">
        <v>0</v>
      </c>
      <c r="AL1411" t="s">
        <v>8138</v>
      </c>
      <c r="AM1411" t="s">
        <v>883</v>
      </c>
      <c r="AN1411" t="s">
        <v>15528</v>
      </c>
      <c r="AO1411" t="s">
        <v>8141</v>
      </c>
      <c r="AP1411" t="s">
        <v>74</v>
      </c>
      <c r="AQ1411" t="s">
        <v>74</v>
      </c>
      <c r="AR1411" t="s">
        <v>8142</v>
      </c>
      <c r="AS1411" t="s">
        <v>8143</v>
      </c>
      <c r="AT1411" t="s">
        <v>226</v>
      </c>
      <c r="AU1411">
        <v>2007</v>
      </c>
      <c r="AV1411">
        <v>28</v>
      </c>
      <c r="AW1411" t="s">
        <v>74</v>
      </c>
      <c r="AX1411" t="s">
        <v>74</v>
      </c>
      <c r="AY1411">
        <v>4</v>
      </c>
      <c r="AZ1411" t="s">
        <v>74</v>
      </c>
      <c r="BA1411" t="s">
        <v>74</v>
      </c>
      <c r="BB1411" t="s">
        <v>17226</v>
      </c>
      <c r="BC1411" t="s">
        <v>17225</v>
      </c>
      <c r="BD1411" t="s">
        <v>74</v>
      </c>
      <c r="BE1411" t="s">
        <v>17224</v>
      </c>
      <c r="BF1411" t="str">
        <f>HYPERLINK("http://dx.doi.org/10.1016/j.revmed.2007.09.012","http://dx.doi.org/10.1016/j.revmed.2007.09.012")</f>
        <v>http://dx.doi.org/10.1016/j.revmed.2007.09.012</v>
      </c>
      <c r="BG1411" t="s">
        <v>74</v>
      </c>
      <c r="BH1411" t="s">
        <v>74</v>
      </c>
      <c r="BI1411">
        <v>4</v>
      </c>
      <c r="BJ1411" t="s">
        <v>1152</v>
      </c>
      <c r="BK1411" t="s">
        <v>14074</v>
      </c>
      <c r="BL1411" t="s">
        <v>1153</v>
      </c>
      <c r="BM1411" t="s">
        <v>17223</v>
      </c>
      <c r="BN1411">
        <v>17961866</v>
      </c>
      <c r="BO1411" t="s">
        <v>74</v>
      </c>
      <c r="BP1411" t="s">
        <v>74</v>
      </c>
      <c r="BQ1411" t="s">
        <v>74</v>
      </c>
      <c r="BR1411" t="s">
        <v>104</v>
      </c>
      <c r="BS1411" t="s">
        <v>17222</v>
      </c>
      <c r="BT1411" t="str">
        <f>HYPERLINK("https%3A%2F%2Fwww.webofscience.com%2Fwos%2Fwoscc%2Ffull-record%2FWOS:000252145300007","View Full Record in Web of Science")</f>
        <v>View Full Record in Web of Science</v>
      </c>
    </row>
    <row r="1412" spans="1:72" x14ac:dyDescent="0.25">
      <c r="A1412" t="s">
        <v>72</v>
      </c>
      <c r="B1412" t="s">
        <v>17221</v>
      </c>
      <c r="C1412" t="s">
        <v>74</v>
      </c>
      <c r="D1412" t="s">
        <v>74</v>
      </c>
      <c r="E1412" t="s">
        <v>74</v>
      </c>
      <c r="F1412" t="s">
        <v>17220</v>
      </c>
      <c r="G1412" t="s">
        <v>74</v>
      </c>
      <c r="H1412" t="s">
        <v>16390</v>
      </c>
      <c r="I1412" t="s">
        <v>17219</v>
      </c>
      <c r="J1412" t="s">
        <v>2580</v>
      </c>
      <c r="K1412" t="s">
        <v>74</v>
      </c>
      <c r="L1412" t="s">
        <v>74</v>
      </c>
      <c r="M1412" t="s">
        <v>78</v>
      </c>
      <c r="N1412" t="s">
        <v>79</v>
      </c>
      <c r="O1412" t="s">
        <v>74</v>
      </c>
      <c r="P1412" t="s">
        <v>74</v>
      </c>
      <c r="Q1412" t="s">
        <v>74</v>
      </c>
      <c r="R1412" t="s">
        <v>74</v>
      </c>
      <c r="S1412" t="s">
        <v>74</v>
      </c>
      <c r="T1412" t="s">
        <v>74</v>
      </c>
      <c r="U1412" t="s">
        <v>17218</v>
      </c>
      <c r="V1412" t="s">
        <v>17217</v>
      </c>
      <c r="W1412" t="s">
        <v>17216</v>
      </c>
      <c r="X1412" t="s">
        <v>17215</v>
      </c>
      <c r="Y1412" t="s">
        <v>17214</v>
      </c>
      <c r="Z1412" t="s">
        <v>17213</v>
      </c>
      <c r="AA1412" t="s">
        <v>17212</v>
      </c>
      <c r="AB1412" t="s">
        <v>17211</v>
      </c>
      <c r="AC1412" t="s">
        <v>74</v>
      </c>
      <c r="AD1412" t="s">
        <v>74</v>
      </c>
      <c r="AE1412" t="s">
        <v>74</v>
      </c>
      <c r="AF1412" t="s">
        <v>74</v>
      </c>
      <c r="AG1412">
        <v>32</v>
      </c>
      <c r="AH1412">
        <v>76</v>
      </c>
      <c r="AI1412">
        <v>81</v>
      </c>
      <c r="AJ1412">
        <v>0</v>
      </c>
      <c r="AK1412">
        <v>0</v>
      </c>
      <c r="AL1412" t="s">
        <v>2590</v>
      </c>
      <c r="AM1412" t="s">
        <v>201</v>
      </c>
      <c r="AN1412" t="s">
        <v>2591</v>
      </c>
      <c r="AO1412" t="s">
        <v>2592</v>
      </c>
      <c r="AP1412" t="s">
        <v>2593</v>
      </c>
      <c r="AQ1412" t="s">
        <v>74</v>
      </c>
      <c r="AR1412" t="s">
        <v>2594</v>
      </c>
      <c r="AS1412" t="s">
        <v>2595</v>
      </c>
      <c r="AT1412" t="s">
        <v>226</v>
      </c>
      <c r="AU1412">
        <v>2007</v>
      </c>
      <c r="AV1412">
        <v>66</v>
      </c>
      <c r="AW1412">
        <v>12</v>
      </c>
      <c r="AX1412" t="s">
        <v>74</v>
      </c>
      <c r="AY1412" t="s">
        <v>74</v>
      </c>
      <c r="AZ1412" t="s">
        <v>74</v>
      </c>
      <c r="BA1412" t="s">
        <v>74</v>
      </c>
      <c r="BB1412">
        <v>1610</v>
      </c>
      <c r="BC1412">
        <v>1615</v>
      </c>
      <c r="BD1412" t="s">
        <v>74</v>
      </c>
      <c r="BE1412" t="s">
        <v>17210</v>
      </c>
      <c r="BF1412" t="str">
        <f>HYPERLINK("http://dx.doi.org/10.1136/ard.2007.069799","http://dx.doi.org/10.1136/ard.2007.069799")</f>
        <v>http://dx.doi.org/10.1136/ard.2007.069799</v>
      </c>
      <c r="BG1412" t="s">
        <v>74</v>
      </c>
      <c r="BH1412" t="s">
        <v>74</v>
      </c>
      <c r="BI1412">
        <v>6</v>
      </c>
      <c r="BJ1412" t="s">
        <v>2369</v>
      </c>
      <c r="BK1412" t="s">
        <v>101</v>
      </c>
      <c r="BL1412" t="s">
        <v>2369</v>
      </c>
      <c r="BM1412" t="s">
        <v>17209</v>
      </c>
      <c r="BN1412">
        <v>17456528</v>
      </c>
      <c r="BO1412" t="s">
        <v>103</v>
      </c>
      <c r="BP1412" t="s">
        <v>74</v>
      </c>
      <c r="BQ1412" t="s">
        <v>74</v>
      </c>
      <c r="BR1412" t="s">
        <v>104</v>
      </c>
      <c r="BS1412" t="s">
        <v>17208</v>
      </c>
      <c r="BT1412" t="str">
        <f>HYPERLINK("https%3A%2F%2Fwww.webofscience.com%2Fwos%2Fwoscc%2Ffull-record%2FWOS:000250902600011","View Full Record in Web of Science")</f>
        <v>View Full Record in Web of Science</v>
      </c>
    </row>
    <row r="1413" spans="1:72" x14ac:dyDescent="0.25">
      <c r="A1413" t="s">
        <v>72</v>
      </c>
      <c r="B1413" t="s">
        <v>17207</v>
      </c>
      <c r="C1413" t="s">
        <v>74</v>
      </c>
      <c r="D1413" t="s">
        <v>74</v>
      </c>
      <c r="E1413" t="s">
        <v>74</v>
      </c>
      <c r="F1413" t="s">
        <v>17206</v>
      </c>
      <c r="G1413" t="s">
        <v>74</v>
      </c>
      <c r="H1413" t="s">
        <v>74</v>
      </c>
      <c r="I1413" t="s">
        <v>17205</v>
      </c>
      <c r="J1413" t="s">
        <v>637</v>
      </c>
      <c r="K1413" t="s">
        <v>74</v>
      </c>
      <c r="L1413" t="s">
        <v>74</v>
      </c>
      <c r="M1413" t="s">
        <v>78</v>
      </c>
      <c r="N1413" t="s">
        <v>79</v>
      </c>
      <c r="O1413" t="s">
        <v>74</v>
      </c>
      <c r="P1413" t="s">
        <v>74</v>
      </c>
      <c r="Q1413" t="s">
        <v>74</v>
      </c>
      <c r="R1413" t="s">
        <v>74</v>
      </c>
      <c r="S1413" t="s">
        <v>74</v>
      </c>
      <c r="T1413" t="s">
        <v>17204</v>
      </c>
      <c r="U1413" t="s">
        <v>17203</v>
      </c>
      <c r="V1413" t="s">
        <v>17202</v>
      </c>
      <c r="W1413" t="s">
        <v>17201</v>
      </c>
      <c r="X1413" t="s">
        <v>17200</v>
      </c>
      <c r="Y1413" t="s">
        <v>17199</v>
      </c>
      <c r="Z1413" t="s">
        <v>15620</v>
      </c>
      <c r="AA1413" t="s">
        <v>17198</v>
      </c>
      <c r="AB1413" t="s">
        <v>17197</v>
      </c>
      <c r="AC1413" t="s">
        <v>74</v>
      </c>
      <c r="AD1413" t="s">
        <v>74</v>
      </c>
      <c r="AE1413" t="s">
        <v>74</v>
      </c>
      <c r="AF1413" t="s">
        <v>74</v>
      </c>
      <c r="AG1413">
        <v>28</v>
      </c>
      <c r="AH1413">
        <v>169</v>
      </c>
      <c r="AI1413">
        <v>187</v>
      </c>
      <c r="AJ1413">
        <v>1</v>
      </c>
      <c r="AK1413">
        <v>9</v>
      </c>
      <c r="AL1413" t="s">
        <v>649</v>
      </c>
      <c r="AM1413" t="s">
        <v>486</v>
      </c>
      <c r="AN1413" t="s">
        <v>650</v>
      </c>
      <c r="AO1413" t="s">
        <v>651</v>
      </c>
      <c r="AP1413" t="s">
        <v>652</v>
      </c>
      <c r="AQ1413" t="s">
        <v>74</v>
      </c>
      <c r="AR1413" t="s">
        <v>653</v>
      </c>
      <c r="AS1413" t="s">
        <v>654</v>
      </c>
      <c r="AT1413" t="s">
        <v>10793</v>
      </c>
      <c r="AU1413">
        <v>2007</v>
      </c>
      <c r="AV1413">
        <v>176</v>
      </c>
      <c r="AW1413">
        <v>10</v>
      </c>
      <c r="AX1413" t="s">
        <v>74</v>
      </c>
      <c r="AY1413" t="s">
        <v>74</v>
      </c>
      <c r="AZ1413" t="s">
        <v>74</v>
      </c>
      <c r="BA1413" t="s">
        <v>74</v>
      </c>
      <c r="BB1413">
        <v>1041</v>
      </c>
      <c r="BC1413">
        <v>1047</v>
      </c>
      <c r="BD1413" t="s">
        <v>74</v>
      </c>
      <c r="BE1413" t="s">
        <v>17196</v>
      </c>
      <c r="BF1413" t="str">
        <f>HYPERLINK("http://dx.doi.org/10.1164/rccm.200610-1559OC","http://dx.doi.org/10.1164/rccm.200610-1559OC")</f>
        <v>http://dx.doi.org/10.1164/rccm.200610-1559OC</v>
      </c>
      <c r="BG1413" t="s">
        <v>74</v>
      </c>
      <c r="BH1413" t="s">
        <v>74</v>
      </c>
      <c r="BI1413">
        <v>7</v>
      </c>
      <c r="BJ1413" t="s">
        <v>341</v>
      </c>
      <c r="BK1413" t="s">
        <v>101</v>
      </c>
      <c r="BL1413" t="s">
        <v>342</v>
      </c>
      <c r="BM1413" t="s">
        <v>17195</v>
      </c>
      <c r="BN1413">
        <v>17823354</v>
      </c>
      <c r="BO1413" t="s">
        <v>74</v>
      </c>
      <c r="BP1413" t="s">
        <v>74</v>
      </c>
      <c r="BQ1413" t="s">
        <v>74</v>
      </c>
      <c r="BR1413" t="s">
        <v>104</v>
      </c>
      <c r="BS1413" t="s">
        <v>17194</v>
      </c>
      <c r="BT1413" t="str">
        <f>HYPERLINK("https%3A%2F%2Fwww.webofscience.com%2Fwos%2Fwoscc%2Ffull-record%2FWOS:000250889400015","View Full Record in Web of Science")</f>
        <v>View Full Record in Web of Science</v>
      </c>
    </row>
    <row r="1414" spans="1:72" x14ac:dyDescent="0.25">
      <c r="A1414" t="s">
        <v>72</v>
      </c>
      <c r="B1414" t="s">
        <v>17193</v>
      </c>
      <c r="C1414" t="s">
        <v>74</v>
      </c>
      <c r="D1414" t="s">
        <v>74</v>
      </c>
      <c r="E1414" t="s">
        <v>74</v>
      </c>
      <c r="F1414" t="s">
        <v>17192</v>
      </c>
      <c r="G1414" t="s">
        <v>74</v>
      </c>
      <c r="H1414" t="s">
        <v>74</v>
      </c>
      <c r="I1414" t="s">
        <v>17191</v>
      </c>
      <c r="J1414" t="s">
        <v>1348</v>
      </c>
      <c r="K1414" t="s">
        <v>74</v>
      </c>
      <c r="L1414" t="s">
        <v>74</v>
      </c>
      <c r="M1414" t="s">
        <v>1349</v>
      </c>
      <c r="N1414" t="s">
        <v>79</v>
      </c>
      <c r="O1414" t="s">
        <v>74</v>
      </c>
      <c r="P1414" t="s">
        <v>74</v>
      </c>
      <c r="Q1414" t="s">
        <v>74</v>
      </c>
      <c r="R1414" t="s">
        <v>74</v>
      </c>
      <c r="S1414" t="s">
        <v>74</v>
      </c>
      <c r="T1414" t="s">
        <v>17190</v>
      </c>
      <c r="U1414" t="s">
        <v>2837</v>
      </c>
      <c r="V1414" t="s">
        <v>17189</v>
      </c>
      <c r="W1414" t="s">
        <v>17188</v>
      </c>
      <c r="X1414" t="s">
        <v>14577</v>
      </c>
      <c r="Y1414" t="s">
        <v>17187</v>
      </c>
      <c r="Z1414" t="s">
        <v>17186</v>
      </c>
      <c r="AA1414" t="s">
        <v>7706</v>
      </c>
      <c r="AB1414" t="s">
        <v>257</v>
      </c>
      <c r="AC1414" t="s">
        <v>74</v>
      </c>
      <c r="AD1414" t="s">
        <v>74</v>
      </c>
      <c r="AE1414" t="s">
        <v>74</v>
      </c>
      <c r="AF1414" t="s">
        <v>74</v>
      </c>
      <c r="AG1414">
        <v>14</v>
      </c>
      <c r="AH1414">
        <v>6</v>
      </c>
      <c r="AI1414">
        <v>6</v>
      </c>
      <c r="AJ1414">
        <v>0</v>
      </c>
      <c r="AK1414">
        <v>2</v>
      </c>
      <c r="AL1414" t="s">
        <v>1358</v>
      </c>
      <c r="AM1414" t="s">
        <v>1359</v>
      </c>
      <c r="AN1414" t="s">
        <v>1360</v>
      </c>
      <c r="AO1414" t="s">
        <v>1361</v>
      </c>
      <c r="AP1414" t="s">
        <v>1362</v>
      </c>
      <c r="AQ1414" t="s">
        <v>74</v>
      </c>
      <c r="AR1414" t="s">
        <v>1363</v>
      </c>
      <c r="AS1414" t="s">
        <v>1364</v>
      </c>
      <c r="AT1414" t="s">
        <v>315</v>
      </c>
      <c r="AU1414">
        <v>2007</v>
      </c>
      <c r="AV1414">
        <v>24</v>
      </c>
      <c r="AW1414">
        <v>9</v>
      </c>
      <c r="AX1414" t="s">
        <v>74</v>
      </c>
      <c r="AY1414" t="s">
        <v>74</v>
      </c>
      <c r="AZ1414" t="s">
        <v>74</v>
      </c>
      <c r="BA1414" t="s">
        <v>74</v>
      </c>
      <c r="BB1414">
        <v>1151</v>
      </c>
      <c r="BC1414">
        <v>1154</v>
      </c>
      <c r="BD1414" t="s">
        <v>74</v>
      </c>
      <c r="BE1414" t="s">
        <v>17185</v>
      </c>
      <c r="BF1414" t="str">
        <f>HYPERLINK("http://dx.doi.org/10.1016/S0761-8425(07)74268-7","http://dx.doi.org/10.1016/S0761-8425(07)74268-7")</f>
        <v>http://dx.doi.org/10.1016/S0761-8425(07)74268-7</v>
      </c>
      <c r="BG1414" t="s">
        <v>74</v>
      </c>
      <c r="BH1414" t="s">
        <v>74</v>
      </c>
      <c r="BI1414">
        <v>4</v>
      </c>
      <c r="BJ1414" t="s">
        <v>228</v>
      </c>
      <c r="BK1414" t="s">
        <v>101</v>
      </c>
      <c r="BL1414" t="s">
        <v>228</v>
      </c>
      <c r="BM1414" t="s">
        <v>17184</v>
      </c>
      <c r="BN1414">
        <v>18176395</v>
      </c>
      <c r="BO1414" t="s">
        <v>74</v>
      </c>
      <c r="BP1414" t="s">
        <v>74</v>
      </c>
      <c r="BQ1414" t="s">
        <v>74</v>
      </c>
      <c r="BR1414" t="s">
        <v>104</v>
      </c>
      <c r="BS1414" t="s">
        <v>17183</v>
      </c>
      <c r="BT1414" t="str">
        <f>HYPERLINK("https%3A%2F%2Fwww.webofscience.com%2Fwos%2Fwoscc%2Ffull-record%2FWOS:000251542600014","View Full Record in Web of Science")</f>
        <v>View Full Record in Web of Science</v>
      </c>
    </row>
    <row r="1415" spans="1:72" x14ac:dyDescent="0.25">
      <c r="A1415" t="s">
        <v>72</v>
      </c>
      <c r="B1415" t="s">
        <v>17182</v>
      </c>
      <c r="C1415" t="s">
        <v>74</v>
      </c>
      <c r="D1415" t="s">
        <v>74</v>
      </c>
      <c r="E1415" t="s">
        <v>74</v>
      </c>
      <c r="F1415" t="s">
        <v>17181</v>
      </c>
      <c r="G1415" t="s">
        <v>74</v>
      </c>
      <c r="H1415" t="s">
        <v>74</v>
      </c>
      <c r="I1415" t="s">
        <v>17180</v>
      </c>
      <c r="J1415" t="s">
        <v>4427</v>
      </c>
      <c r="K1415" t="s">
        <v>74</v>
      </c>
      <c r="L1415" t="s">
        <v>74</v>
      </c>
      <c r="M1415" t="s">
        <v>78</v>
      </c>
      <c r="N1415" t="s">
        <v>79</v>
      </c>
      <c r="O1415" t="s">
        <v>74</v>
      </c>
      <c r="P1415" t="s">
        <v>74</v>
      </c>
      <c r="Q1415" t="s">
        <v>74</v>
      </c>
      <c r="R1415" t="s">
        <v>74</v>
      </c>
      <c r="S1415" t="s">
        <v>74</v>
      </c>
      <c r="T1415" t="s">
        <v>17179</v>
      </c>
      <c r="U1415" t="s">
        <v>17178</v>
      </c>
      <c r="V1415" t="s">
        <v>17177</v>
      </c>
      <c r="W1415" t="s">
        <v>17176</v>
      </c>
      <c r="X1415" t="s">
        <v>17175</v>
      </c>
      <c r="Y1415" t="s">
        <v>17174</v>
      </c>
      <c r="Z1415" t="s">
        <v>13601</v>
      </c>
      <c r="AA1415" t="s">
        <v>15929</v>
      </c>
      <c r="AB1415" t="s">
        <v>17173</v>
      </c>
      <c r="AC1415" t="s">
        <v>74</v>
      </c>
      <c r="AD1415" t="s">
        <v>74</v>
      </c>
      <c r="AE1415" t="s">
        <v>74</v>
      </c>
      <c r="AF1415" t="s">
        <v>74</v>
      </c>
      <c r="AG1415">
        <v>26</v>
      </c>
      <c r="AH1415">
        <v>82</v>
      </c>
      <c r="AI1415">
        <v>102</v>
      </c>
      <c r="AJ1415">
        <v>0</v>
      </c>
      <c r="AK1415">
        <v>3</v>
      </c>
      <c r="AL1415" t="s">
        <v>485</v>
      </c>
      <c r="AM1415" t="s">
        <v>486</v>
      </c>
      <c r="AN1415" t="s">
        <v>487</v>
      </c>
      <c r="AO1415" t="s">
        <v>4433</v>
      </c>
      <c r="AP1415" t="s">
        <v>74</v>
      </c>
      <c r="AQ1415" t="s">
        <v>74</v>
      </c>
      <c r="AR1415" t="s">
        <v>4435</v>
      </c>
      <c r="AS1415" t="s">
        <v>4436</v>
      </c>
      <c r="AT1415" t="s">
        <v>420</v>
      </c>
      <c r="AU1415">
        <v>2007</v>
      </c>
      <c r="AV1415">
        <v>120</v>
      </c>
      <c r="AW1415">
        <v>4</v>
      </c>
      <c r="AX1415" t="s">
        <v>74</v>
      </c>
      <c r="AY1415" t="s">
        <v>74</v>
      </c>
      <c r="AZ1415" t="s">
        <v>74</v>
      </c>
      <c r="BA1415" t="s">
        <v>74</v>
      </c>
      <c r="BB1415">
        <v>827</v>
      </c>
      <c r="BC1415">
        <v>834</v>
      </c>
      <c r="BD1415" t="s">
        <v>74</v>
      </c>
      <c r="BE1415" t="s">
        <v>17172</v>
      </c>
      <c r="BF1415" t="str">
        <f>HYPERLINK("http://dx.doi.org/10.1016/j.jaci.2007.05.046","http://dx.doi.org/10.1016/j.jaci.2007.05.046")</f>
        <v>http://dx.doi.org/10.1016/j.jaci.2007.05.046</v>
      </c>
      <c r="BG1415" t="s">
        <v>74</v>
      </c>
      <c r="BH1415" t="s">
        <v>74</v>
      </c>
      <c r="BI1415">
        <v>8</v>
      </c>
      <c r="BJ1415" t="s">
        <v>3085</v>
      </c>
      <c r="BK1415" t="s">
        <v>101</v>
      </c>
      <c r="BL1415" t="s">
        <v>3085</v>
      </c>
      <c r="BM1415" t="s">
        <v>17171</v>
      </c>
      <c r="BN1415">
        <v>17681365</v>
      </c>
      <c r="BO1415" t="s">
        <v>74</v>
      </c>
      <c r="BP1415" t="s">
        <v>74</v>
      </c>
      <c r="BQ1415" t="s">
        <v>74</v>
      </c>
      <c r="BR1415" t="s">
        <v>104</v>
      </c>
      <c r="BS1415" t="s">
        <v>17170</v>
      </c>
      <c r="BT1415" t="str">
        <f>HYPERLINK("https%3A%2F%2Fwww.webofscience.com%2Fwos%2Fwoscc%2Ffull-record%2FWOS:000250157700016","View Full Record in Web of Science")</f>
        <v>View Full Record in Web of Science</v>
      </c>
    </row>
    <row r="1416" spans="1:72" x14ac:dyDescent="0.25">
      <c r="A1416" t="s">
        <v>72</v>
      </c>
      <c r="B1416" t="s">
        <v>17169</v>
      </c>
      <c r="C1416" t="s">
        <v>74</v>
      </c>
      <c r="D1416" t="s">
        <v>74</v>
      </c>
      <c r="E1416" t="s">
        <v>74</v>
      </c>
      <c r="F1416" t="s">
        <v>17168</v>
      </c>
      <c r="G1416" t="s">
        <v>74</v>
      </c>
      <c r="H1416" t="s">
        <v>74</v>
      </c>
      <c r="I1416" t="s">
        <v>17167</v>
      </c>
      <c r="J1416" t="s">
        <v>8129</v>
      </c>
      <c r="K1416" t="s">
        <v>74</v>
      </c>
      <c r="L1416" t="s">
        <v>74</v>
      </c>
      <c r="M1416" t="s">
        <v>1349</v>
      </c>
      <c r="N1416" t="s">
        <v>79</v>
      </c>
      <c r="O1416" t="s">
        <v>74</v>
      </c>
      <c r="P1416" t="s">
        <v>74</v>
      </c>
      <c r="Q1416" t="s">
        <v>74</v>
      </c>
      <c r="R1416" t="s">
        <v>74</v>
      </c>
      <c r="S1416" t="s">
        <v>74</v>
      </c>
      <c r="T1416" t="s">
        <v>17166</v>
      </c>
      <c r="U1416" t="s">
        <v>17165</v>
      </c>
      <c r="V1416" t="s">
        <v>17164</v>
      </c>
      <c r="W1416" t="s">
        <v>17163</v>
      </c>
      <c r="X1416" t="s">
        <v>17162</v>
      </c>
      <c r="Y1416" t="s">
        <v>17161</v>
      </c>
      <c r="Z1416" t="s">
        <v>15594</v>
      </c>
      <c r="AA1416" t="s">
        <v>17160</v>
      </c>
      <c r="AB1416" t="s">
        <v>13185</v>
      </c>
      <c r="AC1416" t="s">
        <v>74</v>
      </c>
      <c r="AD1416" t="s">
        <v>74</v>
      </c>
      <c r="AE1416" t="s">
        <v>74</v>
      </c>
      <c r="AF1416" t="s">
        <v>74</v>
      </c>
      <c r="AG1416">
        <v>29</v>
      </c>
      <c r="AH1416">
        <v>0</v>
      </c>
      <c r="AI1416">
        <v>0</v>
      </c>
      <c r="AJ1416">
        <v>0</v>
      </c>
      <c r="AK1416">
        <v>2</v>
      </c>
      <c r="AL1416" t="s">
        <v>8138</v>
      </c>
      <c r="AM1416" t="s">
        <v>8139</v>
      </c>
      <c r="AN1416" t="s">
        <v>8140</v>
      </c>
      <c r="AO1416" t="s">
        <v>8141</v>
      </c>
      <c r="AP1416" t="s">
        <v>74</v>
      </c>
      <c r="AQ1416" t="s">
        <v>74</v>
      </c>
      <c r="AR1416" t="s">
        <v>8142</v>
      </c>
      <c r="AS1416" t="s">
        <v>8143</v>
      </c>
      <c r="AT1416" t="s">
        <v>420</v>
      </c>
      <c r="AU1416">
        <v>2007</v>
      </c>
      <c r="AV1416">
        <v>28</v>
      </c>
      <c r="AW1416" t="s">
        <v>74</v>
      </c>
      <c r="AX1416" t="s">
        <v>74</v>
      </c>
      <c r="AY1416">
        <v>3</v>
      </c>
      <c r="AZ1416" t="s">
        <v>74</v>
      </c>
      <c r="BA1416" t="s">
        <v>74</v>
      </c>
      <c r="BB1416" t="s">
        <v>17159</v>
      </c>
      <c r="BC1416" t="s">
        <v>17158</v>
      </c>
      <c r="BD1416" t="s">
        <v>74</v>
      </c>
      <c r="BE1416" t="s">
        <v>17157</v>
      </c>
      <c r="BF1416" t="str">
        <f>HYPERLINK("http://dx.doi.org/10.1016/S0248-8663(07)80020-8","http://dx.doi.org/10.1016/S0248-8663(07)80020-8")</f>
        <v>http://dx.doi.org/10.1016/S0248-8663(07)80020-8</v>
      </c>
      <c r="BG1416" t="s">
        <v>74</v>
      </c>
      <c r="BH1416" t="s">
        <v>74</v>
      </c>
      <c r="BI1416">
        <v>6</v>
      </c>
      <c r="BJ1416" t="s">
        <v>1152</v>
      </c>
      <c r="BK1416" t="s">
        <v>101</v>
      </c>
      <c r="BL1416" t="s">
        <v>1153</v>
      </c>
      <c r="BM1416" t="s">
        <v>17156</v>
      </c>
      <c r="BN1416" t="s">
        <v>74</v>
      </c>
      <c r="BO1416" t="s">
        <v>74</v>
      </c>
      <c r="BP1416" t="s">
        <v>74</v>
      </c>
      <c r="BQ1416" t="s">
        <v>74</v>
      </c>
      <c r="BR1416" t="s">
        <v>104</v>
      </c>
      <c r="BS1416" t="s">
        <v>17155</v>
      </c>
      <c r="BT1416" t="str">
        <f>HYPERLINK("https%3A%2F%2Fwww.webofscience.com%2Fwos%2Fwoscc%2Ffull-record%2FWOS:000251080000003","View Full Record in Web of Science")</f>
        <v>View Full Record in Web of Science</v>
      </c>
    </row>
    <row r="1417" spans="1:72" x14ac:dyDescent="0.25">
      <c r="A1417" t="s">
        <v>72</v>
      </c>
      <c r="B1417" t="s">
        <v>17154</v>
      </c>
      <c r="C1417" t="s">
        <v>74</v>
      </c>
      <c r="D1417" t="s">
        <v>74</v>
      </c>
      <c r="E1417" t="s">
        <v>74</v>
      </c>
      <c r="F1417" t="s">
        <v>17153</v>
      </c>
      <c r="G1417" t="s">
        <v>74</v>
      </c>
      <c r="H1417" t="s">
        <v>74</v>
      </c>
      <c r="I1417" t="s">
        <v>17152</v>
      </c>
      <c r="J1417" t="s">
        <v>11031</v>
      </c>
      <c r="K1417" t="s">
        <v>74</v>
      </c>
      <c r="L1417" t="s">
        <v>74</v>
      </c>
      <c r="M1417" t="s">
        <v>78</v>
      </c>
      <c r="N1417" t="s">
        <v>79</v>
      </c>
      <c r="O1417" t="s">
        <v>74</v>
      </c>
      <c r="P1417" t="s">
        <v>74</v>
      </c>
      <c r="Q1417" t="s">
        <v>74</v>
      </c>
      <c r="R1417" t="s">
        <v>74</v>
      </c>
      <c r="S1417" t="s">
        <v>74</v>
      </c>
      <c r="T1417" t="s">
        <v>74</v>
      </c>
      <c r="U1417" t="s">
        <v>17151</v>
      </c>
      <c r="V1417" t="s">
        <v>17150</v>
      </c>
      <c r="W1417" t="s">
        <v>17149</v>
      </c>
      <c r="X1417" t="s">
        <v>17148</v>
      </c>
      <c r="Y1417" t="s">
        <v>17147</v>
      </c>
      <c r="Z1417" t="s">
        <v>10573</v>
      </c>
      <c r="AA1417" t="s">
        <v>17146</v>
      </c>
      <c r="AB1417" t="s">
        <v>17145</v>
      </c>
      <c r="AC1417" t="s">
        <v>74</v>
      </c>
      <c r="AD1417" t="s">
        <v>74</v>
      </c>
      <c r="AE1417" t="s">
        <v>74</v>
      </c>
      <c r="AF1417" t="s">
        <v>74</v>
      </c>
      <c r="AG1417">
        <v>80</v>
      </c>
      <c r="AH1417">
        <v>122</v>
      </c>
      <c r="AI1417">
        <v>129</v>
      </c>
      <c r="AJ1417">
        <v>1</v>
      </c>
      <c r="AK1417">
        <v>7</v>
      </c>
      <c r="AL1417" t="s">
        <v>122</v>
      </c>
      <c r="AM1417" t="s">
        <v>123</v>
      </c>
      <c r="AN1417" t="s">
        <v>124</v>
      </c>
      <c r="AO1417" t="s">
        <v>11040</v>
      </c>
      <c r="AP1417" t="s">
        <v>11041</v>
      </c>
      <c r="AQ1417" t="s">
        <v>74</v>
      </c>
      <c r="AR1417" t="s">
        <v>11031</v>
      </c>
      <c r="AS1417" t="s">
        <v>11042</v>
      </c>
      <c r="AT1417" t="s">
        <v>492</v>
      </c>
      <c r="AU1417">
        <v>2007</v>
      </c>
      <c r="AV1417">
        <v>86</v>
      </c>
      <c r="AW1417">
        <v>5</v>
      </c>
      <c r="AX1417" t="s">
        <v>74</v>
      </c>
      <c r="AY1417" t="s">
        <v>74</v>
      </c>
      <c r="AZ1417" t="s">
        <v>74</v>
      </c>
      <c r="BA1417" t="s">
        <v>74</v>
      </c>
      <c r="BB1417">
        <v>299</v>
      </c>
      <c r="BC1417">
        <v>315</v>
      </c>
      <c r="BD1417" t="s">
        <v>74</v>
      </c>
      <c r="BE1417" t="s">
        <v>17144</v>
      </c>
      <c r="BF1417" t="str">
        <f>HYPERLINK("http://dx.doi.org/10.1097/MD.0b013e3181579781","http://dx.doi.org/10.1097/MD.0b013e3181579781")</f>
        <v>http://dx.doi.org/10.1097/MD.0b013e3181579781</v>
      </c>
      <c r="BG1417" t="s">
        <v>74</v>
      </c>
      <c r="BH1417" t="s">
        <v>74</v>
      </c>
      <c r="BI1417">
        <v>17</v>
      </c>
      <c r="BJ1417" t="s">
        <v>1152</v>
      </c>
      <c r="BK1417" t="s">
        <v>101</v>
      </c>
      <c r="BL1417" t="s">
        <v>1153</v>
      </c>
      <c r="BM1417" t="s">
        <v>17143</v>
      </c>
      <c r="BN1417">
        <v>17873760</v>
      </c>
      <c r="BO1417" t="s">
        <v>1194</v>
      </c>
      <c r="BP1417" t="s">
        <v>74</v>
      </c>
      <c r="BQ1417" t="s">
        <v>74</v>
      </c>
      <c r="BR1417" t="s">
        <v>104</v>
      </c>
      <c r="BS1417" t="s">
        <v>17142</v>
      </c>
      <c r="BT1417" t="str">
        <f>HYPERLINK("https%3A%2F%2Fwww.webofscience.com%2Fwos%2Fwoscc%2Ffull-record%2FWOS:000249567200006","View Full Record in Web of Science")</f>
        <v>View Full Record in Web of Science</v>
      </c>
    </row>
    <row r="1418" spans="1:72" x14ac:dyDescent="0.25">
      <c r="A1418" t="s">
        <v>72</v>
      </c>
      <c r="B1418" t="s">
        <v>17057</v>
      </c>
      <c r="C1418" t="s">
        <v>74</v>
      </c>
      <c r="D1418" t="s">
        <v>74</v>
      </c>
      <c r="E1418" t="s">
        <v>74</v>
      </c>
      <c r="F1418" t="s">
        <v>17141</v>
      </c>
      <c r="G1418" t="s">
        <v>74</v>
      </c>
      <c r="H1418" t="s">
        <v>74</v>
      </c>
      <c r="I1418" t="s">
        <v>17140</v>
      </c>
      <c r="J1418" t="s">
        <v>5624</v>
      </c>
      <c r="K1418" t="s">
        <v>74</v>
      </c>
      <c r="L1418" t="s">
        <v>74</v>
      </c>
      <c r="M1418" t="s">
        <v>78</v>
      </c>
      <c r="N1418" t="s">
        <v>217</v>
      </c>
      <c r="O1418" t="s">
        <v>74</v>
      </c>
      <c r="P1418" t="s">
        <v>74</v>
      </c>
      <c r="Q1418" t="s">
        <v>74</v>
      </c>
      <c r="R1418" t="s">
        <v>74</v>
      </c>
      <c r="S1418" t="s">
        <v>74</v>
      </c>
      <c r="T1418" t="s">
        <v>74</v>
      </c>
      <c r="U1418" t="s">
        <v>74</v>
      </c>
      <c r="V1418" t="s">
        <v>74</v>
      </c>
      <c r="W1418" t="s">
        <v>74</v>
      </c>
      <c r="X1418" t="s">
        <v>74</v>
      </c>
      <c r="Y1418" t="s">
        <v>74</v>
      </c>
      <c r="Z1418" t="s">
        <v>74</v>
      </c>
      <c r="AA1418" t="s">
        <v>17139</v>
      </c>
      <c r="AB1418" t="s">
        <v>6346</v>
      </c>
      <c r="AC1418" t="s">
        <v>74</v>
      </c>
      <c r="AD1418" t="s">
        <v>74</v>
      </c>
      <c r="AE1418" t="s">
        <v>74</v>
      </c>
      <c r="AF1418" t="s">
        <v>74</v>
      </c>
      <c r="AG1418">
        <v>1</v>
      </c>
      <c r="AH1418">
        <v>0</v>
      </c>
      <c r="AI1418">
        <v>0</v>
      </c>
      <c r="AJ1418">
        <v>0</v>
      </c>
      <c r="AK1418">
        <v>1</v>
      </c>
      <c r="AL1418" t="s">
        <v>16259</v>
      </c>
      <c r="AM1418" t="s">
        <v>1074</v>
      </c>
      <c r="AN1418" t="s">
        <v>16258</v>
      </c>
      <c r="AO1418" t="s">
        <v>5636</v>
      </c>
      <c r="AP1418" t="s">
        <v>74</v>
      </c>
      <c r="AQ1418" t="s">
        <v>74</v>
      </c>
      <c r="AR1418" t="s">
        <v>5624</v>
      </c>
      <c r="AS1418" t="s">
        <v>601</v>
      </c>
      <c r="AT1418" t="s">
        <v>725</v>
      </c>
      <c r="AU1418">
        <v>2007</v>
      </c>
      <c r="AV1418">
        <v>62</v>
      </c>
      <c r="AW1418">
        <v>8</v>
      </c>
      <c r="AX1418" t="s">
        <v>74</v>
      </c>
      <c r="AY1418" t="s">
        <v>74</v>
      </c>
      <c r="AZ1418" t="s">
        <v>74</v>
      </c>
      <c r="BA1418" t="s">
        <v>74</v>
      </c>
      <c r="BB1418">
        <v>968</v>
      </c>
      <c r="BC1418">
        <v>968</v>
      </c>
      <c r="BD1418" t="s">
        <v>74</v>
      </c>
      <c r="BE1418" t="s">
        <v>74</v>
      </c>
      <c r="BF1418" t="s">
        <v>74</v>
      </c>
      <c r="BG1418" t="s">
        <v>74</v>
      </c>
      <c r="BH1418" t="s">
        <v>74</v>
      </c>
      <c r="BI1418">
        <v>1</v>
      </c>
      <c r="BJ1418" t="s">
        <v>3085</v>
      </c>
      <c r="BK1418" t="s">
        <v>101</v>
      </c>
      <c r="BL1418" t="s">
        <v>3085</v>
      </c>
      <c r="BM1418" t="s">
        <v>17138</v>
      </c>
      <c r="BN1418" t="s">
        <v>74</v>
      </c>
      <c r="BO1418" t="s">
        <v>74</v>
      </c>
      <c r="BP1418" t="s">
        <v>74</v>
      </c>
      <c r="BQ1418" t="s">
        <v>74</v>
      </c>
      <c r="BR1418" t="s">
        <v>104</v>
      </c>
      <c r="BS1418" t="s">
        <v>17137</v>
      </c>
      <c r="BT1418" t="str">
        <f>HYPERLINK("https%3A%2F%2Fwww.webofscience.com%2Fwos%2Fwoscc%2Ffull-record%2FWOS:000247816900026","View Full Record in Web of Science")</f>
        <v>View Full Record in Web of Science</v>
      </c>
    </row>
    <row r="1419" spans="1:72" x14ac:dyDescent="0.25">
      <c r="A1419" t="s">
        <v>72</v>
      </c>
      <c r="B1419" t="s">
        <v>17136</v>
      </c>
      <c r="C1419" t="s">
        <v>74</v>
      </c>
      <c r="D1419" t="s">
        <v>74</v>
      </c>
      <c r="E1419" t="s">
        <v>74</v>
      </c>
      <c r="F1419" t="s">
        <v>17135</v>
      </c>
      <c r="G1419" t="s">
        <v>74</v>
      </c>
      <c r="H1419" t="s">
        <v>74</v>
      </c>
      <c r="I1419" t="s">
        <v>17134</v>
      </c>
      <c r="J1419" t="s">
        <v>216</v>
      </c>
      <c r="K1419" t="s">
        <v>74</v>
      </c>
      <c r="L1419" t="s">
        <v>74</v>
      </c>
      <c r="M1419" t="s">
        <v>78</v>
      </c>
      <c r="N1419" t="s">
        <v>79</v>
      </c>
      <c r="O1419" t="s">
        <v>74</v>
      </c>
      <c r="P1419" t="s">
        <v>74</v>
      </c>
      <c r="Q1419" t="s">
        <v>74</v>
      </c>
      <c r="R1419" t="s">
        <v>74</v>
      </c>
      <c r="S1419" t="s">
        <v>74</v>
      </c>
      <c r="T1419" t="s">
        <v>17133</v>
      </c>
      <c r="U1419" t="s">
        <v>967</v>
      </c>
      <c r="V1419" t="s">
        <v>17132</v>
      </c>
      <c r="W1419" t="s">
        <v>17131</v>
      </c>
      <c r="X1419" t="s">
        <v>17130</v>
      </c>
      <c r="Y1419" t="s">
        <v>17129</v>
      </c>
      <c r="Z1419" t="s">
        <v>15743</v>
      </c>
      <c r="AA1419" t="s">
        <v>378</v>
      </c>
      <c r="AB1419" t="s">
        <v>1489</v>
      </c>
      <c r="AC1419" t="s">
        <v>74</v>
      </c>
      <c r="AD1419" t="s">
        <v>74</v>
      </c>
      <c r="AE1419" t="s">
        <v>74</v>
      </c>
      <c r="AF1419" t="s">
        <v>74</v>
      </c>
      <c r="AG1419">
        <v>9</v>
      </c>
      <c r="AH1419">
        <v>239</v>
      </c>
      <c r="AI1419">
        <v>249</v>
      </c>
      <c r="AJ1419">
        <v>0</v>
      </c>
      <c r="AK1419">
        <v>12</v>
      </c>
      <c r="AL1419" t="s">
        <v>219</v>
      </c>
      <c r="AM1419" t="s">
        <v>220</v>
      </c>
      <c r="AN1419" t="s">
        <v>221</v>
      </c>
      <c r="AO1419" t="s">
        <v>222</v>
      </c>
      <c r="AP1419" t="s">
        <v>223</v>
      </c>
      <c r="AQ1419" t="s">
        <v>74</v>
      </c>
      <c r="AR1419" t="s">
        <v>224</v>
      </c>
      <c r="AS1419" t="s">
        <v>225</v>
      </c>
      <c r="AT1419" t="s">
        <v>725</v>
      </c>
      <c r="AU1419">
        <v>2007</v>
      </c>
      <c r="AV1419">
        <v>30</v>
      </c>
      <c r="AW1419">
        <v>2</v>
      </c>
      <c r="AX1419" t="s">
        <v>74</v>
      </c>
      <c r="AY1419" t="s">
        <v>74</v>
      </c>
      <c r="AZ1419" t="s">
        <v>74</v>
      </c>
      <c r="BA1419" t="s">
        <v>74</v>
      </c>
      <c r="BB1419">
        <v>338</v>
      </c>
      <c r="BC1419">
        <v>344</v>
      </c>
      <c r="BD1419" t="s">
        <v>74</v>
      </c>
      <c r="BE1419" t="s">
        <v>17128</v>
      </c>
      <c r="BF1419" t="str">
        <f>HYPERLINK("http://dx.doi.org/10.1183/09031936.00138706","http://dx.doi.org/10.1183/09031936.00138706")</f>
        <v>http://dx.doi.org/10.1183/09031936.00138706</v>
      </c>
      <c r="BG1419" t="s">
        <v>74</v>
      </c>
      <c r="BH1419" t="s">
        <v>74</v>
      </c>
      <c r="BI1419">
        <v>7</v>
      </c>
      <c r="BJ1419" t="s">
        <v>228</v>
      </c>
      <c r="BK1419" t="s">
        <v>101</v>
      </c>
      <c r="BL1419" t="s">
        <v>228</v>
      </c>
      <c r="BM1419" t="s">
        <v>17127</v>
      </c>
      <c r="BN1419">
        <v>17504794</v>
      </c>
      <c r="BO1419" t="s">
        <v>1194</v>
      </c>
      <c r="BP1419" t="s">
        <v>74</v>
      </c>
      <c r="BQ1419" t="s">
        <v>74</v>
      </c>
      <c r="BR1419" t="s">
        <v>104</v>
      </c>
      <c r="BS1419" t="s">
        <v>17126</v>
      </c>
      <c r="BT1419" t="str">
        <f>HYPERLINK("https%3A%2F%2Fwww.webofscience.com%2Fwos%2Fwoscc%2Ffull-record%2FWOS:000248613500021","View Full Record in Web of Science")</f>
        <v>View Full Record in Web of Science</v>
      </c>
    </row>
    <row r="1420" spans="1:72" x14ac:dyDescent="0.25">
      <c r="A1420" t="s">
        <v>72</v>
      </c>
      <c r="B1420" t="s">
        <v>17125</v>
      </c>
      <c r="C1420" t="s">
        <v>74</v>
      </c>
      <c r="D1420" t="s">
        <v>74</v>
      </c>
      <c r="E1420" t="s">
        <v>74</v>
      </c>
      <c r="F1420" t="s">
        <v>17124</v>
      </c>
      <c r="G1420" t="s">
        <v>74</v>
      </c>
      <c r="H1420" t="s">
        <v>74</v>
      </c>
      <c r="I1420" t="s">
        <v>17123</v>
      </c>
      <c r="J1420" t="s">
        <v>324</v>
      </c>
      <c r="K1420" t="s">
        <v>74</v>
      </c>
      <c r="L1420" t="s">
        <v>74</v>
      </c>
      <c r="M1420" t="s">
        <v>78</v>
      </c>
      <c r="N1420" t="s">
        <v>140</v>
      </c>
      <c r="O1420" t="s">
        <v>74</v>
      </c>
      <c r="P1420" t="s">
        <v>74</v>
      </c>
      <c r="Q1420" t="s">
        <v>74</v>
      </c>
      <c r="R1420" t="s">
        <v>74</v>
      </c>
      <c r="S1420" t="s">
        <v>74</v>
      </c>
      <c r="T1420" t="s">
        <v>74</v>
      </c>
      <c r="U1420" t="s">
        <v>17122</v>
      </c>
      <c r="V1420" t="s">
        <v>74</v>
      </c>
      <c r="W1420" t="s">
        <v>17121</v>
      </c>
      <c r="X1420" t="s">
        <v>17120</v>
      </c>
      <c r="Y1420" t="s">
        <v>17119</v>
      </c>
      <c r="Z1420" t="s">
        <v>10573</v>
      </c>
      <c r="AA1420" t="s">
        <v>17118</v>
      </c>
      <c r="AB1420" t="s">
        <v>12521</v>
      </c>
      <c r="AC1420" t="s">
        <v>74</v>
      </c>
      <c r="AD1420" t="s">
        <v>74</v>
      </c>
      <c r="AE1420" t="s">
        <v>74</v>
      </c>
      <c r="AF1420" t="s">
        <v>74</v>
      </c>
      <c r="AG1420">
        <v>12</v>
      </c>
      <c r="AH1420">
        <v>33</v>
      </c>
      <c r="AI1420">
        <v>45</v>
      </c>
      <c r="AJ1420">
        <v>1</v>
      </c>
      <c r="AK1420">
        <v>3</v>
      </c>
      <c r="AL1420" t="s">
        <v>92</v>
      </c>
      <c r="AM1420" t="s">
        <v>93</v>
      </c>
      <c r="AN1420" t="s">
        <v>94</v>
      </c>
      <c r="AO1420" t="s">
        <v>337</v>
      </c>
      <c r="AP1420" t="s">
        <v>338</v>
      </c>
      <c r="AQ1420" t="s">
        <v>74</v>
      </c>
      <c r="AR1420" t="s">
        <v>324</v>
      </c>
      <c r="AS1420" t="s">
        <v>339</v>
      </c>
      <c r="AT1420" t="s">
        <v>725</v>
      </c>
      <c r="AU1420">
        <v>2007</v>
      </c>
      <c r="AV1420">
        <v>132</v>
      </c>
      <c r="AW1420">
        <v>2</v>
      </c>
      <c r="AX1420" t="s">
        <v>74</v>
      </c>
      <c r="AY1420" t="s">
        <v>74</v>
      </c>
      <c r="AZ1420" t="s">
        <v>74</v>
      </c>
      <c r="BA1420" t="s">
        <v>74</v>
      </c>
      <c r="BB1420">
        <v>365</v>
      </c>
      <c r="BC1420">
        <v>367</v>
      </c>
      <c r="BD1420" t="s">
        <v>74</v>
      </c>
      <c r="BE1420" t="s">
        <v>17117</v>
      </c>
      <c r="BF1420" t="str">
        <f>HYPERLINK("http://dx.doi.org/10.1378/chest.07-0903","http://dx.doi.org/10.1378/chest.07-0903")</f>
        <v>http://dx.doi.org/10.1378/chest.07-0903</v>
      </c>
      <c r="BG1420" t="s">
        <v>74</v>
      </c>
      <c r="BH1420" t="s">
        <v>74</v>
      </c>
      <c r="BI1420">
        <v>3</v>
      </c>
      <c r="BJ1420" t="s">
        <v>341</v>
      </c>
      <c r="BK1420" t="s">
        <v>101</v>
      </c>
      <c r="BL1420" t="s">
        <v>342</v>
      </c>
      <c r="BM1420" t="s">
        <v>17116</v>
      </c>
      <c r="BN1420">
        <v>17699126</v>
      </c>
      <c r="BO1420" t="s">
        <v>1194</v>
      </c>
      <c r="BP1420" t="s">
        <v>74</v>
      </c>
      <c r="BQ1420" t="s">
        <v>74</v>
      </c>
      <c r="BR1420" t="s">
        <v>104</v>
      </c>
      <c r="BS1420" t="s">
        <v>17115</v>
      </c>
      <c r="BT1420" t="str">
        <f>HYPERLINK("https%3A%2F%2Fwww.webofscience.com%2Fwos%2Fwoscc%2Ffull-record%2FWOS:000248779700002","View Full Record in Web of Science")</f>
        <v>View Full Record in Web of Science</v>
      </c>
    </row>
    <row r="1421" spans="1:72" x14ac:dyDescent="0.25">
      <c r="A1421" t="s">
        <v>72</v>
      </c>
      <c r="B1421" t="s">
        <v>17114</v>
      </c>
      <c r="C1421" t="s">
        <v>74</v>
      </c>
      <c r="D1421" t="s">
        <v>74</v>
      </c>
      <c r="E1421" t="s">
        <v>74</v>
      </c>
      <c r="F1421" t="s">
        <v>17113</v>
      </c>
      <c r="G1421" t="s">
        <v>74</v>
      </c>
      <c r="H1421" t="s">
        <v>74</v>
      </c>
      <c r="I1421" t="s">
        <v>17112</v>
      </c>
      <c r="J1421" t="s">
        <v>189</v>
      </c>
      <c r="K1421" t="s">
        <v>74</v>
      </c>
      <c r="L1421" t="s">
        <v>74</v>
      </c>
      <c r="M1421" t="s">
        <v>78</v>
      </c>
      <c r="N1421" t="s">
        <v>79</v>
      </c>
      <c r="O1421" t="s">
        <v>74</v>
      </c>
      <c r="P1421" t="s">
        <v>74</v>
      </c>
      <c r="Q1421" t="s">
        <v>74</v>
      </c>
      <c r="R1421" t="s">
        <v>74</v>
      </c>
      <c r="S1421" t="s">
        <v>74</v>
      </c>
      <c r="T1421" t="s">
        <v>17111</v>
      </c>
      <c r="U1421" t="s">
        <v>17110</v>
      </c>
      <c r="V1421" t="s">
        <v>17109</v>
      </c>
      <c r="W1421" t="s">
        <v>17108</v>
      </c>
      <c r="X1421" t="s">
        <v>17107</v>
      </c>
      <c r="Y1421" t="s">
        <v>17106</v>
      </c>
      <c r="Z1421" t="s">
        <v>17105</v>
      </c>
      <c r="AA1421" t="s">
        <v>17104</v>
      </c>
      <c r="AB1421" t="s">
        <v>17103</v>
      </c>
      <c r="AC1421" t="s">
        <v>17081</v>
      </c>
      <c r="AD1421" t="s">
        <v>17080</v>
      </c>
      <c r="AE1421" t="s">
        <v>74</v>
      </c>
      <c r="AF1421" t="s">
        <v>74</v>
      </c>
      <c r="AG1421">
        <v>20</v>
      </c>
      <c r="AH1421">
        <v>233</v>
      </c>
      <c r="AI1421">
        <v>253</v>
      </c>
      <c r="AJ1421">
        <v>1</v>
      </c>
      <c r="AK1421">
        <v>7</v>
      </c>
      <c r="AL1421" t="s">
        <v>200</v>
      </c>
      <c r="AM1421" t="s">
        <v>201</v>
      </c>
      <c r="AN1421" t="s">
        <v>202</v>
      </c>
      <c r="AO1421" t="s">
        <v>203</v>
      </c>
      <c r="AP1421" t="s">
        <v>204</v>
      </c>
      <c r="AQ1421" t="s">
        <v>74</v>
      </c>
      <c r="AR1421" t="s">
        <v>205</v>
      </c>
      <c r="AS1421" t="s">
        <v>206</v>
      </c>
      <c r="AT1421" t="s">
        <v>785</v>
      </c>
      <c r="AU1421">
        <v>2007</v>
      </c>
      <c r="AV1421">
        <v>101</v>
      </c>
      <c r="AW1421">
        <v>7</v>
      </c>
      <c r="AX1421" t="s">
        <v>74</v>
      </c>
      <c r="AY1421" t="s">
        <v>74</v>
      </c>
      <c r="AZ1421" t="s">
        <v>74</v>
      </c>
      <c r="BA1421" t="s">
        <v>74</v>
      </c>
      <c r="BB1421">
        <v>1483</v>
      </c>
      <c r="BC1421">
        <v>1492</v>
      </c>
      <c r="BD1421" t="s">
        <v>74</v>
      </c>
      <c r="BE1421" t="s">
        <v>17102</v>
      </c>
      <c r="BF1421" t="str">
        <f>HYPERLINK("http://dx.doi.org/10.1016/j.rmed.2007.01.011","http://dx.doi.org/10.1016/j.rmed.2007.01.011")</f>
        <v>http://dx.doi.org/10.1016/j.rmed.2007.01.011</v>
      </c>
      <c r="BG1421" t="s">
        <v>74</v>
      </c>
      <c r="BH1421" t="s">
        <v>74</v>
      </c>
      <c r="BI1421">
        <v>10</v>
      </c>
      <c r="BJ1421" t="s">
        <v>209</v>
      </c>
      <c r="BK1421" t="s">
        <v>101</v>
      </c>
      <c r="BL1421" t="s">
        <v>210</v>
      </c>
      <c r="BM1421" t="s">
        <v>17101</v>
      </c>
      <c r="BN1421">
        <v>17339107</v>
      </c>
      <c r="BO1421" t="s">
        <v>1194</v>
      </c>
      <c r="BP1421" t="s">
        <v>74</v>
      </c>
      <c r="BQ1421" t="s">
        <v>74</v>
      </c>
      <c r="BR1421" t="s">
        <v>104</v>
      </c>
      <c r="BS1421" t="s">
        <v>17100</v>
      </c>
      <c r="BT1421" t="str">
        <f>HYPERLINK("https%3A%2F%2Fwww.webofscience.com%2Fwos%2Fwoscc%2Ffull-record%2FWOS:000247765900017","View Full Record in Web of Science")</f>
        <v>View Full Record in Web of Science</v>
      </c>
    </row>
    <row r="1422" spans="1:72" x14ac:dyDescent="0.25">
      <c r="A1422" t="s">
        <v>72</v>
      </c>
      <c r="B1422" t="s">
        <v>1420</v>
      </c>
      <c r="C1422" t="s">
        <v>74</v>
      </c>
      <c r="D1422" t="s">
        <v>74</v>
      </c>
      <c r="E1422" t="s">
        <v>74</v>
      </c>
      <c r="F1422" t="s">
        <v>2255</v>
      </c>
      <c r="G1422" t="s">
        <v>74</v>
      </c>
      <c r="H1422" t="s">
        <v>74</v>
      </c>
      <c r="I1422" t="s">
        <v>17099</v>
      </c>
      <c r="J1422" t="s">
        <v>216</v>
      </c>
      <c r="K1422" t="s">
        <v>74</v>
      </c>
      <c r="L1422" t="s">
        <v>74</v>
      </c>
      <c r="M1422" t="s">
        <v>78</v>
      </c>
      <c r="N1422" t="s">
        <v>140</v>
      </c>
      <c r="O1422" t="s">
        <v>74</v>
      </c>
      <c r="P1422" t="s">
        <v>74</v>
      </c>
      <c r="Q1422" t="s">
        <v>74</v>
      </c>
      <c r="R1422" t="s">
        <v>74</v>
      </c>
      <c r="S1422" t="s">
        <v>74</v>
      </c>
      <c r="T1422" t="s">
        <v>74</v>
      </c>
      <c r="U1422" t="s">
        <v>17098</v>
      </c>
      <c r="V1422" t="s">
        <v>74</v>
      </c>
      <c r="W1422" t="s">
        <v>17097</v>
      </c>
      <c r="X1422" t="s">
        <v>14156</v>
      </c>
      <c r="Y1422" t="s">
        <v>17096</v>
      </c>
      <c r="Z1422" t="s">
        <v>10573</v>
      </c>
      <c r="AA1422" t="s">
        <v>144</v>
      </c>
      <c r="AB1422" t="s">
        <v>257</v>
      </c>
      <c r="AC1422" t="s">
        <v>74</v>
      </c>
      <c r="AD1422" t="s">
        <v>74</v>
      </c>
      <c r="AE1422" t="s">
        <v>74</v>
      </c>
      <c r="AF1422" t="s">
        <v>74</v>
      </c>
      <c r="AG1422">
        <v>15</v>
      </c>
      <c r="AH1422">
        <v>21</v>
      </c>
      <c r="AI1422">
        <v>25</v>
      </c>
      <c r="AJ1422">
        <v>0</v>
      </c>
      <c r="AK1422">
        <v>3</v>
      </c>
      <c r="AL1422" t="s">
        <v>219</v>
      </c>
      <c r="AM1422" t="s">
        <v>220</v>
      </c>
      <c r="AN1422" t="s">
        <v>221</v>
      </c>
      <c r="AO1422" t="s">
        <v>222</v>
      </c>
      <c r="AP1422" t="s">
        <v>223</v>
      </c>
      <c r="AQ1422" t="s">
        <v>74</v>
      </c>
      <c r="AR1422" t="s">
        <v>224</v>
      </c>
      <c r="AS1422" t="s">
        <v>225</v>
      </c>
      <c r="AT1422" t="s">
        <v>785</v>
      </c>
      <c r="AU1422">
        <v>2007</v>
      </c>
      <c r="AV1422">
        <v>30</v>
      </c>
      <c r="AW1422">
        <v>1</v>
      </c>
      <c r="AX1422" t="s">
        <v>74</v>
      </c>
      <c r="AY1422" t="s">
        <v>74</v>
      </c>
      <c r="AZ1422" t="s">
        <v>74</v>
      </c>
      <c r="BA1422" t="s">
        <v>74</v>
      </c>
      <c r="BB1422">
        <v>1</v>
      </c>
      <c r="BC1422">
        <v>2</v>
      </c>
      <c r="BD1422" t="s">
        <v>74</v>
      </c>
      <c r="BE1422" t="s">
        <v>17095</v>
      </c>
      <c r="BF1422" t="str">
        <f>HYPERLINK("http://dx.doi.org/10.1183/09031936.00055407","http://dx.doi.org/10.1183/09031936.00055407")</f>
        <v>http://dx.doi.org/10.1183/09031936.00055407</v>
      </c>
      <c r="BG1422" t="s">
        <v>74</v>
      </c>
      <c r="BH1422" t="s">
        <v>74</v>
      </c>
      <c r="BI1422">
        <v>2</v>
      </c>
      <c r="BJ1422" t="s">
        <v>228</v>
      </c>
      <c r="BK1422" t="s">
        <v>101</v>
      </c>
      <c r="BL1422" t="s">
        <v>228</v>
      </c>
      <c r="BM1422" t="s">
        <v>17094</v>
      </c>
      <c r="BN1422">
        <v>17601966</v>
      </c>
      <c r="BO1422" t="s">
        <v>1194</v>
      </c>
      <c r="BP1422" t="s">
        <v>74</v>
      </c>
      <c r="BQ1422" t="s">
        <v>74</v>
      </c>
      <c r="BR1422" t="s">
        <v>104</v>
      </c>
      <c r="BS1422" t="s">
        <v>17093</v>
      </c>
      <c r="BT1422" t="str">
        <f>HYPERLINK("https%3A%2F%2Fwww.webofscience.com%2Fwos%2Fwoscc%2Ffull-record%2FWOS:000248191600001","View Full Record in Web of Science")</f>
        <v>View Full Record in Web of Science</v>
      </c>
    </row>
    <row r="1423" spans="1:72" x14ac:dyDescent="0.25">
      <c r="A1423" t="s">
        <v>72</v>
      </c>
      <c r="B1423" t="s">
        <v>17092</v>
      </c>
      <c r="C1423" t="s">
        <v>74</v>
      </c>
      <c r="D1423" t="s">
        <v>74</v>
      </c>
      <c r="E1423" t="s">
        <v>74</v>
      </c>
      <c r="F1423" t="s">
        <v>17091</v>
      </c>
      <c r="G1423" t="s">
        <v>74</v>
      </c>
      <c r="H1423" t="s">
        <v>74</v>
      </c>
      <c r="I1423" t="s">
        <v>17090</v>
      </c>
      <c r="J1423" t="s">
        <v>4427</v>
      </c>
      <c r="K1423" t="s">
        <v>74</v>
      </c>
      <c r="L1423" t="s">
        <v>74</v>
      </c>
      <c r="M1423" t="s">
        <v>78</v>
      </c>
      <c r="N1423" t="s">
        <v>299</v>
      </c>
      <c r="O1423" t="s">
        <v>74</v>
      </c>
      <c r="P1423" t="s">
        <v>74</v>
      </c>
      <c r="Q1423" t="s">
        <v>74</v>
      </c>
      <c r="R1423" t="s">
        <v>74</v>
      </c>
      <c r="S1423" t="s">
        <v>74</v>
      </c>
      <c r="T1423" t="s">
        <v>17089</v>
      </c>
      <c r="U1423" t="s">
        <v>17088</v>
      </c>
      <c r="V1423" t="s">
        <v>17087</v>
      </c>
      <c r="W1423" t="s">
        <v>17086</v>
      </c>
      <c r="X1423" t="s">
        <v>74</v>
      </c>
      <c r="Y1423" t="s">
        <v>17085</v>
      </c>
      <c r="Z1423" t="s">
        <v>17084</v>
      </c>
      <c r="AA1423" t="s">
        <v>17083</v>
      </c>
      <c r="AB1423" t="s">
        <v>17082</v>
      </c>
      <c r="AC1423" t="s">
        <v>17081</v>
      </c>
      <c r="AD1423" t="s">
        <v>17080</v>
      </c>
      <c r="AE1423" t="s">
        <v>74</v>
      </c>
      <c r="AF1423" t="s">
        <v>74</v>
      </c>
      <c r="AG1423">
        <v>117</v>
      </c>
      <c r="AH1423">
        <v>243</v>
      </c>
      <c r="AI1423">
        <v>261</v>
      </c>
      <c r="AJ1423">
        <v>0</v>
      </c>
      <c r="AK1423">
        <v>12</v>
      </c>
      <c r="AL1423" t="s">
        <v>485</v>
      </c>
      <c r="AM1423" t="s">
        <v>486</v>
      </c>
      <c r="AN1423" t="s">
        <v>487</v>
      </c>
      <c r="AO1423" t="s">
        <v>4433</v>
      </c>
      <c r="AP1423" t="s">
        <v>4434</v>
      </c>
      <c r="AQ1423" t="s">
        <v>74</v>
      </c>
      <c r="AR1423" t="s">
        <v>4435</v>
      </c>
      <c r="AS1423" t="s">
        <v>4436</v>
      </c>
      <c r="AT1423" t="s">
        <v>1060</v>
      </c>
      <c r="AU1423">
        <v>2007</v>
      </c>
      <c r="AV1423">
        <v>119</v>
      </c>
      <c r="AW1423">
        <v>6</v>
      </c>
      <c r="AX1423" t="s">
        <v>74</v>
      </c>
      <c r="AY1423" t="s">
        <v>74</v>
      </c>
      <c r="AZ1423" t="s">
        <v>74</v>
      </c>
      <c r="BA1423" t="s">
        <v>74</v>
      </c>
      <c r="BB1423">
        <v>1337</v>
      </c>
      <c r="BC1423">
        <v>1348</v>
      </c>
      <c r="BD1423" t="s">
        <v>74</v>
      </c>
      <c r="BE1423" t="s">
        <v>17079</v>
      </c>
      <c r="BF1423" t="str">
        <f>HYPERLINK("http://dx.doi.org/10.1016/j.jaci.2006.11.702","http://dx.doi.org/10.1016/j.jaci.2006.11.702")</f>
        <v>http://dx.doi.org/10.1016/j.jaci.2006.11.702</v>
      </c>
      <c r="BG1423" t="s">
        <v>74</v>
      </c>
      <c r="BH1423" t="s">
        <v>74</v>
      </c>
      <c r="BI1423">
        <v>12</v>
      </c>
      <c r="BJ1423" t="s">
        <v>3085</v>
      </c>
      <c r="BK1423" t="s">
        <v>101</v>
      </c>
      <c r="BL1423" t="s">
        <v>3085</v>
      </c>
      <c r="BM1423" t="s">
        <v>17078</v>
      </c>
      <c r="BN1423">
        <v>17416409</v>
      </c>
      <c r="BO1423" t="s">
        <v>74</v>
      </c>
      <c r="BP1423" t="s">
        <v>74</v>
      </c>
      <c r="BQ1423" t="s">
        <v>74</v>
      </c>
      <c r="BR1423" t="s">
        <v>104</v>
      </c>
      <c r="BS1423" t="s">
        <v>17077</v>
      </c>
      <c r="BT1423" t="str">
        <f>HYPERLINK("https%3A%2F%2Fwww.webofscience.com%2Fwos%2Fwoscc%2Ffull-record%2FWOS:000247232800008","View Full Record in Web of Science")</f>
        <v>View Full Record in Web of Science</v>
      </c>
    </row>
    <row r="1424" spans="1:72" x14ac:dyDescent="0.25">
      <c r="A1424" t="s">
        <v>72</v>
      </c>
      <c r="B1424" t="s">
        <v>17076</v>
      </c>
      <c r="C1424" t="s">
        <v>74</v>
      </c>
      <c r="D1424" t="s">
        <v>74</v>
      </c>
      <c r="E1424" t="s">
        <v>74</v>
      </c>
      <c r="F1424" t="s">
        <v>17075</v>
      </c>
      <c r="G1424" t="s">
        <v>74</v>
      </c>
      <c r="H1424" t="s">
        <v>74</v>
      </c>
      <c r="I1424" t="s">
        <v>17074</v>
      </c>
      <c r="J1424" t="s">
        <v>17073</v>
      </c>
      <c r="K1424" t="s">
        <v>74</v>
      </c>
      <c r="L1424" t="s">
        <v>74</v>
      </c>
      <c r="M1424" t="s">
        <v>78</v>
      </c>
      <c r="N1424" t="s">
        <v>79</v>
      </c>
      <c r="O1424" t="s">
        <v>74</v>
      </c>
      <c r="P1424" t="s">
        <v>74</v>
      </c>
      <c r="Q1424" t="s">
        <v>74</v>
      </c>
      <c r="R1424" t="s">
        <v>74</v>
      </c>
      <c r="S1424" t="s">
        <v>74</v>
      </c>
      <c r="T1424" t="s">
        <v>17072</v>
      </c>
      <c r="U1424" t="s">
        <v>17071</v>
      </c>
      <c r="V1424" t="s">
        <v>17070</v>
      </c>
      <c r="W1424" t="s">
        <v>17069</v>
      </c>
      <c r="X1424" t="s">
        <v>17068</v>
      </c>
      <c r="Y1424" t="s">
        <v>17067</v>
      </c>
      <c r="Z1424" t="s">
        <v>17066</v>
      </c>
      <c r="AA1424" t="s">
        <v>17065</v>
      </c>
      <c r="AB1424" t="s">
        <v>17064</v>
      </c>
      <c r="AC1424" t="s">
        <v>74</v>
      </c>
      <c r="AD1424" t="s">
        <v>74</v>
      </c>
      <c r="AE1424" t="s">
        <v>74</v>
      </c>
      <c r="AF1424" t="s">
        <v>74</v>
      </c>
      <c r="AG1424">
        <v>30</v>
      </c>
      <c r="AH1424">
        <v>248</v>
      </c>
      <c r="AI1424">
        <v>271</v>
      </c>
      <c r="AJ1424">
        <v>0</v>
      </c>
      <c r="AK1424">
        <v>10</v>
      </c>
      <c r="AL1424" t="s">
        <v>1169</v>
      </c>
      <c r="AM1424" t="s">
        <v>123</v>
      </c>
      <c r="AN1424" t="s">
        <v>1170</v>
      </c>
      <c r="AO1424" t="s">
        <v>17063</v>
      </c>
      <c r="AP1424" t="s">
        <v>74</v>
      </c>
      <c r="AQ1424" t="s">
        <v>74</v>
      </c>
      <c r="AR1424" t="s">
        <v>17062</v>
      </c>
      <c r="AS1424" t="s">
        <v>17061</v>
      </c>
      <c r="AT1424" t="s">
        <v>1060</v>
      </c>
      <c r="AU1424">
        <v>2007</v>
      </c>
      <c r="AV1424">
        <v>38</v>
      </c>
      <c r="AW1424">
        <v>6</v>
      </c>
      <c r="AX1424" t="s">
        <v>74</v>
      </c>
      <c r="AY1424" t="s">
        <v>74</v>
      </c>
      <c r="AZ1424" t="s">
        <v>74</v>
      </c>
      <c r="BA1424" t="s">
        <v>74</v>
      </c>
      <c r="BB1424">
        <v>893</v>
      </c>
      <c r="BC1424">
        <v>902</v>
      </c>
      <c r="BD1424" t="s">
        <v>74</v>
      </c>
      <c r="BE1424" t="s">
        <v>17060</v>
      </c>
      <c r="BF1424" t="str">
        <f>HYPERLINK("http://dx.doi.org/10.1016/j.humpath.2006.11.022","http://dx.doi.org/10.1016/j.humpath.2006.11.022")</f>
        <v>http://dx.doi.org/10.1016/j.humpath.2006.11.022</v>
      </c>
      <c r="BG1424" t="s">
        <v>74</v>
      </c>
      <c r="BH1424" t="s">
        <v>74</v>
      </c>
      <c r="BI1424">
        <v>10</v>
      </c>
      <c r="BJ1424" t="s">
        <v>7547</v>
      </c>
      <c r="BK1424" t="s">
        <v>101</v>
      </c>
      <c r="BL1424" t="s">
        <v>7547</v>
      </c>
      <c r="BM1424" t="s">
        <v>17059</v>
      </c>
      <c r="BN1424">
        <v>17376507</v>
      </c>
      <c r="BO1424" t="s">
        <v>74</v>
      </c>
      <c r="BP1424" t="s">
        <v>74</v>
      </c>
      <c r="BQ1424" t="s">
        <v>74</v>
      </c>
      <c r="BR1424" t="s">
        <v>104</v>
      </c>
      <c r="BS1424" t="s">
        <v>17058</v>
      </c>
      <c r="BT1424" t="str">
        <f>HYPERLINK("https%3A%2F%2Fwww.webofscience.com%2Fwos%2Fwoscc%2Ffull-record%2FWOS:000246814500011","View Full Record in Web of Science")</f>
        <v>View Full Record in Web of Science</v>
      </c>
    </row>
    <row r="1425" spans="1:72" x14ac:dyDescent="0.25">
      <c r="A1425" t="s">
        <v>72</v>
      </c>
      <c r="B1425" t="s">
        <v>17057</v>
      </c>
      <c r="C1425" t="s">
        <v>74</v>
      </c>
      <c r="D1425" t="s">
        <v>74</v>
      </c>
      <c r="E1425" t="s">
        <v>74</v>
      </c>
      <c r="F1425" t="s">
        <v>17056</v>
      </c>
      <c r="G1425" t="s">
        <v>74</v>
      </c>
      <c r="H1425" t="s">
        <v>74</v>
      </c>
      <c r="I1425" t="s">
        <v>17055</v>
      </c>
      <c r="J1425" t="s">
        <v>5624</v>
      </c>
      <c r="K1425" t="s">
        <v>74</v>
      </c>
      <c r="L1425" t="s">
        <v>74</v>
      </c>
      <c r="M1425" t="s">
        <v>78</v>
      </c>
      <c r="N1425" t="s">
        <v>299</v>
      </c>
      <c r="O1425" t="s">
        <v>74</v>
      </c>
      <c r="P1425" t="s">
        <v>74</v>
      </c>
      <c r="Q1425" t="s">
        <v>74</v>
      </c>
      <c r="R1425" t="s">
        <v>74</v>
      </c>
      <c r="S1425" t="s">
        <v>74</v>
      </c>
      <c r="T1425" t="s">
        <v>17054</v>
      </c>
      <c r="U1425" t="s">
        <v>17053</v>
      </c>
      <c r="V1425" t="s">
        <v>17052</v>
      </c>
      <c r="W1425" t="s">
        <v>17051</v>
      </c>
      <c r="X1425" t="s">
        <v>17050</v>
      </c>
      <c r="Y1425" t="s">
        <v>17049</v>
      </c>
      <c r="Z1425" t="s">
        <v>74</v>
      </c>
      <c r="AA1425" t="s">
        <v>17048</v>
      </c>
      <c r="AB1425" t="s">
        <v>17047</v>
      </c>
      <c r="AC1425" t="s">
        <v>74</v>
      </c>
      <c r="AD1425" t="s">
        <v>74</v>
      </c>
      <c r="AE1425" t="s">
        <v>74</v>
      </c>
      <c r="AF1425" t="s">
        <v>74</v>
      </c>
      <c r="AG1425">
        <v>98</v>
      </c>
      <c r="AH1425">
        <v>161</v>
      </c>
      <c r="AI1425">
        <v>179</v>
      </c>
      <c r="AJ1425">
        <v>1</v>
      </c>
      <c r="AK1425">
        <v>12</v>
      </c>
      <c r="AL1425" t="s">
        <v>16259</v>
      </c>
      <c r="AM1425" t="s">
        <v>1074</v>
      </c>
      <c r="AN1425" t="s">
        <v>16258</v>
      </c>
      <c r="AO1425" t="s">
        <v>5636</v>
      </c>
      <c r="AP1425" t="s">
        <v>74</v>
      </c>
      <c r="AQ1425" t="s">
        <v>74</v>
      </c>
      <c r="AR1425" t="s">
        <v>5624</v>
      </c>
      <c r="AS1425" t="s">
        <v>601</v>
      </c>
      <c r="AT1425" t="s">
        <v>1060</v>
      </c>
      <c r="AU1425">
        <v>2007</v>
      </c>
      <c r="AV1425">
        <v>62</v>
      </c>
      <c r="AW1425">
        <v>6</v>
      </c>
      <c r="AX1425" t="s">
        <v>74</v>
      </c>
      <c r="AY1425" t="s">
        <v>74</v>
      </c>
      <c r="AZ1425" t="s">
        <v>74</v>
      </c>
      <c r="BA1425" t="s">
        <v>74</v>
      </c>
      <c r="BB1425">
        <v>591</v>
      </c>
      <c r="BC1425">
        <v>604</v>
      </c>
      <c r="BD1425" t="s">
        <v>74</v>
      </c>
      <c r="BE1425" t="s">
        <v>17046</v>
      </c>
      <c r="BF1425" t="str">
        <f>HYPERLINK("http://dx.doi.org/10.1111/j.1398-9995.2007.01394.x","http://dx.doi.org/10.1111/j.1398-9995.2007.01394.x")</f>
        <v>http://dx.doi.org/10.1111/j.1398-9995.2007.01394.x</v>
      </c>
      <c r="BG1425" t="s">
        <v>74</v>
      </c>
      <c r="BH1425" t="s">
        <v>74</v>
      </c>
      <c r="BI1425">
        <v>14</v>
      </c>
      <c r="BJ1425" t="s">
        <v>3085</v>
      </c>
      <c r="BK1425" t="s">
        <v>101</v>
      </c>
      <c r="BL1425" t="s">
        <v>3085</v>
      </c>
      <c r="BM1425" t="s">
        <v>17037</v>
      </c>
      <c r="BN1425">
        <v>17508962</v>
      </c>
      <c r="BO1425" t="s">
        <v>1194</v>
      </c>
      <c r="BP1425" t="s">
        <v>74</v>
      </c>
      <c r="BQ1425" t="s">
        <v>74</v>
      </c>
      <c r="BR1425" t="s">
        <v>104</v>
      </c>
      <c r="BS1425" t="s">
        <v>17045</v>
      </c>
      <c r="BT1425" t="str">
        <f>HYPERLINK("https%3A%2F%2Fwww.webofscience.com%2Fwos%2Fwoscc%2Ffull-record%2FWOS:000246484100005","View Full Record in Web of Science")</f>
        <v>View Full Record in Web of Science</v>
      </c>
    </row>
    <row r="1426" spans="1:72" x14ac:dyDescent="0.25">
      <c r="A1426" t="s">
        <v>72</v>
      </c>
      <c r="B1426" t="s">
        <v>15949</v>
      </c>
      <c r="C1426" t="s">
        <v>74</v>
      </c>
      <c r="D1426" t="s">
        <v>74</v>
      </c>
      <c r="E1426" t="s">
        <v>74</v>
      </c>
      <c r="F1426" t="s">
        <v>17044</v>
      </c>
      <c r="G1426" t="s">
        <v>74</v>
      </c>
      <c r="H1426" t="s">
        <v>74</v>
      </c>
      <c r="I1426" t="s">
        <v>17043</v>
      </c>
      <c r="J1426" t="s">
        <v>5624</v>
      </c>
      <c r="K1426" t="s">
        <v>74</v>
      </c>
      <c r="L1426" t="s">
        <v>74</v>
      </c>
      <c r="M1426" t="s">
        <v>78</v>
      </c>
      <c r="N1426" t="s">
        <v>140</v>
      </c>
      <c r="O1426" t="s">
        <v>74</v>
      </c>
      <c r="P1426" t="s">
        <v>74</v>
      </c>
      <c r="Q1426" t="s">
        <v>74</v>
      </c>
      <c r="R1426" t="s">
        <v>74</v>
      </c>
      <c r="S1426" t="s">
        <v>74</v>
      </c>
      <c r="T1426" t="s">
        <v>74</v>
      </c>
      <c r="U1426" t="s">
        <v>17042</v>
      </c>
      <c r="V1426" t="s">
        <v>74</v>
      </c>
      <c r="W1426" t="s">
        <v>17041</v>
      </c>
      <c r="X1426" t="s">
        <v>17040</v>
      </c>
      <c r="Y1426" t="s">
        <v>17039</v>
      </c>
      <c r="Z1426" t="s">
        <v>74</v>
      </c>
      <c r="AA1426" t="s">
        <v>7246</v>
      </c>
      <c r="AB1426" t="s">
        <v>257</v>
      </c>
      <c r="AC1426" t="s">
        <v>74</v>
      </c>
      <c r="AD1426" t="s">
        <v>74</v>
      </c>
      <c r="AE1426" t="s">
        <v>74</v>
      </c>
      <c r="AF1426" t="s">
        <v>74</v>
      </c>
      <c r="AG1426">
        <v>17</v>
      </c>
      <c r="AH1426">
        <v>0</v>
      </c>
      <c r="AI1426">
        <v>0</v>
      </c>
      <c r="AJ1426">
        <v>0</v>
      </c>
      <c r="AK1426">
        <v>0</v>
      </c>
      <c r="AL1426" t="s">
        <v>16259</v>
      </c>
      <c r="AM1426" t="s">
        <v>1074</v>
      </c>
      <c r="AN1426" t="s">
        <v>16258</v>
      </c>
      <c r="AO1426" t="s">
        <v>5636</v>
      </c>
      <c r="AP1426" t="s">
        <v>74</v>
      </c>
      <c r="AQ1426" t="s">
        <v>74</v>
      </c>
      <c r="AR1426" t="s">
        <v>5624</v>
      </c>
      <c r="AS1426" t="s">
        <v>601</v>
      </c>
      <c r="AT1426" t="s">
        <v>1060</v>
      </c>
      <c r="AU1426">
        <v>2007</v>
      </c>
      <c r="AV1426">
        <v>62</v>
      </c>
      <c r="AW1426">
        <v>6</v>
      </c>
      <c r="AX1426" t="s">
        <v>74</v>
      </c>
      <c r="AY1426" t="s">
        <v>74</v>
      </c>
      <c r="AZ1426" t="s">
        <v>74</v>
      </c>
      <c r="BA1426" t="s">
        <v>74</v>
      </c>
      <c r="BB1426">
        <v>573</v>
      </c>
      <c r="BC1426">
        <v>574</v>
      </c>
      <c r="BD1426" t="s">
        <v>74</v>
      </c>
      <c r="BE1426" t="s">
        <v>17038</v>
      </c>
      <c r="BF1426" t="str">
        <f>HYPERLINK("http://dx.doi.org/10.1111/j.1398-9995.2007.01415.x","http://dx.doi.org/10.1111/j.1398-9995.2007.01415.x")</f>
        <v>http://dx.doi.org/10.1111/j.1398-9995.2007.01415.x</v>
      </c>
      <c r="BG1426" t="s">
        <v>74</v>
      </c>
      <c r="BH1426" t="s">
        <v>74</v>
      </c>
      <c r="BI1426">
        <v>2</v>
      </c>
      <c r="BJ1426" t="s">
        <v>3085</v>
      </c>
      <c r="BK1426" t="s">
        <v>101</v>
      </c>
      <c r="BL1426" t="s">
        <v>3085</v>
      </c>
      <c r="BM1426" t="s">
        <v>17037</v>
      </c>
      <c r="BN1426" t="s">
        <v>74</v>
      </c>
      <c r="BO1426" t="s">
        <v>74</v>
      </c>
      <c r="BP1426" t="s">
        <v>74</v>
      </c>
      <c r="BQ1426" t="s">
        <v>74</v>
      </c>
      <c r="BR1426" t="s">
        <v>104</v>
      </c>
      <c r="BS1426" t="s">
        <v>17036</v>
      </c>
      <c r="BT1426" t="str">
        <f>HYPERLINK("https%3A%2F%2Fwww.webofscience.com%2Fwos%2Fwoscc%2Ffull-record%2FWOS:000246484100001","View Full Record in Web of Science")</f>
        <v>View Full Record in Web of Science</v>
      </c>
    </row>
    <row r="1427" spans="1:72" x14ac:dyDescent="0.25">
      <c r="A1427" t="s">
        <v>72</v>
      </c>
      <c r="B1427" t="s">
        <v>17035</v>
      </c>
      <c r="C1427" t="s">
        <v>74</v>
      </c>
      <c r="D1427" t="s">
        <v>74</v>
      </c>
      <c r="E1427" t="s">
        <v>74</v>
      </c>
      <c r="F1427" t="s">
        <v>17034</v>
      </c>
      <c r="G1427" t="s">
        <v>74</v>
      </c>
      <c r="H1427" t="s">
        <v>74</v>
      </c>
      <c r="I1427" t="s">
        <v>17033</v>
      </c>
      <c r="J1427" t="s">
        <v>1529</v>
      </c>
      <c r="K1427" t="s">
        <v>74</v>
      </c>
      <c r="L1427" t="s">
        <v>74</v>
      </c>
      <c r="M1427" t="s">
        <v>1349</v>
      </c>
      <c r="N1427" t="s">
        <v>140</v>
      </c>
      <c r="O1427" t="s">
        <v>74</v>
      </c>
      <c r="P1427" t="s">
        <v>74</v>
      </c>
      <c r="Q1427" t="s">
        <v>74</v>
      </c>
      <c r="R1427" t="s">
        <v>74</v>
      </c>
      <c r="S1427" t="s">
        <v>74</v>
      </c>
      <c r="T1427" t="s">
        <v>74</v>
      </c>
      <c r="U1427" t="s">
        <v>17032</v>
      </c>
      <c r="V1427" t="s">
        <v>74</v>
      </c>
      <c r="W1427" t="s">
        <v>17031</v>
      </c>
      <c r="X1427" t="s">
        <v>17030</v>
      </c>
      <c r="Y1427" t="s">
        <v>17029</v>
      </c>
      <c r="Z1427" t="s">
        <v>10573</v>
      </c>
      <c r="AA1427" t="s">
        <v>780</v>
      </c>
      <c r="AB1427" t="s">
        <v>17028</v>
      </c>
      <c r="AC1427" t="s">
        <v>74</v>
      </c>
      <c r="AD1427" t="s">
        <v>74</v>
      </c>
      <c r="AE1427" t="s">
        <v>74</v>
      </c>
      <c r="AF1427" t="s">
        <v>74</v>
      </c>
      <c r="AG1427">
        <v>20</v>
      </c>
      <c r="AH1427">
        <v>5</v>
      </c>
      <c r="AI1427">
        <v>5</v>
      </c>
      <c r="AJ1427">
        <v>0</v>
      </c>
      <c r="AK1427">
        <v>0</v>
      </c>
      <c r="AL1427" t="s">
        <v>1358</v>
      </c>
      <c r="AM1427" t="s">
        <v>1359</v>
      </c>
      <c r="AN1427" t="s">
        <v>1360</v>
      </c>
      <c r="AO1427" t="s">
        <v>1533</v>
      </c>
      <c r="AP1427" t="s">
        <v>1534</v>
      </c>
      <c r="AQ1427" t="s">
        <v>74</v>
      </c>
      <c r="AR1427" t="s">
        <v>1535</v>
      </c>
      <c r="AS1427" t="s">
        <v>1536</v>
      </c>
      <c r="AT1427" t="s">
        <v>1060</v>
      </c>
      <c r="AU1427">
        <v>2007</v>
      </c>
      <c r="AV1427">
        <v>36</v>
      </c>
      <c r="AW1427">
        <v>6</v>
      </c>
      <c r="AX1427">
        <v>2</v>
      </c>
      <c r="AY1427" t="s">
        <v>74</v>
      </c>
      <c r="AZ1427" t="s">
        <v>74</v>
      </c>
      <c r="BA1427" t="s">
        <v>74</v>
      </c>
      <c r="BB1427">
        <v>933</v>
      </c>
      <c r="BC1427">
        <v>935</v>
      </c>
      <c r="BD1427" t="s">
        <v>74</v>
      </c>
      <c r="BE1427" t="s">
        <v>17027</v>
      </c>
      <c r="BF1427" t="str">
        <f>HYPERLINK("http://dx.doi.org/10.1016/j.lpm.2007.03.029","http://dx.doi.org/10.1016/j.lpm.2007.03.029")</f>
        <v>http://dx.doi.org/10.1016/j.lpm.2007.03.029</v>
      </c>
      <c r="BG1427" t="s">
        <v>74</v>
      </c>
      <c r="BH1427" t="s">
        <v>74</v>
      </c>
      <c r="BI1427">
        <v>3</v>
      </c>
      <c r="BJ1427" t="s">
        <v>1152</v>
      </c>
      <c r="BK1427" t="s">
        <v>101</v>
      </c>
      <c r="BL1427" t="s">
        <v>1153</v>
      </c>
      <c r="BM1427" t="s">
        <v>17026</v>
      </c>
      <c r="BN1427">
        <v>17442533</v>
      </c>
      <c r="BO1427" t="s">
        <v>74</v>
      </c>
      <c r="BP1427" t="s">
        <v>74</v>
      </c>
      <c r="BQ1427" t="s">
        <v>74</v>
      </c>
      <c r="BR1427" t="s">
        <v>104</v>
      </c>
      <c r="BS1427" t="s">
        <v>17025</v>
      </c>
      <c r="BT1427" t="str">
        <f>HYPERLINK("https%3A%2F%2Fwww.webofscience.com%2Fwos%2Fwoscc%2Ffull-record%2FWOS:000247309600001","View Full Record in Web of Science")</f>
        <v>View Full Record in Web of Science</v>
      </c>
    </row>
    <row r="1428" spans="1:72" x14ac:dyDescent="0.25">
      <c r="A1428" t="s">
        <v>72</v>
      </c>
      <c r="B1428" t="s">
        <v>17024</v>
      </c>
      <c r="C1428" t="s">
        <v>74</v>
      </c>
      <c r="D1428" t="s">
        <v>74</v>
      </c>
      <c r="E1428" t="s">
        <v>74</v>
      </c>
      <c r="F1428" t="s">
        <v>17023</v>
      </c>
      <c r="G1428" t="s">
        <v>74</v>
      </c>
      <c r="H1428" t="s">
        <v>74</v>
      </c>
      <c r="I1428" t="s">
        <v>17022</v>
      </c>
      <c r="J1428" t="s">
        <v>216</v>
      </c>
      <c r="K1428" t="s">
        <v>74</v>
      </c>
      <c r="L1428" t="s">
        <v>74</v>
      </c>
      <c r="M1428" t="s">
        <v>78</v>
      </c>
      <c r="N1428" t="s">
        <v>79</v>
      </c>
      <c r="O1428" t="s">
        <v>74</v>
      </c>
      <c r="P1428" t="s">
        <v>74</v>
      </c>
      <c r="Q1428" t="s">
        <v>74</v>
      </c>
      <c r="R1428" t="s">
        <v>74</v>
      </c>
      <c r="S1428" t="s">
        <v>74</v>
      </c>
      <c r="T1428" t="s">
        <v>17021</v>
      </c>
      <c r="U1428" t="s">
        <v>17020</v>
      </c>
      <c r="V1428" t="s">
        <v>17019</v>
      </c>
      <c r="W1428" t="s">
        <v>17018</v>
      </c>
      <c r="X1428" t="s">
        <v>17017</v>
      </c>
      <c r="Y1428" t="s">
        <v>17016</v>
      </c>
      <c r="Z1428" t="s">
        <v>17015</v>
      </c>
      <c r="AA1428" t="s">
        <v>17014</v>
      </c>
      <c r="AB1428" t="s">
        <v>17013</v>
      </c>
      <c r="AC1428" t="s">
        <v>74</v>
      </c>
      <c r="AD1428" t="s">
        <v>74</v>
      </c>
      <c r="AE1428" t="s">
        <v>74</v>
      </c>
      <c r="AF1428" t="s">
        <v>74</v>
      </c>
      <c r="AG1428">
        <v>36</v>
      </c>
      <c r="AH1428">
        <v>118</v>
      </c>
      <c r="AI1428">
        <v>138</v>
      </c>
      <c r="AJ1428">
        <v>1</v>
      </c>
      <c r="AK1428">
        <v>8</v>
      </c>
      <c r="AL1428" t="s">
        <v>219</v>
      </c>
      <c r="AM1428" t="s">
        <v>220</v>
      </c>
      <c r="AN1428" t="s">
        <v>221</v>
      </c>
      <c r="AO1428" t="s">
        <v>222</v>
      </c>
      <c r="AP1428" t="s">
        <v>223</v>
      </c>
      <c r="AQ1428" t="s">
        <v>74</v>
      </c>
      <c r="AR1428" t="s">
        <v>224</v>
      </c>
      <c r="AS1428" t="s">
        <v>225</v>
      </c>
      <c r="AT1428" t="s">
        <v>2097</v>
      </c>
      <c r="AU1428">
        <v>2007</v>
      </c>
      <c r="AV1428">
        <v>29</v>
      </c>
      <c r="AW1428">
        <v>5</v>
      </c>
      <c r="AX1428" t="s">
        <v>74</v>
      </c>
      <c r="AY1428" t="s">
        <v>74</v>
      </c>
      <c r="AZ1428" t="s">
        <v>74</v>
      </c>
      <c r="BA1428" t="s">
        <v>74</v>
      </c>
      <c r="BB1428">
        <v>937</v>
      </c>
      <c r="BC1428">
        <v>943</v>
      </c>
      <c r="BD1428" t="s">
        <v>74</v>
      </c>
      <c r="BE1428" t="s">
        <v>17012</v>
      </c>
      <c r="BF1428" t="str">
        <f>HYPERLINK("http://dx.doi.org/10.1183/09031936.00104706","http://dx.doi.org/10.1183/09031936.00104706")</f>
        <v>http://dx.doi.org/10.1183/09031936.00104706</v>
      </c>
      <c r="BG1428" t="s">
        <v>74</v>
      </c>
      <c r="BH1428" t="s">
        <v>74</v>
      </c>
      <c r="BI1428">
        <v>7</v>
      </c>
      <c r="BJ1428" t="s">
        <v>228</v>
      </c>
      <c r="BK1428" t="s">
        <v>101</v>
      </c>
      <c r="BL1428" t="s">
        <v>228</v>
      </c>
      <c r="BM1428" t="s">
        <v>17011</v>
      </c>
      <c r="BN1428">
        <v>17182651</v>
      </c>
      <c r="BO1428" t="s">
        <v>1194</v>
      </c>
      <c r="BP1428" t="s">
        <v>74</v>
      </c>
      <c r="BQ1428" t="s">
        <v>74</v>
      </c>
      <c r="BR1428" t="s">
        <v>104</v>
      </c>
      <c r="BS1428" t="s">
        <v>17010</v>
      </c>
      <c r="BT1428" t="str">
        <f>HYPERLINK("https%3A%2F%2Fwww.webofscience.com%2Fwos%2Fwoscc%2Ffull-record%2FWOS:000246409300014","View Full Record in Web of Science")</f>
        <v>View Full Record in Web of Science</v>
      </c>
    </row>
    <row r="1429" spans="1:72" x14ac:dyDescent="0.25">
      <c r="A1429" t="s">
        <v>72</v>
      </c>
      <c r="B1429" t="s">
        <v>17009</v>
      </c>
      <c r="C1429" t="s">
        <v>74</v>
      </c>
      <c r="D1429" t="s">
        <v>74</v>
      </c>
      <c r="E1429" t="s">
        <v>74</v>
      </c>
      <c r="F1429" t="s">
        <v>17008</v>
      </c>
      <c r="G1429" t="s">
        <v>74</v>
      </c>
      <c r="H1429" t="s">
        <v>74</v>
      </c>
      <c r="I1429" t="s">
        <v>17007</v>
      </c>
      <c r="J1429" t="s">
        <v>983</v>
      </c>
      <c r="K1429" t="s">
        <v>74</v>
      </c>
      <c r="L1429" t="s">
        <v>74</v>
      </c>
      <c r="M1429" t="s">
        <v>78</v>
      </c>
      <c r="N1429" t="s">
        <v>79</v>
      </c>
      <c r="O1429" t="s">
        <v>74</v>
      </c>
      <c r="P1429" t="s">
        <v>74</v>
      </c>
      <c r="Q1429" t="s">
        <v>74</v>
      </c>
      <c r="R1429" t="s">
        <v>74</v>
      </c>
      <c r="S1429" t="s">
        <v>74</v>
      </c>
      <c r="T1429" t="s">
        <v>74</v>
      </c>
      <c r="U1429" t="s">
        <v>17006</v>
      </c>
      <c r="V1429" t="s">
        <v>17005</v>
      </c>
      <c r="W1429" t="s">
        <v>17004</v>
      </c>
      <c r="X1429" t="s">
        <v>17003</v>
      </c>
      <c r="Y1429" t="s">
        <v>17002</v>
      </c>
      <c r="Z1429" t="s">
        <v>15506</v>
      </c>
      <c r="AA1429" t="s">
        <v>17001</v>
      </c>
      <c r="AB1429" t="s">
        <v>17000</v>
      </c>
      <c r="AC1429" t="s">
        <v>74</v>
      </c>
      <c r="AD1429" t="s">
        <v>74</v>
      </c>
      <c r="AE1429" t="s">
        <v>74</v>
      </c>
      <c r="AF1429" t="s">
        <v>74</v>
      </c>
      <c r="AG1429">
        <v>25</v>
      </c>
      <c r="AH1429">
        <v>112</v>
      </c>
      <c r="AI1429">
        <v>117</v>
      </c>
      <c r="AJ1429">
        <v>0</v>
      </c>
      <c r="AK1429">
        <v>1</v>
      </c>
      <c r="AL1429" t="s">
        <v>991</v>
      </c>
      <c r="AM1429" t="s">
        <v>486</v>
      </c>
      <c r="AN1429" t="s">
        <v>8530</v>
      </c>
      <c r="AO1429" t="s">
        <v>993</v>
      </c>
      <c r="AP1429" t="s">
        <v>994</v>
      </c>
      <c r="AQ1429" t="s">
        <v>74</v>
      </c>
      <c r="AR1429" t="s">
        <v>995</v>
      </c>
      <c r="AS1429" t="s">
        <v>996</v>
      </c>
      <c r="AT1429" t="s">
        <v>997</v>
      </c>
      <c r="AU1429">
        <v>2007</v>
      </c>
      <c r="AV1429">
        <v>26</v>
      </c>
      <c r="AW1429">
        <v>4</v>
      </c>
      <c r="AX1429" t="s">
        <v>74</v>
      </c>
      <c r="AY1429" t="s">
        <v>74</v>
      </c>
      <c r="AZ1429" t="s">
        <v>74</v>
      </c>
      <c r="BA1429" t="s">
        <v>74</v>
      </c>
      <c r="BB1429">
        <v>357</v>
      </c>
      <c r="BC1429">
        <v>362</v>
      </c>
      <c r="BD1429" t="s">
        <v>74</v>
      </c>
      <c r="BE1429" t="s">
        <v>16999</v>
      </c>
      <c r="BF1429" t="str">
        <f>HYPERLINK("http://dx.doi.org/10.1016/j.healun.2006.12.014","http://dx.doi.org/10.1016/j.healun.2006.12.014")</f>
        <v>http://dx.doi.org/10.1016/j.healun.2006.12.014</v>
      </c>
      <c r="BG1429" t="s">
        <v>74</v>
      </c>
      <c r="BH1429" t="s">
        <v>74</v>
      </c>
      <c r="BI1429">
        <v>6</v>
      </c>
      <c r="BJ1429" t="s">
        <v>1000</v>
      </c>
      <c r="BK1429" t="s">
        <v>101</v>
      </c>
      <c r="BL1429" t="s">
        <v>1001</v>
      </c>
      <c r="BM1429" t="s">
        <v>16998</v>
      </c>
      <c r="BN1429">
        <v>17403477</v>
      </c>
      <c r="BO1429" t="s">
        <v>74</v>
      </c>
      <c r="BP1429" t="s">
        <v>74</v>
      </c>
      <c r="BQ1429" t="s">
        <v>74</v>
      </c>
      <c r="BR1429" t="s">
        <v>104</v>
      </c>
      <c r="BS1429" t="s">
        <v>16997</v>
      </c>
      <c r="BT1429" t="str">
        <f>HYPERLINK("https%3A%2F%2Fwww.webofscience.com%2Fwos%2Fwoscc%2Ffull-record%2FWOS:000245725100009","View Full Record in Web of Science")</f>
        <v>View Full Record in Web of Science</v>
      </c>
    </row>
    <row r="1430" spans="1:72" x14ac:dyDescent="0.25">
      <c r="A1430" t="s">
        <v>72</v>
      </c>
      <c r="B1430" t="s">
        <v>16996</v>
      </c>
      <c r="C1430" t="s">
        <v>74</v>
      </c>
      <c r="D1430" t="s">
        <v>74</v>
      </c>
      <c r="E1430" t="s">
        <v>74</v>
      </c>
      <c r="F1430" t="s">
        <v>16995</v>
      </c>
      <c r="G1430" t="s">
        <v>74</v>
      </c>
      <c r="H1430" t="s">
        <v>74</v>
      </c>
      <c r="I1430" t="s">
        <v>16994</v>
      </c>
      <c r="J1430" t="s">
        <v>1348</v>
      </c>
      <c r="K1430" t="s">
        <v>74</v>
      </c>
      <c r="L1430" t="s">
        <v>74</v>
      </c>
      <c r="M1430" t="s">
        <v>1349</v>
      </c>
      <c r="N1430" t="s">
        <v>79</v>
      </c>
      <c r="O1430" t="s">
        <v>74</v>
      </c>
      <c r="P1430" t="s">
        <v>74</v>
      </c>
      <c r="Q1430" t="s">
        <v>74</v>
      </c>
      <c r="R1430" t="s">
        <v>74</v>
      </c>
      <c r="S1430" t="s">
        <v>74</v>
      </c>
      <c r="T1430" t="s">
        <v>16993</v>
      </c>
      <c r="U1430" t="s">
        <v>16992</v>
      </c>
      <c r="V1430" t="s">
        <v>16991</v>
      </c>
      <c r="W1430" t="s">
        <v>16990</v>
      </c>
      <c r="X1430" t="s">
        <v>16989</v>
      </c>
      <c r="Y1430" t="s">
        <v>16988</v>
      </c>
      <c r="Z1430" t="s">
        <v>16987</v>
      </c>
      <c r="AA1430" t="s">
        <v>16986</v>
      </c>
      <c r="AB1430" t="s">
        <v>16985</v>
      </c>
      <c r="AC1430" t="s">
        <v>74</v>
      </c>
      <c r="AD1430" t="s">
        <v>74</v>
      </c>
      <c r="AE1430" t="s">
        <v>74</v>
      </c>
      <c r="AF1430" t="s">
        <v>74</v>
      </c>
      <c r="AG1430">
        <v>81</v>
      </c>
      <c r="AH1430">
        <v>8</v>
      </c>
      <c r="AI1430">
        <v>8</v>
      </c>
      <c r="AJ1430">
        <v>0</v>
      </c>
      <c r="AK1430">
        <v>0</v>
      </c>
      <c r="AL1430" t="s">
        <v>1358</v>
      </c>
      <c r="AM1430" t="s">
        <v>1359</v>
      </c>
      <c r="AN1430" t="s">
        <v>1360</v>
      </c>
      <c r="AO1430" t="s">
        <v>1361</v>
      </c>
      <c r="AP1430" t="s">
        <v>1362</v>
      </c>
      <c r="AQ1430" t="s">
        <v>74</v>
      </c>
      <c r="AR1430" t="s">
        <v>1363</v>
      </c>
      <c r="AS1430" t="s">
        <v>1364</v>
      </c>
      <c r="AT1430" t="s">
        <v>997</v>
      </c>
      <c r="AU1430">
        <v>2007</v>
      </c>
      <c r="AV1430">
        <v>24</v>
      </c>
      <c r="AW1430">
        <v>4</v>
      </c>
      <c r="AX1430">
        <v>1</v>
      </c>
      <c r="AY1430" t="s">
        <v>74</v>
      </c>
      <c r="AZ1430" t="s">
        <v>74</v>
      </c>
      <c r="BA1430" t="s">
        <v>74</v>
      </c>
      <c r="BB1430">
        <v>497</v>
      </c>
      <c r="BC1430">
        <v>508</v>
      </c>
      <c r="BD1430" t="s">
        <v>74</v>
      </c>
      <c r="BE1430" t="s">
        <v>16984</v>
      </c>
      <c r="BF1430" t="str">
        <f>HYPERLINK("http://dx.doi.org/10.1016/S0761-8425(07)91572-7","http://dx.doi.org/10.1016/S0761-8425(07)91572-7")</f>
        <v>http://dx.doi.org/10.1016/S0761-8425(07)91572-7</v>
      </c>
      <c r="BG1430" t="s">
        <v>74</v>
      </c>
      <c r="BH1430" t="s">
        <v>74</v>
      </c>
      <c r="BI1430">
        <v>12</v>
      </c>
      <c r="BJ1430" t="s">
        <v>228</v>
      </c>
      <c r="BK1430" t="s">
        <v>101</v>
      </c>
      <c r="BL1430" t="s">
        <v>228</v>
      </c>
      <c r="BM1430" t="s">
        <v>16983</v>
      </c>
      <c r="BN1430">
        <v>17468706</v>
      </c>
      <c r="BO1430" t="s">
        <v>74</v>
      </c>
      <c r="BP1430" t="s">
        <v>74</v>
      </c>
      <c r="BQ1430" t="s">
        <v>74</v>
      </c>
      <c r="BR1430" t="s">
        <v>104</v>
      </c>
      <c r="BS1430" t="s">
        <v>16982</v>
      </c>
      <c r="BT1430" t="str">
        <f>HYPERLINK("https%3A%2F%2Fwww.webofscience.com%2Fwos%2Fwoscc%2Ffull-record%2FWOS:000246690300009","View Full Record in Web of Science")</f>
        <v>View Full Record in Web of Science</v>
      </c>
    </row>
    <row r="1431" spans="1:72" x14ac:dyDescent="0.25">
      <c r="A1431" t="s">
        <v>72</v>
      </c>
      <c r="B1431" t="s">
        <v>16981</v>
      </c>
      <c r="C1431" t="s">
        <v>74</v>
      </c>
      <c r="D1431" t="s">
        <v>74</v>
      </c>
      <c r="E1431" t="s">
        <v>74</v>
      </c>
      <c r="F1431" t="s">
        <v>16980</v>
      </c>
      <c r="G1431" t="s">
        <v>74</v>
      </c>
      <c r="H1431" t="s">
        <v>74</v>
      </c>
      <c r="I1431" t="s">
        <v>16979</v>
      </c>
      <c r="J1431" t="s">
        <v>1348</v>
      </c>
      <c r="K1431" t="s">
        <v>74</v>
      </c>
      <c r="L1431" t="s">
        <v>74</v>
      </c>
      <c r="M1431" t="s">
        <v>1349</v>
      </c>
      <c r="N1431" t="s">
        <v>79</v>
      </c>
      <c r="O1431" t="s">
        <v>74</v>
      </c>
      <c r="P1431" t="s">
        <v>74</v>
      </c>
      <c r="Q1431" t="s">
        <v>74</v>
      </c>
      <c r="R1431" t="s">
        <v>74</v>
      </c>
      <c r="S1431" t="s">
        <v>74</v>
      </c>
      <c r="T1431" t="s">
        <v>16978</v>
      </c>
      <c r="U1431" t="s">
        <v>16977</v>
      </c>
      <c r="V1431" t="s">
        <v>16976</v>
      </c>
      <c r="W1431" t="s">
        <v>16975</v>
      </c>
      <c r="X1431" t="s">
        <v>16974</v>
      </c>
      <c r="Y1431" t="s">
        <v>16973</v>
      </c>
      <c r="Z1431" t="s">
        <v>16133</v>
      </c>
      <c r="AA1431" t="s">
        <v>14164</v>
      </c>
      <c r="AB1431" t="s">
        <v>16972</v>
      </c>
      <c r="AC1431" t="s">
        <v>74</v>
      </c>
      <c r="AD1431" t="s">
        <v>74</v>
      </c>
      <c r="AE1431" t="s">
        <v>74</v>
      </c>
      <c r="AF1431" t="s">
        <v>74</v>
      </c>
      <c r="AG1431">
        <v>39</v>
      </c>
      <c r="AH1431">
        <v>13</v>
      </c>
      <c r="AI1431">
        <v>14</v>
      </c>
      <c r="AJ1431">
        <v>0</v>
      </c>
      <c r="AK1431">
        <v>2</v>
      </c>
      <c r="AL1431" t="s">
        <v>1358</v>
      </c>
      <c r="AM1431" t="s">
        <v>1359</v>
      </c>
      <c r="AN1431" t="s">
        <v>1360</v>
      </c>
      <c r="AO1431" t="s">
        <v>1361</v>
      </c>
      <c r="AP1431" t="s">
        <v>1362</v>
      </c>
      <c r="AQ1431" t="s">
        <v>74</v>
      </c>
      <c r="AR1431" t="s">
        <v>1363</v>
      </c>
      <c r="AS1431" t="s">
        <v>1364</v>
      </c>
      <c r="AT1431" t="s">
        <v>98</v>
      </c>
      <c r="AU1431">
        <v>2007</v>
      </c>
      <c r="AV1431">
        <v>24</v>
      </c>
      <c r="AW1431">
        <v>3</v>
      </c>
      <c r="AX1431">
        <v>1</v>
      </c>
      <c r="AY1431" t="s">
        <v>74</v>
      </c>
      <c r="AZ1431" t="s">
        <v>74</v>
      </c>
      <c r="BA1431" t="s">
        <v>74</v>
      </c>
      <c r="BB1431">
        <v>359</v>
      </c>
      <c r="BC1431">
        <v>366</v>
      </c>
      <c r="BD1431" t="s">
        <v>74</v>
      </c>
      <c r="BE1431" t="s">
        <v>16971</v>
      </c>
      <c r="BF1431" t="str">
        <f>HYPERLINK("http://dx.doi.org/10.1016/S0761-8425(07)91070-0","http://dx.doi.org/10.1016/S0761-8425(07)91070-0")</f>
        <v>http://dx.doi.org/10.1016/S0761-8425(07)91070-0</v>
      </c>
      <c r="BG1431" t="s">
        <v>74</v>
      </c>
      <c r="BH1431" t="s">
        <v>74</v>
      </c>
      <c r="BI1431">
        <v>8</v>
      </c>
      <c r="BJ1431" t="s">
        <v>228</v>
      </c>
      <c r="BK1431" t="s">
        <v>101</v>
      </c>
      <c r="BL1431" t="s">
        <v>228</v>
      </c>
      <c r="BM1431" t="s">
        <v>16970</v>
      </c>
      <c r="BN1431">
        <v>17417176</v>
      </c>
      <c r="BO1431" t="s">
        <v>74</v>
      </c>
      <c r="BP1431" t="s">
        <v>74</v>
      </c>
      <c r="BQ1431" t="s">
        <v>74</v>
      </c>
      <c r="BR1431" t="s">
        <v>104</v>
      </c>
      <c r="BS1431" t="s">
        <v>16969</v>
      </c>
      <c r="BT1431" t="str">
        <f>HYPERLINK("https%3A%2F%2Fwww.webofscience.com%2Fwos%2Fwoscc%2Ffull-record%2FWOS:000246104900015","View Full Record in Web of Science")</f>
        <v>View Full Record in Web of Science</v>
      </c>
    </row>
    <row r="1432" spans="1:72" x14ac:dyDescent="0.25">
      <c r="A1432" t="s">
        <v>72</v>
      </c>
      <c r="B1432" t="s">
        <v>16968</v>
      </c>
      <c r="C1432" t="s">
        <v>74</v>
      </c>
      <c r="D1432" t="s">
        <v>74</v>
      </c>
      <c r="E1432" t="s">
        <v>74</v>
      </c>
      <c r="F1432" t="s">
        <v>16967</v>
      </c>
      <c r="G1432" t="s">
        <v>74</v>
      </c>
      <c r="H1432" t="s">
        <v>74</v>
      </c>
      <c r="I1432" t="s">
        <v>16966</v>
      </c>
      <c r="J1432" t="s">
        <v>216</v>
      </c>
      <c r="K1432" t="s">
        <v>74</v>
      </c>
      <c r="L1432" t="s">
        <v>74</v>
      </c>
      <c r="M1432" t="s">
        <v>78</v>
      </c>
      <c r="N1432" t="s">
        <v>79</v>
      </c>
      <c r="O1432" t="s">
        <v>74</v>
      </c>
      <c r="P1432" t="s">
        <v>74</v>
      </c>
      <c r="Q1432" t="s">
        <v>74</v>
      </c>
      <c r="R1432" t="s">
        <v>74</v>
      </c>
      <c r="S1432" t="s">
        <v>74</v>
      </c>
      <c r="T1432" t="s">
        <v>16965</v>
      </c>
      <c r="U1432" t="s">
        <v>16964</v>
      </c>
      <c r="V1432" t="s">
        <v>16963</v>
      </c>
      <c r="W1432" t="s">
        <v>16962</v>
      </c>
      <c r="X1432" t="s">
        <v>16961</v>
      </c>
      <c r="Y1432" t="s">
        <v>16960</v>
      </c>
      <c r="Z1432" t="s">
        <v>15897</v>
      </c>
      <c r="AA1432" t="s">
        <v>16959</v>
      </c>
      <c r="AB1432" t="s">
        <v>16958</v>
      </c>
      <c r="AC1432" t="s">
        <v>74</v>
      </c>
      <c r="AD1432" t="s">
        <v>74</v>
      </c>
      <c r="AE1432" t="s">
        <v>74</v>
      </c>
      <c r="AF1432" t="s">
        <v>74</v>
      </c>
      <c r="AG1432">
        <v>29</v>
      </c>
      <c r="AH1432">
        <v>78</v>
      </c>
      <c r="AI1432">
        <v>81</v>
      </c>
      <c r="AJ1432">
        <v>0</v>
      </c>
      <c r="AK1432">
        <v>3</v>
      </c>
      <c r="AL1432" t="s">
        <v>219</v>
      </c>
      <c r="AM1432" t="s">
        <v>220</v>
      </c>
      <c r="AN1432" t="s">
        <v>221</v>
      </c>
      <c r="AO1432" t="s">
        <v>222</v>
      </c>
      <c r="AP1432" t="s">
        <v>223</v>
      </c>
      <c r="AQ1432" t="s">
        <v>74</v>
      </c>
      <c r="AR1432" t="s">
        <v>224</v>
      </c>
      <c r="AS1432" t="s">
        <v>225</v>
      </c>
      <c r="AT1432" t="s">
        <v>98</v>
      </c>
      <c r="AU1432">
        <v>2007</v>
      </c>
      <c r="AV1432">
        <v>29</v>
      </c>
      <c r="AW1432">
        <v>3</v>
      </c>
      <c r="AX1432" t="s">
        <v>74</v>
      </c>
      <c r="AY1432" t="s">
        <v>74</v>
      </c>
      <c r="AZ1432" t="s">
        <v>74</v>
      </c>
      <c r="BA1432" t="s">
        <v>74</v>
      </c>
      <c r="BB1432">
        <v>476</v>
      </c>
      <c r="BC1432">
        <v>481</v>
      </c>
      <c r="BD1432" t="s">
        <v>74</v>
      </c>
      <c r="BE1432" t="s">
        <v>16957</v>
      </c>
      <c r="BF1432" t="str">
        <f>HYPERLINK("http://dx.doi.org/10.1183/09031936.00016806","http://dx.doi.org/10.1183/09031936.00016806")</f>
        <v>http://dx.doi.org/10.1183/09031936.00016806</v>
      </c>
      <c r="BG1432" t="s">
        <v>74</v>
      </c>
      <c r="BH1432" t="s">
        <v>74</v>
      </c>
      <c r="BI1432">
        <v>6</v>
      </c>
      <c r="BJ1432" t="s">
        <v>228</v>
      </c>
      <c r="BK1432" t="s">
        <v>101</v>
      </c>
      <c r="BL1432" t="s">
        <v>228</v>
      </c>
      <c r="BM1432" t="s">
        <v>16944</v>
      </c>
      <c r="BN1432">
        <v>17135232</v>
      </c>
      <c r="BO1432" t="s">
        <v>2854</v>
      </c>
      <c r="BP1432" t="s">
        <v>74</v>
      </c>
      <c r="BQ1432" t="s">
        <v>74</v>
      </c>
      <c r="BR1432" t="s">
        <v>104</v>
      </c>
      <c r="BS1432" t="s">
        <v>16956</v>
      </c>
      <c r="BT1432" t="str">
        <f>HYPERLINK("https%3A%2F%2Fwww.webofscience.com%2Fwos%2Fwoscc%2Ffull-record%2FWOS:000244967500010","View Full Record in Web of Science")</f>
        <v>View Full Record in Web of Science</v>
      </c>
    </row>
    <row r="1433" spans="1:72" x14ac:dyDescent="0.25">
      <c r="A1433" t="s">
        <v>72</v>
      </c>
      <c r="B1433" t="s">
        <v>16955</v>
      </c>
      <c r="C1433" t="s">
        <v>74</v>
      </c>
      <c r="D1433" t="s">
        <v>74</v>
      </c>
      <c r="E1433" t="s">
        <v>74</v>
      </c>
      <c r="F1433" t="s">
        <v>16954</v>
      </c>
      <c r="G1433" t="s">
        <v>74</v>
      </c>
      <c r="H1433" t="s">
        <v>74</v>
      </c>
      <c r="I1433" t="s">
        <v>16953</v>
      </c>
      <c r="J1433" t="s">
        <v>216</v>
      </c>
      <c r="K1433" t="s">
        <v>74</v>
      </c>
      <c r="L1433" t="s">
        <v>74</v>
      </c>
      <c r="M1433" t="s">
        <v>78</v>
      </c>
      <c r="N1433" t="s">
        <v>79</v>
      </c>
      <c r="O1433" t="s">
        <v>74</v>
      </c>
      <c r="P1433" t="s">
        <v>74</v>
      </c>
      <c r="Q1433" t="s">
        <v>74</v>
      </c>
      <c r="R1433" t="s">
        <v>74</v>
      </c>
      <c r="S1433" t="s">
        <v>74</v>
      </c>
      <c r="T1433" t="s">
        <v>16952</v>
      </c>
      <c r="U1433" t="s">
        <v>16951</v>
      </c>
      <c r="V1433" t="s">
        <v>16950</v>
      </c>
      <c r="W1433" t="s">
        <v>16949</v>
      </c>
      <c r="X1433" t="s">
        <v>16948</v>
      </c>
      <c r="Y1433" t="s">
        <v>14685</v>
      </c>
      <c r="Z1433" t="s">
        <v>10573</v>
      </c>
      <c r="AA1433" t="s">
        <v>16947</v>
      </c>
      <c r="AB1433" t="s">
        <v>16946</v>
      </c>
      <c r="AC1433" t="s">
        <v>74</v>
      </c>
      <c r="AD1433" t="s">
        <v>74</v>
      </c>
      <c r="AE1433" t="s">
        <v>74</v>
      </c>
      <c r="AF1433" t="s">
        <v>74</v>
      </c>
      <c r="AG1433">
        <v>41</v>
      </c>
      <c r="AH1433">
        <v>145</v>
      </c>
      <c r="AI1433">
        <v>161</v>
      </c>
      <c r="AJ1433">
        <v>0</v>
      </c>
      <c r="AK1433">
        <v>7</v>
      </c>
      <c r="AL1433" t="s">
        <v>219</v>
      </c>
      <c r="AM1433" t="s">
        <v>220</v>
      </c>
      <c r="AN1433" t="s">
        <v>221</v>
      </c>
      <c r="AO1433" t="s">
        <v>222</v>
      </c>
      <c r="AP1433" t="s">
        <v>223</v>
      </c>
      <c r="AQ1433" t="s">
        <v>74</v>
      </c>
      <c r="AR1433" t="s">
        <v>224</v>
      </c>
      <c r="AS1433" t="s">
        <v>225</v>
      </c>
      <c r="AT1433" t="s">
        <v>98</v>
      </c>
      <c r="AU1433">
        <v>2007</v>
      </c>
      <c r="AV1433">
        <v>29</v>
      </c>
      <c r="AW1433">
        <v>3</v>
      </c>
      <c r="AX1433" t="s">
        <v>74</v>
      </c>
      <c r="AY1433" t="s">
        <v>74</v>
      </c>
      <c r="AZ1433" t="s">
        <v>74</v>
      </c>
      <c r="BA1433" t="s">
        <v>74</v>
      </c>
      <c r="BB1433">
        <v>462</v>
      </c>
      <c r="BC1433">
        <v>468</v>
      </c>
      <c r="BD1433" t="s">
        <v>74</v>
      </c>
      <c r="BE1433" t="s">
        <v>16945</v>
      </c>
      <c r="BF1433" t="str">
        <f>HYPERLINK("http://dx.doi.org/10.1183/09031936.00094706","http://dx.doi.org/10.1183/09031936.00094706")</f>
        <v>http://dx.doi.org/10.1183/09031936.00094706</v>
      </c>
      <c r="BG1433" t="s">
        <v>74</v>
      </c>
      <c r="BH1433" t="s">
        <v>74</v>
      </c>
      <c r="BI1433">
        <v>7</v>
      </c>
      <c r="BJ1433" t="s">
        <v>228</v>
      </c>
      <c r="BK1433" t="s">
        <v>101</v>
      </c>
      <c r="BL1433" t="s">
        <v>228</v>
      </c>
      <c r="BM1433" t="s">
        <v>16944</v>
      </c>
      <c r="BN1433">
        <v>17107989</v>
      </c>
      <c r="BO1433" t="s">
        <v>1908</v>
      </c>
      <c r="BP1433" t="s">
        <v>74</v>
      </c>
      <c r="BQ1433" t="s">
        <v>74</v>
      </c>
      <c r="BR1433" t="s">
        <v>104</v>
      </c>
      <c r="BS1433" t="s">
        <v>16943</v>
      </c>
      <c r="BT1433" t="str">
        <f>HYPERLINK("https%3A%2F%2Fwww.webofscience.com%2Fwos%2Fwoscc%2Ffull-record%2FWOS:000244967500008","View Full Record in Web of Science")</f>
        <v>View Full Record in Web of Science</v>
      </c>
    </row>
    <row r="1434" spans="1:72" x14ac:dyDescent="0.25">
      <c r="A1434" t="s">
        <v>72</v>
      </c>
      <c r="B1434" t="s">
        <v>16942</v>
      </c>
      <c r="C1434" t="s">
        <v>74</v>
      </c>
      <c r="D1434" t="s">
        <v>74</v>
      </c>
      <c r="E1434" t="s">
        <v>74</v>
      </c>
      <c r="F1434" t="s">
        <v>16941</v>
      </c>
      <c r="G1434" t="s">
        <v>74</v>
      </c>
      <c r="H1434" t="s">
        <v>74</v>
      </c>
      <c r="I1434" t="s">
        <v>16940</v>
      </c>
      <c r="J1434" t="s">
        <v>5624</v>
      </c>
      <c r="K1434" t="s">
        <v>74</v>
      </c>
      <c r="L1434" t="s">
        <v>74</v>
      </c>
      <c r="M1434" t="s">
        <v>78</v>
      </c>
      <c r="N1434" t="s">
        <v>79</v>
      </c>
      <c r="O1434" t="s">
        <v>74</v>
      </c>
      <c r="P1434" t="s">
        <v>74</v>
      </c>
      <c r="Q1434" t="s">
        <v>74</v>
      </c>
      <c r="R1434" t="s">
        <v>74</v>
      </c>
      <c r="S1434" t="s">
        <v>74</v>
      </c>
      <c r="T1434" t="s">
        <v>16939</v>
      </c>
      <c r="U1434" t="s">
        <v>16938</v>
      </c>
      <c r="V1434" t="s">
        <v>16937</v>
      </c>
      <c r="W1434" t="s">
        <v>16936</v>
      </c>
      <c r="X1434" t="s">
        <v>16935</v>
      </c>
      <c r="Y1434" t="s">
        <v>16934</v>
      </c>
      <c r="Z1434" t="s">
        <v>74</v>
      </c>
      <c r="AA1434" t="s">
        <v>16590</v>
      </c>
      <c r="AB1434" t="s">
        <v>257</v>
      </c>
      <c r="AC1434" t="s">
        <v>74</v>
      </c>
      <c r="AD1434" t="s">
        <v>74</v>
      </c>
      <c r="AE1434" t="s">
        <v>74</v>
      </c>
      <c r="AF1434" t="s">
        <v>74</v>
      </c>
      <c r="AG1434">
        <v>30</v>
      </c>
      <c r="AH1434">
        <v>11</v>
      </c>
      <c r="AI1434">
        <v>13</v>
      </c>
      <c r="AJ1434">
        <v>0</v>
      </c>
      <c r="AK1434">
        <v>3</v>
      </c>
      <c r="AL1434" t="s">
        <v>169</v>
      </c>
      <c r="AM1434" t="s">
        <v>170</v>
      </c>
      <c r="AN1434" t="s">
        <v>171</v>
      </c>
      <c r="AO1434" t="s">
        <v>5636</v>
      </c>
      <c r="AP1434" t="s">
        <v>5637</v>
      </c>
      <c r="AQ1434" t="s">
        <v>74</v>
      </c>
      <c r="AR1434" t="s">
        <v>5624</v>
      </c>
      <c r="AS1434" t="s">
        <v>601</v>
      </c>
      <c r="AT1434" t="s">
        <v>129</v>
      </c>
      <c r="AU1434">
        <v>2007</v>
      </c>
      <c r="AV1434">
        <v>62</v>
      </c>
      <c r="AW1434">
        <v>2</v>
      </c>
      <c r="AX1434" t="s">
        <v>74</v>
      </c>
      <c r="AY1434" t="s">
        <v>74</v>
      </c>
      <c r="AZ1434" t="s">
        <v>74</v>
      </c>
      <c r="BA1434" t="s">
        <v>74</v>
      </c>
      <c r="BB1434">
        <v>170</v>
      </c>
      <c r="BC1434">
        <v>177</v>
      </c>
      <c r="BD1434" t="s">
        <v>74</v>
      </c>
      <c r="BE1434" t="s">
        <v>16933</v>
      </c>
      <c r="BF1434" t="str">
        <f>HYPERLINK("http://dx.doi.org/10.1111/j.1398-9995.2006.01216.x","http://dx.doi.org/10.1111/j.1398-9995.2006.01216.x")</f>
        <v>http://dx.doi.org/10.1111/j.1398-9995.2006.01216.x</v>
      </c>
      <c r="BG1434" t="s">
        <v>74</v>
      </c>
      <c r="BH1434" t="s">
        <v>74</v>
      </c>
      <c r="BI1434">
        <v>8</v>
      </c>
      <c r="BJ1434" t="s">
        <v>3085</v>
      </c>
      <c r="BK1434" t="s">
        <v>101</v>
      </c>
      <c r="BL1434" t="s">
        <v>3085</v>
      </c>
      <c r="BM1434" t="s">
        <v>16918</v>
      </c>
      <c r="BN1434">
        <v>17298426</v>
      </c>
      <c r="BO1434" t="s">
        <v>74</v>
      </c>
      <c r="BP1434" t="s">
        <v>74</v>
      </c>
      <c r="BQ1434" t="s">
        <v>74</v>
      </c>
      <c r="BR1434" t="s">
        <v>104</v>
      </c>
      <c r="BS1434" t="s">
        <v>16932</v>
      </c>
      <c r="BT1434" t="str">
        <f>HYPERLINK("https%3A%2F%2Fwww.webofscience.com%2Fwos%2Fwoscc%2Ffull-record%2FWOS:000243440400012","View Full Record in Web of Science")</f>
        <v>View Full Record in Web of Science</v>
      </c>
    </row>
    <row r="1435" spans="1:72" x14ac:dyDescent="0.25">
      <c r="A1435" t="s">
        <v>72</v>
      </c>
      <c r="B1435" t="s">
        <v>16931</v>
      </c>
      <c r="C1435" t="s">
        <v>74</v>
      </c>
      <c r="D1435" t="s">
        <v>74</v>
      </c>
      <c r="E1435" t="s">
        <v>74</v>
      </c>
      <c r="F1435" t="s">
        <v>16930</v>
      </c>
      <c r="G1435" t="s">
        <v>74</v>
      </c>
      <c r="H1435" t="s">
        <v>74</v>
      </c>
      <c r="I1435" t="s">
        <v>16929</v>
      </c>
      <c r="J1435" t="s">
        <v>5624</v>
      </c>
      <c r="K1435" t="s">
        <v>74</v>
      </c>
      <c r="L1435" t="s">
        <v>74</v>
      </c>
      <c r="M1435" t="s">
        <v>78</v>
      </c>
      <c r="N1435" t="s">
        <v>299</v>
      </c>
      <c r="O1435" t="s">
        <v>74</v>
      </c>
      <c r="P1435" t="s">
        <v>74</v>
      </c>
      <c r="Q1435" t="s">
        <v>74</v>
      </c>
      <c r="R1435" t="s">
        <v>74</v>
      </c>
      <c r="S1435" t="s">
        <v>74</v>
      </c>
      <c r="T1435" t="s">
        <v>16928</v>
      </c>
      <c r="U1435" t="s">
        <v>16927</v>
      </c>
      <c r="V1435" t="s">
        <v>16926</v>
      </c>
      <c r="W1435" t="s">
        <v>16925</v>
      </c>
      <c r="X1435" t="s">
        <v>16924</v>
      </c>
      <c r="Y1435" t="s">
        <v>16923</v>
      </c>
      <c r="Z1435" t="s">
        <v>74</v>
      </c>
      <c r="AA1435" t="s">
        <v>16922</v>
      </c>
      <c r="AB1435" t="s">
        <v>257</v>
      </c>
      <c r="AC1435" t="s">
        <v>16921</v>
      </c>
      <c r="AD1435" t="s">
        <v>16920</v>
      </c>
      <c r="AE1435" t="s">
        <v>74</v>
      </c>
      <c r="AF1435" t="s">
        <v>74</v>
      </c>
      <c r="AG1435">
        <v>86</v>
      </c>
      <c r="AH1435">
        <v>79</v>
      </c>
      <c r="AI1435">
        <v>84</v>
      </c>
      <c r="AJ1435">
        <v>0</v>
      </c>
      <c r="AK1435">
        <v>2</v>
      </c>
      <c r="AL1435" t="s">
        <v>169</v>
      </c>
      <c r="AM1435" t="s">
        <v>170</v>
      </c>
      <c r="AN1435" t="s">
        <v>171</v>
      </c>
      <c r="AO1435" t="s">
        <v>5636</v>
      </c>
      <c r="AP1435" t="s">
        <v>5637</v>
      </c>
      <c r="AQ1435" t="s">
        <v>74</v>
      </c>
      <c r="AR1435" t="s">
        <v>5624</v>
      </c>
      <c r="AS1435" t="s">
        <v>601</v>
      </c>
      <c r="AT1435" t="s">
        <v>129</v>
      </c>
      <c r="AU1435">
        <v>2007</v>
      </c>
      <c r="AV1435">
        <v>62</v>
      </c>
      <c r="AW1435">
        <v>2</v>
      </c>
      <c r="AX1435" t="s">
        <v>74</v>
      </c>
      <c r="AY1435" t="s">
        <v>74</v>
      </c>
      <c r="AZ1435" t="s">
        <v>74</v>
      </c>
      <c r="BA1435" t="s">
        <v>74</v>
      </c>
      <c r="BB1435">
        <v>95</v>
      </c>
      <c r="BC1435">
        <v>101</v>
      </c>
      <c r="BD1435" t="s">
        <v>74</v>
      </c>
      <c r="BE1435" t="s">
        <v>16919</v>
      </c>
      <c r="BF1435" t="str">
        <f>HYPERLINK("http://dx.doi.org/10.1111/j.1398-9995.2006.01308.x","http://dx.doi.org/10.1111/j.1398-9995.2006.01308.x")</f>
        <v>http://dx.doi.org/10.1111/j.1398-9995.2006.01308.x</v>
      </c>
      <c r="BG1435" t="s">
        <v>74</v>
      </c>
      <c r="BH1435" t="s">
        <v>74</v>
      </c>
      <c r="BI1435">
        <v>7</v>
      </c>
      <c r="BJ1435" t="s">
        <v>3085</v>
      </c>
      <c r="BK1435" t="s">
        <v>101</v>
      </c>
      <c r="BL1435" t="s">
        <v>3085</v>
      </c>
      <c r="BM1435" t="s">
        <v>16918</v>
      </c>
      <c r="BN1435">
        <v>17298415</v>
      </c>
      <c r="BO1435" t="s">
        <v>74</v>
      </c>
      <c r="BP1435" t="s">
        <v>74</v>
      </c>
      <c r="BQ1435" t="s">
        <v>74</v>
      </c>
      <c r="BR1435" t="s">
        <v>104</v>
      </c>
      <c r="BS1435" t="s">
        <v>16917</v>
      </c>
      <c r="BT1435" t="str">
        <f>HYPERLINK("https%3A%2F%2Fwww.webofscience.com%2Fwos%2Fwoscc%2Ffull-record%2FWOS:000243440400001","View Full Record in Web of Science")</f>
        <v>View Full Record in Web of Science</v>
      </c>
    </row>
    <row r="1436" spans="1:72" x14ac:dyDescent="0.25">
      <c r="A1436" t="s">
        <v>72</v>
      </c>
      <c r="B1436" t="s">
        <v>16916</v>
      </c>
      <c r="C1436" t="s">
        <v>74</v>
      </c>
      <c r="D1436" t="s">
        <v>74</v>
      </c>
      <c r="E1436" t="s">
        <v>74</v>
      </c>
      <c r="F1436" t="s">
        <v>16915</v>
      </c>
      <c r="G1436" t="s">
        <v>74</v>
      </c>
      <c r="H1436" t="s">
        <v>74</v>
      </c>
      <c r="I1436" t="s">
        <v>16914</v>
      </c>
      <c r="J1436" t="s">
        <v>189</v>
      </c>
      <c r="K1436" t="s">
        <v>74</v>
      </c>
      <c r="L1436" t="s">
        <v>74</v>
      </c>
      <c r="M1436" t="s">
        <v>78</v>
      </c>
      <c r="N1436" t="s">
        <v>140</v>
      </c>
      <c r="O1436" t="s">
        <v>74</v>
      </c>
      <c r="P1436" t="s">
        <v>74</v>
      </c>
      <c r="Q1436" t="s">
        <v>74</v>
      </c>
      <c r="R1436" t="s">
        <v>74</v>
      </c>
      <c r="S1436" t="s">
        <v>74</v>
      </c>
      <c r="T1436" t="s">
        <v>16913</v>
      </c>
      <c r="U1436" t="s">
        <v>16912</v>
      </c>
      <c r="V1436" t="s">
        <v>16911</v>
      </c>
      <c r="W1436" t="s">
        <v>16910</v>
      </c>
      <c r="X1436" t="s">
        <v>16909</v>
      </c>
      <c r="Y1436" t="s">
        <v>16908</v>
      </c>
      <c r="Z1436" t="s">
        <v>16907</v>
      </c>
      <c r="AA1436" t="s">
        <v>144</v>
      </c>
      <c r="AB1436" t="s">
        <v>16906</v>
      </c>
      <c r="AC1436" t="s">
        <v>74</v>
      </c>
      <c r="AD1436" t="s">
        <v>74</v>
      </c>
      <c r="AE1436" t="s">
        <v>74</v>
      </c>
      <c r="AF1436" t="s">
        <v>74</v>
      </c>
      <c r="AG1436">
        <v>12</v>
      </c>
      <c r="AH1436">
        <v>38</v>
      </c>
      <c r="AI1436">
        <v>40</v>
      </c>
      <c r="AJ1436">
        <v>0</v>
      </c>
      <c r="AK1436">
        <v>5</v>
      </c>
      <c r="AL1436" t="s">
        <v>200</v>
      </c>
      <c r="AM1436" t="s">
        <v>201</v>
      </c>
      <c r="AN1436" t="s">
        <v>202</v>
      </c>
      <c r="AO1436" t="s">
        <v>203</v>
      </c>
      <c r="AP1436" t="s">
        <v>74</v>
      </c>
      <c r="AQ1436" t="s">
        <v>74</v>
      </c>
      <c r="AR1436" t="s">
        <v>205</v>
      </c>
      <c r="AS1436" t="s">
        <v>206</v>
      </c>
      <c r="AT1436" t="s">
        <v>129</v>
      </c>
      <c r="AU1436">
        <v>2007</v>
      </c>
      <c r="AV1436">
        <v>101</v>
      </c>
      <c r="AW1436">
        <v>2</v>
      </c>
      <c r="AX1436" t="s">
        <v>74</v>
      </c>
      <c r="AY1436" t="s">
        <v>74</v>
      </c>
      <c r="AZ1436" t="s">
        <v>74</v>
      </c>
      <c r="BA1436" t="s">
        <v>74</v>
      </c>
      <c r="BB1436">
        <v>353</v>
      </c>
      <c r="BC1436">
        <v>355</v>
      </c>
      <c r="BD1436" t="s">
        <v>74</v>
      </c>
      <c r="BE1436" t="s">
        <v>16905</v>
      </c>
      <c r="BF1436" t="str">
        <f>HYPERLINK("http://dx.doi.org/10.1016/j.rmed.2006.04.026","http://dx.doi.org/10.1016/j.rmed.2006.04.026")</f>
        <v>http://dx.doi.org/10.1016/j.rmed.2006.04.026</v>
      </c>
      <c r="BG1436" t="s">
        <v>74</v>
      </c>
      <c r="BH1436" t="s">
        <v>74</v>
      </c>
      <c r="BI1436">
        <v>3</v>
      </c>
      <c r="BJ1436" t="s">
        <v>209</v>
      </c>
      <c r="BK1436" t="s">
        <v>101</v>
      </c>
      <c r="BL1436" t="s">
        <v>210</v>
      </c>
      <c r="BM1436" t="s">
        <v>16904</v>
      </c>
      <c r="BN1436">
        <v>16774822</v>
      </c>
      <c r="BO1436" t="s">
        <v>1194</v>
      </c>
      <c r="BP1436" t="s">
        <v>74</v>
      </c>
      <c r="BQ1436" t="s">
        <v>74</v>
      </c>
      <c r="BR1436" t="s">
        <v>104</v>
      </c>
      <c r="BS1436" t="s">
        <v>16903</v>
      </c>
      <c r="BT1436" t="str">
        <f>HYPERLINK("https%3A%2F%2Fwww.webofscience.com%2Fwos%2Fwoscc%2Ffull-record%2FWOS:000244618600024","View Full Record in Web of Science")</f>
        <v>View Full Record in Web of Science</v>
      </c>
    </row>
    <row r="1437" spans="1:72" x14ac:dyDescent="0.25">
      <c r="A1437" t="s">
        <v>72</v>
      </c>
      <c r="B1437" t="s">
        <v>16403</v>
      </c>
      <c r="C1437" t="s">
        <v>74</v>
      </c>
      <c r="D1437" t="s">
        <v>74</v>
      </c>
      <c r="E1437" t="s">
        <v>74</v>
      </c>
      <c r="F1437" t="s">
        <v>16902</v>
      </c>
      <c r="G1437" t="s">
        <v>74</v>
      </c>
      <c r="H1437" t="s">
        <v>74</v>
      </c>
      <c r="I1437" t="s">
        <v>16901</v>
      </c>
      <c r="J1437" t="s">
        <v>5624</v>
      </c>
      <c r="K1437" t="s">
        <v>74</v>
      </c>
      <c r="L1437" t="s">
        <v>74</v>
      </c>
      <c r="M1437" t="s">
        <v>78</v>
      </c>
      <c r="N1437" t="s">
        <v>140</v>
      </c>
      <c r="O1437" t="s">
        <v>74</v>
      </c>
      <c r="P1437" t="s">
        <v>74</v>
      </c>
      <c r="Q1437" t="s">
        <v>74</v>
      </c>
      <c r="R1437" t="s">
        <v>74</v>
      </c>
      <c r="S1437" t="s">
        <v>74</v>
      </c>
      <c r="T1437" t="s">
        <v>74</v>
      </c>
      <c r="U1437" t="s">
        <v>16900</v>
      </c>
      <c r="V1437" t="s">
        <v>74</v>
      </c>
      <c r="W1437" t="s">
        <v>16899</v>
      </c>
      <c r="X1437" t="s">
        <v>16399</v>
      </c>
      <c r="Y1437" t="s">
        <v>16898</v>
      </c>
      <c r="Z1437" t="s">
        <v>74</v>
      </c>
      <c r="AA1437" t="s">
        <v>16897</v>
      </c>
      <c r="AB1437" t="s">
        <v>16896</v>
      </c>
      <c r="AC1437" t="s">
        <v>74</v>
      </c>
      <c r="AD1437" t="s">
        <v>74</v>
      </c>
      <c r="AE1437" t="s">
        <v>74</v>
      </c>
      <c r="AF1437" t="s">
        <v>74</v>
      </c>
      <c r="AG1437">
        <v>25</v>
      </c>
      <c r="AH1437">
        <v>0</v>
      </c>
      <c r="AI1437">
        <v>0</v>
      </c>
      <c r="AJ1437">
        <v>0</v>
      </c>
      <c r="AK1437">
        <v>0</v>
      </c>
      <c r="AL1437" t="s">
        <v>169</v>
      </c>
      <c r="AM1437" t="s">
        <v>170</v>
      </c>
      <c r="AN1437" t="s">
        <v>171</v>
      </c>
      <c r="AO1437" t="s">
        <v>5636</v>
      </c>
      <c r="AP1437" t="s">
        <v>5637</v>
      </c>
      <c r="AQ1437" t="s">
        <v>74</v>
      </c>
      <c r="AR1437" t="s">
        <v>5624</v>
      </c>
      <c r="AS1437" t="s">
        <v>601</v>
      </c>
      <c r="AT1437" t="s">
        <v>176</v>
      </c>
      <c r="AU1437">
        <v>2007</v>
      </c>
      <c r="AV1437">
        <v>62</v>
      </c>
      <c r="AW1437">
        <v>1</v>
      </c>
      <c r="AX1437" t="s">
        <v>74</v>
      </c>
      <c r="AY1437" t="s">
        <v>74</v>
      </c>
      <c r="AZ1437" t="s">
        <v>74</v>
      </c>
      <c r="BA1437" t="s">
        <v>74</v>
      </c>
      <c r="BB1437">
        <v>1</v>
      </c>
      <c r="BC1437">
        <v>2</v>
      </c>
      <c r="BD1437" t="s">
        <v>74</v>
      </c>
      <c r="BE1437" t="s">
        <v>16895</v>
      </c>
      <c r="BF1437" t="str">
        <f>HYPERLINK("http://dx.doi.org/10.1111/j.1398-9995.2006.01283.x","http://dx.doi.org/10.1111/j.1398-9995.2006.01283.x")</f>
        <v>http://dx.doi.org/10.1111/j.1398-9995.2006.01283.x</v>
      </c>
      <c r="BG1437" t="s">
        <v>74</v>
      </c>
      <c r="BH1437" t="s">
        <v>74</v>
      </c>
      <c r="BI1437">
        <v>2</v>
      </c>
      <c r="BJ1437" t="s">
        <v>3085</v>
      </c>
      <c r="BK1437" t="s">
        <v>101</v>
      </c>
      <c r="BL1437" t="s">
        <v>3085</v>
      </c>
      <c r="BM1437" t="s">
        <v>16894</v>
      </c>
      <c r="BN1437" t="s">
        <v>74</v>
      </c>
      <c r="BO1437" t="s">
        <v>1194</v>
      </c>
      <c r="BP1437" t="s">
        <v>74</v>
      </c>
      <c r="BQ1437" t="s">
        <v>74</v>
      </c>
      <c r="BR1437" t="s">
        <v>104</v>
      </c>
      <c r="BS1437" t="s">
        <v>16893</v>
      </c>
      <c r="BT1437" t="str">
        <f>HYPERLINK("https%3A%2F%2Fwww.webofscience.com%2Fwos%2Fwoscc%2Ffull-record%2FWOS:000242634300001","View Full Record in Web of Science")</f>
        <v>View Full Record in Web of Science</v>
      </c>
    </row>
    <row r="1438" spans="1:72" x14ac:dyDescent="0.25">
      <c r="A1438" t="s">
        <v>72</v>
      </c>
      <c r="B1438" t="s">
        <v>16892</v>
      </c>
      <c r="C1438" t="s">
        <v>74</v>
      </c>
      <c r="D1438" t="s">
        <v>74</v>
      </c>
      <c r="E1438" t="s">
        <v>74</v>
      </c>
      <c r="F1438" t="s">
        <v>16891</v>
      </c>
      <c r="G1438" t="s">
        <v>74</v>
      </c>
      <c r="H1438" t="s">
        <v>74</v>
      </c>
      <c r="I1438" t="s">
        <v>16890</v>
      </c>
      <c r="J1438" t="s">
        <v>16889</v>
      </c>
      <c r="K1438" t="s">
        <v>74</v>
      </c>
      <c r="L1438" t="s">
        <v>74</v>
      </c>
      <c r="M1438" t="s">
        <v>78</v>
      </c>
      <c r="N1438" t="s">
        <v>8016</v>
      </c>
      <c r="O1438" t="s">
        <v>16888</v>
      </c>
      <c r="P1438" t="s">
        <v>16887</v>
      </c>
      <c r="Q1438" t="s">
        <v>2953</v>
      </c>
      <c r="R1438" t="s">
        <v>74</v>
      </c>
      <c r="S1438" t="s">
        <v>74</v>
      </c>
      <c r="T1438" t="s">
        <v>16886</v>
      </c>
      <c r="U1438" t="s">
        <v>16885</v>
      </c>
      <c r="V1438" t="s">
        <v>16884</v>
      </c>
      <c r="W1438" t="s">
        <v>16883</v>
      </c>
      <c r="X1438" t="s">
        <v>16882</v>
      </c>
      <c r="Y1438" t="s">
        <v>16762</v>
      </c>
      <c r="Z1438" t="s">
        <v>16761</v>
      </c>
      <c r="AA1438" t="s">
        <v>7706</v>
      </c>
      <c r="AB1438" t="s">
        <v>257</v>
      </c>
      <c r="AC1438" t="s">
        <v>74</v>
      </c>
      <c r="AD1438" t="s">
        <v>74</v>
      </c>
      <c r="AE1438" t="s">
        <v>74</v>
      </c>
      <c r="AF1438" t="s">
        <v>74</v>
      </c>
      <c r="AG1438">
        <v>15</v>
      </c>
      <c r="AH1438">
        <v>1</v>
      </c>
      <c r="AI1438">
        <v>1</v>
      </c>
      <c r="AJ1438">
        <v>0</v>
      </c>
      <c r="AK1438">
        <v>0</v>
      </c>
      <c r="AL1438" t="s">
        <v>148</v>
      </c>
      <c r="AM1438" t="s">
        <v>149</v>
      </c>
      <c r="AN1438" t="s">
        <v>150</v>
      </c>
      <c r="AO1438" t="s">
        <v>16881</v>
      </c>
      <c r="AP1438" t="s">
        <v>16880</v>
      </c>
      <c r="AQ1438" t="s">
        <v>74</v>
      </c>
      <c r="AR1438" t="s">
        <v>16879</v>
      </c>
      <c r="AS1438" t="s">
        <v>16878</v>
      </c>
      <c r="AT1438" t="s">
        <v>74</v>
      </c>
      <c r="AU1438">
        <v>2007</v>
      </c>
      <c r="AV1438">
        <v>23</v>
      </c>
      <c r="AW1438" t="s">
        <v>74</v>
      </c>
      <c r="AX1438" t="s">
        <v>74</v>
      </c>
      <c r="AY1438">
        <v>2</v>
      </c>
      <c r="AZ1438" t="s">
        <v>74</v>
      </c>
      <c r="BA1438" t="s">
        <v>74</v>
      </c>
      <c r="BB1438" t="s">
        <v>16877</v>
      </c>
      <c r="BC1438" t="s">
        <v>7593</v>
      </c>
      <c r="BD1438" t="s">
        <v>74</v>
      </c>
      <c r="BE1438" t="s">
        <v>16876</v>
      </c>
      <c r="BF1438" t="str">
        <f>HYPERLINK("http://dx.doi.org/10.1185/030079907X199745","http://dx.doi.org/10.1185/030079907X199745")</f>
        <v>http://dx.doi.org/10.1185/030079907X199745</v>
      </c>
      <c r="BG1438" t="s">
        <v>74</v>
      </c>
      <c r="BH1438" t="s">
        <v>74</v>
      </c>
      <c r="BI1438">
        <v>5</v>
      </c>
      <c r="BJ1438" t="s">
        <v>16644</v>
      </c>
      <c r="BK1438" t="s">
        <v>512</v>
      </c>
      <c r="BL1438" t="s">
        <v>16643</v>
      </c>
      <c r="BM1438" t="s">
        <v>16875</v>
      </c>
      <c r="BN1438" t="s">
        <v>74</v>
      </c>
      <c r="BO1438" t="s">
        <v>74</v>
      </c>
      <c r="BP1438" t="s">
        <v>74</v>
      </c>
      <c r="BQ1438" t="s">
        <v>74</v>
      </c>
      <c r="BR1438" t="s">
        <v>104</v>
      </c>
      <c r="BS1438" t="s">
        <v>16874</v>
      </c>
      <c r="BT1438" t="str">
        <f>HYPERLINK("https%3A%2F%2Fwww.webofscience.com%2Fwos%2Fwoscc%2Ffull-record%2FWOS:000248285400016","View Full Record in Web of Science")</f>
        <v>View Full Record in Web of Science</v>
      </c>
    </row>
    <row r="1439" spans="1:72" x14ac:dyDescent="0.25">
      <c r="A1439" t="s">
        <v>8062</v>
      </c>
      <c r="B1439" t="s">
        <v>1420</v>
      </c>
      <c r="C1439" t="s">
        <v>74</v>
      </c>
      <c r="D1439" t="s">
        <v>16873</v>
      </c>
      <c r="E1439" t="s">
        <v>74</v>
      </c>
      <c r="F1439" t="s">
        <v>1421</v>
      </c>
      <c r="G1439" t="s">
        <v>74</v>
      </c>
      <c r="H1439" t="s">
        <v>74</v>
      </c>
      <c r="I1439" t="s">
        <v>16872</v>
      </c>
      <c r="J1439" t="s">
        <v>16871</v>
      </c>
      <c r="K1439" t="s">
        <v>16870</v>
      </c>
      <c r="L1439" t="s">
        <v>74</v>
      </c>
      <c r="M1439" t="s">
        <v>78</v>
      </c>
      <c r="N1439" t="s">
        <v>8065</v>
      </c>
      <c r="O1439" t="s">
        <v>74</v>
      </c>
      <c r="P1439" t="s">
        <v>74</v>
      </c>
      <c r="Q1439" t="s">
        <v>74</v>
      </c>
      <c r="R1439" t="s">
        <v>74</v>
      </c>
      <c r="S1439" t="s">
        <v>74</v>
      </c>
      <c r="T1439" t="s">
        <v>74</v>
      </c>
      <c r="U1439" t="s">
        <v>74</v>
      </c>
      <c r="V1439" t="s">
        <v>74</v>
      </c>
      <c r="W1439" t="s">
        <v>16869</v>
      </c>
      <c r="X1439" t="s">
        <v>16868</v>
      </c>
      <c r="Y1439" t="s">
        <v>16867</v>
      </c>
      <c r="Z1439" t="s">
        <v>16866</v>
      </c>
      <c r="AA1439" t="s">
        <v>144</v>
      </c>
      <c r="AB1439" t="s">
        <v>74</v>
      </c>
      <c r="AC1439" t="s">
        <v>74</v>
      </c>
      <c r="AD1439" t="s">
        <v>74</v>
      </c>
      <c r="AE1439" t="s">
        <v>74</v>
      </c>
      <c r="AF1439" t="s">
        <v>74</v>
      </c>
      <c r="AG1439">
        <v>24</v>
      </c>
      <c r="AH1439">
        <v>17</v>
      </c>
      <c r="AI1439">
        <v>23</v>
      </c>
      <c r="AJ1439">
        <v>1</v>
      </c>
      <c r="AK1439">
        <v>4</v>
      </c>
      <c r="AL1439" t="s">
        <v>1781</v>
      </c>
      <c r="AM1439" t="s">
        <v>1782</v>
      </c>
      <c r="AN1439" t="s">
        <v>16865</v>
      </c>
      <c r="AO1439" t="s">
        <v>74</v>
      </c>
      <c r="AP1439" t="s">
        <v>74</v>
      </c>
      <c r="AQ1439" t="s">
        <v>16864</v>
      </c>
      <c r="AR1439" t="s">
        <v>16863</v>
      </c>
      <c r="AS1439" t="s">
        <v>74</v>
      </c>
      <c r="AT1439" t="s">
        <v>74</v>
      </c>
      <c r="AU1439">
        <v>2007</v>
      </c>
      <c r="AV1439">
        <v>10</v>
      </c>
      <c r="AW1439" t="s">
        <v>74</v>
      </c>
      <c r="AX1439" t="s">
        <v>74</v>
      </c>
      <c r="AY1439" t="s">
        <v>74</v>
      </c>
      <c r="AZ1439" t="s">
        <v>74</v>
      </c>
      <c r="BA1439" t="s">
        <v>74</v>
      </c>
      <c r="BB1439">
        <v>423</v>
      </c>
      <c r="BC1439">
        <v>436</v>
      </c>
      <c r="BD1439" t="s">
        <v>74</v>
      </c>
      <c r="BE1439" t="s">
        <v>74</v>
      </c>
      <c r="BF1439" t="s">
        <v>74</v>
      </c>
      <c r="BG1439" t="s">
        <v>16862</v>
      </c>
      <c r="BH1439" t="s">
        <v>74</v>
      </c>
      <c r="BI1439">
        <v>14</v>
      </c>
      <c r="BJ1439" t="s">
        <v>16860</v>
      </c>
      <c r="BK1439" t="s">
        <v>16861</v>
      </c>
      <c r="BL1439" t="s">
        <v>16860</v>
      </c>
      <c r="BM1439" t="s">
        <v>16859</v>
      </c>
      <c r="BN1439" t="s">
        <v>74</v>
      </c>
      <c r="BO1439" t="s">
        <v>74</v>
      </c>
      <c r="BP1439" t="s">
        <v>74</v>
      </c>
      <c r="BQ1439" t="s">
        <v>74</v>
      </c>
      <c r="BR1439" t="s">
        <v>104</v>
      </c>
      <c r="BS1439" t="s">
        <v>16858</v>
      </c>
      <c r="BT1439" t="str">
        <f>HYPERLINK("https%3A%2F%2Fwww.webofscience.com%2Fwos%2Fwoscc%2Ffull-record%2FWOS:000270422100021","View Full Record in Web of Science")</f>
        <v>View Full Record in Web of Science</v>
      </c>
    </row>
    <row r="1440" spans="1:72" x14ac:dyDescent="0.25">
      <c r="A1440" t="s">
        <v>72</v>
      </c>
      <c r="B1440" t="s">
        <v>16857</v>
      </c>
      <c r="C1440" t="s">
        <v>74</v>
      </c>
      <c r="D1440" t="s">
        <v>74</v>
      </c>
      <c r="E1440" t="s">
        <v>74</v>
      </c>
      <c r="F1440" t="s">
        <v>16856</v>
      </c>
      <c r="G1440" t="s">
        <v>74</v>
      </c>
      <c r="H1440" t="s">
        <v>74</v>
      </c>
      <c r="I1440" t="s">
        <v>16855</v>
      </c>
      <c r="J1440" t="s">
        <v>324</v>
      </c>
      <c r="K1440" t="s">
        <v>74</v>
      </c>
      <c r="L1440" t="s">
        <v>74</v>
      </c>
      <c r="M1440" t="s">
        <v>78</v>
      </c>
      <c r="N1440" t="s">
        <v>8016</v>
      </c>
      <c r="O1440" t="s">
        <v>16854</v>
      </c>
      <c r="P1440" t="s">
        <v>16853</v>
      </c>
      <c r="Q1440" t="s">
        <v>13213</v>
      </c>
      <c r="R1440" t="s">
        <v>16852</v>
      </c>
      <c r="S1440" t="s">
        <v>74</v>
      </c>
      <c r="T1440" t="s">
        <v>16851</v>
      </c>
      <c r="U1440" t="s">
        <v>16850</v>
      </c>
      <c r="V1440" t="s">
        <v>16849</v>
      </c>
      <c r="W1440" t="s">
        <v>16848</v>
      </c>
      <c r="X1440" t="s">
        <v>16847</v>
      </c>
      <c r="Y1440" t="s">
        <v>16846</v>
      </c>
      <c r="Z1440" t="s">
        <v>10573</v>
      </c>
      <c r="AA1440" t="s">
        <v>16845</v>
      </c>
      <c r="AB1440" t="s">
        <v>16844</v>
      </c>
      <c r="AC1440" t="s">
        <v>74</v>
      </c>
      <c r="AD1440" t="s">
        <v>74</v>
      </c>
      <c r="AE1440" t="s">
        <v>74</v>
      </c>
      <c r="AF1440" t="s">
        <v>74</v>
      </c>
      <c r="AG1440">
        <v>34</v>
      </c>
      <c r="AH1440">
        <v>55</v>
      </c>
      <c r="AI1440">
        <v>66</v>
      </c>
      <c r="AJ1440">
        <v>0</v>
      </c>
      <c r="AK1440">
        <v>6</v>
      </c>
      <c r="AL1440" t="s">
        <v>11161</v>
      </c>
      <c r="AM1440" t="s">
        <v>14574</v>
      </c>
      <c r="AN1440" t="s">
        <v>14573</v>
      </c>
      <c r="AO1440" t="s">
        <v>337</v>
      </c>
      <c r="AP1440" t="s">
        <v>74</v>
      </c>
      <c r="AQ1440" t="s">
        <v>74</v>
      </c>
      <c r="AR1440" t="s">
        <v>324</v>
      </c>
      <c r="AS1440" t="s">
        <v>339</v>
      </c>
      <c r="AT1440" t="s">
        <v>176</v>
      </c>
      <c r="AU1440">
        <v>2007</v>
      </c>
      <c r="AV1440">
        <v>131</v>
      </c>
      <c r="AW1440">
        <v>1</v>
      </c>
      <c r="AX1440" t="s">
        <v>74</v>
      </c>
      <c r="AY1440" t="s">
        <v>74</v>
      </c>
      <c r="AZ1440" t="s">
        <v>74</v>
      </c>
      <c r="BA1440" t="s">
        <v>74</v>
      </c>
      <c r="BB1440">
        <v>101</v>
      </c>
      <c r="BC1440">
        <v>108</v>
      </c>
      <c r="BD1440" t="s">
        <v>74</v>
      </c>
      <c r="BE1440" t="s">
        <v>16843</v>
      </c>
      <c r="BF1440" t="str">
        <f>HYPERLINK("http://dx.doi.org/10.1378/chest.06-0682","http://dx.doi.org/10.1378/chest.06-0682")</f>
        <v>http://dx.doi.org/10.1378/chest.06-0682</v>
      </c>
      <c r="BG1440" t="s">
        <v>74</v>
      </c>
      <c r="BH1440" t="s">
        <v>74</v>
      </c>
      <c r="BI1440">
        <v>8</v>
      </c>
      <c r="BJ1440" t="s">
        <v>341</v>
      </c>
      <c r="BK1440" t="s">
        <v>14074</v>
      </c>
      <c r="BL1440" t="s">
        <v>342</v>
      </c>
      <c r="BM1440" t="s">
        <v>16842</v>
      </c>
      <c r="BN1440">
        <v>17218562</v>
      </c>
      <c r="BO1440" t="s">
        <v>74</v>
      </c>
      <c r="BP1440" t="s">
        <v>74</v>
      </c>
      <c r="BQ1440" t="s">
        <v>74</v>
      </c>
      <c r="BR1440" t="s">
        <v>104</v>
      </c>
      <c r="BS1440" t="s">
        <v>16841</v>
      </c>
      <c r="BT1440" t="str">
        <f>HYPERLINK("https%3A%2F%2Fwww.webofscience.com%2Fwos%2Fwoscc%2Ffull-record%2FWOS:000243548100017","View Full Record in Web of Science")</f>
        <v>View Full Record in Web of Science</v>
      </c>
    </row>
    <row r="1441" spans="1:72" x14ac:dyDescent="0.25">
      <c r="A1441" t="s">
        <v>72</v>
      </c>
      <c r="B1441" t="s">
        <v>16840</v>
      </c>
      <c r="C1441" t="s">
        <v>74</v>
      </c>
      <c r="D1441" t="s">
        <v>74</v>
      </c>
      <c r="E1441" t="s">
        <v>74</v>
      </c>
      <c r="F1441" t="s">
        <v>16839</v>
      </c>
      <c r="G1441" t="s">
        <v>74</v>
      </c>
      <c r="H1441" t="s">
        <v>74</v>
      </c>
      <c r="I1441" t="s">
        <v>16838</v>
      </c>
      <c r="J1441" t="s">
        <v>16837</v>
      </c>
      <c r="K1441" t="s">
        <v>74</v>
      </c>
      <c r="L1441" t="s">
        <v>74</v>
      </c>
      <c r="M1441" t="s">
        <v>78</v>
      </c>
      <c r="N1441" t="s">
        <v>79</v>
      </c>
      <c r="O1441" t="s">
        <v>74</v>
      </c>
      <c r="P1441" t="s">
        <v>74</v>
      </c>
      <c r="Q1441" t="s">
        <v>74</v>
      </c>
      <c r="R1441" t="s">
        <v>74</v>
      </c>
      <c r="S1441" t="s">
        <v>74</v>
      </c>
      <c r="T1441" t="s">
        <v>16836</v>
      </c>
      <c r="U1441" t="s">
        <v>16835</v>
      </c>
      <c r="V1441" t="s">
        <v>16834</v>
      </c>
      <c r="W1441" t="s">
        <v>16833</v>
      </c>
      <c r="X1441" t="s">
        <v>16832</v>
      </c>
      <c r="Y1441" t="s">
        <v>16831</v>
      </c>
      <c r="Z1441" t="s">
        <v>15988</v>
      </c>
      <c r="AA1441" t="s">
        <v>16830</v>
      </c>
      <c r="AB1441" t="s">
        <v>16829</v>
      </c>
      <c r="AC1441" t="s">
        <v>74</v>
      </c>
      <c r="AD1441" t="s">
        <v>74</v>
      </c>
      <c r="AE1441" t="s">
        <v>74</v>
      </c>
      <c r="AF1441" t="s">
        <v>74</v>
      </c>
      <c r="AG1441">
        <v>14</v>
      </c>
      <c r="AH1441">
        <v>71</v>
      </c>
      <c r="AI1441">
        <v>77</v>
      </c>
      <c r="AJ1441">
        <v>0</v>
      </c>
      <c r="AK1441">
        <v>2</v>
      </c>
      <c r="AL1441" t="s">
        <v>122</v>
      </c>
      <c r="AM1441" t="s">
        <v>123</v>
      </c>
      <c r="AN1441" t="s">
        <v>14769</v>
      </c>
      <c r="AO1441" t="s">
        <v>16828</v>
      </c>
      <c r="AP1441" t="s">
        <v>74</v>
      </c>
      <c r="AQ1441" t="s">
        <v>74</v>
      </c>
      <c r="AR1441" t="s">
        <v>16827</v>
      </c>
      <c r="AS1441" t="s">
        <v>16826</v>
      </c>
      <c r="AT1441" t="s">
        <v>176</v>
      </c>
      <c r="AU1441">
        <v>2007</v>
      </c>
      <c r="AV1441">
        <v>49</v>
      </c>
      <c r="AW1441">
        <v>1</v>
      </c>
      <c r="AX1441" t="s">
        <v>74</v>
      </c>
      <c r="AY1441" t="s">
        <v>74</v>
      </c>
      <c r="AZ1441" t="s">
        <v>74</v>
      </c>
      <c r="BA1441" t="s">
        <v>74</v>
      </c>
      <c r="BB1441">
        <v>1</v>
      </c>
      <c r="BC1441">
        <v>5</v>
      </c>
      <c r="BD1441" t="s">
        <v>74</v>
      </c>
      <c r="BE1441" t="s">
        <v>16825</v>
      </c>
      <c r="BF1441" t="str">
        <f>HYPERLINK("http://dx.doi.org/10.1097/FJC.0b013e31802b3184","http://dx.doi.org/10.1097/FJC.0b013e31802b3184")</f>
        <v>http://dx.doi.org/10.1097/FJC.0b013e31802b3184</v>
      </c>
      <c r="BG1441" t="s">
        <v>74</v>
      </c>
      <c r="BH1441" t="s">
        <v>74</v>
      </c>
      <c r="BI1441">
        <v>5</v>
      </c>
      <c r="BJ1441" t="s">
        <v>12830</v>
      </c>
      <c r="BK1441" t="s">
        <v>101</v>
      </c>
      <c r="BL1441" t="s">
        <v>12831</v>
      </c>
      <c r="BM1441" t="s">
        <v>16824</v>
      </c>
      <c r="BN1441">
        <v>17261956</v>
      </c>
      <c r="BO1441" t="s">
        <v>1194</v>
      </c>
      <c r="BP1441" t="s">
        <v>74</v>
      </c>
      <c r="BQ1441" t="s">
        <v>74</v>
      </c>
      <c r="BR1441" t="s">
        <v>104</v>
      </c>
      <c r="BS1441" t="s">
        <v>16823</v>
      </c>
      <c r="BT1441" t="str">
        <f>HYPERLINK("https%3A%2F%2Fwww.webofscience.com%2Fwos%2Fwoscc%2Ffull-record%2FWOS:000243964200001","View Full Record in Web of Science")</f>
        <v>View Full Record in Web of Science</v>
      </c>
    </row>
    <row r="1442" spans="1:72" x14ac:dyDescent="0.25">
      <c r="A1442" t="s">
        <v>72</v>
      </c>
      <c r="B1442" t="s">
        <v>16822</v>
      </c>
      <c r="C1442" t="s">
        <v>74</v>
      </c>
      <c r="D1442" t="s">
        <v>74</v>
      </c>
      <c r="E1442" t="s">
        <v>74</v>
      </c>
      <c r="F1442" t="s">
        <v>16821</v>
      </c>
      <c r="G1442" t="s">
        <v>74</v>
      </c>
      <c r="H1442" t="s">
        <v>74</v>
      </c>
      <c r="I1442" t="s">
        <v>16820</v>
      </c>
      <c r="J1442" t="s">
        <v>189</v>
      </c>
      <c r="K1442" t="s">
        <v>74</v>
      </c>
      <c r="L1442" t="s">
        <v>74</v>
      </c>
      <c r="M1442" t="s">
        <v>78</v>
      </c>
      <c r="N1442" t="s">
        <v>79</v>
      </c>
      <c r="O1442" t="s">
        <v>74</v>
      </c>
      <c r="P1442" t="s">
        <v>74</v>
      </c>
      <c r="Q1442" t="s">
        <v>74</v>
      </c>
      <c r="R1442" t="s">
        <v>74</v>
      </c>
      <c r="S1442" t="s">
        <v>74</v>
      </c>
      <c r="T1442" t="s">
        <v>16819</v>
      </c>
      <c r="U1442" t="s">
        <v>16818</v>
      </c>
      <c r="V1442" t="s">
        <v>16817</v>
      </c>
      <c r="W1442" t="s">
        <v>16816</v>
      </c>
      <c r="X1442" t="s">
        <v>16815</v>
      </c>
      <c r="Y1442" t="s">
        <v>16814</v>
      </c>
      <c r="Z1442" t="s">
        <v>15897</v>
      </c>
      <c r="AA1442" t="s">
        <v>16813</v>
      </c>
      <c r="AB1442" t="s">
        <v>16812</v>
      </c>
      <c r="AC1442" t="s">
        <v>74</v>
      </c>
      <c r="AD1442" t="s">
        <v>74</v>
      </c>
      <c r="AE1442" t="s">
        <v>74</v>
      </c>
      <c r="AF1442" t="s">
        <v>74</v>
      </c>
      <c r="AG1442">
        <v>36</v>
      </c>
      <c r="AH1442">
        <v>62</v>
      </c>
      <c r="AI1442">
        <v>65</v>
      </c>
      <c r="AJ1442">
        <v>0</v>
      </c>
      <c r="AK1442">
        <v>0</v>
      </c>
      <c r="AL1442" t="s">
        <v>200</v>
      </c>
      <c r="AM1442" t="s">
        <v>201</v>
      </c>
      <c r="AN1442" t="s">
        <v>202</v>
      </c>
      <c r="AO1442" t="s">
        <v>203</v>
      </c>
      <c r="AP1442" t="s">
        <v>204</v>
      </c>
      <c r="AQ1442" t="s">
        <v>74</v>
      </c>
      <c r="AR1442" t="s">
        <v>205</v>
      </c>
      <c r="AS1442" t="s">
        <v>206</v>
      </c>
      <c r="AT1442" t="s">
        <v>176</v>
      </c>
      <c r="AU1442">
        <v>2007</v>
      </c>
      <c r="AV1442">
        <v>101</v>
      </c>
      <c r="AW1442">
        <v>1</v>
      </c>
      <c r="AX1442" t="s">
        <v>74</v>
      </c>
      <c r="AY1442" t="s">
        <v>74</v>
      </c>
      <c r="AZ1442" t="s">
        <v>74</v>
      </c>
      <c r="BA1442" t="s">
        <v>74</v>
      </c>
      <c r="BB1442">
        <v>69</v>
      </c>
      <c r="BC1442">
        <v>75</v>
      </c>
      <c r="BD1442" t="s">
        <v>74</v>
      </c>
      <c r="BE1442" t="s">
        <v>16811</v>
      </c>
      <c r="BF1442" t="str">
        <f>HYPERLINK("http://dx.doi.org/10.1016/j.rmed.2006.04.014","http://dx.doi.org/10.1016/j.rmed.2006.04.014")</f>
        <v>http://dx.doi.org/10.1016/j.rmed.2006.04.014</v>
      </c>
      <c r="BG1442" t="s">
        <v>74</v>
      </c>
      <c r="BH1442" t="s">
        <v>74</v>
      </c>
      <c r="BI1442">
        <v>7</v>
      </c>
      <c r="BJ1442" t="s">
        <v>209</v>
      </c>
      <c r="BK1442" t="s">
        <v>101</v>
      </c>
      <c r="BL1442" t="s">
        <v>210</v>
      </c>
      <c r="BM1442" t="s">
        <v>16810</v>
      </c>
      <c r="BN1442">
        <v>16781131</v>
      </c>
      <c r="BO1442" t="s">
        <v>1194</v>
      </c>
      <c r="BP1442" t="s">
        <v>74</v>
      </c>
      <c r="BQ1442" t="s">
        <v>74</v>
      </c>
      <c r="BR1442" t="s">
        <v>104</v>
      </c>
      <c r="BS1442" t="s">
        <v>16809</v>
      </c>
      <c r="BT1442" t="str">
        <f>HYPERLINK("https%3A%2F%2Fwww.webofscience.com%2Fwos%2Fwoscc%2Ffull-record%2FWOS:000243772900009","View Full Record in Web of Science")</f>
        <v>View Full Record in Web of Science</v>
      </c>
    </row>
    <row r="1443" spans="1:72" x14ac:dyDescent="0.25">
      <c r="A1443" t="s">
        <v>72</v>
      </c>
      <c r="B1443" t="s">
        <v>16808</v>
      </c>
      <c r="C1443" t="s">
        <v>74</v>
      </c>
      <c r="D1443" t="s">
        <v>74</v>
      </c>
      <c r="E1443" t="s">
        <v>74</v>
      </c>
      <c r="F1443" t="s">
        <v>16807</v>
      </c>
      <c r="G1443" t="s">
        <v>74</v>
      </c>
      <c r="H1443" t="s">
        <v>74</v>
      </c>
      <c r="I1443" t="s">
        <v>16806</v>
      </c>
      <c r="J1443" t="s">
        <v>9316</v>
      </c>
      <c r="K1443" t="s">
        <v>74</v>
      </c>
      <c r="L1443" t="s">
        <v>74</v>
      </c>
      <c r="M1443" t="s">
        <v>78</v>
      </c>
      <c r="N1443" t="s">
        <v>299</v>
      </c>
      <c r="O1443" t="s">
        <v>74</v>
      </c>
      <c r="P1443" t="s">
        <v>74</v>
      </c>
      <c r="Q1443" t="s">
        <v>74</v>
      </c>
      <c r="R1443" t="s">
        <v>74</v>
      </c>
      <c r="S1443" t="s">
        <v>74</v>
      </c>
      <c r="T1443" t="s">
        <v>16805</v>
      </c>
      <c r="U1443" t="s">
        <v>16804</v>
      </c>
      <c r="V1443" t="s">
        <v>16803</v>
      </c>
      <c r="W1443" t="s">
        <v>16802</v>
      </c>
      <c r="X1443" t="s">
        <v>16801</v>
      </c>
      <c r="Y1443" t="s">
        <v>16800</v>
      </c>
      <c r="Z1443" t="s">
        <v>16133</v>
      </c>
      <c r="AA1443" t="s">
        <v>144</v>
      </c>
      <c r="AB1443" t="s">
        <v>257</v>
      </c>
      <c r="AC1443" t="s">
        <v>74</v>
      </c>
      <c r="AD1443" t="s">
        <v>74</v>
      </c>
      <c r="AE1443" t="s">
        <v>74</v>
      </c>
      <c r="AF1443" t="s">
        <v>74</v>
      </c>
      <c r="AG1443">
        <v>57</v>
      </c>
      <c r="AH1443">
        <v>50</v>
      </c>
      <c r="AI1443">
        <v>60</v>
      </c>
      <c r="AJ1443">
        <v>0</v>
      </c>
      <c r="AK1443">
        <v>3</v>
      </c>
      <c r="AL1443" t="s">
        <v>9328</v>
      </c>
      <c r="AM1443" t="s">
        <v>1114</v>
      </c>
      <c r="AN1443" t="s">
        <v>9329</v>
      </c>
      <c r="AO1443" t="s">
        <v>9330</v>
      </c>
      <c r="AP1443" t="s">
        <v>74</v>
      </c>
      <c r="AQ1443" t="s">
        <v>74</v>
      </c>
      <c r="AR1443" t="s">
        <v>9316</v>
      </c>
      <c r="AS1443" t="s">
        <v>9332</v>
      </c>
      <c r="AT1443" t="s">
        <v>74</v>
      </c>
      <c r="AU1443">
        <v>2007</v>
      </c>
      <c r="AV1443">
        <v>74</v>
      </c>
      <c r="AW1443">
        <v>2</v>
      </c>
      <c r="AX1443" t="s">
        <v>74</v>
      </c>
      <c r="AY1443" t="s">
        <v>74</v>
      </c>
      <c r="AZ1443" t="s">
        <v>74</v>
      </c>
      <c r="BA1443" t="s">
        <v>74</v>
      </c>
      <c r="BB1443">
        <v>123</v>
      </c>
      <c r="BC1443">
        <v>132</v>
      </c>
      <c r="BD1443" t="s">
        <v>74</v>
      </c>
      <c r="BE1443" t="s">
        <v>16799</v>
      </c>
      <c r="BF1443" t="str">
        <f>HYPERLINK("http://dx.doi.org/10.1159/000098818","http://dx.doi.org/10.1159/000098818")</f>
        <v>http://dx.doi.org/10.1159/000098818</v>
      </c>
      <c r="BG1443" t="s">
        <v>74</v>
      </c>
      <c r="BH1443" t="s">
        <v>74</v>
      </c>
      <c r="BI1443">
        <v>10</v>
      </c>
      <c r="BJ1443" t="s">
        <v>228</v>
      </c>
      <c r="BK1443" t="s">
        <v>101</v>
      </c>
      <c r="BL1443" t="s">
        <v>228</v>
      </c>
      <c r="BM1443" t="s">
        <v>16798</v>
      </c>
      <c r="BN1443">
        <v>17318011</v>
      </c>
      <c r="BO1443" t="s">
        <v>74</v>
      </c>
      <c r="BP1443" t="s">
        <v>74</v>
      </c>
      <c r="BQ1443" t="s">
        <v>74</v>
      </c>
      <c r="BR1443" t="s">
        <v>104</v>
      </c>
      <c r="BS1443" t="s">
        <v>16797</v>
      </c>
      <c r="BT1443" t="str">
        <f>HYPERLINK("https%3A%2F%2Fwww.webofscience.com%2Fwos%2Fwoscc%2Ffull-record%2FWOS:000244565600001","View Full Record in Web of Science")</f>
        <v>View Full Record in Web of Science</v>
      </c>
    </row>
    <row r="1444" spans="1:72" x14ac:dyDescent="0.25">
      <c r="A1444" t="s">
        <v>72</v>
      </c>
      <c r="B1444" t="s">
        <v>16678</v>
      </c>
      <c r="C1444" t="s">
        <v>74</v>
      </c>
      <c r="D1444" t="s">
        <v>74</v>
      </c>
      <c r="E1444" t="s">
        <v>74</v>
      </c>
      <c r="F1444" t="s">
        <v>16796</v>
      </c>
      <c r="G1444" t="s">
        <v>74</v>
      </c>
      <c r="H1444" t="s">
        <v>74</v>
      </c>
      <c r="I1444" t="s">
        <v>16795</v>
      </c>
      <c r="J1444" t="s">
        <v>1348</v>
      </c>
      <c r="K1444" t="s">
        <v>74</v>
      </c>
      <c r="L1444" t="s">
        <v>74</v>
      </c>
      <c r="M1444" t="s">
        <v>1349</v>
      </c>
      <c r="N1444" t="s">
        <v>299</v>
      </c>
      <c r="O1444" t="s">
        <v>74</v>
      </c>
      <c r="P1444" t="s">
        <v>74</v>
      </c>
      <c r="Q1444" t="s">
        <v>74</v>
      </c>
      <c r="R1444" t="s">
        <v>74</v>
      </c>
      <c r="S1444" t="s">
        <v>74</v>
      </c>
      <c r="T1444" t="s">
        <v>16794</v>
      </c>
      <c r="U1444" t="s">
        <v>16793</v>
      </c>
      <c r="V1444" t="s">
        <v>16792</v>
      </c>
      <c r="W1444" t="s">
        <v>16791</v>
      </c>
      <c r="X1444" t="s">
        <v>16790</v>
      </c>
      <c r="Y1444" t="s">
        <v>16670</v>
      </c>
      <c r="Z1444" t="s">
        <v>16669</v>
      </c>
      <c r="AA1444" t="s">
        <v>16789</v>
      </c>
      <c r="AB1444" t="s">
        <v>16788</v>
      </c>
      <c r="AC1444" t="s">
        <v>74</v>
      </c>
      <c r="AD1444" t="s">
        <v>74</v>
      </c>
      <c r="AE1444" t="s">
        <v>74</v>
      </c>
      <c r="AF1444" t="s">
        <v>74</v>
      </c>
      <c r="AG1444">
        <v>50</v>
      </c>
      <c r="AH1444">
        <v>2</v>
      </c>
      <c r="AI1444">
        <v>2</v>
      </c>
      <c r="AJ1444">
        <v>0</v>
      </c>
      <c r="AK1444">
        <v>1</v>
      </c>
      <c r="AL1444" t="s">
        <v>1358</v>
      </c>
      <c r="AM1444" t="s">
        <v>1359</v>
      </c>
      <c r="AN1444" t="s">
        <v>1360</v>
      </c>
      <c r="AO1444" t="s">
        <v>1361</v>
      </c>
      <c r="AP1444" t="s">
        <v>1362</v>
      </c>
      <c r="AQ1444" t="s">
        <v>74</v>
      </c>
      <c r="AR1444" t="s">
        <v>1363</v>
      </c>
      <c r="AS1444" t="s">
        <v>1364</v>
      </c>
      <c r="AT1444" t="s">
        <v>226</v>
      </c>
      <c r="AU1444">
        <v>2006</v>
      </c>
      <c r="AV1444">
        <v>23</v>
      </c>
      <c r="AW1444">
        <v>6</v>
      </c>
      <c r="AX1444" t="s">
        <v>74</v>
      </c>
      <c r="AY1444" t="s">
        <v>74</v>
      </c>
      <c r="AZ1444" t="s">
        <v>74</v>
      </c>
      <c r="BA1444" t="s">
        <v>74</v>
      </c>
      <c r="BB1444">
        <v>607</v>
      </c>
      <c r="BC1444">
        <v>618</v>
      </c>
      <c r="BD1444" t="s">
        <v>74</v>
      </c>
      <c r="BE1444" t="s">
        <v>16787</v>
      </c>
      <c r="BF1444" t="str">
        <f>HYPERLINK("http://dx.doi.org/10.1016/S0761-8425(06)72076-9","http://dx.doi.org/10.1016/S0761-8425(06)72076-9")</f>
        <v>http://dx.doi.org/10.1016/S0761-8425(06)72076-9</v>
      </c>
      <c r="BG1444" t="s">
        <v>74</v>
      </c>
      <c r="BH1444" t="s">
        <v>74</v>
      </c>
      <c r="BI1444">
        <v>12</v>
      </c>
      <c r="BJ1444" t="s">
        <v>228</v>
      </c>
      <c r="BK1444" t="s">
        <v>101</v>
      </c>
      <c r="BL1444" t="s">
        <v>228</v>
      </c>
      <c r="BM1444" t="s">
        <v>16786</v>
      </c>
      <c r="BN1444">
        <v>17202966</v>
      </c>
      <c r="BO1444" t="s">
        <v>74</v>
      </c>
      <c r="BP1444" t="s">
        <v>74</v>
      </c>
      <c r="BQ1444" t="s">
        <v>74</v>
      </c>
      <c r="BR1444" t="s">
        <v>104</v>
      </c>
      <c r="BS1444" t="s">
        <v>16785</v>
      </c>
      <c r="BT1444" t="str">
        <f>HYPERLINK("https%3A%2F%2Fwww.webofscience.com%2Fwos%2Fwoscc%2Ffull-record%2FWOS:000243521800002","View Full Record in Web of Science")</f>
        <v>View Full Record in Web of Science</v>
      </c>
    </row>
    <row r="1445" spans="1:72" x14ac:dyDescent="0.25">
      <c r="A1445" t="s">
        <v>72</v>
      </c>
      <c r="B1445" t="s">
        <v>16784</v>
      </c>
      <c r="C1445" t="s">
        <v>74</v>
      </c>
      <c r="D1445" t="s">
        <v>74</v>
      </c>
      <c r="E1445" t="s">
        <v>74</v>
      </c>
      <c r="F1445" t="s">
        <v>16783</v>
      </c>
      <c r="G1445" t="s">
        <v>74</v>
      </c>
      <c r="H1445" t="s">
        <v>74</v>
      </c>
      <c r="I1445" t="s">
        <v>16782</v>
      </c>
      <c r="J1445" t="s">
        <v>2355</v>
      </c>
      <c r="K1445" t="s">
        <v>74</v>
      </c>
      <c r="L1445" t="s">
        <v>74</v>
      </c>
      <c r="M1445" t="s">
        <v>78</v>
      </c>
      <c r="N1445" t="s">
        <v>140</v>
      </c>
      <c r="O1445" t="s">
        <v>74</v>
      </c>
      <c r="P1445" t="s">
        <v>74</v>
      </c>
      <c r="Q1445" t="s">
        <v>74</v>
      </c>
      <c r="R1445" t="s">
        <v>74</v>
      </c>
      <c r="S1445" t="s">
        <v>74</v>
      </c>
      <c r="T1445" t="s">
        <v>74</v>
      </c>
      <c r="U1445" t="s">
        <v>16781</v>
      </c>
      <c r="V1445" t="s">
        <v>74</v>
      </c>
      <c r="W1445" t="s">
        <v>16780</v>
      </c>
      <c r="X1445" t="s">
        <v>16779</v>
      </c>
      <c r="Y1445" t="s">
        <v>16778</v>
      </c>
      <c r="Z1445" t="s">
        <v>16777</v>
      </c>
      <c r="AA1445" t="s">
        <v>16776</v>
      </c>
      <c r="AB1445" t="s">
        <v>16775</v>
      </c>
      <c r="AC1445" t="s">
        <v>74</v>
      </c>
      <c r="AD1445" t="s">
        <v>74</v>
      </c>
      <c r="AE1445" t="s">
        <v>74</v>
      </c>
      <c r="AF1445" t="s">
        <v>74</v>
      </c>
      <c r="AG1445">
        <v>25</v>
      </c>
      <c r="AH1445">
        <v>17</v>
      </c>
      <c r="AI1445">
        <v>18</v>
      </c>
      <c r="AJ1445">
        <v>0</v>
      </c>
      <c r="AK1445">
        <v>1</v>
      </c>
      <c r="AL1445" t="s">
        <v>1073</v>
      </c>
      <c r="AM1445" t="s">
        <v>1074</v>
      </c>
      <c r="AN1445" t="s">
        <v>1075</v>
      </c>
      <c r="AO1445" t="s">
        <v>2365</v>
      </c>
      <c r="AP1445" t="s">
        <v>2366</v>
      </c>
      <c r="AQ1445" t="s">
        <v>74</v>
      </c>
      <c r="AR1445" t="s">
        <v>2355</v>
      </c>
      <c r="AS1445" t="s">
        <v>2355</v>
      </c>
      <c r="AT1445" t="s">
        <v>226</v>
      </c>
      <c r="AU1445">
        <v>2006</v>
      </c>
      <c r="AV1445">
        <v>45</v>
      </c>
      <c r="AW1445">
        <v>12</v>
      </c>
      <c r="AX1445" t="s">
        <v>74</v>
      </c>
      <c r="AY1445" t="s">
        <v>74</v>
      </c>
      <c r="AZ1445" t="s">
        <v>74</v>
      </c>
      <c r="BA1445" t="s">
        <v>74</v>
      </c>
      <c r="BB1445">
        <v>1455</v>
      </c>
      <c r="BC1445">
        <v>1457</v>
      </c>
      <c r="BD1445" t="s">
        <v>74</v>
      </c>
      <c r="BE1445" t="s">
        <v>16774</v>
      </c>
      <c r="BF1445" t="str">
        <f>HYPERLINK("http://dx.doi.org/10.1093/rheumatology/kel273","http://dx.doi.org/10.1093/rheumatology/kel273")</f>
        <v>http://dx.doi.org/10.1093/rheumatology/kel273</v>
      </c>
      <c r="BG1445" t="s">
        <v>74</v>
      </c>
      <c r="BH1445" t="s">
        <v>74</v>
      </c>
      <c r="BI1445">
        <v>3</v>
      </c>
      <c r="BJ1445" t="s">
        <v>2369</v>
      </c>
      <c r="BK1445" t="s">
        <v>101</v>
      </c>
      <c r="BL1445" t="s">
        <v>2369</v>
      </c>
      <c r="BM1445" t="s">
        <v>16773</v>
      </c>
      <c r="BN1445">
        <v>16920751</v>
      </c>
      <c r="BO1445" t="s">
        <v>1194</v>
      </c>
      <c r="BP1445" t="s">
        <v>74</v>
      </c>
      <c r="BQ1445" t="s">
        <v>74</v>
      </c>
      <c r="BR1445" t="s">
        <v>104</v>
      </c>
      <c r="BS1445" t="s">
        <v>16772</v>
      </c>
      <c r="BT1445" t="str">
        <f>HYPERLINK("https%3A%2F%2Fwww.webofscience.com%2Fwos%2Fwoscc%2Ffull-record%2FWOS:000242247400001","View Full Record in Web of Science")</f>
        <v>View Full Record in Web of Science</v>
      </c>
    </row>
    <row r="1446" spans="1:72" x14ac:dyDescent="0.25">
      <c r="A1446" t="s">
        <v>72</v>
      </c>
      <c r="B1446" t="s">
        <v>16771</v>
      </c>
      <c r="C1446" t="s">
        <v>74</v>
      </c>
      <c r="D1446" t="s">
        <v>74</v>
      </c>
      <c r="E1446" t="s">
        <v>74</v>
      </c>
      <c r="F1446" t="s">
        <v>16770</v>
      </c>
      <c r="G1446" t="s">
        <v>74</v>
      </c>
      <c r="H1446" t="s">
        <v>74</v>
      </c>
      <c r="I1446" t="s">
        <v>16769</v>
      </c>
      <c r="J1446" t="s">
        <v>16768</v>
      </c>
      <c r="K1446" t="s">
        <v>74</v>
      </c>
      <c r="L1446" t="s">
        <v>74</v>
      </c>
      <c r="M1446" t="s">
        <v>78</v>
      </c>
      <c r="N1446" t="s">
        <v>79</v>
      </c>
      <c r="O1446" t="s">
        <v>74</v>
      </c>
      <c r="P1446" t="s">
        <v>74</v>
      </c>
      <c r="Q1446" t="s">
        <v>74</v>
      </c>
      <c r="R1446" t="s">
        <v>74</v>
      </c>
      <c r="S1446" t="s">
        <v>74</v>
      </c>
      <c r="T1446" t="s">
        <v>16767</v>
      </c>
      <c r="U1446" t="s">
        <v>16766</v>
      </c>
      <c r="V1446" t="s">
        <v>16765</v>
      </c>
      <c r="W1446" t="s">
        <v>16764</v>
      </c>
      <c r="X1446" t="s">
        <v>16763</v>
      </c>
      <c r="Y1446" t="s">
        <v>16762</v>
      </c>
      <c r="Z1446" t="s">
        <v>16761</v>
      </c>
      <c r="AA1446" t="s">
        <v>144</v>
      </c>
      <c r="AB1446" t="s">
        <v>257</v>
      </c>
      <c r="AC1446" t="s">
        <v>74</v>
      </c>
      <c r="AD1446" t="s">
        <v>74</v>
      </c>
      <c r="AE1446" t="s">
        <v>74</v>
      </c>
      <c r="AF1446" t="s">
        <v>74</v>
      </c>
      <c r="AG1446">
        <v>12</v>
      </c>
      <c r="AH1446">
        <v>14</v>
      </c>
      <c r="AI1446">
        <v>17</v>
      </c>
      <c r="AJ1446">
        <v>0</v>
      </c>
      <c r="AK1446">
        <v>1</v>
      </c>
      <c r="AL1446" t="s">
        <v>1781</v>
      </c>
      <c r="AM1446" t="s">
        <v>486</v>
      </c>
      <c r="AN1446" t="s">
        <v>4730</v>
      </c>
      <c r="AO1446" t="s">
        <v>16760</v>
      </c>
      <c r="AP1446" t="s">
        <v>16759</v>
      </c>
      <c r="AQ1446" t="s">
        <v>74</v>
      </c>
      <c r="AR1446" t="s">
        <v>16758</v>
      </c>
      <c r="AS1446" t="s">
        <v>16757</v>
      </c>
      <c r="AT1446" t="s">
        <v>226</v>
      </c>
      <c r="AU1446">
        <v>2006</v>
      </c>
      <c r="AV1446">
        <v>27</v>
      </c>
      <c r="AW1446">
        <v>6</v>
      </c>
      <c r="AX1446" t="s">
        <v>74</v>
      </c>
      <c r="AY1446" t="s">
        <v>74</v>
      </c>
      <c r="AZ1446" t="s">
        <v>74</v>
      </c>
      <c r="BA1446" t="s">
        <v>74</v>
      </c>
      <c r="BB1446">
        <v>759</v>
      </c>
      <c r="BC1446">
        <v>762</v>
      </c>
      <c r="BD1446" t="s">
        <v>74</v>
      </c>
      <c r="BE1446" t="s">
        <v>16756</v>
      </c>
      <c r="BF1446" t="str">
        <f>HYPERLINK("http://dx.doi.org/10.1007/s00246-006-1325-0","http://dx.doi.org/10.1007/s00246-006-1325-0")</f>
        <v>http://dx.doi.org/10.1007/s00246-006-1325-0</v>
      </c>
      <c r="BG1446" t="s">
        <v>74</v>
      </c>
      <c r="BH1446" t="s">
        <v>74</v>
      </c>
      <c r="BI1446">
        <v>4</v>
      </c>
      <c r="BJ1446" t="s">
        <v>16755</v>
      </c>
      <c r="BK1446" t="s">
        <v>101</v>
      </c>
      <c r="BL1446" t="s">
        <v>16754</v>
      </c>
      <c r="BM1446" t="s">
        <v>16753</v>
      </c>
      <c r="BN1446">
        <v>17111292</v>
      </c>
      <c r="BO1446" t="s">
        <v>74</v>
      </c>
      <c r="BP1446" t="s">
        <v>74</v>
      </c>
      <c r="BQ1446" t="s">
        <v>74</v>
      </c>
      <c r="BR1446" t="s">
        <v>104</v>
      </c>
      <c r="BS1446" t="s">
        <v>16752</v>
      </c>
      <c r="BT1446" t="str">
        <f>HYPERLINK("https%3A%2F%2Fwww.webofscience.com%2Fwos%2Fwoscc%2Ffull-record%2FWOS:000242627700017","View Full Record in Web of Science")</f>
        <v>View Full Record in Web of Science</v>
      </c>
    </row>
    <row r="1447" spans="1:72" x14ac:dyDescent="0.25">
      <c r="A1447" t="s">
        <v>72</v>
      </c>
      <c r="B1447" t="s">
        <v>16751</v>
      </c>
      <c r="C1447" t="s">
        <v>74</v>
      </c>
      <c r="D1447" t="s">
        <v>74</v>
      </c>
      <c r="E1447" t="s">
        <v>74</v>
      </c>
      <c r="F1447" t="s">
        <v>16750</v>
      </c>
      <c r="G1447" t="s">
        <v>74</v>
      </c>
      <c r="H1447" t="s">
        <v>74</v>
      </c>
      <c r="I1447" t="s">
        <v>16749</v>
      </c>
      <c r="J1447" t="s">
        <v>1529</v>
      </c>
      <c r="K1447" t="s">
        <v>74</v>
      </c>
      <c r="L1447" t="s">
        <v>74</v>
      </c>
      <c r="M1447" t="s">
        <v>1349</v>
      </c>
      <c r="N1447" t="s">
        <v>79</v>
      </c>
      <c r="O1447" t="s">
        <v>74</v>
      </c>
      <c r="P1447" t="s">
        <v>74</v>
      </c>
      <c r="Q1447" t="s">
        <v>74</v>
      </c>
      <c r="R1447" t="s">
        <v>74</v>
      </c>
      <c r="S1447" t="s">
        <v>74</v>
      </c>
      <c r="T1447" t="s">
        <v>74</v>
      </c>
      <c r="U1447" t="s">
        <v>16748</v>
      </c>
      <c r="V1447" t="s">
        <v>16747</v>
      </c>
      <c r="W1447" t="s">
        <v>16746</v>
      </c>
      <c r="X1447" t="s">
        <v>16745</v>
      </c>
      <c r="Y1447" t="s">
        <v>16744</v>
      </c>
      <c r="Z1447" t="s">
        <v>15594</v>
      </c>
      <c r="AA1447" t="s">
        <v>16743</v>
      </c>
      <c r="AB1447" t="s">
        <v>16742</v>
      </c>
      <c r="AC1447" t="s">
        <v>74</v>
      </c>
      <c r="AD1447" t="s">
        <v>74</v>
      </c>
      <c r="AE1447" t="s">
        <v>74</v>
      </c>
      <c r="AF1447" t="s">
        <v>74</v>
      </c>
      <c r="AG1447">
        <v>44</v>
      </c>
      <c r="AH1447">
        <v>12</v>
      </c>
      <c r="AI1447">
        <v>13</v>
      </c>
      <c r="AJ1447">
        <v>0</v>
      </c>
      <c r="AK1447">
        <v>3</v>
      </c>
      <c r="AL1447" t="s">
        <v>1358</v>
      </c>
      <c r="AM1447" t="s">
        <v>1359</v>
      </c>
      <c r="AN1447" t="s">
        <v>1360</v>
      </c>
      <c r="AO1447" t="s">
        <v>1533</v>
      </c>
      <c r="AP1447" t="s">
        <v>1534</v>
      </c>
      <c r="AQ1447" t="s">
        <v>74</v>
      </c>
      <c r="AR1447" t="s">
        <v>1535</v>
      </c>
      <c r="AS1447" t="s">
        <v>1536</v>
      </c>
      <c r="AT1447" t="s">
        <v>226</v>
      </c>
      <c r="AU1447">
        <v>2006</v>
      </c>
      <c r="AV1447">
        <v>35</v>
      </c>
      <c r="AW1447">
        <v>12</v>
      </c>
      <c r="AX1447">
        <v>2</v>
      </c>
      <c r="AY1447" t="s">
        <v>74</v>
      </c>
      <c r="AZ1447" t="s">
        <v>74</v>
      </c>
      <c r="BA1447" t="s">
        <v>74</v>
      </c>
      <c r="BB1447">
        <v>1929</v>
      </c>
      <c r="BC1447">
        <v>1937</v>
      </c>
      <c r="BD1447" t="s">
        <v>74</v>
      </c>
      <c r="BE1447" t="s">
        <v>16741</v>
      </c>
      <c r="BF1447" t="str">
        <f>HYPERLINK("http://dx.doi.org/10.1016/S0755-4982(06)74927-2","http://dx.doi.org/10.1016/S0755-4982(06)74927-2")</f>
        <v>http://dx.doi.org/10.1016/S0755-4982(06)74927-2</v>
      </c>
      <c r="BG1447" t="s">
        <v>74</v>
      </c>
      <c r="BH1447" t="s">
        <v>74</v>
      </c>
      <c r="BI1447">
        <v>9</v>
      </c>
      <c r="BJ1447" t="s">
        <v>1152</v>
      </c>
      <c r="BK1447" t="s">
        <v>101</v>
      </c>
      <c r="BL1447" t="s">
        <v>1153</v>
      </c>
      <c r="BM1447" t="s">
        <v>16740</v>
      </c>
      <c r="BN1447">
        <v>17159719</v>
      </c>
      <c r="BO1447" t="s">
        <v>74</v>
      </c>
      <c r="BP1447" t="s">
        <v>74</v>
      </c>
      <c r="BQ1447" t="s">
        <v>74</v>
      </c>
      <c r="BR1447" t="s">
        <v>104</v>
      </c>
      <c r="BS1447" t="s">
        <v>16739</v>
      </c>
      <c r="BT1447" t="str">
        <f>HYPERLINK("https%3A%2F%2Fwww.webofscience.com%2Fwos%2Fwoscc%2Ffull-record%2FWOS:000242896400009","View Full Record in Web of Science")</f>
        <v>View Full Record in Web of Science</v>
      </c>
    </row>
    <row r="1448" spans="1:72" x14ac:dyDescent="0.25">
      <c r="A1448" t="s">
        <v>72</v>
      </c>
      <c r="B1448" t="s">
        <v>16738</v>
      </c>
      <c r="C1448" t="s">
        <v>74</v>
      </c>
      <c r="D1448" t="s">
        <v>74</v>
      </c>
      <c r="E1448" t="s">
        <v>74</v>
      </c>
      <c r="F1448" t="s">
        <v>16737</v>
      </c>
      <c r="G1448" t="s">
        <v>74</v>
      </c>
      <c r="H1448" t="s">
        <v>74</v>
      </c>
      <c r="I1448" t="s">
        <v>16736</v>
      </c>
      <c r="J1448" t="s">
        <v>637</v>
      </c>
      <c r="K1448" t="s">
        <v>74</v>
      </c>
      <c r="L1448" t="s">
        <v>74</v>
      </c>
      <c r="M1448" t="s">
        <v>78</v>
      </c>
      <c r="N1448" t="s">
        <v>79</v>
      </c>
      <c r="O1448" t="s">
        <v>74</v>
      </c>
      <c r="P1448" t="s">
        <v>74</v>
      </c>
      <c r="Q1448" t="s">
        <v>74</v>
      </c>
      <c r="R1448" t="s">
        <v>74</v>
      </c>
      <c r="S1448" t="s">
        <v>74</v>
      </c>
      <c r="T1448" t="s">
        <v>16735</v>
      </c>
      <c r="U1448" t="s">
        <v>16734</v>
      </c>
      <c r="V1448" t="s">
        <v>16733</v>
      </c>
      <c r="W1448" t="s">
        <v>16732</v>
      </c>
      <c r="X1448" t="s">
        <v>16731</v>
      </c>
      <c r="Y1448" t="s">
        <v>16730</v>
      </c>
      <c r="Z1448" t="s">
        <v>16729</v>
      </c>
      <c r="AA1448" t="s">
        <v>7706</v>
      </c>
      <c r="AB1448" t="s">
        <v>16728</v>
      </c>
      <c r="AC1448" t="s">
        <v>74</v>
      </c>
      <c r="AD1448" t="s">
        <v>74</v>
      </c>
      <c r="AE1448" t="s">
        <v>74</v>
      </c>
      <c r="AF1448" t="s">
        <v>74</v>
      </c>
      <c r="AG1448">
        <v>36</v>
      </c>
      <c r="AH1448">
        <v>93</v>
      </c>
      <c r="AI1448">
        <v>103</v>
      </c>
      <c r="AJ1448">
        <v>0</v>
      </c>
      <c r="AK1448">
        <v>5</v>
      </c>
      <c r="AL1448" t="s">
        <v>649</v>
      </c>
      <c r="AM1448" t="s">
        <v>486</v>
      </c>
      <c r="AN1448" t="s">
        <v>650</v>
      </c>
      <c r="AO1448" t="s">
        <v>651</v>
      </c>
      <c r="AP1448" t="s">
        <v>652</v>
      </c>
      <c r="AQ1448" t="s">
        <v>74</v>
      </c>
      <c r="AR1448" t="s">
        <v>653</v>
      </c>
      <c r="AS1448" t="s">
        <v>654</v>
      </c>
      <c r="AT1448" t="s">
        <v>1414</v>
      </c>
      <c r="AU1448">
        <v>2006</v>
      </c>
      <c r="AV1448">
        <v>174</v>
      </c>
      <c r="AW1448">
        <v>9</v>
      </c>
      <c r="AX1448" t="s">
        <v>74</v>
      </c>
      <c r="AY1448" t="s">
        <v>74</v>
      </c>
      <c r="AZ1448" t="s">
        <v>74</v>
      </c>
      <c r="BA1448" t="s">
        <v>74</v>
      </c>
      <c r="BB1448">
        <v>1025</v>
      </c>
      <c r="BC1448">
        <v>1033</v>
      </c>
      <c r="BD1448" t="s">
        <v>74</v>
      </c>
      <c r="BE1448" t="s">
        <v>16727</v>
      </c>
      <c r="BF1448" t="str">
        <f>HYPERLINK("http://dx.doi.org/10.1164/rccm.200602-304OC","http://dx.doi.org/10.1164/rccm.200602-304OC")</f>
        <v>http://dx.doi.org/10.1164/rccm.200602-304OC</v>
      </c>
      <c r="BG1448" t="s">
        <v>74</v>
      </c>
      <c r="BH1448" t="s">
        <v>74</v>
      </c>
      <c r="BI1448">
        <v>9</v>
      </c>
      <c r="BJ1448" t="s">
        <v>341</v>
      </c>
      <c r="BK1448" t="s">
        <v>101</v>
      </c>
      <c r="BL1448" t="s">
        <v>342</v>
      </c>
      <c r="BM1448" t="s">
        <v>16726</v>
      </c>
      <c r="BN1448">
        <v>16917117</v>
      </c>
      <c r="BO1448" t="s">
        <v>74</v>
      </c>
      <c r="BP1448" t="s">
        <v>74</v>
      </c>
      <c r="BQ1448" t="s">
        <v>74</v>
      </c>
      <c r="BR1448" t="s">
        <v>104</v>
      </c>
      <c r="BS1448" t="s">
        <v>16725</v>
      </c>
      <c r="BT1448" t="str">
        <f>HYPERLINK("https%3A%2F%2Fwww.webofscience.com%2Fwos%2Fwoscc%2Ffull-record%2FWOS:000241819100015","View Full Record in Web of Science")</f>
        <v>View Full Record in Web of Science</v>
      </c>
    </row>
    <row r="1449" spans="1:72" x14ac:dyDescent="0.25">
      <c r="A1449" t="s">
        <v>72</v>
      </c>
      <c r="B1449" t="s">
        <v>16724</v>
      </c>
      <c r="C1449" t="s">
        <v>74</v>
      </c>
      <c r="D1449" t="s">
        <v>74</v>
      </c>
      <c r="E1449" t="s">
        <v>74</v>
      </c>
      <c r="F1449" t="s">
        <v>16723</v>
      </c>
      <c r="G1449" t="s">
        <v>74</v>
      </c>
      <c r="H1449" t="s">
        <v>74</v>
      </c>
      <c r="I1449" t="s">
        <v>16722</v>
      </c>
      <c r="J1449" t="s">
        <v>2580</v>
      </c>
      <c r="K1449" t="s">
        <v>74</v>
      </c>
      <c r="L1449" t="s">
        <v>74</v>
      </c>
      <c r="M1449" t="s">
        <v>78</v>
      </c>
      <c r="N1449" t="s">
        <v>79</v>
      </c>
      <c r="O1449" t="s">
        <v>74</v>
      </c>
      <c r="P1449" t="s">
        <v>74</v>
      </c>
      <c r="Q1449" t="s">
        <v>74</v>
      </c>
      <c r="R1449" t="s">
        <v>74</v>
      </c>
      <c r="S1449" t="s">
        <v>74</v>
      </c>
      <c r="T1449" t="s">
        <v>74</v>
      </c>
      <c r="U1449" t="s">
        <v>16721</v>
      </c>
      <c r="V1449" t="s">
        <v>16720</v>
      </c>
      <c r="W1449" t="s">
        <v>16719</v>
      </c>
      <c r="X1449" t="s">
        <v>16718</v>
      </c>
      <c r="Y1449" t="s">
        <v>16717</v>
      </c>
      <c r="Z1449" t="s">
        <v>16716</v>
      </c>
      <c r="AA1449" t="s">
        <v>144</v>
      </c>
      <c r="AB1449" t="s">
        <v>257</v>
      </c>
      <c r="AC1449" t="s">
        <v>74</v>
      </c>
      <c r="AD1449" t="s">
        <v>74</v>
      </c>
      <c r="AE1449" t="s">
        <v>74</v>
      </c>
      <c r="AF1449" t="s">
        <v>74</v>
      </c>
      <c r="AG1449">
        <v>15</v>
      </c>
      <c r="AH1449">
        <v>208</v>
      </c>
      <c r="AI1449">
        <v>218</v>
      </c>
      <c r="AJ1449">
        <v>0</v>
      </c>
      <c r="AK1449">
        <v>6</v>
      </c>
      <c r="AL1449" t="s">
        <v>15444</v>
      </c>
      <c r="AM1449" t="s">
        <v>201</v>
      </c>
      <c r="AN1449" t="s">
        <v>2591</v>
      </c>
      <c r="AO1449" t="s">
        <v>2592</v>
      </c>
      <c r="AP1449" t="s">
        <v>74</v>
      </c>
      <c r="AQ1449" t="s">
        <v>74</v>
      </c>
      <c r="AR1449" t="s">
        <v>2594</v>
      </c>
      <c r="AS1449" t="s">
        <v>2595</v>
      </c>
      <c r="AT1449" t="s">
        <v>420</v>
      </c>
      <c r="AU1449">
        <v>2006</v>
      </c>
      <c r="AV1449">
        <v>65</v>
      </c>
      <c r="AW1449">
        <v>10</v>
      </c>
      <c r="AX1449" t="s">
        <v>74</v>
      </c>
      <c r="AY1449" t="s">
        <v>74</v>
      </c>
      <c r="AZ1449" t="s">
        <v>74</v>
      </c>
      <c r="BA1449" t="s">
        <v>74</v>
      </c>
      <c r="BB1449">
        <v>1336</v>
      </c>
      <c r="BC1449">
        <v>1340</v>
      </c>
      <c r="BD1449" t="s">
        <v>74</v>
      </c>
      <c r="BE1449" t="s">
        <v>16715</v>
      </c>
      <c r="BF1449" t="str">
        <f>HYPERLINK("http://dx.doi.org/10.1136/ard.2005.048967","http://dx.doi.org/10.1136/ard.2005.048967")</f>
        <v>http://dx.doi.org/10.1136/ard.2005.048967</v>
      </c>
      <c r="BG1449" t="s">
        <v>74</v>
      </c>
      <c r="BH1449" t="s">
        <v>74</v>
      </c>
      <c r="BI1449">
        <v>5</v>
      </c>
      <c r="BJ1449" t="s">
        <v>2369</v>
      </c>
      <c r="BK1449" t="s">
        <v>101</v>
      </c>
      <c r="BL1449" t="s">
        <v>2369</v>
      </c>
      <c r="BM1449" t="s">
        <v>16714</v>
      </c>
      <c r="BN1449">
        <v>16793845</v>
      </c>
      <c r="BO1449" t="s">
        <v>103</v>
      </c>
      <c r="BP1449" t="s">
        <v>74</v>
      </c>
      <c r="BQ1449" t="s">
        <v>74</v>
      </c>
      <c r="BR1449" t="s">
        <v>104</v>
      </c>
      <c r="BS1449" t="s">
        <v>16713</v>
      </c>
      <c r="BT1449" t="str">
        <f>HYPERLINK("https%3A%2F%2Fwww.webofscience.com%2Fwos%2Fwoscc%2Ffull-record%2FWOS:000240508600012","View Full Record in Web of Science")</f>
        <v>View Full Record in Web of Science</v>
      </c>
    </row>
    <row r="1450" spans="1:72" x14ac:dyDescent="0.25">
      <c r="A1450" t="s">
        <v>72</v>
      </c>
      <c r="B1450" t="s">
        <v>1420</v>
      </c>
      <c r="C1450" t="s">
        <v>74</v>
      </c>
      <c r="D1450" t="s">
        <v>74</v>
      </c>
      <c r="E1450" t="s">
        <v>74</v>
      </c>
      <c r="F1450" t="s">
        <v>1421</v>
      </c>
      <c r="G1450" t="s">
        <v>74</v>
      </c>
      <c r="H1450" t="s">
        <v>74</v>
      </c>
      <c r="I1450" t="s">
        <v>16712</v>
      </c>
      <c r="J1450" t="s">
        <v>1529</v>
      </c>
      <c r="K1450" t="s">
        <v>74</v>
      </c>
      <c r="L1450" t="s">
        <v>74</v>
      </c>
      <c r="M1450" t="s">
        <v>1349</v>
      </c>
      <c r="N1450" t="s">
        <v>140</v>
      </c>
      <c r="O1450" t="s">
        <v>74</v>
      </c>
      <c r="P1450" t="s">
        <v>74</v>
      </c>
      <c r="Q1450" t="s">
        <v>74</v>
      </c>
      <c r="R1450" t="s">
        <v>74</v>
      </c>
      <c r="S1450" t="s">
        <v>74</v>
      </c>
      <c r="T1450" t="s">
        <v>74</v>
      </c>
      <c r="U1450" t="s">
        <v>16711</v>
      </c>
      <c r="V1450" t="s">
        <v>74</v>
      </c>
      <c r="W1450" t="s">
        <v>16710</v>
      </c>
      <c r="X1450" t="s">
        <v>16709</v>
      </c>
      <c r="Y1450" t="s">
        <v>14576</v>
      </c>
      <c r="Z1450" t="s">
        <v>10573</v>
      </c>
      <c r="AA1450" t="s">
        <v>144</v>
      </c>
      <c r="AB1450" t="s">
        <v>257</v>
      </c>
      <c r="AC1450" t="s">
        <v>74</v>
      </c>
      <c r="AD1450" t="s">
        <v>74</v>
      </c>
      <c r="AE1450" t="s">
        <v>74</v>
      </c>
      <c r="AF1450" t="s">
        <v>74</v>
      </c>
      <c r="AG1450">
        <v>16</v>
      </c>
      <c r="AH1450">
        <v>2</v>
      </c>
      <c r="AI1450">
        <v>2</v>
      </c>
      <c r="AJ1450">
        <v>0</v>
      </c>
      <c r="AK1450">
        <v>0</v>
      </c>
      <c r="AL1450" t="s">
        <v>1358</v>
      </c>
      <c r="AM1450" t="s">
        <v>1359</v>
      </c>
      <c r="AN1450" t="s">
        <v>1360</v>
      </c>
      <c r="AO1450" t="s">
        <v>1533</v>
      </c>
      <c r="AP1450" t="s">
        <v>1534</v>
      </c>
      <c r="AQ1450" t="s">
        <v>74</v>
      </c>
      <c r="AR1450" t="s">
        <v>1535</v>
      </c>
      <c r="AS1450" t="s">
        <v>1536</v>
      </c>
      <c r="AT1450" t="s">
        <v>420</v>
      </c>
      <c r="AU1450">
        <v>2006</v>
      </c>
      <c r="AV1450">
        <v>35</v>
      </c>
      <c r="AW1450">
        <v>10</v>
      </c>
      <c r="AX1450">
        <v>2</v>
      </c>
      <c r="AY1450" t="s">
        <v>74</v>
      </c>
      <c r="AZ1450" t="s">
        <v>74</v>
      </c>
      <c r="BA1450" t="s">
        <v>74</v>
      </c>
      <c r="BB1450">
        <v>1492</v>
      </c>
      <c r="BC1450">
        <v>1494</v>
      </c>
      <c r="BD1450" t="s">
        <v>74</v>
      </c>
      <c r="BE1450" t="s">
        <v>16708</v>
      </c>
      <c r="BF1450" t="str">
        <f>HYPERLINK("http://dx.doi.org/10.1016/S0755-4982(06)74841-2","http://dx.doi.org/10.1016/S0755-4982(06)74841-2")</f>
        <v>http://dx.doi.org/10.1016/S0755-4982(06)74841-2</v>
      </c>
      <c r="BG1450" t="s">
        <v>74</v>
      </c>
      <c r="BH1450" t="s">
        <v>74</v>
      </c>
      <c r="BI1450">
        <v>3</v>
      </c>
      <c r="BJ1450" t="s">
        <v>1152</v>
      </c>
      <c r="BK1450" t="s">
        <v>101</v>
      </c>
      <c r="BL1450" t="s">
        <v>1153</v>
      </c>
      <c r="BM1450" t="s">
        <v>16707</v>
      </c>
      <c r="BN1450">
        <v>17028512</v>
      </c>
      <c r="BO1450" t="s">
        <v>74</v>
      </c>
      <c r="BP1450" t="s">
        <v>74</v>
      </c>
      <c r="BQ1450" t="s">
        <v>74</v>
      </c>
      <c r="BR1450" t="s">
        <v>104</v>
      </c>
      <c r="BS1450" t="s">
        <v>16706</v>
      </c>
      <c r="BT1450" t="str">
        <f>HYPERLINK("https%3A%2F%2Fwww.webofscience.com%2Fwos%2Fwoscc%2Ffull-record%2FWOS:000241628200001","View Full Record in Web of Science")</f>
        <v>View Full Record in Web of Science</v>
      </c>
    </row>
    <row r="1451" spans="1:72" x14ac:dyDescent="0.25">
      <c r="A1451" t="s">
        <v>72</v>
      </c>
      <c r="B1451" t="s">
        <v>16705</v>
      </c>
      <c r="C1451" t="s">
        <v>74</v>
      </c>
      <c r="D1451" t="s">
        <v>74</v>
      </c>
      <c r="E1451" t="s">
        <v>74</v>
      </c>
      <c r="F1451" t="s">
        <v>16704</v>
      </c>
      <c r="G1451" t="s">
        <v>74</v>
      </c>
      <c r="H1451" t="s">
        <v>74</v>
      </c>
      <c r="I1451" t="s">
        <v>16703</v>
      </c>
      <c r="J1451" t="s">
        <v>15378</v>
      </c>
      <c r="K1451" t="s">
        <v>74</v>
      </c>
      <c r="L1451" t="s">
        <v>74</v>
      </c>
      <c r="M1451" t="s">
        <v>78</v>
      </c>
      <c r="N1451" t="s">
        <v>79</v>
      </c>
      <c r="O1451" t="s">
        <v>74</v>
      </c>
      <c r="P1451" t="s">
        <v>74</v>
      </c>
      <c r="Q1451" t="s">
        <v>74</v>
      </c>
      <c r="R1451" t="s">
        <v>74</v>
      </c>
      <c r="S1451" t="s">
        <v>74</v>
      </c>
      <c r="T1451" t="s">
        <v>16702</v>
      </c>
      <c r="U1451" t="s">
        <v>16701</v>
      </c>
      <c r="V1451" t="s">
        <v>16700</v>
      </c>
      <c r="W1451" t="s">
        <v>16699</v>
      </c>
      <c r="X1451" t="s">
        <v>16698</v>
      </c>
      <c r="Y1451" t="s">
        <v>16697</v>
      </c>
      <c r="Z1451" t="s">
        <v>10573</v>
      </c>
      <c r="AA1451" t="s">
        <v>16696</v>
      </c>
      <c r="AB1451" t="s">
        <v>16695</v>
      </c>
      <c r="AC1451" t="s">
        <v>74</v>
      </c>
      <c r="AD1451" t="s">
        <v>74</v>
      </c>
      <c r="AE1451" t="s">
        <v>74</v>
      </c>
      <c r="AF1451" t="s">
        <v>74</v>
      </c>
      <c r="AG1451">
        <v>34</v>
      </c>
      <c r="AH1451">
        <v>23</v>
      </c>
      <c r="AI1451">
        <v>27</v>
      </c>
      <c r="AJ1451">
        <v>0</v>
      </c>
      <c r="AK1451">
        <v>1</v>
      </c>
      <c r="AL1451" t="s">
        <v>15370</v>
      </c>
      <c r="AM1451" t="s">
        <v>15369</v>
      </c>
      <c r="AN1451" t="s">
        <v>15368</v>
      </c>
      <c r="AO1451" t="s">
        <v>15367</v>
      </c>
      <c r="AP1451" t="s">
        <v>74</v>
      </c>
      <c r="AQ1451" t="s">
        <v>74</v>
      </c>
      <c r="AR1451" t="s">
        <v>15366</v>
      </c>
      <c r="AS1451" t="s">
        <v>15365</v>
      </c>
      <c r="AT1451" t="s">
        <v>420</v>
      </c>
      <c r="AU1451">
        <v>2006</v>
      </c>
      <c r="AV1451">
        <v>23</v>
      </c>
      <c r="AW1451">
        <v>3</v>
      </c>
      <c r="AX1451" t="s">
        <v>74</v>
      </c>
      <c r="AY1451" t="s">
        <v>74</v>
      </c>
      <c r="AZ1451" t="s">
        <v>74</v>
      </c>
      <c r="BA1451" t="s">
        <v>74</v>
      </c>
      <c r="BB1451">
        <v>223</v>
      </c>
      <c r="BC1451">
        <v>228</v>
      </c>
      <c r="BD1451" t="s">
        <v>74</v>
      </c>
      <c r="BE1451" t="s">
        <v>74</v>
      </c>
      <c r="BF1451" t="s">
        <v>74</v>
      </c>
      <c r="BG1451" t="s">
        <v>74</v>
      </c>
      <c r="BH1451" t="s">
        <v>74</v>
      </c>
      <c r="BI1451">
        <v>6</v>
      </c>
      <c r="BJ1451" t="s">
        <v>228</v>
      </c>
      <c r="BK1451" t="s">
        <v>101</v>
      </c>
      <c r="BL1451" t="s">
        <v>228</v>
      </c>
      <c r="BM1451" t="s">
        <v>16694</v>
      </c>
      <c r="BN1451">
        <v>18038922</v>
      </c>
      <c r="BO1451" t="s">
        <v>74</v>
      </c>
      <c r="BP1451" t="s">
        <v>74</v>
      </c>
      <c r="BQ1451" t="s">
        <v>74</v>
      </c>
      <c r="BR1451" t="s">
        <v>104</v>
      </c>
      <c r="BS1451" t="s">
        <v>16693</v>
      </c>
      <c r="BT1451" t="str">
        <f>HYPERLINK("https%3A%2F%2Fwww.webofscience.com%2Fwos%2Fwoscc%2Ffull-record%2FWOS:000250210200008","View Full Record in Web of Science")</f>
        <v>View Full Record in Web of Science</v>
      </c>
    </row>
    <row r="1452" spans="1:72" x14ac:dyDescent="0.25">
      <c r="A1452" t="s">
        <v>72</v>
      </c>
      <c r="B1452" t="s">
        <v>16692</v>
      </c>
      <c r="C1452" t="s">
        <v>74</v>
      </c>
      <c r="D1452" t="s">
        <v>74</v>
      </c>
      <c r="E1452" t="s">
        <v>74</v>
      </c>
      <c r="F1452" t="s">
        <v>16691</v>
      </c>
      <c r="G1452" t="s">
        <v>74</v>
      </c>
      <c r="H1452" t="s">
        <v>74</v>
      </c>
      <c r="I1452" t="s">
        <v>16690</v>
      </c>
      <c r="J1452" t="s">
        <v>216</v>
      </c>
      <c r="K1452" t="s">
        <v>74</v>
      </c>
      <c r="L1452" t="s">
        <v>74</v>
      </c>
      <c r="M1452" t="s">
        <v>78</v>
      </c>
      <c r="N1452" t="s">
        <v>79</v>
      </c>
      <c r="O1452" t="s">
        <v>74</v>
      </c>
      <c r="P1452" t="s">
        <v>74</v>
      </c>
      <c r="Q1452" t="s">
        <v>74</v>
      </c>
      <c r="R1452" t="s">
        <v>74</v>
      </c>
      <c r="S1452" t="s">
        <v>74</v>
      </c>
      <c r="T1452" t="s">
        <v>16689</v>
      </c>
      <c r="U1452" t="s">
        <v>16688</v>
      </c>
      <c r="V1452" t="s">
        <v>16687</v>
      </c>
      <c r="W1452" t="s">
        <v>16686</v>
      </c>
      <c r="X1452" t="s">
        <v>16685</v>
      </c>
      <c r="Y1452" t="s">
        <v>16684</v>
      </c>
      <c r="Z1452" t="s">
        <v>16683</v>
      </c>
      <c r="AA1452" t="s">
        <v>15445</v>
      </c>
      <c r="AB1452" t="s">
        <v>16682</v>
      </c>
      <c r="AC1452" t="s">
        <v>74</v>
      </c>
      <c r="AD1452" t="s">
        <v>74</v>
      </c>
      <c r="AE1452" t="s">
        <v>74</v>
      </c>
      <c r="AF1452" t="s">
        <v>74</v>
      </c>
      <c r="AG1452">
        <v>25</v>
      </c>
      <c r="AH1452">
        <v>111</v>
      </c>
      <c r="AI1452">
        <v>115</v>
      </c>
      <c r="AJ1452">
        <v>0</v>
      </c>
      <c r="AK1452">
        <v>9</v>
      </c>
      <c r="AL1452" t="s">
        <v>219</v>
      </c>
      <c r="AM1452" t="s">
        <v>220</v>
      </c>
      <c r="AN1452" t="s">
        <v>221</v>
      </c>
      <c r="AO1452" t="s">
        <v>222</v>
      </c>
      <c r="AP1452" t="s">
        <v>223</v>
      </c>
      <c r="AQ1452" t="s">
        <v>74</v>
      </c>
      <c r="AR1452" t="s">
        <v>224</v>
      </c>
      <c r="AS1452" t="s">
        <v>225</v>
      </c>
      <c r="AT1452" t="s">
        <v>420</v>
      </c>
      <c r="AU1452">
        <v>2006</v>
      </c>
      <c r="AV1452">
        <v>28</v>
      </c>
      <c r="AW1452">
        <v>4</v>
      </c>
      <c r="AX1452" t="s">
        <v>74</v>
      </c>
      <c r="AY1452" t="s">
        <v>74</v>
      </c>
      <c r="AZ1452" t="s">
        <v>74</v>
      </c>
      <c r="BA1452" t="s">
        <v>74</v>
      </c>
      <c r="BB1452">
        <v>799</v>
      </c>
      <c r="BC1452">
        <v>807</v>
      </c>
      <c r="BD1452" t="s">
        <v>74</v>
      </c>
      <c r="BE1452" t="s">
        <v>16681</v>
      </c>
      <c r="BF1452" t="str">
        <f>HYPERLINK("http://dx.doi.org/10.1183/09031936.06.00152705","http://dx.doi.org/10.1183/09031936.06.00152705")</f>
        <v>http://dx.doi.org/10.1183/09031936.06.00152705</v>
      </c>
      <c r="BG1452" t="s">
        <v>74</v>
      </c>
      <c r="BH1452" t="s">
        <v>74</v>
      </c>
      <c r="BI1452">
        <v>9</v>
      </c>
      <c r="BJ1452" t="s">
        <v>228</v>
      </c>
      <c r="BK1452" t="s">
        <v>101</v>
      </c>
      <c r="BL1452" t="s">
        <v>228</v>
      </c>
      <c r="BM1452" t="s">
        <v>16680</v>
      </c>
      <c r="BN1452">
        <v>16774952</v>
      </c>
      <c r="BO1452" t="s">
        <v>1194</v>
      </c>
      <c r="BP1452" t="s">
        <v>74</v>
      </c>
      <c r="BQ1452" t="s">
        <v>74</v>
      </c>
      <c r="BR1452" t="s">
        <v>104</v>
      </c>
      <c r="BS1452" t="s">
        <v>16679</v>
      </c>
      <c r="BT1452" t="str">
        <f>HYPERLINK("https%3A%2F%2Fwww.webofscience.com%2Fwos%2Fwoscc%2Ffull-record%2FWOS:000241345000021","View Full Record in Web of Science")</f>
        <v>View Full Record in Web of Science</v>
      </c>
    </row>
    <row r="1453" spans="1:72" x14ac:dyDescent="0.25">
      <c r="A1453" t="s">
        <v>72</v>
      </c>
      <c r="B1453" t="s">
        <v>16678</v>
      </c>
      <c r="C1453" t="s">
        <v>74</v>
      </c>
      <c r="D1453" t="s">
        <v>74</v>
      </c>
      <c r="E1453" t="s">
        <v>74</v>
      </c>
      <c r="F1453" t="s">
        <v>16677</v>
      </c>
      <c r="G1453" t="s">
        <v>74</v>
      </c>
      <c r="H1453" t="s">
        <v>74</v>
      </c>
      <c r="I1453" t="s">
        <v>16676</v>
      </c>
      <c r="J1453" t="s">
        <v>1348</v>
      </c>
      <c r="K1453" t="s">
        <v>74</v>
      </c>
      <c r="L1453" t="s">
        <v>74</v>
      </c>
      <c r="M1453" t="s">
        <v>1349</v>
      </c>
      <c r="N1453" t="s">
        <v>299</v>
      </c>
      <c r="O1453" t="s">
        <v>74</v>
      </c>
      <c r="P1453" t="s">
        <v>74</v>
      </c>
      <c r="Q1453" t="s">
        <v>74</v>
      </c>
      <c r="R1453" t="s">
        <v>74</v>
      </c>
      <c r="S1453" t="s">
        <v>74</v>
      </c>
      <c r="T1453" t="s">
        <v>16675</v>
      </c>
      <c r="U1453" t="s">
        <v>16674</v>
      </c>
      <c r="V1453" t="s">
        <v>16673</v>
      </c>
      <c r="W1453" t="s">
        <v>16672</v>
      </c>
      <c r="X1453" t="s">
        <v>16671</v>
      </c>
      <c r="Y1453" t="s">
        <v>16670</v>
      </c>
      <c r="Z1453" t="s">
        <v>16669</v>
      </c>
      <c r="AA1453" t="s">
        <v>16668</v>
      </c>
      <c r="AB1453" t="s">
        <v>257</v>
      </c>
      <c r="AC1453" t="s">
        <v>74</v>
      </c>
      <c r="AD1453" t="s">
        <v>74</v>
      </c>
      <c r="AE1453" t="s">
        <v>74</v>
      </c>
      <c r="AF1453" t="s">
        <v>74</v>
      </c>
      <c r="AG1453">
        <v>75</v>
      </c>
      <c r="AH1453">
        <v>3</v>
      </c>
      <c r="AI1453">
        <v>3</v>
      </c>
      <c r="AJ1453">
        <v>0</v>
      </c>
      <c r="AK1453">
        <v>1</v>
      </c>
      <c r="AL1453" t="s">
        <v>1358</v>
      </c>
      <c r="AM1453" t="s">
        <v>1359</v>
      </c>
      <c r="AN1453" t="s">
        <v>1360</v>
      </c>
      <c r="AO1453" t="s">
        <v>1361</v>
      </c>
      <c r="AP1453" t="s">
        <v>1362</v>
      </c>
      <c r="AQ1453" t="s">
        <v>74</v>
      </c>
      <c r="AR1453" t="s">
        <v>1363</v>
      </c>
      <c r="AS1453" t="s">
        <v>1364</v>
      </c>
      <c r="AT1453" t="s">
        <v>492</v>
      </c>
      <c r="AU1453">
        <v>2006</v>
      </c>
      <c r="AV1453">
        <v>23</v>
      </c>
      <c r="AW1453" t="s">
        <v>74</v>
      </c>
      <c r="AX1453" t="s">
        <v>74</v>
      </c>
      <c r="AY1453">
        <v>4</v>
      </c>
      <c r="AZ1453" t="s">
        <v>74</v>
      </c>
      <c r="BA1453" t="s">
        <v>74</v>
      </c>
      <c r="BB1453" t="s">
        <v>16667</v>
      </c>
      <c r="BC1453" t="s">
        <v>16666</v>
      </c>
      <c r="BD1453" t="s">
        <v>74</v>
      </c>
      <c r="BE1453" t="s">
        <v>16665</v>
      </c>
      <c r="BF1453" t="str">
        <f>HYPERLINK("http://dx.doi.org/10.1019/20064120","http://dx.doi.org/10.1019/20064120")</f>
        <v>http://dx.doi.org/10.1019/20064120</v>
      </c>
      <c r="BG1453" t="s">
        <v>74</v>
      </c>
      <c r="BH1453" t="s">
        <v>74</v>
      </c>
      <c r="BI1453">
        <v>12</v>
      </c>
      <c r="BJ1453" t="s">
        <v>228</v>
      </c>
      <c r="BK1453" t="s">
        <v>101</v>
      </c>
      <c r="BL1453" t="s">
        <v>228</v>
      </c>
      <c r="BM1453" t="s">
        <v>16664</v>
      </c>
      <c r="BN1453" t="s">
        <v>74</v>
      </c>
      <c r="BO1453" t="s">
        <v>74</v>
      </c>
      <c r="BP1453" t="s">
        <v>74</v>
      </c>
      <c r="BQ1453" t="s">
        <v>74</v>
      </c>
      <c r="BR1453" t="s">
        <v>104</v>
      </c>
      <c r="BS1453" t="s">
        <v>16663</v>
      </c>
      <c r="BT1453" t="str">
        <f>HYPERLINK("https%3A%2F%2Fwww.webofscience.com%2Fwos%2Fwoscc%2Ffull-record%2FWOS:000242021600004","View Full Record in Web of Science")</f>
        <v>View Full Record in Web of Science</v>
      </c>
    </row>
    <row r="1454" spans="1:72" x14ac:dyDescent="0.25">
      <c r="A1454" t="s">
        <v>72</v>
      </c>
      <c r="B1454" t="s">
        <v>15730</v>
      </c>
      <c r="C1454" t="s">
        <v>74</v>
      </c>
      <c r="D1454" t="s">
        <v>74</v>
      </c>
      <c r="E1454" t="s">
        <v>74</v>
      </c>
      <c r="F1454" t="s">
        <v>16662</v>
      </c>
      <c r="G1454" t="s">
        <v>74</v>
      </c>
      <c r="H1454" t="s">
        <v>74</v>
      </c>
      <c r="I1454" t="s">
        <v>16661</v>
      </c>
      <c r="J1454" t="s">
        <v>16660</v>
      </c>
      <c r="K1454" t="s">
        <v>74</v>
      </c>
      <c r="L1454" t="s">
        <v>74</v>
      </c>
      <c r="M1454" t="s">
        <v>78</v>
      </c>
      <c r="N1454" t="s">
        <v>8016</v>
      </c>
      <c r="O1454" t="s">
        <v>16659</v>
      </c>
      <c r="P1454" t="s">
        <v>16658</v>
      </c>
      <c r="Q1454" t="s">
        <v>16657</v>
      </c>
      <c r="R1454" t="s">
        <v>16656</v>
      </c>
      <c r="S1454" t="s">
        <v>74</v>
      </c>
      <c r="T1454" t="s">
        <v>16655</v>
      </c>
      <c r="U1454" t="s">
        <v>16654</v>
      </c>
      <c r="V1454" t="s">
        <v>16653</v>
      </c>
      <c r="W1454" t="s">
        <v>16652</v>
      </c>
      <c r="X1454" t="s">
        <v>15724</v>
      </c>
      <c r="Y1454" t="s">
        <v>16651</v>
      </c>
      <c r="Z1454" t="s">
        <v>15988</v>
      </c>
      <c r="AA1454" t="s">
        <v>16650</v>
      </c>
      <c r="AB1454" t="s">
        <v>3302</v>
      </c>
      <c r="AC1454" t="s">
        <v>74</v>
      </c>
      <c r="AD1454" t="s">
        <v>74</v>
      </c>
      <c r="AE1454" t="s">
        <v>74</v>
      </c>
      <c r="AF1454" t="s">
        <v>74</v>
      </c>
      <c r="AG1454">
        <v>33</v>
      </c>
      <c r="AH1454">
        <v>41</v>
      </c>
      <c r="AI1454">
        <v>43</v>
      </c>
      <c r="AJ1454">
        <v>1</v>
      </c>
      <c r="AK1454">
        <v>2</v>
      </c>
      <c r="AL1454" t="s">
        <v>169</v>
      </c>
      <c r="AM1454" t="s">
        <v>170</v>
      </c>
      <c r="AN1454" t="s">
        <v>171</v>
      </c>
      <c r="AO1454" t="s">
        <v>16649</v>
      </c>
      <c r="AP1454" t="s">
        <v>16648</v>
      </c>
      <c r="AQ1454" t="s">
        <v>74</v>
      </c>
      <c r="AR1454" t="s">
        <v>16647</v>
      </c>
      <c r="AS1454" t="s">
        <v>16646</v>
      </c>
      <c r="AT1454" t="s">
        <v>492</v>
      </c>
      <c r="AU1454">
        <v>2006</v>
      </c>
      <c r="AV1454">
        <v>36</v>
      </c>
      <c r="AW1454" t="s">
        <v>74</v>
      </c>
      <c r="AX1454" t="s">
        <v>74</v>
      </c>
      <c r="AY1454">
        <v>3</v>
      </c>
      <c r="AZ1454" t="s">
        <v>74</v>
      </c>
      <c r="BA1454" t="s">
        <v>74</v>
      </c>
      <c r="BB1454">
        <v>25</v>
      </c>
      <c r="BC1454">
        <v>31</v>
      </c>
      <c r="BD1454" t="s">
        <v>74</v>
      </c>
      <c r="BE1454" t="s">
        <v>16645</v>
      </c>
      <c r="BF1454" t="str">
        <f>HYPERLINK("http://dx.doi.org/10.1111/j.1365-2362.2006.01685.x","http://dx.doi.org/10.1111/j.1365-2362.2006.01685.x")</f>
        <v>http://dx.doi.org/10.1111/j.1365-2362.2006.01685.x</v>
      </c>
      <c r="BG1454" t="s">
        <v>74</v>
      </c>
      <c r="BH1454" t="s">
        <v>74</v>
      </c>
      <c r="BI1454">
        <v>7</v>
      </c>
      <c r="BJ1454" t="s">
        <v>16644</v>
      </c>
      <c r="BK1454" t="s">
        <v>512</v>
      </c>
      <c r="BL1454" t="s">
        <v>16643</v>
      </c>
      <c r="BM1454" t="s">
        <v>16642</v>
      </c>
      <c r="BN1454">
        <v>16919007</v>
      </c>
      <c r="BO1454" t="s">
        <v>74</v>
      </c>
      <c r="BP1454" t="s">
        <v>74</v>
      </c>
      <c r="BQ1454" t="s">
        <v>74</v>
      </c>
      <c r="BR1454" t="s">
        <v>104</v>
      </c>
      <c r="BS1454" t="s">
        <v>16641</v>
      </c>
      <c r="BT1454" t="str">
        <f>HYPERLINK("https%3A%2F%2Fwww.webofscience.com%2Fwos%2Fwoscc%2Ffull-record%2FWOS:000240535600005","View Full Record in Web of Science")</f>
        <v>View Full Record in Web of Science</v>
      </c>
    </row>
    <row r="1455" spans="1:72" x14ac:dyDescent="0.25">
      <c r="A1455" t="s">
        <v>72</v>
      </c>
      <c r="B1455" t="s">
        <v>16640</v>
      </c>
      <c r="C1455" t="s">
        <v>74</v>
      </c>
      <c r="D1455" t="s">
        <v>74</v>
      </c>
      <c r="E1455" t="s">
        <v>74</v>
      </c>
      <c r="F1455" t="s">
        <v>16639</v>
      </c>
      <c r="G1455" t="s">
        <v>74</v>
      </c>
      <c r="H1455" t="s">
        <v>74</v>
      </c>
      <c r="I1455" t="s">
        <v>16638</v>
      </c>
      <c r="J1455" t="s">
        <v>1068</v>
      </c>
      <c r="K1455" t="s">
        <v>74</v>
      </c>
      <c r="L1455" t="s">
        <v>74</v>
      </c>
      <c r="M1455" t="s">
        <v>78</v>
      </c>
      <c r="N1455" t="s">
        <v>52</v>
      </c>
      <c r="O1455" t="s">
        <v>16637</v>
      </c>
      <c r="P1455" t="s">
        <v>16636</v>
      </c>
      <c r="Q1455" t="s">
        <v>2953</v>
      </c>
      <c r="R1455" t="s">
        <v>16635</v>
      </c>
      <c r="S1455" t="s">
        <v>74</v>
      </c>
      <c r="T1455" t="s">
        <v>74</v>
      </c>
      <c r="U1455" t="s">
        <v>74</v>
      </c>
      <c r="V1455" t="s">
        <v>74</v>
      </c>
      <c r="W1455" t="s">
        <v>16634</v>
      </c>
      <c r="X1455" t="s">
        <v>16633</v>
      </c>
      <c r="Y1455" t="s">
        <v>74</v>
      </c>
      <c r="Z1455" t="s">
        <v>74</v>
      </c>
      <c r="AA1455" t="s">
        <v>16632</v>
      </c>
      <c r="AB1455" t="s">
        <v>1489</v>
      </c>
      <c r="AC1455" t="s">
        <v>74</v>
      </c>
      <c r="AD1455" t="s">
        <v>74</v>
      </c>
      <c r="AE1455" t="s">
        <v>74</v>
      </c>
      <c r="AF1455" t="s">
        <v>74</v>
      </c>
      <c r="AG1455">
        <v>0</v>
      </c>
      <c r="AH1455">
        <v>0</v>
      </c>
      <c r="AI1455">
        <v>0</v>
      </c>
      <c r="AJ1455">
        <v>1</v>
      </c>
      <c r="AK1455">
        <v>2</v>
      </c>
      <c r="AL1455" t="s">
        <v>1073</v>
      </c>
      <c r="AM1455" t="s">
        <v>1074</v>
      </c>
      <c r="AN1455" t="s">
        <v>1075</v>
      </c>
      <c r="AO1455" t="s">
        <v>1076</v>
      </c>
      <c r="AP1455" t="s">
        <v>1077</v>
      </c>
      <c r="AQ1455" t="s">
        <v>74</v>
      </c>
      <c r="AR1455" t="s">
        <v>1078</v>
      </c>
      <c r="AS1455" t="s">
        <v>1079</v>
      </c>
      <c r="AT1455" t="s">
        <v>725</v>
      </c>
      <c r="AU1455">
        <v>2006</v>
      </c>
      <c r="AV1455">
        <v>27</v>
      </c>
      <c r="AW1455" t="s">
        <v>74</v>
      </c>
      <c r="AX1455" t="s">
        <v>74</v>
      </c>
      <c r="AY1455">
        <v>1</v>
      </c>
      <c r="AZ1455" t="s">
        <v>74</v>
      </c>
      <c r="BA1455" t="s">
        <v>74</v>
      </c>
      <c r="BB1455">
        <v>401</v>
      </c>
      <c r="BC1455">
        <v>401</v>
      </c>
      <c r="BD1455" t="s">
        <v>74</v>
      </c>
      <c r="BE1455" t="s">
        <v>74</v>
      </c>
      <c r="BF1455" t="s">
        <v>74</v>
      </c>
      <c r="BG1455" t="s">
        <v>74</v>
      </c>
      <c r="BH1455" t="s">
        <v>74</v>
      </c>
      <c r="BI1455">
        <v>1</v>
      </c>
      <c r="BJ1455" t="s">
        <v>132</v>
      </c>
      <c r="BK1455" t="s">
        <v>512</v>
      </c>
      <c r="BL1455" t="s">
        <v>133</v>
      </c>
      <c r="BM1455" t="s">
        <v>16631</v>
      </c>
      <c r="BN1455" t="s">
        <v>74</v>
      </c>
      <c r="BO1455" t="s">
        <v>74</v>
      </c>
      <c r="BP1455" t="s">
        <v>74</v>
      </c>
      <c r="BQ1455" t="s">
        <v>74</v>
      </c>
      <c r="BR1455" t="s">
        <v>104</v>
      </c>
      <c r="BS1455" t="s">
        <v>16630</v>
      </c>
      <c r="BT1455" t="str">
        <f>HYPERLINK("https%3A%2F%2Fwww.webofscience.com%2Fwos%2Fwoscc%2Ffull-record%2FWOS:000240668402435","View Full Record in Web of Science")</f>
        <v>View Full Record in Web of Science</v>
      </c>
    </row>
    <row r="1456" spans="1:72" x14ac:dyDescent="0.25">
      <c r="A1456" t="s">
        <v>72</v>
      </c>
      <c r="B1456" t="s">
        <v>16629</v>
      </c>
      <c r="C1456" t="s">
        <v>74</v>
      </c>
      <c r="D1456" t="s">
        <v>74</v>
      </c>
      <c r="E1456" t="s">
        <v>74</v>
      </c>
      <c r="F1456" t="s">
        <v>16628</v>
      </c>
      <c r="G1456" t="s">
        <v>74</v>
      </c>
      <c r="H1456" t="s">
        <v>74</v>
      </c>
      <c r="I1456" t="s">
        <v>16627</v>
      </c>
      <c r="J1456" t="s">
        <v>6978</v>
      </c>
      <c r="K1456" t="s">
        <v>74</v>
      </c>
      <c r="L1456" t="s">
        <v>74</v>
      </c>
      <c r="M1456" t="s">
        <v>78</v>
      </c>
      <c r="N1456" t="s">
        <v>460</v>
      </c>
      <c r="O1456" t="s">
        <v>74</v>
      </c>
      <c r="P1456" t="s">
        <v>74</v>
      </c>
      <c r="Q1456" t="s">
        <v>74</v>
      </c>
      <c r="R1456" t="s">
        <v>74</v>
      </c>
      <c r="S1456" t="s">
        <v>74</v>
      </c>
      <c r="T1456" t="s">
        <v>74</v>
      </c>
      <c r="U1456" t="s">
        <v>967</v>
      </c>
      <c r="V1456" t="s">
        <v>74</v>
      </c>
      <c r="W1456" t="s">
        <v>16626</v>
      </c>
      <c r="X1456" t="s">
        <v>16625</v>
      </c>
      <c r="Y1456" t="s">
        <v>16624</v>
      </c>
      <c r="Z1456" t="s">
        <v>10573</v>
      </c>
      <c r="AA1456" t="s">
        <v>16623</v>
      </c>
      <c r="AB1456" t="s">
        <v>16622</v>
      </c>
      <c r="AC1456" t="s">
        <v>74</v>
      </c>
      <c r="AD1456" t="s">
        <v>74</v>
      </c>
      <c r="AE1456" t="s">
        <v>74</v>
      </c>
      <c r="AF1456" t="s">
        <v>74</v>
      </c>
      <c r="AG1456">
        <v>5</v>
      </c>
      <c r="AH1456">
        <v>128</v>
      </c>
      <c r="AI1456">
        <v>139</v>
      </c>
      <c r="AJ1456">
        <v>3</v>
      </c>
      <c r="AK1456">
        <v>5</v>
      </c>
      <c r="AL1456" t="s">
        <v>15444</v>
      </c>
      <c r="AM1456" t="s">
        <v>201</v>
      </c>
      <c r="AN1456" t="s">
        <v>2591</v>
      </c>
      <c r="AO1456" t="s">
        <v>6985</v>
      </c>
      <c r="AP1456" t="s">
        <v>74</v>
      </c>
      <c r="AQ1456" t="s">
        <v>74</v>
      </c>
      <c r="AR1456" t="s">
        <v>6978</v>
      </c>
      <c r="AS1456" t="s">
        <v>6987</v>
      </c>
      <c r="AT1456" t="s">
        <v>725</v>
      </c>
      <c r="AU1456">
        <v>2006</v>
      </c>
      <c r="AV1456">
        <v>61</v>
      </c>
      <c r="AW1456">
        <v>8</v>
      </c>
      <c r="AX1456" t="s">
        <v>74</v>
      </c>
      <c r="AY1456" t="s">
        <v>74</v>
      </c>
      <c r="AZ1456" t="s">
        <v>74</v>
      </c>
      <c r="BA1456" t="s">
        <v>74</v>
      </c>
      <c r="BB1456">
        <v>736</v>
      </c>
      <c r="BC1456">
        <v>736</v>
      </c>
      <c r="BD1456" t="s">
        <v>74</v>
      </c>
      <c r="BE1456" t="s">
        <v>16621</v>
      </c>
      <c r="BF1456" t="str">
        <f>HYPERLINK("http://dx.doi.org/10.1136/thx.2006.064097","http://dx.doi.org/10.1136/thx.2006.064097")</f>
        <v>http://dx.doi.org/10.1136/thx.2006.064097</v>
      </c>
      <c r="BG1456" t="s">
        <v>74</v>
      </c>
      <c r="BH1456" t="s">
        <v>74</v>
      </c>
      <c r="BI1456">
        <v>1</v>
      </c>
      <c r="BJ1456" t="s">
        <v>228</v>
      </c>
      <c r="BK1456" t="s">
        <v>101</v>
      </c>
      <c r="BL1456" t="s">
        <v>228</v>
      </c>
      <c r="BM1456" t="s">
        <v>16620</v>
      </c>
      <c r="BN1456">
        <v>16877696</v>
      </c>
      <c r="BO1456" t="s">
        <v>16619</v>
      </c>
      <c r="BP1456" t="s">
        <v>74</v>
      </c>
      <c r="BQ1456" t="s">
        <v>74</v>
      </c>
      <c r="BR1456" t="s">
        <v>104</v>
      </c>
      <c r="BS1456" t="s">
        <v>16618</v>
      </c>
      <c r="BT1456" t="str">
        <f>HYPERLINK("https%3A%2F%2Fwww.webofscience.com%2Fwos%2Fwoscc%2Ffull-record%2FWOS:000239369700021","View Full Record in Web of Science")</f>
        <v>View Full Record in Web of Science</v>
      </c>
    </row>
    <row r="1457" spans="1:72" x14ac:dyDescent="0.25">
      <c r="A1457" t="s">
        <v>72</v>
      </c>
      <c r="B1457" t="s">
        <v>15543</v>
      </c>
      <c r="C1457" t="s">
        <v>74</v>
      </c>
      <c r="D1457" t="s">
        <v>74</v>
      </c>
      <c r="E1457" t="s">
        <v>74</v>
      </c>
      <c r="F1457" t="s">
        <v>16617</v>
      </c>
      <c r="G1457" t="s">
        <v>74</v>
      </c>
      <c r="H1457" t="s">
        <v>16616</v>
      </c>
      <c r="I1457" t="s">
        <v>16615</v>
      </c>
      <c r="J1457" t="s">
        <v>637</v>
      </c>
      <c r="K1457" t="s">
        <v>74</v>
      </c>
      <c r="L1457" t="s">
        <v>74</v>
      </c>
      <c r="M1457" t="s">
        <v>78</v>
      </c>
      <c r="N1457" t="s">
        <v>460</v>
      </c>
      <c r="O1457" t="s">
        <v>74</v>
      </c>
      <c r="P1457" t="s">
        <v>74</v>
      </c>
      <c r="Q1457" t="s">
        <v>74</v>
      </c>
      <c r="R1457" t="s">
        <v>74</v>
      </c>
      <c r="S1457" t="s">
        <v>74</v>
      </c>
      <c r="T1457" t="s">
        <v>74</v>
      </c>
      <c r="U1457" t="s">
        <v>16614</v>
      </c>
      <c r="V1457" t="s">
        <v>74</v>
      </c>
      <c r="W1457" t="s">
        <v>16613</v>
      </c>
      <c r="X1457" t="s">
        <v>14590</v>
      </c>
      <c r="Y1457" t="s">
        <v>16612</v>
      </c>
      <c r="Z1457" t="s">
        <v>74</v>
      </c>
      <c r="AA1457" t="s">
        <v>7706</v>
      </c>
      <c r="AB1457" t="s">
        <v>257</v>
      </c>
      <c r="AC1457" t="s">
        <v>74</v>
      </c>
      <c r="AD1457" t="s">
        <v>74</v>
      </c>
      <c r="AE1457" t="s">
        <v>74</v>
      </c>
      <c r="AF1457" t="s">
        <v>74</v>
      </c>
      <c r="AG1457">
        <v>6</v>
      </c>
      <c r="AH1457">
        <v>2</v>
      </c>
      <c r="AI1457">
        <v>2</v>
      </c>
      <c r="AJ1457">
        <v>0</v>
      </c>
      <c r="AK1457">
        <v>0</v>
      </c>
      <c r="AL1457" t="s">
        <v>649</v>
      </c>
      <c r="AM1457" t="s">
        <v>486</v>
      </c>
      <c r="AN1457" t="s">
        <v>650</v>
      </c>
      <c r="AO1457" t="s">
        <v>651</v>
      </c>
      <c r="AP1457" t="s">
        <v>652</v>
      </c>
      <c r="AQ1457" t="s">
        <v>74</v>
      </c>
      <c r="AR1457" t="s">
        <v>653</v>
      </c>
      <c r="AS1457" t="s">
        <v>654</v>
      </c>
      <c r="AT1457" t="s">
        <v>8657</v>
      </c>
      <c r="AU1457">
        <v>2006</v>
      </c>
      <c r="AV1457">
        <v>174</v>
      </c>
      <c r="AW1457">
        <v>2</v>
      </c>
      <c r="AX1457" t="s">
        <v>74</v>
      </c>
      <c r="AY1457" t="s">
        <v>74</v>
      </c>
      <c r="AZ1457" t="s">
        <v>74</v>
      </c>
      <c r="BA1457" t="s">
        <v>74</v>
      </c>
      <c r="BB1457">
        <v>228</v>
      </c>
      <c r="BC1457">
        <v>229</v>
      </c>
      <c r="BD1457" t="s">
        <v>74</v>
      </c>
      <c r="BE1457" t="s">
        <v>74</v>
      </c>
      <c r="BF1457" t="s">
        <v>74</v>
      </c>
      <c r="BG1457" t="s">
        <v>74</v>
      </c>
      <c r="BH1457" t="s">
        <v>74</v>
      </c>
      <c r="BI1457">
        <v>2</v>
      </c>
      <c r="BJ1457" t="s">
        <v>341</v>
      </c>
      <c r="BK1457" t="s">
        <v>101</v>
      </c>
      <c r="BL1457" t="s">
        <v>342</v>
      </c>
      <c r="BM1457" t="s">
        <v>16611</v>
      </c>
      <c r="BN1457" t="s">
        <v>74</v>
      </c>
      <c r="BO1457" t="s">
        <v>74</v>
      </c>
      <c r="BP1457" t="s">
        <v>74</v>
      </c>
      <c r="BQ1457" t="s">
        <v>74</v>
      </c>
      <c r="BR1457" t="s">
        <v>104</v>
      </c>
      <c r="BS1457" t="s">
        <v>16610</v>
      </c>
      <c r="BT1457" t="str">
        <f>HYPERLINK("https%3A%2F%2Fwww.webofscience.com%2Fwos%2Fwoscc%2Ffull-record%2FWOS:000239104700018","View Full Record in Web of Science")</f>
        <v>View Full Record in Web of Science</v>
      </c>
    </row>
    <row r="1458" spans="1:72" x14ac:dyDescent="0.25">
      <c r="A1458" t="s">
        <v>72</v>
      </c>
      <c r="B1458" t="s">
        <v>16609</v>
      </c>
      <c r="C1458" t="s">
        <v>74</v>
      </c>
      <c r="D1458" t="s">
        <v>74</v>
      </c>
      <c r="E1458" t="s">
        <v>74</v>
      </c>
      <c r="F1458" t="s">
        <v>16608</v>
      </c>
      <c r="G1458" t="s">
        <v>74</v>
      </c>
      <c r="H1458" t="s">
        <v>74</v>
      </c>
      <c r="I1458" t="s">
        <v>16607</v>
      </c>
      <c r="J1458" t="s">
        <v>2580</v>
      </c>
      <c r="K1458" t="s">
        <v>74</v>
      </c>
      <c r="L1458" t="s">
        <v>74</v>
      </c>
      <c r="M1458" t="s">
        <v>78</v>
      </c>
      <c r="N1458" t="s">
        <v>52</v>
      </c>
      <c r="O1458" t="s">
        <v>16606</v>
      </c>
      <c r="P1458" t="s">
        <v>16605</v>
      </c>
      <c r="Q1458" t="s">
        <v>16604</v>
      </c>
      <c r="R1458" t="s">
        <v>74</v>
      </c>
      <c r="S1458" t="s">
        <v>74</v>
      </c>
      <c r="T1458" t="s">
        <v>74</v>
      </c>
      <c r="U1458" t="s">
        <v>2277</v>
      </c>
      <c r="V1458" t="s">
        <v>74</v>
      </c>
      <c r="W1458" t="s">
        <v>16603</v>
      </c>
      <c r="X1458" t="s">
        <v>16602</v>
      </c>
      <c r="Y1458" t="s">
        <v>74</v>
      </c>
      <c r="Z1458" t="s">
        <v>74</v>
      </c>
      <c r="AA1458" t="s">
        <v>2829</v>
      </c>
      <c r="AB1458" t="s">
        <v>1489</v>
      </c>
      <c r="AC1458" t="s">
        <v>74</v>
      </c>
      <c r="AD1458" t="s">
        <v>74</v>
      </c>
      <c r="AE1458" t="s">
        <v>74</v>
      </c>
      <c r="AF1458" t="s">
        <v>74</v>
      </c>
      <c r="AG1458">
        <v>2</v>
      </c>
      <c r="AH1458">
        <v>0</v>
      </c>
      <c r="AI1458">
        <v>0</v>
      </c>
      <c r="AJ1458">
        <v>0</v>
      </c>
      <c r="AK1458">
        <v>2</v>
      </c>
      <c r="AL1458" t="s">
        <v>15444</v>
      </c>
      <c r="AM1458" t="s">
        <v>201</v>
      </c>
      <c r="AN1458" t="s">
        <v>2591</v>
      </c>
      <c r="AO1458" t="s">
        <v>2592</v>
      </c>
      <c r="AP1458" t="s">
        <v>74</v>
      </c>
      <c r="AQ1458" t="s">
        <v>74</v>
      </c>
      <c r="AR1458" t="s">
        <v>2594</v>
      </c>
      <c r="AS1458" t="s">
        <v>2595</v>
      </c>
      <c r="AT1458" t="s">
        <v>785</v>
      </c>
      <c r="AU1458">
        <v>2006</v>
      </c>
      <c r="AV1458">
        <v>65</v>
      </c>
      <c r="AW1458" t="s">
        <v>74</v>
      </c>
      <c r="AX1458" t="s">
        <v>74</v>
      </c>
      <c r="AY1458">
        <v>2</v>
      </c>
      <c r="AZ1458" t="s">
        <v>74</v>
      </c>
      <c r="BA1458" t="s">
        <v>74</v>
      </c>
      <c r="BB1458">
        <v>389</v>
      </c>
      <c r="BC1458">
        <v>389</v>
      </c>
      <c r="BD1458" t="s">
        <v>74</v>
      </c>
      <c r="BE1458" t="s">
        <v>74</v>
      </c>
      <c r="BF1458" t="s">
        <v>74</v>
      </c>
      <c r="BG1458" t="s">
        <v>74</v>
      </c>
      <c r="BH1458" t="s">
        <v>74</v>
      </c>
      <c r="BI1458">
        <v>1</v>
      </c>
      <c r="BJ1458" t="s">
        <v>2369</v>
      </c>
      <c r="BK1458" t="s">
        <v>512</v>
      </c>
      <c r="BL1458" t="s">
        <v>2369</v>
      </c>
      <c r="BM1458" t="s">
        <v>16601</v>
      </c>
      <c r="BN1458" t="s">
        <v>74</v>
      </c>
      <c r="BO1458" t="s">
        <v>74</v>
      </c>
      <c r="BP1458" t="s">
        <v>74</v>
      </c>
      <c r="BQ1458" t="s">
        <v>74</v>
      </c>
      <c r="BR1458" t="s">
        <v>104</v>
      </c>
      <c r="BS1458" t="s">
        <v>16600</v>
      </c>
      <c r="BT1458" t="str">
        <f>HYPERLINK("https%3A%2F%2Fwww.webofscience.com%2Fwos%2Fwoscc%2Ffull-record%2FWOS:000249372501519","View Full Record in Web of Science")</f>
        <v>View Full Record in Web of Science</v>
      </c>
    </row>
    <row r="1459" spans="1:72" x14ac:dyDescent="0.25">
      <c r="A1459" t="s">
        <v>72</v>
      </c>
      <c r="B1459" t="s">
        <v>16599</v>
      </c>
      <c r="C1459" t="s">
        <v>74</v>
      </c>
      <c r="D1459" t="s">
        <v>74</v>
      </c>
      <c r="E1459" t="s">
        <v>74</v>
      </c>
      <c r="F1459" t="s">
        <v>16598</v>
      </c>
      <c r="G1459" t="s">
        <v>74</v>
      </c>
      <c r="H1459" t="s">
        <v>74</v>
      </c>
      <c r="I1459" t="s">
        <v>16597</v>
      </c>
      <c r="J1459" t="s">
        <v>5624</v>
      </c>
      <c r="K1459" t="s">
        <v>74</v>
      </c>
      <c r="L1459" t="s">
        <v>74</v>
      </c>
      <c r="M1459" t="s">
        <v>78</v>
      </c>
      <c r="N1459" t="s">
        <v>79</v>
      </c>
      <c r="O1459" t="s">
        <v>74</v>
      </c>
      <c r="P1459" t="s">
        <v>74</v>
      </c>
      <c r="Q1459" t="s">
        <v>74</v>
      </c>
      <c r="R1459" t="s">
        <v>74</v>
      </c>
      <c r="S1459" t="s">
        <v>74</v>
      </c>
      <c r="T1459" t="s">
        <v>16596</v>
      </c>
      <c r="U1459" t="s">
        <v>16595</v>
      </c>
      <c r="V1459" t="s">
        <v>16594</v>
      </c>
      <c r="W1459" t="s">
        <v>16593</v>
      </c>
      <c r="X1459" t="s">
        <v>16592</v>
      </c>
      <c r="Y1459" t="s">
        <v>16591</v>
      </c>
      <c r="Z1459" t="s">
        <v>74</v>
      </c>
      <c r="AA1459" t="s">
        <v>16590</v>
      </c>
      <c r="AB1459" t="s">
        <v>16589</v>
      </c>
      <c r="AC1459" t="s">
        <v>74</v>
      </c>
      <c r="AD1459" t="s">
        <v>74</v>
      </c>
      <c r="AE1459" t="s">
        <v>74</v>
      </c>
      <c r="AF1459" t="s">
        <v>74</v>
      </c>
      <c r="AG1459">
        <v>15</v>
      </c>
      <c r="AH1459">
        <v>36</v>
      </c>
      <c r="AI1459">
        <v>43</v>
      </c>
      <c r="AJ1459">
        <v>1</v>
      </c>
      <c r="AK1459">
        <v>4</v>
      </c>
      <c r="AL1459" t="s">
        <v>169</v>
      </c>
      <c r="AM1459" t="s">
        <v>170</v>
      </c>
      <c r="AN1459" t="s">
        <v>171</v>
      </c>
      <c r="AO1459" t="s">
        <v>5636</v>
      </c>
      <c r="AP1459" t="s">
        <v>5637</v>
      </c>
      <c r="AQ1459" t="s">
        <v>74</v>
      </c>
      <c r="AR1459" t="s">
        <v>5624</v>
      </c>
      <c r="AS1459" t="s">
        <v>601</v>
      </c>
      <c r="AT1459" t="s">
        <v>785</v>
      </c>
      <c r="AU1459">
        <v>2006</v>
      </c>
      <c r="AV1459">
        <v>61</v>
      </c>
      <c r="AW1459">
        <v>7</v>
      </c>
      <c r="AX1459" t="s">
        <v>74</v>
      </c>
      <c r="AY1459" t="s">
        <v>74</v>
      </c>
      <c r="AZ1459" t="s">
        <v>74</v>
      </c>
      <c r="BA1459" t="s">
        <v>74</v>
      </c>
      <c r="BB1459">
        <v>886</v>
      </c>
      <c r="BC1459">
        <v>890</v>
      </c>
      <c r="BD1459" t="s">
        <v>74</v>
      </c>
      <c r="BE1459" t="s">
        <v>16588</v>
      </c>
      <c r="BF1459" t="str">
        <f>HYPERLINK("http://dx.doi.org/10.1111/j.1398-9995.2006.01065.x","http://dx.doi.org/10.1111/j.1398-9995.2006.01065.x")</f>
        <v>http://dx.doi.org/10.1111/j.1398-9995.2006.01065.x</v>
      </c>
      <c r="BG1459" t="s">
        <v>74</v>
      </c>
      <c r="BH1459" t="s">
        <v>74</v>
      </c>
      <c r="BI1459">
        <v>5</v>
      </c>
      <c r="BJ1459" t="s">
        <v>3085</v>
      </c>
      <c r="BK1459" t="s">
        <v>101</v>
      </c>
      <c r="BL1459" t="s">
        <v>3085</v>
      </c>
      <c r="BM1459" t="s">
        <v>16587</v>
      </c>
      <c r="BN1459">
        <v>16792589</v>
      </c>
      <c r="BO1459" t="s">
        <v>74</v>
      </c>
      <c r="BP1459" t="s">
        <v>74</v>
      </c>
      <c r="BQ1459" t="s">
        <v>74</v>
      </c>
      <c r="BR1459" t="s">
        <v>104</v>
      </c>
      <c r="BS1459" t="s">
        <v>16586</v>
      </c>
      <c r="BT1459" t="str">
        <f>HYPERLINK("https%3A%2F%2Fwww.webofscience.com%2Fwos%2Fwoscc%2Ffull-record%2FWOS:000238305000015","View Full Record in Web of Science")</f>
        <v>View Full Record in Web of Science</v>
      </c>
    </row>
    <row r="1460" spans="1:72" x14ac:dyDescent="0.25">
      <c r="A1460" t="s">
        <v>72</v>
      </c>
      <c r="B1460" t="s">
        <v>16585</v>
      </c>
      <c r="C1460" t="s">
        <v>74</v>
      </c>
      <c r="D1460" t="s">
        <v>74</v>
      </c>
      <c r="E1460" t="s">
        <v>74</v>
      </c>
      <c r="F1460" t="s">
        <v>16584</v>
      </c>
      <c r="G1460" t="s">
        <v>74</v>
      </c>
      <c r="H1460" t="s">
        <v>74</v>
      </c>
      <c r="I1460" t="s">
        <v>16583</v>
      </c>
      <c r="J1460" t="s">
        <v>216</v>
      </c>
      <c r="K1460" t="s">
        <v>74</v>
      </c>
      <c r="L1460" t="s">
        <v>74</v>
      </c>
      <c r="M1460" t="s">
        <v>78</v>
      </c>
      <c r="N1460" t="s">
        <v>79</v>
      </c>
      <c r="O1460" t="s">
        <v>74</v>
      </c>
      <c r="P1460" t="s">
        <v>74</v>
      </c>
      <c r="Q1460" t="s">
        <v>74</v>
      </c>
      <c r="R1460" t="s">
        <v>74</v>
      </c>
      <c r="S1460" t="s">
        <v>74</v>
      </c>
      <c r="T1460" t="s">
        <v>16582</v>
      </c>
      <c r="U1460" t="s">
        <v>16581</v>
      </c>
      <c r="V1460" t="s">
        <v>16580</v>
      </c>
      <c r="W1460" t="s">
        <v>16579</v>
      </c>
      <c r="X1460" t="s">
        <v>16578</v>
      </c>
      <c r="Y1460" t="s">
        <v>16577</v>
      </c>
      <c r="Z1460" t="s">
        <v>16538</v>
      </c>
      <c r="AA1460" t="s">
        <v>16576</v>
      </c>
      <c r="AB1460" t="s">
        <v>16575</v>
      </c>
      <c r="AC1460" t="s">
        <v>74</v>
      </c>
      <c r="AD1460" t="s">
        <v>74</v>
      </c>
      <c r="AE1460" t="s">
        <v>74</v>
      </c>
      <c r="AF1460" t="s">
        <v>74</v>
      </c>
      <c r="AG1460">
        <v>29</v>
      </c>
      <c r="AH1460">
        <v>110</v>
      </c>
      <c r="AI1460">
        <v>119</v>
      </c>
      <c r="AJ1460">
        <v>0</v>
      </c>
      <c r="AK1460">
        <v>5</v>
      </c>
      <c r="AL1460" t="s">
        <v>219</v>
      </c>
      <c r="AM1460" t="s">
        <v>220</v>
      </c>
      <c r="AN1460" t="s">
        <v>221</v>
      </c>
      <c r="AO1460" t="s">
        <v>222</v>
      </c>
      <c r="AP1460" t="s">
        <v>223</v>
      </c>
      <c r="AQ1460" t="s">
        <v>74</v>
      </c>
      <c r="AR1460" t="s">
        <v>224</v>
      </c>
      <c r="AS1460" t="s">
        <v>225</v>
      </c>
      <c r="AT1460" t="s">
        <v>785</v>
      </c>
      <c r="AU1460">
        <v>2006</v>
      </c>
      <c r="AV1460">
        <v>28</v>
      </c>
      <c r="AW1460">
        <v>1</v>
      </c>
      <c r="AX1460" t="s">
        <v>74</v>
      </c>
      <c r="AY1460" t="s">
        <v>74</v>
      </c>
      <c r="AZ1460" t="s">
        <v>74</v>
      </c>
      <c r="BA1460" t="s">
        <v>74</v>
      </c>
      <c r="BB1460">
        <v>138</v>
      </c>
      <c r="BC1460">
        <v>143</v>
      </c>
      <c r="BD1460" t="s">
        <v>74</v>
      </c>
      <c r="BE1460" t="s">
        <v>16574</v>
      </c>
      <c r="BF1460" t="str">
        <f>HYPERLINK("http://dx.doi.org/10.1183/09031936.06.00135905","http://dx.doi.org/10.1183/09031936.06.00135905")</f>
        <v>http://dx.doi.org/10.1183/09031936.06.00135905</v>
      </c>
      <c r="BG1460" t="s">
        <v>74</v>
      </c>
      <c r="BH1460" t="s">
        <v>74</v>
      </c>
      <c r="BI1460">
        <v>6</v>
      </c>
      <c r="BJ1460" t="s">
        <v>228</v>
      </c>
      <c r="BK1460" t="s">
        <v>101</v>
      </c>
      <c r="BL1460" t="s">
        <v>228</v>
      </c>
      <c r="BM1460" t="s">
        <v>16573</v>
      </c>
      <c r="BN1460">
        <v>16611652</v>
      </c>
      <c r="BO1460" t="s">
        <v>1194</v>
      </c>
      <c r="BP1460" t="s">
        <v>74</v>
      </c>
      <c r="BQ1460" t="s">
        <v>74</v>
      </c>
      <c r="BR1460" t="s">
        <v>104</v>
      </c>
      <c r="BS1460" t="s">
        <v>16572</v>
      </c>
      <c r="BT1460" t="str">
        <f>HYPERLINK("https%3A%2F%2Fwww.webofscience.com%2Fwos%2Fwoscc%2Ffull-record%2FWOS:000239066500021","View Full Record in Web of Science")</f>
        <v>View Full Record in Web of Science</v>
      </c>
    </row>
    <row r="1461" spans="1:72" x14ac:dyDescent="0.25">
      <c r="A1461" t="s">
        <v>72</v>
      </c>
      <c r="B1461" t="s">
        <v>1420</v>
      </c>
      <c r="C1461" t="s">
        <v>74</v>
      </c>
      <c r="D1461" t="s">
        <v>74</v>
      </c>
      <c r="E1461" t="s">
        <v>74</v>
      </c>
      <c r="F1461" t="s">
        <v>1421</v>
      </c>
      <c r="G1461" t="s">
        <v>74</v>
      </c>
      <c r="H1461" t="s">
        <v>74</v>
      </c>
      <c r="I1461" t="s">
        <v>16571</v>
      </c>
      <c r="J1461" t="s">
        <v>324</v>
      </c>
      <c r="K1461" t="s">
        <v>74</v>
      </c>
      <c r="L1461" t="s">
        <v>74</v>
      </c>
      <c r="M1461" t="s">
        <v>78</v>
      </c>
      <c r="N1461" t="s">
        <v>79</v>
      </c>
      <c r="O1461" t="s">
        <v>74</v>
      </c>
      <c r="P1461" t="s">
        <v>74</v>
      </c>
      <c r="Q1461" t="s">
        <v>74</v>
      </c>
      <c r="R1461" t="s">
        <v>74</v>
      </c>
      <c r="S1461" t="s">
        <v>74</v>
      </c>
      <c r="T1461" t="s">
        <v>16570</v>
      </c>
      <c r="U1461" t="s">
        <v>16569</v>
      </c>
      <c r="V1461" t="s">
        <v>16568</v>
      </c>
      <c r="W1461" t="s">
        <v>16567</v>
      </c>
      <c r="X1461" t="s">
        <v>16566</v>
      </c>
      <c r="Y1461" t="s">
        <v>16565</v>
      </c>
      <c r="Z1461" t="s">
        <v>16564</v>
      </c>
      <c r="AA1461" t="s">
        <v>144</v>
      </c>
      <c r="AB1461" t="s">
        <v>257</v>
      </c>
      <c r="AC1461" t="s">
        <v>74</v>
      </c>
      <c r="AD1461" t="s">
        <v>74</v>
      </c>
      <c r="AE1461" t="s">
        <v>74</v>
      </c>
      <c r="AF1461" t="s">
        <v>74</v>
      </c>
      <c r="AG1461">
        <v>47</v>
      </c>
      <c r="AH1461">
        <v>17</v>
      </c>
      <c r="AI1461">
        <v>17</v>
      </c>
      <c r="AJ1461">
        <v>0</v>
      </c>
      <c r="AK1461">
        <v>5</v>
      </c>
      <c r="AL1461" t="s">
        <v>92</v>
      </c>
      <c r="AM1461" t="s">
        <v>93</v>
      </c>
      <c r="AN1461" t="s">
        <v>94</v>
      </c>
      <c r="AO1461" t="s">
        <v>337</v>
      </c>
      <c r="AP1461" t="s">
        <v>338</v>
      </c>
      <c r="AQ1461" t="s">
        <v>74</v>
      </c>
      <c r="AR1461" t="s">
        <v>324</v>
      </c>
      <c r="AS1461" t="s">
        <v>339</v>
      </c>
      <c r="AT1461" t="s">
        <v>785</v>
      </c>
      <c r="AU1461">
        <v>2006</v>
      </c>
      <c r="AV1461">
        <v>130</v>
      </c>
      <c r="AW1461">
        <v>1</v>
      </c>
      <c r="AX1461" t="s">
        <v>74</v>
      </c>
      <c r="AY1461" t="s">
        <v>998</v>
      </c>
      <c r="AZ1461" t="s">
        <v>74</v>
      </c>
      <c r="BA1461" t="s">
        <v>74</v>
      </c>
      <c r="BB1461" t="s">
        <v>16563</v>
      </c>
      <c r="BC1461" t="s">
        <v>16562</v>
      </c>
      <c r="BD1461" t="s">
        <v>74</v>
      </c>
      <c r="BE1461" t="s">
        <v>16561</v>
      </c>
      <c r="BF1461" t="str">
        <f>HYPERLINK("http://dx.doi.org/10.1378/chest.130.1_suppl.29S","http://dx.doi.org/10.1378/chest.130.1_suppl.29S")</f>
        <v>http://dx.doi.org/10.1378/chest.130.1_suppl.29S</v>
      </c>
      <c r="BG1461" t="s">
        <v>74</v>
      </c>
      <c r="BH1461" t="s">
        <v>74</v>
      </c>
      <c r="BI1461">
        <v>12</v>
      </c>
      <c r="BJ1461" t="s">
        <v>341</v>
      </c>
      <c r="BK1461" t="s">
        <v>101</v>
      </c>
      <c r="BL1461" t="s">
        <v>342</v>
      </c>
      <c r="BM1461" t="s">
        <v>16560</v>
      </c>
      <c r="BN1461">
        <v>16840366</v>
      </c>
      <c r="BO1461" t="s">
        <v>74</v>
      </c>
      <c r="BP1461" t="s">
        <v>74</v>
      </c>
      <c r="BQ1461" t="s">
        <v>74</v>
      </c>
      <c r="BR1461" t="s">
        <v>104</v>
      </c>
      <c r="BS1461" t="s">
        <v>16559</v>
      </c>
      <c r="BT1461" t="str">
        <f>HYPERLINK("https%3A%2F%2Fwww.webofscience.com%2Fwos%2Fwoscc%2Ffull-record%2FWOS:000239305500005","View Full Record in Web of Science")</f>
        <v>View Full Record in Web of Science</v>
      </c>
    </row>
    <row r="1462" spans="1:72" x14ac:dyDescent="0.25">
      <c r="A1462" t="s">
        <v>72</v>
      </c>
      <c r="B1462" t="s">
        <v>16558</v>
      </c>
      <c r="C1462" t="s">
        <v>74</v>
      </c>
      <c r="D1462" t="s">
        <v>74</v>
      </c>
      <c r="E1462" t="s">
        <v>74</v>
      </c>
      <c r="F1462" t="s">
        <v>16557</v>
      </c>
      <c r="G1462" t="s">
        <v>74</v>
      </c>
      <c r="H1462" t="s">
        <v>74</v>
      </c>
      <c r="I1462" t="s">
        <v>16556</v>
      </c>
      <c r="J1462" t="s">
        <v>324</v>
      </c>
      <c r="K1462" t="s">
        <v>74</v>
      </c>
      <c r="L1462" t="s">
        <v>74</v>
      </c>
      <c r="M1462" t="s">
        <v>78</v>
      </c>
      <c r="N1462" t="s">
        <v>79</v>
      </c>
      <c r="O1462" t="s">
        <v>74</v>
      </c>
      <c r="P1462" t="s">
        <v>74</v>
      </c>
      <c r="Q1462" t="s">
        <v>74</v>
      </c>
      <c r="R1462" t="s">
        <v>74</v>
      </c>
      <c r="S1462" t="s">
        <v>74</v>
      </c>
      <c r="T1462" t="s">
        <v>16555</v>
      </c>
      <c r="U1462" t="s">
        <v>16554</v>
      </c>
      <c r="V1462" t="s">
        <v>16553</v>
      </c>
      <c r="W1462" t="s">
        <v>16552</v>
      </c>
      <c r="X1462" t="s">
        <v>15253</v>
      </c>
      <c r="Y1462" t="s">
        <v>16551</v>
      </c>
      <c r="Z1462" t="s">
        <v>10573</v>
      </c>
      <c r="AA1462" t="s">
        <v>14164</v>
      </c>
      <c r="AB1462" t="s">
        <v>15421</v>
      </c>
      <c r="AC1462" t="s">
        <v>74</v>
      </c>
      <c r="AD1462" t="s">
        <v>74</v>
      </c>
      <c r="AE1462" t="s">
        <v>74</v>
      </c>
      <c r="AF1462" t="s">
        <v>74</v>
      </c>
      <c r="AG1462">
        <v>39</v>
      </c>
      <c r="AH1462">
        <v>251</v>
      </c>
      <c r="AI1462">
        <v>278</v>
      </c>
      <c r="AJ1462">
        <v>1</v>
      </c>
      <c r="AK1462">
        <v>14</v>
      </c>
      <c r="AL1462" t="s">
        <v>11161</v>
      </c>
      <c r="AM1462" t="s">
        <v>14574</v>
      </c>
      <c r="AN1462" t="s">
        <v>14573</v>
      </c>
      <c r="AO1462" t="s">
        <v>337</v>
      </c>
      <c r="AP1462" t="s">
        <v>74</v>
      </c>
      <c r="AQ1462" t="s">
        <v>74</v>
      </c>
      <c r="AR1462" t="s">
        <v>324</v>
      </c>
      <c r="AS1462" t="s">
        <v>339</v>
      </c>
      <c r="AT1462" t="s">
        <v>785</v>
      </c>
      <c r="AU1462">
        <v>2006</v>
      </c>
      <c r="AV1462">
        <v>130</v>
      </c>
      <c r="AW1462">
        <v>1</v>
      </c>
      <c r="AX1462" t="s">
        <v>74</v>
      </c>
      <c r="AY1462" t="s">
        <v>74</v>
      </c>
      <c r="AZ1462" t="s">
        <v>74</v>
      </c>
      <c r="BA1462" t="s">
        <v>74</v>
      </c>
      <c r="BB1462">
        <v>182</v>
      </c>
      <c r="BC1462">
        <v>189</v>
      </c>
      <c r="BD1462" t="s">
        <v>74</v>
      </c>
      <c r="BE1462" t="s">
        <v>16550</v>
      </c>
      <c r="BF1462" t="str">
        <f>HYPERLINK("http://dx.doi.org/10.1378/chest.130.1.182","http://dx.doi.org/10.1378/chest.130.1.182")</f>
        <v>http://dx.doi.org/10.1378/chest.130.1.182</v>
      </c>
      <c r="BG1462" t="s">
        <v>74</v>
      </c>
      <c r="BH1462" t="s">
        <v>74</v>
      </c>
      <c r="BI1462">
        <v>8</v>
      </c>
      <c r="BJ1462" t="s">
        <v>341</v>
      </c>
      <c r="BK1462" t="s">
        <v>101</v>
      </c>
      <c r="BL1462" t="s">
        <v>342</v>
      </c>
      <c r="BM1462" t="s">
        <v>16549</v>
      </c>
      <c r="BN1462">
        <v>16840400</v>
      </c>
      <c r="BO1462" t="s">
        <v>74</v>
      </c>
      <c r="BP1462" t="s">
        <v>74</v>
      </c>
      <c r="BQ1462" t="s">
        <v>74</v>
      </c>
      <c r="BR1462" t="s">
        <v>104</v>
      </c>
      <c r="BS1462" t="s">
        <v>16548</v>
      </c>
      <c r="BT1462" t="str">
        <f>HYPERLINK("https%3A%2F%2Fwww.webofscience.com%2Fwos%2Fwoscc%2Ffull-record%2FWOS:000239219300030","View Full Record in Web of Science")</f>
        <v>View Full Record in Web of Science</v>
      </c>
    </row>
    <row r="1463" spans="1:72" x14ac:dyDescent="0.25">
      <c r="A1463" t="s">
        <v>72</v>
      </c>
      <c r="B1463" t="s">
        <v>16547</v>
      </c>
      <c r="C1463" t="s">
        <v>74</v>
      </c>
      <c r="D1463" t="s">
        <v>74</v>
      </c>
      <c r="E1463" t="s">
        <v>74</v>
      </c>
      <c r="F1463" t="s">
        <v>16546</v>
      </c>
      <c r="G1463" t="s">
        <v>74</v>
      </c>
      <c r="H1463" t="s">
        <v>74</v>
      </c>
      <c r="I1463" t="s">
        <v>16545</v>
      </c>
      <c r="J1463" t="s">
        <v>1461</v>
      </c>
      <c r="K1463" t="s">
        <v>74</v>
      </c>
      <c r="L1463" t="s">
        <v>74</v>
      </c>
      <c r="M1463" t="s">
        <v>78</v>
      </c>
      <c r="N1463" t="s">
        <v>299</v>
      </c>
      <c r="O1463" t="s">
        <v>74</v>
      </c>
      <c r="P1463" t="s">
        <v>74</v>
      </c>
      <c r="Q1463" t="s">
        <v>74</v>
      </c>
      <c r="R1463" t="s">
        <v>74</v>
      </c>
      <c r="S1463" t="s">
        <v>74</v>
      </c>
      <c r="T1463" t="s">
        <v>16544</v>
      </c>
      <c r="U1463" t="s">
        <v>16543</v>
      </c>
      <c r="V1463" t="s">
        <v>16542</v>
      </c>
      <c r="W1463" t="s">
        <v>16541</v>
      </c>
      <c r="X1463" t="s">
        <v>16540</v>
      </c>
      <c r="Y1463" t="s">
        <v>16539</v>
      </c>
      <c r="Z1463" t="s">
        <v>16538</v>
      </c>
      <c r="AA1463" t="s">
        <v>16537</v>
      </c>
      <c r="AB1463" t="s">
        <v>16536</v>
      </c>
      <c r="AC1463" t="s">
        <v>74</v>
      </c>
      <c r="AD1463" t="s">
        <v>74</v>
      </c>
      <c r="AE1463" t="s">
        <v>74</v>
      </c>
      <c r="AF1463" t="s">
        <v>74</v>
      </c>
      <c r="AG1463">
        <v>34</v>
      </c>
      <c r="AH1463">
        <v>2</v>
      </c>
      <c r="AI1463">
        <v>2</v>
      </c>
      <c r="AJ1463">
        <v>0</v>
      </c>
      <c r="AK1463">
        <v>0</v>
      </c>
      <c r="AL1463" t="s">
        <v>16535</v>
      </c>
      <c r="AM1463" t="s">
        <v>201</v>
      </c>
      <c r="AN1463" t="s">
        <v>16534</v>
      </c>
      <c r="AO1463" t="s">
        <v>1470</v>
      </c>
      <c r="AP1463" t="s">
        <v>1471</v>
      </c>
      <c r="AQ1463" t="s">
        <v>74</v>
      </c>
      <c r="AR1463" t="s">
        <v>1472</v>
      </c>
      <c r="AS1463" t="s">
        <v>1473</v>
      </c>
      <c r="AT1463" t="s">
        <v>1060</v>
      </c>
      <c r="AU1463">
        <v>2006</v>
      </c>
      <c r="AV1463">
        <v>7</v>
      </c>
      <c r="AW1463">
        <v>9</v>
      </c>
      <c r="AX1463" t="s">
        <v>74</v>
      </c>
      <c r="AY1463" t="s">
        <v>74</v>
      </c>
      <c r="AZ1463" t="s">
        <v>74</v>
      </c>
      <c r="BA1463" t="s">
        <v>74</v>
      </c>
      <c r="BB1463">
        <v>1133</v>
      </c>
      <c r="BC1463">
        <v>1138</v>
      </c>
      <c r="BD1463" t="s">
        <v>74</v>
      </c>
      <c r="BE1463" t="s">
        <v>16533</v>
      </c>
      <c r="BF1463" t="str">
        <f>HYPERLINK("http://dx.doi.org/10.1517/14656566.7.9.1133","http://dx.doi.org/10.1517/14656566.7.9.1133")</f>
        <v>http://dx.doi.org/10.1517/14656566.7.9.1133</v>
      </c>
      <c r="BG1463" t="s">
        <v>74</v>
      </c>
      <c r="BH1463" t="s">
        <v>74</v>
      </c>
      <c r="BI1463">
        <v>6</v>
      </c>
      <c r="BJ1463" t="s">
        <v>1477</v>
      </c>
      <c r="BK1463" t="s">
        <v>101</v>
      </c>
      <c r="BL1463" t="s">
        <v>1477</v>
      </c>
      <c r="BM1463" t="s">
        <v>16532</v>
      </c>
      <c r="BN1463">
        <v>16732700</v>
      </c>
      <c r="BO1463" t="s">
        <v>74</v>
      </c>
      <c r="BP1463" t="s">
        <v>74</v>
      </c>
      <c r="BQ1463" t="s">
        <v>74</v>
      </c>
      <c r="BR1463" t="s">
        <v>104</v>
      </c>
      <c r="BS1463" t="s">
        <v>16531</v>
      </c>
      <c r="BT1463" t="str">
        <f>HYPERLINK("https%3A%2F%2Fwww.webofscience.com%2Fwos%2Fwoscc%2Ffull-record%2FWOS:000238310900004","View Full Record in Web of Science")</f>
        <v>View Full Record in Web of Science</v>
      </c>
    </row>
    <row r="1464" spans="1:72" x14ac:dyDescent="0.25">
      <c r="A1464" t="s">
        <v>72</v>
      </c>
      <c r="B1464" t="s">
        <v>16530</v>
      </c>
      <c r="C1464" t="s">
        <v>74</v>
      </c>
      <c r="D1464" t="s">
        <v>74</v>
      </c>
      <c r="E1464" t="s">
        <v>74</v>
      </c>
      <c r="F1464" t="s">
        <v>16530</v>
      </c>
      <c r="G1464" t="s">
        <v>74</v>
      </c>
      <c r="H1464" t="s">
        <v>74</v>
      </c>
      <c r="I1464" t="s">
        <v>16529</v>
      </c>
      <c r="J1464" t="s">
        <v>637</v>
      </c>
      <c r="K1464" t="s">
        <v>74</v>
      </c>
      <c r="L1464" t="s">
        <v>74</v>
      </c>
      <c r="M1464" t="s">
        <v>78</v>
      </c>
      <c r="N1464" t="s">
        <v>79</v>
      </c>
      <c r="O1464" t="s">
        <v>74</v>
      </c>
      <c r="P1464" t="s">
        <v>74</v>
      </c>
      <c r="Q1464" t="s">
        <v>74</v>
      </c>
      <c r="R1464" t="s">
        <v>74</v>
      </c>
      <c r="S1464" t="s">
        <v>74</v>
      </c>
      <c r="T1464" t="s">
        <v>16528</v>
      </c>
      <c r="U1464" t="s">
        <v>16527</v>
      </c>
      <c r="V1464" t="s">
        <v>16526</v>
      </c>
      <c r="W1464" t="s">
        <v>16525</v>
      </c>
      <c r="X1464" t="s">
        <v>16524</v>
      </c>
      <c r="Y1464" t="s">
        <v>16523</v>
      </c>
      <c r="Z1464" t="s">
        <v>10573</v>
      </c>
      <c r="AA1464" t="s">
        <v>16522</v>
      </c>
      <c r="AB1464" t="s">
        <v>16521</v>
      </c>
      <c r="AC1464" t="s">
        <v>74</v>
      </c>
      <c r="AD1464" t="s">
        <v>74</v>
      </c>
      <c r="AE1464" t="s">
        <v>74</v>
      </c>
      <c r="AF1464" t="s">
        <v>74</v>
      </c>
      <c r="AG1464">
        <v>28</v>
      </c>
      <c r="AH1464">
        <v>1510</v>
      </c>
      <c r="AI1464">
        <v>1655</v>
      </c>
      <c r="AJ1464">
        <v>3</v>
      </c>
      <c r="AK1464">
        <v>81</v>
      </c>
      <c r="AL1464" t="s">
        <v>649</v>
      </c>
      <c r="AM1464" t="s">
        <v>486</v>
      </c>
      <c r="AN1464" t="s">
        <v>650</v>
      </c>
      <c r="AO1464" t="s">
        <v>651</v>
      </c>
      <c r="AP1464" t="s">
        <v>652</v>
      </c>
      <c r="AQ1464" t="s">
        <v>74</v>
      </c>
      <c r="AR1464" t="s">
        <v>653</v>
      </c>
      <c r="AS1464" t="s">
        <v>654</v>
      </c>
      <c r="AT1464" t="s">
        <v>960</v>
      </c>
      <c r="AU1464">
        <v>2006</v>
      </c>
      <c r="AV1464">
        <v>173</v>
      </c>
      <c r="AW1464">
        <v>9</v>
      </c>
      <c r="AX1464" t="s">
        <v>74</v>
      </c>
      <c r="AY1464" t="s">
        <v>74</v>
      </c>
      <c r="AZ1464" t="s">
        <v>74</v>
      </c>
      <c r="BA1464" t="s">
        <v>74</v>
      </c>
      <c r="BB1464">
        <v>1023</v>
      </c>
      <c r="BC1464">
        <v>1030</v>
      </c>
      <c r="BD1464" t="s">
        <v>74</v>
      </c>
      <c r="BE1464" t="s">
        <v>16520</v>
      </c>
      <c r="BF1464" t="str">
        <f>HYPERLINK("http://dx.doi.org/10.1164/rccm.200510-1668OC","http://dx.doi.org/10.1164/rccm.200510-1668OC")</f>
        <v>http://dx.doi.org/10.1164/rccm.200510-1668OC</v>
      </c>
      <c r="BG1464" t="s">
        <v>74</v>
      </c>
      <c r="BH1464" t="s">
        <v>74</v>
      </c>
      <c r="BI1464">
        <v>8</v>
      </c>
      <c r="BJ1464" t="s">
        <v>341</v>
      </c>
      <c r="BK1464" t="s">
        <v>101</v>
      </c>
      <c r="BL1464" t="s">
        <v>342</v>
      </c>
      <c r="BM1464" t="s">
        <v>16519</v>
      </c>
      <c r="BN1464">
        <v>16456139</v>
      </c>
      <c r="BO1464" t="s">
        <v>74</v>
      </c>
      <c r="BP1464" t="s">
        <v>74</v>
      </c>
      <c r="BQ1464" t="s">
        <v>74</v>
      </c>
      <c r="BR1464" t="s">
        <v>104</v>
      </c>
      <c r="BS1464" t="s">
        <v>16518</v>
      </c>
      <c r="BT1464" t="str">
        <f>HYPERLINK("https%3A%2F%2Fwww.webofscience.com%2Fwos%2Fwoscc%2Ffull-record%2FWOS:000237332400015","View Full Record in Web of Science")</f>
        <v>View Full Record in Web of Science</v>
      </c>
    </row>
    <row r="1465" spans="1:72" x14ac:dyDescent="0.25">
      <c r="A1465" t="s">
        <v>72</v>
      </c>
      <c r="B1465" t="s">
        <v>16517</v>
      </c>
      <c r="C1465" t="s">
        <v>74</v>
      </c>
      <c r="D1465" t="s">
        <v>74</v>
      </c>
      <c r="E1465" t="s">
        <v>74</v>
      </c>
      <c r="F1465" t="s">
        <v>16517</v>
      </c>
      <c r="G1465" t="s">
        <v>74</v>
      </c>
      <c r="H1465" t="s">
        <v>74</v>
      </c>
      <c r="I1465" t="s">
        <v>16516</v>
      </c>
      <c r="J1465" t="s">
        <v>251</v>
      </c>
      <c r="K1465" t="s">
        <v>74</v>
      </c>
      <c r="L1465" t="s">
        <v>74</v>
      </c>
      <c r="M1465" t="s">
        <v>78</v>
      </c>
      <c r="N1465" t="s">
        <v>79</v>
      </c>
      <c r="O1465" t="s">
        <v>74</v>
      </c>
      <c r="P1465" t="s">
        <v>74</v>
      </c>
      <c r="Q1465" t="s">
        <v>74</v>
      </c>
      <c r="R1465" t="s">
        <v>74</v>
      </c>
      <c r="S1465" t="s">
        <v>74</v>
      </c>
      <c r="T1465" t="s">
        <v>16515</v>
      </c>
      <c r="U1465" t="s">
        <v>16514</v>
      </c>
      <c r="V1465" t="s">
        <v>16513</v>
      </c>
      <c r="W1465" t="s">
        <v>16512</v>
      </c>
      <c r="X1465" t="s">
        <v>16251</v>
      </c>
      <c r="Y1465" t="s">
        <v>16511</v>
      </c>
      <c r="Z1465" t="s">
        <v>16249</v>
      </c>
      <c r="AA1465" t="s">
        <v>16510</v>
      </c>
      <c r="AB1465" t="s">
        <v>16509</v>
      </c>
      <c r="AC1465" t="s">
        <v>74</v>
      </c>
      <c r="AD1465" t="s">
        <v>74</v>
      </c>
      <c r="AE1465" t="s">
        <v>74</v>
      </c>
      <c r="AF1465" t="s">
        <v>74</v>
      </c>
      <c r="AG1465">
        <v>33</v>
      </c>
      <c r="AH1465">
        <v>227</v>
      </c>
      <c r="AI1465">
        <v>257</v>
      </c>
      <c r="AJ1465">
        <v>0</v>
      </c>
      <c r="AK1465">
        <v>14</v>
      </c>
      <c r="AL1465" t="s">
        <v>122</v>
      </c>
      <c r="AM1465" t="s">
        <v>123</v>
      </c>
      <c r="AN1465" t="s">
        <v>124</v>
      </c>
      <c r="AO1465" t="s">
        <v>258</v>
      </c>
      <c r="AP1465" t="s">
        <v>259</v>
      </c>
      <c r="AQ1465" t="s">
        <v>74</v>
      </c>
      <c r="AR1465" t="s">
        <v>251</v>
      </c>
      <c r="AS1465" t="s">
        <v>260</v>
      </c>
      <c r="AT1465" t="s">
        <v>16508</v>
      </c>
      <c r="AU1465">
        <v>2006</v>
      </c>
      <c r="AV1465">
        <v>113</v>
      </c>
      <c r="AW1465">
        <v>15</v>
      </c>
      <c r="AX1465" t="s">
        <v>74</v>
      </c>
      <c r="AY1465" t="s">
        <v>74</v>
      </c>
      <c r="AZ1465" t="s">
        <v>74</v>
      </c>
      <c r="BA1465" t="s">
        <v>74</v>
      </c>
      <c r="BB1465">
        <v>1857</v>
      </c>
      <c r="BC1465">
        <v>1864</v>
      </c>
      <c r="BD1465" t="s">
        <v>74</v>
      </c>
      <c r="BE1465" t="s">
        <v>16507</v>
      </c>
      <c r="BF1465" t="str">
        <f>HYPERLINK("http://dx.doi.org/10.1161/CIRCULATIONAHA.105.591321","http://dx.doi.org/10.1161/CIRCULATIONAHA.105.591321")</f>
        <v>http://dx.doi.org/10.1161/CIRCULATIONAHA.105.591321</v>
      </c>
      <c r="BG1465" t="s">
        <v>74</v>
      </c>
      <c r="BH1465" t="s">
        <v>74</v>
      </c>
      <c r="BI1465">
        <v>8</v>
      </c>
      <c r="BJ1465" t="s">
        <v>263</v>
      </c>
      <c r="BK1465" t="s">
        <v>101</v>
      </c>
      <c r="BL1465" t="s">
        <v>133</v>
      </c>
      <c r="BM1465" t="s">
        <v>16506</v>
      </c>
      <c r="BN1465">
        <v>16606791</v>
      </c>
      <c r="BO1465" t="s">
        <v>74</v>
      </c>
      <c r="BP1465" t="s">
        <v>74</v>
      </c>
      <c r="BQ1465" t="s">
        <v>74</v>
      </c>
      <c r="BR1465" t="s">
        <v>104</v>
      </c>
      <c r="BS1465" t="s">
        <v>16505</v>
      </c>
      <c r="BT1465" t="str">
        <f>HYPERLINK("https%3A%2F%2Fwww.webofscience.com%2Fwos%2Fwoscc%2Ffull-record%2FWOS:000236865100010","View Full Record in Web of Science")</f>
        <v>View Full Record in Web of Science</v>
      </c>
    </row>
    <row r="1466" spans="1:72" x14ac:dyDescent="0.25">
      <c r="A1466" t="s">
        <v>72</v>
      </c>
      <c r="B1466" t="s">
        <v>16504</v>
      </c>
      <c r="C1466" t="s">
        <v>74</v>
      </c>
      <c r="D1466" t="s">
        <v>74</v>
      </c>
      <c r="E1466" t="s">
        <v>74</v>
      </c>
      <c r="F1466" t="s">
        <v>16504</v>
      </c>
      <c r="G1466" t="s">
        <v>74</v>
      </c>
      <c r="H1466" t="s">
        <v>74</v>
      </c>
      <c r="I1466" t="s">
        <v>16503</v>
      </c>
      <c r="J1466" t="s">
        <v>637</v>
      </c>
      <c r="K1466" t="s">
        <v>74</v>
      </c>
      <c r="L1466" t="s">
        <v>74</v>
      </c>
      <c r="M1466" t="s">
        <v>78</v>
      </c>
      <c r="N1466" t="s">
        <v>79</v>
      </c>
      <c r="O1466" t="s">
        <v>74</v>
      </c>
      <c r="P1466" t="s">
        <v>74</v>
      </c>
      <c r="Q1466" t="s">
        <v>74</v>
      </c>
      <c r="R1466" t="s">
        <v>74</v>
      </c>
      <c r="S1466" t="s">
        <v>74</v>
      </c>
      <c r="T1466" t="s">
        <v>16502</v>
      </c>
      <c r="U1466" t="s">
        <v>16501</v>
      </c>
      <c r="V1466" t="s">
        <v>16500</v>
      </c>
      <c r="W1466" t="s">
        <v>16499</v>
      </c>
      <c r="X1466" t="s">
        <v>16498</v>
      </c>
      <c r="Y1466" t="s">
        <v>16497</v>
      </c>
      <c r="Z1466" t="s">
        <v>16496</v>
      </c>
      <c r="AA1466" t="s">
        <v>16495</v>
      </c>
      <c r="AB1466" t="s">
        <v>16494</v>
      </c>
      <c r="AC1466" t="s">
        <v>16493</v>
      </c>
      <c r="AD1466" t="s">
        <v>16492</v>
      </c>
      <c r="AE1466" t="s">
        <v>74</v>
      </c>
      <c r="AF1466" t="s">
        <v>74</v>
      </c>
      <c r="AG1466">
        <v>22</v>
      </c>
      <c r="AH1466">
        <v>71</v>
      </c>
      <c r="AI1466">
        <v>78</v>
      </c>
      <c r="AJ1466">
        <v>0</v>
      </c>
      <c r="AK1466">
        <v>8</v>
      </c>
      <c r="AL1466" t="s">
        <v>649</v>
      </c>
      <c r="AM1466" t="s">
        <v>486</v>
      </c>
      <c r="AN1466" t="s">
        <v>14919</v>
      </c>
      <c r="AO1466" t="s">
        <v>651</v>
      </c>
      <c r="AP1466" t="s">
        <v>74</v>
      </c>
      <c r="AQ1466" t="s">
        <v>74</v>
      </c>
      <c r="AR1466" t="s">
        <v>653</v>
      </c>
      <c r="AS1466" t="s">
        <v>654</v>
      </c>
      <c r="AT1466" t="s">
        <v>1017</v>
      </c>
      <c r="AU1466">
        <v>2006</v>
      </c>
      <c r="AV1466">
        <v>173</v>
      </c>
      <c r="AW1466">
        <v>7</v>
      </c>
      <c r="AX1466" t="s">
        <v>74</v>
      </c>
      <c r="AY1466" t="s">
        <v>74</v>
      </c>
      <c r="AZ1466" t="s">
        <v>74</v>
      </c>
      <c r="BA1466" t="s">
        <v>74</v>
      </c>
      <c r="BB1466">
        <v>798</v>
      </c>
      <c r="BC1466">
        <v>802</v>
      </c>
      <c r="BD1466" t="s">
        <v>74</v>
      </c>
      <c r="BE1466" t="s">
        <v>16491</v>
      </c>
      <c r="BF1466" t="str">
        <f>HYPERLINK("http://dx.doi.org/10.1164/rccm.200509-1361OC","http://dx.doi.org/10.1164/rccm.200509-1361OC")</f>
        <v>http://dx.doi.org/10.1164/rccm.200509-1361OC</v>
      </c>
      <c r="BG1466" t="s">
        <v>74</v>
      </c>
      <c r="BH1466" t="s">
        <v>74</v>
      </c>
      <c r="BI1466">
        <v>5</v>
      </c>
      <c r="BJ1466" t="s">
        <v>341</v>
      </c>
      <c r="BK1466" t="s">
        <v>101</v>
      </c>
      <c r="BL1466" t="s">
        <v>342</v>
      </c>
      <c r="BM1466" t="s">
        <v>16490</v>
      </c>
      <c r="BN1466">
        <v>16339917</v>
      </c>
      <c r="BO1466" t="s">
        <v>16489</v>
      </c>
      <c r="BP1466" t="s">
        <v>74</v>
      </c>
      <c r="BQ1466" t="s">
        <v>74</v>
      </c>
      <c r="BR1466" t="s">
        <v>104</v>
      </c>
      <c r="BS1466" t="s">
        <v>16488</v>
      </c>
      <c r="BT1466" t="str">
        <f>HYPERLINK("https%3A%2F%2Fwww.webofscience.com%2Fwos%2Fwoscc%2Ffull-record%2FWOS:000236530600015","View Full Record in Web of Science")</f>
        <v>View Full Record in Web of Science</v>
      </c>
    </row>
    <row r="1467" spans="1:72" x14ac:dyDescent="0.25">
      <c r="A1467" t="s">
        <v>72</v>
      </c>
      <c r="B1467" t="s">
        <v>16487</v>
      </c>
      <c r="C1467" t="s">
        <v>74</v>
      </c>
      <c r="D1467" t="s">
        <v>74</v>
      </c>
      <c r="E1467" t="s">
        <v>74</v>
      </c>
      <c r="F1467" t="s">
        <v>16487</v>
      </c>
      <c r="G1467" t="s">
        <v>74</v>
      </c>
      <c r="H1467" t="s">
        <v>74</v>
      </c>
      <c r="I1467" t="s">
        <v>16486</v>
      </c>
      <c r="J1467" t="s">
        <v>16476</v>
      </c>
      <c r="K1467" t="s">
        <v>74</v>
      </c>
      <c r="L1467" t="s">
        <v>74</v>
      </c>
      <c r="M1467" t="s">
        <v>1795</v>
      </c>
      <c r="N1467" t="s">
        <v>79</v>
      </c>
      <c r="O1467" t="s">
        <v>74</v>
      </c>
      <c r="P1467" t="s">
        <v>74</v>
      </c>
      <c r="Q1467" t="s">
        <v>74</v>
      </c>
      <c r="R1467" t="s">
        <v>74</v>
      </c>
      <c r="S1467" t="s">
        <v>74</v>
      </c>
      <c r="T1467" t="s">
        <v>16485</v>
      </c>
      <c r="U1467" t="s">
        <v>74</v>
      </c>
      <c r="V1467" t="s">
        <v>16484</v>
      </c>
      <c r="W1467" t="s">
        <v>16483</v>
      </c>
      <c r="X1467" t="s">
        <v>16482</v>
      </c>
      <c r="Y1467" t="s">
        <v>16481</v>
      </c>
      <c r="Z1467" t="s">
        <v>16480</v>
      </c>
      <c r="AA1467" t="s">
        <v>144</v>
      </c>
      <c r="AB1467" t="s">
        <v>16479</v>
      </c>
      <c r="AC1467" t="s">
        <v>74</v>
      </c>
      <c r="AD1467" t="s">
        <v>74</v>
      </c>
      <c r="AE1467" t="s">
        <v>74</v>
      </c>
      <c r="AF1467" t="s">
        <v>74</v>
      </c>
      <c r="AG1467">
        <v>17</v>
      </c>
      <c r="AH1467">
        <v>3</v>
      </c>
      <c r="AI1467">
        <v>3</v>
      </c>
      <c r="AJ1467">
        <v>0</v>
      </c>
      <c r="AK1467">
        <v>3</v>
      </c>
      <c r="AL1467" t="s">
        <v>7584</v>
      </c>
      <c r="AM1467" t="s">
        <v>7585</v>
      </c>
      <c r="AN1467" t="s">
        <v>7586</v>
      </c>
      <c r="AO1467" t="s">
        <v>16478</v>
      </c>
      <c r="AP1467" t="s">
        <v>16477</v>
      </c>
      <c r="AQ1467" t="s">
        <v>74</v>
      </c>
      <c r="AR1467" t="s">
        <v>16476</v>
      </c>
      <c r="AS1467" t="s">
        <v>16475</v>
      </c>
      <c r="AT1467" t="s">
        <v>98</v>
      </c>
      <c r="AU1467">
        <v>2006</v>
      </c>
      <c r="AV1467">
        <v>27</v>
      </c>
      <c r="AW1467">
        <v>2</v>
      </c>
      <c r="AX1467" t="s">
        <v>74</v>
      </c>
      <c r="AY1467" t="s">
        <v>74</v>
      </c>
      <c r="AZ1467" t="s">
        <v>74</v>
      </c>
      <c r="BA1467" t="s">
        <v>74</v>
      </c>
      <c r="BB1467">
        <v>140</v>
      </c>
      <c r="BC1467">
        <v>146</v>
      </c>
      <c r="BD1467" t="s">
        <v>74</v>
      </c>
      <c r="BE1467" t="s">
        <v>16474</v>
      </c>
      <c r="BF1467" t="str">
        <f>HYPERLINK("http://dx.doi.org/10.1007/s00292-006-0822-5","http://dx.doi.org/10.1007/s00292-006-0822-5")</f>
        <v>http://dx.doi.org/10.1007/s00292-006-0822-5</v>
      </c>
      <c r="BG1467" t="s">
        <v>74</v>
      </c>
      <c r="BH1467" t="s">
        <v>74</v>
      </c>
      <c r="BI1467">
        <v>7</v>
      </c>
      <c r="BJ1467" t="s">
        <v>7547</v>
      </c>
      <c r="BK1467" t="s">
        <v>101</v>
      </c>
      <c r="BL1467" t="s">
        <v>7547</v>
      </c>
      <c r="BM1467" t="s">
        <v>16473</v>
      </c>
      <c r="BN1467">
        <v>16450085</v>
      </c>
      <c r="BO1467" t="s">
        <v>74</v>
      </c>
      <c r="BP1467" t="s">
        <v>74</v>
      </c>
      <c r="BQ1467" t="s">
        <v>74</v>
      </c>
      <c r="BR1467" t="s">
        <v>104</v>
      </c>
      <c r="BS1467" t="s">
        <v>16472</v>
      </c>
      <c r="BT1467" t="str">
        <f>HYPERLINK("https%3A%2F%2Fwww.webofscience.com%2Fwos%2Fwoscc%2Ffull-record%2FWOS:000235747600007","View Full Record in Web of Science")</f>
        <v>View Full Record in Web of Science</v>
      </c>
    </row>
    <row r="1468" spans="1:72" x14ac:dyDescent="0.25">
      <c r="A1468" t="s">
        <v>72</v>
      </c>
      <c r="B1468" t="s">
        <v>1420</v>
      </c>
      <c r="C1468" t="s">
        <v>74</v>
      </c>
      <c r="D1468" t="s">
        <v>74</v>
      </c>
      <c r="E1468" t="s">
        <v>74</v>
      </c>
      <c r="F1468" t="s">
        <v>1420</v>
      </c>
      <c r="G1468" t="s">
        <v>74</v>
      </c>
      <c r="H1468" t="s">
        <v>74</v>
      </c>
      <c r="I1468" t="s">
        <v>16471</v>
      </c>
      <c r="J1468" t="s">
        <v>5624</v>
      </c>
      <c r="K1468" t="s">
        <v>74</v>
      </c>
      <c r="L1468" t="s">
        <v>74</v>
      </c>
      <c r="M1468" t="s">
        <v>78</v>
      </c>
      <c r="N1468" t="s">
        <v>140</v>
      </c>
      <c r="O1468" t="s">
        <v>74</v>
      </c>
      <c r="P1468" t="s">
        <v>74</v>
      </c>
      <c r="Q1468" t="s">
        <v>74</v>
      </c>
      <c r="R1468" t="s">
        <v>74</v>
      </c>
      <c r="S1468" t="s">
        <v>74</v>
      </c>
      <c r="T1468" t="s">
        <v>74</v>
      </c>
      <c r="U1468" t="s">
        <v>16470</v>
      </c>
      <c r="V1468" t="s">
        <v>74</v>
      </c>
      <c r="W1468" t="s">
        <v>16469</v>
      </c>
      <c r="X1468" t="s">
        <v>16468</v>
      </c>
      <c r="Y1468" t="s">
        <v>14505</v>
      </c>
      <c r="Z1468" t="s">
        <v>74</v>
      </c>
      <c r="AA1468" t="s">
        <v>144</v>
      </c>
      <c r="AB1468" t="s">
        <v>257</v>
      </c>
      <c r="AC1468" t="s">
        <v>74</v>
      </c>
      <c r="AD1468" t="s">
        <v>74</v>
      </c>
      <c r="AE1468" t="s">
        <v>74</v>
      </c>
      <c r="AF1468" t="s">
        <v>74</v>
      </c>
      <c r="AG1468">
        <v>21</v>
      </c>
      <c r="AH1468">
        <v>2</v>
      </c>
      <c r="AI1468">
        <v>2</v>
      </c>
      <c r="AJ1468">
        <v>0</v>
      </c>
      <c r="AK1468">
        <v>3</v>
      </c>
      <c r="AL1468" t="s">
        <v>16259</v>
      </c>
      <c r="AM1468" t="s">
        <v>1074</v>
      </c>
      <c r="AN1468" t="s">
        <v>16258</v>
      </c>
      <c r="AO1468" t="s">
        <v>5636</v>
      </c>
      <c r="AP1468" t="s">
        <v>74</v>
      </c>
      <c r="AQ1468" t="s">
        <v>74</v>
      </c>
      <c r="AR1468" t="s">
        <v>5624</v>
      </c>
      <c r="AS1468" t="s">
        <v>601</v>
      </c>
      <c r="AT1468" t="s">
        <v>98</v>
      </c>
      <c r="AU1468">
        <v>2006</v>
      </c>
      <c r="AV1468">
        <v>61</v>
      </c>
      <c r="AW1468">
        <v>5</v>
      </c>
      <c r="AX1468" t="s">
        <v>74</v>
      </c>
      <c r="AY1468" t="s">
        <v>74</v>
      </c>
      <c r="AZ1468" t="s">
        <v>74</v>
      </c>
      <c r="BA1468" t="s">
        <v>74</v>
      </c>
      <c r="BB1468">
        <v>515</v>
      </c>
      <c r="BC1468">
        <v>517</v>
      </c>
      <c r="BD1468" t="s">
        <v>74</v>
      </c>
      <c r="BE1468" t="s">
        <v>16467</v>
      </c>
      <c r="BF1468" t="str">
        <f>HYPERLINK("http://dx.doi.org/10.1111/j.1398-9995.2006.01127.x","http://dx.doi.org/10.1111/j.1398-9995.2006.01127.x")</f>
        <v>http://dx.doi.org/10.1111/j.1398-9995.2006.01127.x</v>
      </c>
      <c r="BG1468" t="s">
        <v>74</v>
      </c>
      <c r="BH1468" t="s">
        <v>74</v>
      </c>
      <c r="BI1468">
        <v>3</v>
      </c>
      <c r="BJ1468" t="s">
        <v>3085</v>
      </c>
      <c r="BK1468" t="s">
        <v>101</v>
      </c>
      <c r="BL1468" t="s">
        <v>3085</v>
      </c>
      <c r="BM1468" t="s">
        <v>16466</v>
      </c>
      <c r="BN1468">
        <v>16629777</v>
      </c>
      <c r="BO1468" t="s">
        <v>74</v>
      </c>
      <c r="BP1468" t="s">
        <v>74</v>
      </c>
      <c r="BQ1468" t="s">
        <v>74</v>
      </c>
      <c r="BR1468" t="s">
        <v>104</v>
      </c>
      <c r="BS1468" t="s">
        <v>16465</v>
      </c>
      <c r="BT1468" t="str">
        <f>HYPERLINK("https%3A%2F%2Fwww.webofscience.com%2Fwos%2Fwoscc%2Ffull-record%2FWOS:000236392500001","View Full Record in Web of Science")</f>
        <v>View Full Record in Web of Science</v>
      </c>
    </row>
    <row r="1469" spans="1:72" x14ac:dyDescent="0.25">
      <c r="A1469" t="s">
        <v>72</v>
      </c>
      <c r="B1469" t="s">
        <v>16464</v>
      </c>
      <c r="C1469" t="s">
        <v>74</v>
      </c>
      <c r="D1469" t="s">
        <v>74</v>
      </c>
      <c r="E1469" t="s">
        <v>74</v>
      </c>
      <c r="F1469" t="s">
        <v>16464</v>
      </c>
      <c r="G1469" t="s">
        <v>74</v>
      </c>
      <c r="H1469" t="s">
        <v>74</v>
      </c>
      <c r="I1469" t="s">
        <v>16463</v>
      </c>
      <c r="J1469" t="s">
        <v>1068</v>
      </c>
      <c r="K1469" t="s">
        <v>74</v>
      </c>
      <c r="L1469" t="s">
        <v>74</v>
      </c>
      <c r="M1469" t="s">
        <v>78</v>
      </c>
      <c r="N1469" t="s">
        <v>79</v>
      </c>
      <c r="O1469" t="s">
        <v>74</v>
      </c>
      <c r="P1469" t="s">
        <v>74</v>
      </c>
      <c r="Q1469" t="s">
        <v>74</v>
      </c>
      <c r="R1469" t="s">
        <v>74</v>
      </c>
      <c r="S1469" t="s">
        <v>74</v>
      </c>
      <c r="T1469" t="s">
        <v>16462</v>
      </c>
      <c r="U1469" t="s">
        <v>16461</v>
      </c>
      <c r="V1469" t="s">
        <v>16460</v>
      </c>
      <c r="W1469" t="s">
        <v>16459</v>
      </c>
      <c r="X1469" t="s">
        <v>14590</v>
      </c>
      <c r="Y1469" t="s">
        <v>16458</v>
      </c>
      <c r="Z1469" t="s">
        <v>15506</v>
      </c>
      <c r="AA1469" t="s">
        <v>14164</v>
      </c>
      <c r="AB1469" t="s">
        <v>16132</v>
      </c>
      <c r="AC1469" t="s">
        <v>74</v>
      </c>
      <c r="AD1469" t="s">
        <v>74</v>
      </c>
      <c r="AE1469" t="s">
        <v>74</v>
      </c>
      <c r="AF1469" t="s">
        <v>74</v>
      </c>
      <c r="AG1469">
        <v>21</v>
      </c>
      <c r="AH1469">
        <v>219</v>
      </c>
      <c r="AI1469">
        <v>240</v>
      </c>
      <c r="AJ1469">
        <v>0</v>
      </c>
      <c r="AK1469">
        <v>2</v>
      </c>
      <c r="AL1469" t="s">
        <v>1073</v>
      </c>
      <c r="AM1469" t="s">
        <v>1074</v>
      </c>
      <c r="AN1469" t="s">
        <v>1075</v>
      </c>
      <c r="AO1469" t="s">
        <v>1076</v>
      </c>
      <c r="AP1469" t="s">
        <v>1077</v>
      </c>
      <c r="AQ1469" t="s">
        <v>74</v>
      </c>
      <c r="AR1469" t="s">
        <v>1078</v>
      </c>
      <c r="AS1469" t="s">
        <v>1079</v>
      </c>
      <c r="AT1469" t="s">
        <v>98</v>
      </c>
      <c r="AU1469">
        <v>2006</v>
      </c>
      <c r="AV1469">
        <v>27</v>
      </c>
      <c r="AW1469">
        <v>5</v>
      </c>
      <c r="AX1469" t="s">
        <v>74</v>
      </c>
      <c r="AY1469" t="s">
        <v>74</v>
      </c>
      <c r="AZ1469" t="s">
        <v>74</v>
      </c>
      <c r="BA1469" t="s">
        <v>74</v>
      </c>
      <c r="BB1469">
        <v>589</v>
      </c>
      <c r="BC1469">
        <v>595</v>
      </c>
      <c r="BD1469" t="s">
        <v>74</v>
      </c>
      <c r="BE1469" t="s">
        <v>16457</v>
      </c>
      <c r="BF1469" t="str">
        <f>HYPERLINK("http://dx.doi.org/10.1093/eurheartj/ehi728","http://dx.doi.org/10.1093/eurheartj/ehi728")</f>
        <v>http://dx.doi.org/10.1093/eurheartj/ehi728</v>
      </c>
      <c r="BG1469" t="s">
        <v>74</v>
      </c>
      <c r="BH1469" t="s">
        <v>74</v>
      </c>
      <c r="BI1469">
        <v>7</v>
      </c>
      <c r="BJ1469" t="s">
        <v>132</v>
      </c>
      <c r="BK1469" t="s">
        <v>101</v>
      </c>
      <c r="BL1469" t="s">
        <v>133</v>
      </c>
      <c r="BM1469" t="s">
        <v>16456</v>
      </c>
      <c r="BN1469">
        <v>16431875</v>
      </c>
      <c r="BO1469" t="s">
        <v>1194</v>
      </c>
      <c r="BP1469" t="s">
        <v>74</v>
      </c>
      <c r="BQ1469" t="s">
        <v>74</v>
      </c>
      <c r="BR1469" t="s">
        <v>104</v>
      </c>
      <c r="BS1469" t="s">
        <v>16455</v>
      </c>
      <c r="BT1469" t="str">
        <f>HYPERLINK("https%3A%2F%2Fwww.webofscience.com%2Fwos%2Fwoscc%2Ffull-record%2FWOS:000235605100017","View Full Record in Web of Science")</f>
        <v>View Full Record in Web of Science</v>
      </c>
    </row>
    <row r="1470" spans="1:72" x14ac:dyDescent="0.25">
      <c r="A1470" t="s">
        <v>72</v>
      </c>
      <c r="B1470" t="s">
        <v>16454</v>
      </c>
      <c r="C1470" t="s">
        <v>74</v>
      </c>
      <c r="D1470" t="s">
        <v>74</v>
      </c>
      <c r="E1470" t="s">
        <v>74</v>
      </c>
      <c r="F1470" t="s">
        <v>16453</v>
      </c>
      <c r="G1470" t="s">
        <v>74</v>
      </c>
      <c r="H1470" t="s">
        <v>74</v>
      </c>
      <c r="I1470" t="s">
        <v>16452</v>
      </c>
      <c r="J1470" t="s">
        <v>11853</v>
      </c>
      <c r="K1470" t="s">
        <v>74</v>
      </c>
      <c r="L1470" t="s">
        <v>74</v>
      </c>
      <c r="M1470" t="s">
        <v>78</v>
      </c>
      <c r="N1470" t="s">
        <v>79</v>
      </c>
      <c r="O1470" t="s">
        <v>74</v>
      </c>
      <c r="P1470" t="s">
        <v>74</v>
      </c>
      <c r="Q1470" t="s">
        <v>74</v>
      </c>
      <c r="R1470" t="s">
        <v>74</v>
      </c>
      <c r="S1470" t="s">
        <v>74</v>
      </c>
      <c r="T1470" t="s">
        <v>16451</v>
      </c>
      <c r="U1470" t="s">
        <v>74</v>
      </c>
      <c r="V1470" t="s">
        <v>16450</v>
      </c>
      <c r="W1470" t="s">
        <v>16449</v>
      </c>
      <c r="X1470" t="s">
        <v>16448</v>
      </c>
      <c r="Y1470" t="s">
        <v>16447</v>
      </c>
      <c r="Z1470" t="s">
        <v>16421</v>
      </c>
      <c r="AA1470" t="s">
        <v>16446</v>
      </c>
      <c r="AB1470" t="s">
        <v>16445</v>
      </c>
      <c r="AC1470" t="s">
        <v>16444</v>
      </c>
      <c r="AD1470" t="s">
        <v>16443</v>
      </c>
      <c r="AE1470" t="s">
        <v>16442</v>
      </c>
      <c r="AF1470" t="s">
        <v>74</v>
      </c>
      <c r="AG1470">
        <v>20</v>
      </c>
      <c r="AH1470">
        <v>167</v>
      </c>
      <c r="AI1470">
        <v>178</v>
      </c>
      <c r="AJ1470">
        <v>0</v>
      </c>
      <c r="AK1470">
        <v>6</v>
      </c>
      <c r="AL1470" t="s">
        <v>10904</v>
      </c>
      <c r="AM1470" t="s">
        <v>170</v>
      </c>
      <c r="AN1470" t="s">
        <v>171</v>
      </c>
      <c r="AO1470" t="s">
        <v>11866</v>
      </c>
      <c r="AP1470" t="s">
        <v>11867</v>
      </c>
      <c r="AQ1470" t="s">
        <v>74</v>
      </c>
      <c r="AR1470" t="s">
        <v>11868</v>
      </c>
      <c r="AS1470" t="s">
        <v>11869</v>
      </c>
      <c r="AT1470" t="s">
        <v>129</v>
      </c>
      <c r="AU1470">
        <v>2006</v>
      </c>
      <c r="AV1470">
        <v>27</v>
      </c>
      <c r="AW1470">
        <v>2</v>
      </c>
      <c r="AX1470" t="s">
        <v>74</v>
      </c>
      <c r="AY1470" t="s">
        <v>74</v>
      </c>
      <c r="AZ1470" t="s">
        <v>74</v>
      </c>
      <c r="BA1470" t="s">
        <v>74</v>
      </c>
      <c r="BB1470" t="s">
        <v>74</v>
      </c>
      <c r="BC1470" t="s">
        <v>74</v>
      </c>
      <c r="BD1470" t="s">
        <v>74</v>
      </c>
      <c r="BE1470" t="s">
        <v>16441</v>
      </c>
      <c r="BF1470" t="str">
        <f>HYPERLINK("http://dx.doi.org/10.1002/humu.9398","http://dx.doi.org/10.1002/humu.9398")</f>
        <v>http://dx.doi.org/10.1002/humu.9398</v>
      </c>
      <c r="BG1470" t="s">
        <v>74</v>
      </c>
      <c r="BH1470" t="s">
        <v>74</v>
      </c>
      <c r="BI1470">
        <v>9</v>
      </c>
      <c r="BJ1470" t="s">
        <v>4407</v>
      </c>
      <c r="BK1470" t="s">
        <v>101</v>
      </c>
      <c r="BL1470" t="s">
        <v>4407</v>
      </c>
      <c r="BM1470" t="s">
        <v>16440</v>
      </c>
      <c r="BN1470">
        <v>16429403</v>
      </c>
      <c r="BO1470" t="s">
        <v>293</v>
      </c>
      <c r="BP1470" t="s">
        <v>74</v>
      </c>
      <c r="BQ1470" t="s">
        <v>74</v>
      </c>
      <c r="BR1470" t="s">
        <v>104</v>
      </c>
      <c r="BS1470" t="s">
        <v>16439</v>
      </c>
      <c r="BT1470" t="str">
        <f>HYPERLINK("https%3A%2F%2Fwww.webofscience.com%2Fwos%2Fwoscc%2Ffull-record%2FWOS:000209426100004","View Full Record in Web of Science")</f>
        <v>View Full Record in Web of Science</v>
      </c>
    </row>
    <row r="1471" spans="1:72" x14ac:dyDescent="0.25">
      <c r="A1471" t="s">
        <v>72</v>
      </c>
      <c r="B1471" t="s">
        <v>16438</v>
      </c>
      <c r="C1471" t="s">
        <v>74</v>
      </c>
      <c r="D1471" t="s">
        <v>74</v>
      </c>
      <c r="E1471" t="s">
        <v>74</v>
      </c>
      <c r="F1471" t="s">
        <v>16437</v>
      </c>
      <c r="G1471" t="s">
        <v>74</v>
      </c>
      <c r="H1471" t="s">
        <v>74</v>
      </c>
      <c r="I1471" t="s">
        <v>16436</v>
      </c>
      <c r="J1471" t="s">
        <v>983</v>
      </c>
      <c r="K1471" t="s">
        <v>74</v>
      </c>
      <c r="L1471" t="s">
        <v>74</v>
      </c>
      <c r="M1471" t="s">
        <v>78</v>
      </c>
      <c r="N1471" t="s">
        <v>52</v>
      </c>
      <c r="O1471" t="s">
        <v>74</v>
      </c>
      <c r="P1471" t="s">
        <v>74</v>
      </c>
      <c r="Q1471" t="s">
        <v>74</v>
      </c>
      <c r="R1471" t="s">
        <v>74</v>
      </c>
      <c r="S1471" t="s">
        <v>74</v>
      </c>
      <c r="T1471" t="s">
        <v>74</v>
      </c>
      <c r="U1471" t="s">
        <v>74</v>
      </c>
      <c r="V1471" t="s">
        <v>74</v>
      </c>
      <c r="W1471" t="s">
        <v>16435</v>
      </c>
      <c r="X1471" t="s">
        <v>16434</v>
      </c>
      <c r="Y1471" t="s">
        <v>74</v>
      </c>
      <c r="Z1471" t="s">
        <v>74</v>
      </c>
      <c r="AA1471" t="s">
        <v>378</v>
      </c>
      <c r="AB1471" t="s">
        <v>1489</v>
      </c>
      <c r="AC1471" t="s">
        <v>74</v>
      </c>
      <c r="AD1471" t="s">
        <v>74</v>
      </c>
      <c r="AE1471" t="s">
        <v>74</v>
      </c>
      <c r="AF1471" t="s">
        <v>74</v>
      </c>
      <c r="AG1471">
        <v>0</v>
      </c>
      <c r="AH1471">
        <v>0</v>
      </c>
      <c r="AI1471">
        <v>0</v>
      </c>
      <c r="AJ1471">
        <v>0</v>
      </c>
      <c r="AK1471">
        <v>2</v>
      </c>
      <c r="AL1471" t="s">
        <v>991</v>
      </c>
      <c r="AM1471" t="s">
        <v>486</v>
      </c>
      <c r="AN1471" t="s">
        <v>8530</v>
      </c>
      <c r="AO1471" t="s">
        <v>993</v>
      </c>
      <c r="AP1471" t="s">
        <v>74</v>
      </c>
      <c r="AQ1471" t="s">
        <v>74</v>
      </c>
      <c r="AR1471" t="s">
        <v>995</v>
      </c>
      <c r="AS1471" t="s">
        <v>996</v>
      </c>
      <c r="AT1471" t="s">
        <v>129</v>
      </c>
      <c r="AU1471">
        <v>2006</v>
      </c>
      <c r="AV1471">
        <v>25</v>
      </c>
      <c r="AW1471">
        <v>2</v>
      </c>
      <c r="AX1471" t="s">
        <v>74</v>
      </c>
      <c r="AY1471" t="s">
        <v>998</v>
      </c>
      <c r="AZ1471" t="s">
        <v>74</v>
      </c>
      <c r="BA1471">
        <v>93</v>
      </c>
      <c r="BB1471" t="s">
        <v>16433</v>
      </c>
      <c r="BC1471" t="s">
        <v>16432</v>
      </c>
      <c r="BD1471" t="s">
        <v>74</v>
      </c>
      <c r="BE1471" t="s">
        <v>74</v>
      </c>
      <c r="BF1471" t="s">
        <v>74</v>
      </c>
      <c r="BG1471" t="s">
        <v>74</v>
      </c>
      <c r="BH1471" t="s">
        <v>74</v>
      </c>
      <c r="BI1471">
        <v>2</v>
      </c>
      <c r="BJ1471" t="s">
        <v>1000</v>
      </c>
      <c r="BK1471" t="s">
        <v>101</v>
      </c>
      <c r="BL1471" t="s">
        <v>1001</v>
      </c>
      <c r="BM1471" t="s">
        <v>16431</v>
      </c>
      <c r="BN1471" t="s">
        <v>74</v>
      </c>
      <c r="BO1471" t="s">
        <v>74</v>
      </c>
      <c r="BP1471" t="s">
        <v>74</v>
      </c>
      <c r="BQ1471" t="s">
        <v>74</v>
      </c>
      <c r="BR1471" t="s">
        <v>104</v>
      </c>
      <c r="BS1471" t="s">
        <v>16430</v>
      </c>
      <c r="BT1471" t="str">
        <f>HYPERLINK("https%3A%2F%2Fwww.webofscience.com%2Fwos%2Fwoscc%2Ffull-record%2FWOS:000203407400093","View Full Record in Web of Science")</f>
        <v>View Full Record in Web of Science</v>
      </c>
    </row>
    <row r="1472" spans="1:72" x14ac:dyDescent="0.25">
      <c r="A1472" t="s">
        <v>72</v>
      </c>
      <c r="B1472" t="s">
        <v>16429</v>
      </c>
      <c r="C1472" t="s">
        <v>74</v>
      </c>
      <c r="D1472" t="s">
        <v>74</v>
      </c>
      <c r="E1472" t="s">
        <v>74</v>
      </c>
      <c r="F1472" t="s">
        <v>16429</v>
      </c>
      <c r="G1472" t="s">
        <v>74</v>
      </c>
      <c r="H1472" t="s">
        <v>74</v>
      </c>
      <c r="I1472" t="s">
        <v>16428</v>
      </c>
      <c r="J1472" t="s">
        <v>11853</v>
      </c>
      <c r="K1472" t="s">
        <v>74</v>
      </c>
      <c r="L1472" t="s">
        <v>74</v>
      </c>
      <c r="M1472" t="s">
        <v>78</v>
      </c>
      <c r="N1472" t="s">
        <v>79</v>
      </c>
      <c r="O1472" t="s">
        <v>74</v>
      </c>
      <c r="P1472" t="s">
        <v>74</v>
      </c>
      <c r="Q1472" t="s">
        <v>74</v>
      </c>
      <c r="R1472" t="s">
        <v>74</v>
      </c>
      <c r="S1472" t="s">
        <v>74</v>
      </c>
      <c r="T1472" t="s">
        <v>16427</v>
      </c>
      <c r="U1472" t="s">
        <v>16426</v>
      </c>
      <c r="V1472" t="s">
        <v>16425</v>
      </c>
      <c r="W1472" t="s">
        <v>16424</v>
      </c>
      <c r="X1472" t="s">
        <v>16423</v>
      </c>
      <c r="Y1472" t="s">
        <v>16422</v>
      </c>
      <c r="Z1472" t="s">
        <v>16421</v>
      </c>
      <c r="AA1472" t="s">
        <v>16420</v>
      </c>
      <c r="AB1472" t="s">
        <v>16419</v>
      </c>
      <c r="AC1472" t="s">
        <v>74</v>
      </c>
      <c r="AD1472" t="s">
        <v>74</v>
      </c>
      <c r="AE1472" t="s">
        <v>74</v>
      </c>
      <c r="AF1472" t="s">
        <v>74</v>
      </c>
      <c r="AG1472">
        <v>51</v>
      </c>
      <c r="AH1472">
        <v>326</v>
      </c>
      <c r="AI1472">
        <v>360</v>
      </c>
      <c r="AJ1472">
        <v>1</v>
      </c>
      <c r="AK1472">
        <v>39</v>
      </c>
      <c r="AL1472" t="s">
        <v>169</v>
      </c>
      <c r="AM1472" t="s">
        <v>170</v>
      </c>
      <c r="AN1472" t="s">
        <v>171</v>
      </c>
      <c r="AO1472" t="s">
        <v>11866</v>
      </c>
      <c r="AP1472" t="s">
        <v>11867</v>
      </c>
      <c r="AQ1472" t="s">
        <v>74</v>
      </c>
      <c r="AR1472" t="s">
        <v>11868</v>
      </c>
      <c r="AS1472" t="s">
        <v>11869</v>
      </c>
      <c r="AT1472" t="s">
        <v>129</v>
      </c>
      <c r="AU1472">
        <v>2006</v>
      </c>
      <c r="AV1472">
        <v>27</v>
      </c>
      <c r="AW1472">
        <v>2</v>
      </c>
      <c r="AX1472" t="s">
        <v>74</v>
      </c>
      <c r="AY1472" t="s">
        <v>74</v>
      </c>
      <c r="AZ1472" t="s">
        <v>74</v>
      </c>
      <c r="BA1472" t="s">
        <v>74</v>
      </c>
      <c r="BB1472">
        <v>121</v>
      </c>
      <c r="BC1472">
        <v>132</v>
      </c>
      <c r="BD1472" t="s">
        <v>74</v>
      </c>
      <c r="BE1472" t="s">
        <v>16418</v>
      </c>
      <c r="BF1472" t="str">
        <f>HYPERLINK("http://dx.doi.org/10.1002/humu.20285","http://dx.doi.org/10.1002/humu.20285")</f>
        <v>http://dx.doi.org/10.1002/humu.20285</v>
      </c>
      <c r="BG1472" t="s">
        <v>74</v>
      </c>
      <c r="BH1472" t="s">
        <v>74</v>
      </c>
      <c r="BI1472">
        <v>12</v>
      </c>
      <c r="BJ1472" t="s">
        <v>4407</v>
      </c>
      <c r="BK1472" t="s">
        <v>101</v>
      </c>
      <c r="BL1472" t="s">
        <v>4407</v>
      </c>
      <c r="BM1472" t="s">
        <v>16417</v>
      </c>
      <c r="BN1472">
        <v>16429395</v>
      </c>
      <c r="BO1472" t="s">
        <v>293</v>
      </c>
      <c r="BP1472" t="s">
        <v>74</v>
      </c>
      <c r="BQ1472" t="s">
        <v>74</v>
      </c>
      <c r="BR1472" t="s">
        <v>104</v>
      </c>
      <c r="BS1472" t="s">
        <v>16416</v>
      </c>
      <c r="BT1472" t="str">
        <f>HYPERLINK("https%3A%2F%2Fwww.webofscience.com%2Fwos%2Fwoscc%2Ffull-record%2FWOS:000235172400001","View Full Record in Web of Science")</f>
        <v>View Full Record in Web of Science</v>
      </c>
    </row>
    <row r="1473" spans="1:72" x14ac:dyDescent="0.25">
      <c r="A1473" t="s">
        <v>72</v>
      </c>
      <c r="B1473" t="s">
        <v>16415</v>
      </c>
      <c r="C1473" t="s">
        <v>74</v>
      </c>
      <c r="D1473" t="s">
        <v>74</v>
      </c>
      <c r="E1473" t="s">
        <v>74</v>
      </c>
      <c r="F1473" t="s">
        <v>16415</v>
      </c>
      <c r="G1473" t="s">
        <v>74</v>
      </c>
      <c r="H1473" t="s">
        <v>74</v>
      </c>
      <c r="I1473" t="s">
        <v>16414</v>
      </c>
      <c r="J1473" t="s">
        <v>15967</v>
      </c>
      <c r="K1473" t="s">
        <v>74</v>
      </c>
      <c r="L1473" t="s">
        <v>74</v>
      </c>
      <c r="M1473" t="s">
        <v>78</v>
      </c>
      <c r="N1473" t="s">
        <v>460</v>
      </c>
      <c r="O1473" t="s">
        <v>74</v>
      </c>
      <c r="P1473" t="s">
        <v>74</v>
      </c>
      <c r="Q1473" t="s">
        <v>74</v>
      </c>
      <c r="R1473" t="s">
        <v>74</v>
      </c>
      <c r="S1473" t="s">
        <v>74</v>
      </c>
      <c r="T1473" t="s">
        <v>74</v>
      </c>
      <c r="U1473" t="s">
        <v>16413</v>
      </c>
      <c r="V1473" t="s">
        <v>74</v>
      </c>
      <c r="W1473" t="s">
        <v>16412</v>
      </c>
      <c r="X1473" t="s">
        <v>14156</v>
      </c>
      <c r="Y1473" t="s">
        <v>16411</v>
      </c>
      <c r="Z1473" t="s">
        <v>16410</v>
      </c>
      <c r="AA1473" t="s">
        <v>16409</v>
      </c>
      <c r="AB1473" t="s">
        <v>16408</v>
      </c>
      <c r="AC1473" t="s">
        <v>74</v>
      </c>
      <c r="AD1473" t="s">
        <v>74</v>
      </c>
      <c r="AE1473" t="s">
        <v>74</v>
      </c>
      <c r="AF1473" t="s">
        <v>74</v>
      </c>
      <c r="AG1473">
        <v>7</v>
      </c>
      <c r="AH1473">
        <v>0</v>
      </c>
      <c r="AI1473">
        <v>0</v>
      </c>
      <c r="AJ1473">
        <v>0</v>
      </c>
      <c r="AK1473">
        <v>0</v>
      </c>
      <c r="AL1473" t="s">
        <v>122</v>
      </c>
      <c r="AM1473" t="s">
        <v>123</v>
      </c>
      <c r="AN1473" t="s">
        <v>16407</v>
      </c>
      <c r="AO1473" t="s">
        <v>15969</v>
      </c>
      <c r="AP1473" t="s">
        <v>74</v>
      </c>
      <c r="AQ1473" t="s">
        <v>74</v>
      </c>
      <c r="AR1473" t="s">
        <v>15967</v>
      </c>
      <c r="AS1473" t="s">
        <v>2920</v>
      </c>
      <c r="AT1473" t="s">
        <v>129</v>
      </c>
      <c r="AU1473">
        <v>2006</v>
      </c>
      <c r="AV1473">
        <v>104</v>
      </c>
      <c r="AW1473">
        <v>2</v>
      </c>
      <c r="AX1473" t="s">
        <v>74</v>
      </c>
      <c r="AY1473" t="s">
        <v>74</v>
      </c>
      <c r="AZ1473" t="s">
        <v>74</v>
      </c>
      <c r="BA1473" t="s">
        <v>74</v>
      </c>
      <c r="BB1473">
        <v>383</v>
      </c>
      <c r="BC1473">
        <v>383</v>
      </c>
      <c r="BD1473" t="s">
        <v>74</v>
      </c>
      <c r="BE1473" t="s">
        <v>16406</v>
      </c>
      <c r="BF1473" t="str">
        <f>HYPERLINK("http://dx.doi.org/10.1097/00000542-200602000-00038","http://dx.doi.org/10.1097/00000542-200602000-00038")</f>
        <v>http://dx.doi.org/10.1097/00000542-200602000-00038</v>
      </c>
      <c r="BG1473" t="s">
        <v>74</v>
      </c>
      <c r="BH1473" t="s">
        <v>74</v>
      </c>
      <c r="BI1473">
        <v>1</v>
      </c>
      <c r="BJ1473" t="s">
        <v>2920</v>
      </c>
      <c r="BK1473" t="s">
        <v>101</v>
      </c>
      <c r="BL1473" t="s">
        <v>2920</v>
      </c>
      <c r="BM1473" t="s">
        <v>16405</v>
      </c>
      <c r="BN1473" t="s">
        <v>74</v>
      </c>
      <c r="BO1473" t="s">
        <v>1194</v>
      </c>
      <c r="BP1473" t="s">
        <v>74</v>
      </c>
      <c r="BQ1473" t="s">
        <v>74</v>
      </c>
      <c r="BR1473" t="s">
        <v>104</v>
      </c>
      <c r="BS1473" t="s">
        <v>16404</v>
      </c>
      <c r="BT1473" t="str">
        <f>HYPERLINK("https%3A%2F%2Fwww.webofscience.com%2Fwos%2Fwoscc%2Ffull-record%2FWOS:000234985500036","View Full Record in Web of Science")</f>
        <v>View Full Record in Web of Science</v>
      </c>
    </row>
    <row r="1474" spans="1:72" x14ac:dyDescent="0.25">
      <c r="A1474" t="s">
        <v>72</v>
      </c>
      <c r="B1474" t="s">
        <v>16403</v>
      </c>
      <c r="C1474" t="s">
        <v>74</v>
      </c>
      <c r="D1474" t="s">
        <v>74</v>
      </c>
      <c r="E1474" t="s">
        <v>74</v>
      </c>
      <c r="F1474" t="s">
        <v>16403</v>
      </c>
      <c r="G1474" t="s">
        <v>74</v>
      </c>
      <c r="H1474" t="s">
        <v>74</v>
      </c>
      <c r="I1474" t="s">
        <v>16402</v>
      </c>
      <c r="J1474" t="s">
        <v>5624</v>
      </c>
      <c r="K1474" t="s">
        <v>74</v>
      </c>
      <c r="L1474" t="s">
        <v>74</v>
      </c>
      <c r="M1474" t="s">
        <v>78</v>
      </c>
      <c r="N1474" t="s">
        <v>140</v>
      </c>
      <c r="O1474" t="s">
        <v>74</v>
      </c>
      <c r="P1474" t="s">
        <v>74</v>
      </c>
      <c r="Q1474" t="s">
        <v>74</v>
      </c>
      <c r="R1474" t="s">
        <v>74</v>
      </c>
      <c r="S1474" t="s">
        <v>74</v>
      </c>
      <c r="T1474" t="s">
        <v>74</v>
      </c>
      <c r="U1474" t="s">
        <v>16401</v>
      </c>
      <c r="V1474" t="s">
        <v>74</v>
      </c>
      <c r="W1474" t="s">
        <v>16400</v>
      </c>
      <c r="X1474" t="s">
        <v>16399</v>
      </c>
      <c r="Y1474" t="s">
        <v>16398</v>
      </c>
      <c r="Z1474" t="s">
        <v>74</v>
      </c>
      <c r="AA1474" t="s">
        <v>16397</v>
      </c>
      <c r="AB1474" t="s">
        <v>16396</v>
      </c>
      <c r="AC1474" t="s">
        <v>74</v>
      </c>
      <c r="AD1474" t="s">
        <v>74</v>
      </c>
      <c r="AE1474" t="s">
        <v>74</v>
      </c>
      <c r="AF1474" t="s">
        <v>74</v>
      </c>
      <c r="AG1474">
        <v>28</v>
      </c>
      <c r="AH1474">
        <v>9</v>
      </c>
      <c r="AI1474">
        <v>10</v>
      </c>
      <c r="AJ1474">
        <v>0</v>
      </c>
      <c r="AK1474">
        <v>2</v>
      </c>
      <c r="AL1474" t="s">
        <v>169</v>
      </c>
      <c r="AM1474" t="s">
        <v>170</v>
      </c>
      <c r="AN1474" t="s">
        <v>171</v>
      </c>
      <c r="AO1474" t="s">
        <v>5636</v>
      </c>
      <c r="AP1474" t="s">
        <v>5637</v>
      </c>
      <c r="AQ1474" t="s">
        <v>74</v>
      </c>
      <c r="AR1474" t="s">
        <v>5624</v>
      </c>
      <c r="AS1474" t="s">
        <v>601</v>
      </c>
      <c r="AT1474" t="s">
        <v>176</v>
      </c>
      <c r="AU1474">
        <v>2006</v>
      </c>
      <c r="AV1474">
        <v>61</v>
      </c>
      <c r="AW1474">
        <v>1</v>
      </c>
      <c r="AX1474" t="s">
        <v>74</v>
      </c>
      <c r="AY1474" t="s">
        <v>74</v>
      </c>
      <c r="AZ1474" t="s">
        <v>74</v>
      </c>
      <c r="BA1474" t="s">
        <v>74</v>
      </c>
      <c r="BB1474">
        <v>1</v>
      </c>
      <c r="BC1474">
        <v>2</v>
      </c>
      <c r="BD1474" t="s">
        <v>74</v>
      </c>
      <c r="BE1474" t="s">
        <v>16395</v>
      </c>
      <c r="BF1474" t="str">
        <f>HYPERLINK("http://dx.doi.org/10.1111/j.1398-9995.2006.01020.x","http://dx.doi.org/10.1111/j.1398-9995.2006.01020.x")</f>
        <v>http://dx.doi.org/10.1111/j.1398-9995.2006.01020.x</v>
      </c>
      <c r="BG1474" t="s">
        <v>74</v>
      </c>
      <c r="BH1474" t="s">
        <v>74</v>
      </c>
      <c r="BI1474">
        <v>2</v>
      </c>
      <c r="BJ1474" t="s">
        <v>3085</v>
      </c>
      <c r="BK1474" t="s">
        <v>101</v>
      </c>
      <c r="BL1474" t="s">
        <v>3085</v>
      </c>
      <c r="BM1474" t="s">
        <v>16394</v>
      </c>
      <c r="BN1474">
        <v>16364150</v>
      </c>
      <c r="BO1474" t="s">
        <v>1194</v>
      </c>
      <c r="BP1474" t="s">
        <v>74</v>
      </c>
      <c r="BQ1474" t="s">
        <v>74</v>
      </c>
      <c r="BR1474" t="s">
        <v>104</v>
      </c>
      <c r="BS1474" t="s">
        <v>16393</v>
      </c>
      <c r="BT1474" t="str">
        <f>HYPERLINK("https%3A%2F%2Fwww.webofscience.com%2Fwos%2Fwoscc%2Ffull-record%2FWOS:000233656400001","View Full Record in Web of Science")</f>
        <v>View Full Record in Web of Science</v>
      </c>
    </row>
    <row r="1475" spans="1:72" x14ac:dyDescent="0.25">
      <c r="A1475" t="s">
        <v>72</v>
      </c>
      <c r="B1475" t="s">
        <v>16392</v>
      </c>
      <c r="C1475" t="s">
        <v>74</v>
      </c>
      <c r="D1475" t="s">
        <v>74</v>
      </c>
      <c r="E1475" t="s">
        <v>74</v>
      </c>
      <c r="F1475" t="s">
        <v>16391</v>
      </c>
      <c r="G1475" t="s">
        <v>74</v>
      </c>
      <c r="H1475" t="s">
        <v>16390</v>
      </c>
      <c r="I1475" t="s">
        <v>16389</v>
      </c>
      <c r="J1475" t="s">
        <v>16388</v>
      </c>
      <c r="K1475" t="s">
        <v>74</v>
      </c>
      <c r="L1475" t="s">
        <v>74</v>
      </c>
      <c r="M1475" t="s">
        <v>78</v>
      </c>
      <c r="N1475" t="s">
        <v>79</v>
      </c>
      <c r="O1475" t="s">
        <v>74</v>
      </c>
      <c r="P1475" t="s">
        <v>74</v>
      </c>
      <c r="Q1475" t="s">
        <v>74</v>
      </c>
      <c r="R1475" t="s">
        <v>74</v>
      </c>
      <c r="S1475" t="s">
        <v>74</v>
      </c>
      <c r="T1475" t="s">
        <v>74</v>
      </c>
      <c r="U1475" t="s">
        <v>16387</v>
      </c>
      <c r="V1475" t="s">
        <v>16386</v>
      </c>
      <c r="W1475" t="s">
        <v>16385</v>
      </c>
      <c r="X1475" t="s">
        <v>16384</v>
      </c>
      <c r="Y1475" t="s">
        <v>16383</v>
      </c>
      <c r="Z1475" t="s">
        <v>16382</v>
      </c>
      <c r="AA1475" t="s">
        <v>16381</v>
      </c>
      <c r="AB1475" t="s">
        <v>16380</v>
      </c>
      <c r="AC1475" t="s">
        <v>74</v>
      </c>
      <c r="AD1475" t="s">
        <v>74</v>
      </c>
      <c r="AE1475" t="s">
        <v>74</v>
      </c>
      <c r="AF1475" t="s">
        <v>74</v>
      </c>
      <c r="AG1475">
        <v>48</v>
      </c>
      <c r="AH1475">
        <v>101</v>
      </c>
      <c r="AI1475">
        <v>106</v>
      </c>
      <c r="AJ1475">
        <v>1</v>
      </c>
      <c r="AK1475">
        <v>1</v>
      </c>
      <c r="AL1475" t="s">
        <v>16379</v>
      </c>
      <c r="AM1475" t="s">
        <v>201</v>
      </c>
      <c r="AN1475" t="s">
        <v>16378</v>
      </c>
      <c r="AO1475" t="s">
        <v>16377</v>
      </c>
      <c r="AP1475" t="s">
        <v>16376</v>
      </c>
      <c r="AQ1475" t="s">
        <v>74</v>
      </c>
      <c r="AR1475" t="s">
        <v>16375</v>
      </c>
      <c r="AS1475" t="s">
        <v>16374</v>
      </c>
      <c r="AT1475" t="s">
        <v>74</v>
      </c>
      <c r="AU1475">
        <v>2006</v>
      </c>
      <c r="AV1475">
        <v>8</v>
      </c>
      <c r="AW1475">
        <v>4</v>
      </c>
      <c r="AX1475" t="s">
        <v>74</v>
      </c>
      <c r="AY1475" t="s">
        <v>74</v>
      </c>
      <c r="AZ1475" t="s">
        <v>74</v>
      </c>
      <c r="BA1475" t="s">
        <v>74</v>
      </c>
      <c r="BB1475" t="s">
        <v>74</v>
      </c>
      <c r="BC1475" t="s">
        <v>74</v>
      </c>
      <c r="BD1475" t="s">
        <v>16373</v>
      </c>
      <c r="BE1475" t="s">
        <v>16372</v>
      </c>
      <c r="BF1475" t="str">
        <f>HYPERLINK("http://dx.doi.org/10.1186/ar1994","http://dx.doi.org/10.1186/ar1994")</f>
        <v>http://dx.doi.org/10.1186/ar1994</v>
      </c>
      <c r="BG1475" t="s">
        <v>74</v>
      </c>
      <c r="BH1475" t="s">
        <v>74</v>
      </c>
      <c r="BI1475">
        <v>15</v>
      </c>
      <c r="BJ1475" t="s">
        <v>2369</v>
      </c>
      <c r="BK1475" t="s">
        <v>101</v>
      </c>
      <c r="BL1475" t="s">
        <v>2369</v>
      </c>
      <c r="BM1475" t="s">
        <v>16371</v>
      </c>
      <c r="BN1475">
        <v>16859506</v>
      </c>
      <c r="BO1475" t="s">
        <v>809</v>
      </c>
      <c r="BP1475" t="s">
        <v>74</v>
      </c>
      <c r="BQ1475" t="s">
        <v>74</v>
      </c>
      <c r="BR1475" t="s">
        <v>104</v>
      </c>
      <c r="BS1475" t="s">
        <v>16370</v>
      </c>
      <c r="BT1475" t="str">
        <f>HYPERLINK("https%3A%2F%2Fwww.webofscience.com%2Fwos%2Fwoscc%2Ffull-record%2FWOS:000240985200040","View Full Record in Web of Science")</f>
        <v>View Full Record in Web of Science</v>
      </c>
    </row>
    <row r="1476" spans="1:72" x14ac:dyDescent="0.25">
      <c r="A1476" t="s">
        <v>72</v>
      </c>
      <c r="B1476" t="s">
        <v>16369</v>
      </c>
      <c r="C1476" t="s">
        <v>74</v>
      </c>
      <c r="D1476" t="s">
        <v>74</v>
      </c>
      <c r="E1476" t="s">
        <v>74</v>
      </c>
      <c r="F1476" t="s">
        <v>16369</v>
      </c>
      <c r="G1476" t="s">
        <v>74</v>
      </c>
      <c r="H1476" t="s">
        <v>74</v>
      </c>
      <c r="I1476" t="s">
        <v>16368</v>
      </c>
      <c r="J1476" t="s">
        <v>6978</v>
      </c>
      <c r="K1476" t="s">
        <v>74</v>
      </c>
      <c r="L1476" t="s">
        <v>74</v>
      </c>
      <c r="M1476" t="s">
        <v>78</v>
      </c>
      <c r="N1476" t="s">
        <v>79</v>
      </c>
      <c r="O1476" t="s">
        <v>74</v>
      </c>
      <c r="P1476" t="s">
        <v>74</v>
      </c>
      <c r="Q1476" t="s">
        <v>74</v>
      </c>
      <c r="R1476" t="s">
        <v>74</v>
      </c>
      <c r="S1476" t="s">
        <v>74</v>
      </c>
      <c r="T1476" t="s">
        <v>74</v>
      </c>
      <c r="U1476" t="s">
        <v>16367</v>
      </c>
      <c r="V1476" t="s">
        <v>16366</v>
      </c>
      <c r="W1476" t="s">
        <v>16365</v>
      </c>
      <c r="X1476" t="s">
        <v>16364</v>
      </c>
      <c r="Y1476" t="s">
        <v>16363</v>
      </c>
      <c r="Z1476" t="s">
        <v>16362</v>
      </c>
      <c r="AA1476" t="s">
        <v>15037</v>
      </c>
      <c r="AB1476" t="s">
        <v>16361</v>
      </c>
      <c r="AC1476" t="s">
        <v>74</v>
      </c>
      <c r="AD1476" t="s">
        <v>74</v>
      </c>
      <c r="AE1476" t="s">
        <v>74</v>
      </c>
      <c r="AF1476" t="s">
        <v>74</v>
      </c>
      <c r="AG1476">
        <v>34</v>
      </c>
      <c r="AH1476">
        <v>270</v>
      </c>
      <c r="AI1476">
        <v>281</v>
      </c>
      <c r="AJ1476">
        <v>1</v>
      </c>
      <c r="AK1476">
        <v>4</v>
      </c>
      <c r="AL1476" t="s">
        <v>15444</v>
      </c>
      <c r="AM1476" t="s">
        <v>201</v>
      </c>
      <c r="AN1476" t="s">
        <v>2591</v>
      </c>
      <c r="AO1476" t="s">
        <v>6985</v>
      </c>
      <c r="AP1476" t="s">
        <v>74</v>
      </c>
      <c r="AQ1476" t="s">
        <v>74</v>
      </c>
      <c r="AR1476" t="s">
        <v>6978</v>
      </c>
      <c r="AS1476" t="s">
        <v>6987</v>
      </c>
      <c r="AT1476" t="s">
        <v>176</v>
      </c>
      <c r="AU1476">
        <v>2006</v>
      </c>
      <c r="AV1476">
        <v>61</v>
      </c>
      <c r="AW1476">
        <v>1</v>
      </c>
      <c r="AX1476" t="s">
        <v>74</v>
      </c>
      <c r="AY1476" t="s">
        <v>74</v>
      </c>
      <c r="AZ1476" t="s">
        <v>74</v>
      </c>
      <c r="BA1476" t="s">
        <v>74</v>
      </c>
      <c r="BB1476">
        <v>68</v>
      </c>
      <c r="BC1476">
        <v>74</v>
      </c>
      <c r="BD1476" t="s">
        <v>74</v>
      </c>
      <c r="BE1476" t="s">
        <v>74</v>
      </c>
      <c r="BF1476" t="s">
        <v>74</v>
      </c>
      <c r="BG1476" t="s">
        <v>74</v>
      </c>
      <c r="BH1476" t="s">
        <v>74</v>
      </c>
      <c r="BI1476">
        <v>7</v>
      </c>
      <c r="BJ1476" t="s">
        <v>228</v>
      </c>
      <c r="BK1476" t="s">
        <v>101</v>
      </c>
      <c r="BL1476" t="s">
        <v>228</v>
      </c>
      <c r="BM1476" t="s">
        <v>16360</v>
      </c>
      <c r="BN1476">
        <v>16227329</v>
      </c>
      <c r="BO1476" t="s">
        <v>74</v>
      </c>
      <c r="BP1476" t="s">
        <v>74</v>
      </c>
      <c r="BQ1476" t="s">
        <v>74</v>
      </c>
      <c r="BR1476" t="s">
        <v>104</v>
      </c>
      <c r="BS1476" t="s">
        <v>16359</v>
      </c>
      <c r="BT1476" t="str">
        <f>HYPERLINK("https%3A%2F%2Fwww.webofscience.com%2Fwos%2Fwoscc%2Ffull-record%2FWOS:000234423000015","View Full Record in Web of Science")</f>
        <v>View Full Record in Web of Science</v>
      </c>
    </row>
    <row r="1477" spans="1:72" x14ac:dyDescent="0.25">
      <c r="A1477" t="s">
        <v>72</v>
      </c>
      <c r="B1477" t="s">
        <v>16358</v>
      </c>
      <c r="C1477" t="s">
        <v>74</v>
      </c>
      <c r="D1477" t="s">
        <v>74</v>
      </c>
      <c r="E1477" t="s">
        <v>74</v>
      </c>
      <c r="F1477" t="s">
        <v>16358</v>
      </c>
      <c r="G1477" t="s">
        <v>74</v>
      </c>
      <c r="H1477" t="s">
        <v>74</v>
      </c>
      <c r="I1477" t="s">
        <v>16357</v>
      </c>
      <c r="J1477" t="s">
        <v>216</v>
      </c>
      <c r="K1477" t="s">
        <v>74</v>
      </c>
      <c r="L1477" t="s">
        <v>74</v>
      </c>
      <c r="M1477" t="s">
        <v>78</v>
      </c>
      <c r="N1477" t="s">
        <v>79</v>
      </c>
      <c r="O1477" t="s">
        <v>74</v>
      </c>
      <c r="P1477" t="s">
        <v>74</v>
      </c>
      <c r="Q1477" t="s">
        <v>74</v>
      </c>
      <c r="R1477" t="s">
        <v>74</v>
      </c>
      <c r="S1477" t="s">
        <v>74</v>
      </c>
      <c r="T1477" t="s">
        <v>16356</v>
      </c>
      <c r="U1477" t="s">
        <v>16355</v>
      </c>
      <c r="V1477" t="s">
        <v>16354</v>
      </c>
      <c r="W1477" t="s">
        <v>16353</v>
      </c>
      <c r="X1477" t="s">
        <v>16352</v>
      </c>
      <c r="Y1477" t="s">
        <v>16351</v>
      </c>
      <c r="Z1477" t="s">
        <v>16167</v>
      </c>
      <c r="AA1477" t="s">
        <v>14164</v>
      </c>
      <c r="AB1477" t="s">
        <v>16350</v>
      </c>
      <c r="AC1477" t="s">
        <v>74</v>
      </c>
      <c r="AD1477" t="s">
        <v>74</v>
      </c>
      <c r="AE1477" t="s">
        <v>74</v>
      </c>
      <c r="AF1477" t="s">
        <v>74</v>
      </c>
      <c r="AG1477">
        <v>27</v>
      </c>
      <c r="AH1477">
        <v>95</v>
      </c>
      <c r="AI1477">
        <v>102</v>
      </c>
      <c r="AJ1477">
        <v>0</v>
      </c>
      <c r="AK1477">
        <v>6</v>
      </c>
      <c r="AL1477" t="s">
        <v>219</v>
      </c>
      <c r="AM1477" t="s">
        <v>220</v>
      </c>
      <c r="AN1477" t="s">
        <v>221</v>
      </c>
      <c r="AO1477" t="s">
        <v>222</v>
      </c>
      <c r="AP1477" t="s">
        <v>223</v>
      </c>
      <c r="AQ1477" t="s">
        <v>74</v>
      </c>
      <c r="AR1477" t="s">
        <v>224</v>
      </c>
      <c r="AS1477" t="s">
        <v>225</v>
      </c>
      <c r="AT1477" t="s">
        <v>176</v>
      </c>
      <c r="AU1477">
        <v>2006</v>
      </c>
      <c r="AV1477">
        <v>27</v>
      </c>
      <c r="AW1477">
        <v>1</v>
      </c>
      <c r="AX1477" t="s">
        <v>74</v>
      </c>
      <c r="AY1477" t="s">
        <v>74</v>
      </c>
      <c r="AZ1477" t="s">
        <v>74</v>
      </c>
      <c r="BA1477" t="s">
        <v>74</v>
      </c>
      <c r="BB1477">
        <v>114</v>
      </c>
      <c r="BC1477">
        <v>120</v>
      </c>
      <c r="BD1477" t="s">
        <v>74</v>
      </c>
      <c r="BE1477" t="s">
        <v>16349</v>
      </c>
      <c r="BF1477" t="str">
        <f>HYPERLINK("http://dx.doi.org/10.1183/09031936.06.00042705","http://dx.doi.org/10.1183/09031936.06.00042705")</f>
        <v>http://dx.doi.org/10.1183/09031936.06.00042705</v>
      </c>
      <c r="BG1477" t="s">
        <v>74</v>
      </c>
      <c r="BH1477" t="s">
        <v>74</v>
      </c>
      <c r="BI1477">
        <v>7</v>
      </c>
      <c r="BJ1477" t="s">
        <v>228</v>
      </c>
      <c r="BK1477" t="s">
        <v>101</v>
      </c>
      <c r="BL1477" t="s">
        <v>228</v>
      </c>
      <c r="BM1477" t="s">
        <v>16325</v>
      </c>
      <c r="BN1477">
        <v>16387943</v>
      </c>
      <c r="BO1477" t="s">
        <v>2854</v>
      </c>
      <c r="BP1477" t="s">
        <v>74</v>
      </c>
      <c r="BQ1477" t="s">
        <v>74</v>
      </c>
      <c r="BR1477" t="s">
        <v>104</v>
      </c>
      <c r="BS1477" t="s">
        <v>16348</v>
      </c>
      <c r="BT1477" t="str">
        <f>HYPERLINK("https%3A%2F%2Fwww.webofscience.com%2Fwos%2Fwoscc%2Ffull-record%2FWOS:000234635100018","View Full Record in Web of Science")</f>
        <v>View Full Record in Web of Science</v>
      </c>
    </row>
    <row r="1478" spans="1:72" x14ac:dyDescent="0.25">
      <c r="A1478" t="s">
        <v>72</v>
      </c>
      <c r="B1478" t="s">
        <v>16347</v>
      </c>
      <c r="C1478" t="s">
        <v>74</v>
      </c>
      <c r="D1478" t="s">
        <v>74</v>
      </c>
      <c r="E1478" t="s">
        <v>74</v>
      </c>
      <c r="F1478" t="s">
        <v>16347</v>
      </c>
      <c r="G1478" t="s">
        <v>74</v>
      </c>
      <c r="H1478" t="s">
        <v>74</v>
      </c>
      <c r="I1478" t="s">
        <v>16346</v>
      </c>
      <c r="J1478" t="s">
        <v>16338</v>
      </c>
      <c r="K1478" t="s">
        <v>74</v>
      </c>
      <c r="L1478" t="s">
        <v>74</v>
      </c>
      <c r="M1478" t="s">
        <v>78</v>
      </c>
      <c r="N1478" t="s">
        <v>79</v>
      </c>
      <c r="O1478" t="s">
        <v>74</v>
      </c>
      <c r="P1478" t="s">
        <v>74</v>
      </c>
      <c r="Q1478" t="s">
        <v>74</v>
      </c>
      <c r="R1478" t="s">
        <v>74</v>
      </c>
      <c r="S1478" t="s">
        <v>74</v>
      </c>
      <c r="T1478" t="s">
        <v>74</v>
      </c>
      <c r="U1478" t="s">
        <v>16345</v>
      </c>
      <c r="V1478" t="s">
        <v>16344</v>
      </c>
      <c r="W1478" t="s">
        <v>16343</v>
      </c>
      <c r="X1478" t="s">
        <v>16342</v>
      </c>
      <c r="Y1478" t="s">
        <v>16341</v>
      </c>
      <c r="Z1478" t="s">
        <v>16167</v>
      </c>
      <c r="AA1478" t="s">
        <v>14164</v>
      </c>
      <c r="AB1478" t="s">
        <v>16166</v>
      </c>
      <c r="AC1478" t="s">
        <v>74</v>
      </c>
      <c r="AD1478" t="s">
        <v>74</v>
      </c>
      <c r="AE1478" t="s">
        <v>74</v>
      </c>
      <c r="AF1478" t="s">
        <v>74</v>
      </c>
      <c r="AG1478">
        <v>24</v>
      </c>
      <c r="AH1478">
        <v>220</v>
      </c>
      <c r="AI1478">
        <v>231</v>
      </c>
      <c r="AJ1478">
        <v>0</v>
      </c>
      <c r="AK1478">
        <v>3</v>
      </c>
      <c r="AL1478" t="s">
        <v>1169</v>
      </c>
      <c r="AM1478" t="s">
        <v>123</v>
      </c>
      <c r="AN1478" t="s">
        <v>1170</v>
      </c>
      <c r="AO1478" t="s">
        <v>16340</v>
      </c>
      <c r="AP1478" t="s">
        <v>16339</v>
      </c>
      <c r="AQ1478" t="s">
        <v>74</v>
      </c>
      <c r="AR1478" t="s">
        <v>16338</v>
      </c>
      <c r="AS1478" t="s">
        <v>16337</v>
      </c>
      <c r="AT1478" t="s">
        <v>176</v>
      </c>
      <c r="AU1478">
        <v>2006</v>
      </c>
      <c r="AV1478">
        <v>130</v>
      </c>
      <c r="AW1478">
        <v>1</v>
      </c>
      <c r="AX1478" t="s">
        <v>74</v>
      </c>
      <c r="AY1478" t="s">
        <v>74</v>
      </c>
      <c r="AZ1478" t="s">
        <v>74</v>
      </c>
      <c r="BA1478" t="s">
        <v>74</v>
      </c>
      <c r="BB1478">
        <v>120</v>
      </c>
      <c r="BC1478">
        <v>126</v>
      </c>
      <c r="BD1478" t="s">
        <v>74</v>
      </c>
      <c r="BE1478" t="s">
        <v>16336</v>
      </c>
      <c r="BF1478" t="str">
        <f>HYPERLINK("http://dx.doi.org/10.1053/j.gastro.2005.10.013","http://dx.doi.org/10.1053/j.gastro.2005.10.013")</f>
        <v>http://dx.doi.org/10.1053/j.gastro.2005.10.013</v>
      </c>
      <c r="BG1478" t="s">
        <v>74</v>
      </c>
      <c r="BH1478" t="s">
        <v>74</v>
      </c>
      <c r="BI1478">
        <v>7</v>
      </c>
      <c r="BJ1478" t="s">
        <v>100</v>
      </c>
      <c r="BK1478" t="s">
        <v>101</v>
      </c>
      <c r="BL1478" t="s">
        <v>100</v>
      </c>
      <c r="BM1478" t="s">
        <v>16335</v>
      </c>
      <c r="BN1478">
        <v>16401475</v>
      </c>
      <c r="BO1478" t="s">
        <v>74</v>
      </c>
      <c r="BP1478" t="s">
        <v>74</v>
      </c>
      <c r="BQ1478" t="s">
        <v>74</v>
      </c>
      <c r="BR1478" t="s">
        <v>104</v>
      </c>
      <c r="BS1478" t="s">
        <v>16334</v>
      </c>
      <c r="BT1478" t="str">
        <f>HYPERLINK("https%3A%2F%2Fwww.webofscience.com%2Fwos%2Fwoscc%2Ffull-record%2FWOS:000234525200018","View Full Record in Web of Science")</f>
        <v>View Full Record in Web of Science</v>
      </c>
    </row>
    <row r="1479" spans="1:72" x14ac:dyDescent="0.25">
      <c r="A1479" t="s">
        <v>72</v>
      </c>
      <c r="B1479" t="s">
        <v>16333</v>
      </c>
      <c r="C1479" t="s">
        <v>74</v>
      </c>
      <c r="D1479" t="s">
        <v>74</v>
      </c>
      <c r="E1479" t="s">
        <v>74</v>
      </c>
      <c r="F1479" t="s">
        <v>16333</v>
      </c>
      <c r="G1479" t="s">
        <v>74</v>
      </c>
      <c r="H1479" t="s">
        <v>74</v>
      </c>
      <c r="I1479" t="s">
        <v>16332</v>
      </c>
      <c r="J1479" t="s">
        <v>216</v>
      </c>
      <c r="K1479" t="s">
        <v>74</v>
      </c>
      <c r="L1479" t="s">
        <v>74</v>
      </c>
      <c r="M1479" t="s">
        <v>78</v>
      </c>
      <c r="N1479" t="s">
        <v>79</v>
      </c>
      <c r="O1479" t="s">
        <v>74</v>
      </c>
      <c r="P1479" t="s">
        <v>74</v>
      </c>
      <c r="Q1479" t="s">
        <v>74</v>
      </c>
      <c r="R1479" t="s">
        <v>74</v>
      </c>
      <c r="S1479" t="s">
        <v>74</v>
      </c>
      <c r="T1479" t="s">
        <v>16331</v>
      </c>
      <c r="U1479" t="s">
        <v>16330</v>
      </c>
      <c r="V1479" t="s">
        <v>16329</v>
      </c>
      <c r="W1479" t="s">
        <v>16328</v>
      </c>
      <c r="X1479" t="s">
        <v>16327</v>
      </c>
      <c r="Y1479" t="s">
        <v>15469</v>
      </c>
      <c r="Z1479" t="s">
        <v>10573</v>
      </c>
      <c r="AA1479" t="s">
        <v>14164</v>
      </c>
      <c r="AB1479" t="s">
        <v>16166</v>
      </c>
      <c r="AC1479" t="s">
        <v>74</v>
      </c>
      <c r="AD1479" t="s">
        <v>74</v>
      </c>
      <c r="AE1479" t="s">
        <v>74</v>
      </c>
      <c r="AF1479" t="s">
        <v>74</v>
      </c>
      <c r="AG1479">
        <v>37</v>
      </c>
      <c r="AH1479">
        <v>103</v>
      </c>
      <c r="AI1479">
        <v>108</v>
      </c>
      <c r="AJ1479">
        <v>0</v>
      </c>
      <c r="AK1479">
        <v>2</v>
      </c>
      <c r="AL1479" t="s">
        <v>219</v>
      </c>
      <c r="AM1479" t="s">
        <v>220</v>
      </c>
      <c r="AN1479" t="s">
        <v>221</v>
      </c>
      <c r="AO1479" t="s">
        <v>222</v>
      </c>
      <c r="AP1479" t="s">
        <v>223</v>
      </c>
      <c r="AQ1479" t="s">
        <v>74</v>
      </c>
      <c r="AR1479" t="s">
        <v>224</v>
      </c>
      <c r="AS1479" t="s">
        <v>225</v>
      </c>
      <c r="AT1479" t="s">
        <v>176</v>
      </c>
      <c r="AU1479">
        <v>2006</v>
      </c>
      <c r="AV1479">
        <v>27</v>
      </c>
      <c r="AW1479">
        <v>1</v>
      </c>
      <c r="AX1479" t="s">
        <v>74</v>
      </c>
      <c r="AY1479" t="s">
        <v>74</v>
      </c>
      <c r="AZ1479" t="s">
        <v>74</v>
      </c>
      <c r="BA1479" t="s">
        <v>74</v>
      </c>
      <c r="BB1479">
        <v>108</v>
      </c>
      <c r="BC1479">
        <v>113</v>
      </c>
      <c r="BD1479" t="s">
        <v>74</v>
      </c>
      <c r="BE1479" t="s">
        <v>16326</v>
      </c>
      <c r="BF1479" t="str">
        <f>HYPERLINK("http://dx.doi.org/10.1183/09031936.06.00054105","http://dx.doi.org/10.1183/09031936.06.00054105")</f>
        <v>http://dx.doi.org/10.1183/09031936.06.00054105</v>
      </c>
      <c r="BG1479" t="s">
        <v>74</v>
      </c>
      <c r="BH1479" t="s">
        <v>74</v>
      </c>
      <c r="BI1479">
        <v>6</v>
      </c>
      <c r="BJ1479" t="s">
        <v>228</v>
      </c>
      <c r="BK1479" t="s">
        <v>101</v>
      </c>
      <c r="BL1479" t="s">
        <v>228</v>
      </c>
      <c r="BM1479" t="s">
        <v>16325</v>
      </c>
      <c r="BN1479">
        <v>16387942</v>
      </c>
      <c r="BO1479" t="s">
        <v>2854</v>
      </c>
      <c r="BP1479" t="s">
        <v>74</v>
      </c>
      <c r="BQ1479" t="s">
        <v>74</v>
      </c>
      <c r="BR1479" t="s">
        <v>104</v>
      </c>
      <c r="BS1479" t="s">
        <v>16324</v>
      </c>
      <c r="BT1479" t="str">
        <f>HYPERLINK("https%3A%2F%2Fwww.webofscience.com%2Fwos%2Fwoscc%2Ffull-record%2FWOS:000234635100017","View Full Record in Web of Science")</f>
        <v>View Full Record in Web of Science</v>
      </c>
    </row>
    <row r="1480" spans="1:72" x14ac:dyDescent="0.25">
      <c r="A1480" t="s">
        <v>72</v>
      </c>
      <c r="B1480" t="s">
        <v>16323</v>
      </c>
      <c r="C1480" t="s">
        <v>74</v>
      </c>
      <c r="D1480" t="s">
        <v>74</v>
      </c>
      <c r="E1480" t="s">
        <v>74</v>
      </c>
      <c r="F1480" t="s">
        <v>16323</v>
      </c>
      <c r="G1480" t="s">
        <v>74</v>
      </c>
      <c r="H1480" t="s">
        <v>74</v>
      </c>
      <c r="I1480" t="s">
        <v>16322</v>
      </c>
      <c r="J1480" t="s">
        <v>15500</v>
      </c>
      <c r="K1480" t="s">
        <v>74</v>
      </c>
      <c r="L1480" t="s">
        <v>74</v>
      </c>
      <c r="M1480" t="s">
        <v>78</v>
      </c>
      <c r="N1480" t="s">
        <v>79</v>
      </c>
      <c r="O1480" t="s">
        <v>74</v>
      </c>
      <c r="P1480" t="s">
        <v>74</v>
      </c>
      <c r="Q1480" t="s">
        <v>74</v>
      </c>
      <c r="R1480" t="s">
        <v>74</v>
      </c>
      <c r="S1480" t="s">
        <v>74</v>
      </c>
      <c r="T1480" t="s">
        <v>74</v>
      </c>
      <c r="U1480" t="s">
        <v>16321</v>
      </c>
      <c r="V1480" t="s">
        <v>16320</v>
      </c>
      <c r="W1480" t="s">
        <v>16319</v>
      </c>
      <c r="X1480" t="s">
        <v>16318</v>
      </c>
      <c r="Y1480" t="s">
        <v>16317</v>
      </c>
      <c r="Z1480" t="s">
        <v>15594</v>
      </c>
      <c r="AA1480" t="s">
        <v>16316</v>
      </c>
      <c r="AB1480" t="s">
        <v>16315</v>
      </c>
      <c r="AC1480" t="s">
        <v>74</v>
      </c>
      <c r="AD1480" t="s">
        <v>74</v>
      </c>
      <c r="AE1480" t="s">
        <v>74</v>
      </c>
      <c r="AF1480" t="s">
        <v>74</v>
      </c>
      <c r="AG1480">
        <v>29</v>
      </c>
      <c r="AH1480">
        <v>583</v>
      </c>
      <c r="AI1480">
        <v>617</v>
      </c>
      <c r="AJ1480">
        <v>0</v>
      </c>
      <c r="AK1480">
        <v>15</v>
      </c>
      <c r="AL1480" t="s">
        <v>169</v>
      </c>
      <c r="AM1480" t="s">
        <v>170</v>
      </c>
      <c r="AN1480" t="s">
        <v>171</v>
      </c>
      <c r="AO1480" t="s">
        <v>15491</v>
      </c>
      <c r="AP1480" t="s">
        <v>16087</v>
      </c>
      <c r="AQ1480" t="s">
        <v>74</v>
      </c>
      <c r="AR1480" t="s">
        <v>16086</v>
      </c>
      <c r="AS1480" t="s">
        <v>15489</v>
      </c>
      <c r="AT1480" t="s">
        <v>226</v>
      </c>
      <c r="AU1480">
        <v>2005</v>
      </c>
      <c r="AV1480">
        <v>52</v>
      </c>
      <c r="AW1480">
        <v>12</v>
      </c>
      <c r="AX1480" t="s">
        <v>74</v>
      </c>
      <c r="AY1480" t="s">
        <v>74</v>
      </c>
      <c r="AZ1480" t="s">
        <v>74</v>
      </c>
      <c r="BA1480" t="s">
        <v>74</v>
      </c>
      <c r="BB1480">
        <v>3792</v>
      </c>
      <c r="BC1480">
        <v>3800</v>
      </c>
      <c r="BD1480" t="s">
        <v>74</v>
      </c>
      <c r="BE1480" t="s">
        <v>16314</v>
      </c>
      <c r="BF1480" t="str">
        <f>HYPERLINK("http://dx.doi.org/10.1002/art.21433","http://dx.doi.org/10.1002/art.21433")</f>
        <v>http://dx.doi.org/10.1002/art.21433</v>
      </c>
      <c r="BG1480" t="s">
        <v>74</v>
      </c>
      <c r="BH1480" t="s">
        <v>74</v>
      </c>
      <c r="BI1480">
        <v>9</v>
      </c>
      <c r="BJ1480" t="s">
        <v>2369</v>
      </c>
      <c r="BK1480" t="s">
        <v>101</v>
      </c>
      <c r="BL1480" t="s">
        <v>2369</v>
      </c>
      <c r="BM1480" t="s">
        <v>16313</v>
      </c>
      <c r="BN1480">
        <v>16320330</v>
      </c>
      <c r="BO1480" t="s">
        <v>74</v>
      </c>
      <c r="BP1480" t="s">
        <v>74</v>
      </c>
      <c r="BQ1480" t="s">
        <v>74</v>
      </c>
      <c r="BR1480" t="s">
        <v>104</v>
      </c>
      <c r="BS1480" t="s">
        <v>16312</v>
      </c>
      <c r="BT1480" t="str">
        <f>HYPERLINK("https%3A%2F%2Fwww.webofscience.com%2Fwos%2Fwoscc%2Ffull-record%2FWOS:000234131500016","View Full Record in Web of Science")</f>
        <v>View Full Record in Web of Science</v>
      </c>
    </row>
    <row r="1481" spans="1:72" x14ac:dyDescent="0.25">
      <c r="A1481" t="s">
        <v>72</v>
      </c>
      <c r="B1481" t="s">
        <v>15543</v>
      </c>
      <c r="C1481" t="s">
        <v>74</v>
      </c>
      <c r="D1481" t="s">
        <v>74</v>
      </c>
      <c r="E1481" t="s">
        <v>74</v>
      </c>
      <c r="F1481" t="s">
        <v>15543</v>
      </c>
      <c r="G1481" t="s">
        <v>74</v>
      </c>
      <c r="H1481" t="s">
        <v>74</v>
      </c>
      <c r="I1481" t="s">
        <v>16311</v>
      </c>
      <c r="J1481" t="s">
        <v>16310</v>
      </c>
      <c r="K1481" t="s">
        <v>74</v>
      </c>
      <c r="L1481" t="s">
        <v>74</v>
      </c>
      <c r="M1481" t="s">
        <v>78</v>
      </c>
      <c r="N1481" t="s">
        <v>299</v>
      </c>
      <c r="O1481" t="s">
        <v>74</v>
      </c>
      <c r="P1481" t="s">
        <v>74</v>
      </c>
      <c r="Q1481" t="s">
        <v>74</v>
      </c>
      <c r="R1481" t="s">
        <v>74</v>
      </c>
      <c r="S1481" t="s">
        <v>74</v>
      </c>
      <c r="T1481" t="s">
        <v>16309</v>
      </c>
      <c r="U1481" t="s">
        <v>16308</v>
      </c>
      <c r="V1481" t="s">
        <v>16307</v>
      </c>
      <c r="W1481" t="s">
        <v>16306</v>
      </c>
      <c r="X1481" t="s">
        <v>15791</v>
      </c>
      <c r="Y1481" t="s">
        <v>16305</v>
      </c>
      <c r="Z1481" t="s">
        <v>15743</v>
      </c>
      <c r="AA1481" t="s">
        <v>7706</v>
      </c>
      <c r="AB1481" t="s">
        <v>257</v>
      </c>
      <c r="AC1481" t="s">
        <v>74</v>
      </c>
      <c r="AD1481" t="s">
        <v>74</v>
      </c>
      <c r="AE1481" t="s">
        <v>74</v>
      </c>
      <c r="AF1481" t="s">
        <v>74</v>
      </c>
      <c r="AG1481">
        <v>58</v>
      </c>
      <c r="AH1481">
        <v>15</v>
      </c>
      <c r="AI1481">
        <v>16</v>
      </c>
      <c r="AJ1481">
        <v>0</v>
      </c>
      <c r="AK1481">
        <v>0</v>
      </c>
      <c r="AL1481" t="s">
        <v>7501</v>
      </c>
      <c r="AM1481" t="s">
        <v>486</v>
      </c>
      <c r="AN1481" t="s">
        <v>9667</v>
      </c>
      <c r="AO1481" t="s">
        <v>16304</v>
      </c>
      <c r="AP1481" t="s">
        <v>74</v>
      </c>
      <c r="AQ1481" t="s">
        <v>74</v>
      </c>
      <c r="AR1481" t="s">
        <v>16303</v>
      </c>
      <c r="AS1481" t="s">
        <v>16302</v>
      </c>
      <c r="AT1481" t="s">
        <v>226</v>
      </c>
      <c r="AU1481">
        <v>2005</v>
      </c>
      <c r="AV1481">
        <v>1</v>
      </c>
      <c r="AW1481">
        <v>2</v>
      </c>
      <c r="AX1481" t="s">
        <v>74</v>
      </c>
      <c r="AY1481" t="s">
        <v>74</v>
      </c>
      <c r="AZ1481" t="s">
        <v>74</v>
      </c>
      <c r="BA1481" t="s">
        <v>74</v>
      </c>
      <c r="BB1481">
        <v>93</v>
      </c>
      <c r="BC1481">
        <v>101</v>
      </c>
      <c r="BD1481" t="s">
        <v>74</v>
      </c>
      <c r="BE1481" t="s">
        <v>16301</v>
      </c>
      <c r="BF1481" t="str">
        <f>HYPERLINK("http://dx.doi.org/10.1038/ncprheum0048","http://dx.doi.org/10.1038/ncprheum0048")</f>
        <v>http://dx.doi.org/10.1038/ncprheum0048</v>
      </c>
      <c r="BG1481" t="s">
        <v>74</v>
      </c>
      <c r="BH1481" t="s">
        <v>74</v>
      </c>
      <c r="BI1481">
        <v>9</v>
      </c>
      <c r="BJ1481" t="s">
        <v>16300</v>
      </c>
      <c r="BK1481" t="s">
        <v>101</v>
      </c>
      <c r="BL1481" t="s">
        <v>16300</v>
      </c>
      <c r="BM1481" t="s">
        <v>16299</v>
      </c>
      <c r="BN1481">
        <v>16932638</v>
      </c>
      <c r="BO1481" t="s">
        <v>74</v>
      </c>
      <c r="BP1481" t="s">
        <v>74</v>
      </c>
      <c r="BQ1481" t="s">
        <v>74</v>
      </c>
      <c r="BR1481" t="s">
        <v>104</v>
      </c>
      <c r="BS1481" t="s">
        <v>16298</v>
      </c>
      <c r="BT1481" t="str">
        <f>HYPERLINK("https%3A%2F%2Fwww.webofscience.com%2Fwos%2Fwoscc%2Ffull-record%2FWOS:000235165400005","View Full Record in Web of Science")</f>
        <v>View Full Record in Web of Science</v>
      </c>
    </row>
    <row r="1482" spans="1:72" x14ac:dyDescent="0.25">
      <c r="A1482" t="s">
        <v>72</v>
      </c>
      <c r="B1482" t="s">
        <v>16297</v>
      </c>
      <c r="C1482" t="s">
        <v>74</v>
      </c>
      <c r="D1482" t="s">
        <v>74</v>
      </c>
      <c r="E1482" t="s">
        <v>74</v>
      </c>
      <c r="F1482" t="s">
        <v>16297</v>
      </c>
      <c r="G1482" t="s">
        <v>74</v>
      </c>
      <c r="H1482" t="s">
        <v>74</v>
      </c>
      <c r="I1482" t="s">
        <v>16296</v>
      </c>
      <c r="J1482" t="s">
        <v>1348</v>
      </c>
      <c r="K1482" t="s">
        <v>74</v>
      </c>
      <c r="L1482" t="s">
        <v>74</v>
      </c>
      <c r="M1482" t="s">
        <v>1349</v>
      </c>
      <c r="N1482" t="s">
        <v>299</v>
      </c>
      <c r="O1482" t="s">
        <v>74</v>
      </c>
      <c r="P1482" t="s">
        <v>74</v>
      </c>
      <c r="Q1482" t="s">
        <v>74</v>
      </c>
      <c r="R1482" t="s">
        <v>74</v>
      </c>
      <c r="S1482" t="s">
        <v>74</v>
      </c>
      <c r="T1482" t="s">
        <v>16295</v>
      </c>
      <c r="U1482" t="s">
        <v>16294</v>
      </c>
      <c r="V1482" t="s">
        <v>16293</v>
      </c>
      <c r="W1482" t="s">
        <v>16292</v>
      </c>
      <c r="X1482" t="s">
        <v>16291</v>
      </c>
      <c r="Y1482" t="s">
        <v>15469</v>
      </c>
      <c r="Z1482" t="s">
        <v>10573</v>
      </c>
      <c r="AA1482" t="s">
        <v>144</v>
      </c>
      <c r="AB1482" t="s">
        <v>257</v>
      </c>
      <c r="AC1482" t="s">
        <v>74</v>
      </c>
      <c r="AD1482" t="s">
        <v>74</v>
      </c>
      <c r="AE1482" t="s">
        <v>74</v>
      </c>
      <c r="AF1482" t="s">
        <v>74</v>
      </c>
      <c r="AG1482">
        <v>32</v>
      </c>
      <c r="AH1482">
        <v>12</v>
      </c>
      <c r="AI1482">
        <v>12</v>
      </c>
      <c r="AJ1482">
        <v>0</v>
      </c>
      <c r="AK1482">
        <v>6</v>
      </c>
      <c r="AL1482" t="s">
        <v>1358</v>
      </c>
      <c r="AM1482" t="s">
        <v>1359</v>
      </c>
      <c r="AN1482" t="s">
        <v>1360</v>
      </c>
      <c r="AO1482" t="s">
        <v>1361</v>
      </c>
      <c r="AP1482" t="s">
        <v>1362</v>
      </c>
      <c r="AQ1482" t="s">
        <v>74</v>
      </c>
      <c r="AR1482" t="s">
        <v>1363</v>
      </c>
      <c r="AS1482" t="s">
        <v>1364</v>
      </c>
      <c r="AT1482" t="s">
        <v>226</v>
      </c>
      <c r="AU1482">
        <v>2005</v>
      </c>
      <c r="AV1482">
        <v>22</v>
      </c>
      <c r="AW1482">
        <v>6</v>
      </c>
      <c r="AX1482">
        <v>1</v>
      </c>
      <c r="AY1482" t="s">
        <v>74</v>
      </c>
      <c r="AZ1482" t="s">
        <v>74</v>
      </c>
      <c r="BA1482" t="s">
        <v>74</v>
      </c>
      <c r="BB1482">
        <v>983</v>
      </c>
      <c r="BC1482">
        <v>990</v>
      </c>
      <c r="BD1482" t="s">
        <v>74</v>
      </c>
      <c r="BE1482" t="s">
        <v>16290</v>
      </c>
      <c r="BF1482" t="str">
        <f>HYPERLINK("http://dx.doi.org/10.1016/S0761-8425(05)85729-8","http://dx.doi.org/10.1016/S0761-8425(05)85729-8")</f>
        <v>http://dx.doi.org/10.1016/S0761-8425(05)85729-8</v>
      </c>
      <c r="BG1482" t="s">
        <v>74</v>
      </c>
      <c r="BH1482" t="s">
        <v>74</v>
      </c>
      <c r="BI1482">
        <v>8</v>
      </c>
      <c r="BJ1482" t="s">
        <v>228</v>
      </c>
      <c r="BK1482" t="s">
        <v>101</v>
      </c>
      <c r="BL1482" t="s">
        <v>228</v>
      </c>
      <c r="BM1482" t="s">
        <v>16289</v>
      </c>
      <c r="BN1482">
        <v>16222222</v>
      </c>
      <c r="BO1482" t="s">
        <v>74</v>
      </c>
      <c r="BP1482" t="s">
        <v>74</v>
      </c>
      <c r="BQ1482" t="s">
        <v>74</v>
      </c>
      <c r="BR1482" t="s">
        <v>104</v>
      </c>
      <c r="BS1482" t="s">
        <v>16288</v>
      </c>
      <c r="BT1482" t="str">
        <f>HYPERLINK("https%3A%2F%2Fwww.webofscience.com%2Fwos%2Fwoscc%2Ffull-record%2FWOS:000234747600012","View Full Record in Web of Science")</f>
        <v>View Full Record in Web of Science</v>
      </c>
    </row>
    <row r="1483" spans="1:72" x14ac:dyDescent="0.25">
      <c r="A1483" t="s">
        <v>72</v>
      </c>
      <c r="B1483" t="s">
        <v>16287</v>
      </c>
      <c r="C1483" t="s">
        <v>74</v>
      </c>
      <c r="D1483" t="s">
        <v>74</v>
      </c>
      <c r="E1483" t="s">
        <v>74</v>
      </c>
      <c r="F1483" t="s">
        <v>16287</v>
      </c>
      <c r="G1483" t="s">
        <v>74</v>
      </c>
      <c r="H1483" t="s">
        <v>74</v>
      </c>
      <c r="I1483" t="s">
        <v>16286</v>
      </c>
      <c r="J1483" t="s">
        <v>6978</v>
      </c>
      <c r="K1483" t="s">
        <v>74</v>
      </c>
      <c r="L1483" t="s">
        <v>74</v>
      </c>
      <c r="M1483" t="s">
        <v>78</v>
      </c>
      <c r="N1483" t="s">
        <v>79</v>
      </c>
      <c r="O1483" t="s">
        <v>74</v>
      </c>
      <c r="P1483" t="s">
        <v>74</v>
      </c>
      <c r="Q1483" t="s">
        <v>74</v>
      </c>
      <c r="R1483" t="s">
        <v>74</v>
      </c>
      <c r="S1483" t="s">
        <v>74</v>
      </c>
      <c r="T1483" t="s">
        <v>74</v>
      </c>
      <c r="U1483" t="s">
        <v>16285</v>
      </c>
      <c r="V1483" t="s">
        <v>16284</v>
      </c>
      <c r="W1483" t="s">
        <v>16283</v>
      </c>
      <c r="X1483" t="s">
        <v>16282</v>
      </c>
      <c r="Y1483" t="s">
        <v>16281</v>
      </c>
      <c r="Z1483" t="s">
        <v>16280</v>
      </c>
      <c r="AA1483" t="s">
        <v>16279</v>
      </c>
      <c r="AB1483" t="s">
        <v>16278</v>
      </c>
      <c r="AC1483" t="s">
        <v>74</v>
      </c>
      <c r="AD1483" t="s">
        <v>74</v>
      </c>
      <c r="AE1483" t="s">
        <v>74</v>
      </c>
      <c r="AF1483" t="s">
        <v>74</v>
      </c>
      <c r="AG1483">
        <v>30</v>
      </c>
      <c r="AH1483">
        <v>165</v>
      </c>
      <c r="AI1483">
        <v>170</v>
      </c>
      <c r="AJ1483">
        <v>0</v>
      </c>
      <c r="AK1483">
        <v>2</v>
      </c>
      <c r="AL1483" t="s">
        <v>2590</v>
      </c>
      <c r="AM1483" t="s">
        <v>201</v>
      </c>
      <c r="AN1483" t="s">
        <v>2591</v>
      </c>
      <c r="AO1483" t="s">
        <v>6985</v>
      </c>
      <c r="AP1483" t="s">
        <v>6986</v>
      </c>
      <c r="AQ1483" t="s">
        <v>74</v>
      </c>
      <c r="AR1483" t="s">
        <v>6978</v>
      </c>
      <c r="AS1483" t="s">
        <v>6987</v>
      </c>
      <c r="AT1483" t="s">
        <v>226</v>
      </c>
      <c r="AU1483">
        <v>2005</v>
      </c>
      <c r="AV1483">
        <v>60</v>
      </c>
      <c r="AW1483">
        <v>12</v>
      </c>
      <c r="AX1483" t="s">
        <v>74</v>
      </c>
      <c r="AY1483" t="s">
        <v>74</v>
      </c>
      <c r="AZ1483" t="s">
        <v>74</v>
      </c>
      <c r="BA1483" t="s">
        <v>74</v>
      </c>
      <c r="BB1483">
        <v>1031</v>
      </c>
      <c r="BC1483">
        <v>1034</v>
      </c>
      <c r="BD1483" t="s">
        <v>74</v>
      </c>
      <c r="BE1483" t="s">
        <v>16277</v>
      </c>
      <c r="BF1483" t="str">
        <f>HYPERLINK("http://dx.doi.org/10.1136/thx.2004.038083","http://dx.doi.org/10.1136/thx.2004.038083")</f>
        <v>http://dx.doi.org/10.1136/thx.2004.038083</v>
      </c>
      <c r="BG1483" t="s">
        <v>74</v>
      </c>
      <c r="BH1483" t="s">
        <v>74</v>
      </c>
      <c r="BI1483">
        <v>4</v>
      </c>
      <c r="BJ1483" t="s">
        <v>228</v>
      </c>
      <c r="BK1483" t="s">
        <v>101</v>
      </c>
      <c r="BL1483" t="s">
        <v>228</v>
      </c>
      <c r="BM1483" t="s">
        <v>16208</v>
      </c>
      <c r="BN1483">
        <v>16085731</v>
      </c>
      <c r="BO1483" t="s">
        <v>2517</v>
      </c>
      <c r="BP1483" t="s">
        <v>74</v>
      </c>
      <c r="BQ1483" t="s">
        <v>74</v>
      </c>
      <c r="BR1483" t="s">
        <v>104</v>
      </c>
      <c r="BS1483" t="s">
        <v>16276</v>
      </c>
      <c r="BT1483" t="str">
        <f>HYPERLINK("https%3A%2F%2Fwww.webofscience.com%2Fwos%2Fwoscc%2Ffull-record%2FWOS:000233368400013","View Full Record in Web of Science")</f>
        <v>View Full Record in Web of Science</v>
      </c>
    </row>
    <row r="1484" spans="1:72" x14ac:dyDescent="0.25">
      <c r="A1484" t="s">
        <v>72</v>
      </c>
      <c r="B1484" t="s">
        <v>16275</v>
      </c>
      <c r="C1484" t="s">
        <v>74</v>
      </c>
      <c r="D1484" t="s">
        <v>74</v>
      </c>
      <c r="E1484" t="s">
        <v>74</v>
      </c>
      <c r="F1484" t="s">
        <v>16275</v>
      </c>
      <c r="G1484" t="s">
        <v>74</v>
      </c>
      <c r="H1484" t="s">
        <v>74</v>
      </c>
      <c r="I1484" t="s">
        <v>16274</v>
      </c>
      <c r="J1484" t="s">
        <v>6978</v>
      </c>
      <c r="K1484" t="s">
        <v>74</v>
      </c>
      <c r="L1484" t="s">
        <v>74</v>
      </c>
      <c r="M1484" t="s">
        <v>78</v>
      </c>
      <c r="N1484" t="s">
        <v>52</v>
      </c>
      <c r="O1484" t="s">
        <v>6979</v>
      </c>
      <c r="P1484">
        <v>2005</v>
      </c>
      <c r="Q1484" t="s">
        <v>6981</v>
      </c>
      <c r="R1484" t="s">
        <v>6982</v>
      </c>
      <c r="S1484" t="s">
        <v>74</v>
      </c>
      <c r="T1484" t="s">
        <v>74</v>
      </c>
      <c r="U1484" t="s">
        <v>74</v>
      </c>
      <c r="V1484" t="s">
        <v>74</v>
      </c>
      <c r="W1484" t="s">
        <v>16273</v>
      </c>
      <c r="X1484" t="s">
        <v>16272</v>
      </c>
      <c r="Y1484" t="s">
        <v>74</v>
      </c>
      <c r="Z1484" t="s">
        <v>74</v>
      </c>
      <c r="AA1484" t="s">
        <v>378</v>
      </c>
      <c r="AB1484" t="s">
        <v>1489</v>
      </c>
      <c r="AC1484" t="s">
        <v>74</v>
      </c>
      <c r="AD1484" t="s">
        <v>74</v>
      </c>
      <c r="AE1484" t="s">
        <v>74</v>
      </c>
      <c r="AF1484" t="s">
        <v>74</v>
      </c>
      <c r="AG1484">
        <v>0</v>
      </c>
      <c r="AH1484">
        <v>0</v>
      </c>
      <c r="AI1484">
        <v>0</v>
      </c>
      <c r="AJ1484">
        <v>0</v>
      </c>
      <c r="AK1484">
        <v>0</v>
      </c>
      <c r="AL1484" t="s">
        <v>15444</v>
      </c>
      <c r="AM1484" t="s">
        <v>201</v>
      </c>
      <c r="AN1484" t="s">
        <v>2591</v>
      </c>
      <c r="AO1484" t="s">
        <v>6985</v>
      </c>
      <c r="AP1484" t="s">
        <v>74</v>
      </c>
      <c r="AQ1484" t="s">
        <v>74</v>
      </c>
      <c r="AR1484" t="s">
        <v>6978</v>
      </c>
      <c r="AS1484" t="s">
        <v>6987</v>
      </c>
      <c r="AT1484" t="s">
        <v>2689</v>
      </c>
      <c r="AU1484">
        <v>2005</v>
      </c>
      <c r="AV1484">
        <v>60</v>
      </c>
      <c r="AW1484" t="s">
        <v>74</v>
      </c>
      <c r="AX1484" t="s">
        <v>74</v>
      </c>
      <c r="AY1484">
        <v>2</v>
      </c>
      <c r="AZ1484" t="s">
        <v>74</v>
      </c>
      <c r="BA1484" t="s">
        <v>74</v>
      </c>
      <c r="BB1484" t="s">
        <v>16271</v>
      </c>
      <c r="BC1484" t="s">
        <v>16270</v>
      </c>
      <c r="BD1484" t="s">
        <v>74</v>
      </c>
      <c r="BE1484" t="s">
        <v>74</v>
      </c>
      <c r="BF1484" t="s">
        <v>74</v>
      </c>
      <c r="BG1484" t="s">
        <v>74</v>
      </c>
      <c r="BH1484" t="s">
        <v>74</v>
      </c>
      <c r="BI1484">
        <v>2</v>
      </c>
      <c r="BJ1484" t="s">
        <v>228</v>
      </c>
      <c r="BK1484" t="s">
        <v>14074</v>
      </c>
      <c r="BL1484" t="s">
        <v>228</v>
      </c>
      <c r="BM1484" t="s">
        <v>16269</v>
      </c>
      <c r="BN1484" t="s">
        <v>74</v>
      </c>
      <c r="BO1484" t="s">
        <v>74</v>
      </c>
      <c r="BP1484" t="s">
        <v>74</v>
      </c>
      <c r="BQ1484" t="s">
        <v>74</v>
      </c>
      <c r="BR1484" t="s">
        <v>104</v>
      </c>
      <c r="BS1484" t="s">
        <v>16268</v>
      </c>
      <c r="BT1484" t="str">
        <f>HYPERLINK("https%3A%2F%2Fwww.webofscience.com%2Fwos%2Fwoscc%2Ffull-record%2FWOS:000233564900281","View Full Record in Web of Science")</f>
        <v>View Full Record in Web of Science</v>
      </c>
    </row>
    <row r="1485" spans="1:72" x14ac:dyDescent="0.25">
      <c r="A1485" t="s">
        <v>72</v>
      </c>
      <c r="B1485" t="s">
        <v>16267</v>
      </c>
      <c r="C1485" t="s">
        <v>74</v>
      </c>
      <c r="D1485" t="s">
        <v>74</v>
      </c>
      <c r="E1485" t="s">
        <v>74</v>
      </c>
      <c r="F1485" t="s">
        <v>16267</v>
      </c>
      <c r="G1485" t="s">
        <v>74</v>
      </c>
      <c r="H1485" t="s">
        <v>74</v>
      </c>
      <c r="I1485" t="s">
        <v>16266</v>
      </c>
      <c r="J1485" t="s">
        <v>7729</v>
      </c>
      <c r="K1485" t="s">
        <v>74</v>
      </c>
      <c r="L1485" t="s">
        <v>74</v>
      </c>
      <c r="M1485" t="s">
        <v>78</v>
      </c>
      <c r="N1485" t="s">
        <v>140</v>
      </c>
      <c r="O1485" t="s">
        <v>74</v>
      </c>
      <c r="P1485" t="s">
        <v>74</v>
      </c>
      <c r="Q1485" t="s">
        <v>74</v>
      </c>
      <c r="R1485" t="s">
        <v>74</v>
      </c>
      <c r="S1485" t="s">
        <v>74</v>
      </c>
      <c r="T1485" t="s">
        <v>74</v>
      </c>
      <c r="U1485" t="s">
        <v>16265</v>
      </c>
      <c r="V1485" t="s">
        <v>74</v>
      </c>
      <c r="W1485" t="s">
        <v>16264</v>
      </c>
      <c r="X1485" t="s">
        <v>16263</v>
      </c>
      <c r="Y1485" t="s">
        <v>16262</v>
      </c>
      <c r="Z1485" t="s">
        <v>16261</v>
      </c>
      <c r="AA1485" t="s">
        <v>16260</v>
      </c>
      <c r="AB1485" t="s">
        <v>257</v>
      </c>
      <c r="AC1485" t="s">
        <v>74</v>
      </c>
      <c r="AD1485" t="s">
        <v>74</v>
      </c>
      <c r="AE1485" t="s">
        <v>74</v>
      </c>
      <c r="AF1485" t="s">
        <v>74</v>
      </c>
      <c r="AG1485">
        <v>41</v>
      </c>
      <c r="AH1485">
        <v>7</v>
      </c>
      <c r="AI1485">
        <v>7</v>
      </c>
      <c r="AJ1485">
        <v>0</v>
      </c>
      <c r="AK1485">
        <v>1</v>
      </c>
      <c r="AL1485" t="s">
        <v>16259</v>
      </c>
      <c r="AM1485" t="s">
        <v>1074</v>
      </c>
      <c r="AN1485" t="s">
        <v>16258</v>
      </c>
      <c r="AO1485" t="s">
        <v>7738</v>
      </c>
      <c r="AP1485" t="s">
        <v>74</v>
      </c>
      <c r="AQ1485" t="s">
        <v>74</v>
      </c>
      <c r="AR1485" t="s">
        <v>7740</v>
      </c>
      <c r="AS1485" t="s">
        <v>7741</v>
      </c>
      <c r="AT1485" t="s">
        <v>226</v>
      </c>
      <c r="AU1485">
        <v>2005</v>
      </c>
      <c r="AV1485">
        <v>35</v>
      </c>
      <c r="AW1485">
        <v>12</v>
      </c>
      <c r="AX1485" t="s">
        <v>74</v>
      </c>
      <c r="AY1485" t="s">
        <v>74</v>
      </c>
      <c r="AZ1485" t="s">
        <v>74</v>
      </c>
      <c r="BA1485" t="s">
        <v>74</v>
      </c>
      <c r="BB1485">
        <v>1507</v>
      </c>
      <c r="BC1485">
        <v>1510</v>
      </c>
      <c r="BD1485" t="s">
        <v>74</v>
      </c>
      <c r="BE1485" t="s">
        <v>16257</v>
      </c>
      <c r="BF1485" t="str">
        <f>HYPERLINK("http://dx.doi.org/10.1111/j.1365-2222.2005.02392.x","http://dx.doi.org/10.1111/j.1365-2222.2005.02392.x")</f>
        <v>http://dx.doi.org/10.1111/j.1365-2222.2005.02392.x</v>
      </c>
      <c r="BG1485" t="s">
        <v>74</v>
      </c>
      <c r="BH1485" t="s">
        <v>74</v>
      </c>
      <c r="BI1485">
        <v>4</v>
      </c>
      <c r="BJ1485" t="s">
        <v>3085</v>
      </c>
      <c r="BK1485" t="s">
        <v>101</v>
      </c>
      <c r="BL1485" t="s">
        <v>3085</v>
      </c>
      <c r="BM1485" t="s">
        <v>16256</v>
      </c>
      <c r="BN1485">
        <v>16393315</v>
      </c>
      <c r="BO1485" t="s">
        <v>1194</v>
      </c>
      <c r="BP1485" t="s">
        <v>74</v>
      </c>
      <c r="BQ1485" t="s">
        <v>74</v>
      </c>
      <c r="BR1485" t="s">
        <v>104</v>
      </c>
      <c r="BS1485" t="s">
        <v>16255</v>
      </c>
      <c r="BT1485" t="str">
        <f>HYPERLINK("https%3A%2F%2Fwww.webofscience.com%2Fwos%2Fwoscc%2Ffull-record%2FWOS:000233777400001","View Full Record in Web of Science")</f>
        <v>View Full Record in Web of Science</v>
      </c>
    </row>
    <row r="1486" spans="1:72" x14ac:dyDescent="0.25">
      <c r="A1486" t="s">
        <v>72</v>
      </c>
      <c r="B1486" t="s">
        <v>15628</v>
      </c>
      <c r="C1486" t="s">
        <v>74</v>
      </c>
      <c r="D1486" t="s">
        <v>74</v>
      </c>
      <c r="E1486" t="s">
        <v>74</v>
      </c>
      <c r="F1486" t="s">
        <v>15628</v>
      </c>
      <c r="G1486" t="s">
        <v>74</v>
      </c>
      <c r="H1486" t="s">
        <v>74</v>
      </c>
      <c r="I1486" t="s">
        <v>16254</v>
      </c>
      <c r="J1486" t="s">
        <v>324</v>
      </c>
      <c r="K1486" t="s">
        <v>74</v>
      </c>
      <c r="L1486" t="s">
        <v>74</v>
      </c>
      <c r="M1486" t="s">
        <v>78</v>
      </c>
      <c r="N1486" t="s">
        <v>8016</v>
      </c>
      <c r="O1486" t="s">
        <v>16233</v>
      </c>
      <c r="P1486" t="s">
        <v>15692</v>
      </c>
      <c r="Q1486" t="s">
        <v>16232</v>
      </c>
      <c r="R1486" t="s">
        <v>74</v>
      </c>
      <c r="S1486" t="s">
        <v>16231</v>
      </c>
      <c r="T1486" t="s">
        <v>74</v>
      </c>
      <c r="U1486" t="s">
        <v>16253</v>
      </c>
      <c r="V1486" t="s">
        <v>74</v>
      </c>
      <c r="W1486" t="s">
        <v>16252</v>
      </c>
      <c r="X1486" t="s">
        <v>16251</v>
      </c>
      <c r="Y1486" t="s">
        <v>16250</v>
      </c>
      <c r="Z1486" t="s">
        <v>16249</v>
      </c>
      <c r="AA1486" t="s">
        <v>7706</v>
      </c>
      <c r="AB1486" t="s">
        <v>15619</v>
      </c>
      <c r="AC1486" t="s">
        <v>74</v>
      </c>
      <c r="AD1486" t="s">
        <v>74</v>
      </c>
      <c r="AE1486" t="s">
        <v>74</v>
      </c>
      <c r="AF1486" t="s">
        <v>74</v>
      </c>
      <c r="AG1486">
        <v>7</v>
      </c>
      <c r="AH1486">
        <v>13</v>
      </c>
      <c r="AI1486">
        <v>14</v>
      </c>
      <c r="AJ1486">
        <v>0</v>
      </c>
      <c r="AK1486">
        <v>0</v>
      </c>
      <c r="AL1486" t="s">
        <v>7467</v>
      </c>
      <c r="AM1486" t="s">
        <v>93</v>
      </c>
      <c r="AN1486" t="s">
        <v>7468</v>
      </c>
      <c r="AO1486" t="s">
        <v>337</v>
      </c>
      <c r="AP1486" t="s">
        <v>74</v>
      </c>
      <c r="AQ1486" t="s">
        <v>74</v>
      </c>
      <c r="AR1486" t="s">
        <v>324</v>
      </c>
      <c r="AS1486" t="s">
        <v>339</v>
      </c>
      <c r="AT1486" t="s">
        <v>226</v>
      </c>
      <c r="AU1486">
        <v>2005</v>
      </c>
      <c r="AV1486">
        <v>128</v>
      </c>
      <c r="AW1486">
        <v>6</v>
      </c>
      <c r="AX1486" t="s">
        <v>74</v>
      </c>
      <c r="AY1486" t="s">
        <v>998</v>
      </c>
      <c r="AZ1486" t="s">
        <v>74</v>
      </c>
      <c r="BA1486" t="s">
        <v>74</v>
      </c>
      <c r="BB1486" t="s">
        <v>16248</v>
      </c>
      <c r="BC1486" t="s">
        <v>16247</v>
      </c>
      <c r="BD1486" t="s">
        <v>74</v>
      </c>
      <c r="BE1486" t="s">
        <v>16246</v>
      </c>
      <c r="BF1486" t="str">
        <f>HYPERLINK("http://dx.doi.org/10.1378/chest.128.6_suppl.552S","http://dx.doi.org/10.1378/chest.128.6_suppl.552S")</f>
        <v>http://dx.doi.org/10.1378/chest.128.6_suppl.552S</v>
      </c>
      <c r="BG1486" t="s">
        <v>74</v>
      </c>
      <c r="BH1486" t="s">
        <v>74</v>
      </c>
      <c r="BI1486">
        <v>2</v>
      </c>
      <c r="BJ1486" t="s">
        <v>341</v>
      </c>
      <c r="BK1486" t="s">
        <v>512</v>
      </c>
      <c r="BL1486" t="s">
        <v>342</v>
      </c>
      <c r="BM1486" t="s">
        <v>16220</v>
      </c>
      <c r="BN1486">
        <v>16373820</v>
      </c>
      <c r="BO1486" t="s">
        <v>74</v>
      </c>
      <c r="BP1486" t="s">
        <v>74</v>
      </c>
      <c r="BQ1486" t="s">
        <v>74</v>
      </c>
      <c r="BR1486" t="s">
        <v>104</v>
      </c>
      <c r="BS1486" t="s">
        <v>16245</v>
      </c>
      <c r="BT1486" t="str">
        <f>HYPERLINK("https%3A%2F%2Fwww.webofscience.com%2Fwos%2Fwoscc%2Ffull-record%2FWOS:000234371400002","View Full Record in Web of Science")</f>
        <v>View Full Record in Web of Science</v>
      </c>
    </row>
    <row r="1487" spans="1:72" x14ac:dyDescent="0.25">
      <c r="A1487" t="s">
        <v>72</v>
      </c>
      <c r="B1487" t="s">
        <v>16244</v>
      </c>
      <c r="C1487" t="s">
        <v>74</v>
      </c>
      <c r="D1487" t="s">
        <v>74</v>
      </c>
      <c r="E1487" t="s">
        <v>74</v>
      </c>
      <c r="F1487" t="s">
        <v>16244</v>
      </c>
      <c r="G1487" t="s">
        <v>74</v>
      </c>
      <c r="H1487" t="s">
        <v>74</v>
      </c>
      <c r="I1487" t="s">
        <v>16243</v>
      </c>
      <c r="J1487" t="s">
        <v>216</v>
      </c>
      <c r="K1487" t="s">
        <v>74</v>
      </c>
      <c r="L1487" t="s">
        <v>74</v>
      </c>
      <c r="M1487" t="s">
        <v>78</v>
      </c>
      <c r="N1487" t="s">
        <v>140</v>
      </c>
      <c r="O1487" t="s">
        <v>74</v>
      </c>
      <c r="P1487" t="s">
        <v>74</v>
      </c>
      <c r="Q1487" t="s">
        <v>74</v>
      </c>
      <c r="R1487" t="s">
        <v>74</v>
      </c>
      <c r="S1487" t="s">
        <v>74</v>
      </c>
      <c r="T1487" t="s">
        <v>74</v>
      </c>
      <c r="U1487" t="s">
        <v>16242</v>
      </c>
      <c r="V1487" t="s">
        <v>74</v>
      </c>
      <c r="W1487" t="s">
        <v>16241</v>
      </c>
      <c r="X1487" t="s">
        <v>16240</v>
      </c>
      <c r="Y1487" t="s">
        <v>16239</v>
      </c>
      <c r="Z1487" t="s">
        <v>16064</v>
      </c>
      <c r="AA1487" t="s">
        <v>144</v>
      </c>
      <c r="AB1487" t="s">
        <v>257</v>
      </c>
      <c r="AC1487" t="s">
        <v>74</v>
      </c>
      <c r="AD1487" t="s">
        <v>74</v>
      </c>
      <c r="AE1487" t="s">
        <v>74</v>
      </c>
      <c r="AF1487" t="s">
        <v>74</v>
      </c>
      <c r="AG1487">
        <v>33</v>
      </c>
      <c r="AH1487">
        <v>43</v>
      </c>
      <c r="AI1487">
        <v>47</v>
      </c>
      <c r="AJ1487">
        <v>0</v>
      </c>
      <c r="AK1487">
        <v>2</v>
      </c>
      <c r="AL1487" t="s">
        <v>219</v>
      </c>
      <c r="AM1487" t="s">
        <v>220</v>
      </c>
      <c r="AN1487" t="s">
        <v>15273</v>
      </c>
      <c r="AO1487" t="s">
        <v>222</v>
      </c>
      <c r="AP1487" t="s">
        <v>74</v>
      </c>
      <c r="AQ1487" t="s">
        <v>74</v>
      </c>
      <c r="AR1487" t="s">
        <v>224</v>
      </c>
      <c r="AS1487" t="s">
        <v>225</v>
      </c>
      <c r="AT1487" t="s">
        <v>226</v>
      </c>
      <c r="AU1487">
        <v>2005</v>
      </c>
      <c r="AV1487">
        <v>26</v>
      </c>
      <c r="AW1487">
        <v>6</v>
      </c>
      <c r="AX1487" t="s">
        <v>74</v>
      </c>
      <c r="AY1487" t="s">
        <v>74</v>
      </c>
      <c r="AZ1487" t="s">
        <v>74</v>
      </c>
      <c r="BA1487" t="s">
        <v>74</v>
      </c>
      <c r="BB1487">
        <v>986</v>
      </c>
      <c r="BC1487">
        <v>988</v>
      </c>
      <c r="BD1487" t="s">
        <v>74</v>
      </c>
      <c r="BE1487" t="s">
        <v>16238</v>
      </c>
      <c r="BF1487" t="str">
        <f>HYPERLINK("http://dx.doi.org/10.1183/09031936.05.00112105","http://dx.doi.org/10.1183/09031936.05.00112105")</f>
        <v>http://dx.doi.org/10.1183/09031936.05.00112105</v>
      </c>
      <c r="BG1487" t="s">
        <v>74</v>
      </c>
      <c r="BH1487" t="s">
        <v>74</v>
      </c>
      <c r="BI1487">
        <v>3</v>
      </c>
      <c r="BJ1487" t="s">
        <v>228</v>
      </c>
      <c r="BK1487" t="s">
        <v>101</v>
      </c>
      <c r="BL1487" t="s">
        <v>228</v>
      </c>
      <c r="BM1487" t="s">
        <v>16237</v>
      </c>
      <c r="BN1487">
        <v>16319325</v>
      </c>
      <c r="BO1487" t="s">
        <v>1194</v>
      </c>
      <c r="BP1487" t="s">
        <v>74</v>
      </c>
      <c r="BQ1487" t="s">
        <v>74</v>
      </c>
      <c r="BR1487" t="s">
        <v>104</v>
      </c>
      <c r="BS1487" t="s">
        <v>16236</v>
      </c>
      <c r="BT1487" t="str">
        <f>HYPERLINK("https%3A%2F%2Fwww.webofscience.com%2Fwos%2Fwoscc%2Ffull-record%2FWOS:000234203100004","View Full Record in Web of Science")</f>
        <v>View Full Record in Web of Science</v>
      </c>
    </row>
    <row r="1488" spans="1:72" x14ac:dyDescent="0.25">
      <c r="A1488" t="s">
        <v>72</v>
      </c>
      <c r="B1488" t="s">
        <v>16235</v>
      </c>
      <c r="C1488" t="s">
        <v>74</v>
      </c>
      <c r="D1488" t="s">
        <v>74</v>
      </c>
      <c r="E1488" t="s">
        <v>74</v>
      </c>
      <c r="F1488" t="s">
        <v>16235</v>
      </c>
      <c r="G1488" t="s">
        <v>74</v>
      </c>
      <c r="H1488" t="s">
        <v>74</v>
      </c>
      <c r="I1488" t="s">
        <v>16234</v>
      </c>
      <c r="J1488" t="s">
        <v>324</v>
      </c>
      <c r="K1488" t="s">
        <v>74</v>
      </c>
      <c r="L1488" t="s">
        <v>74</v>
      </c>
      <c r="M1488" t="s">
        <v>78</v>
      </c>
      <c r="N1488" t="s">
        <v>8016</v>
      </c>
      <c r="O1488" t="s">
        <v>16233</v>
      </c>
      <c r="P1488" t="s">
        <v>15692</v>
      </c>
      <c r="Q1488" t="s">
        <v>16232</v>
      </c>
      <c r="R1488" t="s">
        <v>74</v>
      </c>
      <c r="S1488" t="s">
        <v>16231</v>
      </c>
      <c r="T1488" t="s">
        <v>16230</v>
      </c>
      <c r="U1488" t="s">
        <v>16229</v>
      </c>
      <c r="V1488" t="s">
        <v>16228</v>
      </c>
      <c r="W1488" t="s">
        <v>16227</v>
      </c>
      <c r="X1488" t="s">
        <v>14590</v>
      </c>
      <c r="Y1488" t="s">
        <v>16226</v>
      </c>
      <c r="Z1488" t="s">
        <v>16167</v>
      </c>
      <c r="AA1488" t="s">
        <v>16225</v>
      </c>
      <c r="AB1488" t="s">
        <v>16224</v>
      </c>
      <c r="AC1488" t="s">
        <v>74</v>
      </c>
      <c r="AD1488" t="s">
        <v>74</v>
      </c>
      <c r="AE1488" t="s">
        <v>74</v>
      </c>
      <c r="AF1488" t="s">
        <v>74</v>
      </c>
      <c r="AG1488">
        <v>46</v>
      </c>
      <c r="AH1488">
        <v>17</v>
      </c>
      <c r="AI1488">
        <v>22</v>
      </c>
      <c r="AJ1488">
        <v>0</v>
      </c>
      <c r="AK1488">
        <v>1</v>
      </c>
      <c r="AL1488" t="s">
        <v>92</v>
      </c>
      <c r="AM1488" t="s">
        <v>93</v>
      </c>
      <c r="AN1488" t="s">
        <v>94</v>
      </c>
      <c r="AO1488" t="s">
        <v>337</v>
      </c>
      <c r="AP1488" t="s">
        <v>338</v>
      </c>
      <c r="AQ1488" t="s">
        <v>74</v>
      </c>
      <c r="AR1488" t="s">
        <v>324</v>
      </c>
      <c r="AS1488" t="s">
        <v>339</v>
      </c>
      <c r="AT1488" t="s">
        <v>226</v>
      </c>
      <c r="AU1488">
        <v>2005</v>
      </c>
      <c r="AV1488">
        <v>128</v>
      </c>
      <c r="AW1488">
        <v>6</v>
      </c>
      <c r="AX1488" t="s">
        <v>74</v>
      </c>
      <c r="AY1488" t="s">
        <v>998</v>
      </c>
      <c r="AZ1488" t="s">
        <v>74</v>
      </c>
      <c r="BA1488" t="s">
        <v>74</v>
      </c>
      <c r="BB1488" t="s">
        <v>16223</v>
      </c>
      <c r="BC1488" t="s">
        <v>16222</v>
      </c>
      <c r="BD1488" t="s">
        <v>74</v>
      </c>
      <c r="BE1488" t="s">
        <v>16221</v>
      </c>
      <c r="BF1488" t="str">
        <f>HYPERLINK("http://dx.doi.org/10.1378/chest.128.6_suppl.622S","http://dx.doi.org/10.1378/chest.128.6_suppl.622S")</f>
        <v>http://dx.doi.org/10.1378/chest.128.6_suppl.622S</v>
      </c>
      <c r="BG1488" t="s">
        <v>74</v>
      </c>
      <c r="BH1488" t="s">
        <v>74</v>
      </c>
      <c r="BI1488">
        <v>7</v>
      </c>
      <c r="BJ1488" t="s">
        <v>341</v>
      </c>
      <c r="BK1488" t="s">
        <v>512</v>
      </c>
      <c r="BL1488" t="s">
        <v>342</v>
      </c>
      <c r="BM1488" t="s">
        <v>16220</v>
      </c>
      <c r="BN1488">
        <v>16373880</v>
      </c>
      <c r="BO1488" t="s">
        <v>74</v>
      </c>
      <c r="BP1488" t="s">
        <v>74</v>
      </c>
      <c r="BQ1488" t="s">
        <v>74</v>
      </c>
      <c r="BR1488" t="s">
        <v>104</v>
      </c>
      <c r="BS1488" t="s">
        <v>16219</v>
      </c>
      <c r="BT1488" t="str">
        <f>HYPERLINK("https%3A%2F%2Fwww.webofscience.com%2Fwos%2Fwoscc%2Ffull-record%2FWOS:000234371400063","View Full Record in Web of Science")</f>
        <v>View Full Record in Web of Science</v>
      </c>
    </row>
    <row r="1489" spans="1:72" x14ac:dyDescent="0.25">
      <c r="A1489" t="s">
        <v>72</v>
      </c>
      <c r="B1489" t="s">
        <v>16218</v>
      </c>
      <c r="C1489" t="s">
        <v>74</v>
      </c>
      <c r="D1489" t="s">
        <v>74</v>
      </c>
      <c r="E1489" t="s">
        <v>74</v>
      </c>
      <c r="F1489" t="s">
        <v>16218</v>
      </c>
      <c r="G1489" t="s">
        <v>74</v>
      </c>
      <c r="H1489" t="s">
        <v>74</v>
      </c>
      <c r="I1489" t="s">
        <v>16217</v>
      </c>
      <c r="J1489" t="s">
        <v>6978</v>
      </c>
      <c r="K1489" t="s">
        <v>74</v>
      </c>
      <c r="L1489" t="s">
        <v>74</v>
      </c>
      <c r="M1489" t="s">
        <v>78</v>
      </c>
      <c r="N1489" t="s">
        <v>79</v>
      </c>
      <c r="O1489" t="s">
        <v>74</v>
      </c>
      <c r="P1489" t="s">
        <v>74</v>
      </c>
      <c r="Q1489" t="s">
        <v>74</v>
      </c>
      <c r="R1489" t="s">
        <v>74</v>
      </c>
      <c r="S1489" t="s">
        <v>74</v>
      </c>
      <c r="T1489" t="s">
        <v>74</v>
      </c>
      <c r="U1489" t="s">
        <v>16216</v>
      </c>
      <c r="V1489" t="s">
        <v>16215</v>
      </c>
      <c r="W1489" t="s">
        <v>16214</v>
      </c>
      <c r="X1489" t="s">
        <v>16213</v>
      </c>
      <c r="Y1489" t="s">
        <v>16212</v>
      </c>
      <c r="Z1489" t="s">
        <v>15988</v>
      </c>
      <c r="AA1489" t="s">
        <v>16211</v>
      </c>
      <c r="AB1489" t="s">
        <v>16210</v>
      </c>
      <c r="AC1489" t="s">
        <v>74</v>
      </c>
      <c r="AD1489" t="s">
        <v>74</v>
      </c>
      <c r="AE1489" t="s">
        <v>74</v>
      </c>
      <c r="AF1489" t="s">
        <v>74</v>
      </c>
      <c r="AG1489">
        <v>11</v>
      </c>
      <c r="AH1489">
        <v>159</v>
      </c>
      <c r="AI1489">
        <v>170</v>
      </c>
      <c r="AJ1489">
        <v>1</v>
      </c>
      <c r="AK1489">
        <v>5</v>
      </c>
      <c r="AL1489" t="s">
        <v>2590</v>
      </c>
      <c r="AM1489" t="s">
        <v>201</v>
      </c>
      <c r="AN1489" t="s">
        <v>2591</v>
      </c>
      <c r="AO1489" t="s">
        <v>6985</v>
      </c>
      <c r="AP1489" t="s">
        <v>6986</v>
      </c>
      <c r="AQ1489" t="s">
        <v>74</v>
      </c>
      <c r="AR1489" t="s">
        <v>6978</v>
      </c>
      <c r="AS1489" t="s">
        <v>6987</v>
      </c>
      <c r="AT1489" t="s">
        <v>226</v>
      </c>
      <c r="AU1489">
        <v>2005</v>
      </c>
      <c r="AV1489">
        <v>60</v>
      </c>
      <c r="AW1489">
        <v>12</v>
      </c>
      <c r="AX1489" t="s">
        <v>74</v>
      </c>
      <c r="AY1489" t="s">
        <v>74</v>
      </c>
      <c r="AZ1489" t="s">
        <v>74</v>
      </c>
      <c r="BA1489" t="s">
        <v>74</v>
      </c>
      <c r="BB1489">
        <v>1025</v>
      </c>
      <c r="BC1489">
        <v>1030</v>
      </c>
      <c r="BD1489" t="s">
        <v>74</v>
      </c>
      <c r="BE1489" t="s">
        <v>16209</v>
      </c>
      <c r="BF1489" t="str">
        <f>HYPERLINK("http://dx.doi.org/10.1136/thx.2005.040618","http://dx.doi.org/10.1136/thx.2005.040618")</f>
        <v>http://dx.doi.org/10.1136/thx.2005.040618</v>
      </c>
      <c r="BG1489" t="s">
        <v>74</v>
      </c>
      <c r="BH1489" t="s">
        <v>74</v>
      </c>
      <c r="BI1489">
        <v>6</v>
      </c>
      <c r="BJ1489" t="s">
        <v>228</v>
      </c>
      <c r="BK1489" t="s">
        <v>101</v>
      </c>
      <c r="BL1489" t="s">
        <v>228</v>
      </c>
      <c r="BM1489" t="s">
        <v>16208</v>
      </c>
      <c r="BN1489">
        <v>16055621</v>
      </c>
      <c r="BO1489" t="s">
        <v>6793</v>
      </c>
      <c r="BP1489" t="s">
        <v>74</v>
      </c>
      <c r="BQ1489" t="s">
        <v>74</v>
      </c>
      <c r="BR1489" t="s">
        <v>104</v>
      </c>
      <c r="BS1489" t="s">
        <v>16207</v>
      </c>
      <c r="BT1489" t="str">
        <f>HYPERLINK("https%3A%2F%2Fwww.webofscience.com%2Fwos%2Fwoscc%2Ffull-record%2FWOS:000233368400012","View Full Record in Web of Science")</f>
        <v>View Full Record in Web of Science</v>
      </c>
    </row>
    <row r="1490" spans="1:72" x14ac:dyDescent="0.25">
      <c r="A1490" t="s">
        <v>72</v>
      </c>
      <c r="B1490" t="s">
        <v>16206</v>
      </c>
      <c r="C1490" t="s">
        <v>74</v>
      </c>
      <c r="D1490" t="s">
        <v>74</v>
      </c>
      <c r="E1490" t="s">
        <v>74</v>
      </c>
      <c r="F1490" t="s">
        <v>16206</v>
      </c>
      <c r="G1490" t="s">
        <v>74</v>
      </c>
      <c r="H1490" t="s">
        <v>74</v>
      </c>
      <c r="I1490" t="s">
        <v>16205</v>
      </c>
      <c r="J1490" t="s">
        <v>15378</v>
      </c>
      <c r="K1490" t="s">
        <v>74</v>
      </c>
      <c r="L1490" t="s">
        <v>74</v>
      </c>
      <c r="M1490" t="s">
        <v>78</v>
      </c>
      <c r="N1490" t="s">
        <v>8016</v>
      </c>
      <c r="O1490" t="s">
        <v>16204</v>
      </c>
      <c r="P1490" t="s">
        <v>16203</v>
      </c>
      <c r="Q1490" t="s">
        <v>7497</v>
      </c>
      <c r="R1490" t="s">
        <v>74</v>
      </c>
      <c r="S1490" t="s">
        <v>74</v>
      </c>
      <c r="T1490" t="s">
        <v>16202</v>
      </c>
      <c r="U1490" t="s">
        <v>16201</v>
      </c>
      <c r="V1490" t="s">
        <v>16200</v>
      </c>
      <c r="W1490" t="s">
        <v>16199</v>
      </c>
      <c r="X1490" t="s">
        <v>14590</v>
      </c>
      <c r="Y1490" t="s">
        <v>16198</v>
      </c>
      <c r="Z1490" t="s">
        <v>10573</v>
      </c>
      <c r="AA1490" t="s">
        <v>14164</v>
      </c>
      <c r="AB1490" t="s">
        <v>16197</v>
      </c>
      <c r="AC1490" t="s">
        <v>74</v>
      </c>
      <c r="AD1490" t="s">
        <v>74</v>
      </c>
      <c r="AE1490" t="s">
        <v>74</v>
      </c>
      <c r="AF1490" t="s">
        <v>74</v>
      </c>
      <c r="AG1490">
        <v>51</v>
      </c>
      <c r="AH1490">
        <v>9</v>
      </c>
      <c r="AI1490">
        <v>11</v>
      </c>
      <c r="AJ1490">
        <v>0</v>
      </c>
      <c r="AK1490">
        <v>1</v>
      </c>
      <c r="AL1490" t="s">
        <v>15370</v>
      </c>
      <c r="AM1490" t="s">
        <v>15369</v>
      </c>
      <c r="AN1490" t="s">
        <v>15368</v>
      </c>
      <c r="AO1490" t="s">
        <v>15367</v>
      </c>
      <c r="AP1490" t="s">
        <v>74</v>
      </c>
      <c r="AQ1490" t="s">
        <v>74</v>
      </c>
      <c r="AR1490" t="s">
        <v>15366</v>
      </c>
      <c r="AS1490" t="s">
        <v>15365</v>
      </c>
      <c r="AT1490" t="s">
        <v>226</v>
      </c>
      <c r="AU1490">
        <v>2005</v>
      </c>
      <c r="AV1490">
        <v>22</v>
      </c>
      <c r="AW1490" t="s">
        <v>74</v>
      </c>
      <c r="AX1490" t="s">
        <v>74</v>
      </c>
      <c r="AY1490">
        <v>1</v>
      </c>
      <c r="AZ1490" t="s">
        <v>74</v>
      </c>
      <c r="BA1490" t="s">
        <v>74</v>
      </c>
      <c r="BB1490" t="s">
        <v>14319</v>
      </c>
      <c r="BC1490" t="s">
        <v>7592</v>
      </c>
      <c r="BD1490" t="s">
        <v>74</v>
      </c>
      <c r="BE1490" t="s">
        <v>74</v>
      </c>
      <c r="BF1490" t="s">
        <v>74</v>
      </c>
      <c r="BG1490" t="s">
        <v>74</v>
      </c>
      <c r="BH1490" t="s">
        <v>74</v>
      </c>
      <c r="BI1490">
        <v>10</v>
      </c>
      <c r="BJ1490" t="s">
        <v>228</v>
      </c>
      <c r="BK1490" t="s">
        <v>512</v>
      </c>
      <c r="BL1490" t="s">
        <v>228</v>
      </c>
      <c r="BM1490" t="s">
        <v>16196</v>
      </c>
      <c r="BN1490">
        <v>16457021</v>
      </c>
      <c r="BO1490" t="s">
        <v>74</v>
      </c>
      <c r="BP1490" t="s">
        <v>74</v>
      </c>
      <c r="BQ1490" t="s">
        <v>74</v>
      </c>
      <c r="BR1490" t="s">
        <v>104</v>
      </c>
      <c r="BS1490" t="s">
        <v>16195</v>
      </c>
      <c r="BT1490" t="str">
        <f>HYPERLINK("https%3A%2F%2Fwww.webofscience.com%2Fwos%2Fwoscc%2Ffull-record%2FWOS:000234979600012","View Full Record in Web of Science")</f>
        <v>View Full Record in Web of Science</v>
      </c>
    </row>
    <row r="1491" spans="1:72" x14ac:dyDescent="0.25">
      <c r="A1491" t="s">
        <v>72</v>
      </c>
      <c r="B1491" t="s">
        <v>16194</v>
      </c>
      <c r="C1491" t="s">
        <v>74</v>
      </c>
      <c r="D1491" t="s">
        <v>74</v>
      </c>
      <c r="E1491" t="s">
        <v>74</v>
      </c>
      <c r="F1491" t="s">
        <v>16194</v>
      </c>
      <c r="G1491" t="s">
        <v>74</v>
      </c>
      <c r="H1491" t="s">
        <v>74</v>
      </c>
      <c r="I1491" t="s">
        <v>16193</v>
      </c>
      <c r="J1491" t="s">
        <v>1529</v>
      </c>
      <c r="K1491" t="s">
        <v>74</v>
      </c>
      <c r="L1491" t="s">
        <v>74</v>
      </c>
      <c r="M1491" t="s">
        <v>1349</v>
      </c>
      <c r="N1491" t="s">
        <v>79</v>
      </c>
      <c r="O1491" t="s">
        <v>74</v>
      </c>
      <c r="P1491" t="s">
        <v>74</v>
      </c>
      <c r="Q1491" t="s">
        <v>74</v>
      </c>
      <c r="R1491" t="s">
        <v>74</v>
      </c>
      <c r="S1491" t="s">
        <v>74</v>
      </c>
      <c r="T1491" t="s">
        <v>74</v>
      </c>
      <c r="U1491" t="s">
        <v>16192</v>
      </c>
      <c r="V1491" t="s">
        <v>16191</v>
      </c>
      <c r="W1491" t="s">
        <v>16190</v>
      </c>
      <c r="X1491" t="s">
        <v>14136</v>
      </c>
      <c r="Y1491" t="s">
        <v>16189</v>
      </c>
      <c r="Z1491" t="s">
        <v>15569</v>
      </c>
      <c r="AA1491" t="s">
        <v>16188</v>
      </c>
      <c r="AB1491" t="s">
        <v>3302</v>
      </c>
      <c r="AC1491" t="s">
        <v>74</v>
      </c>
      <c r="AD1491" t="s">
        <v>74</v>
      </c>
      <c r="AE1491" t="s">
        <v>74</v>
      </c>
      <c r="AF1491" t="s">
        <v>74</v>
      </c>
      <c r="AG1491">
        <v>26</v>
      </c>
      <c r="AH1491">
        <v>10</v>
      </c>
      <c r="AI1491">
        <v>10</v>
      </c>
      <c r="AJ1491">
        <v>0</v>
      </c>
      <c r="AK1491">
        <v>0</v>
      </c>
      <c r="AL1491" t="s">
        <v>1358</v>
      </c>
      <c r="AM1491" t="s">
        <v>1359</v>
      </c>
      <c r="AN1491" t="s">
        <v>1360</v>
      </c>
      <c r="AO1491" t="s">
        <v>1533</v>
      </c>
      <c r="AP1491" t="s">
        <v>74</v>
      </c>
      <c r="AQ1491" t="s">
        <v>74</v>
      </c>
      <c r="AR1491" t="s">
        <v>1535</v>
      </c>
      <c r="AS1491" t="s">
        <v>1536</v>
      </c>
      <c r="AT1491" t="s">
        <v>16158</v>
      </c>
      <c r="AU1491">
        <v>2005</v>
      </c>
      <c r="AV1491">
        <v>34</v>
      </c>
      <c r="AW1491">
        <v>19</v>
      </c>
      <c r="AX1491">
        <v>2</v>
      </c>
      <c r="AY1491" t="s">
        <v>74</v>
      </c>
      <c r="AZ1491" t="s">
        <v>74</v>
      </c>
      <c r="BA1491" t="s">
        <v>74</v>
      </c>
      <c r="BB1491">
        <v>1475</v>
      </c>
      <c r="BC1491">
        <v>1486</v>
      </c>
      <c r="BD1491" t="s">
        <v>74</v>
      </c>
      <c r="BE1491" t="s">
        <v>16187</v>
      </c>
      <c r="BF1491" t="str">
        <f>HYPERLINK("http://dx.doi.org/10.1016/S0755-4982(05)84209-5","http://dx.doi.org/10.1016/S0755-4982(05)84209-5")</f>
        <v>http://dx.doi.org/10.1016/S0755-4982(05)84209-5</v>
      </c>
      <c r="BG1491" t="s">
        <v>74</v>
      </c>
      <c r="BH1491" t="s">
        <v>74</v>
      </c>
      <c r="BI1491">
        <v>12</v>
      </c>
      <c r="BJ1491" t="s">
        <v>1152</v>
      </c>
      <c r="BK1491" t="s">
        <v>101</v>
      </c>
      <c r="BL1491" t="s">
        <v>1153</v>
      </c>
      <c r="BM1491" t="s">
        <v>16156</v>
      </c>
      <c r="BN1491">
        <v>16301979</v>
      </c>
      <c r="BO1491" t="s">
        <v>74</v>
      </c>
      <c r="BP1491" t="s">
        <v>74</v>
      </c>
      <c r="BQ1491" t="s">
        <v>74</v>
      </c>
      <c r="BR1491" t="s">
        <v>104</v>
      </c>
      <c r="BS1491" t="s">
        <v>16186</v>
      </c>
      <c r="BT1491" t="str">
        <f>HYPERLINK("https%3A%2F%2Fwww.webofscience.com%2Fwos%2Fwoscc%2Ffull-record%2FWOS:000233426400008","View Full Record in Web of Science")</f>
        <v>View Full Record in Web of Science</v>
      </c>
    </row>
    <row r="1492" spans="1:72" x14ac:dyDescent="0.25">
      <c r="A1492" t="s">
        <v>72</v>
      </c>
      <c r="B1492" t="s">
        <v>16185</v>
      </c>
      <c r="C1492" t="s">
        <v>74</v>
      </c>
      <c r="D1492" t="s">
        <v>74</v>
      </c>
      <c r="E1492" t="s">
        <v>74</v>
      </c>
      <c r="F1492" t="s">
        <v>16185</v>
      </c>
      <c r="G1492" t="s">
        <v>74</v>
      </c>
      <c r="H1492" t="s">
        <v>74</v>
      </c>
      <c r="I1492" t="s">
        <v>16184</v>
      </c>
      <c r="J1492" t="s">
        <v>1529</v>
      </c>
      <c r="K1492" t="s">
        <v>74</v>
      </c>
      <c r="L1492" t="s">
        <v>74</v>
      </c>
      <c r="M1492" t="s">
        <v>1349</v>
      </c>
      <c r="N1492" t="s">
        <v>140</v>
      </c>
      <c r="O1492" t="s">
        <v>74</v>
      </c>
      <c r="P1492" t="s">
        <v>74</v>
      </c>
      <c r="Q1492" t="s">
        <v>74</v>
      </c>
      <c r="R1492" t="s">
        <v>74</v>
      </c>
      <c r="S1492" t="s">
        <v>74</v>
      </c>
      <c r="T1492" t="s">
        <v>74</v>
      </c>
      <c r="U1492" t="s">
        <v>74</v>
      </c>
      <c r="V1492" t="s">
        <v>74</v>
      </c>
      <c r="W1492" t="s">
        <v>15878</v>
      </c>
      <c r="X1492" t="s">
        <v>14156</v>
      </c>
      <c r="Y1492" t="s">
        <v>16183</v>
      </c>
      <c r="Z1492" t="s">
        <v>10573</v>
      </c>
      <c r="AA1492" t="s">
        <v>7706</v>
      </c>
      <c r="AB1492" t="s">
        <v>257</v>
      </c>
      <c r="AC1492" t="s">
        <v>74</v>
      </c>
      <c r="AD1492" t="s">
        <v>74</v>
      </c>
      <c r="AE1492" t="s">
        <v>74</v>
      </c>
      <c r="AF1492" t="s">
        <v>74</v>
      </c>
      <c r="AG1492">
        <v>8</v>
      </c>
      <c r="AH1492">
        <v>0</v>
      </c>
      <c r="AI1492">
        <v>0</v>
      </c>
      <c r="AJ1492">
        <v>0</v>
      </c>
      <c r="AK1492">
        <v>0</v>
      </c>
      <c r="AL1492" t="s">
        <v>1358</v>
      </c>
      <c r="AM1492" t="s">
        <v>1359</v>
      </c>
      <c r="AN1492" t="s">
        <v>1360</v>
      </c>
      <c r="AO1492" t="s">
        <v>1533</v>
      </c>
      <c r="AP1492" t="s">
        <v>1534</v>
      </c>
      <c r="AQ1492" t="s">
        <v>74</v>
      </c>
      <c r="AR1492" t="s">
        <v>1535</v>
      </c>
      <c r="AS1492" t="s">
        <v>1536</v>
      </c>
      <c r="AT1492" t="s">
        <v>16158</v>
      </c>
      <c r="AU1492">
        <v>2005</v>
      </c>
      <c r="AV1492">
        <v>34</v>
      </c>
      <c r="AW1492">
        <v>19</v>
      </c>
      <c r="AX1492">
        <v>2</v>
      </c>
      <c r="AY1492" t="s">
        <v>74</v>
      </c>
      <c r="AZ1492" t="s">
        <v>74</v>
      </c>
      <c r="BA1492" t="s">
        <v>74</v>
      </c>
      <c r="BB1492">
        <v>1413</v>
      </c>
      <c r="BC1492">
        <v>1415</v>
      </c>
      <c r="BD1492" t="s">
        <v>74</v>
      </c>
      <c r="BE1492" t="s">
        <v>16182</v>
      </c>
      <c r="BF1492" t="str">
        <f>HYPERLINK("http://dx.doi.org/10.1016/S0755-4982(05)84202-2","http://dx.doi.org/10.1016/S0755-4982(05)84202-2")</f>
        <v>http://dx.doi.org/10.1016/S0755-4982(05)84202-2</v>
      </c>
      <c r="BG1492" t="s">
        <v>74</v>
      </c>
      <c r="BH1492" t="s">
        <v>74</v>
      </c>
      <c r="BI1492">
        <v>3</v>
      </c>
      <c r="BJ1492" t="s">
        <v>1152</v>
      </c>
      <c r="BK1492" t="s">
        <v>101</v>
      </c>
      <c r="BL1492" t="s">
        <v>1153</v>
      </c>
      <c r="BM1492" t="s">
        <v>16156</v>
      </c>
      <c r="BN1492">
        <v>16301972</v>
      </c>
      <c r="BO1492" t="s">
        <v>74</v>
      </c>
      <c r="BP1492" t="s">
        <v>74</v>
      </c>
      <c r="BQ1492" t="s">
        <v>74</v>
      </c>
      <c r="BR1492" t="s">
        <v>104</v>
      </c>
      <c r="BS1492" t="s">
        <v>16181</v>
      </c>
      <c r="BT1492" t="str">
        <f>HYPERLINK("https%3A%2F%2Fwww.webofscience.com%2Fwos%2Fwoscc%2Ffull-record%2FWOS:000233426400001","View Full Record in Web of Science")</f>
        <v>View Full Record in Web of Science</v>
      </c>
    </row>
    <row r="1493" spans="1:72" x14ac:dyDescent="0.25">
      <c r="A1493" t="s">
        <v>72</v>
      </c>
      <c r="B1493" t="s">
        <v>16180</v>
      </c>
      <c r="C1493" t="s">
        <v>74</v>
      </c>
      <c r="D1493" t="s">
        <v>74</v>
      </c>
      <c r="E1493" t="s">
        <v>74</v>
      </c>
      <c r="F1493" t="s">
        <v>16180</v>
      </c>
      <c r="G1493" t="s">
        <v>74</v>
      </c>
      <c r="H1493" t="s">
        <v>74</v>
      </c>
      <c r="I1493" t="s">
        <v>13337</v>
      </c>
      <c r="J1493" t="s">
        <v>1529</v>
      </c>
      <c r="K1493" t="s">
        <v>74</v>
      </c>
      <c r="L1493" t="s">
        <v>74</v>
      </c>
      <c r="M1493" t="s">
        <v>1349</v>
      </c>
      <c r="N1493" t="s">
        <v>79</v>
      </c>
      <c r="O1493" t="s">
        <v>74</v>
      </c>
      <c r="P1493" t="s">
        <v>74</v>
      </c>
      <c r="Q1493" t="s">
        <v>74</v>
      </c>
      <c r="R1493" t="s">
        <v>74</v>
      </c>
      <c r="S1493" t="s">
        <v>74</v>
      </c>
      <c r="T1493" t="s">
        <v>74</v>
      </c>
      <c r="U1493" t="s">
        <v>16179</v>
      </c>
      <c r="V1493" t="s">
        <v>16178</v>
      </c>
      <c r="W1493" t="s">
        <v>16177</v>
      </c>
      <c r="X1493" t="s">
        <v>14516</v>
      </c>
      <c r="Y1493" t="s">
        <v>16159</v>
      </c>
      <c r="Z1493" t="s">
        <v>15027</v>
      </c>
      <c r="AA1493" t="s">
        <v>6059</v>
      </c>
      <c r="AB1493" t="s">
        <v>13023</v>
      </c>
      <c r="AC1493" t="s">
        <v>74</v>
      </c>
      <c r="AD1493" t="s">
        <v>74</v>
      </c>
      <c r="AE1493" t="s">
        <v>74</v>
      </c>
      <c r="AF1493" t="s">
        <v>74</v>
      </c>
      <c r="AG1493">
        <v>72</v>
      </c>
      <c r="AH1493">
        <v>4</v>
      </c>
      <c r="AI1493">
        <v>5</v>
      </c>
      <c r="AJ1493">
        <v>0</v>
      </c>
      <c r="AK1493">
        <v>1</v>
      </c>
      <c r="AL1493" t="s">
        <v>1358</v>
      </c>
      <c r="AM1493" t="s">
        <v>1359</v>
      </c>
      <c r="AN1493" t="s">
        <v>1360</v>
      </c>
      <c r="AO1493" t="s">
        <v>1533</v>
      </c>
      <c r="AP1493" t="s">
        <v>1534</v>
      </c>
      <c r="AQ1493" t="s">
        <v>74</v>
      </c>
      <c r="AR1493" t="s">
        <v>1535</v>
      </c>
      <c r="AS1493" t="s">
        <v>1536</v>
      </c>
      <c r="AT1493" t="s">
        <v>16158</v>
      </c>
      <c r="AU1493">
        <v>2005</v>
      </c>
      <c r="AV1493">
        <v>34</v>
      </c>
      <c r="AW1493">
        <v>19</v>
      </c>
      <c r="AX1493">
        <v>2</v>
      </c>
      <c r="AY1493" t="s">
        <v>74</v>
      </c>
      <c r="AZ1493" t="s">
        <v>74</v>
      </c>
      <c r="BA1493" t="s">
        <v>74</v>
      </c>
      <c r="BB1493">
        <v>1445</v>
      </c>
      <c r="BC1493">
        <v>1455</v>
      </c>
      <c r="BD1493" t="s">
        <v>74</v>
      </c>
      <c r="BE1493" t="s">
        <v>16176</v>
      </c>
      <c r="BF1493" t="str">
        <f>HYPERLINK("http://dx.doi.org/10.1016/S0755-4982(05)84206-X","http://dx.doi.org/10.1016/S0755-4982(05)84206-X")</f>
        <v>http://dx.doi.org/10.1016/S0755-4982(05)84206-X</v>
      </c>
      <c r="BG1493" t="s">
        <v>74</v>
      </c>
      <c r="BH1493" t="s">
        <v>74</v>
      </c>
      <c r="BI1493">
        <v>11</v>
      </c>
      <c r="BJ1493" t="s">
        <v>1152</v>
      </c>
      <c r="BK1493" t="s">
        <v>101</v>
      </c>
      <c r="BL1493" t="s">
        <v>1153</v>
      </c>
      <c r="BM1493" t="s">
        <v>16156</v>
      </c>
      <c r="BN1493">
        <v>16301976</v>
      </c>
      <c r="BO1493" t="s">
        <v>74</v>
      </c>
      <c r="BP1493" t="s">
        <v>74</v>
      </c>
      <c r="BQ1493" t="s">
        <v>74</v>
      </c>
      <c r="BR1493" t="s">
        <v>104</v>
      </c>
      <c r="BS1493" t="s">
        <v>16175</v>
      </c>
      <c r="BT1493" t="str">
        <f>HYPERLINK("https%3A%2F%2Fwww.webofscience.com%2Fwos%2Fwoscc%2Ffull-record%2FWOS:000233426400005","View Full Record in Web of Science")</f>
        <v>View Full Record in Web of Science</v>
      </c>
    </row>
    <row r="1494" spans="1:72" x14ac:dyDescent="0.25">
      <c r="A1494" t="s">
        <v>72</v>
      </c>
      <c r="B1494" t="s">
        <v>16174</v>
      </c>
      <c r="C1494" t="s">
        <v>74</v>
      </c>
      <c r="D1494" t="s">
        <v>74</v>
      </c>
      <c r="E1494" t="s">
        <v>74</v>
      </c>
      <c r="F1494" t="s">
        <v>16174</v>
      </c>
      <c r="G1494" t="s">
        <v>74</v>
      </c>
      <c r="H1494" t="s">
        <v>74</v>
      </c>
      <c r="I1494" t="s">
        <v>16173</v>
      </c>
      <c r="J1494" t="s">
        <v>1529</v>
      </c>
      <c r="K1494" t="s">
        <v>74</v>
      </c>
      <c r="L1494" t="s">
        <v>74</v>
      </c>
      <c r="M1494" t="s">
        <v>1349</v>
      </c>
      <c r="N1494" t="s">
        <v>79</v>
      </c>
      <c r="O1494" t="s">
        <v>74</v>
      </c>
      <c r="P1494" t="s">
        <v>74</v>
      </c>
      <c r="Q1494" t="s">
        <v>74</v>
      </c>
      <c r="R1494" t="s">
        <v>74</v>
      </c>
      <c r="S1494" t="s">
        <v>74</v>
      </c>
      <c r="T1494" t="s">
        <v>74</v>
      </c>
      <c r="U1494" t="s">
        <v>16172</v>
      </c>
      <c r="V1494" t="s">
        <v>16171</v>
      </c>
      <c r="W1494" t="s">
        <v>16170</v>
      </c>
      <c r="X1494" t="s">
        <v>16169</v>
      </c>
      <c r="Y1494" t="s">
        <v>16168</v>
      </c>
      <c r="Z1494" t="s">
        <v>16167</v>
      </c>
      <c r="AA1494" t="s">
        <v>14164</v>
      </c>
      <c r="AB1494" t="s">
        <v>16166</v>
      </c>
      <c r="AC1494" t="s">
        <v>74</v>
      </c>
      <c r="AD1494" t="s">
        <v>74</v>
      </c>
      <c r="AE1494" t="s">
        <v>74</v>
      </c>
      <c r="AF1494" t="s">
        <v>74</v>
      </c>
      <c r="AG1494">
        <v>76</v>
      </c>
      <c r="AH1494">
        <v>3</v>
      </c>
      <c r="AI1494">
        <v>3</v>
      </c>
      <c r="AJ1494">
        <v>0</v>
      </c>
      <c r="AK1494">
        <v>0</v>
      </c>
      <c r="AL1494" t="s">
        <v>1358</v>
      </c>
      <c r="AM1494" t="s">
        <v>1359</v>
      </c>
      <c r="AN1494" t="s">
        <v>1360</v>
      </c>
      <c r="AO1494" t="s">
        <v>1533</v>
      </c>
      <c r="AP1494" t="s">
        <v>1534</v>
      </c>
      <c r="AQ1494" t="s">
        <v>74</v>
      </c>
      <c r="AR1494" t="s">
        <v>1535</v>
      </c>
      <c r="AS1494" t="s">
        <v>1536</v>
      </c>
      <c r="AT1494" t="s">
        <v>16158</v>
      </c>
      <c r="AU1494">
        <v>2005</v>
      </c>
      <c r="AV1494">
        <v>34</v>
      </c>
      <c r="AW1494">
        <v>19</v>
      </c>
      <c r="AX1494">
        <v>2</v>
      </c>
      <c r="AY1494" t="s">
        <v>74</v>
      </c>
      <c r="AZ1494" t="s">
        <v>74</v>
      </c>
      <c r="BA1494" t="s">
        <v>74</v>
      </c>
      <c r="BB1494">
        <v>1435</v>
      </c>
      <c r="BC1494">
        <v>1444</v>
      </c>
      <c r="BD1494" t="s">
        <v>74</v>
      </c>
      <c r="BE1494" t="s">
        <v>16165</v>
      </c>
      <c r="BF1494" t="str">
        <f>HYPERLINK("http://dx.doi.org/10.1016/S0755-4982(05)84205-8","http://dx.doi.org/10.1016/S0755-4982(05)84205-8")</f>
        <v>http://dx.doi.org/10.1016/S0755-4982(05)84205-8</v>
      </c>
      <c r="BG1494" t="s">
        <v>74</v>
      </c>
      <c r="BH1494" t="s">
        <v>74</v>
      </c>
      <c r="BI1494">
        <v>10</v>
      </c>
      <c r="BJ1494" t="s">
        <v>1152</v>
      </c>
      <c r="BK1494" t="s">
        <v>101</v>
      </c>
      <c r="BL1494" t="s">
        <v>1153</v>
      </c>
      <c r="BM1494" t="s">
        <v>16156</v>
      </c>
      <c r="BN1494">
        <v>16301975</v>
      </c>
      <c r="BO1494" t="s">
        <v>74</v>
      </c>
      <c r="BP1494" t="s">
        <v>74</v>
      </c>
      <c r="BQ1494" t="s">
        <v>74</v>
      </c>
      <c r="BR1494" t="s">
        <v>104</v>
      </c>
      <c r="BS1494" t="s">
        <v>16164</v>
      </c>
      <c r="BT1494" t="str">
        <f>HYPERLINK("https%3A%2F%2Fwww.webofscience.com%2Fwos%2Fwoscc%2Ffull-record%2FWOS:000233426400004","View Full Record in Web of Science")</f>
        <v>View Full Record in Web of Science</v>
      </c>
    </row>
    <row r="1495" spans="1:72" x14ac:dyDescent="0.25">
      <c r="A1495" t="s">
        <v>72</v>
      </c>
      <c r="B1495" t="s">
        <v>15258</v>
      </c>
      <c r="C1495" t="s">
        <v>74</v>
      </c>
      <c r="D1495" t="s">
        <v>74</v>
      </c>
      <c r="E1495" t="s">
        <v>74</v>
      </c>
      <c r="F1495" t="s">
        <v>15258</v>
      </c>
      <c r="G1495" t="s">
        <v>74</v>
      </c>
      <c r="H1495" t="s">
        <v>74</v>
      </c>
      <c r="I1495" t="s">
        <v>16163</v>
      </c>
      <c r="J1495" t="s">
        <v>1529</v>
      </c>
      <c r="K1495" t="s">
        <v>74</v>
      </c>
      <c r="L1495" t="s">
        <v>74</v>
      </c>
      <c r="M1495" t="s">
        <v>1349</v>
      </c>
      <c r="N1495" t="s">
        <v>79</v>
      </c>
      <c r="O1495" t="s">
        <v>74</v>
      </c>
      <c r="P1495" t="s">
        <v>74</v>
      </c>
      <c r="Q1495" t="s">
        <v>74</v>
      </c>
      <c r="R1495" t="s">
        <v>74</v>
      </c>
      <c r="S1495" t="s">
        <v>74</v>
      </c>
      <c r="T1495" t="s">
        <v>74</v>
      </c>
      <c r="U1495" t="s">
        <v>16162</v>
      </c>
      <c r="V1495" t="s">
        <v>16161</v>
      </c>
      <c r="W1495" t="s">
        <v>16160</v>
      </c>
      <c r="X1495" t="s">
        <v>14590</v>
      </c>
      <c r="Y1495" t="s">
        <v>16159</v>
      </c>
      <c r="Z1495" t="s">
        <v>15988</v>
      </c>
      <c r="AA1495" t="s">
        <v>14164</v>
      </c>
      <c r="AB1495" t="s">
        <v>3302</v>
      </c>
      <c r="AC1495" t="s">
        <v>74</v>
      </c>
      <c r="AD1495" t="s">
        <v>74</v>
      </c>
      <c r="AE1495" t="s">
        <v>74</v>
      </c>
      <c r="AF1495" t="s">
        <v>74</v>
      </c>
      <c r="AG1495">
        <v>64</v>
      </c>
      <c r="AH1495">
        <v>13</v>
      </c>
      <c r="AI1495">
        <v>13</v>
      </c>
      <c r="AJ1495">
        <v>0</v>
      </c>
      <c r="AK1495">
        <v>2</v>
      </c>
      <c r="AL1495" t="s">
        <v>1358</v>
      </c>
      <c r="AM1495" t="s">
        <v>1359</v>
      </c>
      <c r="AN1495" t="s">
        <v>1360</v>
      </c>
      <c r="AO1495" t="s">
        <v>1533</v>
      </c>
      <c r="AP1495" t="s">
        <v>1534</v>
      </c>
      <c r="AQ1495" t="s">
        <v>74</v>
      </c>
      <c r="AR1495" t="s">
        <v>1535</v>
      </c>
      <c r="AS1495" t="s">
        <v>1536</v>
      </c>
      <c r="AT1495" t="s">
        <v>16158</v>
      </c>
      <c r="AU1495">
        <v>2005</v>
      </c>
      <c r="AV1495">
        <v>34</v>
      </c>
      <c r="AW1495">
        <v>19</v>
      </c>
      <c r="AX1495">
        <v>2</v>
      </c>
      <c r="AY1495" t="s">
        <v>74</v>
      </c>
      <c r="AZ1495" t="s">
        <v>74</v>
      </c>
      <c r="BA1495" t="s">
        <v>74</v>
      </c>
      <c r="BB1495">
        <v>1456</v>
      </c>
      <c r="BC1495">
        <v>1464</v>
      </c>
      <c r="BD1495" t="s">
        <v>74</v>
      </c>
      <c r="BE1495" t="s">
        <v>16157</v>
      </c>
      <c r="BF1495" t="str">
        <f>HYPERLINK("http://dx.doi.org/10.1016/S0755-4982(05)84207-1","http://dx.doi.org/10.1016/S0755-4982(05)84207-1")</f>
        <v>http://dx.doi.org/10.1016/S0755-4982(05)84207-1</v>
      </c>
      <c r="BG1495" t="s">
        <v>74</v>
      </c>
      <c r="BH1495" t="s">
        <v>74</v>
      </c>
      <c r="BI1495">
        <v>9</v>
      </c>
      <c r="BJ1495" t="s">
        <v>1152</v>
      </c>
      <c r="BK1495" t="s">
        <v>101</v>
      </c>
      <c r="BL1495" t="s">
        <v>1153</v>
      </c>
      <c r="BM1495" t="s">
        <v>16156</v>
      </c>
      <c r="BN1495">
        <v>16301977</v>
      </c>
      <c r="BO1495" t="s">
        <v>74</v>
      </c>
      <c r="BP1495" t="s">
        <v>74</v>
      </c>
      <c r="BQ1495" t="s">
        <v>74</v>
      </c>
      <c r="BR1495" t="s">
        <v>104</v>
      </c>
      <c r="BS1495" t="s">
        <v>16155</v>
      </c>
      <c r="BT1495" t="str">
        <f>HYPERLINK("https%3A%2F%2Fwww.webofscience.com%2Fwos%2Fwoscc%2Ffull-record%2FWOS:000233426400006","View Full Record in Web of Science")</f>
        <v>View Full Record in Web of Science</v>
      </c>
    </row>
    <row r="1496" spans="1:72" x14ac:dyDescent="0.25">
      <c r="A1496" t="s">
        <v>72</v>
      </c>
      <c r="B1496" t="s">
        <v>16154</v>
      </c>
      <c r="C1496" t="s">
        <v>74</v>
      </c>
      <c r="D1496" t="s">
        <v>74</v>
      </c>
      <c r="E1496" t="s">
        <v>74</v>
      </c>
      <c r="F1496" t="s">
        <v>16154</v>
      </c>
      <c r="G1496" t="s">
        <v>74</v>
      </c>
      <c r="H1496" t="s">
        <v>74</v>
      </c>
      <c r="I1496" t="s">
        <v>16153</v>
      </c>
      <c r="J1496" t="s">
        <v>216</v>
      </c>
      <c r="K1496" t="s">
        <v>74</v>
      </c>
      <c r="L1496" t="s">
        <v>74</v>
      </c>
      <c r="M1496" t="s">
        <v>78</v>
      </c>
      <c r="N1496" t="s">
        <v>79</v>
      </c>
      <c r="O1496" t="s">
        <v>74</v>
      </c>
      <c r="P1496" t="s">
        <v>74</v>
      </c>
      <c r="Q1496" t="s">
        <v>74</v>
      </c>
      <c r="R1496" t="s">
        <v>74</v>
      </c>
      <c r="S1496" t="s">
        <v>74</v>
      </c>
      <c r="T1496" t="s">
        <v>16152</v>
      </c>
      <c r="U1496" t="s">
        <v>16151</v>
      </c>
      <c r="V1496" t="s">
        <v>16150</v>
      </c>
      <c r="W1496" t="s">
        <v>16149</v>
      </c>
      <c r="X1496" t="s">
        <v>16148</v>
      </c>
      <c r="Y1496" t="s">
        <v>16147</v>
      </c>
      <c r="Z1496" t="s">
        <v>16146</v>
      </c>
      <c r="AA1496" t="s">
        <v>16145</v>
      </c>
      <c r="AB1496" t="s">
        <v>16144</v>
      </c>
      <c r="AC1496" t="s">
        <v>74</v>
      </c>
      <c r="AD1496" t="s">
        <v>74</v>
      </c>
      <c r="AE1496" t="s">
        <v>74</v>
      </c>
      <c r="AF1496" t="s">
        <v>74</v>
      </c>
      <c r="AG1496">
        <v>37</v>
      </c>
      <c r="AH1496">
        <v>42</v>
      </c>
      <c r="AI1496">
        <v>43</v>
      </c>
      <c r="AJ1496">
        <v>0</v>
      </c>
      <c r="AK1496">
        <v>1</v>
      </c>
      <c r="AL1496" t="s">
        <v>219</v>
      </c>
      <c r="AM1496" t="s">
        <v>220</v>
      </c>
      <c r="AN1496" t="s">
        <v>221</v>
      </c>
      <c r="AO1496" t="s">
        <v>222</v>
      </c>
      <c r="AP1496" t="s">
        <v>223</v>
      </c>
      <c r="AQ1496" t="s">
        <v>74</v>
      </c>
      <c r="AR1496" t="s">
        <v>224</v>
      </c>
      <c r="AS1496" t="s">
        <v>225</v>
      </c>
      <c r="AT1496" t="s">
        <v>315</v>
      </c>
      <c r="AU1496">
        <v>2005</v>
      </c>
      <c r="AV1496">
        <v>26</v>
      </c>
      <c r="AW1496">
        <v>5</v>
      </c>
      <c r="AX1496" t="s">
        <v>74</v>
      </c>
      <c r="AY1496" t="s">
        <v>74</v>
      </c>
      <c r="AZ1496" t="s">
        <v>74</v>
      </c>
      <c r="BA1496" t="s">
        <v>74</v>
      </c>
      <c r="BB1496">
        <v>969</v>
      </c>
      <c r="BC1496">
        <v>972</v>
      </c>
      <c r="BD1496" t="s">
        <v>74</v>
      </c>
      <c r="BE1496" t="s">
        <v>16143</v>
      </c>
      <c r="BF1496" t="str">
        <f>HYPERLINK("http://dx.doi.org/10.1183/09031936.05.00133904","http://dx.doi.org/10.1183/09031936.05.00133904")</f>
        <v>http://dx.doi.org/10.1183/09031936.05.00133904</v>
      </c>
      <c r="BG1496" t="s">
        <v>74</v>
      </c>
      <c r="BH1496" t="s">
        <v>74</v>
      </c>
      <c r="BI1496">
        <v>4</v>
      </c>
      <c r="BJ1496" t="s">
        <v>228</v>
      </c>
      <c r="BK1496" t="s">
        <v>101</v>
      </c>
      <c r="BL1496" t="s">
        <v>228</v>
      </c>
      <c r="BM1496" t="s">
        <v>16142</v>
      </c>
      <c r="BN1496">
        <v>16264059</v>
      </c>
      <c r="BO1496" t="s">
        <v>1194</v>
      </c>
      <c r="BP1496" t="s">
        <v>74</v>
      </c>
      <c r="BQ1496" t="s">
        <v>74</v>
      </c>
      <c r="BR1496" t="s">
        <v>104</v>
      </c>
      <c r="BS1496" t="s">
        <v>16141</v>
      </c>
      <c r="BT1496" t="str">
        <f>HYPERLINK("https%3A%2F%2Fwww.webofscience.com%2Fwos%2Fwoscc%2Ffull-record%2FWOS:000233224400029","View Full Record in Web of Science")</f>
        <v>View Full Record in Web of Science</v>
      </c>
    </row>
    <row r="1497" spans="1:72" x14ac:dyDescent="0.25">
      <c r="A1497" t="s">
        <v>72</v>
      </c>
      <c r="B1497" t="s">
        <v>16140</v>
      </c>
      <c r="C1497" t="s">
        <v>74</v>
      </c>
      <c r="D1497" t="s">
        <v>74</v>
      </c>
      <c r="E1497" t="s">
        <v>74</v>
      </c>
      <c r="F1497" t="s">
        <v>16140</v>
      </c>
      <c r="G1497" t="s">
        <v>74</v>
      </c>
      <c r="H1497" t="s">
        <v>74</v>
      </c>
      <c r="I1497" t="s">
        <v>16139</v>
      </c>
      <c r="J1497" t="s">
        <v>1348</v>
      </c>
      <c r="K1497" t="s">
        <v>74</v>
      </c>
      <c r="L1497" t="s">
        <v>74</v>
      </c>
      <c r="M1497" t="s">
        <v>1349</v>
      </c>
      <c r="N1497" t="s">
        <v>79</v>
      </c>
      <c r="O1497" t="s">
        <v>74</v>
      </c>
      <c r="P1497" t="s">
        <v>74</v>
      </c>
      <c r="Q1497" t="s">
        <v>74</v>
      </c>
      <c r="R1497" t="s">
        <v>74</v>
      </c>
      <c r="S1497" t="s">
        <v>74</v>
      </c>
      <c r="T1497" t="s">
        <v>16138</v>
      </c>
      <c r="U1497" t="s">
        <v>16137</v>
      </c>
      <c r="V1497" t="s">
        <v>16136</v>
      </c>
      <c r="W1497" t="s">
        <v>16135</v>
      </c>
      <c r="X1497" t="s">
        <v>14516</v>
      </c>
      <c r="Y1497" t="s">
        <v>16134</v>
      </c>
      <c r="Z1497" t="s">
        <v>16133</v>
      </c>
      <c r="AA1497" t="s">
        <v>14164</v>
      </c>
      <c r="AB1497" t="s">
        <v>16132</v>
      </c>
      <c r="AC1497" t="s">
        <v>74</v>
      </c>
      <c r="AD1497" t="s">
        <v>74</v>
      </c>
      <c r="AE1497" t="s">
        <v>74</v>
      </c>
      <c r="AF1497" t="s">
        <v>74</v>
      </c>
      <c r="AG1497">
        <v>48</v>
      </c>
      <c r="AH1497">
        <v>9</v>
      </c>
      <c r="AI1497">
        <v>14</v>
      </c>
      <c r="AJ1497">
        <v>0</v>
      </c>
      <c r="AK1497">
        <v>2</v>
      </c>
      <c r="AL1497" t="s">
        <v>1358</v>
      </c>
      <c r="AM1497" t="s">
        <v>1359</v>
      </c>
      <c r="AN1497" t="s">
        <v>1360</v>
      </c>
      <c r="AO1497" t="s">
        <v>1361</v>
      </c>
      <c r="AP1497" t="s">
        <v>1362</v>
      </c>
      <c r="AQ1497" t="s">
        <v>74</v>
      </c>
      <c r="AR1497" t="s">
        <v>1363</v>
      </c>
      <c r="AS1497" t="s">
        <v>1364</v>
      </c>
      <c r="AT1497" t="s">
        <v>315</v>
      </c>
      <c r="AU1497">
        <v>2005</v>
      </c>
      <c r="AV1497">
        <v>22</v>
      </c>
      <c r="AW1497">
        <v>5</v>
      </c>
      <c r="AX1497">
        <v>1</v>
      </c>
      <c r="AY1497" t="s">
        <v>74</v>
      </c>
      <c r="AZ1497" t="s">
        <v>74</v>
      </c>
      <c r="BA1497" t="s">
        <v>74</v>
      </c>
      <c r="BB1497">
        <v>796</v>
      </c>
      <c r="BC1497">
        <v>805</v>
      </c>
      <c r="BD1497" t="s">
        <v>74</v>
      </c>
      <c r="BE1497" t="s">
        <v>16131</v>
      </c>
      <c r="BF1497" t="str">
        <f>HYPERLINK("http://dx.doi.org/10.1016/S0761-8425(05)85637-2","http://dx.doi.org/10.1016/S0761-8425(05)85637-2")</f>
        <v>http://dx.doi.org/10.1016/S0761-8425(05)85637-2</v>
      </c>
      <c r="BG1497" t="s">
        <v>74</v>
      </c>
      <c r="BH1497" t="s">
        <v>74</v>
      </c>
      <c r="BI1497">
        <v>10</v>
      </c>
      <c r="BJ1497" t="s">
        <v>228</v>
      </c>
      <c r="BK1497" t="s">
        <v>101</v>
      </c>
      <c r="BL1497" t="s">
        <v>228</v>
      </c>
      <c r="BM1497" t="s">
        <v>16130</v>
      </c>
      <c r="BN1497">
        <v>16272982</v>
      </c>
      <c r="BO1497" t="s">
        <v>74</v>
      </c>
      <c r="BP1497" t="s">
        <v>74</v>
      </c>
      <c r="BQ1497" t="s">
        <v>74</v>
      </c>
      <c r="BR1497" t="s">
        <v>104</v>
      </c>
      <c r="BS1497" t="s">
        <v>16129</v>
      </c>
      <c r="BT1497" t="str">
        <f>HYPERLINK("https%3A%2F%2Fwww.webofscience.com%2Fwos%2Fwoscc%2Ffull-record%2FWOS:000233545800013","View Full Record in Web of Science")</f>
        <v>View Full Record in Web of Science</v>
      </c>
    </row>
    <row r="1498" spans="1:72" x14ac:dyDescent="0.25">
      <c r="A1498" t="s">
        <v>72</v>
      </c>
      <c r="B1498" t="s">
        <v>16128</v>
      </c>
      <c r="C1498" t="s">
        <v>74</v>
      </c>
      <c r="D1498" t="s">
        <v>74</v>
      </c>
      <c r="E1498" t="s">
        <v>74</v>
      </c>
      <c r="F1498" t="s">
        <v>16128</v>
      </c>
      <c r="G1498" t="s">
        <v>74</v>
      </c>
      <c r="H1498" t="s">
        <v>74</v>
      </c>
      <c r="I1498" t="s">
        <v>16127</v>
      </c>
      <c r="J1498" t="s">
        <v>16126</v>
      </c>
      <c r="K1498" t="s">
        <v>74</v>
      </c>
      <c r="L1498" t="s">
        <v>74</v>
      </c>
      <c r="M1498" t="s">
        <v>78</v>
      </c>
      <c r="N1498" t="s">
        <v>79</v>
      </c>
      <c r="O1498" t="s">
        <v>74</v>
      </c>
      <c r="P1498" t="s">
        <v>74</v>
      </c>
      <c r="Q1498" t="s">
        <v>74</v>
      </c>
      <c r="R1498" t="s">
        <v>74</v>
      </c>
      <c r="S1498" t="s">
        <v>74</v>
      </c>
      <c r="T1498" t="s">
        <v>16125</v>
      </c>
      <c r="U1498" t="s">
        <v>16124</v>
      </c>
      <c r="V1498" t="s">
        <v>16123</v>
      </c>
      <c r="W1498" t="s">
        <v>16122</v>
      </c>
      <c r="X1498" t="s">
        <v>16121</v>
      </c>
      <c r="Y1498" t="s">
        <v>16120</v>
      </c>
      <c r="Z1498" t="s">
        <v>15038</v>
      </c>
      <c r="AA1498" t="s">
        <v>144</v>
      </c>
      <c r="AB1498" t="s">
        <v>257</v>
      </c>
      <c r="AC1498" t="s">
        <v>74</v>
      </c>
      <c r="AD1498" t="s">
        <v>74</v>
      </c>
      <c r="AE1498" t="s">
        <v>74</v>
      </c>
      <c r="AF1498" t="s">
        <v>74</v>
      </c>
      <c r="AG1498">
        <v>41</v>
      </c>
      <c r="AH1498">
        <v>51</v>
      </c>
      <c r="AI1498">
        <v>57</v>
      </c>
      <c r="AJ1498">
        <v>0</v>
      </c>
      <c r="AK1498">
        <v>2</v>
      </c>
      <c r="AL1498" t="s">
        <v>169</v>
      </c>
      <c r="AM1498" t="s">
        <v>170</v>
      </c>
      <c r="AN1498" t="s">
        <v>171</v>
      </c>
      <c r="AO1498" t="s">
        <v>16119</v>
      </c>
      <c r="AP1498" t="s">
        <v>16118</v>
      </c>
      <c r="AQ1498" t="s">
        <v>74</v>
      </c>
      <c r="AR1498" t="s">
        <v>16117</v>
      </c>
      <c r="AS1498" t="s">
        <v>16116</v>
      </c>
      <c r="AT1498" t="s">
        <v>420</v>
      </c>
      <c r="AU1498">
        <v>2005</v>
      </c>
      <c r="AV1498">
        <v>20</v>
      </c>
      <c r="AW1498">
        <v>10</v>
      </c>
      <c r="AX1498" t="s">
        <v>74</v>
      </c>
      <c r="AY1498" t="s">
        <v>74</v>
      </c>
      <c r="AZ1498" t="s">
        <v>74</v>
      </c>
      <c r="BA1498" t="s">
        <v>74</v>
      </c>
      <c r="BB1498">
        <v>1538</v>
      </c>
      <c r="BC1498">
        <v>1544</v>
      </c>
      <c r="BD1498" t="s">
        <v>74</v>
      </c>
      <c r="BE1498" t="s">
        <v>16115</v>
      </c>
      <c r="BF1498" t="str">
        <f>HYPERLINK("http://dx.doi.org/10.1111/j.1440-1746.2005.03914.x","http://dx.doi.org/10.1111/j.1440-1746.2005.03914.x")</f>
        <v>http://dx.doi.org/10.1111/j.1440-1746.2005.03914.x</v>
      </c>
      <c r="BG1498" t="s">
        <v>74</v>
      </c>
      <c r="BH1498" t="s">
        <v>74</v>
      </c>
      <c r="BI1498">
        <v>7</v>
      </c>
      <c r="BJ1498" t="s">
        <v>100</v>
      </c>
      <c r="BK1498" t="s">
        <v>101</v>
      </c>
      <c r="BL1498" t="s">
        <v>100</v>
      </c>
      <c r="BM1498" t="s">
        <v>16114</v>
      </c>
      <c r="BN1498">
        <v>16174071</v>
      </c>
      <c r="BO1498" t="s">
        <v>74</v>
      </c>
      <c r="BP1498" t="s">
        <v>74</v>
      </c>
      <c r="BQ1498" t="s">
        <v>74</v>
      </c>
      <c r="BR1498" t="s">
        <v>104</v>
      </c>
      <c r="BS1498" t="s">
        <v>16113</v>
      </c>
      <c r="BT1498" t="str">
        <f>HYPERLINK("https%3A%2F%2Fwww.webofscience.com%2Fwos%2Fwoscc%2Ffull-record%2FWOS:000231611700011","View Full Record in Web of Science")</f>
        <v>View Full Record in Web of Science</v>
      </c>
    </row>
    <row r="1499" spans="1:72" x14ac:dyDescent="0.25">
      <c r="A1499" t="s">
        <v>72</v>
      </c>
      <c r="B1499" t="s">
        <v>16112</v>
      </c>
      <c r="C1499" t="s">
        <v>74</v>
      </c>
      <c r="D1499" t="s">
        <v>74</v>
      </c>
      <c r="E1499" t="s">
        <v>74</v>
      </c>
      <c r="F1499" t="s">
        <v>16111</v>
      </c>
      <c r="G1499" t="s">
        <v>74</v>
      </c>
      <c r="H1499" t="s">
        <v>74</v>
      </c>
      <c r="I1499" t="s">
        <v>16110</v>
      </c>
      <c r="J1499" t="s">
        <v>1068</v>
      </c>
      <c r="K1499" t="s">
        <v>74</v>
      </c>
      <c r="L1499" t="s">
        <v>74</v>
      </c>
      <c r="M1499" t="s">
        <v>78</v>
      </c>
      <c r="N1499" t="s">
        <v>52</v>
      </c>
      <c r="O1499" t="s">
        <v>16102</v>
      </c>
      <c r="P1499" t="s">
        <v>16101</v>
      </c>
      <c r="Q1499" t="s">
        <v>7579</v>
      </c>
      <c r="R1499" t="s">
        <v>5566</v>
      </c>
      <c r="S1499" t="s">
        <v>74</v>
      </c>
      <c r="T1499" t="s">
        <v>74</v>
      </c>
      <c r="U1499" t="s">
        <v>74</v>
      </c>
      <c r="V1499" t="s">
        <v>74</v>
      </c>
      <c r="W1499" t="s">
        <v>16109</v>
      </c>
      <c r="X1499" t="s">
        <v>16108</v>
      </c>
      <c r="Y1499" t="s">
        <v>74</v>
      </c>
      <c r="Z1499" t="s">
        <v>74</v>
      </c>
      <c r="AA1499" t="s">
        <v>16107</v>
      </c>
      <c r="AB1499" t="s">
        <v>1489</v>
      </c>
      <c r="AC1499" t="s">
        <v>74</v>
      </c>
      <c r="AD1499" t="s">
        <v>74</v>
      </c>
      <c r="AE1499" t="s">
        <v>74</v>
      </c>
      <c r="AF1499" t="s">
        <v>74</v>
      </c>
      <c r="AG1499">
        <v>0</v>
      </c>
      <c r="AH1499">
        <v>0</v>
      </c>
      <c r="AI1499">
        <v>0</v>
      </c>
      <c r="AJ1499">
        <v>0</v>
      </c>
      <c r="AK1499">
        <v>0</v>
      </c>
      <c r="AL1499" t="s">
        <v>1073</v>
      </c>
      <c r="AM1499" t="s">
        <v>1074</v>
      </c>
      <c r="AN1499" t="s">
        <v>1075</v>
      </c>
      <c r="AO1499" t="s">
        <v>1076</v>
      </c>
      <c r="AP1499" t="s">
        <v>1077</v>
      </c>
      <c r="AQ1499" t="s">
        <v>74</v>
      </c>
      <c r="AR1499" t="s">
        <v>1078</v>
      </c>
      <c r="AS1499" t="s">
        <v>1079</v>
      </c>
      <c r="AT1499" t="s">
        <v>492</v>
      </c>
      <c r="AU1499">
        <v>2005</v>
      </c>
      <c r="AV1499">
        <v>26</v>
      </c>
      <c r="AW1499" t="s">
        <v>74</v>
      </c>
      <c r="AX1499" t="s">
        <v>74</v>
      </c>
      <c r="AY1499">
        <v>1</v>
      </c>
      <c r="AZ1499" t="s">
        <v>74</v>
      </c>
      <c r="BA1499">
        <v>763</v>
      </c>
      <c r="BB1499">
        <v>113</v>
      </c>
      <c r="BC1499">
        <v>113</v>
      </c>
      <c r="BD1499" t="s">
        <v>74</v>
      </c>
      <c r="BE1499" t="s">
        <v>74</v>
      </c>
      <c r="BF1499" t="s">
        <v>74</v>
      </c>
      <c r="BG1499" t="s">
        <v>74</v>
      </c>
      <c r="BH1499" t="s">
        <v>74</v>
      </c>
      <c r="BI1499">
        <v>1</v>
      </c>
      <c r="BJ1499" t="s">
        <v>132</v>
      </c>
      <c r="BK1499" t="s">
        <v>512</v>
      </c>
      <c r="BL1499" t="s">
        <v>133</v>
      </c>
      <c r="BM1499" t="s">
        <v>16098</v>
      </c>
      <c r="BN1499" t="s">
        <v>74</v>
      </c>
      <c r="BO1499" t="s">
        <v>74</v>
      </c>
      <c r="BP1499" t="s">
        <v>74</v>
      </c>
      <c r="BQ1499" t="s">
        <v>74</v>
      </c>
      <c r="BR1499" t="s">
        <v>104</v>
      </c>
      <c r="BS1499" t="s">
        <v>16106</v>
      </c>
      <c r="BT1499" t="str">
        <f>HYPERLINK("https%3A%2F%2Fwww.webofscience.com%2Fwos%2Fwoscc%2Ffull-record%2FWOS:000233987100446","View Full Record in Web of Science")</f>
        <v>View Full Record in Web of Science</v>
      </c>
    </row>
    <row r="1500" spans="1:72" x14ac:dyDescent="0.25">
      <c r="A1500" t="s">
        <v>72</v>
      </c>
      <c r="B1500" t="s">
        <v>16105</v>
      </c>
      <c r="C1500" t="s">
        <v>74</v>
      </c>
      <c r="D1500" t="s">
        <v>74</v>
      </c>
      <c r="E1500" t="s">
        <v>74</v>
      </c>
      <c r="F1500" t="s">
        <v>16104</v>
      </c>
      <c r="G1500" t="s">
        <v>74</v>
      </c>
      <c r="H1500" t="s">
        <v>74</v>
      </c>
      <c r="I1500" t="s">
        <v>16103</v>
      </c>
      <c r="J1500" t="s">
        <v>1068</v>
      </c>
      <c r="K1500" t="s">
        <v>74</v>
      </c>
      <c r="L1500" t="s">
        <v>74</v>
      </c>
      <c r="M1500" t="s">
        <v>78</v>
      </c>
      <c r="N1500" t="s">
        <v>52</v>
      </c>
      <c r="O1500" t="s">
        <v>16102</v>
      </c>
      <c r="P1500" t="s">
        <v>16101</v>
      </c>
      <c r="Q1500" t="s">
        <v>7579</v>
      </c>
      <c r="R1500" t="s">
        <v>5566</v>
      </c>
      <c r="S1500" t="s">
        <v>74</v>
      </c>
      <c r="T1500" t="s">
        <v>74</v>
      </c>
      <c r="U1500" t="s">
        <v>74</v>
      </c>
      <c r="V1500" t="s">
        <v>74</v>
      </c>
      <c r="W1500" t="s">
        <v>16100</v>
      </c>
      <c r="X1500" t="s">
        <v>16099</v>
      </c>
      <c r="Y1500" t="s">
        <v>74</v>
      </c>
      <c r="Z1500" t="s">
        <v>74</v>
      </c>
      <c r="AA1500" t="s">
        <v>378</v>
      </c>
      <c r="AB1500" t="s">
        <v>1489</v>
      </c>
      <c r="AC1500" t="s">
        <v>74</v>
      </c>
      <c r="AD1500" t="s">
        <v>74</v>
      </c>
      <c r="AE1500" t="s">
        <v>74</v>
      </c>
      <c r="AF1500" t="s">
        <v>74</v>
      </c>
      <c r="AG1500">
        <v>0</v>
      </c>
      <c r="AH1500">
        <v>0</v>
      </c>
      <c r="AI1500">
        <v>0</v>
      </c>
      <c r="AJ1500">
        <v>0</v>
      </c>
      <c r="AK1500">
        <v>0</v>
      </c>
      <c r="AL1500" t="s">
        <v>1073</v>
      </c>
      <c r="AM1500" t="s">
        <v>1074</v>
      </c>
      <c r="AN1500" t="s">
        <v>1075</v>
      </c>
      <c r="AO1500" t="s">
        <v>1076</v>
      </c>
      <c r="AP1500" t="s">
        <v>1077</v>
      </c>
      <c r="AQ1500" t="s">
        <v>74</v>
      </c>
      <c r="AR1500" t="s">
        <v>1078</v>
      </c>
      <c r="AS1500" t="s">
        <v>1079</v>
      </c>
      <c r="AT1500" t="s">
        <v>492</v>
      </c>
      <c r="AU1500">
        <v>2005</v>
      </c>
      <c r="AV1500">
        <v>26</v>
      </c>
      <c r="AW1500" t="s">
        <v>74</v>
      </c>
      <c r="AX1500" t="s">
        <v>74</v>
      </c>
      <c r="AY1500">
        <v>1</v>
      </c>
      <c r="AZ1500" t="s">
        <v>74</v>
      </c>
      <c r="BA1500">
        <v>1395</v>
      </c>
      <c r="BB1500">
        <v>215</v>
      </c>
      <c r="BC1500">
        <v>216</v>
      </c>
      <c r="BD1500" t="s">
        <v>74</v>
      </c>
      <c r="BE1500" t="s">
        <v>74</v>
      </c>
      <c r="BF1500" t="s">
        <v>74</v>
      </c>
      <c r="BG1500" t="s">
        <v>74</v>
      </c>
      <c r="BH1500" t="s">
        <v>74</v>
      </c>
      <c r="BI1500">
        <v>2</v>
      </c>
      <c r="BJ1500" t="s">
        <v>132</v>
      </c>
      <c r="BK1500" t="s">
        <v>512</v>
      </c>
      <c r="BL1500" t="s">
        <v>133</v>
      </c>
      <c r="BM1500" t="s">
        <v>16098</v>
      </c>
      <c r="BN1500" t="s">
        <v>74</v>
      </c>
      <c r="BO1500" t="s">
        <v>74</v>
      </c>
      <c r="BP1500" t="s">
        <v>74</v>
      </c>
      <c r="BQ1500" t="s">
        <v>74</v>
      </c>
      <c r="BR1500" t="s">
        <v>104</v>
      </c>
      <c r="BS1500" t="s">
        <v>16097</v>
      </c>
      <c r="BT1500" t="str">
        <f>HYPERLINK("https%3A%2F%2Fwww.webofscience.com%2Fwos%2Fwoscc%2Ffull-record%2FWOS:000233987101306","View Full Record in Web of Science")</f>
        <v>View Full Record in Web of Science</v>
      </c>
    </row>
    <row r="1501" spans="1:72" x14ac:dyDescent="0.25">
      <c r="A1501" t="s">
        <v>72</v>
      </c>
      <c r="B1501" t="s">
        <v>16096</v>
      </c>
      <c r="C1501" t="s">
        <v>74</v>
      </c>
      <c r="D1501" t="s">
        <v>74</v>
      </c>
      <c r="E1501" t="s">
        <v>74</v>
      </c>
      <c r="F1501" t="s">
        <v>16096</v>
      </c>
      <c r="G1501" t="s">
        <v>74</v>
      </c>
      <c r="H1501" t="s">
        <v>16095</v>
      </c>
      <c r="I1501" t="s">
        <v>16094</v>
      </c>
      <c r="J1501" t="s">
        <v>15500</v>
      </c>
      <c r="K1501" t="s">
        <v>74</v>
      </c>
      <c r="L1501" t="s">
        <v>74</v>
      </c>
      <c r="M1501" t="s">
        <v>78</v>
      </c>
      <c r="N1501" t="s">
        <v>52</v>
      </c>
      <c r="O1501" t="s">
        <v>16093</v>
      </c>
      <c r="P1501" t="s">
        <v>16092</v>
      </c>
      <c r="Q1501" t="s">
        <v>8167</v>
      </c>
      <c r="R1501" t="s">
        <v>10882</v>
      </c>
      <c r="S1501" t="s">
        <v>74</v>
      </c>
      <c r="T1501" t="s">
        <v>74</v>
      </c>
      <c r="U1501" t="s">
        <v>74</v>
      </c>
      <c r="V1501" t="s">
        <v>74</v>
      </c>
      <c r="W1501" t="s">
        <v>16091</v>
      </c>
      <c r="X1501" t="s">
        <v>16090</v>
      </c>
      <c r="Y1501" t="s">
        <v>74</v>
      </c>
      <c r="Z1501" t="s">
        <v>74</v>
      </c>
      <c r="AA1501" t="s">
        <v>16089</v>
      </c>
      <c r="AB1501" t="s">
        <v>16088</v>
      </c>
      <c r="AC1501" t="s">
        <v>74</v>
      </c>
      <c r="AD1501" t="s">
        <v>74</v>
      </c>
      <c r="AE1501" t="s">
        <v>74</v>
      </c>
      <c r="AF1501" t="s">
        <v>74</v>
      </c>
      <c r="AG1501">
        <v>0</v>
      </c>
      <c r="AH1501">
        <v>0</v>
      </c>
      <c r="AI1501">
        <v>0</v>
      </c>
      <c r="AJ1501">
        <v>0</v>
      </c>
      <c r="AK1501">
        <v>0</v>
      </c>
      <c r="AL1501" t="s">
        <v>10904</v>
      </c>
      <c r="AM1501" t="s">
        <v>170</v>
      </c>
      <c r="AN1501" t="s">
        <v>171</v>
      </c>
      <c r="AO1501" t="s">
        <v>15491</v>
      </c>
      <c r="AP1501" t="s">
        <v>16087</v>
      </c>
      <c r="AQ1501" t="s">
        <v>74</v>
      </c>
      <c r="AR1501" t="s">
        <v>16086</v>
      </c>
      <c r="AS1501" t="s">
        <v>15489</v>
      </c>
      <c r="AT1501" t="s">
        <v>492</v>
      </c>
      <c r="AU1501">
        <v>2005</v>
      </c>
      <c r="AV1501">
        <v>52</v>
      </c>
      <c r="AW1501">
        <v>9</v>
      </c>
      <c r="AX1501" t="s">
        <v>74</v>
      </c>
      <c r="AY1501" t="s">
        <v>998</v>
      </c>
      <c r="AZ1501" t="s">
        <v>74</v>
      </c>
      <c r="BA1501" t="s">
        <v>74</v>
      </c>
      <c r="BB1501" t="s">
        <v>16085</v>
      </c>
      <c r="BC1501" t="s">
        <v>16085</v>
      </c>
      <c r="BD1501" t="s">
        <v>74</v>
      </c>
      <c r="BE1501" t="s">
        <v>74</v>
      </c>
      <c r="BF1501" t="s">
        <v>74</v>
      </c>
      <c r="BG1501" t="s">
        <v>74</v>
      </c>
      <c r="BH1501" t="s">
        <v>74</v>
      </c>
      <c r="BI1501">
        <v>1</v>
      </c>
      <c r="BJ1501" t="s">
        <v>2369</v>
      </c>
      <c r="BK1501" t="s">
        <v>512</v>
      </c>
      <c r="BL1501" t="s">
        <v>2369</v>
      </c>
      <c r="BM1501" t="s">
        <v>16084</v>
      </c>
      <c r="BN1501" t="s">
        <v>74</v>
      </c>
      <c r="BO1501" t="s">
        <v>74</v>
      </c>
      <c r="BP1501" t="s">
        <v>74</v>
      </c>
      <c r="BQ1501" t="s">
        <v>74</v>
      </c>
      <c r="BR1501" t="s">
        <v>104</v>
      </c>
      <c r="BS1501" t="s">
        <v>16083</v>
      </c>
      <c r="BT1501" t="str">
        <f>HYPERLINK("https%3A%2F%2Fwww.webofscience.com%2Fwos%2Fwoscc%2Ffull-record%2FWOS:000232207801379","View Full Record in Web of Science")</f>
        <v>View Full Record in Web of Science</v>
      </c>
    </row>
    <row r="1502" spans="1:72" x14ac:dyDescent="0.25">
      <c r="A1502" t="s">
        <v>72</v>
      </c>
      <c r="B1502" t="s">
        <v>16082</v>
      </c>
      <c r="C1502" t="s">
        <v>74</v>
      </c>
      <c r="D1502" t="s">
        <v>74</v>
      </c>
      <c r="E1502" t="s">
        <v>74</v>
      </c>
      <c r="F1502" t="s">
        <v>16082</v>
      </c>
      <c r="G1502" t="s">
        <v>74</v>
      </c>
      <c r="H1502" t="s">
        <v>74</v>
      </c>
      <c r="I1502" t="s">
        <v>1700</v>
      </c>
      <c r="J1502" t="s">
        <v>1348</v>
      </c>
      <c r="K1502" t="s">
        <v>74</v>
      </c>
      <c r="L1502" t="s">
        <v>74</v>
      </c>
      <c r="M1502" t="s">
        <v>1349</v>
      </c>
      <c r="N1502" t="s">
        <v>79</v>
      </c>
      <c r="O1502" t="s">
        <v>74</v>
      </c>
      <c r="P1502" t="s">
        <v>74</v>
      </c>
      <c r="Q1502" t="s">
        <v>74</v>
      </c>
      <c r="R1502" t="s">
        <v>74</v>
      </c>
      <c r="S1502" t="s">
        <v>74</v>
      </c>
      <c r="T1502" t="s">
        <v>16081</v>
      </c>
      <c r="U1502" t="s">
        <v>16080</v>
      </c>
      <c r="V1502" t="s">
        <v>16079</v>
      </c>
      <c r="W1502" t="s">
        <v>16078</v>
      </c>
      <c r="X1502" t="s">
        <v>16077</v>
      </c>
      <c r="Y1502" t="s">
        <v>16076</v>
      </c>
      <c r="Z1502" t="s">
        <v>15743</v>
      </c>
      <c r="AA1502" t="s">
        <v>16075</v>
      </c>
      <c r="AB1502" t="s">
        <v>13566</v>
      </c>
      <c r="AC1502" t="s">
        <v>74</v>
      </c>
      <c r="AD1502" t="s">
        <v>74</v>
      </c>
      <c r="AE1502" t="s">
        <v>74</v>
      </c>
      <c r="AF1502" t="s">
        <v>74</v>
      </c>
      <c r="AG1502">
        <v>59</v>
      </c>
      <c r="AH1502">
        <v>19</v>
      </c>
      <c r="AI1502">
        <v>20</v>
      </c>
      <c r="AJ1502">
        <v>3</v>
      </c>
      <c r="AK1502">
        <v>7</v>
      </c>
      <c r="AL1502" t="s">
        <v>1358</v>
      </c>
      <c r="AM1502" t="s">
        <v>1359</v>
      </c>
      <c r="AN1502" t="s">
        <v>1360</v>
      </c>
      <c r="AO1502" t="s">
        <v>1361</v>
      </c>
      <c r="AP1502" t="s">
        <v>1362</v>
      </c>
      <c r="AQ1502" t="s">
        <v>74</v>
      </c>
      <c r="AR1502" t="s">
        <v>1363</v>
      </c>
      <c r="AS1502" t="s">
        <v>1364</v>
      </c>
      <c r="AT1502" t="s">
        <v>492</v>
      </c>
      <c r="AU1502">
        <v>2005</v>
      </c>
      <c r="AV1502">
        <v>22</v>
      </c>
      <c r="AW1502">
        <v>4</v>
      </c>
      <c r="AX1502" t="s">
        <v>74</v>
      </c>
      <c r="AY1502" t="s">
        <v>74</v>
      </c>
      <c r="AZ1502" t="s">
        <v>74</v>
      </c>
      <c r="BA1502" t="s">
        <v>74</v>
      </c>
      <c r="BB1502">
        <v>651</v>
      </c>
      <c r="BC1502">
        <v>666</v>
      </c>
      <c r="BD1502" t="s">
        <v>74</v>
      </c>
      <c r="BE1502" t="s">
        <v>16074</v>
      </c>
      <c r="BF1502" t="str">
        <f>HYPERLINK("http://dx.doi.org/10.1019/200530049","http://dx.doi.org/10.1019/200530049")</f>
        <v>http://dx.doi.org/10.1019/200530049</v>
      </c>
      <c r="BG1502" t="s">
        <v>74</v>
      </c>
      <c r="BH1502" t="s">
        <v>74</v>
      </c>
      <c r="BI1502">
        <v>16</v>
      </c>
      <c r="BJ1502" t="s">
        <v>228</v>
      </c>
      <c r="BK1502" t="s">
        <v>101</v>
      </c>
      <c r="BL1502" t="s">
        <v>228</v>
      </c>
      <c r="BM1502" t="s">
        <v>16073</v>
      </c>
      <c r="BN1502">
        <v>16294183</v>
      </c>
      <c r="BO1502" t="s">
        <v>74</v>
      </c>
      <c r="BP1502" t="s">
        <v>74</v>
      </c>
      <c r="BQ1502" t="s">
        <v>74</v>
      </c>
      <c r="BR1502" t="s">
        <v>104</v>
      </c>
      <c r="BS1502" t="s">
        <v>16072</v>
      </c>
      <c r="BT1502" t="str">
        <f>HYPERLINK("https%3A%2F%2Fwww.webofscience.com%2Fwos%2Fwoscc%2Ffull-record%2FWOS:000232451800012","View Full Record in Web of Science")</f>
        <v>View Full Record in Web of Science</v>
      </c>
    </row>
    <row r="1503" spans="1:72" x14ac:dyDescent="0.25">
      <c r="A1503" t="s">
        <v>72</v>
      </c>
      <c r="B1503" t="s">
        <v>16071</v>
      </c>
      <c r="C1503" t="s">
        <v>74</v>
      </c>
      <c r="D1503" t="s">
        <v>74</v>
      </c>
      <c r="E1503" t="s">
        <v>74</v>
      </c>
      <c r="F1503" t="s">
        <v>16071</v>
      </c>
      <c r="G1503" t="s">
        <v>74</v>
      </c>
      <c r="H1503" t="s">
        <v>74</v>
      </c>
      <c r="I1503" t="s">
        <v>16070</v>
      </c>
      <c r="J1503" t="s">
        <v>6978</v>
      </c>
      <c r="K1503" t="s">
        <v>74</v>
      </c>
      <c r="L1503" t="s">
        <v>74</v>
      </c>
      <c r="M1503" t="s">
        <v>78</v>
      </c>
      <c r="N1503" t="s">
        <v>79</v>
      </c>
      <c r="O1503" t="s">
        <v>74</v>
      </c>
      <c r="P1503" t="s">
        <v>74</v>
      </c>
      <c r="Q1503" t="s">
        <v>74</v>
      </c>
      <c r="R1503" t="s">
        <v>74</v>
      </c>
      <c r="S1503" t="s">
        <v>74</v>
      </c>
      <c r="T1503" t="s">
        <v>74</v>
      </c>
      <c r="U1503" t="s">
        <v>16069</v>
      </c>
      <c r="V1503" t="s">
        <v>16068</v>
      </c>
      <c r="W1503" t="s">
        <v>16067</v>
      </c>
      <c r="X1503" t="s">
        <v>16066</v>
      </c>
      <c r="Y1503" t="s">
        <v>16065</v>
      </c>
      <c r="Z1503" t="s">
        <v>16064</v>
      </c>
      <c r="AA1503" t="s">
        <v>16063</v>
      </c>
      <c r="AB1503" t="s">
        <v>16062</v>
      </c>
      <c r="AC1503" t="s">
        <v>74</v>
      </c>
      <c r="AD1503" t="s">
        <v>74</v>
      </c>
      <c r="AE1503" t="s">
        <v>74</v>
      </c>
      <c r="AF1503" t="s">
        <v>74</v>
      </c>
      <c r="AG1503">
        <v>28</v>
      </c>
      <c r="AH1503">
        <v>130</v>
      </c>
      <c r="AI1503">
        <v>143</v>
      </c>
      <c r="AJ1503">
        <v>0</v>
      </c>
      <c r="AK1503">
        <v>3</v>
      </c>
      <c r="AL1503" t="s">
        <v>2590</v>
      </c>
      <c r="AM1503" t="s">
        <v>201</v>
      </c>
      <c r="AN1503" t="s">
        <v>2591</v>
      </c>
      <c r="AO1503" t="s">
        <v>6985</v>
      </c>
      <c r="AP1503" t="s">
        <v>6986</v>
      </c>
      <c r="AQ1503" t="s">
        <v>74</v>
      </c>
      <c r="AR1503" t="s">
        <v>6978</v>
      </c>
      <c r="AS1503" t="s">
        <v>6987</v>
      </c>
      <c r="AT1503" t="s">
        <v>492</v>
      </c>
      <c r="AU1503">
        <v>2005</v>
      </c>
      <c r="AV1503">
        <v>60</v>
      </c>
      <c r="AW1503">
        <v>9</v>
      </c>
      <c r="AX1503" t="s">
        <v>74</v>
      </c>
      <c r="AY1503" t="s">
        <v>74</v>
      </c>
      <c r="AZ1503" t="s">
        <v>74</v>
      </c>
      <c r="BA1503" t="s">
        <v>74</v>
      </c>
      <c r="BB1503">
        <v>765</v>
      </c>
      <c r="BC1503">
        <v>772</v>
      </c>
      <c r="BD1503" t="s">
        <v>74</v>
      </c>
      <c r="BE1503" t="s">
        <v>16061</v>
      </c>
      <c r="BF1503" t="str">
        <f>HYPERLINK("http://dx.doi.org/10.1136/thx.2004.029082","http://dx.doi.org/10.1136/thx.2004.029082")</f>
        <v>http://dx.doi.org/10.1136/thx.2004.029082</v>
      </c>
      <c r="BG1503" t="s">
        <v>74</v>
      </c>
      <c r="BH1503" t="s">
        <v>74</v>
      </c>
      <c r="BI1503">
        <v>8</v>
      </c>
      <c r="BJ1503" t="s">
        <v>228</v>
      </c>
      <c r="BK1503" t="s">
        <v>101</v>
      </c>
      <c r="BL1503" t="s">
        <v>228</v>
      </c>
      <c r="BM1503" t="s">
        <v>16060</v>
      </c>
      <c r="BN1503">
        <v>16135682</v>
      </c>
      <c r="BO1503" t="s">
        <v>16059</v>
      </c>
      <c r="BP1503" t="s">
        <v>74</v>
      </c>
      <c r="BQ1503" t="s">
        <v>74</v>
      </c>
      <c r="BR1503" t="s">
        <v>104</v>
      </c>
      <c r="BS1503" t="s">
        <v>16058</v>
      </c>
      <c r="BT1503" t="str">
        <f>HYPERLINK("https%3A%2F%2Fwww.webofscience.com%2Fwos%2Fwoscc%2Ffull-record%2FWOS:000231559200014","View Full Record in Web of Science")</f>
        <v>View Full Record in Web of Science</v>
      </c>
    </row>
    <row r="1504" spans="1:72" x14ac:dyDescent="0.25">
      <c r="A1504" t="s">
        <v>72</v>
      </c>
      <c r="B1504" t="s">
        <v>16057</v>
      </c>
      <c r="C1504" t="s">
        <v>74</v>
      </c>
      <c r="D1504" t="s">
        <v>74</v>
      </c>
      <c r="E1504" t="s">
        <v>74</v>
      </c>
      <c r="F1504" t="s">
        <v>16057</v>
      </c>
      <c r="G1504" t="s">
        <v>74</v>
      </c>
      <c r="H1504" t="s">
        <v>74</v>
      </c>
      <c r="I1504" t="s">
        <v>16056</v>
      </c>
      <c r="J1504" t="s">
        <v>1047</v>
      </c>
      <c r="K1504" t="s">
        <v>74</v>
      </c>
      <c r="L1504" t="s">
        <v>74</v>
      </c>
      <c r="M1504" t="s">
        <v>78</v>
      </c>
      <c r="N1504" t="s">
        <v>299</v>
      </c>
      <c r="O1504" t="s">
        <v>74</v>
      </c>
      <c r="P1504" t="s">
        <v>74</v>
      </c>
      <c r="Q1504" t="s">
        <v>74</v>
      </c>
      <c r="R1504" t="s">
        <v>74</v>
      </c>
      <c r="S1504" t="s">
        <v>74</v>
      </c>
      <c r="T1504" t="s">
        <v>16055</v>
      </c>
      <c r="U1504" t="s">
        <v>16054</v>
      </c>
      <c r="V1504" t="s">
        <v>16053</v>
      </c>
      <c r="W1504" t="s">
        <v>16052</v>
      </c>
      <c r="X1504" t="s">
        <v>14590</v>
      </c>
      <c r="Y1504" t="s">
        <v>15469</v>
      </c>
      <c r="Z1504" t="s">
        <v>10573</v>
      </c>
      <c r="AA1504" t="s">
        <v>15885</v>
      </c>
      <c r="AB1504" t="s">
        <v>16051</v>
      </c>
      <c r="AC1504" t="s">
        <v>74</v>
      </c>
      <c r="AD1504" t="s">
        <v>74</v>
      </c>
      <c r="AE1504" t="s">
        <v>74</v>
      </c>
      <c r="AF1504" t="s">
        <v>74</v>
      </c>
      <c r="AG1504">
        <v>64</v>
      </c>
      <c r="AH1504">
        <v>36</v>
      </c>
      <c r="AI1504">
        <v>45</v>
      </c>
      <c r="AJ1504">
        <v>0</v>
      </c>
      <c r="AK1504">
        <v>5</v>
      </c>
      <c r="AL1504" t="s">
        <v>1054</v>
      </c>
      <c r="AM1504" t="s">
        <v>486</v>
      </c>
      <c r="AN1504" t="s">
        <v>1055</v>
      </c>
      <c r="AO1504" t="s">
        <v>1056</v>
      </c>
      <c r="AP1504" t="s">
        <v>1057</v>
      </c>
      <c r="AQ1504" t="s">
        <v>74</v>
      </c>
      <c r="AR1504" t="s">
        <v>1058</v>
      </c>
      <c r="AS1504" t="s">
        <v>1059</v>
      </c>
      <c r="AT1504" t="s">
        <v>725</v>
      </c>
      <c r="AU1504">
        <v>2005</v>
      </c>
      <c r="AV1504">
        <v>26</v>
      </c>
      <c r="AW1504">
        <v>4</v>
      </c>
      <c r="AX1504" t="s">
        <v>74</v>
      </c>
      <c r="AY1504" t="s">
        <v>74</v>
      </c>
      <c r="AZ1504" t="s">
        <v>74</v>
      </c>
      <c r="BA1504" t="s">
        <v>74</v>
      </c>
      <c r="BB1504">
        <v>355</v>
      </c>
      <c r="BC1504">
        <v>364</v>
      </c>
      <c r="BD1504" t="s">
        <v>74</v>
      </c>
      <c r="BE1504" t="s">
        <v>16050</v>
      </c>
      <c r="BF1504" t="str">
        <f>HYPERLINK("http://dx.doi.org/10.1055/s-2005-916149","http://dx.doi.org/10.1055/s-2005-916149")</f>
        <v>http://dx.doi.org/10.1055/s-2005-916149</v>
      </c>
      <c r="BG1504" t="s">
        <v>74</v>
      </c>
      <c r="BH1504" t="s">
        <v>74</v>
      </c>
      <c r="BI1504">
        <v>10</v>
      </c>
      <c r="BJ1504" t="s">
        <v>341</v>
      </c>
      <c r="BK1504" t="s">
        <v>101</v>
      </c>
      <c r="BL1504" t="s">
        <v>342</v>
      </c>
      <c r="BM1504" t="s">
        <v>16049</v>
      </c>
      <c r="BN1504">
        <v>16121311</v>
      </c>
      <c r="BO1504" t="s">
        <v>74</v>
      </c>
      <c r="BP1504" t="s">
        <v>74</v>
      </c>
      <c r="BQ1504" t="s">
        <v>74</v>
      </c>
      <c r="BR1504" t="s">
        <v>104</v>
      </c>
      <c r="BS1504" t="s">
        <v>16048</v>
      </c>
      <c r="BT1504" t="str">
        <f>HYPERLINK("https%3A%2F%2Fwww.webofscience.com%2Fwos%2Fwoscc%2Ffull-record%2FWOS:000231671900002","View Full Record in Web of Science")</f>
        <v>View Full Record in Web of Science</v>
      </c>
    </row>
    <row r="1505" spans="1:72" x14ac:dyDescent="0.25">
      <c r="A1505" t="s">
        <v>72</v>
      </c>
      <c r="B1505" t="s">
        <v>16047</v>
      </c>
      <c r="C1505" t="s">
        <v>74</v>
      </c>
      <c r="D1505" t="s">
        <v>74</v>
      </c>
      <c r="E1505" t="s">
        <v>74</v>
      </c>
      <c r="F1505" t="s">
        <v>16047</v>
      </c>
      <c r="G1505" t="s">
        <v>74</v>
      </c>
      <c r="H1505" t="s">
        <v>74</v>
      </c>
      <c r="I1505" t="s">
        <v>16046</v>
      </c>
      <c r="J1505" t="s">
        <v>16036</v>
      </c>
      <c r="K1505" t="s">
        <v>74</v>
      </c>
      <c r="L1505" t="s">
        <v>74</v>
      </c>
      <c r="M1505" t="s">
        <v>78</v>
      </c>
      <c r="N1505" t="s">
        <v>8016</v>
      </c>
      <c r="O1505" t="s">
        <v>16045</v>
      </c>
      <c r="P1505" t="s">
        <v>16044</v>
      </c>
      <c r="Q1505" t="s">
        <v>4006</v>
      </c>
      <c r="R1505" t="s">
        <v>74</v>
      </c>
      <c r="S1505" t="s">
        <v>74</v>
      </c>
      <c r="T1505" t="s">
        <v>74</v>
      </c>
      <c r="U1505" t="s">
        <v>16043</v>
      </c>
      <c r="V1505" t="s">
        <v>74</v>
      </c>
      <c r="W1505" t="s">
        <v>16042</v>
      </c>
      <c r="X1505" t="s">
        <v>16041</v>
      </c>
      <c r="Y1505" t="s">
        <v>16040</v>
      </c>
      <c r="Z1505" t="s">
        <v>74</v>
      </c>
      <c r="AA1505" t="s">
        <v>16039</v>
      </c>
      <c r="AB1505" t="s">
        <v>16038</v>
      </c>
      <c r="AC1505" t="s">
        <v>74</v>
      </c>
      <c r="AD1505" t="s">
        <v>74</v>
      </c>
      <c r="AE1505" t="s">
        <v>74</v>
      </c>
      <c r="AF1505" t="s">
        <v>74</v>
      </c>
      <c r="AG1505">
        <v>6</v>
      </c>
      <c r="AH1505">
        <v>29</v>
      </c>
      <c r="AI1505">
        <v>29</v>
      </c>
      <c r="AJ1505">
        <v>0</v>
      </c>
      <c r="AK1505">
        <v>0</v>
      </c>
      <c r="AL1505" t="s">
        <v>122</v>
      </c>
      <c r="AM1505" t="s">
        <v>123</v>
      </c>
      <c r="AN1505" t="s">
        <v>14769</v>
      </c>
      <c r="AO1505" t="s">
        <v>16037</v>
      </c>
      <c r="AP1505" t="s">
        <v>74</v>
      </c>
      <c r="AQ1505" t="s">
        <v>74</v>
      </c>
      <c r="AR1505" t="s">
        <v>16036</v>
      </c>
      <c r="AS1505" t="s">
        <v>16035</v>
      </c>
      <c r="AT1505" t="s">
        <v>16034</v>
      </c>
      <c r="AU1505">
        <v>2005</v>
      </c>
      <c r="AV1505">
        <v>19</v>
      </c>
      <c r="AW1505">
        <v>11</v>
      </c>
      <c r="AX1505" t="s">
        <v>74</v>
      </c>
      <c r="AY1505" t="s">
        <v>74</v>
      </c>
      <c r="AZ1505" t="s">
        <v>74</v>
      </c>
      <c r="BA1505" t="s">
        <v>74</v>
      </c>
      <c r="BB1505">
        <v>1239</v>
      </c>
      <c r="BC1505">
        <v>1240</v>
      </c>
      <c r="BD1505" t="s">
        <v>74</v>
      </c>
      <c r="BE1505" t="s">
        <v>16033</v>
      </c>
      <c r="BF1505" t="str">
        <f>HYPERLINK("http://dx.doi.org/10.1097/01.aids.0000176230.94226.06","http://dx.doi.org/10.1097/01.aids.0000176230.94226.06")</f>
        <v>http://dx.doi.org/10.1097/01.aids.0000176230.94226.06</v>
      </c>
      <c r="BG1505" t="s">
        <v>74</v>
      </c>
      <c r="BH1505" t="s">
        <v>74</v>
      </c>
      <c r="BI1505">
        <v>2</v>
      </c>
      <c r="BJ1505" t="s">
        <v>16032</v>
      </c>
      <c r="BK1505" t="s">
        <v>14074</v>
      </c>
      <c r="BL1505" t="s">
        <v>16032</v>
      </c>
      <c r="BM1505" t="s">
        <v>16031</v>
      </c>
      <c r="BN1505">
        <v>15990583</v>
      </c>
      <c r="BO1505" t="s">
        <v>1194</v>
      </c>
      <c r="BP1505" t="s">
        <v>74</v>
      </c>
      <c r="BQ1505" t="s">
        <v>74</v>
      </c>
      <c r="BR1505" t="s">
        <v>104</v>
      </c>
      <c r="BS1505" t="s">
        <v>16030</v>
      </c>
      <c r="BT1505" t="str">
        <f>HYPERLINK("https%3A%2F%2Fwww.webofscience.com%2Fwos%2Fwoscc%2Ffull-record%2FWOS:000230692100020","View Full Record in Web of Science")</f>
        <v>View Full Record in Web of Science</v>
      </c>
    </row>
    <row r="1506" spans="1:72" x14ac:dyDescent="0.25">
      <c r="A1506" t="s">
        <v>72</v>
      </c>
      <c r="B1506" t="s">
        <v>16029</v>
      </c>
      <c r="C1506" t="s">
        <v>74</v>
      </c>
      <c r="D1506" t="s">
        <v>74</v>
      </c>
      <c r="E1506" t="s">
        <v>74</v>
      </c>
      <c r="F1506" t="s">
        <v>16029</v>
      </c>
      <c r="G1506" t="s">
        <v>74</v>
      </c>
      <c r="H1506" t="s">
        <v>74</v>
      </c>
      <c r="I1506" t="s">
        <v>16028</v>
      </c>
      <c r="J1506" t="s">
        <v>324</v>
      </c>
      <c r="K1506" t="s">
        <v>74</v>
      </c>
      <c r="L1506" t="s">
        <v>74</v>
      </c>
      <c r="M1506" t="s">
        <v>78</v>
      </c>
      <c r="N1506" t="s">
        <v>460</v>
      </c>
      <c r="O1506" t="s">
        <v>74</v>
      </c>
      <c r="P1506" t="s">
        <v>74</v>
      </c>
      <c r="Q1506" t="s">
        <v>74</v>
      </c>
      <c r="R1506" t="s">
        <v>74</v>
      </c>
      <c r="S1506" t="s">
        <v>74</v>
      </c>
      <c r="T1506" t="s">
        <v>74</v>
      </c>
      <c r="U1506" t="s">
        <v>2837</v>
      </c>
      <c r="V1506" t="s">
        <v>74</v>
      </c>
      <c r="W1506" t="s">
        <v>16027</v>
      </c>
      <c r="X1506" t="s">
        <v>16026</v>
      </c>
      <c r="Y1506" t="s">
        <v>16025</v>
      </c>
      <c r="Z1506" t="s">
        <v>15803</v>
      </c>
      <c r="AA1506" t="s">
        <v>15802</v>
      </c>
      <c r="AB1506" t="s">
        <v>16024</v>
      </c>
      <c r="AC1506" t="s">
        <v>74</v>
      </c>
      <c r="AD1506" t="s">
        <v>74</v>
      </c>
      <c r="AE1506" t="s">
        <v>74</v>
      </c>
      <c r="AF1506" t="s">
        <v>74</v>
      </c>
      <c r="AG1506">
        <v>3</v>
      </c>
      <c r="AH1506">
        <v>2</v>
      </c>
      <c r="AI1506">
        <v>2</v>
      </c>
      <c r="AJ1506">
        <v>0</v>
      </c>
      <c r="AK1506">
        <v>0</v>
      </c>
      <c r="AL1506" t="s">
        <v>11161</v>
      </c>
      <c r="AM1506" t="s">
        <v>14574</v>
      </c>
      <c r="AN1506" t="s">
        <v>14573</v>
      </c>
      <c r="AO1506" t="s">
        <v>337</v>
      </c>
      <c r="AP1506" t="s">
        <v>74</v>
      </c>
      <c r="AQ1506" t="s">
        <v>74</v>
      </c>
      <c r="AR1506" t="s">
        <v>324</v>
      </c>
      <c r="AS1506" t="s">
        <v>339</v>
      </c>
      <c r="AT1506" t="s">
        <v>785</v>
      </c>
      <c r="AU1506">
        <v>2005</v>
      </c>
      <c r="AV1506">
        <v>128</v>
      </c>
      <c r="AW1506">
        <v>1</v>
      </c>
      <c r="AX1506" t="s">
        <v>74</v>
      </c>
      <c r="AY1506" t="s">
        <v>74</v>
      </c>
      <c r="AZ1506" t="s">
        <v>74</v>
      </c>
      <c r="BA1506" t="s">
        <v>74</v>
      </c>
      <c r="BB1506">
        <v>467</v>
      </c>
      <c r="BC1506">
        <v>467</v>
      </c>
      <c r="BD1506" t="s">
        <v>74</v>
      </c>
      <c r="BE1506" t="s">
        <v>16023</v>
      </c>
      <c r="BF1506" t="str">
        <f>HYPERLINK("http://dx.doi.org/10.1378/chest.128.1.467","http://dx.doi.org/10.1378/chest.128.1.467")</f>
        <v>http://dx.doi.org/10.1378/chest.128.1.467</v>
      </c>
      <c r="BG1506" t="s">
        <v>74</v>
      </c>
      <c r="BH1506" t="s">
        <v>74</v>
      </c>
      <c r="BI1506">
        <v>1</v>
      </c>
      <c r="BJ1506" t="s">
        <v>341</v>
      </c>
      <c r="BK1506" t="s">
        <v>101</v>
      </c>
      <c r="BL1506" t="s">
        <v>342</v>
      </c>
      <c r="BM1506" t="s">
        <v>16022</v>
      </c>
      <c r="BN1506" t="s">
        <v>74</v>
      </c>
      <c r="BO1506" t="s">
        <v>1194</v>
      </c>
      <c r="BP1506" t="s">
        <v>74</v>
      </c>
      <c r="BQ1506" t="s">
        <v>74</v>
      </c>
      <c r="BR1506" t="s">
        <v>104</v>
      </c>
      <c r="BS1506" t="s">
        <v>16021</v>
      </c>
      <c r="BT1506" t="str">
        <f>HYPERLINK("https%3A%2F%2Fwww.webofscience.com%2Fwos%2Fwoscc%2Ffull-record%2FWOS:000230530500078","View Full Record in Web of Science")</f>
        <v>View Full Record in Web of Science</v>
      </c>
    </row>
    <row r="1507" spans="1:72" x14ac:dyDescent="0.25">
      <c r="A1507" t="s">
        <v>72</v>
      </c>
      <c r="B1507" t="s">
        <v>16020</v>
      </c>
      <c r="C1507" t="s">
        <v>74</v>
      </c>
      <c r="D1507" t="s">
        <v>74</v>
      </c>
      <c r="E1507" t="s">
        <v>74</v>
      </c>
      <c r="F1507" t="s">
        <v>16020</v>
      </c>
      <c r="G1507" t="s">
        <v>74</v>
      </c>
      <c r="H1507" t="s">
        <v>74</v>
      </c>
      <c r="I1507" t="s">
        <v>16019</v>
      </c>
      <c r="J1507" t="s">
        <v>2580</v>
      </c>
      <c r="K1507" t="s">
        <v>74</v>
      </c>
      <c r="L1507" t="s">
        <v>74</v>
      </c>
      <c r="M1507" t="s">
        <v>78</v>
      </c>
      <c r="N1507" t="s">
        <v>52</v>
      </c>
      <c r="O1507" t="s">
        <v>15450</v>
      </c>
      <c r="P1507" t="s">
        <v>16001</v>
      </c>
      <c r="Q1507" t="s">
        <v>504</v>
      </c>
      <c r="R1507" t="s">
        <v>74</v>
      </c>
      <c r="S1507" t="s">
        <v>74</v>
      </c>
      <c r="T1507" t="s">
        <v>74</v>
      </c>
      <c r="U1507" t="s">
        <v>74</v>
      </c>
      <c r="V1507" t="s">
        <v>74</v>
      </c>
      <c r="W1507" t="s">
        <v>16018</v>
      </c>
      <c r="X1507" t="s">
        <v>16017</v>
      </c>
      <c r="Y1507" t="s">
        <v>74</v>
      </c>
      <c r="Z1507" t="s">
        <v>74</v>
      </c>
      <c r="AA1507" t="s">
        <v>16016</v>
      </c>
      <c r="AB1507" t="s">
        <v>4885</v>
      </c>
      <c r="AC1507" t="s">
        <v>74</v>
      </c>
      <c r="AD1507" t="s">
        <v>74</v>
      </c>
      <c r="AE1507" t="s">
        <v>74</v>
      </c>
      <c r="AF1507" t="s">
        <v>74</v>
      </c>
      <c r="AG1507">
        <v>0</v>
      </c>
      <c r="AH1507">
        <v>0</v>
      </c>
      <c r="AI1507">
        <v>0</v>
      </c>
      <c r="AJ1507">
        <v>0</v>
      </c>
      <c r="AK1507">
        <v>0</v>
      </c>
      <c r="AL1507" t="s">
        <v>2590</v>
      </c>
      <c r="AM1507" t="s">
        <v>201</v>
      </c>
      <c r="AN1507" t="s">
        <v>2591</v>
      </c>
      <c r="AO1507" t="s">
        <v>2592</v>
      </c>
      <c r="AP1507" t="s">
        <v>2593</v>
      </c>
      <c r="AQ1507" t="s">
        <v>74</v>
      </c>
      <c r="AR1507" t="s">
        <v>2594</v>
      </c>
      <c r="AS1507" t="s">
        <v>2595</v>
      </c>
      <c r="AT1507" t="s">
        <v>785</v>
      </c>
      <c r="AU1507">
        <v>2005</v>
      </c>
      <c r="AV1507">
        <v>64</v>
      </c>
      <c r="AW1507" t="s">
        <v>74</v>
      </c>
      <c r="AX1507" t="s">
        <v>74</v>
      </c>
      <c r="AY1507">
        <v>3</v>
      </c>
      <c r="AZ1507" t="s">
        <v>74</v>
      </c>
      <c r="BA1507" t="s">
        <v>74</v>
      </c>
      <c r="BB1507">
        <v>297</v>
      </c>
      <c r="BC1507">
        <v>297</v>
      </c>
      <c r="BD1507" t="s">
        <v>74</v>
      </c>
      <c r="BE1507" t="s">
        <v>74</v>
      </c>
      <c r="BF1507" t="s">
        <v>74</v>
      </c>
      <c r="BG1507" t="s">
        <v>74</v>
      </c>
      <c r="BH1507" t="s">
        <v>74</v>
      </c>
      <c r="BI1507">
        <v>1</v>
      </c>
      <c r="BJ1507" t="s">
        <v>2369</v>
      </c>
      <c r="BK1507" t="s">
        <v>512</v>
      </c>
      <c r="BL1507" t="s">
        <v>2369</v>
      </c>
      <c r="BM1507" t="s">
        <v>15997</v>
      </c>
      <c r="BN1507" t="s">
        <v>74</v>
      </c>
      <c r="BO1507" t="s">
        <v>74</v>
      </c>
      <c r="BP1507" t="s">
        <v>74</v>
      </c>
      <c r="BQ1507" t="s">
        <v>74</v>
      </c>
      <c r="BR1507" t="s">
        <v>104</v>
      </c>
      <c r="BS1507" t="s">
        <v>16015</v>
      </c>
      <c r="BT1507" t="str">
        <f>HYPERLINK("https%3A%2F%2Fwww.webofscience.com%2Fwos%2Fwoscc%2Ffull-record%2FWOS:000229909101323","View Full Record in Web of Science")</f>
        <v>View Full Record in Web of Science</v>
      </c>
    </row>
    <row r="1508" spans="1:72" x14ac:dyDescent="0.25">
      <c r="A1508" t="s">
        <v>72</v>
      </c>
      <c r="B1508" t="s">
        <v>16014</v>
      </c>
      <c r="C1508" t="s">
        <v>74</v>
      </c>
      <c r="D1508" t="s">
        <v>74</v>
      </c>
      <c r="E1508" t="s">
        <v>74</v>
      </c>
      <c r="F1508" t="s">
        <v>16014</v>
      </c>
      <c r="G1508" t="s">
        <v>74</v>
      </c>
      <c r="H1508" t="s">
        <v>74</v>
      </c>
      <c r="I1508" t="s">
        <v>16013</v>
      </c>
      <c r="J1508" t="s">
        <v>2580</v>
      </c>
      <c r="K1508" t="s">
        <v>74</v>
      </c>
      <c r="L1508" t="s">
        <v>74</v>
      </c>
      <c r="M1508" t="s">
        <v>78</v>
      </c>
      <c r="N1508" t="s">
        <v>52</v>
      </c>
      <c r="O1508" t="s">
        <v>15450</v>
      </c>
      <c r="P1508" t="s">
        <v>16001</v>
      </c>
      <c r="Q1508" t="s">
        <v>504</v>
      </c>
      <c r="R1508" t="s">
        <v>74</v>
      </c>
      <c r="S1508" t="s">
        <v>74</v>
      </c>
      <c r="T1508" t="s">
        <v>74</v>
      </c>
      <c r="U1508" t="s">
        <v>74</v>
      </c>
      <c r="V1508" t="s">
        <v>74</v>
      </c>
      <c r="W1508" t="s">
        <v>16012</v>
      </c>
      <c r="X1508" t="s">
        <v>16011</v>
      </c>
      <c r="Y1508" t="s">
        <v>74</v>
      </c>
      <c r="Z1508" t="s">
        <v>74</v>
      </c>
      <c r="AA1508" t="s">
        <v>2829</v>
      </c>
      <c r="AB1508" t="s">
        <v>1489</v>
      </c>
      <c r="AC1508" t="s">
        <v>74</v>
      </c>
      <c r="AD1508" t="s">
        <v>74</v>
      </c>
      <c r="AE1508" t="s">
        <v>74</v>
      </c>
      <c r="AF1508" t="s">
        <v>74</v>
      </c>
      <c r="AG1508">
        <v>2</v>
      </c>
      <c r="AH1508">
        <v>0</v>
      </c>
      <c r="AI1508">
        <v>0</v>
      </c>
      <c r="AJ1508">
        <v>0</v>
      </c>
      <c r="AK1508">
        <v>0</v>
      </c>
      <c r="AL1508" t="s">
        <v>2590</v>
      </c>
      <c r="AM1508" t="s">
        <v>201</v>
      </c>
      <c r="AN1508" t="s">
        <v>2591</v>
      </c>
      <c r="AO1508" t="s">
        <v>2592</v>
      </c>
      <c r="AP1508" t="s">
        <v>2593</v>
      </c>
      <c r="AQ1508" t="s">
        <v>74</v>
      </c>
      <c r="AR1508" t="s">
        <v>2594</v>
      </c>
      <c r="AS1508" t="s">
        <v>2595</v>
      </c>
      <c r="AT1508" t="s">
        <v>785</v>
      </c>
      <c r="AU1508">
        <v>2005</v>
      </c>
      <c r="AV1508">
        <v>64</v>
      </c>
      <c r="AW1508" t="s">
        <v>74</v>
      </c>
      <c r="AX1508" t="s">
        <v>74</v>
      </c>
      <c r="AY1508">
        <v>3</v>
      </c>
      <c r="AZ1508" t="s">
        <v>74</v>
      </c>
      <c r="BA1508" t="s">
        <v>74</v>
      </c>
      <c r="BB1508">
        <v>294</v>
      </c>
      <c r="BC1508">
        <v>294</v>
      </c>
      <c r="BD1508" t="s">
        <v>74</v>
      </c>
      <c r="BE1508" t="s">
        <v>74</v>
      </c>
      <c r="BF1508" t="s">
        <v>74</v>
      </c>
      <c r="BG1508" t="s">
        <v>74</v>
      </c>
      <c r="BH1508" t="s">
        <v>74</v>
      </c>
      <c r="BI1508">
        <v>1</v>
      </c>
      <c r="BJ1508" t="s">
        <v>2369</v>
      </c>
      <c r="BK1508" t="s">
        <v>512</v>
      </c>
      <c r="BL1508" t="s">
        <v>2369</v>
      </c>
      <c r="BM1508" t="s">
        <v>15997</v>
      </c>
      <c r="BN1508" t="s">
        <v>74</v>
      </c>
      <c r="BO1508" t="s">
        <v>74</v>
      </c>
      <c r="BP1508" t="s">
        <v>74</v>
      </c>
      <c r="BQ1508" t="s">
        <v>74</v>
      </c>
      <c r="BR1508" t="s">
        <v>104</v>
      </c>
      <c r="BS1508" t="s">
        <v>16010</v>
      </c>
      <c r="BT1508" t="str">
        <f>HYPERLINK("https%3A%2F%2Fwww.webofscience.com%2Fwos%2Fwoscc%2Ffull-record%2FWOS:000229909101311","View Full Record in Web of Science")</f>
        <v>View Full Record in Web of Science</v>
      </c>
    </row>
    <row r="1509" spans="1:72" x14ac:dyDescent="0.25">
      <c r="A1509" t="s">
        <v>72</v>
      </c>
      <c r="B1509" t="s">
        <v>16009</v>
      </c>
      <c r="C1509" t="s">
        <v>74</v>
      </c>
      <c r="D1509" t="s">
        <v>74</v>
      </c>
      <c r="E1509" t="s">
        <v>74</v>
      </c>
      <c r="F1509" t="s">
        <v>16009</v>
      </c>
      <c r="G1509" t="s">
        <v>74</v>
      </c>
      <c r="H1509" t="s">
        <v>74</v>
      </c>
      <c r="I1509" t="s">
        <v>16008</v>
      </c>
      <c r="J1509" t="s">
        <v>2580</v>
      </c>
      <c r="K1509" t="s">
        <v>74</v>
      </c>
      <c r="L1509" t="s">
        <v>74</v>
      </c>
      <c r="M1509" t="s">
        <v>78</v>
      </c>
      <c r="N1509" t="s">
        <v>52</v>
      </c>
      <c r="O1509" t="s">
        <v>15450</v>
      </c>
      <c r="P1509" t="s">
        <v>16001</v>
      </c>
      <c r="Q1509" t="s">
        <v>504</v>
      </c>
      <c r="R1509" t="s">
        <v>74</v>
      </c>
      <c r="S1509" t="s">
        <v>74</v>
      </c>
      <c r="T1509" t="s">
        <v>74</v>
      </c>
      <c r="U1509" t="s">
        <v>74</v>
      </c>
      <c r="V1509" t="s">
        <v>74</v>
      </c>
      <c r="W1509" t="s">
        <v>16007</v>
      </c>
      <c r="X1509" t="s">
        <v>16006</v>
      </c>
      <c r="Y1509" t="s">
        <v>74</v>
      </c>
      <c r="Z1509" t="s">
        <v>74</v>
      </c>
      <c r="AA1509" t="s">
        <v>16005</v>
      </c>
      <c r="AB1509" t="s">
        <v>74</v>
      </c>
      <c r="AC1509" t="s">
        <v>74</v>
      </c>
      <c r="AD1509" t="s">
        <v>74</v>
      </c>
      <c r="AE1509" t="s">
        <v>74</v>
      </c>
      <c r="AF1509" t="s">
        <v>74</v>
      </c>
      <c r="AG1509">
        <v>3</v>
      </c>
      <c r="AH1509">
        <v>0</v>
      </c>
      <c r="AI1509">
        <v>0</v>
      </c>
      <c r="AJ1509">
        <v>0</v>
      </c>
      <c r="AK1509">
        <v>1</v>
      </c>
      <c r="AL1509" t="s">
        <v>2590</v>
      </c>
      <c r="AM1509" t="s">
        <v>201</v>
      </c>
      <c r="AN1509" t="s">
        <v>2591</v>
      </c>
      <c r="AO1509" t="s">
        <v>2592</v>
      </c>
      <c r="AP1509" t="s">
        <v>2593</v>
      </c>
      <c r="AQ1509" t="s">
        <v>74</v>
      </c>
      <c r="AR1509" t="s">
        <v>2594</v>
      </c>
      <c r="AS1509" t="s">
        <v>2595</v>
      </c>
      <c r="AT1509" t="s">
        <v>785</v>
      </c>
      <c r="AU1509">
        <v>2005</v>
      </c>
      <c r="AV1509">
        <v>64</v>
      </c>
      <c r="AW1509" t="s">
        <v>74</v>
      </c>
      <c r="AX1509" t="s">
        <v>74</v>
      </c>
      <c r="AY1509">
        <v>3</v>
      </c>
      <c r="AZ1509" t="s">
        <v>74</v>
      </c>
      <c r="BA1509" t="s">
        <v>74</v>
      </c>
      <c r="BB1509">
        <v>294</v>
      </c>
      <c r="BC1509">
        <v>294</v>
      </c>
      <c r="BD1509" t="s">
        <v>74</v>
      </c>
      <c r="BE1509" t="s">
        <v>74</v>
      </c>
      <c r="BF1509" t="s">
        <v>74</v>
      </c>
      <c r="BG1509" t="s">
        <v>74</v>
      </c>
      <c r="BH1509" t="s">
        <v>74</v>
      </c>
      <c r="BI1509">
        <v>1</v>
      </c>
      <c r="BJ1509" t="s">
        <v>2369</v>
      </c>
      <c r="BK1509" t="s">
        <v>512</v>
      </c>
      <c r="BL1509" t="s">
        <v>2369</v>
      </c>
      <c r="BM1509" t="s">
        <v>15997</v>
      </c>
      <c r="BN1509" t="s">
        <v>74</v>
      </c>
      <c r="BO1509" t="s">
        <v>74</v>
      </c>
      <c r="BP1509" t="s">
        <v>74</v>
      </c>
      <c r="BQ1509" t="s">
        <v>74</v>
      </c>
      <c r="BR1509" t="s">
        <v>104</v>
      </c>
      <c r="BS1509" t="s">
        <v>16004</v>
      </c>
      <c r="BT1509" t="str">
        <f>HYPERLINK("https%3A%2F%2Fwww.webofscience.com%2Fwos%2Fwoscc%2Ffull-record%2FWOS:000229909101312","View Full Record in Web of Science")</f>
        <v>View Full Record in Web of Science</v>
      </c>
    </row>
    <row r="1510" spans="1:72" x14ac:dyDescent="0.25">
      <c r="A1510" t="s">
        <v>72</v>
      </c>
      <c r="B1510" t="s">
        <v>16003</v>
      </c>
      <c r="C1510" t="s">
        <v>74</v>
      </c>
      <c r="D1510" t="s">
        <v>74</v>
      </c>
      <c r="E1510" t="s">
        <v>74</v>
      </c>
      <c r="F1510" t="s">
        <v>16003</v>
      </c>
      <c r="G1510" t="s">
        <v>74</v>
      </c>
      <c r="H1510" t="s">
        <v>74</v>
      </c>
      <c r="I1510" t="s">
        <v>16002</v>
      </c>
      <c r="J1510" t="s">
        <v>2580</v>
      </c>
      <c r="K1510" t="s">
        <v>74</v>
      </c>
      <c r="L1510" t="s">
        <v>74</v>
      </c>
      <c r="M1510" t="s">
        <v>78</v>
      </c>
      <c r="N1510" t="s">
        <v>52</v>
      </c>
      <c r="O1510" t="s">
        <v>15450</v>
      </c>
      <c r="P1510" t="s">
        <v>16001</v>
      </c>
      <c r="Q1510" t="s">
        <v>504</v>
      </c>
      <c r="R1510" t="s">
        <v>74</v>
      </c>
      <c r="S1510" t="s">
        <v>74</v>
      </c>
      <c r="T1510" t="s">
        <v>74</v>
      </c>
      <c r="U1510" t="s">
        <v>74</v>
      </c>
      <c r="V1510" t="s">
        <v>74</v>
      </c>
      <c r="W1510" t="s">
        <v>16000</v>
      </c>
      <c r="X1510" t="s">
        <v>15999</v>
      </c>
      <c r="Y1510" t="s">
        <v>74</v>
      </c>
      <c r="Z1510" t="s">
        <v>74</v>
      </c>
      <c r="AA1510" t="s">
        <v>15998</v>
      </c>
      <c r="AB1510" t="s">
        <v>74</v>
      </c>
      <c r="AC1510" t="s">
        <v>74</v>
      </c>
      <c r="AD1510" t="s">
        <v>74</v>
      </c>
      <c r="AE1510" t="s">
        <v>74</v>
      </c>
      <c r="AF1510" t="s">
        <v>74</v>
      </c>
      <c r="AG1510">
        <v>1</v>
      </c>
      <c r="AH1510">
        <v>0</v>
      </c>
      <c r="AI1510">
        <v>0</v>
      </c>
      <c r="AJ1510">
        <v>0</v>
      </c>
      <c r="AK1510">
        <v>0</v>
      </c>
      <c r="AL1510" t="s">
        <v>2590</v>
      </c>
      <c r="AM1510" t="s">
        <v>201</v>
      </c>
      <c r="AN1510" t="s">
        <v>2591</v>
      </c>
      <c r="AO1510" t="s">
        <v>2592</v>
      </c>
      <c r="AP1510" t="s">
        <v>2593</v>
      </c>
      <c r="AQ1510" t="s">
        <v>74</v>
      </c>
      <c r="AR1510" t="s">
        <v>2594</v>
      </c>
      <c r="AS1510" t="s">
        <v>2595</v>
      </c>
      <c r="AT1510" t="s">
        <v>785</v>
      </c>
      <c r="AU1510">
        <v>2005</v>
      </c>
      <c r="AV1510">
        <v>64</v>
      </c>
      <c r="AW1510" t="s">
        <v>74</v>
      </c>
      <c r="AX1510" t="s">
        <v>74</v>
      </c>
      <c r="AY1510">
        <v>3</v>
      </c>
      <c r="AZ1510" t="s">
        <v>74</v>
      </c>
      <c r="BA1510" t="s">
        <v>74</v>
      </c>
      <c r="BB1510">
        <v>268</v>
      </c>
      <c r="BC1510">
        <v>268</v>
      </c>
      <c r="BD1510" t="s">
        <v>74</v>
      </c>
      <c r="BE1510" t="s">
        <v>74</v>
      </c>
      <c r="BF1510" t="s">
        <v>74</v>
      </c>
      <c r="BG1510" t="s">
        <v>74</v>
      </c>
      <c r="BH1510" t="s">
        <v>74</v>
      </c>
      <c r="BI1510">
        <v>1</v>
      </c>
      <c r="BJ1510" t="s">
        <v>2369</v>
      </c>
      <c r="BK1510" t="s">
        <v>512</v>
      </c>
      <c r="BL1510" t="s">
        <v>2369</v>
      </c>
      <c r="BM1510" t="s">
        <v>15997</v>
      </c>
      <c r="BN1510" t="s">
        <v>74</v>
      </c>
      <c r="BO1510" t="s">
        <v>74</v>
      </c>
      <c r="BP1510" t="s">
        <v>74</v>
      </c>
      <c r="BQ1510" t="s">
        <v>74</v>
      </c>
      <c r="BR1510" t="s">
        <v>104</v>
      </c>
      <c r="BS1510" t="s">
        <v>15996</v>
      </c>
      <c r="BT1510" t="str">
        <f>HYPERLINK("https%3A%2F%2Fwww.webofscience.com%2Fwos%2Fwoscc%2Ffull-record%2FWOS:000229909101222","View Full Record in Web of Science")</f>
        <v>View Full Record in Web of Science</v>
      </c>
    </row>
    <row r="1511" spans="1:72" x14ac:dyDescent="0.25">
      <c r="A1511" t="s">
        <v>72</v>
      </c>
      <c r="B1511" t="s">
        <v>15995</v>
      </c>
      <c r="C1511" t="s">
        <v>74</v>
      </c>
      <c r="D1511" t="s">
        <v>74</v>
      </c>
      <c r="E1511" t="s">
        <v>74</v>
      </c>
      <c r="F1511" t="s">
        <v>15995</v>
      </c>
      <c r="G1511" t="s">
        <v>74</v>
      </c>
      <c r="H1511" t="s">
        <v>74</v>
      </c>
      <c r="I1511" t="s">
        <v>15994</v>
      </c>
      <c r="J1511" t="s">
        <v>251</v>
      </c>
      <c r="K1511" t="s">
        <v>74</v>
      </c>
      <c r="L1511" t="s">
        <v>74</v>
      </c>
      <c r="M1511" t="s">
        <v>78</v>
      </c>
      <c r="N1511" t="s">
        <v>79</v>
      </c>
      <c r="O1511" t="s">
        <v>74</v>
      </c>
      <c r="P1511" t="s">
        <v>74</v>
      </c>
      <c r="Q1511" t="s">
        <v>74</v>
      </c>
      <c r="R1511" t="s">
        <v>74</v>
      </c>
      <c r="S1511" t="s">
        <v>74</v>
      </c>
      <c r="T1511" t="s">
        <v>15993</v>
      </c>
      <c r="U1511" t="s">
        <v>15992</v>
      </c>
      <c r="V1511" t="s">
        <v>15991</v>
      </c>
      <c r="W1511" t="s">
        <v>15990</v>
      </c>
      <c r="X1511" t="s">
        <v>14590</v>
      </c>
      <c r="Y1511" t="s">
        <v>15989</v>
      </c>
      <c r="Z1511" t="s">
        <v>15988</v>
      </c>
      <c r="AA1511" t="s">
        <v>14164</v>
      </c>
      <c r="AB1511" t="s">
        <v>15987</v>
      </c>
      <c r="AC1511" t="s">
        <v>74</v>
      </c>
      <c r="AD1511" t="s">
        <v>74</v>
      </c>
      <c r="AE1511" t="s">
        <v>74</v>
      </c>
      <c r="AF1511" t="s">
        <v>74</v>
      </c>
      <c r="AG1511">
        <v>22</v>
      </c>
      <c r="AH1511">
        <v>844</v>
      </c>
      <c r="AI1511">
        <v>945</v>
      </c>
      <c r="AJ1511">
        <v>0</v>
      </c>
      <c r="AK1511">
        <v>31</v>
      </c>
      <c r="AL1511" t="s">
        <v>122</v>
      </c>
      <c r="AM1511" t="s">
        <v>123</v>
      </c>
      <c r="AN1511" t="s">
        <v>124</v>
      </c>
      <c r="AO1511" t="s">
        <v>258</v>
      </c>
      <c r="AP1511" t="s">
        <v>259</v>
      </c>
      <c r="AQ1511" t="s">
        <v>74</v>
      </c>
      <c r="AR1511" t="s">
        <v>251</v>
      </c>
      <c r="AS1511" t="s">
        <v>260</v>
      </c>
      <c r="AT1511" t="s">
        <v>3460</v>
      </c>
      <c r="AU1511">
        <v>2005</v>
      </c>
      <c r="AV1511">
        <v>111</v>
      </c>
      <c r="AW1511">
        <v>23</v>
      </c>
      <c r="AX1511" t="s">
        <v>74</v>
      </c>
      <c r="AY1511" t="s">
        <v>74</v>
      </c>
      <c r="AZ1511" t="s">
        <v>74</v>
      </c>
      <c r="BA1511" t="s">
        <v>74</v>
      </c>
      <c r="BB1511">
        <v>3105</v>
      </c>
      <c r="BC1511">
        <v>3111</v>
      </c>
      <c r="BD1511" t="s">
        <v>74</v>
      </c>
      <c r="BE1511" t="s">
        <v>15986</v>
      </c>
      <c r="BF1511" t="str">
        <f>HYPERLINK("http://dx.doi.org/10.1161/CIRCULATIONAHA.104.488486","http://dx.doi.org/10.1161/CIRCULATIONAHA.104.488486")</f>
        <v>http://dx.doi.org/10.1161/CIRCULATIONAHA.104.488486</v>
      </c>
      <c r="BG1511" t="s">
        <v>74</v>
      </c>
      <c r="BH1511" t="s">
        <v>74</v>
      </c>
      <c r="BI1511">
        <v>7</v>
      </c>
      <c r="BJ1511" t="s">
        <v>263</v>
      </c>
      <c r="BK1511" t="s">
        <v>101</v>
      </c>
      <c r="BL1511" t="s">
        <v>133</v>
      </c>
      <c r="BM1511" t="s">
        <v>15985</v>
      </c>
      <c r="BN1511">
        <v>15939821</v>
      </c>
      <c r="BO1511" t="s">
        <v>1194</v>
      </c>
      <c r="BP1511" t="s">
        <v>74</v>
      </c>
      <c r="BQ1511" t="s">
        <v>74</v>
      </c>
      <c r="BR1511" t="s">
        <v>104</v>
      </c>
      <c r="BS1511" t="s">
        <v>15984</v>
      </c>
      <c r="BT1511" t="str">
        <f>HYPERLINK("https%3A%2F%2Fwww.webofscience.com%2Fwos%2Fwoscc%2Ffull-record%2FWOS:000229773500014","View Full Record in Web of Science")</f>
        <v>View Full Record in Web of Science</v>
      </c>
    </row>
    <row r="1512" spans="1:72" x14ac:dyDescent="0.25">
      <c r="A1512" t="s">
        <v>72</v>
      </c>
      <c r="B1512" t="s">
        <v>15983</v>
      </c>
      <c r="C1512" t="s">
        <v>74</v>
      </c>
      <c r="D1512" t="s">
        <v>74</v>
      </c>
      <c r="E1512" t="s">
        <v>74</v>
      </c>
      <c r="F1512" t="s">
        <v>15983</v>
      </c>
      <c r="G1512" t="s">
        <v>74</v>
      </c>
      <c r="H1512" t="s">
        <v>74</v>
      </c>
      <c r="I1512" t="s">
        <v>15982</v>
      </c>
      <c r="J1512" t="s">
        <v>15967</v>
      </c>
      <c r="K1512" t="s">
        <v>74</v>
      </c>
      <c r="L1512" t="s">
        <v>74</v>
      </c>
      <c r="M1512" t="s">
        <v>78</v>
      </c>
      <c r="N1512" t="s">
        <v>8016</v>
      </c>
      <c r="O1512" t="s">
        <v>15981</v>
      </c>
      <c r="P1512" t="s">
        <v>15980</v>
      </c>
      <c r="Q1512" t="s">
        <v>15979</v>
      </c>
      <c r="R1512" t="s">
        <v>15978</v>
      </c>
      <c r="S1512" t="s">
        <v>74</v>
      </c>
      <c r="T1512" t="s">
        <v>74</v>
      </c>
      <c r="U1512" t="s">
        <v>15977</v>
      </c>
      <c r="V1512" t="s">
        <v>15976</v>
      </c>
      <c r="W1512" t="s">
        <v>15975</v>
      </c>
      <c r="X1512" t="s">
        <v>15974</v>
      </c>
      <c r="Y1512" t="s">
        <v>15973</v>
      </c>
      <c r="Z1512" t="s">
        <v>15972</v>
      </c>
      <c r="AA1512" t="s">
        <v>15971</v>
      </c>
      <c r="AB1512" t="s">
        <v>15970</v>
      </c>
      <c r="AC1512" t="s">
        <v>74</v>
      </c>
      <c r="AD1512" t="s">
        <v>74</v>
      </c>
      <c r="AE1512" t="s">
        <v>74</v>
      </c>
      <c r="AF1512" t="s">
        <v>74</v>
      </c>
      <c r="AG1512">
        <v>34</v>
      </c>
      <c r="AH1512">
        <v>201</v>
      </c>
      <c r="AI1512">
        <v>217</v>
      </c>
      <c r="AJ1512">
        <v>0</v>
      </c>
      <c r="AK1512">
        <v>12</v>
      </c>
      <c r="AL1512" t="s">
        <v>122</v>
      </c>
      <c r="AM1512" t="s">
        <v>123</v>
      </c>
      <c r="AN1512" t="s">
        <v>124</v>
      </c>
      <c r="AO1512" t="s">
        <v>15969</v>
      </c>
      <c r="AP1512" t="s">
        <v>15968</v>
      </c>
      <c r="AQ1512" t="s">
        <v>74</v>
      </c>
      <c r="AR1512" t="s">
        <v>15967</v>
      </c>
      <c r="AS1512" t="s">
        <v>2920</v>
      </c>
      <c r="AT1512" t="s">
        <v>1060</v>
      </c>
      <c r="AU1512">
        <v>2005</v>
      </c>
      <c r="AV1512">
        <v>102</v>
      </c>
      <c r="AW1512">
        <v>6</v>
      </c>
      <c r="AX1512" t="s">
        <v>74</v>
      </c>
      <c r="AY1512" t="s">
        <v>74</v>
      </c>
      <c r="AZ1512" t="s">
        <v>74</v>
      </c>
      <c r="BA1512" t="s">
        <v>74</v>
      </c>
      <c r="BB1512">
        <v>1133</v>
      </c>
      <c r="BC1512">
        <v>1137</v>
      </c>
      <c r="BD1512" t="s">
        <v>74</v>
      </c>
      <c r="BE1512" t="s">
        <v>15966</v>
      </c>
      <c r="BF1512" t="str">
        <f>HYPERLINK("http://dx.doi.org/10.1097/00000542-200506000-00012","http://dx.doi.org/10.1097/00000542-200506000-00012")</f>
        <v>http://dx.doi.org/10.1097/00000542-200506000-00012</v>
      </c>
      <c r="BG1512" t="s">
        <v>74</v>
      </c>
      <c r="BH1512" t="s">
        <v>74</v>
      </c>
      <c r="BI1512">
        <v>5</v>
      </c>
      <c r="BJ1512" t="s">
        <v>2920</v>
      </c>
      <c r="BK1512" t="s">
        <v>512</v>
      </c>
      <c r="BL1512" t="s">
        <v>2920</v>
      </c>
      <c r="BM1512" t="s">
        <v>15965</v>
      </c>
      <c r="BN1512">
        <v>15915025</v>
      </c>
      <c r="BO1512" t="s">
        <v>1194</v>
      </c>
      <c r="BP1512" t="s">
        <v>74</v>
      </c>
      <c r="BQ1512" t="s">
        <v>74</v>
      </c>
      <c r="BR1512" t="s">
        <v>104</v>
      </c>
      <c r="BS1512" t="s">
        <v>15964</v>
      </c>
      <c r="BT1512" t="str">
        <f>HYPERLINK("https%3A%2F%2Fwww.webofscience.com%2Fwos%2Fwoscc%2Ffull-record%2FWOS:000229386900011","View Full Record in Web of Science")</f>
        <v>View Full Record in Web of Science</v>
      </c>
    </row>
    <row r="1513" spans="1:72" x14ac:dyDescent="0.25">
      <c r="A1513" t="s">
        <v>72</v>
      </c>
      <c r="B1513" t="s">
        <v>15963</v>
      </c>
      <c r="C1513" t="s">
        <v>74</v>
      </c>
      <c r="D1513" t="s">
        <v>74</v>
      </c>
      <c r="E1513" t="s">
        <v>74</v>
      </c>
      <c r="F1513" t="s">
        <v>15963</v>
      </c>
      <c r="G1513" t="s">
        <v>74</v>
      </c>
      <c r="H1513" t="s">
        <v>74</v>
      </c>
      <c r="I1513" t="s">
        <v>15962</v>
      </c>
      <c r="J1513" t="s">
        <v>216</v>
      </c>
      <c r="K1513" t="s">
        <v>74</v>
      </c>
      <c r="L1513" t="s">
        <v>74</v>
      </c>
      <c r="M1513" t="s">
        <v>78</v>
      </c>
      <c r="N1513" t="s">
        <v>79</v>
      </c>
      <c r="O1513" t="s">
        <v>74</v>
      </c>
      <c r="P1513" t="s">
        <v>74</v>
      </c>
      <c r="Q1513" t="s">
        <v>74</v>
      </c>
      <c r="R1513" t="s">
        <v>74</v>
      </c>
      <c r="S1513" t="s">
        <v>74</v>
      </c>
      <c r="T1513" t="s">
        <v>15961</v>
      </c>
      <c r="U1513" t="s">
        <v>15960</v>
      </c>
      <c r="V1513" t="s">
        <v>15959</v>
      </c>
      <c r="W1513" t="s">
        <v>15958</v>
      </c>
      <c r="X1513" t="s">
        <v>15957</v>
      </c>
      <c r="Y1513" t="s">
        <v>15956</v>
      </c>
      <c r="Z1513" t="s">
        <v>15955</v>
      </c>
      <c r="AA1513" t="s">
        <v>15954</v>
      </c>
      <c r="AB1513" t="s">
        <v>15953</v>
      </c>
      <c r="AC1513" t="s">
        <v>74</v>
      </c>
      <c r="AD1513" t="s">
        <v>74</v>
      </c>
      <c r="AE1513" t="s">
        <v>74</v>
      </c>
      <c r="AF1513" t="s">
        <v>74</v>
      </c>
      <c r="AG1513">
        <v>29</v>
      </c>
      <c r="AH1513">
        <v>115</v>
      </c>
      <c r="AI1513">
        <v>134</v>
      </c>
      <c r="AJ1513">
        <v>0</v>
      </c>
      <c r="AK1513">
        <v>9</v>
      </c>
      <c r="AL1513" t="s">
        <v>219</v>
      </c>
      <c r="AM1513" t="s">
        <v>220</v>
      </c>
      <c r="AN1513" t="s">
        <v>221</v>
      </c>
      <c r="AO1513" t="s">
        <v>222</v>
      </c>
      <c r="AP1513" t="s">
        <v>223</v>
      </c>
      <c r="AQ1513" t="s">
        <v>74</v>
      </c>
      <c r="AR1513" t="s">
        <v>224</v>
      </c>
      <c r="AS1513" t="s">
        <v>225</v>
      </c>
      <c r="AT1513" t="s">
        <v>2097</v>
      </c>
      <c r="AU1513">
        <v>2005</v>
      </c>
      <c r="AV1513">
        <v>25</v>
      </c>
      <c r="AW1513">
        <v>5</v>
      </c>
      <c r="AX1513" t="s">
        <v>74</v>
      </c>
      <c r="AY1513" t="s">
        <v>74</v>
      </c>
      <c r="AZ1513" t="s">
        <v>74</v>
      </c>
      <c r="BA1513" t="s">
        <v>74</v>
      </c>
      <c r="BB1513">
        <v>834</v>
      </c>
      <c r="BC1513">
        <v>842</v>
      </c>
      <c r="BD1513" t="s">
        <v>74</v>
      </c>
      <c r="BE1513" t="s">
        <v>15952</v>
      </c>
      <c r="BF1513" t="str">
        <f>HYPERLINK("http://dx.doi.org/10.1183/09031936.05.00072504","http://dx.doi.org/10.1183/09031936.05.00072504")</f>
        <v>http://dx.doi.org/10.1183/09031936.05.00072504</v>
      </c>
      <c r="BG1513" t="s">
        <v>74</v>
      </c>
      <c r="BH1513" t="s">
        <v>74</v>
      </c>
      <c r="BI1513">
        <v>9</v>
      </c>
      <c r="BJ1513" t="s">
        <v>228</v>
      </c>
      <c r="BK1513" t="s">
        <v>101</v>
      </c>
      <c r="BL1513" t="s">
        <v>228</v>
      </c>
      <c r="BM1513" t="s">
        <v>15951</v>
      </c>
      <c r="BN1513">
        <v>15863640</v>
      </c>
      <c r="BO1513" t="s">
        <v>1194</v>
      </c>
      <c r="BP1513" t="s">
        <v>74</v>
      </c>
      <c r="BQ1513" t="s">
        <v>74</v>
      </c>
      <c r="BR1513" t="s">
        <v>104</v>
      </c>
      <c r="BS1513" t="s">
        <v>15950</v>
      </c>
      <c r="BT1513" t="str">
        <f>HYPERLINK("https%3A%2F%2Fwww.webofscience.com%2Fwos%2Fwoscc%2Ffull-record%2FWOS:000228843600012","View Full Record in Web of Science")</f>
        <v>View Full Record in Web of Science</v>
      </c>
    </row>
    <row r="1514" spans="1:72" x14ac:dyDescent="0.25">
      <c r="A1514" t="s">
        <v>72</v>
      </c>
      <c r="B1514" t="s">
        <v>15949</v>
      </c>
      <c r="C1514" t="s">
        <v>74</v>
      </c>
      <c r="D1514" t="s">
        <v>74</v>
      </c>
      <c r="E1514" t="s">
        <v>74</v>
      </c>
      <c r="F1514" t="s">
        <v>15949</v>
      </c>
      <c r="G1514" t="s">
        <v>74</v>
      </c>
      <c r="H1514" t="s">
        <v>74</v>
      </c>
      <c r="I1514" t="s">
        <v>15948</v>
      </c>
      <c r="J1514" t="s">
        <v>5624</v>
      </c>
      <c r="K1514" t="s">
        <v>74</v>
      </c>
      <c r="L1514" t="s">
        <v>74</v>
      </c>
      <c r="M1514" t="s">
        <v>78</v>
      </c>
      <c r="N1514" t="s">
        <v>140</v>
      </c>
      <c r="O1514" t="s">
        <v>74</v>
      </c>
      <c r="P1514" t="s">
        <v>74</v>
      </c>
      <c r="Q1514" t="s">
        <v>74</v>
      </c>
      <c r="R1514" t="s">
        <v>74</v>
      </c>
      <c r="S1514" t="s">
        <v>74</v>
      </c>
      <c r="T1514" t="s">
        <v>74</v>
      </c>
      <c r="U1514" t="s">
        <v>4441</v>
      </c>
      <c r="V1514" t="s">
        <v>74</v>
      </c>
      <c r="W1514" t="s">
        <v>15947</v>
      </c>
      <c r="X1514" t="s">
        <v>15946</v>
      </c>
      <c r="Y1514" t="s">
        <v>14576</v>
      </c>
      <c r="Z1514" t="s">
        <v>74</v>
      </c>
      <c r="AA1514" t="s">
        <v>7246</v>
      </c>
      <c r="AB1514" t="s">
        <v>257</v>
      </c>
      <c r="AC1514" t="s">
        <v>74</v>
      </c>
      <c r="AD1514" t="s">
        <v>74</v>
      </c>
      <c r="AE1514" t="s">
        <v>74</v>
      </c>
      <c r="AF1514" t="s">
        <v>74</v>
      </c>
      <c r="AG1514">
        <v>9</v>
      </c>
      <c r="AH1514">
        <v>1</v>
      </c>
      <c r="AI1514">
        <v>1</v>
      </c>
      <c r="AJ1514">
        <v>0</v>
      </c>
      <c r="AK1514">
        <v>1</v>
      </c>
      <c r="AL1514" t="s">
        <v>15676</v>
      </c>
      <c r="AM1514" t="s">
        <v>14339</v>
      </c>
      <c r="AN1514" t="s">
        <v>14338</v>
      </c>
      <c r="AO1514" t="s">
        <v>5636</v>
      </c>
      <c r="AP1514" t="s">
        <v>74</v>
      </c>
      <c r="AQ1514" t="s">
        <v>74</v>
      </c>
      <c r="AR1514" t="s">
        <v>5624</v>
      </c>
      <c r="AS1514" t="s">
        <v>601</v>
      </c>
      <c r="AT1514" t="s">
        <v>997</v>
      </c>
      <c r="AU1514">
        <v>2005</v>
      </c>
      <c r="AV1514">
        <v>60</v>
      </c>
      <c r="AW1514">
        <v>4</v>
      </c>
      <c r="AX1514" t="s">
        <v>74</v>
      </c>
      <c r="AY1514" t="s">
        <v>74</v>
      </c>
      <c r="AZ1514" t="s">
        <v>74</v>
      </c>
      <c r="BA1514" t="s">
        <v>74</v>
      </c>
      <c r="BB1514">
        <v>419</v>
      </c>
      <c r="BC1514">
        <v>420</v>
      </c>
      <c r="BD1514" t="s">
        <v>74</v>
      </c>
      <c r="BE1514" t="s">
        <v>15945</v>
      </c>
      <c r="BF1514" t="str">
        <f>HYPERLINK("http://dx.doi.org/10.1111/j.1398-9995.2005.00817.x","http://dx.doi.org/10.1111/j.1398-9995.2005.00817.x")</f>
        <v>http://dx.doi.org/10.1111/j.1398-9995.2005.00817.x</v>
      </c>
      <c r="BG1514" t="s">
        <v>74</v>
      </c>
      <c r="BH1514" t="s">
        <v>74</v>
      </c>
      <c r="BI1514">
        <v>2</v>
      </c>
      <c r="BJ1514" t="s">
        <v>3085</v>
      </c>
      <c r="BK1514" t="s">
        <v>101</v>
      </c>
      <c r="BL1514" t="s">
        <v>3085</v>
      </c>
      <c r="BM1514" t="s">
        <v>15944</v>
      </c>
      <c r="BN1514">
        <v>15727571</v>
      </c>
      <c r="BO1514" t="s">
        <v>1194</v>
      </c>
      <c r="BP1514" t="s">
        <v>74</v>
      </c>
      <c r="BQ1514" t="s">
        <v>74</v>
      </c>
      <c r="BR1514" t="s">
        <v>104</v>
      </c>
      <c r="BS1514" t="s">
        <v>15943</v>
      </c>
      <c r="BT1514" t="str">
        <f>HYPERLINK("https%3A%2F%2Fwww.webofscience.com%2Fwos%2Fwoscc%2Ffull-record%2FWOS:000227195700001","View Full Record in Web of Science")</f>
        <v>View Full Record in Web of Science</v>
      </c>
    </row>
    <row r="1515" spans="1:72" x14ac:dyDescent="0.25">
      <c r="A1515" t="s">
        <v>72</v>
      </c>
      <c r="B1515" t="s">
        <v>15942</v>
      </c>
      <c r="C1515" t="s">
        <v>74</v>
      </c>
      <c r="D1515" t="s">
        <v>74</v>
      </c>
      <c r="E1515" t="s">
        <v>74</v>
      </c>
      <c r="F1515" t="s">
        <v>15942</v>
      </c>
      <c r="G1515" t="s">
        <v>74</v>
      </c>
      <c r="H1515" t="s">
        <v>74</v>
      </c>
      <c r="I1515" t="s">
        <v>15941</v>
      </c>
      <c r="J1515" t="s">
        <v>5624</v>
      </c>
      <c r="K1515" t="s">
        <v>74</v>
      </c>
      <c r="L1515" t="s">
        <v>74</v>
      </c>
      <c r="M1515" t="s">
        <v>78</v>
      </c>
      <c r="N1515" t="s">
        <v>140</v>
      </c>
      <c r="O1515" t="s">
        <v>74</v>
      </c>
      <c r="P1515" t="s">
        <v>74</v>
      </c>
      <c r="Q1515" t="s">
        <v>74</v>
      </c>
      <c r="R1515" t="s">
        <v>74</v>
      </c>
      <c r="S1515" t="s">
        <v>74</v>
      </c>
      <c r="T1515" t="s">
        <v>15940</v>
      </c>
      <c r="U1515" t="s">
        <v>15939</v>
      </c>
      <c r="V1515" t="s">
        <v>74</v>
      </c>
      <c r="W1515" t="s">
        <v>15938</v>
      </c>
      <c r="X1515" t="s">
        <v>14156</v>
      </c>
      <c r="Y1515" t="s">
        <v>15937</v>
      </c>
      <c r="Z1515" t="s">
        <v>15546</v>
      </c>
      <c r="AA1515" t="s">
        <v>144</v>
      </c>
      <c r="AB1515" t="s">
        <v>257</v>
      </c>
      <c r="AC1515" t="s">
        <v>74</v>
      </c>
      <c r="AD1515" t="s">
        <v>74</v>
      </c>
      <c r="AE1515" t="s">
        <v>74</v>
      </c>
      <c r="AF1515" t="s">
        <v>74</v>
      </c>
      <c r="AG1515">
        <v>6</v>
      </c>
      <c r="AH1515">
        <v>23</v>
      </c>
      <c r="AI1515">
        <v>24</v>
      </c>
      <c r="AJ1515">
        <v>0</v>
      </c>
      <c r="AK1515">
        <v>1</v>
      </c>
      <c r="AL1515" t="s">
        <v>15676</v>
      </c>
      <c r="AM1515" t="s">
        <v>14339</v>
      </c>
      <c r="AN1515" t="s">
        <v>14338</v>
      </c>
      <c r="AO1515" t="s">
        <v>5636</v>
      </c>
      <c r="AP1515" t="s">
        <v>74</v>
      </c>
      <c r="AQ1515" t="s">
        <v>74</v>
      </c>
      <c r="AR1515" t="s">
        <v>5624</v>
      </c>
      <c r="AS1515" t="s">
        <v>601</v>
      </c>
      <c r="AT1515" t="s">
        <v>98</v>
      </c>
      <c r="AU1515">
        <v>2005</v>
      </c>
      <c r="AV1515">
        <v>60</v>
      </c>
      <c r="AW1515">
        <v>3</v>
      </c>
      <c r="AX1515" t="s">
        <v>74</v>
      </c>
      <c r="AY1515" t="s">
        <v>74</v>
      </c>
      <c r="AZ1515" t="s">
        <v>74</v>
      </c>
      <c r="BA1515" t="s">
        <v>74</v>
      </c>
      <c r="BB1515">
        <v>409</v>
      </c>
      <c r="BC1515">
        <v>410</v>
      </c>
      <c r="BD1515" t="s">
        <v>74</v>
      </c>
      <c r="BE1515" t="s">
        <v>15936</v>
      </c>
      <c r="BF1515" t="str">
        <f>HYPERLINK("http://dx.doi.org/10.1111/j.1398-9995.2004.00691.x","http://dx.doi.org/10.1111/j.1398-9995.2004.00691.x")</f>
        <v>http://dx.doi.org/10.1111/j.1398-9995.2004.00691.x</v>
      </c>
      <c r="BG1515" t="s">
        <v>74</v>
      </c>
      <c r="BH1515" t="s">
        <v>74</v>
      </c>
      <c r="BI1515">
        <v>3</v>
      </c>
      <c r="BJ1515" t="s">
        <v>3085</v>
      </c>
      <c r="BK1515" t="s">
        <v>101</v>
      </c>
      <c r="BL1515" t="s">
        <v>3085</v>
      </c>
      <c r="BM1515" t="s">
        <v>15907</v>
      </c>
      <c r="BN1515">
        <v>15679733</v>
      </c>
      <c r="BO1515" t="s">
        <v>74</v>
      </c>
      <c r="BP1515" t="s">
        <v>74</v>
      </c>
      <c r="BQ1515" t="s">
        <v>74</v>
      </c>
      <c r="BR1515" t="s">
        <v>104</v>
      </c>
      <c r="BS1515" t="s">
        <v>15935</v>
      </c>
      <c r="BT1515" t="str">
        <f>HYPERLINK("https%3A%2F%2Fwww.webofscience.com%2Fwos%2Fwoscc%2Ffull-record%2FWOS:000226639200024","View Full Record in Web of Science")</f>
        <v>View Full Record in Web of Science</v>
      </c>
    </row>
    <row r="1516" spans="1:72" x14ac:dyDescent="0.25">
      <c r="A1516" t="s">
        <v>72</v>
      </c>
      <c r="B1516" t="s">
        <v>15934</v>
      </c>
      <c r="C1516" t="s">
        <v>74</v>
      </c>
      <c r="D1516" t="s">
        <v>74</v>
      </c>
      <c r="E1516" t="s">
        <v>74</v>
      </c>
      <c r="F1516" t="s">
        <v>15934</v>
      </c>
      <c r="G1516" t="s">
        <v>74</v>
      </c>
      <c r="H1516" t="s">
        <v>74</v>
      </c>
      <c r="I1516" t="s">
        <v>15933</v>
      </c>
      <c r="J1516" t="s">
        <v>15932</v>
      </c>
      <c r="K1516" t="s">
        <v>74</v>
      </c>
      <c r="L1516" t="s">
        <v>74</v>
      </c>
      <c r="M1516" t="s">
        <v>78</v>
      </c>
      <c r="N1516" t="s">
        <v>299</v>
      </c>
      <c r="O1516" t="s">
        <v>74</v>
      </c>
      <c r="P1516" t="s">
        <v>74</v>
      </c>
      <c r="Q1516" t="s">
        <v>74</v>
      </c>
      <c r="R1516" t="s">
        <v>74</v>
      </c>
      <c r="S1516" t="s">
        <v>74</v>
      </c>
      <c r="T1516" t="s">
        <v>74</v>
      </c>
      <c r="U1516" t="s">
        <v>15931</v>
      </c>
      <c r="V1516" t="s">
        <v>15930</v>
      </c>
      <c r="W1516" t="s">
        <v>14506</v>
      </c>
      <c r="X1516" t="s">
        <v>14156</v>
      </c>
      <c r="Y1516" t="s">
        <v>15390</v>
      </c>
      <c r="Z1516" t="s">
        <v>10573</v>
      </c>
      <c r="AA1516" t="s">
        <v>15929</v>
      </c>
      <c r="AB1516" t="s">
        <v>15928</v>
      </c>
      <c r="AC1516" t="s">
        <v>74</v>
      </c>
      <c r="AD1516" t="s">
        <v>74</v>
      </c>
      <c r="AE1516" t="s">
        <v>74</v>
      </c>
      <c r="AF1516" t="s">
        <v>74</v>
      </c>
      <c r="AG1516">
        <v>43</v>
      </c>
      <c r="AH1516">
        <v>57</v>
      </c>
      <c r="AI1516">
        <v>82</v>
      </c>
      <c r="AJ1516">
        <v>1</v>
      </c>
      <c r="AK1516">
        <v>7</v>
      </c>
      <c r="AL1516" t="s">
        <v>15927</v>
      </c>
      <c r="AM1516" t="s">
        <v>123</v>
      </c>
      <c r="AN1516" t="s">
        <v>15926</v>
      </c>
      <c r="AO1516" t="s">
        <v>15925</v>
      </c>
      <c r="AP1516" t="s">
        <v>15924</v>
      </c>
      <c r="AQ1516" t="s">
        <v>74</v>
      </c>
      <c r="AR1516" t="s">
        <v>15923</v>
      </c>
      <c r="AS1516" t="s">
        <v>15922</v>
      </c>
      <c r="AT1516" t="s">
        <v>98</v>
      </c>
      <c r="AU1516">
        <v>2005</v>
      </c>
      <c r="AV1516">
        <v>5</v>
      </c>
      <c r="AW1516">
        <v>2</v>
      </c>
      <c r="AX1516" t="s">
        <v>74</v>
      </c>
      <c r="AY1516" t="s">
        <v>74</v>
      </c>
      <c r="AZ1516" t="s">
        <v>74</v>
      </c>
      <c r="BA1516" t="s">
        <v>74</v>
      </c>
      <c r="BB1516">
        <v>155</v>
      </c>
      <c r="BC1516">
        <v>160</v>
      </c>
      <c r="BD1516" t="s">
        <v>74</v>
      </c>
      <c r="BE1516" t="s">
        <v>15921</v>
      </c>
      <c r="BF1516" t="str">
        <f>HYPERLINK("http://dx.doi.org/10.1007/s11882-005-0090-0","http://dx.doi.org/10.1007/s11882-005-0090-0")</f>
        <v>http://dx.doi.org/10.1007/s11882-005-0090-0</v>
      </c>
      <c r="BG1516" t="s">
        <v>74</v>
      </c>
      <c r="BH1516" t="s">
        <v>74</v>
      </c>
      <c r="BI1516">
        <v>6</v>
      </c>
      <c r="BJ1516" t="s">
        <v>3085</v>
      </c>
      <c r="BK1516" t="s">
        <v>101</v>
      </c>
      <c r="BL1516" t="s">
        <v>3085</v>
      </c>
      <c r="BM1516" t="s">
        <v>15920</v>
      </c>
      <c r="BN1516">
        <v>15683617</v>
      </c>
      <c r="BO1516" t="s">
        <v>74</v>
      </c>
      <c r="BP1516" t="s">
        <v>74</v>
      </c>
      <c r="BQ1516" t="s">
        <v>74</v>
      </c>
      <c r="BR1516" t="s">
        <v>104</v>
      </c>
      <c r="BS1516" t="s">
        <v>15919</v>
      </c>
      <c r="BT1516" t="str">
        <f>HYPERLINK("https%3A%2F%2Fwww.webofscience.com%2Fwos%2Fwoscc%2Ffull-record%2FWOS:000230809400010","View Full Record in Web of Science")</f>
        <v>View Full Record in Web of Science</v>
      </c>
    </row>
    <row r="1517" spans="1:72" x14ac:dyDescent="0.25">
      <c r="A1517" t="s">
        <v>72</v>
      </c>
      <c r="B1517" t="s">
        <v>15918</v>
      </c>
      <c r="C1517" t="s">
        <v>74</v>
      </c>
      <c r="D1517" t="s">
        <v>74</v>
      </c>
      <c r="E1517" t="s">
        <v>74</v>
      </c>
      <c r="F1517" t="s">
        <v>15918</v>
      </c>
      <c r="G1517" t="s">
        <v>74</v>
      </c>
      <c r="H1517" t="s">
        <v>74</v>
      </c>
      <c r="I1517" t="s">
        <v>15917</v>
      </c>
      <c r="J1517" t="s">
        <v>5624</v>
      </c>
      <c r="K1517" t="s">
        <v>74</v>
      </c>
      <c r="L1517" t="s">
        <v>74</v>
      </c>
      <c r="M1517" t="s">
        <v>78</v>
      </c>
      <c r="N1517" t="s">
        <v>79</v>
      </c>
      <c r="O1517" t="s">
        <v>74</v>
      </c>
      <c r="P1517" t="s">
        <v>74</v>
      </c>
      <c r="Q1517" t="s">
        <v>74</v>
      </c>
      <c r="R1517" t="s">
        <v>74</v>
      </c>
      <c r="S1517" t="s">
        <v>74</v>
      </c>
      <c r="T1517" t="s">
        <v>15916</v>
      </c>
      <c r="U1517" t="s">
        <v>15915</v>
      </c>
      <c r="V1517" t="s">
        <v>15914</v>
      </c>
      <c r="W1517" t="s">
        <v>15913</v>
      </c>
      <c r="X1517" t="s">
        <v>15912</v>
      </c>
      <c r="Y1517" t="s">
        <v>15911</v>
      </c>
      <c r="Z1517" t="s">
        <v>74</v>
      </c>
      <c r="AA1517" t="s">
        <v>15910</v>
      </c>
      <c r="AB1517" t="s">
        <v>15909</v>
      </c>
      <c r="AC1517" t="s">
        <v>74</v>
      </c>
      <c r="AD1517" t="s">
        <v>74</v>
      </c>
      <c r="AE1517" t="s">
        <v>74</v>
      </c>
      <c r="AF1517" t="s">
        <v>74</v>
      </c>
      <c r="AG1517">
        <v>33</v>
      </c>
      <c r="AH1517">
        <v>875</v>
      </c>
      <c r="AI1517">
        <v>928</v>
      </c>
      <c r="AJ1517">
        <v>2</v>
      </c>
      <c r="AK1517">
        <v>27</v>
      </c>
      <c r="AL1517" t="s">
        <v>15676</v>
      </c>
      <c r="AM1517" t="s">
        <v>14339</v>
      </c>
      <c r="AN1517" t="s">
        <v>14338</v>
      </c>
      <c r="AO1517" t="s">
        <v>5636</v>
      </c>
      <c r="AP1517" t="s">
        <v>74</v>
      </c>
      <c r="AQ1517" t="s">
        <v>74</v>
      </c>
      <c r="AR1517" t="s">
        <v>5624</v>
      </c>
      <c r="AS1517" t="s">
        <v>601</v>
      </c>
      <c r="AT1517" t="s">
        <v>98</v>
      </c>
      <c r="AU1517">
        <v>2005</v>
      </c>
      <c r="AV1517">
        <v>60</v>
      </c>
      <c r="AW1517">
        <v>3</v>
      </c>
      <c r="AX1517" t="s">
        <v>74</v>
      </c>
      <c r="AY1517" t="s">
        <v>74</v>
      </c>
      <c r="AZ1517" t="s">
        <v>74</v>
      </c>
      <c r="BA1517" t="s">
        <v>74</v>
      </c>
      <c r="BB1517">
        <v>309</v>
      </c>
      <c r="BC1517">
        <v>316</v>
      </c>
      <c r="BD1517" t="s">
        <v>74</v>
      </c>
      <c r="BE1517" t="s">
        <v>15908</v>
      </c>
      <c r="BF1517" t="str">
        <f>HYPERLINK("http://dx.doi.org/10.1111/j.1398-9995.2004.00772.x","http://dx.doi.org/10.1111/j.1398-9995.2004.00772.x")</f>
        <v>http://dx.doi.org/10.1111/j.1398-9995.2004.00772.x</v>
      </c>
      <c r="BG1517" t="s">
        <v>74</v>
      </c>
      <c r="BH1517" t="s">
        <v>74</v>
      </c>
      <c r="BI1517">
        <v>8</v>
      </c>
      <c r="BJ1517" t="s">
        <v>3085</v>
      </c>
      <c r="BK1517" t="s">
        <v>101</v>
      </c>
      <c r="BL1517" t="s">
        <v>3085</v>
      </c>
      <c r="BM1517" t="s">
        <v>15907</v>
      </c>
      <c r="BN1517">
        <v>15679715</v>
      </c>
      <c r="BO1517" t="s">
        <v>74</v>
      </c>
      <c r="BP1517" t="s">
        <v>74</v>
      </c>
      <c r="BQ1517" t="s">
        <v>74</v>
      </c>
      <c r="BR1517" t="s">
        <v>104</v>
      </c>
      <c r="BS1517" t="s">
        <v>15906</v>
      </c>
      <c r="BT1517" t="str">
        <f>HYPERLINK("https%3A%2F%2Fwww.webofscience.com%2Fwos%2Fwoscc%2Ffull-record%2FWOS:000226639200006","View Full Record in Web of Science")</f>
        <v>View Full Record in Web of Science</v>
      </c>
    </row>
    <row r="1518" spans="1:72" x14ac:dyDescent="0.25">
      <c r="A1518" t="s">
        <v>72</v>
      </c>
      <c r="B1518" t="s">
        <v>15905</v>
      </c>
      <c r="C1518" t="s">
        <v>74</v>
      </c>
      <c r="D1518" t="s">
        <v>74</v>
      </c>
      <c r="E1518" t="s">
        <v>74</v>
      </c>
      <c r="F1518" t="s">
        <v>15905</v>
      </c>
      <c r="G1518" t="s">
        <v>74</v>
      </c>
      <c r="H1518" t="s">
        <v>74</v>
      </c>
      <c r="I1518" t="s">
        <v>15904</v>
      </c>
      <c r="J1518" t="s">
        <v>216</v>
      </c>
      <c r="K1518" t="s">
        <v>74</v>
      </c>
      <c r="L1518" t="s">
        <v>74</v>
      </c>
      <c r="M1518" t="s">
        <v>78</v>
      </c>
      <c r="N1518" t="s">
        <v>79</v>
      </c>
      <c r="O1518" t="s">
        <v>74</v>
      </c>
      <c r="P1518" t="s">
        <v>74</v>
      </c>
      <c r="Q1518" t="s">
        <v>74</v>
      </c>
      <c r="R1518" t="s">
        <v>74</v>
      </c>
      <c r="S1518" t="s">
        <v>74</v>
      </c>
      <c r="T1518" t="s">
        <v>15903</v>
      </c>
      <c r="U1518" t="s">
        <v>15902</v>
      </c>
      <c r="V1518" t="s">
        <v>15901</v>
      </c>
      <c r="W1518" t="s">
        <v>15900</v>
      </c>
      <c r="X1518" t="s">
        <v>15899</v>
      </c>
      <c r="Y1518" t="s">
        <v>15898</v>
      </c>
      <c r="Z1518" t="s">
        <v>15897</v>
      </c>
      <c r="AA1518" t="s">
        <v>15896</v>
      </c>
      <c r="AB1518" t="s">
        <v>15895</v>
      </c>
      <c r="AC1518" t="s">
        <v>74</v>
      </c>
      <c r="AD1518" t="s">
        <v>74</v>
      </c>
      <c r="AE1518" t="s">
        <v>74</v>
      </c>
      <c r="AF1518" t="s">
        <v>74</v>
      </c>
      <c r="AG1518">
        <v>19</v>
      </c>
      <c r="AH1518">
        <v>46</v>
      </c>
      <c r="AI1518">
        <v>51</v>
      </c>
      <c r="AJ1518">
        <v>0</v>
      </c>
      <c r="AK1518">
        <v>2</v>
      </c>
      <c r="AL1518" t="s">
        <v>219</v>
      </c>
      <c r="AM1518" t="s">
        <v>220</v>
      </c>
      <c r="AN1518" t="s">
        <v>221</v>
      </c>
      <c r="AO1518" t="s">
        <v>222</v>
      </c>
      <c r="AP1518" t="s">
        <v>223</v>
      </c>
      <c r="AQ1518" t="s">
        <v>74</v>
      </c>
      <c r="AR1518" t="s">
        <v>224</v>
      </c>
      <c r="AS1518" t="s">
        <v>225</v>
      </c>
      <c r="AT1518" t="s">
        <v>98</v>
      </c>
      <c r="AU1518">
        <v>2005</v>
      </c>
      <c r="AV1518">
        <v>25</v>
      </c>
      <c r="AW1518">
        <v>3</v>
      </c>
      <c r="AX1518" t="s">
        <v>74</v>
      </c>
      <c r="AY1518" t="s">
        <v>74</v>
      </c>
      <c r="AZ1518" t="s">
        <v>74</v>
      </c>
      <c r="BA1518" t="s">
        <v>74</v>
      </c>
      <c r="BB1518">
        <v>509</v>
      </c>
      <c r="BC1518">
        <v>513</v>
      </c>
      <c r="BD1518" t="s">
        <v>74</v>
      </c>
      <c r="BE1518" t="s">
        <v>15894</v>
      </c>
      <c r="BF1518" t="str">
        <f>HYPERLINK("http://dx.doi.org/10.1183/09031936.05.00100504","http://dx.doi.org/10.1183/09031936.05.00100504")</f>
        <v>http://dx.doi.org/10.1183/09031936.05.00100504</v>
      </c>
      <c r="BG1518" t="s">
        <v>74</v>
      </c>
      <c r="BH1518" t="s">
        <v>74</v>
      </c>
      <c r="BI1518">
        <v>5</v>
      </c>
      <c r="BJ1518" t="s">
        <v>228</v>
      </c>
      <c r="BK1518" t="s">
        <v>101</v>
      </c>
      <c r="BL1518" t="s">
        <v>228</v>
      </c>
      <c r="BM1518" t="s">
        <v>15893</v>
      </c>
      <c r="BN1518">
        <v>15738296</v>
      </c>
      <c r="BO1518" t="s">
        <v>74</v>
      </c>
      <c r="BP1518" t="s">
        <v>74</v>
      </c>
      <c r="BQ1518" t="s">
        <v>74</v>
      </c>
      <c r="BR1518" t="s">
        <v>104</v>
      </c>
      <c r="BS1518" t="s">
        <v>15892</v>
      </c>
      <c r="BT1518" t="str">
        <f>HYPERLINK("https%3A%2F%2Fwww.webofscience.com%2Fwos%2Fwoscc%2Ffull-record%2FWOS:000227517300019","View Full Record in Web of Science")</f>
        <v>View Full Record in Web of Science</v>
      </c>
    </row>
    <row r="1519" spans="1:72" x14ac:dyDescent="0.25">
      <c r="A1519" t="s">
        <v>72</v>
      </c>
      <c r="B1519" t="s">
        <v>15891</v>
      </c>
      <c r="C1519" t="s">
        <v>74</v>
      </c>
      <c r="D1519" t="s">
        <v>74</v>
      </c>
      <c r="E1519" t="s">
        <v>74</v>
      </c>
      <c r="F1519" t="s">
        <v>15891</v>
      </c>
      <c r="G1519" t="s">
        <v>74</v>
      </c>
      <c r="H1519" t="s">
        <v>74</v>
      </c>
      <c r="I1519" t="s">
        <v>15890</v>
      </c>
      <c r="J1519" t="s">
        <v>1529</v>
      </c>
      <c r="K1519" t="s">
        <v>74</v>
      </c>
      <c r="L1519" t="s">
        <v>74</v>
      </c>
      <c r="M1519" t="s">
        <v>1349</v>
      </c>
      <c r="N1519" t="s">
        <v>79</v>
      </c>
      <c r="O1519" t="s">
        <v>74</v>
      </c>
      <c r="P1519" t="s">
        <v>74</v>
      </c>
      <c r="Q1519" t="s">
        <v>74</v>
      </c>
      <c r="R1519" t="s">
        <v>74</v>
      </c>
      <c r="S1519" t="s">
        <v>74</v>
      </c>
      <c r="T1519" t="s">
        <v>74</v>
      </c>
      <c r="U1519" t="s">
        <v>15889</v>
      </c>
      <c r="V1519" t="s">
        <v>15888</v>
      </c>
      <c r="W1519" t="s">
        <v>15887</v>
      </c>
      <c r="X1519" t="s">
        <v>14516</v>
      </c>
      <c r="Y1519" t="s">
        <v>15171</v>
      </c>
      <c r="Z1519" t="s">
        <v>15886</v>
      </c>
      <c r="AA1519" t="s">
        <v>15885</v>
      </c>
      <c r="AB1519" t="s">
        <v>15884</v>
      </c>
      <c r="AC1519" t="s">
        <v>74</v>
      </c>
      <c r="AD1519" t="s">
        <v>74</v>
      </c>
      <c r="AE1519" t="s">
        <v>74</v>
      </c>
      <c r="AF1519" t="s">
        <v>74</v>
      </c>
      <c r="AG1519">
        <v>61</v>
      </c>
      <c r="AH1519">
        <v>4</v>
      </c>
      <c r="AI1519">
        <v>4</v>
      </c>
      <c r="AJ1519">
        <v>0</v>
      </c>
      <c r="AK1519">
        <v>3</v>
      </c>
      <c r="AL1519" t="s">
        <v>1358</v>
      </c>
      <c r="AM1519" t="s">
        <v>1359</v>
      </c>
      <c r="AN1519" t="s">
        <v>1360</v>
      </c>
      <c r="AO1519" t="s">
        <v>1533</v>
      </c>
      <c r="AP1519" t="s">
        <v>1534</v>
      </c>
      <c r="AQ1519" t="s">
        <v>74</v>
      </c>
      <c r="AR1519" t="s">
        <v>1535</v>
      </c>
      <c r="AS1519" t="s">
        <v>1536</v>
      </c>
      <c r="AT1519" t="s">
        <v>7922</v>
      </c>
      <c r="AU1519">
        <v>2005</v>
      </c>
      <c r="AV1519">
        <v>34</v>
      </c>
      <c r="AW1519">
        <v>3</v>
      </c>
      <c r="AX1519" t="s">
        <v>74</v>
      </c>
      <c r="AY1519" t="s">
        <v>74</v>
      </c>
      <c r="AZ1519" t="s">
        <v>74</v>
      </c>
      <c r="BA1519" t="s">
        <v>74</v>
      </c>
      <c r="BB1519">
        <v>232</v>
      </c>
      <c r="BC1519">
        <v>242</v>
      </c>
      <c r="BD1519" t="s">
        <v>74</v>
      </c>
      <c r="BE1519" t="s">
        <v>15883</v>
      </c>
      <c r="BF1519" t="str">
        <f>HYPERLINK("http://dx.doi.org/10.1016/S0755-4982(05)88256-9","http://dx.doi.org/10.1016/S0755-4982(05)88256-9")</f>
        <v>http://dx.doi.org/10.1016/S0755-4982(05)88256-9</v>
      </c>
      <c r="BG1519" t="s">
        <v>74</v>
      </c>
      <c r="BH1519" t="s">
        <v>74</v>
      </c>
      <c r="BI1519">
        <v>11</v>
      </c>
      <c r="BJ1519" t="s">
        <v>1152</v>
      </c>
      <c r="BK1519" t="s">
        <v>101</v>
      </c>
      <c r="BL1519" t="s">
        <v>1153</v>
      </c>
      <c r="BM1519" t="s">
        <v>15882</v>
      </c>
      <c r="BN1519">
        <v>15798538</v>
      </c>
      <c r="BO1519" t="s">
        <v>74</v>
      </c>
      <c r="BP1519" t="s">
        <v>74</v>
      </c>
      <c r="BQ1519" t="s">
        <v>74</v>
      </c>
      <c r="BR1519" t="s">
        <v>104</v>
      </c>
      <c r="BS1519" t="s">
        <v>15881</v>
      </c>
      <c r="BT1519" t="str">
        <f>HYPERLINK("https%3A%2F%2Fwww.webofscience.com%2Fwos%2Fwoscc%2Ffull-record%2FWOS:000227204700011","View Full Record in Web of Science")</f>
        <v>View Full Record in Web of Science</v>
      </c>
    </row>
    <row r="1520" spans="1:72" x14ac:dyDescent="0.25">
      <c r="A1520" t="s">
        <v>72</v>
      </c>
      <c r="B1520" t="s">
        <v>1420</v>
      </c>
      <c r="C1520" t="s">
        <v>74</v>
      </c>
      <c r="D1520" t="s">
        <v>74</v>
      </c>
      <c r="E1520" t="s">
        <v>74</v>
      </c>
      <c r="F1520" t="s">
        <v>1420</v>
      </c>
      <c r="G1520" t="s">
        <v>74</v>
      </c>
      <c r="H1520" t="s">
        <v>74</v>
      </c>
      <c r="I1520" t="s">
        <v>15880</v>
      </c>
      <c r="J1520" t="s">
        <v>216</v>
      </c>
      <c r="K1520" t="s">
        <v>74</v>
      </c>
      <c r="L1520" t="s">
        <v>74</v>
      </c>
      <c r="M1520" t="s">
        <v>78</v>
      </c>
      <c r="N1520" t="s">
        <v>140</v>
      </c>
      <c r="O1520" t="s">
        <v>74</v>
      </c>
      <c r="P1520" t="s">
        <v>74</v>
      </c>
      <c r="Q1520" t="s">
        <v>74</v>
      </c>
      <c r="R1520" t="s">
        <v>74</v>
      </c>
      <c r="S1520" t="s">
        <v>74</v>
      </c>
      <c r="T1520" t="s">
        <v>74</v>
      </c>
      <c r="U1520" t="s">
        <v>15879</v>
      </c>
      <c r="V1520" t="s">
        <v>74</v>
      </c>
      <c r="W1520" t="s">
        <v>15878</v>
      </c>
      <c r="X1520" t="s">
        <v>14156</v>
      </c>
      <c r="Y1520" t="s">
        <v>15469</v>
      </c>
      <c r="Z1520" t="s">
        <v>10573</v>
      </c>
      <c r="AA1520" t="s">
        <v>144</v>
      </c>
      <c r="AB1520" t="s">
        <v>257</v>
      </c>
      <c r="AC1520" t="s">
        <v>74</v>
      </c>
      <c r="AD1520" t="s">
        <v>74</v>
      </c>
      <c r="AE1520" t="s">
        <v>74</v>
      </c>
      <c r="AF1520" t="s">
        <v>74</v>
      </c>
      <c r="AG1520">
        <v>24</v>
      </c>
      <c r="AH1520">
        <v>7</v>
      </c>
      <c r="AI1520">
        <v>8</v>
      </c>
      <c r="AJ1520">
        <v>0</v>
      </c>
      <c r="AK1520">
        <v>2</v>
      </c>
      <c r="AL1520" t="s">
        <v>219</v>
      </c>
      <c r="AM1520" t="s">
        <v>220</v>
      </c>
      <c r="AN1520" t="s">
        <v>221</v>
      </c>
      <c r="AO1520" t="s">
        <v>222</v>
      </c>
      <c r="AP1520" t="s">
        <v>223</v>
      </c>
      <c r="AQ1520" t="s">
        <v>74</v>
      </c>
      <c r="AR1520" t="s">
        <v>224</v>
      </c>
      <c r="AS1520" t="s">
        <v>225</v>
      </c>
      <c r="AT1520" t="s">
        <v>129</v>
      </c>
      <c r="AU1520">
        <v>2005</v>
      </c>
      <c r="AV1520">
        <v>25</v>
      </c>
      <c r="AW1520">
        <v>2</v>
      </c>
      <c r="AX1520" t="s">
        <v>74</v>
      </c>
      <c r="AY1520" t="s">
        <v>74</v>
      </c>
      <c r="AZ1520" t="s">
        <v>74</v>
      </c>
      <c r="BA1520" t="s">
        <v>74</v>
      </c>
      <c r="BB1520">
        <v>218</v>
      </c>
      <c r="BC1520">
        <v>220</v>
      </c>
      <c r="BD1520" t="s">
        <v>74</v>
      </c>
      <c r="BE1520" t="s">
        <v>15877</v>
      </c>
      <c r="BF1520" t="str">
        <f>HYPERLINK("http://dx.doi.org/10.1183/09031936.05.00129604","http://dx.doi.org/10.1183/09031936.05.00129604")</f>
        <v>http://dx.doi.org/10.1183/09031936.05.00129604</v>
      </c>
      <c r="BG1520" t="s">
        <v>74</v>
      </c>
      <c r="BH1520" t="s">
        <v>74</v>
      </c>
      <c r="BI1520">
        <v>3</v>
      </c>
      <c r="BJ1520" t="s">
        <v>228</v>
      </c>
      <c r="BK1520" t="s">
        <v>101</v>
      </c>
      <c r="BL1520" t="s">
        <v>228</v>
      </c>
      <c r="BM1520" t="s">
        <v>15876</v>
      </c>
      <c r="BN1520">
        <v>15684283</v>
      </c>
      <c r="BO1520" t="s">
        <v>1194</v>
      </c>
      <c r="BP1520" t="s">
        <v>74</v>
      </c>
      <c r="BQ1520" t="s">
        <v>74</v>
      </c>
      <c r="BR1520" t="s">
        <v>104</v>
      </c>
      <c r="BS1520" t="s">
        <v>15875</v>
      </c>
      <c r="BT1520" t="str">
        <f>HYPERLINK("https%3A%2F%2Fwww.webofscience.com%2Fwos%2Fwoscc%2Ffull-record%2FWOS:000226714800003","View Full Record in Web of Science")</f>
        <v>View Full Record in Web of Science</v>
      </c>
    </row>
    <row r="1521" spans="1:72" x14ac:dyDescent="0.25">
      <c r="A1521" t="s">
        <v>72</v>
      </c>
      <c r="B1521" t="s">
        <v>15473</v>
      </c>
      <c r="C1521" t="s">
        <v>74</v>
      </c>
      <c r="D1521" t="s">
        <v>74</v>
      </c>
      <c r="E1521" t="s">
        <v>74</v>
      </c>
      <c r="F1521" t="s">
        <v>15473</v>
      </c>
      <c r="G1521" t="s">
        <v>74</v>
      </c>
      <c r="H1521" t="s">
        <v>74</v>
      </c>
      <c r="I1521" t="s">
        <v>15874</v>
      </c>
      <c r="J1521" t="s">
        <v>2276</v>
      </c>
      <c r="K1521" t="s">
        <v>74</v>
      </c>
      <c r="L1521" t="s">
        <v>74</v>
      </c>
      <c r="M1521" t="s">
        <v>78</v>
      </c>
      <c r="N1521" t="s">
        <v>460</v>
      </c>
      <c r="O1521" t="s">
        <v>74</v>
      </c>
      <c r="P1521" t="s">
        <v>74</v>
      </c>
      <c r="Q1521" t="s">
        <v>74</v>
      </c>
      <c r="R1521" t="s">
        <v>74</v>
      </c>
      <c r="S1521" t="s">
        <v>74</v>
      </c>
      <c r="T1521" t="s">
        <v>74</v>
      </c>
      <c r="U1521" t="s">
        <v>967</v>
      </c>
      <c r="V1521" t="s">
        <v>74</v>
      </c>
      <c r="W1521" t="s">
        <v>15873</v>
      </c>
      <c r="X1521" t="s">
        <v>14156</v>
      </c>
      <c r="Y1521" t="s">
        <v>15872</v>
      </c>
      <c r="Z1521" t="s">
        <v>10573</v>
      </c>
      <c r="AA1521" t="s">
        <v>14869</v>
      </c>
      <c r="AB1521" t="s">
        <v>74</v>
      </c>
      <c r="AC1521" t="s">
        <v>74</v>
      </c>
      <c r="AD1521" t="s">
        <v>74</v>
      </c>
      <c r="AE1521" t="s">
        <v>74</v>
      </c>
      <c r="AF1521" t="s">
        <v>74</v>
      </c>
      <c r="AG1521">
        <v>5</v>
      </c>
      <c r="AH1521">
        <v>3</v>
      </c>
      <c r="AI1521">
        <v>3</v>
      </c>
      <c r="AJ1521">
        <v>0</v>
      </c>
      <c r="AK1521">
        <v>1</v>
      </c>
      <c r="AL1521" t="s">
        <v>2284</v>
      </c>
      <c r="AM1521" t="s">
        <v>2285</v>
      </c>
      <c r="AN1521" t="s">
        <v>2286</v>
      </c>
      <c r="AO1521" t="s">
        <v>2287</v>
      </c>
      <c r="AP1521" t="s">
        <v>2288</v>
      </c>
      <c r="AQ1521" t="s">
        <v>74</v>
      </c>
      <c r="AR1521" t="s">
        <v>2289</v>
      </c>
      <c r="AS1521" t="s">
        <v>2290</v>
      </c>
      <c r="AT1521" t="s">
        <v>1149</v>
      </c>
      <c r="AU1521">
        <v>2005</v>
      </c>
      <c r="AV1521">
        <v>352</v>
      </c>
      <c r="AW1521">
        <v>3</v>
      </c>
      <c r="AX1521" t="s">
        <v>74</v>
      </c>
      <c r="AY1521" t="s">
        <v>74</v>
      </c>
      <c r="AZ1521" t="s">
        <v>74</v>
      </c>
      <c r="BA1521" t="s">
        <v>74</v>
      </c>
      <c r="BB1521">
        <v>308</v>
      </c>
      <c r="BC1521">
        <v>309</v>
      </c>
      <c r="BD1521" t="s">
        <v>74</v>
      </c>
      <c r="BE1521" t="s">
        <v>74</v>
      </c>
      <c r="BF1521" t="s">
        <v>74</v>
      </c>
      <c r="BG1521" t="s">
        <v>74</v>
      </c>
      <c r="BH1521" t="s">
        <v>74</v>
      </c>
      <c r="BI1521">
        <v>2</v>
      </c>
      <c r="BJ1521" t="s">
        <v>1152</v>
      </c>
      <c r="BK1521" t="s">
        <v>101</v>
      </c>
      <c r="BL1521" t="s">
        <v>1153</v>
      </c>
      <c r="BM1521" t="s">
        <v>15871</v>
      </c>
      <c r="BN1521" t="s">
        <v>74</v>
      </c>
      <c r="BO1521" t="s">
        <v>74</v>
      </c>
      <c r="BP1521" t="s">
        <v>74</v>
      </c>
      <c r="BQ1521" t="s">
        <v>74</v>
      </c>
      <c r="BR1521" t="s">
        <v>104</v>
      </c>
      <c r="BS1521" t="s">
        <v>15870</v>
      </c>
      <c r="BT1521" t="str">
        <f>HYPERLINK("https%3A%2F%2Fwww.webofscience.com%2Fwos%2Fwoscc%2Ffull-record%2FWOS:000226370500032","View Full Record in Web of Science")</f>
        <v>View Full Record in Web of Science</v>
      </c>
    </row>
    <row r="1522" spans="1:72" x14ac:dyDescent="0.25">
      <c r="A1522" t="s">
        <v>72</v>
      </c>
      <c r="B1522" t="s">
        <v>15869</v>
      </c>
      <c r="C1522" t="s">
        <v>74</v>
      </c>
      <c r="D1522" t="s">
        <v>74</v>
      </c>
      <c r="E1522" t="s">
        <v>74</v>
      </c>
      <c r="F1522" t="s">
        <v>15869</v>
      </c>
      <c r="G1522" t="s">
        <v>74</v>
      </c>
      <c r="H1522" t="s">
        <v>74</v>
      </c>
      <c r="I1522" t="s">
        <v>15868</v>
      </c>
      <c r="J1522" t="s">
        <v>1348</v>
      </c>
      <c r="K1522" t="s">
        <v>74</v>
      </c>
      <c r="L1522" t="s">
        <v>74</v>
      </c>
      <c r="M1522" t="s">
        <v>1349</v>
      </c>
      <c r="N1522" t="s">
        <v>79</v>
      </c>
      <c r="O1522" t="s">
        <v>74</v>
      </c>
      <c r="P1522" t="s">
        <v>74</v>
      </c>
      <c r="Q1522" t="s">
        <v>74</v>
      </c>
      <c r="R1522" t="s">
        <v>74</v>
      </c>
      <c r="S1522" t="s">
        <v>74</v>
      </c>
      <c r="T1522" t="s">
        <v>15867</v>
      </c>
      <c r="U1522" t="s">
        <v>15866</v>
      </c>
      <c r="V1522" t="s">
        <v>15865</v>
      </c>
      <c r="W1522" t="s">
        <v>15864</v>
      </c>
      <c r="X1522" t="s">
        <v>14156</v>
      </c>
      <c r="Y1522" t="s">
        <v>15863</v>
      </c>
      <c r="Z1522" t="s">
        <v>15862</v>
      </c>
      <c r="AA1522" t="s">
        <v>144</v>
      </c>
      <c r="AB1522" t="s">
        <v>257</v>
      </c>
      <c r="AC1522" t="s">
        <v>74</v>
      </c>
      <c r="AD1522" t="s">
        <v>74</v>
      </c>
      <c r="AE1522" t="s">
        <v>74</v>
      </c>
      <c r="AF1522" t="s">
        <v>74</v>
      </c>
      <c r="AG1522">
        <v>9</v>
      </c>
      <c r="AH1522">
        <v>2</v>
      </c>
      <c r="AI1522">
        <v>2</v>
      </c>
      <c r="AJ1522">
        <v>0</v>
      </c>
      <c r="AK1522">
        <v>0</v>
      </c>
      <c r="AL1522" t="s">
        <v>1358</v>
      </c>
      <c r="AM1522" t="s">
        <v>1359</v>
      </c>
      <c r="AN1522" t="s">
        <v>1360</v>
      </c>
      <c r="AO1522" t="s">
        <v>1361</v>
      </c>
      <c r="AP1522" t="s">
        <v>74</v>
      </c>
      <c r="AQ1522" t="s">
        <v>74</v>
      </c>
      <c r="AR1522" t="s">
        <v>1363</v>
      </c>
      <c r="AS1522" t="s">
        <v>1364</v>
      </c>
      <c r="AT1522" t="s">
        <v>226</v>
      </c>
      <c r="AU1522">
        <v>2004</v>
      </c>
      <c r="AV1522">
        <v>21</v>
      </c>
      <c r="AW1522">
        <v>6</v>
      </c>
      <c r="AX1522">
        <v>1</v>
      </c>
      <c r="AY1522" t="s">
        <v>74</v>
      </c>
      <c r="AZ1522" t="s">
        <v>74</v>
      </c>
      <c r="BA1522" t="s">
        <v>74</v>
      </c>
      <c r="BB1522">
        <v>1153</v>
      </c>
      <c r="BC1522">
        <v>1156</v>
      </c>
      <c r="BD1522" t="s">
        <v>74</v>
      </c>
      <c r="BE1522" t="s">
        <v>15861</v>
      </c>
      <c r="BF1522" t="str">
        <f>HYPERLINK("http://dx.doi.org/10.1016/S0761-8425(04)71591-0","http://dx.doi.org/10.1016/S0761-8425(04)71591-0")</f>
        <v>http://dx.doi.org/10.1016/S0761-8425(04)71591-0</v>
      </c>
      <c r="BG1522" t="s">
        <v>74</v>
      </c>
      <c r="BH1522" t="s">
        <v>74</v>
      </c>
      <c r="BI1522">
        <v>4</v>
      </c>
      <c r="BJ1522" t="s">
        <v>228</v>
      </c>
      <c r="BK1522" t="s">
        <v>101</v>
      </c>
      <c r="BL1522" t="s">
        <v>228</v>
      </c>
      <c r="BM1522" t="s">
        <v>15847</v>
      </c>
      <c r="BN1522">
        <v>15767961</v>
      </c>
      <c r="BO1522" t="s">
        <v>74</v>
      </c>
      <c r="BP1522" t="s">
        <v>74</v>
      </c>
      <c r="BQ1522" t="s">
        <v>74</v>
      </c>
      <c r="BR1522" t="s">
        <v>104</v>
      </c>
      <c r="BS1522" t="s">
        <v>15860</v>
      </c>
      <c r="BT1522" t="str">
        <f>HYPERLINK("https%3A%2F%2Fwww.webofscience.com%2Fwos%2Fwoscc%2Ffull-record%2FWOS:000226909900018","View Full Record in Web of Science")</f>
        <v>View Full Record in Web of Science</v>
      </c>
    </row>
    <row r="1523" spans="1:72" x14ac:dyDescent="0.25">
      <c r="A1523" t="s">
        <v>72</v>
      </c>
      <c r="B1523" t="s">
        <v>15859</v>
      </c>
      <c r="C1523" t="s">
        <v>74</v>
      </c>
      <c r="D1523" t="s">
        <v>74</v>
      </c>
      <c r="E1523" t="s">
        <v>74</v>
      </c>
      <c r="F1523" t="s">
        <v>15859</v>
      </c>
      <c r="G1523" t="s">
        <v>74</v>
      </c>
      <c r="H1523" t="s">
        <v>74</v>
      </c>
      <c r="I1523" t="s">
        <v>15858</v>
      </c>
      <c r="J1523" t="s">
        <v>1348</v>
      </c>
      <c r="K1523" t="s">
        <v>74</v>
      </c>
      <c r="L1523" t="s">
        <v>74</v>
      </c>
      <c r="M1523" t="s">
        <v>1349</v>
      </c>
      <c r="N1523" t="s">
        <v>79</v>
      </c>
      <c r="O1523" t="s">
        <v>74</v>
      </c>
      <c r="P1523" t="s">
        <v>74</v>
      </c>
      <c r="Q1523" t="s">
        <v>74</v>
      </c>
      <c r="R1523" t="s">
        <v>74</v>
      </c>
      <c r="S1523" t="s">
        <v>74</v>
      </c>
      <c r="T1523" t="s">
        <v>15857</v>
      </c>
      <c r="U1523" t="s">
        <v>15856</v>
      </c>
      <c r="V1523" t="s">
        <v>15855</v>
      </c>
      <c r="W1523" t="s">
        <v>15854</v>
      </c>
      <c r="X1523" t="s">
        <v>15853</v>
      </c>
      <c r="Y1523" t="s">
        <v>15852</v>
      </c>
      <c r="Z1523" t="s">
        <v>15851</v>
      </c>
      <c r="AA1523" t="s">
        <v>15850</v>
      </c>
      <c r="AB1523" t="s">
        <v>15849</v>
      </c>
      <c r="AC1523" t="s">
        <v>74</v>
      </c>
      <c r="AD1523" t="s">
        <v>74</v>
      </c>
      <c r="AE1523" t="s">
        <v>74</v>
      </c>
      <c r="AF1523" t="s">
        <v>74</v>
      </c>
      <c r="AG1523">
        <v>27</v>
      </c>
      <c r="AH1523">
        <v>13</v>
      </c>
      <c r="AI1523">
        <v>15</v>
      </c>
      <c r="AJ1523">
        <v>0</v>
      </c>
      <c r="AK1523">
        <v>4</v>
      </c>
      <c r="AL1523" t="s">
        <v>1358</v>
      </c>
      <c r="AM1523" t="s">
        <v>1359</v>
      </c>
      <c r="AN1523" t="s">
        <v>1360</v>
      </c>
      <c r="AO1523" t="s">
        <v>1361</v>
      </c>
      <c r="AP1523" t="s">
        <v>1362</v>
      </c>
      <c r="AQ1523" t="s">
        <v>74</v>
      </c>
      <c r="AR1523" t="s">
        <v>1363</v>
      </c>
      <c r="AS1523" t="s">
        <v>1364</v>
      </c>
      <c r="AT1523" t="s">
        <v>226</v>
      </c>
      <c r="AU1523">
        <v>2004</v>
      </c>
      <c r="AV1523">
        <v>21</v>
      </c>
      <c r="AW1523">
        <v>6</v>
      </c>
      <c r="AX1523">
        <v>1</v>
      </c>
      <c r="AY1523" t="s">
        <v>74</v>
      </c>
      <c r="AZ1523" t="s">
        <v>74</v>
      </c>
      <c r="BA1523" t="s">
        <v>74</v>
      </c>
      <c r="BB1523">
        <v>1137</v>
      </c>
      <c r="BC1523">
        <v>1143</v>
      </c>
      <c r="BD1523" t="s">
        <v>74</v>
      </c>
      <c r="BE1523" t="s">
        <v>15848</v>
      </c>
      <c r="BF1523" t="str">
        <f>HYPERLINK("http://dx.doi.org/10.1016/S0761-8425(04)71589-2","http://dx.doi.org/10.1016/S0761-8425(04)71589-2")</f>
        <v>http://dx.doi.org/10.1016/S0761-8425(04)71589-2</v>
      </c>
      <c r="BG1523" t="s">
        <v>74</v>
      </c>
      <c r="BH1523" t="s">
        <v>74</v>
      </c>
      <c r="BI1523">
        <v>7</v>
      </c>
      <c r="BJ1523" t="s">
        <v>228</v>
      </c>
      <c r="BK1523" t="s">
        <v>101</v>
      </c>
      <c r="BL1523" t="s">
        <v>228</v>
      </c>
      <c r="BM1523" t="s">
        <v>15847</v>
      </c>
      <c r="BN1523">
        <v>15767959</v>
      </c>
      <c r="BO1523" t="s">
        <v>74</v>
      </c>
      <c r="BP1523" t="s">
        <v>74</v>
      </c>
      <c r="BQ1523" t="s">
        <v>74</v>
      </c>
      <c r="BR1523" t="s">
        <v>104</v>
      </c>
      <c r="BS1523" t="s">
        <v>15846</v>
      </c>
      <c r="BT1523" t="str">
        <f>HYPERLINK("https%3A%2F%2Fwww.webofscience.com%2Fwos%2Fwoscc%2Ffull-record%2FWOS:000226909900016","View Full Record in Web of Science")</f>
        <v>View Full Record in Web of Science</v>
      </c>
    </row>
    <row r="1524" spans="1:72" x14ac:dyDescent="0.25">
      <c r="A1524" t="s">
        <v>72</v>
      </c>
      <c r="B1524" t="s">
        <v>15845</v>
      </c>
      <c r="C1524" t="s">
        <v>74</v>
      </c>
      <c r="D1524" t="s">
        <v>74</v>
      </c>
      <c r="E1524" t="s">
        <v>74</v>
      </c>
      <c r="F1524" t="s">
        <v>15845</v>
      </c>
      <c r="G1524" t="s">
        <v>74</v>
      </c>
      <c r="H1524" t="s">
        <v>74</v>
      </c>
      <c r="I1524" t="s">
        <v>15844</v>
      </c>
      <c r="J1524" t="s">
        <v>637</v>
      </c>
      <c r="K1524" t="s">
        <v>74</v>
      </c>
      <c r="L1524" t="s">
        <v>74</v>
      </c>
      <c r="M1524" t="s">
        <v>78</v>
      </c>
      <c r="N1524" t="s">
        <v>79</v>
      </c>
      <c r="O1524" t="s">
        <v>74</v>
      </c>
      <c r="P1524" t="s">
        <v>74</v>
      </c>
      <c r="Q1524" t="s">
        <v>74</v>
      </c>
      <c r="R1524" t="s">
        <v>74</v>
      </c>
      <c r="S1524" t="s">
        <v>74</v>
      </c>
      <c r="T1524" t="s">
        <v>15843</v>
      </c>
      <c r="U1524" t="s">
        <v>15842</v>
      </c>
      <c r="V1524" t="s">
        <v>15841</v>
      </c>
      <c r="W1524" t="s">
        <v>15840</v>
      </c>
      <c r="X1524" t="s">
        <v>15839</v>
      </c>
      <c r="Y1524" t="s">
        <v>15838</v>
      </c>
      <c r="Z1524" t="s">
        <v>15506</v>
      </c>
      <c r="AA1524" t="s">
        <v>15837</v>
      </c>
      <c r="AB1524" t="s">
        <v>15276</v>
      </c>
      <c r="AC1524" t="s">
        <v>74</v>
      </c>
      <c r="AD1524" t="s">
        <v>74</v>
      </c>
      <c r="AE1524" t="s">
        <v>74</v>
      </c>
      <c r="AF1524" t="s">
        <v>74</v>
      </c>
      <c r="AG1524">
        <v>33</v>
      </c>
      <c r="AH1524">
        <v>183</v>
      </c>
      <c r="AI1524">
        <v>200</v>
      </c>
      <c r="AJ1524">
        <v>0</v>
      </c>
      <c r="AK1524">
        <v>2</v>
      </c>
      <c r="AL1524" t="s">
        <v>649</v>
      </c>
      <c r="AM1524" t="s">
        <v>486</v>
      </c>
      <c r="AN1524" t="s">
        <v>650</v>
      </c>
      <c r="AO1524" t="s">
        <v>651</v>
      </c>
      <c r="AP1524" t="s">
        <v>652</v>
      </c>
      <c r="AQ1524" t="s">
        <v>74</v>
      </c>
      <c r="AR1524" t="s">
        <v>653</v>
      </c>
      <c r="AS1524" t="s">
        <v>654</v>
      </c>
      <c r="AT1524" t="s">
        <v>2689</v>
      </c>
      <c r="AU1524">
        <v>2004</v>
      </c>
      <c r="AV1524">
        <v>170</v>
      </c>
      <c r="AW1524">
        <v>11</v>
      </c>
      <c r="AX1524" t="s">
        <v>74</v>
      </c>
      <c r="AY1524" t="s">
        <v>74</v>
      </c>
      <c r="AZ1524" t="s">
        <v>74</v>
      </c>
      <c r="BA1524" t="s">
        <v>74</v>
      </c>
      <c r="BB1524">
        <v>1212</v>
      </c>
      <c r="BC1524">
        <v>1217</v>
      </c>
      <c r="BD1524" t="s">
        <v>74</v>
      </c>
      <c r="BE1524" t="s">
        <v>15836</v>
      </c>
      <c r="BF1524" t="str">
        <f>HYPERLINK("http://dx.doi.org/10.1164/rccm.200404-445OC","http://dx.doi.org/10.1164/rccm.200404-445OC")</f>
        <v>http://dx.doi.org/10.1164/rccm.200404-445OC</v>
      </c>
      <c r="BG1524" t="s">
        <v>74</v>
      </c>
      <c r="BH1524" t="s">
        <v>74</v>
      </c>
      <c r="BI1524">
        <v>6</v>
      </c>
      <c r="BJ1524" t="s">
        <v>341</v>
      </c>
      <c r="BK1524" t="s">
        <v>101</v>
      </c>
      <c r="BL1524" t="s">
        <v>342</v>
      </c>
      <c r="BM1524" t="s">
        <v>15835</v>
      </c>
      <c r="BN1524">
        <v>15317666</v>
      </c>
      <c r="BO1524" t="s">
        <v>74</v>
      </c>
      <c r="BP1524" t="s">
        <v>74</v>
      </c>
      <c r="BQ1524" t="s">
        <v>74</v>
      </c>
      <c r="BR1524" t="s">
        <v>104</v>
      </c>
      <c r="BS1524" t="s">
        <v>15834</v>
      </c>
      <c r="BT1524" t="str">
        <f>HYPERLINK("https%3A%2F%2Fwww.webofscience.com%2Fwos%2Fwoscc%2Ffull-record%2FWOS:000225444900014","View Full Record in Web of Science")</f>
        <v>View Full Record in Web of Science</v>
      </c>
    </row>
    <row r="1525" spans="1:72" x14ac:dyDescent="0.25">
      <c r="A1525" t="s">
        <v>72</v>
      </c>
      <c r="B1525" t="s">
        <v>15833</v>
      </c>
      <c r="C1525" t="s">
        <v>74</v>
      </c>
      <c r="D1525" t="s">
        <v>74</v>
      </c>
      <c r="E1525" t="s">
        <v>74</v>
      </c>
      <c r="F1525" t="s">
        <v>15833</v>
      </c>
      <c r="G1525" t="s">
        <v>74</v>
      </c>
      <c r="H1525" t="s">
        <v>74</v>
      </c>
      <c r="I1525" t="s">
        <v>15832</v>
      </c>
      <c r="J1525" t="s">
        <v>1348</v>
      </c>
      <c r="K1525" t="s">
        <v>74</v>
      </c>
      <c r="L1525" t="s">
        <v>74</v>
      </c>
      <c r="M1525" t="s">
        <v>1349</v>
      </c>
      <c r="N1525" t="s">
        <v>79</v>
      </c>
      <c r="O1525" t="s">
        <v>74</v>
      </c>
      <c r="P1525" t="s">
        <v>74</v>
      </c>
      <c r="Q1525" t="s">
        <v>74</v>
      </c>
      <c r="R1525" t="s">
        <v>74</v>
      </c>
      <c r="S1525" t="s">
        <v>74</v>
      </c>
      <c r="T1525" t="s">
        <v>15831</v>
      </c>
      <c r="U1525" t="s">
        <v>15830</v>
      </c>
      <c r="V1525" t="s">
        <v>15829</v>
      </c>
      <c r="W1525" t="s">
        <v>15828</v>
      </c>
      <c r="X1525" t="s">
        <v>15827</v>
      </c>
      <c r="Y1525" t="s">
        <v>15826</v>
      </c>
      <c r="Z1525" t="s">
        <v>15825</v>
      </c>
      <c r="AA1525" t="s">
        <v>15824</v>
      </c>
      <c r="AB1525" t="s">
        <v>15823</v>
      </c>
      <c r="AC1525" t="s">
        <v>74</v>
      </c>
      <c r="AD1525" t="s">
        <v>74</v>
      </c>
      <c r="AE1525" t="s">
        <v>74</v>
      </c>
      <c r="AF1525" t="s">
        <v>74</v>
      </c>
      <c r="AG1525">
        <v>15</v>
      </c>
      <c r="AH1525">
        <v>12</v>
      </c>
      <c r="AI1525">
        <v>13</v>
      </c>
      <c r="AJ1525">
        <v>0</v>
      </c>
      <c r="AK1525">
        <v>0</v>
      </c>
      <c r="AL1525" t="s">
        <v>1358</v>
      </c>
      <c r="AM1525" t="s">
        <v>1359</v>
      </c>
      <c r="AN1525" t="s">
        <v>1360</v>
      </c>
      <c r="AO1525" t="s">
        <v>1361</v>
      </c>
      <c r="AP1525" t="s">
        <v>1362</v>
      </c>
      <c r="AQ1525" t="s">
        <v>74</v>
      </c>
      <c r="AR1525" t="s">
        <v>1363</v>
      </c>
      <c r="AS1525" t="s">
        <v>1364</v>
      </c>
      <c r="AT1525" t="s">
        <v>315</v>
      </c>
      <c r="AU1525">
        <v>2004</v>
      </c>
      <c r="AV1525">
        <v>21</v>
      </c>
      <c r="AW1525">
        <v>5</v>
      </c>
      <c r="AX1525">
        <v>1</v>
      </c>
      <c r="AY1525" t="s">
        <v>74</v>
      </c>
      <c r="AZ1525" t="s">
        <v>74</v>
      </c>
      <c r="BA1525" t="s">
        <v>74</v>
      </c>
      <c r="BB1525">
        <v>909</v>
      </c>
      <c r="BC1525">
        <v>915</v>
      </c>
      <c r="BD1525" t="s">
        <v>74</v>
      </c>
      <c r="BE1525" t="s">
        <v>74</v>
      </c>
      <c r="BF1525" t="s">
        <v>74</v>
      </c>
      <c r="BG1525" t="s">
        <v>74</v>
      </c>
      <c r="BH1525" t="s">
        <v>74</v>
      </c>
      <c r="BI1525">
        <v>7</v>
      </c>
      <c r="BJ1525" t="s">
        <v>228</v>
      </c>
      <c r="BK1525" t="s">
        <v>101</v>
      </c>
      <c r="BL1525" t="s">
        <v>228</v>
      </c>
      <c r="BM1525" t="s">
        <v>15822</v>
      </c>
      <c r="BN1525">
        <v>15622337</v>
      </c>
      <c r="BO1525" t="s">
        <v>74</v>
      </c>
      <c r="BP1525" t="s">
        <v>74</v>
      </c>
      <c r="BQ1525" t="s">
        <v>74</v>
      </c>
      <c r="BR1525" t="s">
        <v>104</v>
      </c>
      <c r="BS1525" t="s">
        <v>15821</v>
      </c>
      <c r="BT1525" t="str">
        <f>HYPERLINK("https%3A%2F%2Fwww.webofscience.com%2Fwos%2Fwoscc%2Ffull-record%2FWOS:000225831200007","View Full Record in Web of Science")</f>
        <v>View Full Record in Web of Science</v>
      </c>
    </row>
    <row r="1526" spans="1:72" x14ac:dyDescent="0.25">
      <c r="A1526" t="s">
        <v>72</v>
      </c>
      <c r="B1526" t="s">
        <v>15820</v>
      </c>
      <c r="C1526" t="s">
        <v>74</v>
      </c>
      <c r="D1526" t="s">
        <v>74</v>
      </c>
      <c r="E1526" t="s">
        <v>74</v>
      </c>
      <c r="F1526" t="s">
        <v>15820</v>
      </c>
      <c r="G1526" t="s">
        <v>74</v>
      </c>
      <c r="H1526" t="s">
        <v>74</v>
      </c>
      <c r="I1526" t="s">
        <v>15819</v>
      </c>
      <c r="J1526" t="s">
        <v>251</v>
      </c>
      <c r="K1526" t="s">
        <v>74</v>
      </c>
      <c r="L1526" t="s">
        <v>74</v>
      </c>
      <c r="M1526" t="s">
        <v>78</v>
      </c>
      <c r="N1526" t="s">
        <v>52</v>
      </c>
      <c r="O1526" t="s">
        <v>15818</v>
      </c>
      <c r="P1526" t="s">
        <v>15817</v>
      </c>
      <c r="Q1526" t="s">
        <v>10801</v>
      </c>
      <c r="R1526" t="s">
        <v>1376</v>
      </c>
      <c r="S1526" t="s">
        <v>74</v>
      </c>
      <c r="T1526" t="s">
        <v>74</v>
      </c>
      <c r="U1526" t="s">
        <v>74</v>
      </c>
      <c r="V1526" t="s">
        <v>74</v>
      </c>
      <c r="W1526" t="s">
        <v>15816</v>
      </c>
      <c r="X1526" t="s">
        <v>15815</v>
      </c>
      <c r="Y1526" t="s">
        <v>74</v>
      </c>
      <c r="Z1526" t="s">
        <v>74</v>
      </c>
      <c r="AA1526" t="s">
        <v>15593</v>
      </c>
      <c r="AB1526" t="s">
        <v>4885</v>
      </c>
      <c r="AC1526" t="s">
        <v>74</v>
      </c>
      <c r="AD1526" t="s">
        <v>74</v>
      </c>
      <c r="AE1526" t="s">
        <v>74</v>
      </c>
      <c r="AF1526" t="s">
        <v>74</v>
      </c>
      <c r="AG1526">
        <v>0</v>
      </c>
      <c r="AH1526">
        <v>0</v>
      </c>
      <c r="AI1526">
        <v>0</v>
      </c>
      <c r="AJ1526">
        <v>0</v>
      </c>
      <c r="AK1526">
        <v>0</v>
      </c>
      <c r="AL1526" t="s">
        <v>122</v>
      </c>
      <c r="AM1526" t="s">
        <v>123</v>
      </c>
      <c r="AN1526" t="s">
        <v>124</v>
      </c>
      <c r="AO1526" t="s">
        <v>258</v>
      </c>
      <c r="AP1526" t="s">
        <v>259</v>
      </c>
      <c r="AQ1526" t="s">
        <v>74</v>
      </c>
      <c r="AR1526" t="s">
        <v>251</v>
      </c>
      <c r="AS1526" t="s">
        <v>260</v>
      </c>
      <c r="AT1526" t="s">
        <v>15814</v>
      </c>
      <c r="AU1526">
        <v>2004</v>
      </c>
      <c r="AV1526">
        <v>110</v>
      </c>
      <c r="AW1526">
        <v>17</v>
      </c>
      <c r="AX1526" t="s">
        <v>74</v>
      </c>
      <c r="AY1526" t="s">
        <v>998</v>
      </c>
      <c r="AZ1526" t="s">
        <v>74</v>
      </c>
      <c r="BA1526">
        <v>3301</v>
      </c>
      <c r="BB1526">
        <v>713</v>
      </c>
      <c r="BC1526">
        <v>714</v>
      </c>
      <c r="BD1526" t="s">
        <v>74</v>
      </c>
      <c r="BE1526" t="s">
        <v>74</v>
      </c>
      <c r="BF1526" t="s">
        <v>74</v>
      </c>
      <c r="BG1526" t="s">
        <v>74</v>
      </c>
      <c r="BH1526" t="s">
        <v>74</v>
      </c>
      <c r="BI1526">
        <v>2</v>
      </c>
      <c r="BJ1526" t="s">
        <v>263</v>
      </c>
      <c r="BK1526" t="s">
        <v>512</v>
      </c>
      <c r="BL1526" t="s">
        <v>133</v>
      </c>
      <c r="BM1526" t="s">
        <v>15813</v>
      </c>
      <c r="BN1526" t="s">
        <v>74</v>
      </c>
      <c r="BO1526" t="s">
        <v>74</v>
      </c>
      <c r="BP1526" t="s">
        <v>74</v>
      </c>
      <c r="BQ1526" t="s">
        <v>74</v>
      </c>
      <c r="BR1526" t="s">
        <v>104</v>
      </c>
      <c r="BS1526" t="s">
        <v>15812</v>
      </c>
      <c r="BT1526" t="str">
        <f>HYPERLINK("https%3A%2F%2Fwww.webofscience.com%2Fwos%2Fwoscc%2Ffull-record%2FWOS:000224783503749","View Full Record in Web of Science")</f>
        <v>View Full Record in Web of Science</v>
      </c>
    </row>
    <row r="1527" spans="1:72" x14ac:dyDescent="0.25">
      <c r="A1527" t="s">
        <v>72</v>
      </c>
      <c r="B1527" t="s">
        <v>15811</v>
      </c>
      <c r="C1527" t="s">
        <v>74</v>
      </c>
      <c r="D1527" t="s">
        <v>74</v>
      </c>
      <c r="E1527" t="s">
        <v>74</v>
      </c>
      <c r="F1527" t="s">
        <v>15811</v>
      </c>
      <c r="G1527" t="s">
        <v>74</v>
      </c>
      <c r="H1527" t="s">
        <v>74</v>
      </c>
      <c r="I1527" t="s">
        <v>15810</v>
      </c>
      <c r="J1527" t="s">
        <v>324</v>
      </c>
      <c r="K1527" t="s">
        <v>74</v>
      </c>
      <c r="L1527" t="s">
        <v>74</v>
      </c>
      <c r="M1527" t="s">
        <v>78</v>
      </c>
      <c r="N1527" t="s">
        <v>79</v>
      </c>
      <c r="O1527" t="s">
        <v>74</v>
      </c>
      <c r="P1527" t="s">
        <v>74</v>
      </c>
      <c r="Q1527" t="s">
        <v>74</v>
      </c>
      <c r="R1527" t="s">
        <v>74</v>
      </c>
      <c r="S1527" t="s">
        <v>74</v>
      </c>
      <c r="T1527" t="s">
        <v>15809</v>
      </c>
      <c r="U1527" t="s">
        <v>15808</v>
      </c>
      <c r="V1527" t="s">
        <v>15807</v>
      </c>
      <c r="W1527" t="s">
        <v>15806</v>
      </c>
      <c r="X1527" t="s">
        <v>15805</v>
      </c>
      <c r="Y1527" t="s">
        <v>15804</v>
      </c>
      <c r="Z1527" t="s">
        <v>15803</v>
      </c>
      <c r="AA1527" t="s">
        <v>15802</v>
      </c>
      <c r="AB1527" t="s">
        <v>15801</v>
      </c>
      <c r="AC1527" t="s">
        <v>74</v>
      </c>
      <c r="AD1527" t="s">
        <v>74</v>
      </c>
      <c r="AE1527" t="s">
        <v>74</v>
      </c>
      <c r="AF1527" t="s">
        <v>74</v>
      </c>
      <c r="AG1527">
        <v>20</v>
      </c>
      <c r="AH1527">
        <v>376</v>
      </c>
      <c r="AI1527">
        <v>393</v>
      </c>
      <c r="AJ1527">
        <v>1</v>
      </c>
      <c r="AK1527">
        <v>3</v>
      </c>
      <c r="AL1527" t="s">
        <v>11161</v>
      </c>
      <c r="AM1527" t="s">
        <v>14574</v>
      </c>
      <c r="AN1527" t="s">
        <v>14573</v>
      </c>
      <c r="AO1527" t="s">
        <v>337</v>
      </c>
      <c r="AP1527" t="s">
        <v>74</v>
      </c>
      <c r="AQ1527" t="s">
        <v>74</v>
      </c>
      <c r="AR1527" t="s">
        <v>324</v>
      </c>
      <c r="AS1527" t="s">
        <v>339</v>
      </c>
      <c r="AT1527" t="s">
        <v>420</v>
      </c>
      <c r="AU1527">
        <v>2004</v>
      </c>
      <c r="AV1527">
        <v>126</v>
      </c>
      <c r="AW1527">
        <v>4</v>
      </c>
      <c r="AX1527" t="s">
        <v>74</v>
      </c>
      <c r="AY1527" t="s">
        <v>74</v>
      </c>
      <c r="AZ1527" t="s">
        <v>74</v>
      </c>
      <c r="BA1527" t="s">
        <v>74</v>
      </c>
      <c r="BB1527">
        <v>1313</v>
      </c>
      <c r="BC1527">
        <v>1317</v>
      </c>
      <c r="BD1527" t="s">
        <v>74</v>
      </c>
      <c r="BE1527" t="s">
        <v>15800</v>
      </c>
      <c r="BF1527" t="str">
        <f>HYPERLINK("http://dx.doi.org/10.1378/chest.126.4.1313","http://dx.doi.org/10.1378/chest.126.4.1313")</f>
        <v>http://dx.doi.org/10.1378/chest.126.4.1313</v>
      </c>
      <c r="BG1527" t="s">
        <v>74</v>
      </c>
      <c r="BH1527" t="s">
        <v>74</v>
      </c>
      <c r="BI1527">
        <v>5</v>
      </c>
      <c r="BJ1527" t="s">
        <v>341</v>
      </c>
      <c r="BK1527" t="s">
        <v>101</v>
      </c>
      <c r="BL1527" t="s">
        <v>342</v>
      </c>
      <c r="BM1527" t="s">
        <v>15799</v>
      </c>
      <c r="BN1527">
        <v>15486398</v>
      </c>
      <c r="BO1527" t="s">
        <v>74</v>
      </c>
      <c r="BP1527" t="s">
        <v>74</v>
      </c>
      <c r="BQ1527" t="s">
        <v>74</v>
      </c>
      <c r="BR1527" t="s">
        <v>104</v>
      </c>
      <c r="BS1527" t="s">
        <v>15798</v>
      </c>
      <c r="BT1527" t="str">
        <f>HYPERLINK("https%3A%2F%2Fwww.webofscience.com%2Fwos%2Fwoscc%2Ffull-record%2FWOS:000224673100049","View Full Record in Web of Science")</f>
        <v>View Full Record in Web of Science</v>
      </c>
    </row>
    <row r="1528" spans="1:72" x14ac:dyDescent="0.25">
      <c r="A1528" t="s">
        <v>72</v>
      </c>
      <c r="B1528" t="s">
        <v>1420</v>
      </c>
      <c r="C1528" t="s">
        <v>74</v>
      </c>
      <c r="D1528" t="s">
        <v>74</v>
      </c>
      <c r="E1528" t="s">
        <v>74</v>
      </c>
      <c r="F1528" t="s">
        <v>1420</v>
      </c>
      <c r="G1528" t="s">
        <v>74</v>
      </c>
      <c r="H1528" t="s">
        <v>74</v>
      </c>
      <c r="I1528" t="s">
        <v>15797</v>
      </c>
      <c r="J1528" t="s">
        <v>15796</v>
      </c>
      <c r="K1528" t="s">
        <v>74</v>
      </c>
      <c r="L1528" t="s">
        <v>74</v>
      </c>
      <c r="M1528" t="s">
        <v>78</v>
      </c>
      <c r="N1528" t="s">
        <v>79</v>
      </c>
      <c r="O1528" t="s">
        <v>74</v>
      </c>
      <c r="P1528" t="s">
        <v>74</v>
      </c>
      <c r="Q1528" t="s">
        <v>74</v>
      </c>
      <c r="R1528" t="s">
        <v>74</v>
      </c>
      <c r="S1528" t="s">
        <v>74</v>
      </c>
      <c r="T1528" t="s">
        <v>15795</v>
      </c>
      <c r="U1528" t="s">
        <v>15794</v>
      </c>
      <c r="V1528" t="s">
        <v>15793</v>
      </c>
      <c r="W1528" t="s">
        <v>15792</v>
      </c>
      <c r="X1528" t="s">
        <v>15791</v>
      </c>
      <c r="Y1528" t="s">
        <v>15790</v>
      </c>
      <c r="Z1528" t="s">
        <v>15743</v>
      </c>
      <c r="AA1528" t="s">
        <v>144</v>
      </c>
      <c r="AB1528" t="s">
        <v>257</v>
      </c>
      <c r="AC1528" t="s">
        <v>74</v>
      </c>
      <c r="AD1528" t="s">
        <v>74</v>
      </c>
      <c r="AE1528" t="s">
        <v>74</v>
      </c>
      <c r="AF1528" t="s">
        <v>74</v>
      </c>
      <c r="AG1528">
        <v>68</v>
      </c>
      <c r="AH1528">
        <v>19</v>
      </c>
      <c r="AI1528">
        <v>23</v>
      </c>
      <c r="AJ1528">
        <v>0</v>
      </c>
      <c r="AK1528">
        <v>5</v>
      </c>
      <c r="AL1528" t="s">
        <v>148</v>
      </c>
      <c r="AM1528" t="s">
        <v>149</v>
      </c>
      <c r="AN1528" t="s">
        <v>150</v>
      </c>
      <c r="AO1528" t="s">
        <v>15789</v>
      </c>
      <c r="AP1528" t="s">
        <v>15788</v>
      </c>
      <c r="AQ1528" t="s">
        <v>74</v>
      </c>
      <c r="AR1528" t="s">
        <v>15787</v>
      </c>
      <c r="AS1528" t="s">
        <v>15786</v>
      </c>
      <c r="AT1528" t="s">
        <v>420</v>
      </c>
      <c r="AU1528">
        <v>2004</v>
      </c>
      <c r="AV1528">
        <v>13</v>
      </c>
      <c r="AW1528">
        <v>10</v>
      </c>
      <c r="AX1528" t="s">
        <v>74</v>
      </c>
      <c r="AY1528" t="s">
        <v>74</v>
      </c>
      <c r="AZ1528" t="s">
        <v>74</v>
      </c>
      <c r="BA1528" t="s">
        <v>74</v>
      </c>
      <c r="BB1528">
        <v>1349</v>
      </c>
      <c r="BC1528">
        <v>1360</v>
      </c>
      <c r="BD1528" t="s">
        <v>74</v>
      </c>
      <c r="BE1528" t="s">
        <v>15785</v>
      </c>
      <c r="BF1528" t="str">
        <f>HYPERLINK("http://dx.doi.org/10.1517/13543784.13.10.1349","http://dx.doi.org/10.1517/13543784.13.10.1349")</f>
        <v>http://dx.doi.org/10.1517/13543784.13.10.1349</v>
      </c>
      <c r="BG1528" t="s">
        <v>74</v>
      </c>
      <c r="BH1528" t="s">
        <v>74</v>
      </c>
      <c r="BI1528">
        <v>12</v>
      </c>
      <c r="BJ1528" t="s">
        <v>1477</v>
      </c>
      <c r="BK1528" t="s">
        <v>101</v>
      </c>
      <c r="BL1528" t="s">
        <v>1477</v>
      </c>
      <c r="BM1528" t="s">
        <v>15784</v>
      </c>
      <c r="BN1528">
        <v>15461563</v>
      </c>
      <c r="BO1528" t="s">
        <v>74</v>
      </c>
      <c r="BP1528" t="s">
        <v>74</v>
      </c>
      <c r="BQ1528" t="s">
        <v>74</v>
      </c>
      <c r="BR1528" t="s">
        <v>104</v>
      </c>
      <c r="BS1528" t="s">
        <v>15783</v>
      </c>
      <c r="BT1528" t="str">
        <f>HYPERLINK("https%3A%2F%2Fwww.webofscience.com%2Fwos%2Fwoscc%2Ffull-record%2FWOS:000224228500010","View Full Record in Web of Science")</f>
        <v>View Full Record in Web of Science</v>
      </c>
    </row>
    <row r="1529" spans="1:72" x14ac:dyDescent="0.25">
      <c r="A1529" t="s">
        <v>72</v>
      </c>
      <c r="B1529" t="s">
        <v>15473</v>
      </c>
      <c r="C1529" t="s">
        <v>74</v>
      </c>
      <c r="D1529" t="s">
        <v>74</v>
      </c>
      <c r="E1529" t="s">
        <v>74</v>
      </c>
      <c r="F1529" t="s">
        <v>15473</v>
      </c>
      <c r="G1529" t="s">
        <v>74</v>
      </c>
      <c r="H1529" t="s">
        <v>74</v>
      </c>
      <c r="I1529" t="s">
        <v>15782</v>
      </c>
      <c r="J1529" t="s">
        <v>2276</v>
      </c>
      <c r="K1529" t="s">
        <v>74</v>
      </c>
      <c r="L1529" t="s">
        <v>74</v>
      </c>
      <c r="M1529" t="s">
        <v>78</v>
      </c>
      <c r="N1529" t="s">
        <v>299</v>
      </c>
      <c r="O1529" t="s">
        <v>74</v>
      </c>
      <c r="P1529" t="s">
        <v>74</v>
      </c>
      <c r="Q1529" t="s">
        <v>74</v>
      </c>
      <c r="R1529" t="s">
        <v>74</v>
      </c>
      <c r="S1529" t="s">
        <v>74</v>
      </c>
      <c r="T1529" t="s">
        <v>74</v>
      </c>
      <c r="U1529" t="s">
        <v>15781</v>
      </c>
      <c r="V1529" t="s">
        <v>74</v>
      </c>
      <c r="W1529" t="s">
        <v>15780</v>
      </c>
      <c r="X1529" t="s">
        <v>15779</v>
      </c>
      <c r="Y1529" t="s">
        <v>15469</v>
      </c>
      <c r="Z1529" t="s">
        <v>10573</v>
      </c>
      <c r="AA1529" t="s">
        <v>14550</v>
      </c>
      <c r="AB1529" t="s">
        <v>15276</v>
      </c>
      <c r="AC1529" t="s">
        <v>74</v>
      </c>
      <c r="AD1529" t="s">
        <v>74</v>
      </c>
      <c r="AE1529" t="s">
        <v>74</v>
      </c>
      <c r="AF1529" t="s">
        <v>74</v>
      </c>
      <c r="AG1529">
        <v>97</v>
      </c>
      <c r="AH1529">
        <v>1340</v>
      </c>
      <c r="AI1529">
        <v>1457</v>
      </c>
      <c r="AJ1529">
        <v>0</v>
      </c>
      <c r="AK1529">
        <v>115</v>
      </c>
      <c r="AL1529" t="s">
        <v>2284</v>
      </c>
      <c r="AM1529" t="s">
        <v>2285</v>
      </c>
      <c r="AN1529" t="s">
        <v>2286</v>
      </c>
      <c r="AO1529" t="s">
        <v>2287</v>
      </c>
      <c r="AP1529" t="s">
        <v>2288</v>
      </c>
      <c r="AQ1529" t="s">
        <v>74</v>
      </c>
      <c r="AR1529" t="s">
        <v>2289</v>
      </c>
      <c r="AS1529" t="s">
        <v>2290</v>
      </c>
      <c r="AT1529" t="s">
        <v>2883</v>
      </c>
      <c r="AU1529">
        <v>2004</v>
      </c>
      <c r="AV1529">
        <v>351</v>
      </c>
      <c r="AW1529">
        <v>14</v>
      </c>
      <c r="AX1529" t="s">
        <v>74</v>
      </c>
      <c r="AY1529" t="s">
        <v>74</v>
      </c>
      <c r="AZ1529" t="s">
        <v>74</v>
      </c>
      <c r="BA1529" t="s">
        <v>74</v>
      </c>
      <c r="BB1529">
        <v>1425</v>
      </c>
      <c r="BC1529">
        <v>1436</v>
      </c>
      <c r="BD1529" t="s">
        <v>74</v>
      </c>
      <c r="BE1529" t="s">
        <v>15778</v>
      </c>
      <c r="BF1529" t="str">
        <f>HYPERLINK("http://dx.doi.org/10.1056/NEJMra040291","http://dx.doi.org/10.1056/NEJMra040291")</f>
        <v>http://dx.doi.org/10.1056/NEJMra040291</v>
      </c>
      <c r="BG1529" t="s">
        <v>74</v>
      </c>
      <c r="BH1529" t="s">
        <v>74</v>
      </c>
      <c r="BI1529">
        <v>12</v>
      </c>
      <c r="BJ1529" t="s">
        <v>1152</v>
      </c>
      <c r="BK1529" t="s">
        <v>101</v>
      </c>
      <c r="BL1529" t="s">
        <v>1153</v>
      </c>
      <c r="BM1529" t="s">
        <v>15777</v>
      </c>
      <c r="BN1529">
        <v>15459304</v>
      </c>
      <c r="BO1529" t="s">
        <v>74</v>
      </c>
      <c r="BP1529" t="s">
        <v>74</v>
      </c>
      <c r="BQ1529" t="s">
        <v>74</v>
      </c>
      <c r="BR1529" t="s">
        <v>104</v>
      </c>
      <c r="BS1529" t="s">
        <v>15776</v>
      </c>
      <c r="BT1529" t="str">
        <f>HYPERLINK("https%3A%2F%2Fwww.webofscience.com%2Fwos%2Fwoscc%2Ffull-record%2FWOS:000224153900011","View Full Record in Web of Science")</f>
        <v>View Full Record in Web of Science</v>
      </c>
    </row>
    <row r="1530" spans="1:72" x14ac:dyDescent="0.25">
      <c r="A1530" t="s">
        <v>72</v>
      </c>
      <c r="B1530" t="s">
        <v>15775</v>
      </c>
      <c r="C1530" t="s">
        <v>74</v>
      </c>
      <c r="D1530" t="s">
        <v>74</v>
      </c>
      <c r="E1530" t="s">
        <v>74</v>
      </c>
      <c r="F1530" t="s">
        <v>15775</v>
      </c>
      <c r="G1530" t="s">
        <v>74</v>
      </c>
      <c r="H1530" t="s">
        <v>74</v>
      </c>
      <c r="I1530" t="s">
        <v>15774</v>
      </c>
      <c r="J1530" t="s">
        <v>5624</v>
      </c>
      <c r="K1530" t="s">
        <v>74</v>
      </c>
      <c r="L1530" t="s">
        <v>74</v>
      </c>
      <c r="M1530" t="s">
        <v>78</v>
      </c>
      <c r="N1530" t="s">
        <v>79</v>
      </c>
      <c r="O1530" t="s">
        <v>74</v>
      </c>
      <c r="P1530" t="s">
        <v>74</v>
      </c>
      <c r="Q1530" t="s">
        <v>74</v>
      </c>
      <c r="R1530" t="s">
        <v>74</v>
      </c>
      <c r="S1530" t="s">
        <v>74</v>
      </c>
      <c r="T1530" t="s">
        <v>15773</v>
      </c>
      <c r="U1530" t="s">
        <v>15772</v>
      </c>
      <c r="V1530" t="s">
        <v>15771</v>
      </c>
      <c r="W1530" t="s">
        <v>15770</v>
      </c>
      <c r="X1530" t="s">
        <v>15769</v>
      </c>
      <c r="Y1530" t="s">
        <v>15768</v>
      </c>
      <c r="Z1530" t="s">
        <v>74</v>
      </c>
      <c r="AA1530" t="s">
        <v>15767</v>
      </c>
      <c r="AB1530" t="s">
        <v>15766</v>
      </c>
      <c r="AC1530" t="s">
        <v>74</v>
      </c>
      <c r="AD1530" t="s">
        <v>74</v>
      </c>
      <c r="AE1530" t="s">
        <v>74</v>
      </c>
      <c r="AF1530" t="s">
        <v>74</v>
      </c>
      <c r="AG1530">
        <v>13</v>
      </c>
      <c r="AH1530">
        <v>16</v>
      </c>
      <c r="AI1530">
        <v>17</v>
      </c>
      <c r="AJ1530">
        <v>0</v>
      </c>
      <c r="AK1530">
        <v>1</v>
      </c>
      <c r="AL1530" t="s">
        <v>15676</v>
      </c>
      <c r="AM1530" t="s">
        <v>14339</v>
      </c>
      <c r="AN1530" t="s">
        <v>14338</v>
      </c>
      <c r="AO1530" t="s">
        <v>5636</v>
      </c>
      <c r="AP1530" t="s">
        <v>74</v>
      </c>
      <c r="AQ1530" t="s">
        <v>74</v>
      </c>
      <c r="AR1530" t="s">
        <v>5624</v>
      </c>
      <c r="AS1530" t="s">
        <v>601</v>
      </c>
      <c r="AT1530" t="s">
        <v>492</v>
      </c>
      <c r="AU1530">
        <v>2004</v>
      </c>
      <c r="AV1530">
        <v>59</v>
      </c>
      <c r="AW1530">
        <v>9</v>
      </c>
      <c r="AX1530" t="s">
        <v>74</v>
      </c>
      <c r="AY1530" t="s">
        <v>74</v>
      </c>
      <c r="AZ1530" t="s">
        <v>74</v>
      </c>
      <c r="BA1530" t="s">
        <v>74</v>
      </c>
      <c r="BB1530">
        <v>920</v>
      </c>
      <c r="BC1530">
        <v>926</v>
      </c>
      <c r="BD1530" t="s">
        <v>74</v>
      </c>
      <c r="BE1530" t="s">
        <v>15765</v>
      </c>
      <c r="BF1530" t="str">
        <f>HYPERLINK("http://dx.doi.org/10.1111/j.1398-9995.2004.00520.x","http://dx.doi.org/10.1111/j.1398-9995.2004.00520.x")</f>
        <v>http://dx.doi.org/10.1111/j.1398-9995.2004.00520.x</v>
      </c>
      <c r="BG1530" t="s">
        <v>74</v>
      </c>
      <c r="BH1530" t="s">
        <v>74</v>
      </c>
      <c r="BI1530">
        <v>7</v>
      </c>
      <c r="BJ1530" t="s">
        <v>3085</v>
      </c>
      <c r="BK1530" t="s">
        <v>101</v>
      </c>
      <c r="BL1530" t="s">
        <v>3085</v>
      </c>
      <c r="BM1530" t="s">
        <v>15764</v>
      </c>
      <c r="BN1530">
        <v>15291898</v>
      </c>
      <c r="BO1530" t="s">
        <v>74</v>
      </c>
      <c r="BP1530" t="s">
        <v>74</v>
      </c>
      <c r="BQ1530" t="s">
        <v>74</v>
      </c>
      <c r="BR1530" t="s">
        <v>104</v>
      </c>
      <c r="BS1530" t="s">
        <v>15763</v>
      </c>
      <c r="BT1530" t="str">
        <f>HYPERLINK("https%3A%2F%2Fwww.webofscience.com%2Fwos%2Fwoscc%2Ffull-record%2FWOS:000223057200004","View Full Record in Web of Science")</f>
        <v>View Full Record in Web of Science</v>
      </c>
    </row>
    <row r="1531" spans="1:72" x14ac:dyDescent="0.25">
      <c r="A1531" t="s">
        <v>72</v>
      </c>
      <c r="B1531" t="s">
        <v>15762</v>
      </c>
      <c r="C1531" t="s">
        <v>74</v>
      </c>
      <c r="D1531" t="s">
        <v>74</v>
      </c>
      <c r="E1531" t="s">
        <v>74</v>
      </c>
      <c r="F1531" t="s">
        <v>15762</v>
      </c>
      <c r="G1531" t="s">
        <v>74</v>
      </c>
      <c r="H1531" t="s">
        <v>74</v>
      </c>
      <c r="I1531" t="s">
        <v>15761</v>
      </c>
      <c r="J1531" t="s">
        <v>15500</v>
      </c>
      <c r="K1531" t="s">
        <v>74</v>
      </c>
      <c r="L1531" t="s">
        <v>74</v>
      </c>
      <c r="M1531" t="s">
        <v>78</v>
      </c>
      <c r="N1531" t="s">
        <v>52</v>
      </c>
      <c r="O1531" t="s">
        <v>15760</v>
      </c>
      <c r="P1531" t="s">
        <v>15759</v>
      </c>
      <c r="Q1531" t="s">
        <v>15758</v>
      </c>
      <c r="R1531" t="s">
        <v>10882</v>
      </c>
      <c r="S1531" t="s">
        <v>74</v>
      </c>
      <c r="T1531" t="s">
        <v>74</v>
      </c>
      <c r="U1531" t="s">
        <v>74</v>
      </c>
      <c r="V1531" t="s">
        <v>74</v>
      </c>
      <c r="W1531" t="s">
        <v>15757</v>
      </c>
      <c r="X1531" t="s">
        <v>15756</v>
      </c>
      <c r="Y1531" t="s">
        <v>74</v>
      </c>
      <c r="Z1531" t="s">
        <v>74</v>
      </c>
      <c r="AA1531" t="s">
        <v>15593</v>
      </c>
      <c r="AB1531" t="s">
        <v>4885</v>
      </c>
      <c r="AC1531" t="s">
        <v>74</v>
      </c>
      <c r="AD1531" t="s">
        <v>74</v>
      </c>
      <c r="AE1531" t="s">
        <v>74</v>
      </c>
      <c r="AF1531" t="s">
        <v>74</v>
      </c>
      <c r="AG1531">
        <v>0</v>
      </c>
      <c r="AH1531">
        <v>0</v>
      </c>
      <c r="AI1531">
        <v>0</v>
      </c>
      <c r="AJ1531">
        <v>0</v>
      </c>
      <c r="AK1531">
        <v>0</v>
      </c>
      <c r="AL1531" t="s">
        <v>15493</v>
      </c>
      <c r="AM1531" t="s">
        <v>170</v>
      </c>
      <c r="AN1531" t="s">
        <v>15755</v>
      </c>
      <c r="AO1531" t="s">
        <v>15491</v>
      </c>
      <c r="AP1531" t="s">
        <v>74</v>
      </c>
      <c r="AQ1531" t="s">
        <v>74</v>
      </c>
      <c r="AR1531" t="s">
        <v>15490</v>
      </c>
      <c r="AS1531" t="s">
        <v>15489</v>
      </c>
      <c r="AT1531" t="s">
        <v>492</v>
      </c>
      <c r="AU1531">
        <v>2004</v>
      </c>
      <c r="AV1531">
        <v>50</v>
      </c>
      <c r="AW1531">
        <v>9</v>
      </c>
      <c r="AX1531" t="s">
        <v>74</v>
      </c>
      <c r="AY1531" t="s">
        <v>998</v>
      </c>
      <c r="AZ1531" t="s">
        <v>74</v>
      </c>
      <c r="BA1531" t="s">
        <v>74</v>
      </c>
      <c r="BB1531" t="s">
        <v>15754</v>
      </c>
      <c r="BC1531" t="s">
        <v>15754</v>
      </c>
      <c r="BD1531" t="s">
        <v>74</v>
      </c>
      <c r="BE1531" t="s">
        <v>74</v>
      </c>
      <c r="BF1531" t="s">
        <v>74</v>
      </c>
      <c r="BG1531" t="s">
        <v>74</v>
      </c>
      <c r="BH1531" t="s">
        <v>74</v>
      </c>
      <c r="BI1531">
        <v>1</v>
      </c>
      <c r="BJ1531" t="s">
        <v>2369</v>
      </c>
      <c r="BK1531" t="s">
        <v>14074</v>
      </c>
      <c r="BL1531" t="s">
        <v>2369</v>
      </c>
      <c r="BM1531" t="s">
        <v>15753</v>
      </c>
      <c r="BN1531" t="s">
        <v>74</v>
      </c>
      <c r="BO1531" t="s">
        <v>74</v>
      </c>
      <c r="BP1531" t="s">
        <v>74</v>
      </c>
      <c r="BQ1531" t="s">
        <v>74</v>
      </c>
      <c r="BR1531" t="s">
        <v>104</v>
      </c>
      <c r="BS1531" t="s">
        <v>15752</v>
      </c>
      <c r="BT1531" t="str">
        <f>HYPERLINK("https%3A%2F%2Fwww.webofscience.com%2Fwos%2Fwoscc%2Ffull-record%2FWOS:000223799001130","View Full Record in Web of Science")</f>
        <v>View Full Record in Web of Science</v>
      </c>
    </row>
    <row r="1532" spans="1:72" x14ac:dyDescent="0.25">
      <c r="A1532" t="s">
        <v>72</v>
      </c>
      <c r="B1532" t="s">
        <v>15751</v>
      </c>
      <c r="C1532" t="s">
        <v>74</v>
      </c>
      <c r="D1532" t="s">
        <v>74</v>
      </c>
      <c r="E1532" t="s">
        <v>74</v>
      </c>
      <c r="F1532" t="s">
        <v>15751</v>
      </c>
      <c r="G1532" t="s">
        <v>74</v>
      </c>
      <c r="H1532" t="s">
        <v>74</v>
      </c>
      <c r="I1532" t="s">
        <v>15750</v>
      </c>
      <c r="J1532" t="s">
        <v>216</v>
      </c>
      <c r="K1532" t="s">
        <v>74</v>
      </c>
      <c r="L1532" t="s">
        <v>74</v>
      </c>
      <c r="M1532" t="s">
        <v>78</v>
      </c>
      <c r="N1532" t="s">
        <v>79</v>
      </c>
      <c r="O1532" t="s">
        <v>74</v>
      </c>
      <c r="P1532" t="s">
        <v>74</v>
      </c>
      <c r="Q1532" t="s">
        <v>74</v>
      </c>
      <c r="R1532" t="s">
        <v>74</v>
      </c>
      <c r="S1532" t="s">
        <v>74</v>
      </c>
      <c r="T1532" t="s">
        <v>15749</v>
      </c>
      <c r="U1532" t="s">
        <v>15748</v>
      </c>
      <c r="V1532" t="s">
        <v>15747</v>
      </c>
      <c r="W1532" t="s">
        <v>15746</v>
      </c>
      <c r="X1532" t="s">
        <v>15745</v>
      </c>
      <c r="Y1532" t="s">
        <v>15744</v>
      </c>
      <c r="Z1532" t="s">
        <v>15743</v>
      </c>
      <c r="AA1532" t="s">
        <v>15742</v>
      </c>
      <c r="AB1532" t="s">
        <v>15741</v>
      </c>
      <c r="AC1532" t="s">
        <v>74</v>
      </c>
      <c r="AD1532" t="s">
        <v>74</v>
      </c>
      <c r="AE1532" t="s">
        <v>74</v>
      </c>
      <c r="AF1532" t="s">
        <v>74</v>
      </c>
      <c r="AG1532">
        <v>30</v>
      </c>
      <c r="AH1532">
        <v>482</v>
      </c>
      <c r="AI1532">
        <v>516</v>
      </c>
      <c r="AJ1532">
        <v>0</v>
      </c>
      <c r="AK1532">
        <v>12</v>
      </c>
      <c r="AL1532" t="s">
        <v>219</v>
      </c>
      <c r="AM1532" t="s">
        <v>220</v>
      </c>
      <c r="AN1532" t="s">
        <v>221</v>
      </c>
      <c r="AO1532" t="s">
        <v>222</v>
      </c>
      <c r="AP1532" t="s">
        <v>223</v>
      </c>
      <c r="AQ1532" t="s">
        <v>74</v>
      </c>
      <c r="AR1532" t="s">
        <v>224</v>
      </c>
      <c r="AS1532" t="s">
        <v>225</v>
      </c>
      <c r="AT1532" t="s">
        <v>492</v>
      </c>
      <c r="AU1532">
        <v>2004</v>
      </c>
      <c r="AV1532">
        <v>24</v>
      </c>
      <c r="AW1532">
        <v>3</v>
      </c>
      <c r="AX1532" t="s">
        <v>74</v>
      </c>
      <c r="AY1532" t="s">
        <v>74</v>
      </c>
      <c r="AZ1532" t="s">
        <v>74</v>
      </c>
      <c r="BA1532" t="s">
        <v>74</v>
      </c>
      <c r="BB1532">
        <v>353</v>
      </c>
      <c r="BC1532">
        <v>359</v>
      </c>
      <c r="BD1532" t="s">
        <v>74</v>
      </c>
      <c r="BE1532" t="s">
        <v>15740</v>
      </c>
      <c r="BF1532" t="str">
        <f>HYPERLINK("http://dx.doi.org/10.1183/09031936.04.00028404","http://dx.doi.org/10.1183/09031936.04.00028404")</f>
        <v>http://dx.doi.org/10.1183/09031936.04.00028404</v>
      </c>
      <c r="BG1532" t="s">
        <v>74</v>
      </c>
      <c r="BH1532" t="s">
        <v>74</v>
      </c>
      <c r="BI1532">
        <v>7</v>
      </c>
      <c r="BJ1532" t="s">
        <v>228</v>
      </c>
      <c r="BK1532" t="s">
        <v>101</v>
      </c>
      <c r="BL1532" t="s">
        <v>228</v>
      </c>
      <c r="BM1532" t="s">
        <v>15739</v>
      </c>
      <c r="BN1532">
        <v>15358690</v>
      </c>
      <c r="BO1532" t="s">
        <v>1194</v>
      </c>
      <c r="BP1532" t="s">
        <v>74</v>
      </c>
      <c r="BQ1532" t="s">
        <v>74</v>
      </c>
      <c r="BR1532" t="s">
        <v>104</v>
      </c>
      <c r="BS1532" t="s">
        <v>15738</v>
      </c>
      <c r="BT1532" t="str">
        <f>HYPERLINK("https%3A%2F%2Fwww.webofscience.com%2Fwos%2Fwoscc%2Ffull-record%2FWOS:000223757400008","View Full Record in Web of Science")</f>
        <v>View Full Record in Web of Science</v>
      </c>
    </row>
    <row r="1533" spans="1:72" x14ac:dyDescent="0.25">
      <c r="A1533" t="s">
        <v>72</v>
      </c>
      <c r="B1533" t="s">
        <v>15737</v>
      </c>
      <c r="C1533" t="s">
        <v>74</v>
      </c>
      <c r="D1533" t="s">
        <v>74</v>
      </c>
      <c r="E1533" t="s">
        <v>74</v>
      </c>
      <c r="F1533" t="s">
        <v>15737</v>
      </c>
      <c r="G1533" t="s">
        <v>74</v>
      </c>
      <c r="H1533" t="s">
        <v>15736</v>
      </c>
      <c r="I1533" t="s">
        <v>15735</v>
      </c>
      <c r="J1533" t="s">
        <v>1068</v>
      </c>
      <c r="K1533" t="s">
        <v>74</v>
      </c>
      <c r="L1533" t="s">
        <v>74</v>
      </c>
      <c r="M1533" t="s">
        <v>78</v>
      </c>
      <c r="N1533" t="s">
        <v>52</v>
      </c>
      <c r="O1533" t="s">
        <v>15728</v>
      </c>
      <c r="P1533" t="s">
        <v>15727</v>
      </c>
      <c r="Q1533" t="s">
        <v>8580</v>
      </c>
      <c r="R1533" t="s">
        <v>15726</v>
      </c>
      <c r="S1533" t="s">
        <v>74</v>
      </c>
      <c r="T1533" t="s">
        <v>74</v>
      </c>
      <c r="U1533" t="s">
        <v>74</v>
      </c>
      <c r="V1533" t="s">
        <v>74</v>
      </c>
      <c r="W1533" t="s">
        <v>15734</v>
      </c>
      <c r="X1533" t="s">
        <v>15733</v>
      </c>
      <c r="Y1533" t="s">
        <v>74</v>
      </c>
      <c r="Z1533" t="s">
        <v>74</v>
      </c>
      <c r="AA1533" t="s">
        <v>15732</v>
      </c>
      <c r="AB1533" t="s">
        <v>4885</v>
      </c>
      <c r="AC1533" t="s">
        <v>74</v>
      </c>
      <c r="AD1533" t="s">
        <v>74</v>
      </c>
      <c r="AE1533" t="s">
        <v>74</v>
      </c>
      <c r="AF1533" t="s">
        <v>74</v>
      </c>
      <c r="AG1533">
        <v>0</v>
      </c>
      <c r="AH1533">
        <v>0</v>
      </c>
      <c r="AI1533">
        <v>0</v>
      </c>
      <c r="AJ1533">
        <v>0</v>
      </c>
      <c r="AK1533">
        <v>0</v>
      </c>
      <c r="AL1533" t="s">
        <v>200</v>
      </c>
      <c r="AM1533" t="s">
        <v>201</v>
      </c>
      <c r="AN1533" t="s">
        <v>202</v>
      </c>
      <c r="AO1533" t="s">
        <v>1076</v>
      </c>
      <c r="AP1533" t="s">
        <v>74</v>
      </c>
      <c r="AQ1533" t="s">
        <v>74</v>
      </c>
      <c r="AR1533" t="s">
        <v>1078</v>
      </c>
      <c r="AS1533" t="s">
        <v>1079</v>
      </c>
      <c r="AT1533" t="s">
        <v>15456</v>
      </c>
      <c r="AU1533">
        <v>2004</v>
      </c>
      <c r="AV1533">
        <v>25</v>
      </c>
      <c r="AW1533" t="s">
        <v>74</v>
      </c>
      <c r="AX1533" t="s">
        <v>74</v>
      </c>
      <c r="AY1533" t="s">
        <v>998</v>
      </c>
      <c r="AZ1533" t="s">
        <v>74</v>
      </c>
      <c r="BA1533" t="s">
        <v>74</v>
      </c>
      <c r="BB1533">
        <v>21</v>
      </c>
      <c r="BC1533">
        <v>21</v>
      </c>
      <c r="BD1533" t="s">
        <v>74</v>
      </c>
      <c r="BE1533" t="s">
        <v>74</v>
      </c>
      <c r="BF1533" t="s">
        <v>74</v>
      </c>
      <c r="BG1533" t="s">
        <v>74</v>
      </c>
      <c r="BH1533" t="s">
        <v>74</v>
      </c>
      <c r="BI1533">
        <v>1</v>
      </c>
      <c r="BJ1533" t="s">
        <v>132</v>
      </c>
      <c r="BK1533" t="s">
        <v>14074</v>
      </c>
      <c r="BL1533" t="s">
        <v>133</v>
      </c>
      <c r="BM1533" t="s">
        <v>15722</v>
      </c>
      <c r="BN1533" t="s">
        <v>74</v>
      </c>
      <c r="BO1533" t="s">
        <v>74</v>
      </c>
      <c r="BP1533" t="s">
        <v>74</v>
      </c>
      <c r="BQ1533" t="s">
        <v>74</v>
      </c>
      <c r="BR1533" t="s">
        <v>104</v>
      </c>
      <c r="BS1533" t="s">
        <v>15731</v>
      </c>
      <c r="BT1533" t="str">
        <f>HYPERLINK("https%3A%2F%2Fwww.webofscience.com%2Fwos%2Fwoscc%2Ffull-record%2FWOS:000224056500074","View Full Record in Web of Science")</f>
        <v>View Full Record in Web of Science</v>
      </c>
    </row>
    <row r="1534" spans="1:72" x14ac:dyDescent="0.25">
      <c r="A1534" t="s">
        <v>72</v>
      </c>
      <c r="B1534" t="s">
        <v>15730</v>
      </c>
      <c r="C1534" t="s">
        <v>74</v>
      </c>
      <c r="D1534" t="s">
        <v>74</v>
      </c>
      <c r="E1534" t="s">
        <v>74</v>
      </c>
      <c r="F1534" t="s">
        <v>15730</v>
      </c>
      <c r="G1534" t="s">
        <v>74</v>
      </c>
      <c r="H1534" t="s">
        <v>74</v>
      </c>
      <c r="I1534" t="s">
        <v>15729</v>
      </c>
      <c r="J1534" t="s">
        <v>1068</v>
      </c>
      <c r="K1534" t="s">
        <v>74</v>
      </c>
      <c r="L1534" t="s">
        <v>74</v>
      </c>
      <c r="M1534" t="s">
        <v>78</v>
      </c>
      <c r="N1534" t="s">
        <v>52</v>
      </c>
      <c r="O1534" t="s">
        <v>15728</v>
      </c>
      <c r="P1534" t="s">
        <v>15727</v>
      </c>
      <c r="Q1534" t="s">
        <v>8580</v>
      </c>
      <c r="R1534" t="s">
        <v>15726</v>
      </c>
      <c r="S1534" t="s">
        <v>74</v>
      </c>
      <c r="T1534" t="s">
        <v>74</v>
      </c>
      <c r="U1534" t="s">
        <v>74</v>
      </c>
      <c r="V1534" t="s">
        <v>74</v>
      </c>
      <c r="W1534" t="s">
        <v>15725</v>
      </c>
      <c r="X1534" t="s">
        <v>15724</v>
      </c>
      <c r="Y1534" t="s">
        <v>74</v>
      </c>
      <c r="Z1534" t="s">
        <v>74</v>
      </c>
      <c r="AA1534" t="s">
        <v>15723</v>
      </c>
      <c r="AB1534" t="s">
        <v>74</v>
      </c>
      <c r="AC1534" t="s">
        <v>74</v>
      </c>
      <c r="AD1534" t="s">
        <v>74</v>
      </c>
      <c r="AE1534" t="s">
        <v>74</v>
      </c>
      <c r="AF1534" t="s">
        <v>74</v>
      </c>
      <c r="AG1534">
        <v>0</v>
      </c>
      <c r="AH1534">
        <v>1</v>
      </c>
      <c r="AI1534">
        <v>1</v>
      </c>
      <c r="AJ1534">
        <v>1</v>
      </c>
      <c r="AK1534">
        <v>1</v>
      </c>
      <c r="AL1534" t="s">
        <v>200</v>
      </c>
      <c r="AM1534" t="s">
        <v>201</v>
      </c>
      <c r="AN1534" t="s">
        <v>202</v>
      </c>
      <c r="AO1534" t="s">
        <v>1076</v>
      </c>
      <c r="AP1534" t="s">
        <v>74</v>
      </c>
      <c r="AQ1534" t="s">
        <v>74</v>
      </c>
      <c r="AR1534" t="s">
        <v>1078</v>
      </c>
      <c r="AS1534" t="s">
        <v>1079</v>
      </c>
      <c r="AT1534" t="s">
        <v>15456</v>
      </c>
      <c r="AU1534">
        <v>2004</v>
      </c>
      <c r="AV1534">
        <v>25</v>
      </c>
      <c r="AW1534" t="s">
        <v>74</v>
      </c>
      <c r="AX1534" t="s">
        <v>74</v>
      </c>
      <c r="AY1534" t="s">
        <v>998</v>
      </c>
      <c r="AZ1534" t="s">
        <v>74</v>
      </c>
      <c r="BA1534" t="s">
        <v>74</v>
      </c>
      <c r="BB1534">
        <v>22</v>
      </c>
      <c r="BC1534">
        <v>22</v>
      </c>
      <c r="BD1534" t="s">
        <v>74</v>
      </c>
      <c r="BE1534" t="s">
        <v>74</v>
      </c>
      <c r="BF1534" t="s">
        <v>74</v>
      </c>
      <c r="BG1534" t="s">
        <v>74</v>
      </c>
      <c r="BH1534" t="s">
        <v>74</v>
      </c>
      <c r="BI1534">
        <v>1</v>
      </c>
      <c r="BJ1534" t="s">
        <v>132</v>
      </c>
      <c r="BK1534" t="s">
        <v>14074</v>
      </c>
      <c r="BL1534" t="s">
        <v>133</v>
      </c>
      <c r="BM1534" t="s">
        <v>15722</v>
      </c>
      <c r="BN1534" t="s">
        <v>74</v>
      </c>
      <c r="BO1534" t="s">
        <v>74</v>
      </c>
      <c r="BP1534" t="s">
        <v>74</v>
      </c>
      <c r="BQ1534" t="s">
        <v>74</v>
      </c>
      <c r="BR1534" t="s">
        <v>104</v>
      </c>
      <c r="BS1534" t="s">
        <v>15721</v>
      </c>
      <c r="BT1534" t="str">
        <f>HYPERLINK("https%3A%2F%2Fwww.webofscience.com%2Fwos%2Fwoscc%2Ffull-record%2FWOS:000224056500078","View Full Record in Web of Science")</f>
        <v>View Full Record in Web of Science</v>
      </c>
    </row>
    <row r="1535" spans="1:72" x14ac:dyDescent="0.25">
      <c r="A1535" t="s">
        <v>72</v>
      </c>
      <c r="B1535" t="s">
        <v>15720</v>
      </c>
      <c r="C1535" t="s">
        <v>74</v>
      </c>
      <c r="D1535" t="s">
        <v>74</v>
      </c>
      <c r="E1535" t="s">
        <v>74</v>
      </c>
      <c r="F1535" t="s">
        <v>15719</v>
      </c>
      <c r="G1535" t="s">
        <v>74</v>
      </c>
      <c r="H1535" t="s">
        <v>74</v>
      </c>
      <c r="I1535" t="s">
        <v>15718</v>
      </c>
      <c r="J1535" t="s">
        <v>1924</v>
      </c>
      <c r="K1535" t="s">
        <v>74</v>
      </c>
      <c r="L1535" t="s">
        <v>74</v>
      </c>
      <c r="M1535" t="s">
        <v>78</v>
      </c>
      <c r="N1535" t="s">
        <v>52</v>
      </c>
      <c r="O1535" t="s">
        <v>74</v>
      </c>
      <c r="P1535" t="s">
        <v>74</v>
      </c>
      <c r="Q1535" t="s">
        <v>74</v>
      </c>
      <c r="R1535" t="s">
        <v>74</v>
      </c>
      <c r="S1535" t="s">
        <v>74</v>
      </c>
      <c r="T1535" t="s">
        <v>74</v>
      </c>
      <c r="U1535" t="s">
        <v>74</v>
      </c>
      <c r="V1535" t="s">
        <v>74</v>
      </c>
      <c r="W1535" t="s">
        <v>15717</v>
      </c>
      <c r="X1535" t="s">
        <v>15716</v>
      </c>
      <c r="Y1535" t="s">
        <v>74</v>
      </c>
      <c r="Z1535" t="s">
        <v>74</v>
      </c>
      <c r="AA1535" t="s">
        <v>15715</v>
      </c>
      <c r="AB1535" t="s">
        <v>74</v>
      </c>
      <c r="AC1535" t="s">
        <v>74</v>
      </c>
      <c r="AD1535" t="s">
        <v>74</v>
      </c>
      <c r="AE1535" t="s">
        <v>74</v>
      </c>
      <c r="AF1535" t="s">
        <v>74</v>
      </c>
      <c r="AG1535">
        <v>0</v>
      </c>
      <c r="AH1535">
        <v>0</v>
      </c>
      <c r="AI1535">
        <v>0</v>
      </c>
      <c r="AJ1535">
        <v>0</v>
      </c>
      <c r="AK1535">
        <v>0</v>
      </c>
      <c r="AL1535" t="s">
        <v>10904</v>
      </c>
      <c r="AM1535" t="s">
        <v>170</v>
      </c>
      <c r="AN1535" t="s">
        <v>171</v>
      </c>
      <c r="AO1535" t="s">
        <v>1929</v>
      </c>
      <c r="AP1535" t="s">
        <v>74</v>
      </c>
      <c r="AQ1535" t="s">
        <v>74</v>
      </c>
      <c r="AR1535" t="s">
        <v>1931</v>
      </c>
      <c r="AS1535" t="s">
        <v>1932</v>
      </c>
      <c r="AT1535" t="s">
        <v>785</v>
      </c>
      <c r="AU1535">
        <v>2004</v>
      </c>
      <c r="AV1535">
        <v>18</v>
      </c>
      <c r="AW1535" t="s">
        <v>74</v>
      </c>
      <c r="AX1535" t="s">
        <v>74</v>
      </c>
      <c r="AY1535">
        <v>1</v>
      </c>
      <c r="AZ1535" t="s">
        <v>74</v>
      </c>
      <c r="BA1535" t="s">
        <v>74</v>
      </c>
      <c r="BB1535">
        <v>127</v>
      </c>
      <c r="BC1535">
        <v>127</v>
      </c>
      <c r="BD1535" t="s">
        <v>74</v>
      </c>
      <c r="BE1535" t="s">
        <v>74</v>
      </c>
      <c r="BF1535" t="s">
        <v>74</v>
      </c>
      <c r="BG1535" t="s">
        <v>74</v>
      </c>
      <c r="BH1535" t="s">
        <v>74</v>
      </c>
      <c r="BI1535">
        <v>1</v>
      </c>
      <c r="BJ1535" t="s">
        <v>1477</v>
      </c>
      <c r="BK1535" t="s">
        <v>101</v>
      </c>
      <c r="BL1535" t="s">
        <v>1477</v>
      </c>
      <c r="BM1535" t="s">
        <v>15714</v>
      </c>
      <c r="BN1535" t="s">
        <v>74</v>
      </c>
      <c r="BO1535" t="s">
        <v>74</v>
      </c>
      <c r="BP1535" t="s">
        <v>74</v>
      </c>
      <c r="BQ1535" t="s">
        <v>74</v>
      </c>
      <c r="BR1535" t="s">
        <v>104</v>
      </c>
      <c r="BS1535" t="s">
        <v>15713</v>
      </c>
      <c r="BT1535" t="str">
        <f>HYPERLINK("https%3A%2F%2Fwww.webofscience.com%2Fwos%2Fwoscc%2Ffull-record%2FWOS:000208663600721","View Full Record in Web of Science")</f>
        <v>View Full Record in Web of Science</v>
      </c>
    </row>
    <row r="1536" spans="1:72" x14ac:dyDescent="0.25">
      <c r="A1536" t="s">
        <v>72</v>
      </c>
      <c r="B1536" t="s">
        <v>15712</v>
      </c>
      <c r="C1536" t="s">
        <v>74</v>
      </c>
      <c r="D1536" t="s">
        <v>74</v>
      </c>
      <c r="E1536" t="s">
        <v>74</v>
      </c>
      <c r="F1536" t="s">
        <v>15712</v>
      </c>
      <c r="G1536" t="s">
        <v>74</v>
      </c>
      <c r="H1536" t="s">
        <v>74</v>
      </c>
      <c r="I1536" t="s">
        <v>15711</v>
      </c>
      <c r="J1536" t="s">
        <v>2580</v>
      </c>
      <c r="K1536" t="s">
        <v>74</v>
      </c>
      <c r="L1536" t="s">
        <v>74</v>
      </c>
      <c r="M1536" t="s">
        <v>78</v>
      </c>
      <c r="N1536" t="s">
        <v>52</v>
      </c>
      <c r="O1536" t="s">
        <v>15693</v>
      </c>
      <c r="P1536" t="s">
        <v>15692</v>
      </c>
      <c r="Q1536" t="s">
        <v>15691</v>
      </c>
      <c r="R1536" t="s">
        <v>74</v>
      </c>
      <c r="S1536" t="s">
        <v>74</v>
      </c>
      <c r="T1536" t="s">
        <v>74</v>
      </c>
      <c r="U1536" t="s">
        <v>74</v>
      </c>
      <c r="V1536" t="s">
        <v>74</v>
      </c>
      <c r="W1536" t="s">
        <v>15710</v>
      </c>
      <c r="X1536" t="s">
        <v>15709</v>
      </c>
      <c r="Y1536" t="s">
        <v>74</v>
      </c>
      <c r="Z1536" t="s">
        <v>74</v>
      </c>
      <c r="AA1536" t="s">
        <v>15708</v>
      </c>
      <c r="AB1536" t="s">
        <v>4885</v>
      </c>
      <c r="AC1536" t="s">
        <v>74</v>
      </c>
      <c r="AD1536" t="s">
        <v>74</v>
      </c>
      <c r="AE1536" t="s">
        <v>74</v>
      </c>
      <c r="AF1536" t="s">
        <v>74</v>
      </c>
      <c r="AG1536">
        <v>0</v>
      </c>
      <c r="AH1536">
        <v>1</v>
      </c>
      <c r="AI1536">
        <v>1</v>
      </c>
      <c r="AJ1536">
        <v>0</v>
      </c>
      <c r="AK1536">
        <v>0</v>
      </c>
      <c r="AL1536" t="s">
        <v>15444</v>
      </c>
      <c r="AM1536" t="s">
        <v>201</v>
      </c>
      <c r="AN1536" t="s">
        <v>2591</v>
      </c>
      <c r="AO1536" t="s">
        <v>2592</v>
      </c>
      <c r="AP1536" t="s">
        <v>74</v>
      </c>
      <c r="AQ1536" t="s">
        <v>74</v>
      </c>
      <c r="AR1536" t="s">
        <v>2594</v>
      </c>
      <c r="AS1536" t="s">
        <v>2595</v>
      </c>
      <c r="AT1536" t="s">
        <v>785</v>
      </c>
      <c r="AU1536">
        <v>2004</v>
      </c>
      <c r="AV1536">
        <v>63</v>
      </c>
      <c r="AW1536" t="s">
        <v>74</v>
      </c>
      <c r="AX1536" t="s">
        <v>74</v>
      </c>
      <c r="AY1536">
        <v>1</v>
      </c>
      <c r="AZ1536" t="s">
        <v>74</v>
      </c>
      <c r="BA1536" t="s">
        <v>74</v>
      </c>
      <c r="BB1536">
        <v>107</v>
      </c>
      <c r="BC1536">
        <v>108</v>
      </c>
      <c r="BD1536" t="s">
        <v>74</v>
      </c>
      <c r="BE1536" t="s">
        <v>74</v>
      </c>
      <c r="BF1536" t="s">
        <v>74</v>
      </c>
      <c r="BG1536" t="s">
        <v>74</v>
      </c>
      <c r="BH1536" t="s">
        <v>74</v>
      </c>
      <c r="BI1536">
        <v>2</v>
      </c>
      <c r="BJ1536" t="s">
        <v>2369</v>
      </c>
      <c r="BK1536" t="s">
        <v>14074</v>
      </c>
      <c r="BL1536" t="s">
        <v>2369</v>
      </c>
      <c r="BM1536" t="s">
        <v>15687</v>
      </c>
      <c r="BN1536" t="s">
        <v>74</v>
      </c>
      <c r="BO1536" t="s">
        <v>74</v>
      </c>
      <c r="BP1536" t="s">
        <v>74</v>
      </c>
      <c r="BQ1536" t="s">
        <v>74</v>
      </c>
      <c r="BR1536" t="s">
        <v>104</v>
      </c>
      <c r="BS1536" t="s">
        <v>15707</v>
      </c>
      <c r="BT1536" t="str">
        <f>HYPERLINK("https%3A%2F%2Fwww.webofscience.com%2Fwos%2Fwoscc%2Ffull-record%2FWOS:000224551500334","View Full Record in Web of Science")</f>
        <v>View Full Record in Web of Science</v>
      </c>
    </row>
    <row r="1537" spans="1:72" x14ac:dyDescent="0.25">
      <c r="A1537" t="s">
        <v>72</v>
      </c>
      <c r="B1537" t="s">
        <v>15706</v>
      </c>
      <c r="C1537" t="s">
        <v>74</v>
      </c>
      <c r="D1537" t="s">
        <v>74</v>
      </c>
      <c r="E1537" t="s">
        <v>74</v>
      </c>
      <c r="F1537" t="s">
        <v>15706</v>
      </c>
      <c r="G1537" t="s">
        <v>74</v>
      </c>
      <c r="H1537" t="s">
        <v>74</v>
      </c>
      <c r="I1537" t="s">
        <v>15705</v>
      </c>
      <c r="J1537" t="s">
        <v>14678</v>
      </c>
      <c r="K1537" t="s">
        <v>74</v>
      </c>
      <c r="L1537" t="s">
        <v>74</v>
      </c>
      <c r="M1537" t="s">
        <v>78</v>
      </c>
      <c r="N1537" t="s">
        <v>79</v>
      </c>
      <c r="O1537" t="s">
        <v>74</v>
      </c>
      <c r="P1537" t="s">
        <v>74</v>
      </c>
      <c r="Q1537" t="s">
        <v>74</v>
      </c>
      <c r="R1537" t="s">
        <v>74</v>
      </c>
      <c r="S1537" t="s">
        <v>74</v>
      </c>
      <c r="T1537" t="s">
        <v>74</v>
      </c>
      <c r="U1537" t="s">
        <v>15704</v>
      </c>
      <c r="V1537" t="s">
        <v>15703</v>
      </c>
      <c r="W1537" t="s">
        <v>15702</v>
      </c>
      <c r="X1537" t="s">
        <v>15701</v>
      </c>
      <c r="Y1537" t="s">
        <v>15700</v>
      </c>
      <c r="Z1537" t="s">
        <v>15699</v>
      </c>
      <c r="AA1537" t="s">
        <v>14550</v>
      </c>
      <c r="AB1537" t="s">
        <v>15276</v>
      </c>
      <c r="AC1537" t="s">
        <v>74</v>
      </c>
      <c r="AD1537" t="s">
        <v>74</v>
      </c>
      <c r="AE1537" t="s">
        <v>74</v>
      </c>
      <c r="AF1537" t="s">
        <v>74</v>
      </c>
      <c r="AG1537">
        <v>26</v>
      </c>
      <c r="AH1537">
        <v>179</v>
      </c>
      <c r="AI1537">
        <v>188</v>
      </c>
      <c r="AJ1537">
        <v>0</v>
      </c>
      <c r="AK1537">
        <v>3</v>
      </c>
      <c r="AL1537" t="s">
        <v>14674</v>
      </c>
      <c r="AM1537" t="s">
        <v>8832</v>
      </c>
      <c r="AN1537" t="s">
        <v>14673</v>
      </c>
      <c r="AO1537" t="s">
        <v>14672</v>
      </c>
      <c r="AP1537" t="s">
        <v>74</v>
      </c>
      <c r="AQ1537" t="s">
        <v>74</v>
      </c>
      <c r="AR1537" t="s">
        <v>14671</v>
      </c>
      <c r="AS1537" t="s">
        <v>14670</v>
      </c>
      <c r="AT1537" t="s">
        <v>785</v>
      </c>
      <c r="AU1537">
        <v>2004</v>
      </c>
      <c r="AV1537">
        <v>183</v>
      </c>
      <c r="AW1537">
        <v>1</v>
      </c>
      <c r="AX1537" t="s">
        <v>74</v>
      </c>
      <c r="AY1537" t="s">
        <v>74</v>
      </c>
      <c r="AZ1537" t="s">
        <v>74</v>
      </c>
      <c r="BA1537" t="s">
        <v>74</v>
      </c>
      <c r="BB1537">
        <v>65</v>
      </c>
      <c r="BC1537">
        <v>70</v>
      </c>
      <c r="BD1537" t="s">
        <v>74</v>
      </c>
      <c r="BE1537" t="s">
        <v>15698</v>
      </c>
      <c r="BF1537" t="str">
        <f>HYPERLINK("http://dx.doi.org/10.2214/ajr.183.1.1830065","http://dx.doi.org/10.2214/ajr.183.1.1830065")</f>
        <v>http://dx.doi.org/10.2214/ajr.183.1.1830065</v>
      </c>
      <c r="BG1537" t="s">
        <v>74</v>
      </c>
      <c r="BH1537" t="s">
        <v>74</v>
      </c>
      <c r="BI1537">
        <v>6</v>
      </c>
      <c r="BJ1537" t="s">
        <v>892</v>
      </c>
      <c r="BK1537" t="s">
        <v>101</v>
      </c>
      <c r="BL1537" t="s">
        <v>892</v>
      </c>
      <c r="BM1537" t="s">
        <v>15697</v>
      </c>
      <c r="BN1537">
        <v>15208112</v>
      </c>
      <c r="BO1537" t="s">
        <v>1194</v>
      </c>
      <c r="BP1537" t="s">
        <v>74</v>
      </c>
      <c r="BQ1537" t="s">
        <v>74</v>
      </c>
      <c r="BR1537" t="s">
        <v>104</v>
      </c>
      <c r="BS1537" t="s">
        <v>15696</v>
      </c>
      <c r="BT1537" t="str">
        <f>HYPERLINK("https%3A%2F%2Fwww.webofscience.com%2Fwos%2Fwoscc%2Ffull-record%2FWOS:000222163900014","View Full Record in Web of Science")</f>
        <v>View Full Record in Web of Science</v>
      </c>
    </row>
    <row r="1538" spans="1:72" x14ac:dyDescent="0.25">
      <c r="A1538" t="s">
        <v>72</v>
      </c>
      <c r="B1538" t="s">
        <v>15695</v>
      </c>
      <c r="C1538" t="s">
        <v>74</v>
      </c>
      <c r="D1538" t="s">
        <v>74</v>
      </c>
      <c r="E1538" t="s">
        <v>74</v>
      </c>
      <c r="F1538" t="s">
        <v>15695</v>
      </c>
      <c r="G1538" t="s">
        <v>74</v>
      </c>
      <c r="H1538" t="s">
        <v>74</v>
      </c>
      <c r="I1538" t="s">
        <v>15694</v>
      </c>
      <c r="J1538" t="s">
        <v>2580</v>
      </c>
      <c r="K1538" t="s">
        <v>74</v>
      </c>
      <c r="L1538" t="s">
        <v>74</v>
      </c>
      <c r="M1538" t="s">
        <v>78</v>
      </c>
      <c r="N1538" t="s">
        <v>52</v>
      </c>
      <c r="O1538" t="s">
        <v>15693</v>
      </c>
      <c r="P1538" t="s">
        <v>15692</v>
      </c>
      <c r="Q1538" t="s">
        <v>15691</v>
      </c>
      <c r="R1538" t="s">
        <v>74</v>
      </c>
      <c r="S1538" t="s">
        <v>74</v>
      </c>
      <c r="T1538" t="s">
        <v>74</v>
      </c>
      <c r="U1538" t="s">
        <v>74</v>
      </c>
      <c r="V1538" t="s">
        <v>74</v>
      </c>
      <c r="W1538" t="s">
        <v>15690</v>
      </c>
      <c r="X1538" t="s">
        <v>15689</v>
      </c>
      <c r="Y1538" t="s">
        <v>74</v>
      </c>
      <c r="Z1538" t="s">
        <v>74</v>
      </c>
      <c r="AA1538" t="s">
        <v>15688</v>
      </c>
      <c r="AB1538" t="s">
        <v>74</v>
      </c>
      <c r="AC1538" t="s">
        <v>74</v>
      </c>
      <c r="AD1538" t="s">
        <v>74</v>
      </c>
      <c r="AE1538" t="s">
        <v>74</v>
      </c>
      <c r="AF1538" t="s">
        <v>74</v>
      </c>
      <c r="AG1538">
        <v>0</v>
      </c>
      <c r="AH1538">
        <v>1</v>
      </c>
      <c r="AI1538">
        <v>1</v>
      </c>
      <c r="AJ1538">
        <v>0</v>
      </c>
      <c r="AK1538">
        <v>0</v>
      </c>
      <c r="AL1538" t="s">
        <v>15444</v>
      </c>
      <c r="AM1538" t="s">
        <v>201</v>
      </c>
      <c r="AN1538" t="s">
        <v>2591</v>
      </c>
      <c r="AO1538" t="s">
        <v>2592</v>
      </c>
      <c r="AP1538" t="s">
        <v>74</v>
      </c>
      <c r="AQ1538" t="s">
        <v>74</v>
      </c>
      <c r="AR1538" t="s">
        <v>2594</v>
      </c>
      <c r="AS1538" t="s">
        <v>2595</v>
      </c>
      <c r="AT1538" t="s">
        <v>785</v>
      </c>
      <c r="AU1538">
        <v>2004</v>
      </c>
      <c r="AV1538">
        <v>63</v>
      </c>
      <c r="AW1538" t="s">
        <v>74</v>
      </c>
      <c r="AX1538" t="s">
        <v>74</v>
      </c>
      <c r="AY1538">
        <v>1</v>
      </c>
      <c r="AZ1538" t="s">
        <v>74</v>
      </c>
      <c r="BA1538" t="s">
        <v>74</v>
      </c>
      <c r="BB1538">
        <v>346</v>
      </c>
      <c r="BC1538">
        <v>346</v>
      </c>
      <c r="BD1538" t="s">
        <v>74</v>
      </c>
      <c r="BE1538" t="s">
        <v>74</v>
      </c>
      <c r="BF1538" t="s">
        <v>74</v>
      </c>
      <c r="BG1538" t="s">
        <v>74</v>
      </c>
      <c r="BH1538" t="s">
        <v>74</v>
      </c>
      <c r="BI1538">
        <v>1</v>
      </c>
      <c r="BJ1538" t="s">
        <v>2369</v>
      </c>
      <c r="BK1538" t="s">
        <v>14074</v>
      </c>
      <c r="BL1538" t="s">
        <v>2369</v>
      </c>
      <c r="BM1538" t="s">
        <v>15687</v>
      </c>
      <c r="BN1538" t="s">
        <v>74</v>
      </c>
      <c r="BO1538" t="s">
        <v>74</v>
      </c>
      <c r="BP1538" t="s">
        <v>74</v>
      </c>
      <c r="BQ1538" t="s">
        <v>74</v>
      </c>
      <c r="BR1538" t="s">
        <v>104</v>
      </c>
      <c r="BS1538" t="s">
        <v>15686</v>
      </c>
      <c r="BT1538" t="str">
        <f>HYPERLINK("https%3A%2F%2Fwww.webofscience.com%2Fwos%2Fwoscc%2Ffull-record%2FWOS:000224551501161","View Full Record in Web of Science")</f>
        <v>View Full Record in Web of Science</v>
      </c>
    </row>
    <row r="1539" spans="1:72" x14ac:dyDescent="0.25">
      <c r="A1539" t="s">
        <v>72</v>
      </c>
      <c r="B1539" t="s">
        <v>15685</v>
      </c>
      <c r="C1539" t="s">
        <v>74</v>
      </c>
      <c r="D1539" t="s">
        <v>74</v>
      </c>
      <c r="E1539" t="s">
        <v>74</v>
      </c>
      <c r="F1539" t="s">
        <v>15685</v>
      </c>
      <c r="G1539" t="s">
        <v>74</v>
      </c>
      <c r="H1539" t="s">
        <v>74</v>
      </c>
      <c r="I1539" t="s">
        <v>15684</v>
      </c>
      <c r="J1539" t="s">
        <v>5624</v>
      </c>
      <c r="K1539" t="s">
        <v>74</v>
      </c>
      <c r="L1539" t="s">
        <v>74</v>
      </c>
      <c r="M1539" t="s">
        <v>78</v>
      </c>
      <c r="N1539" t="s">
        <v>79</v>
      </c>
      <c r="O1539" t="s">
        <v>74</v>
      </c>
      <c r="P1539" t="s">
        <v>74</v>
      </c>
      <c r="Q1539" t="s">
        <v>74</v>
      </c>
      <c r="R1539" t="s">
        <v>74</v>
      </c>
      <c r="S1539" t="s">
        <v>74</v>
      </c>
      <c r="T1539" t="s">
        <v>15683</v>
      </c>
      <c r="U1539" t="s">
        <v>15682</v>
      </c>
      <c r="V1539" t="s">
        <v>15681</v>
      </c>
      <c r="W1539" t="s">
        <v>15680</v>
      </c>
      <c r="X1539" t="s">
        <v>15679</v>
      </c>
      <c r="Y1539" t="s">
        <v>15678</v>
      </c>
      <c r="Z1539" t="s">
        <v>74</v>
      </c>
      <c r="AA1539" t="s">
        <v>15677</v>
      </c>
      <c r="AB1539" t="s">
        <v>257</v>
      </c>
      <c r="AC1539" t="s">
        <v>74</v>
      </c>
      <c r="AD1539" t="s">
        <v>74</v>
      </c>
      <c r="AE1539" t="s">
        <v>74</v>
      </c>
      <c r="AF1539" t="s">
        <v>74</v>
      </c>
      <c r="AG1539">
        <v>39</v>
      </c>
      <c r="AH1539">
        <v>310</v>
      </c>
      <c r="AI1539">
        <v>335</v>
      </c>
      <c r="AJ1539">
        <v>1</v>
      </c>
      <c r="AK1539">
        <v>13</v>
      </c>
      <c r="AL1539" t="s">
        <v>15676</v>
      </c>
      <c r="AM1539" t="s">
        <v>14339</v>
      </c>
      <c r="AN1539" t="s">
        <v>14338</v>
      </c>
      <c r="AO1539" t="s">
        <v>5636</v>
      </c>
      <c r="AP1539" t="s">
        <v>74</v>
      </c>
      <c r="AQ1539" t="s">
        <v>74</v>
      </c>
      <c r="AR1539" t="s">
        <v>5624</v>
      </c>
      <c r="AS1539" t="s">
        <v>601</v>
      </c>
      <c r="AT1539" t="s">
        <v>785</v>
      </c>
      <c r="AU1539">
        <v>2004</v>
      </c>
      <c r="AV1539">
        <v>59</v>
      </c>
      <c r="AW1539">
        <v>7</v>
      </c>
      <c r="AX1539" t="s">
        <v>74</v>
      </c>
      <c r="AY1539" t="s">
        <v>74</v>
      </c>
      <c r="AZ1539" t="s">
        <v>74</v>
      </c>
      <c r="BA1539" t="s">
        <v>74</v>
      </c>
      <c r="BB1539">
        <v>709</v>
      </c>
      <c r="BC1539">
        <v>717</v>
      </c>
      <c r="BD1539" t="s">
        <v>74</v>
      </c>
      <c r="BE1539" t="s">
        <v>15675</v>
      </c>
      <c r="BF1539" t="str">
        <f>HYPERLINK("http://dx.doi.org/10.1111/j.1398-9995.2004.00550.x","http://dx.doi.org/10.1111/j.1398-9995.2004.00550.x")</f>
        <v>http://dx.doi.org/10.1111/j.1398-9995.2004.00550.x</v>
      </c>
      <c r="BG1539" t="s">
        <v>74</v>
      </c>
      <c r="BH1539" t="s">
        <v>74</v>
      </c>
      <c r="BI1539">
        <v>9</v>
      </c>
      <c r="BJ1539" t="s">
        <v>3085</v>
      </c>
      <c r="BK1539" t="s">
        <v>101</v>
      </c>
      <c r="BL1539" t="s">
        <v>3085</v>
      </c>
      <c r="BM1539" t="s">
        <v>15674</v>
      </c>
      <c r="BN1539">
        <v>15180757</v>
      </c>
      <c r="BO1539" t="s">
        <v>74</v>
      </c>
      <c r="BP1539" t="s">
        <v>74</v>
      </c>
      <c r="BQ1539" t="s">
        <v>74</v>
      </c>
      <c r="BR1539" t="s">
        <v>104</v>
      </c>
      <c r="BS1539" t="s">
        <v>15673</v>
      </c>
      <c r="BT1539" t="str">
        <f>HYPERLINK("https%3A%2F%2Fwww.webofscience.com%2Fwos%2Fwoscc%2Ffull-record%2FWOS:000221852800005","View Full Record in Web of Science")</f>
        <v>View Full Record in Web of Science</v>
      </c>
    </row>
    <row r="1540" spans="1:72" x14ac:dyDescent="0.25">
      <c r="A1540" t="s">
        <v>72</v>
      </c>
      <c r="B1540" t="s">
        <v>15672</v>
      </c>
      <c r="C1540" t="s">
        <v>74</v>
      </c>
      <c r="D1540" t="s">
        <v>74</v>
      </c>
      <c r="E1540" t="s">
        <v>74</v>
      </c>
      <c r="F1540" t="s">
        <v>15672</v>
      </c>
      <c r="G1540" t="s">
        <v>74</v>
      </c>
      <c r="H1540" t="s">
        <v>74</v>
      </c>
      <c r="I1540" t="s">
        <v>15671</v>
      </c>
      <c r="J1540" t="s">
        <v>9067</v>
      </c>
      <c r="K1540" t="s">
        <v>74</v>
      </c>
      <c r="L1540" t="s">
        <v>74</v>
      </c>
      <c r="M1540" t="s">
        <v>78</v>
      </c>
      <c r="N1540" t="s">
        <v>8016</v>
      </c>
      <c r="O1540" t="s">
        <v>15657</v>
      </c>
      <c r="P1540" t="s">
        <v>15656</v>
      </c>
      <c r="Q1540" t="s">
        <v>15655</v>
      </c>
      <c r="R1540" t="s">
        <v>74</v>
      </c>
      <c r="S1540" t="s">
        <v>74</v>
      </c>
      <c r="T1540" t="s">
        <v>74</v>
      </c>
      <c r="U1540" t="s">
        <v>15670</v>
      </c>
      <c r="V1540" t="s">
        <v>15669</v>
      </c>
      <c r="W1540" t="s">
        <v>15668</v>
      </c>
      <c r="X1540" t="s">
        <v>15667</v>
      </c>
      <c r="Y1540" t="s">
        <v>15666</v>
      </c>
      <c r="Z1540" t="s">
        <v>15027</v>
      </c>
      <c r="AA1540" t="s">
        <v>15665</v>
      </c>
      <c r="AB1540" t="s">
        <v>15664</v>
      </c>
      <c r="AC1540" t="s">
        <v>74</v>
      </c>
      <c r="AD1540" t="s">
        <v>74</v>
      </c>
      <c r="AE1540" t="s">
        <v>74</v>
      </c>
      <c r="AF1540" t="s">
        <v>74</v>
      </c>
      <c r="AG1540">
        <v>61</v>
      </c>
      <c r="AH1540">
        <v>1219</v>
      </c>
      <c r="AI1540">
        <v>1385</v>
      </c>
      <c r="AJ1540">
        <v>3</v>
      </c>
      <c r="AK1540">
        <v>81</v>
      </c>
      <c r="AL1540" t="s">
        <v>991</v>
      </c>
      <c r="AM1540" t="s">
        <v>486</v>
      </c>
      <c r="AN1540" t="s">
        <v>992</v>
      </c>
      <c r="AO1540" t="s">
        <v>9073</v>
      </c>
      <c r="AP1540" t="s">
        <v>9074</v>
      </c>
      <c r="AQ1540" t="s">
        <v>74</v>
      </c>
      <c r="AR1540" t="s">
        <v>9075</v>
      </c>
      <c r="AS1540" t="s">
        <v>9076</v>
      </c>
      <c r="AT1540" t="s">
        <v>15648</v>
      </c>
      <c r="AU1540">
        <v>2004</v>
      </c>
      <c r="AV1540">
        <v>43</v>
      </c>
      <c r="AW1540">
        <v>12</v>
      </c>
      <c r="AX1540" t="s">
        <v>74</v>
      </c>
      <c r="AY1540" t="s">
        <v>998</v>
      </c>
      <c r="AZ1540" t="s">
        <v>74</v>
      </c>
      <c r="BA1540" t="s">
        <v>74</v>
      </c>
      <c r="BB1540" t="s">
        <v>15663</v>
      </c>
      <c r="BC1540" t="s">
        <v>15662</v>
      </c>
      <c r="BD1540" t="s">
        <v>74</v>
      </c>
      <c r="BE1540" t="s">
        <v>15661</v>
      </c>
      <c r="BF1540" t="str">
        <f>HYPERLINK("http://dx.doi.org/10.1016/j.jacc.2004.02.029","http://dx.doi.org/10.1016/j.jacc.2004.02.029")</f>
        <v>http://dx.doi.org/10.1016/j.jacc.2004.02.029</v>
      </c>
      <c r="BG1540" t="s">
        <v>74</v>
      </c>
      <c r="BH1540" t="s">
        <v>74</v>
      </c>
      <c r="BI1540">
        <v>12</v>
      </c>
      <c r="BJ1540" t="s">
        <v>132</v>
      </c>
      <c r="BK1540" t="s">
        <v>512</v>
      </c>
      <c r="BL1540" t="s">
        <v>133</v>
      </c>
      <c r="BM1540" t="s">
        <v>15644</v>
      </c>
      <c r="BN1540">
        <v>15194174</v>
      </c>
      <c r="BO1540" t="s">
        <v>74</v>
      </c>
      <c r="BP1540" t="s">
        <v>74</v>
      </c>
      <c r="BQ1540" t="s">
        <v>74</v>
      </c>
      <c r="BR1540" t="s">
        <v>104</v>
      </c>
      <c r="BS1540" t="s">
        <v>15660</v>
      </c>
      <c r="BT1540" t="str">
        <f>HYPERLINK("https%3A%2F%2Fwww.webofscience.com%2Fwos%2Fwoscc%2Ffull-record%2FWOS:000222209300004","View Full Record in Web of Science")</f>
        <v>View Full Record in Web of Science</v>
      </c>
    </row>
    <row r="1541" spans="1:72" x14ac:dyDescent="0.25">
      <c r="A1541" t="s">
        <v>72</v>
      </c>
      <c r="B1541" t="s">
        <v>15659</v>
      </c>
      <c r="C1541" t="s">
        <v>74</v>
      </c>
      <c r="D1541" t="s">
        <v>74</v>
      </c>
      <c r="E1541" t="s">
        <v>74</v>
      </c>
      <c r="F1541" t="s">
        <v>15659</v>
      </c>
      <c r="G1541" t="s">
        <v>74</v>
      </c>
      <c r="H1541" t="s">
        <v>74</v>
      </c>
      <c r="I1541" t="s">
        <v>15658</v>
      </c>
      <c r="J1541" t="s">
        <v>9067</v>
      </c>
      <c r="K1541" t="s">
        <v>74</v>
      </c>
      <c r="L1541" t="s">
        <v>74</v>
      </c>
      <c r="M1541" t="s">
        <v>78</v>
      </c>
      <c r="N1541" t="s">
        <v>8016</v>
      </c>
      <c r="O1541" t="s">
        <v>15657</v>
      </c>
      <c r="P1541" t="s">
        <v>15656</v>
      </c>
      <c r="Q1541" t="s">
        <v>15655</v>
      </c>
      <c r="R1541" t="s">
        <v>74</v>
      </c>
      <c r="S1541" t="s">
        <v>74</v>
      </c>
      <c r="T1541" t="s">
        <v>74</v>
      </c>
      <c r="U1541" t="s">
        <v>15654</v>
      </c>
      <c r="V1541" t="s">
        <v>15653</v>
      </c>
      <c r="W1541" t="s">
        <v>15652</v>
      </c>
      <c r="X1541" t="s">
        <v>15651</v>
      </c>
      <c r="Y1541" t="s">
        <v>15650</v>
      </c>
      <c r="Z1541" t="s">
        <v>15649</v>
      </c>
      <c r="AA1541" t="s">
        <v>144</v>
      </c>
      <c r="AB1541" t="s">
        <v>74</v>
      </c>
      <c r="AC1541" t="s">
        <v>74</v>
      </c>
      <c r="AD1541" t="s">
        <v>74</v>
      </c>
      <c r="AE1541" t="s">
        <v>74</v>
      </c>
      <c r="AF1541" t="s">
        <v>74</v>
      </c>
      <c r="AG1541">
        <v>33</v>
      </c>
      <c r="AH1541">
        <v>493</v>
      </c>
      <c r="AI1541">
        <v>511</v>
      </c>
      <c r="AJ1541">
        <v>0</v>
      </c>
      <c r="AK1541">
        <v>10</v>
      </c>
      <c r="AL1541" t="s">
        <v>991</v>
      </c>
      <c r="AM1541" t="s">
        <v>486</v>
      </c>
      <c r="AN1541" t="s">
        <v>8530</v>
      </c>
      <c r="AO1541" t="s">
        <v>9073</v>
      </c>
      <c r="AP1541" t="s">
        <v>74</v>
      </c>
      <c r="AQ1541" t="s">
        <v>74</v>
      </c>
      <c r="AR1541" t="s">
        <v>9075</v>
      </c>
      <c r="AS1541" t="s">
        <v>9076</v>
      </c>
      <c r="AT1541" t="s">
        <v>15648</v>
      </c>
      <c r="AU1541">
        <v>2004</v>
      </c>
      <c r="AV1541">
        <v>43</v>
      </c>
      <c r="AW1541">
        <v>12</v>
      </c>
      <c r="AX1541" t="s">
        <v>74</v>
      </c>
      <c r="AY1541" t="s">
        <v>998</v>
      </c>
      <c r="AZ1541" t="s">
        <v>74</v>
      </c>
      <c r="BA1541" t="s">
        <v>74</v>
      </c>
      <c r="BB1541" t="s">
        <v>15647</v>
      </c>
      <c r="BC1541" t="s">
        <v>15646</v>
      </c>
      <c r="BD1541" t="s">
        <v>74</v>
      </c>
      <c r="BE1541" t="s">
        <v>15645</v>
      </c>
      <c r="BF1541" t="str">
        <f>HYPERLINK("http://dx.doi.org/10.1016/j.jacc.2004.02.033","http://dx.doi.org/10.1016/j.jacc.2004.02.033")</f>
        <v>http://dx.doi.org/10.1016/j.jacc.2004.02.033</v>
      </c>
      <c r="BG1541" t="s">
        <v>74</v>
      </c>
      <c r="BH1541" t="s">
        <v>74</v>
      </c>
      <c r="BI1541">
        <v>8</v>
      </c>
      <c r="BJ1541" t="s">
        <v>132</v>
      </c>
      <c r="BK1541" t="s">
        <v>14074</v>
      </c>
      <c r="BL1541" t="s">
        <v>133</v>
      </c>
      <c r="BM1541" t="s">
        <v>15644</v>
      </c>
      <c r="BN1541" t="s">
        <v>74</v>
      </c>
      <c r="BO1541" t="s">
        <v>1194</v>
      </c>
      <c r="BP1541" t="s">
        <v>74</v>
      </c>
      <c r="BQ1541" t="s">
        <v>74</v>
      </c>
      <c r="BR1541" t="s">
        <v>104</v>
      </c>
      <c r="BS1541" t="s">
        <v>15643</v>
      </c>
      <c r="BT1541" t="str">
        <f>HYPERLINK("https%3A%2F%2Fwww.webofscience.com%2Fwos%2Fwoscc%2Ffull-record%2FWOS:000222209300005","View Full Record in Web of Science")</f>
        <v>View Full Record in Web of Science</v>
      </c>
    </row>
    <row r="1542" spans="1:72" x14ac:dyDescent="0.25">
      <c r="A1542" t="s">
        <v>72</v>
      </c>
      <c r="B1542" t="s">
        <v>15543</v>
      </c>
      <c r="C1542" t="s">
        <v>74</v>
      </c>
      <c r="D1542" t="s">
        <v>74</v>
      </c>
      <c r="E1542" t="s">
        <v>74</v>
      </c>
      <c r="F1542" t="s">
        <v>15543</v>
      </c>
      <c r="G1542" t="s">
        <v>74</v>
      </c>
      <c r="H1542" t="s">
        <v>74</v>
      </c>
      <c r="I1542" t="s">
        <v>15642</v>
      </c>
      <c r="J1542" t="s">
        <v>637</v>
      </c>
      <c r="K1542" t="s">
        <v>74</v>
      </c>
      <c r="L1542" t="s">
        <v>74</v>
      </c>
      <c r="M1542" t="s">
        <v>78</v>
      </c>
      <c r="N1542" t="s">
        <v>460</v>
      </c>
      <c r="O1542" t="s">
        <v>74</v>
      </c>
      <c r="P1542" t="s">
        <v>74</v>
      </c>
      <c r="Q1542" t="s">
        <v>74</v>
      </c>
      <c r="R1542" t="s">
        <v>74</v>
      </c>
      <c r="S1542" t="s">
        <v>74</v>
      </c>
      <c r="T1542" t="s">
        <v>74</v>
      </c>
      <c r="U1542" t="s">
        <v>15641</v>
      </c>
      <c r="V1542" t="s">
        <v>74</v>
      </c>
      <c r="W1542" t="s">
        <v>15640</v>
      </c>
      <c r="X1542" t="s">
        <v>14590</v>
      </c>
      <c r="Y1542" t="s">
        <v>15639</v>
      </c>
      <c r="Z1542" t="s">
        <v>74</v>
      </c>
      <c r="AA1542" t="s">
        <v>144</v>
      </c>
      <c r="AB1542" t="s">
        <v>74</v>
      </c>
      <c r="AC1542" t="s">
        <v>74</v>
      </c>
      <c r="AD1542" t="s">
        <v>74</v>
      </c>
      <c r="AE1542" t="s">
        <v>74</v>
      </c>
      <c r="AF1542" t="s">
        <v>74</v>
      </c>
      <c r="AG1542">
        <v>6</v>
      </c>
      <c r="AH1542">
        <v>1</v>
      </c>
      <c r="AI1542">
        <v>1</v>
      </c>
      <c r="AJ1542">
        <v>0</v>
      </c>
      <c r="AK1542">
        <v>0</v>
      </c>
      <c r="AL1542" t="s">
        <v>649</v>
      </c>
      <c r="AM1542" t="s">
        <v>486</v>
      </c>
      <c r="AN1542" t="s">
        <v>650</v>
      </c>
      <c r="AO1542" t="s">
        <v>651</v>
      </c>
      <c r="AP1542" t="s">
        <v>652</v>
      </c>
      <c r="AQ1542" t="s">
        <v>74</v>
      </c>
      <c r="AR1542" t="s">
        <v>653</v>
      </c>
      <c r="AS1542" t="s">
        <v>654</v>
      </c>
      <c r="AT1542" t="s">
        <v>933</v>
      </c>
      <c r="AU1542">
        <v>2004</v>
      </c>
      <c r="AV1542">
        <v>169</v>
      </c>
      <c r="AW1542">
        <v>11</v>
      </c>
      <c r="AX1542" t="s">
        <v>74</v>
      </c>
      <c r="AY1542" t="s">
        <v>74</v>
      </c>
      <c r="AZ1542" t="s">
        <v>74</v>
      </c>
      <c r="BA1542" t="s">
        <v>74</v>
      </c>
      <c r="BB1542">
        <v>1256</v>
      </c>
      <c r="BC1542">
        <v>1257</v>
      </c>
      <c r="BD1542" t="s">
        <v>74</v>
      </c>
      <c r="BE1542" t="s">
        <v>74</v>
      </c>
      <c r="BF1542" t="s">
        <v>74</v>
      </c>
      <c r="BG1542" t="s">
        <v>74</v>
      </c>
      <c r="BH1542" t="s">
        <v>74</v>
      </c>
      <c r="BI1542">
        <v>2</v>
      </c>
      <c r="BJ1542" t="s">
        <v>341</v>
      </c>
      <c r="BK1542" t="s">
        <v>101</v>
      </c>
      <c r="BL1542" t="s">
        <v>342</v>
      </c>
      <c r="BM1542" t="s">
        <v>15638</v>
      </c>
      <c r="BN1542" t="s">
        <v>74</v>
      </c>
      <c r="BO1542" t="s">
        <v>74</v>
      </c>
      <c r="BP1542" t="s">
        <v>74</v>
      </c>
      <c r="BQ1542" t="s">
        <v>74</v>
      </c>
      <c r="BR1542" t="s">
        <v>104</v>
      </c>
      <c r="BS1542" t="s">
        <v>15637</v>
      </c>
      <c r="BT1542" t="str">
        <f>HYPERLINK("https%3A%2F%2Fwww.webofscience.com%2Fwos%2Fwoscc%2Ffull-record%2FWOS:000221677400025","View Full Record in Web of Science")</f>
        <v>View Full Record in Web of Science</v>
      </c>
    </row>
    <row r="1543" spans="1:72" x14ac:dyDescent="0.25">
      <c r="A1543" t="s">
        <v>72</v>
      </c>
      <c r="B1543" t="s">
        <v>15636</v>
      </c>
      <c r="C1543" t="s">
        <v>74</v>
      </c>
      <c r="D1543" t="s">
        <v>74</v>
      </c>
      <c r="E1543" t="s">
        <v>74</v>
      </c>
      <c r="F1543" t="s">
        <v>15636</v>
      </c>
      <c r="G1543" t="s">
        <v>74</v>
      </c>
      <c r="H1543" t="s">
        <v>74</v>
      </c>
      <c r="I1543" t="s">
        <v>15635</v>
      </c>
      <c r="J1543" t="s">
        <v>1348</v>
      </c>
      <c r="K1543" t="s">
        <v>74</v>
      </c>
      <c r="L1543" t="s">
        <v>74</v>
      </c>
      <c r="M1543" t="s">
        <v>1349</v>
      </c>
      <c r="N1543" t="s">
        <v>140</v>
      </c>
      <c r="O1543" t="s">
        <v>74</v>
      </c>
      <c r="P1543" t="s">
        <v>74</v>
      </c>
      <c r="Q1543" t="s">
        <v>74</v>
      </c>
      <c r="R1543" t="s">
        <v>74</v>
      </c>
      <c r="S1543" t="s">
        <v>74</v>
      </c>
      <c r="T1543" t="s">
        <v>74</v>
      </c>
      <c r="U1543" t="s">
        <v>15634</v>
      </c>
      <c r="V1543" t="s">
        <v>74</v>
      </c>
      <c r="W1543" t="s">
        <v>15633</v>
      </c>
      <c r="X1543" t="s">
        <v>15479</v>
      </c>
      <c r="Y1543" t="s">
        <v>15632</v>
      </c>
      <c r="Z1543" t="s">
        <v>15027</v>
      </c>
      <c r="AA1543" t="s">
        <v>144</v>
      </c>
      <c r="AB1543" t="s">
        <v>257</v>
      </c>
      <c r="AC1543" t="s">
        <v>74</v>
      </c>
      <c r="AD1543" t="s">
        <v>74</v>
      </c>
      <c r="AE1543" t="s">
        <v>74</v>
      </c>
      <c r="AF1543" t="s">
        <v>74</v>
      </c>
      <c r="AG1543">
        <v>9</v>
      </c>
      <c r="AH1543">
        <v>0</v>
      </c>
      <c r="AI1543">
        <v>0</v>
      </c>
      <c r="AJ1543">
        <v>0</v>
      </c>
      <c r="AK1543">
        <v>0</v>
      </c>
      <c r="AL1543" t="s">
        <v>1358</v>
      </c>
      <c r="AM1543" t="s">
        <v>1359</v>
      </c>
      <c r="AN1543" t="s">
        <v>1360</v>
      </c>
      <c r="AO1543" t="s">
        <v>1361</v>
      </c>
      <c r="AP1543" t="s">
        <v>1362</v>
      </c>
      <c r="AQ1543" t="s">
        <v>74</v>
      </c>
      <c r="AR1543" t="s">
        <v>1363</v>
      </c>
      <c r="AS1543" t="s">
        <v>1364</v>
      </c>
      <c r="AT1543" t="s">
        <v>1060</v>
      </c>
      <c r="AU1543">
        <v>2004</v>
      </c>
      <c r="AV1543">
        <v>21</v>
      </c>
      <c r="AW1543">
        <v>3</v>
      </c>
      <c r="AX1543">
        <v>1</v>
      </c>
      <c r="AY1543" t="s">
        <v>74</v>
      </c>
      <c r="AZ1543" t="s">
        <v>74</v>
      </c>
      <c r="BA1543" t="s">
        <v>74</v>
      </c>
      <c r="BB1543">
        <v>473</v>
      </c>
      <c r="BC1543">
        <v>474</v>
      </c>
      <c r="BD1543" t="s">
        <v>74</v>
      </c>
      <c r="BE1543" t="s">
        <v>15631</v>
      </c>
      <c r="BF1543" t="str">
        <f>HYPERLINK("http://dx.doi.org/10.1016/S0761-8425(04)71350-9","http://dx.doi.org/10.1016/S0761-8425(04)71350-9")</f>
        <v>http://dx.doi.org/10.1016/S0761-8425(04)71350-9</v>
      </c>
      <c r="BG1543" t="s">
        <v>74</v>
      </c>
      <c r="BH1543" t="s">
        <v>74</v>
      </c>
      <c r="BI1543">
        <v>2</v>
      </c>
      <c r="BJ1543" t="s">
        <v>228</v>
      </c>
      <c r="BK1543" t="s">
        <v>101</v>
      </c>
      <c r="BL1543" t="s">
        <v>228</v>
      </c>
      <c r="BM1543" t="s">
        <v>15630</v>
      </c>
      <c r="BN1543">
        <v>15292838</v>
      </c>
      <c r="BO1543" t="s">
        <v>74</v>
      </c>
      <c r="BP1543" t="s">
        <v>74</v>
      </c>
      <c r="BQ1543" t="s">
        <v>74</v>
      </c>
      <c r="BR1543" t="s">
        <v>104</v>
      </c>
      <c r="BS1543" t="s">
        <v>15629</v>
      </c>
      <c r="BT1543" t="str">
        <f>HYPERLINK("https%3A%2F%2Fwww.webofscience.com%2Fwos%2Fwoscc%2Ffull-record%2FWOS:000222879300007","View Full Record in Web of Science")</f>
        <v>View Full Record in Web of Science</v>
      </c>
    </row>
    <row r="1544" spans="1:72" x14ac:dyDescent="0.25">
      <c r="A1544" t="s">
        <v>72</v>
      </c>
      <c r="B1544" t="s">
        <v>15628</v>
      </c>
      <c r="C1544" t="s">
        <v>74</v>
      </c>
      <c r="D1544" t="s">
        <v>74</v>
      </c>
      <c r="E1544" t="s">
        <v>74</v>
      </c>
      <c r="F1544" t="s">
        <v>15628</v>
      </c>
      <c r="G1544" t="s">
        <v>74</v>
      </c>
      <c r="H1544" t="s">
        <v>74</v>
      </c>
      <c r="I1544" t="s">
        <v>15627</v>
      </c>
      <c r="J1544" t="s">
        <v>2761</v>
      </c>
      <c r="K1544" t="s">
        <v>74</v>
      </c>
      <c r="L1544" t="s">
        <v>74</v>
      </c>
      <c r="M1544" t="s">
        <v>78</v>
      </c>
      <c r="N1544" t="s">
        <v>79</v>
      </c>
      <c r="O1544" t="s">
        <v>74</v>
      </c>
      <c r="P1544" t="s">
        <v>74</v>
      </c>
      <c r="Q1544" t="s">
        <v>74</v>
      </c>
      <c r="R1544" t="s">
        <v>74</v>
      </c>
      <c r="S1544" t="s">
        <v>74</v>
      </c>
      <c r="T1544" t="s">
        <v>15626</v>
      </c>
      <c r="U1544" t="s">
        <v>15625</v>
      </c>
      <c r="V1544" t="s">
        <v>15624</v>
      </c>
      <c r="W1544" t="s">
        <v>15623</v>
      </c>
      <c r="X1544" t="s">
        <v>15622</v>
      </c>
      <c r="Y1544" t="s">
        <v>15621</v>
      </c>
      <c r="Z1544" t="s">
        <v>15620</v>
      </c>
      <c r="AA1544" t="s">
        <v>7706</v>
      </c>
      <c r="AB1544" t="s">
        <v>15619</v>
      </c>
      <c r="AC1544" t="s">
        <v>74</v>
      </c>
      <c r="AD1544" t="s">
        <v>74</v>
      </c>
      <c r="AE1544" t="s">
        <v>74</v>
      </c>
      <c r="AF1544" t="s">
        <v>74</v>
      </c>
      <c r="AG1544">
        <v>25</v>
      </c>
      <c r="AH1544">
        <v>157</v>
      </c>
      <c r="AI1544">
        <v>205</v>
      </c>
      <c r="AJ1544">
        <v>0</v>
      </c>
      <c r="AK1544">
        <v>13</v>
      </c>
      <c r="AL1544" t="s">
        <v>122</v>
      </c>
      <c r="AM1544" t="s">
        <v>123</v>
      </c>
      <c r="AN1544" t="s">
        <v>124</v>
      </c>
      <c r="AO1544" t="s">
        <v>2773</v>
      </c>
      <c r="AP1544" t="s">
        <v>2774</v>
      </c>
      <c r="AQ1544" t="s">
        <v>74</v>
      </c>
      <c r="AR1544" t="s">
        <v>2775</v>
      </c>
      <c r="AS1544" t="s">
        <v>2776</v>
      </c>
      <c r="AT1544" t="s">
        <v>15618</v>
      </c>
      <c r="AU1544">
        <v>2004</v>
      </c>
      <c r="AV1544">
        <v>94</v>
      </c>
      <c r="AW1544">
        <v>9</v>
      </c>
      <c r="AX1544" t="s">
        <v>74</v>
      </c>
      <c r="AY1544" t="s">
        <v>74</v>
      </c>
      <c r="AZ1544" t="s">
        <v>74</v>
      </c>
      <c r="BA1544" t="s">
        <v>74</v>
      </c>
      <c r="BB1544">
        <v>1263</v>
      </c>
      <c r="BC1544">
        <v>1270</v>
      </c>
      <c r="BD1544" t="s">
        <v>74</v>
      </c>
      <c r="BE1544" t="s">
        <v>15617</v>
      </c>
      <c r="BF1544" t="str">
        <f>HYPERLINK("http://dx.doi.org/10.1161/01.RES.0000126847.27660.69","http://dx.doi.org/10.1161/01.RES.0000126847.27660.69")</f>
        <v>http://dx.doi.org/10.1161/01.RES.0000126847.27660.69</v>
      </c>
      <c r="BG1544" t="s">
        <v>74</v>
      </c>
      <c r="BH1544" t="s">
        <v>74</v>
      </c>
      <c r="BI1544">
        <v>8</v>
      </c>
      <c r="BJ1544" t="s">
        <v>2781</v>
      </c>
      <c r="BK1544" t="s">
        <v>101</v>
      </c>
      <c r="BL1544" t="s">
        <v>2782</v>
      </c>
      <c r="BM1544" t="s">
        <v>15616</v>
      </c>
      <c r="BN1544">
        <v>15059929</v>
      </c>
      <c r="BO1544" t="s">
        <v>74</v>
      </c>
      <c r="BP1544" t="s">
        <v>74</v>
      </c>
      <c r="BQ1544" t="s">
        <v>74</v>
      </c>
      <c r="BR1544" t="s">
        <v>104</v>
      </c>
      <c r="BS1544" t="s">
        <v>15615</v>
      </c>
      <c r="BT1544" t="str">
        <f>HYPERLINK("https%3A%2F%2Fwww.webofscience.com%2Fwos%2Fwoscc%2Ffull-record%2FWOS:000221443900017","View Full Record in Web of Science")</f>
        <v>View Full Record in Web of Science</v>
      </c>
    </row>
    <row r="1545" spans="1:72" x14ac:dyDescent="0.25">
      <c r="A1545" t="s">
        <v>72</v>
      </c>
      <c r="B1545" t="s">
        <v>15614</v>
      </c>
      <c r="C1545" t="s">
        <v>74</v>
      </c>
      <c r="D1545" t="s">
        <v>74</v>
      </c>
      <c r="E1545" t="s">
        <v>74</v>
      </c>
      <c r="F1545" t="s">
        <v>15614</v>
      </c>
      <c r="G1545" t="s">
        <v>74</v>
      </c>
      <c r="H1545" t="s">
        <v>74</v>
      </c>
      <c r="I1545" t="s">
        <v>15613</v>
      </c>
      <c r="J1545" t="s">
        <v>6978</v>
      </c>
      <c r="K1545" t="s">
        <v>74</v>
      </c>
      <c r="L1545" t="s">
        <v>74</v>
      </c>
      <c r="M1545" t="s">
        <v>78</v>
      </c>
      <c r="N1545" t="s">
        <v>79</v>
      </c>
      <c r="O1545" t="s">
        <v>74</v>
      </c>
      <c r="P1545" t="s">
        <v>74</v>
      </c>
      <c r="Q1545" t="s">
        <v>74</v>
      </c>
      <c r="R1545" t="s">
        <v>74</v>
      </c>
      <c r="S1545" t="s">
        <v>74</v>
      </c>
      <c r="T1545" t="s">
        <v>74</v>
      </c>
      <c r="U1545" t="s">
        <v>15612</v>
      </c>
      <c r="V1545" t="s">
        <v>15611</v>
      </c>
      <c r="W1545" t="s">
        <v>15610</v>
      </c>
      <c r="X1545" t="s">
        <v>15609</v>
      </c>
      <c r="Y1545" t="s">
        <v>15608</v>
      </c>
      <c r="Z1545" t="s">
        <v>15607</v>
      </c>
      <c r="AA1545" t="s">
        <v>15606</v>
      </c>
      <c r="AB1545" t="s">
        <v>257</v>
      </c>
      <c r="AC1545" t="s">
        <v>74</v>
      </c>
      <c r="AD1545" t="s">
        <v>74</v>
      </c>
      <c r="AE1545" t="s">
        <v>74</v>
      </c>
      <c r="AF1545" t="s">
        <v>74</v>
      </c>
      <c r="AG1545">
        <v>16</v>
      </c>
      <c r="AH1545">
        <v>180</v>
      </c>
      <c r="AI1545">
        <v>191</v>
      </c>
      <c r="AJ1545">
        <v>0</v>
      </c>
      <c r="AK1545">
        <v>4</v>
      </c>
      <c r="AL1545" t="s">
        <v>15444</v>
      </c>
      <c r="AM1545" t="s">
        <v>201</v>
      </c>
      <c r="AN1545" t="s">
        <v>2591</v>
      </c>
      <c r="AO1545" t="s">
        <v>6985</v>
      </c>
      <c r="AP1545" t="s">
        <v>74</v>
      </c>
      <c r="AQ1545" t="s">
        <v>74</v>
      </c>
      <c r="AR1545" t="s">
        <v>6978</v>
      </c>
      <c r="AS1545" t="s">
        <v>6987</v>
      </c>
      <c r="AT1545" t="s">
        <v>960</v>
      </c>
      <c r="AU1545">
        <v>2004</v>
      </c>
      <c r="AV1545">
        <v>59</v>
      </c>
      <c r="AW1545">
        <v>5</v>
      </c>
      <c r="AX1545" t="s">
        <v>74</v>
      </c>
      <c r="AY1545" t="s">
        <v>74</v>
      </c>
      <c r="AZ1545" t="s">
        <v>74</v>
      </c>
      <c r="BA1545" t="s">
        <v>74</v>
      </c>
      <c r="BB1545">
        <v>446</v>
      </c>
      <c r="BC1545">
        <v>448</v>
      </c>
      <c r="BD1545" t="s">
        <v>74</v>
      </c>
      <c r="BE1545" t="s">
        <v>15605</v>
      </c>
      <c r="BF1545" t="str">
        <f>HYPERLINK("http://dx.doi.org/10.1136/thx.2003.11890","http://dx.doi.org/10.1136/thx.2003.11890")</f>
        <v>http://dx.doi.org/10.1136/thx.2003.11890</v>
      </c>
      <c r="BG1545" t="s">
        <v>74</v>
      </c>
      <c r="BH1545" t="s">
        <v>74</v>
      </c>
      <c r="BI1545">
        <v>3</v>
      </c>
      <c r="BJ1545" t="s">
        <v>228</v>
      </c>
      <c r="BK1545" t="s">
        <v>101</v>
      </c>
      <c r="BL1545" t="s">
        <v>228</v>
      </c>
      <c r="BM1545" t="s">
        <v>15604</v>
      </c>
      <c r="BN1545">
        <v>15115879</v>
      </c>
      <c r="BO1545" t="s">
        <v>2517</v>
      </c>
      <c r="BP1545" t="s">
        <v>74</v>
      </c>
      <c r="BQ1545" t="s">
        <v>74</v>
      </c>
      <c r="BR1545" t="s">
        <v>104</v>
      </c>
      <c r="BS1545" t="s">
        <v>15603</v>
      </c>
      <c r="BT1545" t="str">
        <f>HYPERLINK("https%3A%2F%2Fwww.webofscience.com%2Fwos%2Fwoscc%2Ffull-record%2FWOS:000221072800018","View Full Record in Web of Science")</f>
        <v>View Full Record in Web of Science</v>
      </c>
    </row>
    <row r="1546" spans="1:72" x14ac:dyDescent="0.25">
      <c r="A1546" t="s">
        <v>72</v>
      </c>
      <c r="B1546" t="s">
        <v>15602</v>
      </c>
      <c r="C1546" t="s">
        <v>74</v>
      </c>
      <c r="D1546" t="s">
        <v>74</v>
      </c>
      <c r="E1546" t="s">
        <v>74</v>
      </c>
      <c r="F1546" t="s">
        <v>15602</v>
      </c>
      <c r="G1546" t="s">
        <v>74</v>
      </c>
      <c r="H1546" t="s">
        <v>74</v>
      </c>
      <c r="I1546" t="s">
        <v>15601</v>
      </c>
      <c r="J1546" t="s">
        <v>8129</v>
      </c>
      <c r="K1546" t="s">
        <v>74</v>
      </c>
      <c r="L1546" t="s">
        <v>74</v>
      </c>
      <c r="M1546" t="s">
        <v>78</v>
      </c>
      <c r="N1546" t="s">
        <v>79</v>
      </c>
      <c r="O1546" t="s">
        <v>74</v>
      </c>
      <c r="P1546" t="s">
        <v>74</v>
      </c>
      <c r="Q1546" t="s">
        <v>74</v>
      </c>
      <c r="R1546" t="s">
        <v>74</v>
      </c>
      <c r="S1546" t="s">
        <v>74</v>
      </c>
      <c r="T1546" t="s">
        <v>15600</v>
      </c>
      <c r="U1546" t="s">
        <v>15599</v>
      </c>
      <c r="V1546" t="s">
        <v>15598</v>
      </c>
      <c r="W1546" t="s">
        <v>15597</v>
      </c>
      <c r="X1546" t="s">
        <v>15596</v>
      </c>
      <c r="Y1546" t="s">
        <v>15595</v>
      </c>
      <c r="Z1546" t="s">
        <v>15594</v>
      </c>
      <c r="AA1546" t="s">
        <v>15593</v>
      </c>
      <c r="AB1546" t="s">
        <v>15592</v>
      </c>
      <c r="AC1546" t="s">
        <v>74</v>
      </c>
      <c r="AD1546" t="s">
        <v>74</v>
      </c>
      <c r="AE1546" t="s">
        <v>74</v>
      </c>
      <c r="AF1546" t="s">
        <v>74</v>
      </c>
      <c r="AG1546">
        <v>22</v>
      </c>
      <c r="AH1546">
        <v>20</v>
      </c>
      <c r="AI1546">
        <v>22</v>
      </c>
      <c r="AJ1546">
        <v>0</v>
      </c>
      <c r="AK1546">
        <v>2</v>
      </c>
      <c r="AL1546" t="s">
        <v>8138</v>
      </c>
      <c r="AM1546" t="s">
        <v>8139</v>
      </c>
      <c r="AN1546" t="s">
        <v>8140</v>
      </c>
      <c r="AO1546" t="s">
        <v>8141</v>
      </c>
      <c r="AP1546" t="s">
        <v>74</v>
      </c>
      <c r="AQ1546" t="s">
        <v>74</v>
      </c>
      <c r="AR1546" t="s">
        <v>8142</v>
      </c>
      <c r="AS1546" t="s">
        <v>8143</v>
      </c>
      <c r="AT1546" t="s">
        <v>2097</v>
      </c>
      <c r="AU1546">
        <v>2004</v>
      </c>
      <c r="AV1546">
        <v>25</v>
      </c>
      <c r="AW1546">
        <v>5</v>
      </c>
      <c r="AX1546" t="s">
        <v>74</v>
      </c>
      <c r="AY1546" t="s">
        <v>74</v>
      </c>
      <c r="AZ1546" t="s">
        <v>74</v>
      </c>
      <c r="BA1546" t="s">
        <v>74</v>
      </c>
      <c r="BB1546">
        <v>340</v>
      </c>
      <c r="BC1546">
        <v>347</v>
      </c>
      <c r="BD1546" t="s">
        <v>74</v>
      </c>
      <c r="BE1546" t="s">
        <v>15591</v>
      </c>
      <c r="BF1546" t="str">
        <f>HYPERLINK("http://dx.doi.org/10.1016/j.revmed.2004.01.019","http://dx.doi.org/10.1016/j.revmed.2004.01.019")</f>
        <v>http://dx.doi.org/10.1016/j.revmed.2004.01.019</v>
      </c>
      <c r="BG1546" t="s">
        <v>74</v>
      </c>
      <c r="BH1546" t="s">
        <v>74</v>
      </c>
      <c r="BI1546">
        <v>8</v>
      </c>
      <c r="BJ1546" t="s">
        <v>1152</v>
      </c>
      <c r="BK1546" t="s">
        <v>101</v>
      </c>
      <c r="BL1546" t="s">
        <v>1153</v>
      </c>
      <c r="BM1546" t="s">
        <v>15590</v>
      </c>
      <c r="BN1546">
        <v>15110951</v>
      </c>
      <c r="BO1546" t="s">
        <v>74</v>
      </c>
      <c r="BP1546" t="s">
        <v>74</v>
      </c>
      <c r="BQ1546" t="s">
        <v>74</v>
      </c>
      <c r="BR1546" t="s">
        <v>104</v>
      </c>
      <c r="BS1546" t="s">
        <v>15589</v>
      </c>
      <c r="BT1546" t="str">
        <f>HYPERLINK("https%3A%2F%2Fwww.webofscience.com%2Fwos%2Fwoscc%2Ffull-record%2FWOS:000221425700002","View Full Record in Web of Science")</f>
        <v>View Full Record in Web of Science</v>
      </c>
    </row>
    <row r="1547" spans="1:72" x14ac:dyDescent="0.25">
      <c r="A1547" t="s">
        <v>72</v>
      </c>
      <c r="B1547" t="s">
        <v>15588</v>
      </c>
      <c r="C1547" t="s">
        <v>74</v>
      </c>
      <c r="D1547" t="s">
        <v>74</v>
      </c>
      <c r="E1547" t="s">
        <v>74</v>
      </c>
      <c r="F1547" t="s">
        <v>15588</v>
      </c>
      <c r="G1547" t="s">
        <v>74</v>
      </c>
      <c r="H1547" t="s">
        <v>74</v>
      </c>
      <c r="I1547" t="s">
        <v>15587</v>
      </c>
      <c r="J1547" t="s">
        <v>216</v>
      </c>
      <c r="K1547" t="s">
        <v>74</v>
      </c>
      <c r="L1547" t="s">
        <v>74</v>
      </c>
      <c r="M1547" t="s">
        <v>78</v>
      </c>
      <c r="N1547" t="s">
        <v>79</v>
      </c>
      <c r="O1547" t="s">
        <v>74</v>
      </c>
      <c r="P1547" t="s">
        <v>74</v>
      </c>
      <c r="Q1547" t="s">
        <v>74</v>
      </c>
      <c r="R1547" t="s">
        <v>74</v>
      </c>
      <c r="S1547" t="s">
        <v>74</v>
      </c>
      <c r="T1547" t="s">
        <v>15586</v>
      </c>
      <c r="U1547" t="s">
        <v>15585</v>
      </c>
      <c r="V1547" t="s">
        <v>15584</v>
      </c>
      <c r="W1547" t="s">
        <v>15583</v>
      </c>
      <c r="X1547" t="s">
        <v>15582</v>
      </c>
      <c r="Y1547" t="s">
        <v>15581</v>
      </c>
      <c r="Z1547" t="s">
        <v>15038</v>
      </c>
      <c r="AA1547" t="s">
        <v>15580</v>
      </c>
      <c r="AB1547" t="s">
        <v>14846</v>
      </c>
      <c r="AC1547" t="s">
        <v>74</v>
      </c>
      <c r="AD1547" t="s">
        <v>74</v>
      </c>
      <c r="AE1547" t="s">
        <v>74</v>
      </c>
      <c r="AF1547" t="s">
        <v>74</v>
      </c>
      <c r="AG1547">
        <v>38</v>
      </c>
      <c r="AH1547">
        <v>99</v>
      </c>
      <c r="AI1547">
        <v>109</v>
      </c>
      <c r="AJ1547">
        <v>0</v>
      </c>
      <c r="AK1547">
        <v>0</v>
      </c>
      <c r="AL1547" t="s">
        <v>219</v>
      </c>
      <c r="AM1547" t="s">
        <v>220</v>
      </c>
      <c r="AN1547" t="s">
        <v>221</v>
      </c>
      <c r="AO1547" t="s">
        <v>222</v>
      </c>
      <c r="AP1547" t="s">
        <v>223</v>
      </c>
      <c r="AQ1547" t="s">
        <v>74</v>
      </c>
      <c r="AR1547" t="s">
        <v>224</v>
      </c>
      <c r="AS1547" t="s">
        <v>225</v>
      </c>
      <c r="AT1547" t="s">
        <v>2097</v>
      </c>
      <c r="AU1547">
        <v>2004</v>
      </c>
      <c r="AV1547">
        <v>23</v>
      </c>
      <c r="AW1547">
        <v>5</v>
      </c>
      <c r="AX1547" t="s">
        <v>74</v>
      </c>
      <c r="AY1547" t="s">
        <v>74</v>
      </c>
      <c r="AZ1547" t="s">
        <v>74</v>
      </c>
      <c r="BA1547" t="s">
        <v>74</v>
      </c>
      <c r="BB1547">
        <v>752</v>
      </c>
      <c r="BC1547">
        <v>758</v>
      </c>
      <c r="BD1547" t="s">
        <v>74</v>
      </c>
      <c r="BE1547" t="s">
        <v>15579</v>
      </c>
      <c r="BF1547" t="str">
        <f>HYPERLINK("http://dx.doi.org/10.1183/09031936.04.00080404","http://dx.doi.org/10.1183/09031936.04.00080404")</f>
        <v>http://dx.doi.org/10.1183/09031936.04.00080404</v>
      </c>
      <c r="BG1547" t="s">
        <v>74</v>
      </c>
      <c r="BH1547" t="s">
        <v>74</v>
      </c>
      <c r="BI1547">
        <v>7</v>
      </c>
      <c r="BJ1547" t="s">
        <v>228</v>
      </c>
      <c r="BK1547" t="s">
        <v>101</v>
      </c>
      <c r="BL1547" t="s">
        <v>228</v>
      </c>
      <c r="BM1547" t="s">
        <v>15578</v>
      </c>
      <c r="BN1547">
        <v>15176692</v>
      </c>
      <c r="BO1547" t="s">
        <v>1194</v>
      </c>
      <c r="BP1547" t="s">
        <v>74</v>
      </c>
      <c r="BQ1547" t="s">
        <v>74</v>
      </c>
      <c r="BR1547" t="s">
        <v>104</v>
      </c>
      <c r="BS1547" t="s">
        <v>15577</v>
      </c>
      <c r="BT1547" t="str">
        <f>HYPERLINK("https%3A%2F%2Fwww.webofscience.com%2Fwos%2Fwoscc%2Ffull-record%2FWOS:000221466500020","View Full Record in Web of Science")</f>
        <v>View Full Record in Web of Science</v>
      </c>
    </row>
    <row r="1548" spans="1:72" x14ac:dyDescent="0.25">
      <c r="A1548" t="s">
        <v>72</v>
      </c>
      <c r="B1548" t="s">
        <v>15576</v>
      </c>
      <c r="C1548" t="s">
        <v>74</v>
      </c>
      <c r="D1548" t="s">
        <v>74</v>
      </c>
      <c r="E1548" t="s">
        <v>74</v>
      </c>
      <c r="F1548" t="s">
        <v>15576</v>
      </c>
      <c r="G1548" t="s">
        <v>74</v>
      </c>
      <c r="H1548" t="s">
        <v>74</v>
      </c>
      <c r="I1548" t="s">
        <v>11887</v>
      </c>
      <c r="J1548" t="s">
        <v>216</v>
      </c>
      <c r="K1548" t="s">
        <v>74</v>
      </c>
      <c r="L1548" t="s">
        <v>74</v>
      </c>
      <c r="M1548" t="s">
        <v>78</v>
      </c>
      <c r="N1548" t="s">
        <v>79</v>
      </c>
      <c r="O1548" t="s">
        <v>74</v>
      </c>
      <c r="P1548" t="s">
        <v>74</v>
      </c>
      <c r="Q1548" t="s">
        <v>74</v>
      </c>
      <c r="R1548" t="s">
        <v>74</v>
      </c>
      <c r="S1548" t="s">
        <v>74</v>
      </c>
      <c r="T1548" t="s">
        <v>15575</v>
      </c>
      <c r="U1548" t="s">
        <v>15574</v>
      </c>
      <c r="V1548" t="s">
        <v>15573</v>
      </c>
      <c r="W1548" t="s">
        <v>15572</v>
      </c>
      <c r="X1548" t="s">
        <v>15571</v>
      </c>
      <c r="Y1548" t="s">
        <v>15570</v>
      </c>
      <c r="Z1548" t="s">
        <v>15569</v>
      </c>
      <c r="AA1548" t="s">
        <v>15568</v>
      </c>
      <c r="AB1548" t="s">
        <v>3302</v>
      </c>
      <c r="AC1548" t="s">
        <v>74</v>
      </c>
      <c r="AD1548" t="s">
        <v>74</v>
      </c>
      <c r="AE1548" t="s">
        <v>74</v>
      </c>
      <c r="AF1548" t="s">
        <v>74</v>
      </c>
      <c r="AG1548">
        <v>38</v>
      </c>
      <c r="AH1548">
        <v>365</v>
      </c>
      <c r="AI1548">
        <v>401</v>
      </c>
      <c r="AJ1548">
        <v>0</v>
      </c>
      <c r="AK1548">
        <v>6</v>
      </c>
      <c r="AL1548" t="s">
        <v>219</v>
      </c>
      <c r="AM1548" t="s">
        <v>220</v>
      </c>
      <c r="AN1548" t="s">
        <v>15273</v>
      </c>
      <c r="AO1548" t="s">
        <v>222</v>
      </c>
      <c r="AP1548" t="s">
        <v>74</v>
      </c>
      <c r="AQ1548" t="s">
        <v>74</v>
      </c>
      <c r="AR1548" t="s">
        <v>224</v>
      </c>
      <c r="AS1548" t="s">
        <v>225</v>
      </c>
      <c r="AT1548" t="s">
        <v>997</v>
      </c>
      <c r="AU1548">
        <v>2004</v>
      </c>
      <c r="AV1548">
        <v>23</v>
      </c>
      <c r="AW1548">
        <v>4</v>
      </c>
      <c r="AX1548" t="s">
        <v>74</v>
      </c>
      <c r="AY1548" t="s">
        <v>74</v>
      </c>
      <c r="AZ1548" t="s">
        <v>74</v>
      </c>
      <c r="BA1548" t="s">
        <v>74</v>
      </c>
      <c r="BB1548">
        <v>637</v>
      </c>
      <c r="BC1548">
        <v>648</v>
      </c>
      <c r="BD1548" t="s">
        <v>74</v>
      </c>
      <c r="BE1548" t="s">
        <v>15567</v>
      </c>
      <c r="BF1548" t="str">
        <f>HYPERLINK("http://dx.doi.org/10.1183/09031936.04.00079704","http://dx.doi.org/10.1183/09031936.04.00079704")</f>
        <v>http://dx.doi.org/10.1183/09031936.04.00079704</v>
      </c>
      <c r="BG1548" t="s">
        <v>74</v>
      </c>
      <c r="BH1548" t="s">
        <v>74</v>
      </c>
      <c r="BI1548">
        <v>12</v>
      </c>
      <c r="BJ1548" t="s">
        <v>228</v>
      </c>
      <c r="BK1548" t="s">
        <v>101</v>
      </c>
      <c r="BL1548" t="s">
        <v>228</v>
      </c>
      <c r="BM1548" t="s">
        <v>15566</v>
      </c>
      <c r="BN1548">
        <v>15083767</v>
      </c>
      <c r="BO1548" t="s">
        <v>1194</v>
      </c>
      <c r="BP1548" t="s">
        <v>74</v>
      </c>
      <c r="BQ1548" t="s">
        <v>74</v>
      </c>
      <c r="BR1548" t="s">
        <v>104</v>
      </c>
      <c r="BS1548" t="s">
        <v>15565</v>
      </c>
      <c r="BT1548" t="str">
        <f>HYPERLINK("https%3A%2F%2Fwww.webofscience.com%2Fwos%2Fwoscc%2Ffull-record%2FWOS:000220770300027","View Full Record in Web of Science")</f>
        <v>View Full Record in Web of Science</v>
      </c>
    </row>
    <row r="1549" spans="1:72" x14ac:dyDescent="0.25">
      <c r="A1549" t="s">
        <v>72</v>
      </c>
      <c r="B1549" t="s">
        <v>15564</v>
      </c>
      <c r="C1549" t="s">
        <v>74</v>
      </c>
      <c r="D1549" t="s">
        <v>74</v>
      </c>
      <c r="E1549" t="s">
        <v>74</v>
      </c>
      <c r="F1549" t="s">
        <v>15564</v>
      </c>
      <c r="G1549" t="s">
        <v>74</v>
      </c>
      <c r="H1549" t="s">
        <v>74</v>
      </c>
      <c r="I1549" t="s">
        <v>15563</v>
      </c>
      <c r="J1549" t="s">
        <v>5624</v>
      </c>
      <c r="K1549" t="s">
        <v>74</v>
      </c>
      <c r="L1549" t="s">
        <v>74</v>
      </c>
      <c r="M1549" t="s">
        <v>78</v>
      </c>
      <c r="N1549" t="s">
        <v>299</v>
      </c>
      <c r="O1549" t="s">
        <v>74</v>
      </c>
      <c r="P1549" t="s">
        <v>74</v>
      </c>
      <c r="Q1549" t="s">
        <v>74</v>
      </c>
      <c r="R1549" t="s">
        <v>74</v>
      </c>
      <c r="S1549" t="s">
        <v>74</v>
      </c>
      <c r="T1549" t="s">
        <v>15562</v>
      </c>
      <c r="U1549" t="s">
        <v>15561</v>
      </c>
      <c r="V1549" t="s">
        <v>15560</v>
      </c>
      <c r="W1549" t="s">
        <v>15559</v>
      </c>
      <c r="X1549" t="s">
        <v>15558</v>
      </c>
      <c r="Y1549" t="s">
        <v>15557</v>
      </c>
      <c r="Z1549" t="s">
        <v>74</v>
      </c>
      <c r="AA1549" t="s">
        <v>15556</v>
      </c>
      <c r="AB1549" t="s">
        <v>257</v>
      </c>
      <c r="AC1549" t="s">
        <v>74</v>
      </c>
      <c r="AD1549" t="s">
        <v>74</v>
      </c>
      <c r="AE1549" t="s">
        <v>74</v>
      </c>
      <c r="AF1549" t="s">
        <v>74</v>
      </c>
      <c r="AG1549">
        <v>129</v>
      </c>
      <c r="AH1549">
        <v>67</v>
      </c>
      <c r="AI1549">
        <v>81</v>
      </c>
      <c r="AJ1549">
        <v>2</v>
      </c>
      <c r="AK1549">
        <v>10</v>
      </c>
      <c r="AL1549" t="s">
        <v>169</v>
      </c>
      <c r="AM1549" t="s">
        <v>170</v>
      </c>
      <c r="AN1549" t="s">
        <v>171</v>
      </c>
      <c r="AO1549" t="s">
        <v>5636</v>
      </c>
      <c r="AP1549" t="s">
        <v>5637</v>
      </c>
      <c r="AQ1549" t="s">
        <v>74</v>
      </c>
      <c r="AR1549" t="s">
        <v>5624</v>
      </c>
      <c r="AS1549" t="s">
        <v>601</v>
      </c>
      <c r="AT1549" t="s">
        <v>129</v>
      </c>
      <c r="AU1549">
        <v>2004</v>
      </c>
      <c r="AV1549">
        <v>59</v>
      </c>
      <c r="AW1549">
        <v>2</v>
      </c>
      <c r="AX1549" t="s">
        <v>74</v>
      </c>
      <c r="AY1549" t="s">
        <v>74</v>
      </c>
      <c r="AZ1549" t="s">
        <v>74</v>
      </c>
      <c r="BA1549" t="s">
        <v>74</v>
      </c>
      <c r="BB1549">
        <v>138</v>
      </c>
      <c r="BC1549">
        <v>147</v>
      </c>
      <c r="BD1549" t="s">
        <v>74</v>
      </c>
      <c r="BE1549" t="s">
        <v>15555</v>
      </c>
      <c r="BF1549" t="str">
        <f>HYPERLINK("http://dx.doi.org/10.1046/j.1398-9995.2003.00359.x","http://dx.doi.org/10.1046/j.1398-9995.2003.00359.x")</f>
        <v>http://dx.doi.org/10.1046/j.1398-9995.2003.00359.x</v>
      </c>
      <c r="BG1549" t="s">
        <v>74</v>
      </c>
      <c r="BH1549" t="s">
        <v>74</v>
      </c>
      <c r="BI1549">
        <v>10</v>
      </c>
      <c r="BJ1549" t="s">
        <v>3085</v>
      </c>
      <c r="BK1549" t="s">
        <v>101</v>
      </c>
      <c r="BL1549" t="s">
        <v>3085</v>
      </c>
      <c r="BM1549" t="s">
        <v>15554</v>
      </c>
      <c r="BN1549">
        <v>14763925</v>
      </c>
      <c r="BO1549" t="s">
        <v>1194</v>
      </c>
      <c r="BP1549" t="s">
        <v>74</v>
      </c>
      <c r="BQ1549" t="s">
        <v>74</v>
      </c>
      <c r="BR1549" t="s">
        <v>104</v>
      </c>
      <c r="BS1549" t="s">
        <v>15553</v>
      </c>
      <c r="BT1549" t="str">
        <f>HYPERLINK("https%3A%2F%2Fwww.webofscience.com%2Fwos%2Fwoscc%2Ffull-record%2FWOS:000188808200003","View Full Record in Web of Science")</f>
        <v>View Full Record in Web of Science</v>
      </c>
    </row>
    <row r="1550" spans="1:72" x14ac:dyDescent="0.25">
      <c r="A1550" t="s">
        <v>72</v>
      </c>
      <c r="B1550" t="s">
        <v>14526</v>
      </c>
      <c r="C1550" t="s">
        <v>74</v>
      </c>
      <c r="D1550" t="s">
        <v>74</v>
      </c>
      <c r="E1550" t="s">
        <v>74</v>
      </c>
      <c r="F1550" t="s">
        <v>14526</v>
      </c>
      <c r="G1550" t="s">
        <v>74</v>
      </c>
      <c r="H1550" t="s">
        <v>74</v>
      </c>
      <c r="I1550" t="s">
        <v>15552</v>
      </c>
      <c r="J1550" t="s">
        <v>14510</v>
      </c>
      <c r="K1550" t="s">
        <v>74</v>
      </c>
      <c r="L1550" t="s">
        <v>74</v>
      </c>
      <c r="M1550" t="s">
        <v>78</v>
      </c>
      <c r="N1550" t="s">
        <v>79</v>
      </c>
      <c r="O1550" t="s">
        <v>74</v>
      </c>
      <c r="P1550" t="s">
        <v>74</v>
      </c>
      <c r="Q1550" t="s">
        <v>74</v>
      </c>
      <c r="R1550" t="s">
        <v>74</v>
      </c>
      <c r="S1550" t="s">
        <v>74</v>
      </c>
      <c r="T1550" t="s">
        <v>15551</v>
      </c>
      <c r="U1550" t="s">
        <v>15550</v>
      </c>
      <c r="V1550" t="s">
        <v>15549</v>
      </c>
      <c r="W1550" t="s">
        <v>15548</v>
      </c>
      <c r="X1550" t="s">
        <v>14590</v>
      </c>
      <c r="Y1550" t="s">
        <v>15547</v>
      </c>
      <c r="Z1550" t="s">
        <v>15546</v>
      </c>
      <c r="AA1550" t="s">
        <v>144</v>
      </c>
      <c r="AB1550" t="s">
        <v>257</v>
      </c>
      <c r="AC1550" t="s">
        <v>74</v>
      </c>
      <c r="AD1550" t="s">
        <v>74</v>
      </c>
      <c r="AE1550" t="s">
        <v>74</v>
      </c>
      <c r="AF1550" t="s">
        <v>74</v>
      </c>
      <c r="AG1550">
        <v>13</v>
      </c>
      <c r="AH1550">
        <v>0</v>
      </c>
      <c r="AI1550">
        <v>0</v>
      </c>
      <c r="AJ1550">
        <v>0</v>
      </c>
      <c r="AK1550">
        <v>1</v>
      </c>
      <c r="AL1550" t="s">
        <v>8138</v>
      </c>
      <c r="AM1550" t="s">
        <v>883</v>
      </c>
      <c r="AN1550" t="s">
        <v>15528</v>
      </c>
      <c r="AO1550" t="s">
        <v>14502</v>
      </c>
      <c r="AP1550" t="s">
        <v>74</v>
      </c>
      <c r="AQ1550" t="s">
        <v>74</v>
      </c>
      <c r="AR1550" t="s">
        <v>14501</v>
      </c>
      <c r="AS1550" t="s">
        <v>14500</v>
      </c>
      <c r="AT1550" t="s">
        <v>176</v>
      </c>
      <c r="AU1550">
        <v>2004</v>
      </c>
      <c r="AV1550">
        <v>44</v>
      </c>
      <c r="AW1550">
        <v>1</v>
      </c>
      <c r="AX1550" t="s">
        <v>74</v>
      </c>
      <c r="AY1550" t="s">
        <v>74</v>
      </c>
      <c r="AZ1550" t="s">
        <v>74</v>
      </c>
      <c r="BA1550" t="s">
        <v>74</v>
      </c>
      <c r="BB1550">
        <v>89</v>
      </c>
      <c r="BC1550">
        <v>91</v>
      </c>
      <c r="BD1550" t="s">
        <v>74</v>
      </c>
      <c r="BE1550" t="s">
        <v>15545</v>
      </c>
      <c r="BF1550" t="str">
        <f>HYPERLINK("http://dx.doi.org/10.1016/j.allerg.2003.10.018","http://dx.doi.org/10.1016/j.allerg.2003.10.018")</f>
        <v>http://dx.doi.org/10.1016/j.allerg.2003.10.018</v>
      </c>
      <c r="BG1550" t="s">
        <v>74</v>
      </c>
      <c r="BH1550" t="s">
        <v>74</v>
      </c>
      <c r="BI1550">
        <v>3</v>
      </c>
      <c r="BJ1550" t="s">
        <v>601</v>
      </c>
      <c r="BK1550" t="s">
        <v>101</v>
      </c>
      <c r="BL1550" t="s">
        <v>601</v>
      </c>
      <c r="BM1550" t="s">
        <v>15526</v>
      </c>
      <c r="BN1550" t="s">
        <v>74</v>
      </c>
      <c r="BO1550" t="s">
        <v>74</v>
      </c>
      <c r="BP1550" t="s">
        <v>74</v>
      </c>
      <c r="BQ1550" t="s">
        <v>74</v>
      </c>
      <c r="BR1550" t="s">
        <v>104</v>
      </c>
      <c r="BS1550" t="s">
        <v>15544</v>
      </c>
      <c r="BT1550" t="str">
        <f>HYPERLINK("https%3A%2F%2Fwww.webofscience.com%2Fwos%2Fwoscc%2Ffull-record%2FWOS:000188317600015","View Full Record in Web of Science")</f>
        <v>View Full Record in Web of Science</v>
      </c>
    </row>
    <row r="1551" spans="1:72" x14ac:dyDescent="0.25">
      <c r="A1551" t="s">
        <v>72</v>
      </c>
      <c r="B1551" t="s">
        <v>15543</v>
      </c>
      <c r="C1551" t="s">
        <v>74</v>
      </c>
      <c r="D1551" t="s">
        <v>74</v>
      </c>
      <c r="E1551" t="s">
        <v>74</v>
      </c>
      <c r="F1551" t="s">
        <v>15543</v>
      </c>
      <c r="G1551" t="s">
        <v>74</v>
      </c>
      <c r="H1551" t="s">
        <v>74</v>
      </c>
      <c r="I1551" t="s">
        <v>15542</v>
      </c>
      <c r="J1551" t="s">
        <v>637</v>
      </c>
      <c r="K1551" t="s">
        <v>74</v>
      </c>
      <c r="L1551" t="s">
        <v>74</v>
      </c>
      <c r="M1551" t="s">
        <v>78</v>
      </c>
      <c r="N1551" t="s">
        <v>140</v>
      </c>
      <c r="O1551" t="s">
        <v>74</v>
      </c>
      <c r="P1551" t="s">
        <v>74</v>
      </c>
      <c r="Q1551" t="s">
        <v>74</v>
      </c>
      <c r="R1551" t="s">
        <v>74</v>
      </c>
      <c r="S1551" t="s">
        <v>74</v>
      </c>
      <c r="T1551" t="s">
        <v>74</v>
      </c>
      <c r="U1551" t="s">
        <v>15541</v>
      </c>
      <c r="V1551" t="s">
        <v>74</v>
      </c>
      <c r="W1551" t="s">
        <v>15540</v>
      </c>
      <c r="X1551" t="s">
        <v>15539</v>
      </c>
      <c r="Y1551" t="s">
        <v>15538</v>
      </c>
      <c r="Z1551" t="s">
        <v>74</v>
      </c>
      <c r="AA1551" t="s">
        <v>144</v>
      </c>
      <c r="AB1551" t="s">
        <v>257</v>
      </c>
      <c r="AC1551" t="s">
        <v>74</v>
      </c>
      <c r="AD1551" t="s">
        <v>74</v>
      </c>
      <c r="AE1551" t="s">
        <v>74</v>
      </c>
      <c r="AF1551" t="s">
        <v>74</v>
      </c>
      <c r="AG1551">
        <v>16</v>
      </c>
      <c r="AH1551">
        <v>15</v>
      </c>
      <c r="AI1551">
        <v>18</v>
      </c>
      <c r="AJ1551">
        <v>0</v>
      </c>
      <c r="AK1551">
        <v>1</v>
      </c>
      <c r="AL1551" t="s">
        <v>649</v>
      </c>
      <c r="AM1551" t="s">
        <v>486</v>
      </c>
      <c r="AN1551" t="s">
        <v>650</v>
      </c>
      <c r="AO1551" t="s">
        <v>651</v>
      </c>
      <c r="AP1551" t="s">
        <v>652</v>
      </c>
      <c r="AQ1551" t="s">
        <v>74</v>
      </c>
      <c r="AR1551" t="s">
        <v>653</v>
      </c>
      <c r="AS1551" t="s">
        <v>654</v>
      </c>
      <c r="AT1551" t="s">
        <v>1247</v>
      </c>
      <c r="AU1551">
        <v>2004</v>
      </c>
      <c r="AV1551">
        <v>169</v>
      </c>
      <c r="AW1551">
        <v>1</v>
      </c>
      <c r="AX1551" t="s">
        <v>74</v>
      </c>
      <c r="AY1551" t="s">
        <v>74</v>
      </c>
      <c r="AZ1551" t="s">
        <v>74</v>
      </c>
      <c r="BA1551" t="s">
        <v>74</v>
      </c>
      <c r="BB1551">
        <v>6</v>
      </c>
      <c r="BC1551">
        <v>7</v>
      </c>
      <c r="BD1551" t="s">
        <v>74</v>
      </c>
      <c r="BE1551" t="s">
        <v>15537</v>
      </c>
      <c r="BF1551" t="str">
        <f>HYPERLINK("http://dx.doi.org/10.1164/rccm.2310007","http://dx.doi.org/10.1164/rccm.2310007")</f>
        <v>http://dx.doi.org/10.1164/rccm.2310007</v>
      </c>
      <c r="BG1551" t="s">
        <v>74</v>
      </c>
      <c r="BH1551" t="s">
        <v>74</v>
      </c>
      <c r="BI1551">
        <v>2</v>
      </c>
      <c r="BJ1551" t="s">
        <v>341</v>
      </c>
      <c r="BK1551" t="s">
        <v>101</v>
      </c>
      <c r="BL1551" t="s">
        <v>342</v>
      </c>
      <c r="BM1551" t="s">
        <v>15536</v>
      </c>
      <c r="BN1551">
        <v>14695103</v>
      </c>
      <c r="BO1551" t="s">
        <v>74</v>
      </c>
      <c r="BP1551" t="s">
        <v>74</v>
      </c>
      <c r="BQ1551" t="s">
        <v>74</v>
      </c>
      <c r="BR1551" t="s">
        <v>104</v>
      </c>
      <c r="BS1551" t="s">
        <v>15535</v>
      </c>
      <c r="BT1551" t="str">
        <f>HYPERLINK("https%3A%2F%2Fwww.webofscience.com%2Fwos%2Fwoscc%2Ffull-record%2FWOS:000187570500005","View Full Record in Web of Science")</f>
        <v>View Full Record in Web of Science</v>
      </c>
    </row>
    <row r="1552" spans="1:72" x14ac:dyDescent="0.25">
      <c r="A1552" t="s">
        <v>72</v>
      </c>
      <c r="B1552" t="s">
        <v>10835</v>
      </c>
      <c r="C1552" t="s">
        <v>74</v>
      </c>
      <c r="D1552" t="s">
        <v>74</v>
      </c>
      <c r="E1552" t="s">
        <v>74</v>
      </c>
      <c r="F1552" t="s">
        <v>10835</v>
      </c>
      <c r="G1552" t="s">
        <v>74</v>
      </c>
      <c r="H1552" t="s">
        <v>74</v>
      </c>
      <c r="I1552" t="s">
        <v>15534</v>
      </c>
      <c r="J1552" t="s">
        <v>14510</v>
      </c>
      <c r="K1552" t="s">
        <v>74</v>
      </c>
      <c r="L1552" t="s">
        <v>74</v>
      </c>
      <c r="M1552" t="s">
        <v>1349</v>
      </c>
      <c r="N1552" t="s">
        <v>79</v>
      </c>
      <c r="O1552" t="s">
        <v>74</v>
      </c>
      <c r="P1552" t="s">
        <v>74</v>
      </c>
      <c r="Q1552" t="s">
        <v>74</v>
      </c>
      <c r="R1552" t="s">
        <v>74</v>
      </c>
      <c r="S1552" t="s">
        <v>74</v>
      </c>
      <c r="T1552" t="s">
        <v>15533</v>
      </c>
      <c r="U1552" t="s">
        <v>15532</v>
      </c>
      <c r="V1552" t="s">
        <v>15531</v>
      </c>
      <c r="W1552" t="s">
        <v>15530</v>
      </c>
      <c r="X1552" t="s">
        <v>14516</v>
      </c>
      <c r="Y1552" t="s">
        <v>15529</v>
      </c>
      <c r="Z1552" t="s">
        <v>15027</v>
      </c>
      <c r="AA1552" t="s">
        <v>144</v>
      </c>
      <c r="AB1552" t="s">
        <v>257</v>
      </c>
      <c r="AC1552" t="s">
        <v>74</v>
      </c>
      <c r="AD1552" t="s">
        <v>74</v>
      </c>
      <c r="AE1552" t="s">
        <v>74</v>
      </c>
      <c r="AF1552" t="s">
        <v>74</v>
      </c>
      <c r="AG1552">
        <v>9</v>
      </c>
      <c r="AH1552">
        <v>1</v>
      </c>
      <c r="AI1552">
        <v>1</v>
      </c>
      <c r="AJ1552">
        <v>0</v>
      </c>
      <c r="AK1552">
        <v>0</v>
      </c>
      <c r="AL1552" t="s">
        <v>8138</v>
      </c>
      <c r="AM1552" t="s">
        <v>883</v>
      </c>
      <c r="AN1552" t="s">
        <v>15528</v>
      </c>
      <c r="AO1552" t="s">
        <v>14502</v>
      </c>
      <c r="AP1552" t="s">
        <v>74</v>
      </c>
      <c r="AQ1552" t="s">
        <v>74</v>
      </c>
      <c r="AR1552" t="s">
        <v>14501</v>
      </c>
      <c r="AS1552" t="s">
        <v>14500</v>
      </c>
      <c r="AT1552" t="s">
        <v>176</v>
      </c>
      <c r="AU1552">
        <v>2004</v>
      </c>
      <c r="AV1552">
        <v>44</v>
      </c>
      <c r="AW1552">
        <v>1</v>
      </c>
      <c r="AX1552" t="s">
        <v>74</v>
      </c>
      <c r="AY1552" t="s">
        <v>74</v>
      </c>
      <c r="AZ1552" t="s">
        <v>74</v>
      </c>
      <c r="BA1552" t="s">
        <v>74</v>
      </c>
      <c r="BB1552">
        <v>62</v>
      </c>
      <c r="BC1552">
        <v>64</v>
      </c>
      <c r="BD1552" t="s">
        <v>74</v>
      </c>
      <c r="BE1552" t="s">
        <v>15527</v>
      </c>
      <c r="BF1552" t="str">
        <f>HYPERLINK("http://dx.doi.org/10.1016/j.allerg.2003.10.015","http://dx.doi.org/10.1016/j.allerg.2003.10.015")</f>
        <v>http://dx.doi.org/10.1016/j.allerg.2003.10.015</v>
      </c>
      <c r="BG1552" t="s">
        <v>74</v>
      </c>
      <c r="BH1552" t="s">
        <v>74</v>
      </c>
      <c r="BI1552">
        <v>3</v>
      </c>
      <c r="BJ1552" t="s">
        <v>601</v>
      </c>
      <c r="BK1552" t="s">
        <v>101</v>
      </c>
      <c r="BL1552" t="s">
        <v>601</v>
      </c>
      <c r="BM1552" t="s">
        <v>15526</v>
      </c>
      <c r="BN1552" t="s">
        <v>74</v>
      </c>
      <c r="BO1552" t="s">
        <v>74</v>
      </c>
      <c r="BP1552" t="s">
        <v>74</v>
      </c>
      <c r="BQ1552" t="s">
        <v>74</v>
      </c>
      <c r="BR1552" t="s">
        <v>104</v>
      </c>
      <c r="BS1552" t="s">
        <v>15525</v>
      </c>
      <c r="BT1552" t="str">
        <f>HYPERLINK("https%3A%2F%2Fwww.webofscience.com%2Fwos%2Fwoscc%2Ffull-record%2FWOS:000188317600009","View Full Record in Web of Science")</f>
        <v>View Full Record in Web of Science</v>
      </c>
    </row>
    <row r="1553" spans="1:72" x14ac:dyDescent="0.25">
      <c r="A1553" t="s">
        <v>72</v>
      </c>
      <c r="B1553" t="s">
        <v>15524</v>
      </c>
      <c r="C1553" t="s">
        <v>74</v>
      </c>
      <c r="D1553" t="s">
        <v>74</v>
      </c>
      <c r="E1553" t="s">
        <v>74</v>
      </c>
      <c r="F1553" t="s">
        <v>15524</v>
      </c>
      <c r="G1553" t="s">
        <v>74</v>
      </c>
      <c r="H1553" t="s">
        <v>74</v>
      </c>
      <c r="I1553" t="s">
        <v>15523</v>
      </c>
      <c r="J1553" t="s">
        <v>4427</v>
      </c>
      <c r="K1553" t="s">
        <v>74</v>
      </c>
      <c r="L1553" t="s">
        <v>74</v>
      </c>
      <c r="M1553" t="s">
        <v>78</v>
      </c>
      <c r="N1553" t="s">
        <v>79</v>
      </c>
      <c r="O1553" t="s">
        <v>74</v>
      </c>
      <c r="P1553" t="s">
        <v>74</v>
      </c>
      <c r="Q1553" t="s">
        <v>74</v>
      </c>
      <c r="R1553" t="s">
        <v>74</v>
      </c>
      <c r="S1553" t="s">
        <v>74</v>
      </c>
      <c r="T1553" t="s">
        <v>15522</v>
      </c>
      <c r="U1553" t="s">
        <v>15521</v>
      </c>
      <c r="V1553" t="s">
        <v>15520</v>
      </c>
      <c r="W1553" t="s">
        <v>15519</v>
      </c>
      <c r="X1553" t="s">
        <v>15518</v>
      </c>
      <c r="Y1553" t="s">
        <v>15517</v>
      </c>
      <c r="Z1553" t="s">
        <v>74</v>
      </c>
      <c r="AA1553" t="s">
        <v>15516</v>
      </c>
      <c r="AB1553" t="s">
        <v>15515</v>
      </c>
      <c r="AC1553" t="s">
        <v>74</v>
      </c>
      <c r="AD1553" t="s">
        <v>74</v>
      </c>
      <c r="AE1553" t="s">
        <v>74</v>
      </c>
      <c r="AF1553" t="s">
        <v>74</v>
      </c>
      <c r="AG1553">
        <v>39</v>
      </c>
      <c r="AH1553">
        <v>72</v>
      </c>
      <c r="AI1553">
        <v>80</v>
      </c>
      <c r="AJ1553">
        <v>0</v>
      </c>
      <c r="AK1553">
        <v>5</v>
      </c>
      <c r="AL1553" t="s">
        <v>485</v>
      </c>
      <c r="AM1553" t="s">
        <v>486</v>
      </c>
      <c r="AN1553" t="s">
        <v>487</v>
      </c>
      <c r="AO1553" t="s">
        <v>4433</v>
      </c>
      <c r="AP1553" t="s">
        <v>4434</v>
      </c>
      <c r="AQ1553" t="s">
        <v>74</v>
      </c>
      <c r="AR1553" t="s">
        <v>4435</v>
      </c>
      <c r="AS1553" t="s">
        <v>4436</v>
      </c>
      <c r="AT1553" t="s">
        <v>226</v>
      </c>
      <c r="AU1553">
        <v>2003</v>
      </c>
      <c r="AV1553">
        <v>112</v>
      </c>
      <c r="AW1553">
        <v>6</v>
      </c>
      <c r="AX1553" t="s">
        <v>74</v>
      </c>
      <c r="AY1553" t="s">
        <v>74</v>
      </c>
      <c r="AZ1553" t="s">
        <v>74</v>
      </c>
      <c r="BA1553" t="s">
        <v>74</v>
      </c>
      <c r="BB1553">
        <v>1139</v>
      </c>
      <c r="BC1553">
        <v>1146</v>
      </c>
      <c r="BD1553" t="s">
        <v>74</v>
      </c>
      <c r="BE1553" t="s">
        <v>15514</v>
      </c>
      <c r="BF1553" t="str">
        <f>HYPERLINK("http://dx.doi.org/10.1016/j.jaci.2003.09.041","http://dx.doi.org/10.1016/j.jaci.2003.09.041")</f>
        <v>http://dx.doi.org/10.1016/j.jaci.2003.09.041</v>
      </c>
      <c r="BG1553" t="s">
        <v>74</v>
      </c>
      <c r="BH1553" t="s">
        <v>74</v>
      </c>
      <c r="BI1553">
        <v>8</v>
      </c>
      <c r="BJ1553" t="s">
        <v>3085</v>
      </c>
      <c r="BK1553" t="s">
        <v>101</v>
      </c>
      <c r="BL1553" t="s">
        <v>3085</v>
      </c>
      <c r="BM1553" t="s">
        <v>15513</v>
      </c>
      <c r="BN1553">
        <v>14657873</v>
      </c>
      <c r="BO1553" t="s">
        <v>1194</v>
      </c>
      <c r="BP1553" t="s">
        <v>74</v>
      </c>
      <c r="BQ1553" t="s">
        <v>74</v>
      </c>
      <c r="BR1553" t="s">
        <v>104</v>
      </c>
      <c r="BS1553" t="s">
        <v>15512</v>
      </c>
      <c r="BT1553" t="str">
        <f>HYPERLINK("https%3A%2F%2Fwww.webofscience.com%2Fwos%2Fwoscc%2Ffull-record%2FWOS:000187154200017","View Full Record in Web of Science")</f>
        <v>View Full Record in Web of Science</v>
      </c>
    </row>
    <row r="1554" spans="1:72" x14ac:dyDescent="0.25">
      <c r="A1554" t="s">
        <v>72</v>
      </c>
      <c r="B1554" t="s">
        <v>15258</v>
      </c>
      <c r="C1554" t="s">
        <v>74</v>
      </c>
      <c r="D1554" t="s">
        <v>74</v>
      </c>
      <c r="E1554" t="s">
        <v>74</v>
      </c>
      <c r="F1554" t="s">
        <v>15258</v>
      </c>
      <c r="G1554" t="s">
        <v>74</v>
      </c>
      <c r="H1554" t="s">
        <v>74</v>
      </c>
      <c r="I1554" t="s">
        <v>15511</v>
      </c>
      <c r="J1554" t="s">
        <v>1348</v>
      </c>
      <c r="K1554" t="s">
        <v>74</v>
      </c>
      <c r="L1554" t="s">
        <v>74</v>
      </c>
      <c r="M1554" t="s">
        <v>1349</v>
      </c>
      <c r="N1554" t="s">
        <v>79</v>
      </c>
      <c r="O1554" t="s">
        <v>74</v>
      </c>
      <c r="P1554" t="s">
        <v>74</v>
      </c>
      <c r="Q1554" t="s">
        <v>74</v>
      </c>
      <c r="R1554" t="s">
        <v>74</v>
      </c>
      <c r="S1554" t="s">
        <v>74</v>
      </c>
      <c r="T1554" t="s">
        <v>74</v>
      </c>
      <c r="U1554" t="s">
        <v>15510</v>
      </c>
      <c r="V1554" t="s">
        <v>74</v>
      </c>
      <c r="W1554" t="s">
        <v>15509</v>
      </c>
      <c r="X1554" t="s">
        <v>15508</v>
      </c>
      <c r="Y1554" t="s">
        <v>15507</v>
      </c>
      <c r="Z1554" t="s">
        <v>15506</v>
      </c>
      <c r="AA1554" t="s">
        <v>3301</v>
      </c>
      <c r="AB1554" t="s">
        <v>3302</v>
      </c>
      <c r="AC1554" t="s">
        <v>74</v>
      </c>
      <c r="AD1554" t="s">
        <v>74</v>
      </c>
      <c r="AE1554" t="s">
        <v>74</v>
      </c>
      <c r="AF1554" t="s">
        <v>74</v>
      </c>
      <c r="AG1554">
        <v>26</v>
      </c>
      <c r="AH1554">
        <v>3</v>
      </c>
      <c r="AI1554">
        <v>3</v>
      </c>
      <c r="AJ1554">
        <v>0</v>
      </c>
      <c r="AK1554">
        <v>0</v>
      </c>
      <c r="AL1554" t="s">
        <v>1358</v>
      </c>
      <c r="AM1554" t="s">
        <v>1359</v>
      </c>
      <c r="AN1554" t="s">
        <v>1360</v>
      </c>
      <c r="AO1554" t="s">
        <v>1361</v>
      </c>
      <c r="AP1554" t="s">
        <v>1362</v>
      </c>
      <c r="AQ1554" t="s">
        <v>74</v>
      </c>
      <c r="AR1554" t="s">
        <v>1363</v>
      </c>
      <c r="AS1554" t="s">
        <v>1364</v>
      </c>
      <c r="AT1554" t="s">
        <v>226</v>
      </c>
      <c r="AU1554">
        <v>2003</v>
      </c>
      <c r="AV1554">
        <v>20</v>
      </c>
      <c r="AW1554">
        <v>6</v>
      </c>
      <c r="AX1554">
        <v>3</v>
      </c>
      <c r="AY1554" t="s">
        <v>998</v>
      </c>
      <c r="AZ1554" t="s">
        <v>74</v>
      </c>
      <c r="BA1554" t="s">
        <v>74</v>
      </c>
      <c r="BB1554" t="s">
        <v>6661</v>
      </c>
      <c r="BC1554" t="s">
        <v>15505</v>
      </c>
      <c r="BD1554" t="s">
        <v>74</v>
      </c>
      <c r="BE1554" t="s">
        <v>74</v>
      </c>
      <c r="BF1554" t="s">
        <v>74</v>
      </c>
      <c r="BG1554" t="s">
        <v>74</v>
      </c>
      <c r="BH1554" t="s">
        <v>74</v>
      </c>
      <c r="BI1554">
        <v>8</v>
      </c>
      <c r="BJ1554" t="s">
        <v>228</v>
      </c>
      <c r="BK1554" t="s">
        <v>101</v>
      </c>
      <c r="BL1554" t="s">
        <v>228</v>
      </c>
      <c r="BM1554" t="s">
        <v>15504</v>
      </c>
      <c r="BN1554">
        <v>15143307</v>
      </c>
      <c r="BO1554" t="s">
        <v>74</v>
      </c>
      <c r="BP1554" t="s">
        <v>74</v>
      </c>
      <c r="BQ1554" t="s">
        <v>74</v>
      </c>
      <c r="BR1554" t="s">
        <v>104</v>
      </c>
      <c r="BS1554" t="s">
        <v>15503</v>
      </c>
      <c r="BT1554" t="str">
        <f>HYPERLINK("https%3A%2F%2Fwww.webofscience.com%2Fwos%2Fwoscc%2Ffull-record%2FWOS:000221214300006","View Full Record in Web of Science")</f>
        <v>View Full Record in Web of Science</v>
      </c>
    </row>
    <row r="1555" spans="1:72" x14ac:dyDescent="0.25">
      <c r="A1555" t="s">
        <v>72</v>
      </c>
      <c r="B1555" t="s">
        <v>15502</v>
      </c>
      <c r="C1555" t="s">
        <v>74</v>
      </c>
      <c r="D1555" t="s">
        <v>74</v>
      </c>
      <c r="E1555" t="s">
        <v>74</v>
      </c>
      <c r="F1555" t="s">
        <v>15502</v>
      </c>
      <c r="G1555" t="s">
        <v>74</v>
      </c>
      <c r="H1555" t="s">
        <v>74</v>
      </c>
      <c r="I1555" t="s">
        <v>15501</v>
      </c>
      <c r="J1555" t="s">
        <v>15500</v>
      </c>
      <c r="K1555" t="s">
        <v>74</v>
      </c>
      <c r="L1555" t="s">
        <v>74</v>
      </c>
      <c r="M1555" t="s">
        <v>78</v>
      </c>
      <c r="N1555" t="s">
        <v>52</v>
      </c>
      <c r="O1555" t="s">
        <v>15499</v>
      </c>
      <c r="P1555" t="s">
        <v>15498</v>
      </c>
      <c r="Q1555" t="s">
        <v>15497</v>
      </c>
      <c r="R1555" t="s">
        <v>74</v>
      </c>
      <c r="S1555" t="s">
        <v>74</v>
      </c>
      <c r="T1555" t="s">
        <v>74</v>
      </c>
      <c r="U1555" t="s">
        <v>74</v>
      </c>
      <c r="V1555" t="s">
        <v>74</v>
      </c>
      <c r="W1555" t="s">
        <v>15496</v>
      </c>
      <c r="X1555" t="s">
        <v>15495</v>
      </c>
      <c r="Y1555" t="s">
        <v>74</v>
      </c>
      <c r="Z1555" t="s">
        <v>74</v>
      </c>
      <c r="AA1555" t="s">
        <v>15494</v>
      </c>
      <c r="AB1555" t="s">
        <v>74</v>
      </c>
      <c r="AC1555" t="s">
        <v>74</v>
      </c>
      <c r="AD1555" t="s">
        <v>74</v>
      </c>
      <c r="AE1555" t="s">
        <v>74</v>
      </c>
      <c r="AF1555" t="s">
        <v>74</v>
      </c>
      <c r="AG1555">
        <v>0</v>
      </c>
      <c r="AH1555">
        <v>0</v>
      </c>
      <c r="AI1555">
        <v>0</v>
      </c>
      <c r="AJ1555">
        <v>0</v>
      </c>
      <c r="AK1555">
        <v>0</v>
      </c>
      <c r="AL1555" t="s">
        <v>15493</v>
      </c>
      <c r="AM1555" t="s">
        <v>486</v>
      </c>
      <c r="AN1555" t="s">
        <v>15492</v>
      </c>
      <c r="AO1555" t="s">
        <v>15491</v>
      </c>
      <c r="AP1555" t="s">
        <v>74</v>
      </c>
      <c r="AQ1555" t="s">
        <v>74</v>
      </c>
      <c r="AR1555" t="s">
        <v>15490</v>
      </c>
      <c r="AS1555" t="s">
        <v>15489</v>
      </c>
      <c r="AT1555" t="s">
        <v>492</v>
      </c>
      <c r="AU1555">
        <v>2003</v>
      </c>
      <c r="AV1555">
        <v>48</v>
      </c>
      <c r="AW1555">
        <v>9</v>
      </c>
      <c r="AX1555" t="s">
        <v>74</v>
      </c>
      <c r="AY1555" t="s">
        <v>998</v>
      </c>
      <c r="AZ1555" t="s">
        <v>74</v>
      </c>
      <c r="BA1555">
        <v>856</v>
      </c>
      <c r="BB1555" t="s">
        <v>15488</v>
      </c>
      <c r="BC1555" t="s">
        <v>15488</v>
      </c>
      <c r="BD1555" t="s">
        <v>74</v>
      </c>
      <c r="BE1555" t="s">
        <v>74</v>
      </c>
      <c r="BF1555" t="s">
        <v>74</v>
      </c>
      <c r="BG1555" t="s">
        <v>74</v>
      </c>
      <c r="BH1555" t="s">
        <v>74</v>
      </c>
      <c r="BI1555">
        <v>1</v>
      </c>
      <c r="BJ1555" t="s">
        <v>2369</v>
      </c>
      <c r="BK1555" t="s">
        <v>14074</v>
      </c>
      <c r="BL1555" t="s">
        <v>2369</v>
      </c>
      <c r="BM1555" t="s">
        <v>15487</v>
      </c>
      <c r="BN1555" t="s">
        <v>74</v>
      </c>
      <c r="BO1555" t="s">
        <v>74</v>
      </c>
      <c r="BP1555" t="s">
        <v>74</v>
      </c>
      <c r="BQ1555" t="s">
        <v>74</v>
      </c>
      <c r="BR1555" t="s">
        <v>104</v>
      </c>
      <c r="BS1555" t="s">
        <v>15486</v>
      </c>
      <c r="BT1555" t="str">
        <f>HYPERLINK("https%3A%2F%2Fwww.webofscience.com%2Fwos%2Fwoscc%2Ffull-record%2FWOS:000185432800900","View Full Record in Web of Science")</f>
        <v>View Full Record in Web of Science</v>
      </c>
    </row>
    <row r="1556" spans="1:72" x14ac:dyDescent="0.25">
      <c r="A1556" t="s">
        <v>72</v>
      </c>
      <c r="B1556" t="s">
        <v>15485</v>
      </c>
      <c r="C1556" t="s">
        <v>74</v>
      </c>
      <c r="D1556" t="s">
        <v>74</v>
      </c>
      <c r="E1556" t="s">
        <v>74</v>
      </c>
      <c r="F1556" t="s">
        <v>15485</v>
      </c>
      <c r="G1556" t="s">
        <v>74</v>
      </c>
      <c r="H1556" t="s">
        <v>74</v>
      </c>
      <c r="I1556" t="s">
        <v>15484</v>
      </c>
      <c r="J1556" t="s">
        <v>216</v>
      </c>
      <c r="K1556" t="s">
        <v>74</v>
      </c>
      <c r="L1556" t="s">
        <v>74</v>
      </c>
      <c r="M1556" t="s">
        <v>78</v>
      </c>
      <c r="N1556" t="s">
        <v>79</v>
      </c>
      <c r="O1556" t="s">
        <v>74</v>
      </c>
      <c r="P1556" t="s">
        <v>74</v>
      </c>
      <c r="Q1556" t="s">
        <v>74</v>
      </c>
      <c r="R1556" t="s">
        <v>74</v>
      </c>
      <c r="S1556" t="s">
        <v>74</v>
      </c>
      <c r="T1556" t="s">
        <v>15483</v>
      </c>
      <c r="U1556" t="s">
        <v>15482</v>
      </c>
      <c r="V1556" t="s">
        <v>15481</v>
      </c>
      <c r="W1556" t="s">
        <v>15480</v>
      </c>
      <c r="X1556" t="s">
        <v>15479</v>
      </c>
      <c r="Y1556" t="s">
        <v>15478</v>
      </c>
      <c r="Z1556" t="s">
        <v>15027</v>
      </c>
      <c r="AA1556" t="s">
        <v>15477</v>
      </c>
      <c r="AB1556" t="s">
        <v>15476</v>
      </c>
      <c r="AC1556" t="s">
        <v>74</v>
      </c>
      <c r="AD1556" t="s">
        <v>74</v>
      </c>
      <c r="AE1556" t="s">
        <v>74</v>
      </c>
      <c r="AF1556" t="s">
        <v>74</v>
      </c>
      <c r="AG1556">
        <v>57</v>
      </c>
      <c r="AH1556">
        <v>461</v>
      </c>
      <c r="AI1556">
        <v>516</v>
      </c>
      <c r="AJ1556">
        <v>1</v>
      </c>
      <c r="AK1556">
        <v>29</v>
      </c>
      <c r="AL1556" t="s">
        <v>219</v>
      </c>
      <c r="AM1556" t="s">
        <v>220</v>
      </c>
      <c r="AN1556" t="s">
        <v>221</v>
      </c>
      <c r="AO1556" t="s">
        <v>222</v>
      </c>
      <c r="AP1556" t="s">
        <v>223</v>
      </c>
      <c r="AQ1556" t="s">
        <v>74</v>
      </c>
      <c r="AR1556" t="s">
        <v>224</v>
      </c>
      <c r="AS1556" t="s">
        <v>225</v>
      </c>
      <c r="AT1556" t="s">
        <v>725</v>
      </c>
      <c r="AU1556">
        <v>2003</v>
      </c>
      <c r="AV1556">
        <v>22</v>
      </c>
      <c r="AW1556">
        <v>2</v>
      </c>
      <c r="AX1556" t="s">
        <v>74</v>
      </c>
      <c r="AY1556" t="s">
        <v>74</v>
      </c>
      <c r="AZ1556" t="s">
        <v>74</v>
      </c>
      <c r="BA1556" t="s">
        <v>74</v>
      </c>
      <c r="BB1556">
        <v>358</v>
      </c>
      <c r="BC1556">
        <v>363</v>
      </c>
      <c r="BD1556" t="s">
        <v>74</v>
      </c>
      <c r="BE1556" t="s">
        <v>15475</v>
      </c>
      <c r="BF1556" t="str">
        <f>HYPERLINK("http://dx.doi.org/10.1183/09031936.03.00038903","http://dx.doi.org/10.1183/09031936.03.00038903")</f>
        <v>http://dx.doi.org/10.1183/09031936.03.00038903</v>
      </c>
      <c r="BG1556" t="s">
        <v>74</v>
      </c>
      <c r="BH1556" t="s">
        <v>74</v>
      </c>
      <c r="BI1556">
        <v>6</v>
      </c>
      <c r="BJ1556" t="s">
        <v>228</v>
      </c>
      <c r="BK1556" t="s">
        <v>101</v>
      </c>
      <c r="BL1556" t="s">
        <v>228</v>
      </c>
      <c r="BM1556" t="s">
        <v>15467</v>
      </c>
      <c r="BN1556">
        <v>12952274</v>
      </c>
      <c r="BO1556" t="s">
        <v>1194</v>
      </c>
      <c r="BP1556" t="s">
        <v>74</v>
      </c>
      <c r="BQ1556" t="s">
        <v>74</v>
      </c>
      <c r="BR1556" t="s">
        <v>104</v>
      </c>
      <c r="BS1556" t="s">
        <v>15474</v>
      </c>
      <c r="BT1556" t="str">
        <f>HYPERLINK("https%3A%2F%2Fwww.webofscience.com%2Fwos%2Fwoscc%2Ffull-record%2FWOS:000184865400031","View Full Record in Web of Science")</f>
        <v>View Full Record in Web of Science</v>
      </c>
    </row>
    <row r="1557" spans="1:72" x14ac:dyDescent="0.25">
      <c r="A1557" t="s">
        <v>72</v>
      </c>
      <c r="B1557" t="s">
        <v>15473</v>
      </c>
      <c r="C1557" t="s">
        <v>74</v>
      </c>
      <c r="D1557" t="s">
        <v>74</v>
      </c>
      <c r="E1557" t="s">
        <v>74</v>
      </c>
      <c r="F1557" t="s">
        <v>15473</v>
      </c>
      <c r="G1557" t="s">
        <v>74</v>
      </c>
      <c r="H1557" t="s">
        <v>74</v>
      </c>
      <c r="I1557" t="s">
        <v>15472</v>
      </c>
      <c r="J1557" t="s">
        <v>216</v>
      </c>
      <c r="K1557" t="s">
        <v>74</v>
      </c>
      <c r="L1557" t="s">
        <v>74</v>
      </c>
      <c r="M1557" t="s">
        <v>78</v>
      </c>
      <c r="N1557" t="s">
        <v>140</v>
      </c>
      <c r="O1557" t="s">
        <v>74</v>
      </c>
      <c r="P1557" t="s">
        <v>74</v>
      </c>
      <c r="Q1557" t="s">
        <v>74</v>
      </c>
      <c r="R1557" t="s">
        <v>74</v>
      </c>
      <c r="S1557" t="s">
        <v>74</v>
      </c>
      <c r="T1557" t="s">
        <v>74</v>
      </c>
      <c r="U1557" t="s">
        <v>15471</v>
      </c>
      <c r="V1557" t="s">
        <v>74</v>
      </c>
      <c r="W1557" t="s">
        <v>15470</v>
      </c>
      <c r="X1557" t="s">
        <v>14156</v>
      </c>
      <c r="Y1557" t="s">
        <v>15469</v>
      </c>
      <c r="Z1557" t="s">
        <v>15027</v>
      </c>
      <c r="AA1557" t="s">
        <v>14164</v>
      </c>
      <c r="AB1557" t="s">
        <v>15276</v>
      </c>
      <c r="AC1557" t="s">
        <v>74</v>
      </c>
      <c r="AD1557" t="s">
        <v>74</v>
      </c>
      <c r="AE1557" t="s">
        <v>74</v>
      </c>
      <c r="AF1557" t="s">
        <v>74</v>
      </c>
      <c r="AG1557">
        <v>23</v>
      </c>
      <c r="AH1557">
        <v>13</v>
      </c>
      <c r="AI1557">
        <v>14</v>
      </c>
      <c r="AJ1557">
        <v>0</v>
      </c>
      <c r="AK1557">
        <v>1</v>
      </c>
      <c r="AL1557" t="s">
        <v>219</v>
      </c>
      <c r="AM1557" t="s">
        <v>220</v>
      </c>
      <c r="AN1557" t="s">
        <v>221</v>
      </c>
      <c r="AO1557" t="s">
        <v>222</v>
      </c>
      <c r="AP1557" t="s">
        <v>223</v>
      </c>
      <c r="AQ1557" t="s">
        <v>74</v>
      </c>
      <c r="AR1557" t="s">
        <v>224</v>
      </c>
      <c r="AS1557" t="s">
        <v>225</v>
      </c>
      <c r="AT1557" t="s">
        <v>725</v>
      </c>
      <c r="AU1557">
        <v>2003</v>
      </c>
      <c r="AV1557">
        <v>22</v>
      </c>
      <c r="AW1557">
        <v>2</v>
      </c>
      <c r="AX1557" t="s">
        <v>74</v>
      </c>
      <c r="AY1557" t="s">
        <v>74</v>
      </c>
      <c r="AZ1557" t="s">
        <v>74</v>
      </c>
      <c r="BA1557" t="s">
        <v>74</v>
      </c>
      <c r="BB1557">
        <v>193</v>
      </c>
      <c r="BC1557">
        <v>194</v>
      </c>
      <c r="BD1557" t="s">
        <v>74</v>
      </c>
      <c r="BE1557" t="s">
        <v>15468</v>
      </c>
      <c r="BF1557" t="str">
        <f>HYPERLINK("http://dx.doi.org/10.1183/09031936.03.00054103","http://dx.doi.org/10.1183/09031936.03.00054103")</f>
        <v>http://dx.doi.org/10.1183/09031936.03.00054103</v>
      </c>
      <c r="BG1557" t="s">
        <v>74</v>
      </c>
      <c r="BH1557" t="s">
        <v>74</v>
      </c>
      <c r="BI1557">
        <v>2</v>
      </c>
      <c r="BJ1557" t="s">
        <v>228</v>
      </c>
      <c r="BK1557" t="s">
        <v>101</v>
      </c>
      <c r="BL1557" t="s">
        <v>228</v>
      </c>
      <c r="BM1557" t="s">
        <v>15467</v>
      </c>
      <c r="BN1557">
        <v>12952245</v>
      </c>
      <c r="BO1557" t="s">
        <v>1194</v>
      </c>
      <c r="BP1557" t="s">
        <v>74</v>
      </c>
      <c r="BQ1557" t="s">
        <v>74</v>
      </c>
      <c r="BR1557" t="s">
        <v>104</v>
      </c>
      <c r="BS1557" t="s">
        <v>15466</v>
      </c>
      <c r="BT1557" t="str">
        <f>HYPERLINK("https%3A%2F%2Fwww.webofscience.com%2Fwos%2Fwoscc%2Ffull-record%2FWOS:000184865400002","View Full Record in Web of Science")</f>
        <v>View Full Record in Web of Science</v>
      </c>
    </row>
    <row r="1558" spans="1:72" x14ac:dyDescent="0.25">
      <c r="A1558" t="s">
        <v>72</v>
      </c>
      <c r="B1558" t="s">
        <v>15465</v>
      </c>
      <c r="C1558" t="s">
        <v>74</v>
      </c>
      <c r="D1558" t="s">
        <v>74</v>
      </c>
      <c r="E1558" t="s">
        <v>74</v>
      </c>
      <c r="F1558" t="s">
        <v>15465</v>
      </c>
      <c r="G1558" t="s">
        <v>74</v>
      </c>
      <c r="H1558" t="s">
        <v>15464</v>
      </c>
      <c r="I1558" t="s">
        <v>15463</v>
      </c>
      <c r="J1558" t="s">
        <v>1068</v>
      </c>
      <c r="K1558" t="s">
        <v>74</v>
      </c>
      <c r="L1558" t="s">
        <v>74</v>
      </c>
      <c r="M1558" t="s">
        <v>78</v>
      </c>
      <c r="N1558" t="s">
        <v>52</v>
      </c>
      <c r="O1558" t="s">
        <v>15462</v>
      </c>
      <c r="P1558" t="s">
        <v>15461</v>
      </c>
      <c r="Q1558" t="s">
        <v>15460</v>
      </c>
      <c r="R1558" t="s">
        <v>5566</v>
      </c>
      <c r="S1558" t="s">
        <v>74</v>
      </c>
      <c r="T1558" t="s">
        <v>74</v>
      </c>
      <c r="U1558" t="s">
        <v>74</v>
      </c>
      <c r="V1558" t="s">
        <v>74</v>
      </c>
      <c r="W1558" t="s">
        <v>15459</v>
      </c>
      <c r="X1558" t="s">
        <v>15458</v>
      </c>
      <c r="Y1558" t="s">
        <v>74</v>
      </c>
      <c r="Z1558" t="s">
        <v>74</v>
      </c>
      <c r="AA1558" t="s">
        <v>15457</v>
      </c>
      <c r="AB1558" t="s">
        <v>74</v>
      </c>
      <c r="AC1558" t="s">
        <v>74</v>
      </c>
      <c r="AD1558" t="s">
        <v>74</v>
      </c>
      <c r="AE1558" t="s">
        <v>74</v>
      </c>
      <c r="AF1558" t="s">
        <v>74</v>
      </c>
      <c r="AG1558">
        <v>0</v>
      </c>
      <c r="AH1558">
        <v>0</v>
      </c>
      <c r="AI1558">
        <v>0</v>
      </c>
      <c r="AJ1558">
        <v>0</v>
      </c>
      <c r="AK1558">
        <v>1</v>
      </c>
      <c r="AL1558" t="s">
        <v>200</v>
      </c>
      <c r="AM1558" t="s">
        <v>201</v>
      </c>
      <c r="AN1558" t="s">
        <v>202</v>
      </c>
      <c r="AO1558" t="s">
        <v>1076</v>
      </c>
      <c r="AP1558" t="s">
        <v>74</v>
      </c>
      <c r="AQ1558" t="s">
        <v>74</v>
      </c>
      <c r="AR1558" t="s">
        <v>1078</v>
      </c>
      <c r="AS1558" t="s">
        <v>1079</v>
      </c>
      <c r="AT1558" t="s">
        <v>15456</v>
      </c>
      <c r="AU1558">
        <v>2003</v>
      </c>
      <c r="AV1558">
        <v>24</v>
      </c>
      <c r="AW1558" t="s">
        <v>74</v>
      </c>
      <c r="AX1558" t="s">
        <v>74</v>
      </c>
      <c r="AY1558" t="s">
        <v>998</v>
      </c>
      <c r="AZ1558" t="s">
        <v>74</v>
      </c>
      <c r="BA1558" t="s">
        <v>74</v>
      </c>
      <c r="BB1558">
        <v>483</v>
      </c>
      <c r="BC1558">
        <v>483</v>
      </c>
      <c r="BD1558" t="s">
        <v>74</v>
      </c>
      <c r="BE1558" t="s">
        <v>15455</v>
      </c>
      <c r="BF1558" t="str">
        <f>HYPERLINK("http://dx.doi.org/10.1016/S0195-668X(03)95423-6","http://dx.doi.org/10.1016/S0195-668X(03)95423-6")</f>
        <v>http://dx.doi.org/10.1016/S0195-668X(03)95423-6</v>
      </c>
      <c r="BG1558" t="s">
        <v>74</v>
      </c>
      <c r="BH1558" t="s">
        <v>74</v>
      </c>
      <c r="BI1558">
        <v>1</v>
      </c>
      <c r="BJ1558" t="s">
        <v>132</v>
      </c>
      <c r="BK1558" t="s">
        <v>14074</v>
      </c>
      <c r="BL1558" t="s">
        <v>133</v>
      </c>
      <c r="BM1558" t="s">
        <v>15454</v>
      </c>
      <c r="BN1558" t="s">
        <v>74</v>
      </c>
      <c r="BO1558" t="s">
        <v>74</v>
      </c>
      <c r="BP1558" t="s">
        <v>74</v>
      </c>
      <c r="BQ1558" t="s">
        <v>74</v>
      </c>
      <c r="BR1558" t="s">
        <v>104</v>
      </c>
      <c r="BS1558" t="s">
        <v>15453</v>
      </c>
      <c r="BT1558" t="str">
        <f>HYPERLINK("https%3A%2F%2Fwww.webofscience.com%2Fwos%2Fwoscc%2Ffull-record%2FWOS:000185638801772","View Full Record in Web of Science")</f>
        <v>View Full Record in Web of Science</v>
      </c>
    </row>
    <row r="1559" spans="1:72" x14ac:dyDescent="0.25">
      <c r="A1559" t="s">
        <v>72</v>
      </c>
      <c r="B1559" t="s">
        <v>15452</v>
      </c>
      <c r="C1559" t="s">
        <v>74</v>
      </c>
      <c r="D1559" t="s">
        <v>74</v>
      </c>
      <c r="E1559" t="s">
        <v>74</v>
      </c>
      <c r="F1559" t="s">
        <v>15452</v>
      </c>
      <c r="G1559" t="s">
        <v>74</v>
      </c>
      <c r="H1559" t="s">
        <v>74</v>
      </c>
      <c r="I1559" t="s">
        <v>15451</v>
      </c>
      <c r="J1559" t="s">
        <v>2580</v>
      </c>
      <c r="K1559" t="s">
        <v>74</v>
      </c>
      <c r="L1559" t="s">
        <v>74</v>
      </c>
      <c r="M1559" t="s">
        <v>78</v>
      </c>
      <c r="N1559" t="s">
        <v>52</v>
      </c>
      <c r="O1559" t="s">
        <v>15450</v>
      </c>
      <c r="P1559" t="s">
        <v>15449</v>
      </c>
      <c r="Q1559" t="s">
        <v>15448</v>
      </c>
      <c r="R1559" t="s">
        <v>74</v>
      </c>
      <c r="S1559" t="s">
        <v>74</v>
      </c>
      <c r="T1559" t="s">
        <v>74</v>
      </c>
      <c r="U1559" t="s">
        <v>74</v>
      </c>
      <c r="V1559" t="s">
        <v>74</v>
      </c>
      <c r="W1559" t="s">
        <v>15447</v>
      </c>
      <c r="X1559" t="s">
        <v>15446</v>
      </c>
      <c r="Y1559" t="s">
        <v>74</v>
      </c>
      <c r="Z1559" t="s">
        <v>74</v>
      </c>
      <c r="AA1559" t="s">
        <v>15445</v>
      </c>
      <c r="AB1559" t="s">
        <v>74</v>
      </c>
      <c r="AC1559" t="s">
        <v>74</v>
      </c>
      <c r="AD1559" t="s">
        <v>74</v>
      </c>
      <c r="AE1559" t="s">
        <v>74</v>
      </c>
      <c r="AF1559" t="s">
        <v>74</v>
      </c>
      <c r="AG1559">
        <v>0</v>
      </c>
      <c r="AH1559">
        <v>0</v>
      </c>
      <c r="AI1559">
        <v>0</v>
      </c>
      <c r="AJ1559">
        <v>0</v>
      </c>
      <c r="AK1559">
        <v>0</v>
      </c>
      <c r="AL1559" t="s">
        <v>15444</v>
      </c>
      <c r="AM1559" t="s">
        <v>201</v>
      </c>
      <c r="AN1559" t="s">
        <v>2591</v>
      </c>
      <c r="AO1559" t="s">
        <v>2592</v>
      </c>
      <c r="AP1559" t="s">
        <v>74</v>
      </c>
      <c r="AQ1559" t="s">
        <v>74</v>
      </c>
      <c r="AR1559" t="s">
        <v>2594</v>
      </c>
      <c r="AS1559" t="s">
        <v>2595</v>
      </c>
      <c r="AT1559" t="s">
        <v>785</v>
      </c>
      <c r="AU1559">
        <v>2003</v>
      </c>
      <c r="AV1559">
        <v>62</v>
      </c>
      <c r="AW1559" t="s">
        <v>74</v>
      </c>
      <c r="AX1559" t="s">
        <v>74</v>
      </c>
      <c r="AY1559">
        <v>1</v>
      </c>
      <c r="AZ1559" t="s">
        <v>74</v>
      </c>
      <c r="BA1559" t="s">
        <v>74</v>
      </c>
      <c r="BB1559">
        <v>103</v>
      </c>
      <c r="BC1559">
        <v>103</v>
      </c>
      <c r="BD1559" t="s">
        <v>74</v>
      </c>
      <c r="BE1559" t="s">
        <v>74</v>
      </c>
      <c r="BF1559" t="s">
        <v>74</v>
      </c>
      <c r="BG1559" t="s">
        <v>74</v>
      </c>
      <c r="BH1559" t="s">
        <v>74</v>
      </c>
      <c r="BI1559">
        <v>1</v>
      </c>
      <c r="BJ1559" t="s">
        <v>2369</v>
      </c>
      <c r="BK1559" t="s">
        <v>14074</v>
      </c>
      <c r="BL1559" t="s">
        <v>2369</v>
      </c>
      <c r="BM1559" t="s">
        <v>15443</v>
      </c>
      <c r="BN1559" t="s">
        <v>74</v>
      </c>
      <c r="BO1559" t="s">
        <v>74</v>
      </c>
      <c r="BP1559" t="s">
        <v>74</v>
      </c>
      <c r="BQ1559" t="s">
        <v>74</v>
      </c>
      <c r="BR1559" t="s">
        <v>104</v>
      </c>
      <c r="BS1559" t="s">
        <v>15442</v>
      </c>
      <c r="BT1559" t="str">
        <f>HYPERLINK("https%3A%2F%2Fwww.webofscience.com%2Fwos%2Fwoscc%2Ffull-record%2FWOS:000224551400313","View Full Record in Web of Science")</f>
        <v>View Full Record in Web of Science</v>
      </c>
    </row>
    <row r="1560" spans="1:72" x14ac:dyDescent="0.25">
      <c r="A1560" t="s">
        <v>72</v>
      </c>
      <c r="B1560" t="s">
        <v>1420</v>
      </c>
      <c r="C1560" t="s">
        <v>74</v>
      </c>
      <c r="D1560" t="s">
        <v>74</v>
      </c>
      <c r="E1560" t="s">
        <v>74</v>
      </c>
      <c r="F1560" t="s">
        <v>1420</v>
      </c>
      <c r="G1560" t="s">
        <v>74</v>
      </c>
      <c r="H1560" t="s">
        <v>74</v>
      </c>
      <c r="I1560" t="s">
        <v>15441</v>
      </c>
      <c r="J1560" t="s">
        <v>14510</v>
      </c>
      <c r="K1560" t="s">
        <v>74</v>
      </c>
      <c r="L1560" t="s">
        <v>74</v>
      </c>
      <c r="M1560" t="s">
        <v>78</v>
      </c>
      <c r="N1560" t="s">
        <v>8016</v>
      </c>
      <c r="O1560" t="s">
        <v>15440</v>
      </c>
      <c r="P1560" t="s">
        <v>15439</v>
      </c>
      <c r="Q1560" t="s">
        <v>14967</v>
      </c>
      <c r="R1560" t="s">
        <v>15438</v>
      </c>
      <c r="S1560" t="s">
        <v>74</v>
      </c>
      <c r="T1560" t="s">
        <v>15437</v>
      </c>
      <c r="U1560" t="s">
        <v>15436</v>
      </c>
      <c r="V1560" t="s">
        <v>15435</v>
      </c>
      <c r="W1560" t="s">
        <v>15434</v>
      </c>
      <c r="X1560" t="s">
        <v>14516</v>
      </c>
      <c r="Y1560" t="s">
        <v>15433</v>
      </c>
      <c r="Z1560" t="s">
        <v>74</v>
      </c>
      <c r="AA1560" t="s">
        <v>144</v>
      </c>
      <c r="AB1560" t="s">
        <v>257</v>
      </c>
      <c r="AC1560" t="s">
        <v>74</v>
      </c>
      <c r="AD1560" t="s">
        <v>74</v>
      </c>
      <c r="AE1560" t="s">
        <v>74</v>
      </c>
      <c r="AF1560" t="s">
        <v>74</v>
      </c>
      <c r="AG1560">
        <v>16</v>
      </c>
      <c r="AH1560">
        <v>1</v>
      </c>
      <c r="AI1560">
        <v>1</v>
      </c>
      <c r="AJ1560">
        <v>0</v>
      </c>
      <c r="AK1560">
        <v>0</v>
      </c>
      <c r="AL1560" t="s">
        <v>14964</v>
      </c>
      <c r="AM1560" t="s">
        <v>14963</v>
      </c>
      <c r="AN1560" t="s">
        <v>14962</v>
      </c>
      <c r="AO1560" t="s">
        <v>14502</v>
      </c>
      <c r="AP1560" t="s">
        <v>74</v>
      </c>
      <c r="AQ1560" t="s">
        <v>74</v>
      </c>
      <c r="AR1560" t="s">
        <v>14501</v>
      </c>
      <c r="AS1560" t="s">
        <v>14500</v>
      </c>
      <c r="AT1560" t="s">
        <v>1060</v>
      </c>
      <c r="AU1560">
        <v>2003</v>
      </c>
      <c r="AV1560">
        <v>43</v>
      </c>
      <c r="AW1560">
        <v>4</v>
      </c>
      <c r="AX1560" t="s">
        <v>74</v>
      </c>
      <c r="AY1560" t="s">
        <v>74</v>
      </c>
      <c r="AZ1560" t="s">
        <v>74</v>
      </c>
      <c r="BA1560" t="s">
        <v>74</v>
      </c>
      <c r="BB1560">
        <v>229</v>
      </c>
      <c r="BC1560">
        <v>231</v>
      </c>
      <c r="BD1560" t="s">
        <v>74</v>
      </c>
      <c r="BE1560" t="s">
        <v>15432</v>
      </c>
      <c r="BF1560" t="str">
        <f>HYPERLINK("http://dx.doi.org/10.1016/S0335-7457(03)00110-2","http://dx.doi.org/10.1016/S0335-7457(03)00110-2")</f>
        <v>http://dx.doi.org/10.1016/S0335-7457(03)00110-2</v>
      </c>
      <c r="BG1560" t="s">
        <v>74</v>
      </c>
      <c r="BH1560" t="s">
        <v>74</v>
      </c>
      <c r="BI1560">
        <v>3</v>
      </c>
      <c r="BJ1560" t="s">
        <v>601</v>
      </c>
      <c r="BK1560" t="s">
        <v>14074</v>
      </c>
      <c r="BL1560" t="s">
        <v>601</v>
      </c>
      <c r="BM1560" t="s">
        <v>15431</v>
      </c>
      <c r="BN1560" t="s">
        <v>74</v>
      </c>
      <c r="BO1560" t="s">
        <v>74</v>
      </c>
      <c r="BP1560" t="s">
        <v>74</v>
      </c>
      <c r="BQ1560" t="s">
        <v>74</v>
      </c>
      <c r="BR1560" t="s">
        <v>104</v>
      </c>
      <c r="BS1560" t="s">
        <v>15430</v>
      </c>
      <c r="BT1560" t="str">
        <f>HYPERLINK("https%3A%2F%2Fwww.webofscience.com%2Fwos%2Fwoscc%2Ffull-record%2FWOS:000183592200007","View Full Record in Web of Science")</f>
        <v>View Full Record in Web of Science</v>
      </c>
    </row>
    <row r="1561" spans="1:72" x14ac:dyDescent="0.25">
      <c r="A1561" t="s">
        <v>72</v>
      </c>
      <c r="B1561" t="s">
        <v>15429</v>
      </c>
      <c r="C1561" t="s">
        <v>74</v>
      </c>
      <c r="D1561" t="s">
        <v>74</v>
      </c>
      <c r="E1561" t="s">
        <v>74</v>
      </c>
      <c r="F1561" t="s">
        <v>15429</v>
      </c>
      <c r="G1561" t="s">
        <v>74</v>
      </c>
      <c r="H1561" t="s">
        <v>74</v>
      </c>
      <c r="I1561" t="s">
        <v>15428</v>
      </c>
      <c r="J1561" t="s">
        <v>1529</v>
      </c>
      <c r="K1561" t="s">
        <v>74</v>
      </c>
      <c r="L1561" t="s">
        <v>74</v>
      </c>
      <c r="M1561" t="s">
        <v>1349</v>
      </c>
      <c r="N1561" t="s">
        <v>79</v>
      </c>
      <c r="O1561" t="s">
        <v>74</v>
      </c>
      <c r="P1561" t="s">
        <v>74</v>
      </c>
      <c r="Q1561" t="s">
        <v>74</v>
      </c>
      <c r="R1561" t="s">
        <v>74</v>
      </c>
      <c r="S1561" t="s">
        <v>74</v>
      </c>
      <c r="T1561" t="s">
        <v>74</v>
      </c>
      <c r="U1561" t="s">
        <v>74</v>
      </c>
      <c r="V1561" t="s">
        <v>74</v>
      </c>
      <c r="W1561" t="s">
        <v>74</v>
      </c>
      <c r="X1561" t="s">
        <v>74</v>
      </c>
      <c r="Y1561" t="s">
        <v>74</v>
      </c>
      <c r="Z1561" t="s">
        <v>74</v>
      </c>
      <c r="AA1561" t="s">
        <v>15427</v>
      </c>
      <c r="AB1561" t="s">
        <v>6802</v>
      </c>
      <c r="AC1561" t="s">
        <v>74</v>
      </c>
      <c r="AD1561" t="s">
        <v>74</v>
      </c>
      <c r="AE1561" t="s">
        <v>74</v>
      </c>
      <c r="AF1561" t="s">
        <v>74</v>
      </c>
      <c r="AG1561">
        <v>2</v>
      </c>
      <c r="AH1561">
        <v>1</v>
      </c>
      <c r="AI1561">
        <v>1</v>
      </c>
      <c r="AJ1561">
        <v>0</v>
      </c>
      <c r="AK1561">
        <v>0</v>
      </c>
      <c r="AL1561" t="s">
        <v>1358</v>
      </c>
      <c r="AM1561" t="s">
        <v>14123</v>
      </c>
      <c r="AN1561" t="s">
        <v>14122</v>
      </c>
      <c r="AO1561" t="s">
        <v>1533</v>
      </c>
      <c r="AP1561" t="s">
        <v>74</v>
      </c>
      <c r="AQ1561" t="s">
        <v>74</v>
      </c>
      <c r="AR1561" t="s">
        <v>1535</v>
      </c>
      <c r="AS1561" t="s">
        <v>1536</v>
      </c>
      <c r="AT1561" t="s">
        <v>15412</v>
      </c>
      <c r="AU1561">
        <v>2003</v>
      </c>
      <c r="AV1561">
        <v>32</v>
      </c>
      <c r="AW1561">
        <v>17</v>
      </c>
      <c r="AX1561" t="s">
        <v>74</v>
      </c>
      <c r="AY1561" t="s">
        <v>74</v>
      </c>
      <c r="AZ1561" t="s">
        <v>74</v>
      </c>
      <c r="BA1561" t="s">
        <v>74</v>
      </c>
      <c r="BB1561">
        <v>787</v>
      </c>
      <c r="BC1561">
        <v>788</v>
      </c>
      <c r="BD1561" t="s">
        <v>74</v>
      </c>
      <c r="BE1561" t="s">
        <v>74</v>
      </c>
      <c r="BF1561" t="s">
        <v>74</v>
      </c>
      <c r="BG1561" t="s">
        <v>74</v>
      </c>
      <c r="BH1561" t="s">
        <v>74</v>
      </c>
      <c r="BI1561">
        <v>2</v>
      </c>
      <c r="BJ1561" t="s">
        <v>1152</v>
      </c>
      <c r="BK1561" t="s">
        <v>101</v>
      </c>
      <c r="BL1561" t="s">
        <v>1153</v>
      </c>
      <c r="BM1561" t="s">
        <v>15411</v>
      </c>
      <c r="BN1561">
        <v>12856324</v>
      </c>
      <c r="BO1561" t="s">
        <v>74</v>
      </c>
      <c r="BP1561" t="s">
        <v>74</v>
      </c>
      <c r="BQ1561" t="s">
        <v>74</v>
      </c>
      <c r="BR1561" t="s">
        <v>104</v>
      </c>
      <c r="BS1561" t="s">
        <v>15426</v>
      </c>
      <c r="BT1561" t="str">
        <f>HYPERLINK("https%3A%2F%2Fwww.webofscience.com%2Fwos%2Fwoscc%2Ffull-record%2FWOS:000183162400005","View Full Record in Web of Science")</f>
        <v>View Full Record in Web of Science</v>
      </c>
    </row>
    <row r="1562" spans="1:72" x14ac:dyDescent="0.25">
      <c r="A1562" t="s">
        <v>72</v>
      </c>
      <c r="B1562" t="s">
        <v>15425</v>
      </c>
      <c r="C1562" t="s">
        <v>74</v>
      </c>
      <c r="D1562" t="s">
        <v>74</v>
      </c>
      <c r="E1562" t="s">
        <v>74</v>
      </c>
      <c r="F1562" t="s">
        <v>15425</v>
      </c>
      <c r="G1562" t="s">
        <v>74</v>
      </c>
      <c r="H1562" t="s">
        <v>74</v>
      </c>
      <c r="I1562" t="s">
        <v>15424</v>
      </c>
      <c r="J1562" t="s">
        <v>1529</v>
      </c>
      <c r="K1562" t="s">
        <v>74</v>
      </c>
      <c r="L1562" t="s">
        <v>74</v>
      </c>
      <c r="M1562" t="s">
        <v>1349</v>
      </c>
      <c r="N1562" t="s">
        <v>79</v>
      </c>
      <c r="O1562" t="s">
        <v>74</v>
      </c>
      <c r="P1562" t="s">
        <v>74</v>
      </c>
      <c r="Q1562" t="s">
        <v>74</v>
      </c>
      <c r="R1562" t="s">
        <v>74</v>
      </c>
      <c r="S1562" t="s">
        <v>74</v>
      </c>
      <c r="T1562" t="s">
        <v>74</v>
      </c>
      <c r="U1562" t="s">
        <v>15423</v>
      </c>
      <c r="V1562" t="s">
        <v>15422</v>
      </c>
      <c r="W1562" t="s">
        <v>15415</v>
      </c>
      <c r="X1562" t="s">
        <v>14156</v>
      </c>
      <c r="Y1562" t="s">
        <v>15414</v>
      </c>
      <c r="Z1562" t="s">
        <v>74</v>
      </c>
      <c r="AA1562" t="s">
        <v>3301</v>
      </c>
      <c r="AB1562" t="s">
        <v>15421</v>
      </c>
      <c r="AC1562" t="s">
        <v>74</v>
      </c>
      <c r="AD1562" t="s">
        <v>74</v>
      </c>
      <c r="AE1562" t="s">
        <v>74</v>
      </c>
      <c r="AF1562" t="s">
        <v>74</v>
      </c>
      <c r="AG1562">
        <v>79</v>
      </c>
      <c r="AH1562">
        <v>12</v>
      </c>
      <c r="AI1562">
        <v>14</v>
      </c>
      <c r="AJ1562">
        <v>0</v>
      </c>
      <c r="AK1562">
        <v>0</v>
      </c>
      <c r="AL1562" t="s">
        <v>1358</v>
      </c>
      <c r="AM1562" t="s">
        <v>14123</v>
      </c>
      <c r="AN1562" t="s">
        <v>14122</v>
      </c>
      <c r="AO1562" t="s">
        <v>1533</v>
      </c>
      <c r="AP1562" t="s">
        <v>74</v>
      </c>
      <c r="AQ1562" t="s">
        <v>74</v>
      </c>
      <c r="AR1562" t="s">
        <v>1535</v>
      </c>
      <c r="AS1562" t="s">
        <v>1536</v>
      </c>
      <c r="AT1562" t="s">
        <v>15412</v>
      </c>
      <c r="AU1562">
        <v>2003</v>
      </c>
      <c r="AV1562">
        <v>32</v>
      </c>
      <c r="AW1562">
        <v>17</v>
      </c>
      <c r="AX1562" t="s">
        <v>74</v>
      </c>
      <c r="AY1562" t="s">
        <v>74</v>
      </c>
      <c r="AZ1562" t="s">
        <v>74</v>
      </c>
      <c r="BA1562" t="s">
        <v>74</v>
      </c>
      <c r="BB1562">
        <v>789</v>
      </c>
      <c r="BC1562">
        <v>799</v>
      </c>
      <c r="BD1562" t="s">
        <v>74</v>
      </c>
      <c r="BE1562" t="s">
        <v>74</v>
      </c>
      <c r="BF1562" t="s">
        <v>74</v>
      </c>
      <c r="BG1562" t="s">
        <v>74</v>
      </c>
      <c r="BH1562" t="s">
        <v>74</v>
      </c>
      <c r="BI1562">
        <v>11</v>
      </c>
      <c r="BJ1562" t="s">
        <v>1152</v>
      </c>
      <c r="BK1562" t="s">
        <v>101</v>
      </c>
      <c r="BL1562" t="s">
        <v>1153</v>
      </c>
      <c r="BM1562" t="s">
        <v>15411</v>
      </c>
      <c r="BN1562">
        <v>12856325</v>
      </c>
      <c r="BO1562" t="s">
        <v>74</v>
      </c>
      <c r="BP1562" t="s">
        <v>74</v>
      </c>
      <c r="BQ1562" t="s">
        <v>74</v>
      </c>
      <c r="BR1562" t="s">
        <v>104</v>
      </c>
      <c r="BS1562" t="s">
        <v>15420</v>
      </c>
      <c r="BT1562" t="str">
        <f>HYPERLINK("https%3A%2F%2Fwww.webofscience.com%2Fwos%2Fwoscc%2Ffull-record%2FWOS:000183162400006","View Full Record in Web of Science")</f>
        <v>View Full Record in Web of Science</v>
      </c>
    </row>
    <row r="1563" spans="1:72" x14ac:dyDescent="0.25">
      <c r="A1563" t="s">
        <v>72</v>
      </c>
      <c r="B1563" t="s">
        <v>15419</v>
      </c>
      <c r="C1563" t="s">
        <v>74</v>
      </c>
      <c r="D1563" t="s">
        <v>74</v>
      </c>
      <c r="E1563" t="s">
        <v>74</v>
      </c>
      <c r="F1563" t="s">
        <v>15419</v>
      </c>
      <c r="G1563" t="s">
        <v>74</v>
      </c>
      <c r="H1563" t="s">
        <v>74</v>
      </c>
      <c r="I1563" t="s">
        <v>15418</v>
      </c>
      <c r="J1563" t="s">
        <v>1529</v>
      </c>
      <c r="K1563" t="s">
        <v>74</v>
      </c>
      <c r="L1563" t="s">
        <v>74</v>
      </c>
      <c r="M1563" t="s">
        <v>1349</v>
      </c>
      <c r="N1563" t="s">
        <v>79</v>
      </c>
      <c r="O1563" t="s">
        <v>74</v>
      </c>
      <c r="P1563" t="s">
        <v>74</v>
      </c>
      <c r="Q1563" t="s">
        <v>74</v>
      </c>
      <c r="R1563" t="s">
        <v>74</v>
      </c>
      <c r="S1563" t="s">
        <v>74</v>
      </c>
      <c r="T1563" t="s">
        <v>74</v>
      </c>
      <c r="U1563" t="s">
        <v>15417</v>
      </c>
      <c r="V1563" t="s">
        <v>15416</v>
      </c>
      <c r="W1563" t="s">
        <v>15415</v>
      </c>
      <c r="X1563" t="s">
        <v>14156</v>
      </c>
      <c r="Y1563" t="s">
        <v>15414</v>
      </c>
      <c r="Z1563" t="s">
        <v>74</v>
      </c>
      <c r="AA1563" t="s">
        <v>14847</v>
      </c>
      <c r="AB1563" t="s">
        <v>15413</v>
      </c>
      <c r="AC1563" t="s">
        <v>74</v>
      </c>
      <c r="AD1563" t="s">
        <v>74</v>
      </c>
      <c r="AE1563" t="s">
        <v>74</v>
      </c>
      <c r="AF1563" t="s">
        <v>74</v>
      </c>
      <c r="AG1563">
        <v>13</v>
      </c>
      <c r="AH1563">
        <v>5</v>
      </c>
      <c r="AI1563">
        <v>5</v>
      </c>
      <c r="AJ1563">
        <v>0</v>
      </c>
      <c r="AK1563">
        <v>0</v>
      </c>
      <c r="AL1563" t="s">
        <v>1358</v>
      </c>
      <c r="AM1563" t="s">
        <v>14123</v>
      </c>
      <c r="AN1563" t="s">
        <v>14122</v>
      </c>
      <c r="AO1563" t="s">
        <v>1533</v>
      </c>
      <c r="AP1563" t="s">
        <v>74</v>
      </c>
      <c r="AQ1563" t="s">
        <v>74</v>
      </c>
      <c r="AR1563" t="s">
        <v>1535</v>
      </c>
      <c r="AS1563" t="s">
        <v>1536</v>
      </c>
      <c r="AT1563" t="s">
        <v>15412</v>
      </c>
      <c r="AU1563">
        <v>2003</v>
      </c>
      <c r="AV1563">
        <v>32</v>
      </c>
      <c r="AW1563">
        <v>17</v>
      </c>
      <c r="AX1563" t="s">
        <v>74</v>
      </c>
      <c r="AY1563" t="s">
        <v>74</v>
      </c>
      <c r="AZ1563" t="s">
        <v>74</v>
      </c>
      <c r="BA1563" t="s">
        <v>74</v>
      </c>
      <c r="BB1563">
        <v>800</v>
      </c>
      <c r="BC1563">
        <v>803</v>
      </c>
      <c r="BD1563" t="s">
        <v>74</v>
      </c>
      <c r="BE1563" t="s">
        <v>74</v>
      </c>
      <c r="BF1563" t="s">
        <v>74</v>
      </c>
      <c r="BG1563" t="s">
        <v>74</v>
      </c>
      <c r="BH1563" t="s">
        <v>74</v>
      </c>
      <c r="BI1563">
        <v>4</v>
      </c>
      <c r="BJ1563" t="s">
        <v>1152</v>
      </c>
      <c r="BK1563" t="s">
        <v>101</v>
      </c>
      <c r="BL1563" t="s">
        <v>1153</v>
      </c>
      <c r="BM1563" t="s">
        <v>15411</v>
      </c>
      <c r="BN1563">
        <v>12856326</v>
      </c>
      <c r="BO1563" t="s">
        <v>74</v>
      </c>
      <c r="BP1563" t="s">
        <v>74</v>
      </c>
      <c r="BQ1563" t="s">
        <v>74</v>
      </c>
      <c r="BR1563" t="s">
        <v>104</v>
      </c>
      <c r="BS1563" t="s">
        <v>15410</v>
      </c>
      <c r="BT1563" t="str">
        <f>HYPERLINK("https%3A%2F%2Fwww.webofscience.com%2Fwos%2Fwoscc%2Ffull-record%2FWOS:000183162400007","View Full Record in Web of Science")</f>
        <v>View Full Record in Web of Science</v>
      </c>
    </row>
    <row r="1564" spans="1:72" x14ac:dyDescent="0.25">
      <c r="A1564" t="s">
        <v>72</v>
      </c>
      <c r="B1564" t="s">
        <v>15409</v>
      </c>
      <c r="C1564" t="s">
        <v>74</v>
      </c>
      <c r="D1564" t="s">
        <v>74</v>
      </c>
      <c r="E1564" t="s">
        <v>74</v>
      </c>
      <c r="F1564" t="s">
        <v>15409</v>
      </c>
      <c r="G1564" t="s">
        <v>74</v>
      </c>
      <c r="H1564" t="s">
        <v>74</v>
      </c>
      <c r="I1564" t="s">
        <v>15408</v>
      </c>
      <c r="J1564" t="s">
        <v>637</v>
      </c>
      <c r="K1564" t="s">
        <v>74</v>
      </c>
      <c r="L1564" t="s">
        <v>74</v>
      </c>
      <c r="M1564" t="s">
        <v>78</v>
      </c>
      <c r="N1564" t="s">
        <v>79</v>
      </c>
      <c r="O1564" t="s">
        <v>74</v>
      </c>
      <c r="P1564" t="s">
        <v>74</v>
      </c>
      <c r="Q1564" t="s">
        <v>74</v>
      </c>
      <c r="R1564" t="s">
        <v>74</v>
      </c>
      <c r="S1564" t="s">
        <v>74</v>
      </c>
      <c r="T1564" t="s">
        <v>15407</v>
      </c>
      <c r="U1564" t="s">
        <v>15406</v>
      </c>
      <c r="V1564" t="s">
        <v>15405</v>
      </c>
      <c r="W1564" t="s">
        <v>15404</v>
      </c>
      <c r="X1564" t="s">
        <v>15403</v>
      </c>
      <c r="Y1564" t="s">
        <v>15402</v>
      </c>
      <c r="Z1564" t="s">
        <v>74</v>
      </c>
      <c r="AA1564" t="s">
        <v>15026</v>
      </c>
      <c r="AB1564" t="s">
        <v>15036</v>
      </c>
      <c r="AC1564" t="s">
        <v>74</v>
      </c>
      <c r="AD1564" t="s">
        <v>74</v>
      </c>
      <c r="AE1564" t="s">
        <v>74</v>
      </c>
      <c r="AF1564" t="s">
        <v>74</v>
      </c>
      <c r="AG1564">
        <v>27</v>
      </c>
      <c r="AH1564">
        <v>251</v>
      </c>
      <c r="AI1564">
        <v>278</v>
      </c>
      <c r="AJ1564">
        <v>0</v>
      </c>
      <c r="AK1564">
        <v>3</v>
      </c>
      <c r="AL1564" t="s">
        <v>649</v>
      </c>
      <c r="AM1564" t="s">
        <v>486</v>
      </c>
      <c r="AN1564" t="s">
        <v>14919</v>
      </c>
      <c r="AO1564" t="s">
        <v>651</v>
      </c>
      <c r="AP1564" t="s">
        <v>74</v>
      </c>
      <c r="AQ1564" t="s">
        <v>74</v>
      </c>
      <c r="AR1564" t="s">
        <v>653</v>
      </c>
      <c r="AS1564" t="s">
        <v>654</v>
      </c>
      <c r="AT1564" t="s">
        <v>8773</v>
      </c>
      <c r="AU1564">
        <v>2003</v>
      </c>
      <c r="AV1564">
        <v>167</v>
      </c>
      <c r="AW1564">
        <v>10</v>
      </c>
      <c r="AX1564" t="s">
        <v>74</v>
      </c>
      <c r="AY1564" t="s">
        <v>74</v>
      </c>
      <c r="AZ1564" t="s">
        <v>74</v>
      </c>
      <c r="BA1564" t="s">
        <v>74</v>
      </c>
      <c r="BB1564">
        <v>1433</v>
      </c>
      <c r="BC1564">
        <v>1439</v>
      </c>
      <c r="BD1564" t="s">
        <v>74</v>
      </c>
      <c r="BE1564" t="s">
        <v>15401</v>
      </c>
      <c r="BF1564" t="str">
        <f>HYPERLINK("http://dx.doi.org/10.1164/rccm.200204-330OC","http://dx.doi.org/10.1164/rccm.200204-330OC")</f>
        <v>http://dx.doi.org/10.1164/rccm.200204-330OC</v>
      </c>
      <c r="BG1564" t="s">
        <v>74</v>
      </c>
      <c r="BH1564" t="s">
        <v>74</v>
      </c>
      <c r="BI1564">
        <v>7</v>
      </c>
      <c r="BJ1564" t="s">
        <v>341</v>
      </c>
      <c r="BK1564" t="s">
        <v>101</v>
      </c>
      <c r="BL1564" t="s">
        <v>342</v>
      </c>
      <c r="BM1564" t="s">
        <v>15400</v>
      </c>
      <c r="BN1564">
        <v>12615632</v>
      </c>
      <c r="BO1564" t="s">
        <v>74</v>
      </c>
      <c r="BP1564" t="s">
        <v>74</v>
      </c>
      <c r="BQ1564" t="s">
        <v>74</v>
      </c>
      <c r="BR1564" t="s">
        <v>104</v>
      </c>
      <c r="BS1564" t="s">
        <v>15399</v>
      </c>
      <c r="BT1564" t="str">
        <f>HYPERLINK("https%3A%2F%2Fwww.webofscience.com%2Fwos%2Fwoscc%2Ffull-record%2FWOS:000182862100025","View Full Record in Web of Science")</f>
        <v>View Full Record in Web of Science</v>
      </c>
    </row>
    <row r="1565" spans="1:72" x14ac:dyDescent="0.25">
      <c r="A1565" t="s">
        <v>72</v>
      </c>
      <c r="B1565" t="s">
        <v>15398</v>
      </c>
      <c r="C1565" t="s">
        <v>74</v>
      </c>
      <c r="D1565" t="s">
        <v>74</v>
      </c>
      <c r="E1565" t="s">
        <v>74</v>
      </c>
      <c r="F1565" t="s">
        <v>15398</v>
      </c>
      <c r="G1565" t="s">
        <v>74</v>
      </c>
      <c r="H1565" t="s">
        <v>74</v>
      </c>
      <c r="I1565" t="s">
        <v>15397</v>
      </c>
      <c r="J1565" t="s">
        <v>15396</v>
      </c>
      <c r="K1565" t="s">
        <v>74</v>
      </c>
      <c r="L1565" t="s">
        <v>74</v>
      </c>
      <c r="M1565" t="s">
        <v>78</v>
      </c>
      <c r="N1565" t="s">
        <v>79</v>
      </c>
      <c r="O1565" t="s">
        <v>74</v>
      </c>
      <c r="P1565" t="s">
        <v>74</v>
      </c>
      <c r="Q1565" t="s">
        <v>74</v>
      </c>
      <c r="R1565" t="s">
        <v>74</v>
      </c>
      <c r="S1565" t="s">
        <v>74</v>
      </c>
      <c r="T1565" t="s">
        <v>15395</v>
      </c>
      <c r="U1565" t="s">
        <v>15394</v>
      </c>
      <c r="V1565" t="s">
        <v>15393</v>
      </c>
      <c r="W1565" t="s">
        <v>15392</v>
      </c>
      <c r="X1565" t="s">
        <v>15391</v>
      </c>
      <c r="Y1565" t="s">
        <v>15390</v>
      </c>
      <c r="Z1565" t="s">
        <v>15027</v>
      </c>
      <c r="AA1565" t="s">
        <v>15389</v>
      </c>
      <c r="AB1565" t="s">
        <v>15388</v>
      </c>
      <c r="AC1565" t="s">
        <v>74</v>
      </c>
      <c r="AD1565" t="s">
        <v>74</v>
      </c>
      <c r="AE1565" t="s">
        <v>74</v>
      </c>
      <c r="AF1565" t="s">
        <v>74</v>
      </c>
      <c r="AG1565">
        <v>10</v>
      </c>
      <c r="AH1565">
        <v>20</v>
      </c>
      <c r="AI1565">
        <v>21</v>
      </c>
      <c r="AJ1565">
        <v>0</v>
      </c>
      <c r="AK1565">
        <v>1</v>
      </c>
      <c r="AL1565" t="s">
        <v>169</v>
      </c>
      <c r="AM1565" t="s">
        <v>170</v>
      </c>
      <c r="AN1565" t="s">
        <v>171</v>
      </c>
      <c r="AO1565" t="s">
        <v>15387</v>
      </c>
      <c r="AP1565" t="s">
        <v>15386</v>
      </c>
      <c r="AQ1565" t="s">
        <v>74</v>
      </c>
      <c r="AR1565" t="s">
        <v>15385</v>
      </c>
      <c r="AS1565" t="s">
        <v>15384</v>
      </c>
      <c r="AT1565" t="s">
        <v>997</v>
      </c>
      <c r="AU1565">
        <v>2003</v>
      </c>
      <c r="AV1565">
        <v>132</v>
      </c>
      <c r="AW1565">
        <v>1</v>
      </c>
      <c r="AX1565" t="s">
        <v>74</v>
      </c>
      <c r="AY1565" t="s">
        <v>74</v>
      </c>
      <c r="AZ1565" t="s">
        <v>74</v>
      </c>
      <c r="BA1565" t="s">
        <v>74</v>
      </c>
      <c r="BB1565">
        <v>76</v>
      </c>
      <c r="BC1565">
        <v>80</v>
      </c>
      <c r="BD1565" t="s">
        <v>74</v>
      </c>
      <c r="BE1565" t="s">
        <v>15383</v>
      </c>
      <c r="BF1565" t="str">
        <f>HYPERLINK("http://dx.doi.org/10.1046/j.1365-2249.2003.02118.x","http://dx.doi.org/10.1046/j.1365-2249.2003.02118.x")</f>
        <v>http://dx.doi.org/10.1046/j.1365-2249.2003.02118.x</v>
      </c>
      <c r="BG1565" t="s">
        <v>74</v>
      </c>
      <c r="BH1565" t="s">
        <v>74</v>
      </c>
      <c r="BI1565">
        <v>5</v>
      </c>
      <c r="BJ1565" t="s">
        <v>159</v>
      </c>
      <c r="BK1565" t="s">
        <v>101</v>
      </c>
      <c r="BL1565" t="s">
        <v>159</v>
      </c>
      <c r="BM1565" t="s">
        <v>15382</v>
      </c>
      <c r="BN1565">
        <v>12653839</v>
      </c>
      <c r="BO1565" t="s">
        <v>103</v>
      </c>
      <c r="BP1565" t="s">
        <v>74</v>
      </c>
      <c r="BQ1565" t="s">
        <v>74</v>
      </c>
      <c r="BR1565" t="s">
        <v>104</v>
      </c>
      <c r="BS1565" t="s">
        <v>15381</v>
      </c>
      <c r="BT1565" t="str">
        <f>HYPERLINK("https%3A%2F%2Fwww.webofscience.com%2Fwos%2Fwoscc%2Ffull-record%2FWOS:000181789900011","View Full Record in Web of Science")</f>
        <v>View Full Record in Web of Science</v>
      </c>
    </row>
    <row r="1566" spans="1:72" x14ac:dyDescent="0.25">
      <c r="A1566" t="s">
        <v>72</v>
      </c>
      <c r="B1566" t="s">
        <v>15380</v>
      </c>
      <c r="C1566" t="s">
        <v>74</v>
      </c>
      <c r="D1566" t="s">
        <v>74</v>
      </c>
      <c r="E1566" t="s">
        <v>74</v>
      </c>
      <c r="F1566" t="s">
        <v>15380</v>
      </c>
      <c r="G1566" t="s">
        <v>74</v>
      </c>
      <c r="H1566" t="s">
        <v>74</v>
      </c>
      <c r="I1566" t="s">
        <v>15379</v>
      </c>
      <c r="J1566" t="s">
        <v>15378</v>
      </c>
      <c r="K1566" t="s">
        <v>74</v>
      </c>
      <c r="L1566" t="s">
        <v>74</v>
      </c>
      <c r="M1566" t="s">
        <v>78</v>
      </c>
      <c r="N1566" t="s">
        <v>299</v>
      </c>
      <c r="O1566" t="s">
        <v>74</v>
      </c>
      <c r="P1566" t="s">
        <v>74</v>
      </c>
      <c r="Q1566" t="s">
        <v>74</v>
      </c>
      <c r="R1566" t="s">
        <v>74</v>
      </c>
      <c r="S1566" t="s">
        <v>74</v>
      </c>
      <c r="T1566" t="s">
        <v>15377</v>
      </c>
      <c r="U1566" t="s">
        <v>15376</v>
      </c>
      <c r="V1566" t="s">
        <v>15375</v>
      </c>
      <c r="W1566" t="s">
        <v>15374</v>
      </c>
      <c r="X1566" t="s">
        <v>15373</v>
      </c>
      <c r="Y1566" t="s">
        <v>74</v>
      </c>
      <c r="Z1566" t="s">
        <v>15372</v>
      </c>
      <c r="AA1566" t="s">
        <v>780</v>
      </c>
      <c r="AB1566" t="s">
        <v>15371</v>
      </c>
      <c r="AC1566" t="s">
        <v>74</v>
      </c>
      <c r="AD1566" t="s">
        <v>74</v>
      </c>
      <c r="AE1566" t="s">
        <v>74</v>
      </c>
      <c r="AF1566" t="s">
        <v>74</v>
      </c>
      <c r="AG1566">
        <v>74</v>
      </c>
      <c r="AH1566">
        <v>31</v>
      </c>
      <c r="AI1566">
        <v>34</v>
      </c>
      <c r="AJ1566">
        <v>0</v>
      </c>
      <c r="AK1566">
        <v>1</v>
      </c>
      <c r="AL1566" t="s">
        <v>15370</v>
      </c>
      <c r="AM1566" t="s">
        <v>15369</v>
      </c>
      <c r="AN1566" t="s">
        <v>15368</v>
      </c>
      <c r="AO1566" t="s">
        <v>15367</v>
      </c>
      <c r="AP1566" t="s">
        <v>74</v>
      </c>
      <c r="AQ1566" t="s">
        <v>74</v>
      </c>
      <c r="AR1566" t="s">
        <v>15366</v>
      </c>
      <c r="AS1566" t="s">
        <v>15365</v>
      </c>
      <c r="AT1566" t="s">
        <v>98</v>
      </c>
      <c r="AU1566">
        <v>2003</v>
      </c>
      <c r="AV1566">
        <v>20</v>
      </c>
      <c r="AW1566">
        <v>1</v>
      </c>
      <c r="AX1566" t="s">
        <v>74</v>
      </c>
      <c r="AY1566" t="s">
        <v>74</v>
      </c>
      <c r="AZ1566" t="s">
        <v>74</v>
      </c>
      <c r="BA1566" t="s">
        <v>74</v>
      </c>
      <c r="BB1566">
        <v>9</v>
      </c>
      <c r="BC1566">
        <v>19</v>
      </c>
      <c r="BD1566" t="s">
        <v>74</v>
      </c>
      <c r="BE1566" t="s">
        <v>74</v>
      </c>
      <c r="BF1566" t="s">
        <v>74</v>
      </c>
      <c r="BG1566" t="s">
        <v>74</v>
      </c>
      <c r="BH1566" t="s">
        <v>74</v>
      </c>
      <c r="BI1566">
        <v>11</v>
      </c>
      <c r="BJ1566" t="s">
        <v>228</v>
      </c>
      <c r="BK1566" t="s">
        <v>101</v>
      </c>
      <c r="BL1566" t="s">
        <v>228</v>
      </c>
      <c r="BM1566" t="s">
        <v>15364</v>
      </c>
      <c r="BN1566">
        <v>12737275</v>
      </c>
      <c r="BO1566" t="s">
        <v>74</v>
      </c>
      <c r="BP1566" t="s">
        <v>74</v>
      </c>
      <c r="BQ1566" t="s">
        <v>74</v>
      </c>
      <c r="BR1566" t="s">
        <v>104</v>
      </c>
      <c r="BS1566" t="s">
        <v>15363</v>
      </c>
      <c r="BT1566" t="str">
        <f>HYPERLINK("https%3A%2F%2Fwww.webofscience.com%2Fwos%2Fwoscc%2Ffull-record%2FWOS:000182641300002","View Full Record in Web of Science")</f>
        <v>View Full Record in Web of Science</v>
      </c>
    </row>
    <row r="1567" spans="1:72" x14ac:dyDescent="0.25">
      <c r="A1567" t="s">
        <v>72</v>
      </c>
      <c r="B1567" t="s">
        <v>15362</v>
      </c>
      <c r="C1567" t="s">
        <v>74</v>
      </c>
      <c r="D1567" t="s">
        <v>74</v>
      </c>
      <c r="E1567" t="s">
        <v>74</v>
      </c>
      <c r="F1567" t="s">
        <v>15362</v>
      </c>
      <c r="G1567" t="s">
        <v>74</v>
      </c>
      <c r="H1567" t="s">
        <v>74</v>
      </c>
      <c r="I1567" t="s">
        <v>15361</v>
      </c>
      <c r="J1567" t="s">
        <v>5624</v>
      </c>
      <c r="K1567" t="s">
        <v>74</v>
      </c>
      <c r="L1567" t="s">
        <v>74</v>
      </c>
      <c r="M1567" t="s">
        <v>78</v>
      </c>
      <c r="N1567" t="s">
        <v>299</v>
      </c>
      <c r="O1567" t="s">
        <v>74</v>
      </c>
      <c r="P1567" t="s">
        <v>74</v>
      </c>
      <c r="Q1567" t="s">
        <v>74</v>
      </c>
      <c r="R1567" t="s">
        <v>74</v>
      </c>
      <c r="S1567" t="s">
        <v>74</v>
      </c>
      <c r="T1567" t="s">
        <v>74</v>
      </c>
      <c r="U1567" t="s">
        <v>15360</v>
      </c>
      <c r="V1567" t="s">
        <v>74</v>
      </c>
      <c r="W1567" t="s">
        <v>15359</v>
      </c>
      <c r="X1567" t="s">
        <v>14156</v>
      </c>
      <c r="Y1567" t="s">
        <v>15358</v>
      </c>
      <c r="Z1567" t="s">
        <v>74</v>
      </c>
      <c r="AA1567" t="s">
        <v>144</v>
      </c>
      <c r="AB1567" t="s">
        <v>257</v>
      </c>
      <c r="AC1567" t="s">
        <v>74</v>
      </c>
      <c r="AD1567" t="s">
        <v>74</v>
      </c>
      <c r="AE1567" t="s">
        <v>74</v>
      </c>
      <c r="AF1567" t="s">
        <v>74</v>
      </c>
      <c r="AG1567">
        <v>86</v>
      </c>
      <c r="AH1567">
        <v>24</v>
      </c>
      <c r="AI1567">
        <v>25</v>
      </c>
      <c r="AJ1567">
        <v>0</v>
      </c>
      <c r="AK1567">
        <v>1</v>
      </c>
      <c r="AL1567" t="s">
        <v>169</v>
      </c>
      <c r="AM1567" t="s">
        <v>170</v>
      </c>
      <c r="AN1567" t="s">
        <v>171</v>
      </c>
      <c r="AO1567" t="s">
        <v>5636</v>
      </c>
      <c r="AP1567" t="s">
        <v>5637</v>
      </c>
      <c r="AQ1567" t="s">
        <v>74</v>
      </c>
      <c r="AR1567" t="s">
        <v>5624</v>
      </c>
      <c r="AS1567" t="s">
        <v>601</v>
      </c>
      <c r="AT1567" t="s">
        <v>129</v>
      </c>
      <c r="AU1567">
        <v>2003</v>
      </c>
      <c r="AV1567">
        <v>58</v>
      </c>
      <c r="AW1567">
        <v>2</v>
      </c>
      <c r="AX1567" t="s">
        <v>74</v>
      </c>
      <c r="AY1567" t="s">
        <v>74</v>
      </c>
      <c r="AZ1567" t="s">
        <v>74</v>
      </c>
      <c r="BA1567" t="s">
        <v>74</v>
      </c>
      <c r="BB1567">
        <v>114</v>
      </c>
      <c r="BC1567">
        <v>121</v>
      </c>
      <c r="BD1567" t="s">
        <v>74</v>
      </c>
      <c r="BE1567" t="s">
        <v>15357</v>
      </c>
      <c r="BF1567" t="str">
        <f>HYPERLINK("http://dx.doi.org/10.1034/j.1398-9995.2003.02171.x","http://dx.doi.org/10.1034/j.1398-9995.2003.02171.x")</f>
        <v>http://dx.doi.org/10.1034/j.1398-9995.2003.02171.x</v>
      </c>
      <c r="BG1567" t="s">
        <v>74</v>
      </c>
      <c r="BH1567" t="s">
        <v>74</v>
      </c>
      <c r="BI1567">
        <v>8</v>
      </c>
      <c r="BJ1567" t="s">
        <v>3085</v>
      </c>
      <c r="BK1567" t="s">
        <v>101</v>
      </c>
      <c r="BL1567" t="s">
        <v>3085</v>
      </c>
      <c r="BM1567" t="s">
        <v>15356</v>
      </c>
      <c r="BN1567">
        <v>12622741</v>
      </c>
      <c r="BO1567" t="s">
        <v>1194</v>
      </c>
      <c r="BP1567" t="s">
        <v>74</v>
      </c>
      <c r="BQ1567" t="s">
        <v>74</v>
      </c>
      <c r="BR1567" t="s">
        <v>104</v>
      </c>
      <c r="BS1567" t="s">
        <v>15355</v>
      </c>
      <c r="BT1567" t="str">
        <f>HYPERLINK("https%3A%2F%2Fwww.webofscience.com%2Fwos%2Fwoscc%2Ffull-record%2FWOS:000181355500003","View Full Record in Web of Science")</f>
        <v>View Full Record in Web of Science</v>
      </c>
    </row>
    <row r="1568" spans="1:72" x14ac:dyDescent="0.25">
      <c r="A1568" t="s">
        <v>72</v>
      </c>
      <c r="B1568" t="s">
        <v>15354</v>
      </c>
      <c r="C1568" t="s">
        <v>74</v>
      </c>
      <c r="D1568" t="s">
        <v>74</v>
      </c>
      <c r="E1568" t="s">
        <v>74</v>
      </c>
      <c r="F1568" t="s">
        <v>15354</v>
      </c>
      <c r="G1568" t="s">
        <v>74</v>
      </c>
      <c r="H1568" t="s">
        <v>74</v>
      </c>
      <c r="I1568" t="s">
        <v>15353</v>
      </c>
      <c r="J1568" t="s">
        <v>2355</v>
      </c>
      <c r="K1568" t="s">
        <v>74</v>
      </c>
      <c r="L1568" t="s">
        <v>74</v>
      </c>
      <c r="M1568" t="s">
        <v>78</v>
      </c>
      <c r="N1568" t="s">
        <v>460</v>
      </c>
      <c r="O1568" t="s">
        <v>74</v>
      </c>
      <c r="P1568" t="s">
        <v>74</v>
      </c>
      <c r="Q1568" t="s">
        <v>74</v>
      </c>
      <c r="R1568" t="s">
        <v>74</v>
      </c>
      <c r="S1568" t="s">
        <v>74</v>
      </c>
      <c r="T1568" t="s">
        <v>74</v>
      </c>
      <c r="U1568" t="s">
        <v>15352</v>
      </c>
      <c r="V1568" t="s">
        <v>74</v>
      </c>
      <c r="W1568" t="s">
        <v>15351</v>
      </c>
      <c r="X1568" t="s">
        <v>15350</v>
      </c>
      <c r="Y1568" t="s">
        <v>15349</v>
      </c>
      <c r="Z1568" t="s">
        <v>74</v>
      </c>
      <c r="AA1568" t="s">
        <v>144</v>
      </c>
      <c r="AB1568" t="s">
        <v>257</v>
      </c>
      <c r="AC1568" t="s">
        <v>74</v>
      </c>
      <c r="AD1568" t="s">
        <v>74</v>
      </c>
      <c r="AE1568" t="s">
        <v>74</v>
      </c>
      <c r="AF1568" t="s">
        <v>74</v>
      </c>
      <c r="AG1568">
        <v>9</v>
      </c>
      <c r="AH1568">
        <v>53</v>
      </c>
      <c r="AI1568">
        <v>56</v>
      </c>
      <c r="AJ1568">
        <v>0</v>
      </c>
      <c r="AK1568">
        <v>1</v>
      </c>
      <c r="AL1568" t="s">
        <v>1073</v>
      </c>
      <c r="AM1568" t="s">
        <v>1074</v>
      </c>
      <c r="AN1568" t="s">
        <v>1075</v>
      </c>
      <c r="AO1568" t="s">
        <v>2365</v>
      </c>
      <c r="AP1568" t="s">
        <v>74</v>
      </c>
      <c r="AQ1568" t="s">
        <v>74</v>
      </c>
      <c r="AR1568" t="s">
        <v>2355</v>
      </c>
      <c r="AS1568" t="s">
        <v>2355</v>
      </c>
      <c r="AT1568" t="s">
        <v>176</v>
      </c>
      <c r="AU1568">
        <v>2003</v>
      </c>
      <c r="AV1568">
        <v>42</v>
      </c>
      <c r="AW1568">
        <v>1</v>
      </c>
      <c r="AX1568" t="s">
        <v>74</v>
      </c>
      <c r="AY1568" t="s">
        <v>74</v>
      </c>
      <c r="AZ1568" t="s">
        <v>74</v>
      </c>
      <c r="BA1568" t="s">
        <v>74</v>
      </c>
      <c r="BB1568">
        <v>191</v>
      </c>
      <c r="BC1568">
        <v>193</v>
      </c>
      <c r="BD1568" t="s">
        <v>74</v>
      </c>
      <c r="BE1568" t="s">
        <v>15348</v>
      </c>
      <c r="BF1568" t="str">
        <f>HYPERLINK("http://dx.doi.org/10.1093/rheumatology/keg050","http://dx.doi.org/10.1093/rheumatology/keg050")</f>
        <v>http://dx.doi.org/10.1093/rheumatology/keg050</v>
      </c>
      <c r="BG1568" t="s">
        <v>74</v>
      </c>
      <c r="BH1568" t="s">
        <v>74</v>
      </c>
      <c r="BI1568">
        <v>3</v>
      </c>
      <c r="BJ1568" t="s">
        <v>2369</v>
      </c>
      <c r="BK1568" t="s">
        <v>101</v>
      </c>
      <c r="BL1568" t="s">
        <v>2369</v>
      </c>
      <c r="BM1568" t="s">
        <v>15347</v>
      </c>
      <c r="BN1568">
        <v>12509640</v>
      </c>
      <c r="BO1568" t="s">
        <v>74</v>
      </c>
      <c r="BP1568" t="s">
        <v>74</v>
      </c>
      <c r="BQ1568" t="s">
        <v>74</v>
      </c>
      <c r="BR1568" t="s">
        <v>104</v>
      </c>
      <c r="BS1568" t="s">
        <v>15346</v>
      </c>
      <c r="BT1568" t="str">
        <f>HYPERLINK("https%3A%2F%2Fwww.webofscience.com%2Fwos%2Fwoscc%2Ffull-record%2FWOS:000180626500036","View Full Record in Web of Science")</f>
        <v>View Full Record in Web of Science</v>
      </c>
    </row>
    <row r="1569" spans="1:72" x14ac:dyDescent="0.25">
      <c r="A1569" t="s">
        <v>72</v>
      </c>
      <c r="B1569" t="s">
        <v>15345</v>
      </c>
      <c r="C1569" t="s">
        <v>74</v>
      </c>
      <c r="D1569" t="s">
        <v>74</v>
      </c>
      <c r="E1569" t="s">
        <v>74</v>
      </c>
      <c r="F1569" t="s">
        <v>15345</v>
      </c>
      <c r="G1569" t="s">
        <v>74</v>
      </c>
      <c r="H1569" t="s">
        <v>74</v>
      </c>
      <c r="I1569" t="s">
        <v>15344</v>
      </c>
      <c r="J1569" t="s">
        <v>15333</v>
      </c>
      <c r="K1569" t="s">
        <v>74</v>
      </c>
      <c r="L1569" t="s">
        <v>74</v>
      </c>
      <c r="M1569" t="s">
        <v>78</v>
      </c>
      <c r="N1569" t="s">
        <v>79</v>
      </c>
      <c r="O1569" t="s">
        <v>74</v>
      </c>
      <c r="P1569" t="s">
        <v>74</v>
      </c>
      <c r="Q1569" t="s">
        <v>74</v>
      </c>
      <c r="R1569" t="s">
        <v>74</v>
      </c>
      <c r="S1569" t="s">
        <v>74</v>
      </c>
      <c r="T1569" t="s">
        <v>15343</v>
      </c>
      <c r="U1569" t="s">
        <v>15342</v>
      </c>
      <c r="V1569" t="s">
        <v>15341</v>
      </c>
      <c r="W1569" t="s">
        <v>15340</v>
      </c>
      <c r="X1569" t="s">
        <v>15339</v>
      </c>
      <c r="Y1569" t="s">
        <v>15338</v>
      </c>
      <c r="Z1569" t="s">
        <v>15337</v>
      </c>
      <c r="AA1569" t="s">
        <v>780</v>
      </c>
      <c r="AB1569" t="s">
        <v>15336</v>
      </c>
      <c r="AC1569" t="s">
        <v>74</v>
      </c>
      <c r="AD1569" t="s">
        <v>74</v>
      </c>
      <c r="AE1569" t="s">
        <v>74</v>
      </c>
      <c r="AF1569" t="s">
        <v>74</v>
      </c>
      <c r="AG1569">
        <v>30</v>
      </c>
      <c r="AH1569">
        <v>55</v>
      </c>
      <c r="AI1569">
        <v>58</v>
      </c>
      <c r="AJ1569">
        <v>0</v>
      </c>
      <c r="AK1569">
        <v>6</v>
      </c>
      <c r="AL1569" t="s">
        <v>148</v>
      </c>
      <c r="AM1569" t="s">
        <v>149</v>
      </c>
      <c r="AN1569" t="s">
        <v>150</v>
      </c>
      <c r="AO1569" t="s">
        <v>15335</v>
      </c>
      <c r="AP1569" t="s">
        <v>15334</v>
      </c>
      <c r="AQ1569" t="s">
        <v>74</v>
      </c>
      <c r="AR1569" t="s">
        <v>15333</v>
      </c>
      <c r="AS1569" t="s">
        <v>15332</v>
      </c>
      <c r="AT1569" t="s">
        <v>74</v>
      </c>
      <c r="AU1569">
        <v>2003</v>
      </c>
      <c r="AV1569">
        <v>27</v>
      </c>
      <c r="AW1569">
        <v>3</v>
      </c>
      <c r="AX1569" t="s">
        <v>74</v>
      </c>
      <c r="AY1569" t="s">
        <v>74</v>
      </c>
      <c r="AZ1569" t="s">
        <v>74</v>
      </c>
      <c r="BA1569" t="s">
        <v>74</v>
      </c>
      <c r="BB1569">
        <v>139</v>
      </c>
      <c r="BC1569">
        <v>147</v>
      </c>
      <c r="BD1569" t="s">
        <v>74</v>
      </c>
      <c r="BE1569" t="s">
        <v>15331</v>
      </c>
      <c r="BF1569" t="str">
        <f>HYPERLINK("http://dx.doi.org/10.1081/HEM-120023377","http://dx.doi.org/10.1081/HEM-120023377")</f>
        <v>http://dx.doi.org/10.1081/HEM-120023377</v>
      </c>
      <c r="BG1569" t="s">
        <v>74</v>
      </c>
      <c r="BH1569" t="s">
        <v>74</v>
      </c>
      <c r="BI1569">
        <v>9</v>
      </c>
      <c r="BJ1569" t="s">
        <v>15330</v>
      </c>
      <c r="BK1569" t="s">
        <v>101</v>
      </c>
      <c r="BL1569" t="s">
        <v>15330</v>
      </c>
      <c r="BM1569" t="s">
        <v>15329</v>
      </c>
      <c r="BN1569">
        <v>12908798</v>
      </c>
      <c r="BO1569" t="s">
        <v>74</v>
      </c>
      <c r="BP1569" t="s">
        <v>74</v>
      </c>
      <c r="BQ1569" t="s">
        <v>74</v>
      </c>
      <c r="BR1569" t="s">
        <v>104</v>
      </c>
      <c r="BS1569" t="s">
        <v>15328</v>
      </c>
      <c r="BT1569" t="str">
        <f>HYPERLINK("https%3A%2F%2Fwww.webofscience.com%2Fwos%2Fwoscc%2Ffull-record%2FWOS:000184454300001","View Full Record in Web of Science")</f>
        <v>View Full Record in Web of Science</v>
      </c>
    </row>
    <row r="1570" spans="1:72" x14ac:dyDescent="0.25">
      <c r="A1570" t="s">
        <v>72</v>
      </c>
      <c r="B1570" t="s">
        <v>15327</v>
      </c>
      <c r="C1570" t="s">
        <v>74</v>
      </c>
      <c r="D1570" t="s">
        <v>74</v>
      </c>
      <c r="E1570" t="s">
        <v>74</v>
      </c>
      <c r="F1570" t="s">
        <v>15327</v>
      </c>
      <c r="G1570" t="s">
        <v>74</v>
      </c>
      <c r="H1570" t="s">
        <v>74</v>
      </c>
      <c r="I1570" t="s">
        <v>15326</v>
      </c>
      <c r="J1570" t="s">
        <v>4350</v>
      </c>
      <c r="K1570" t="s">
        <v>74</v>
      </c>
      <c r="L1570" t="s">
        <v>74</v>
      </c>
      <c r="M1570" t="s">
        <v>78</v>
      </c>
      <c r="N1570" t="s">
        <v>79</v>
      </c>
      <c r="O1570" t="s">
        <v>74</v>
      </c>
      <c r="P1570" t="s">
        <v>74</v>
      </c>
      <c r="Q1570" t="s">
        <v>74</v>
      </c>
      <c r="R1570" t="s">
        <v>74</v>
      </c>
      <c r="S1570" t="s">
        <v>74</v>
      </c>
      <c r="T1570" t="s">
        <v>15325</v>
      </c>
      <c r="U1570" t="s">
        <v>15324</v>
      </c>
      <c r="V1570" t="s">
        <v>15323</v>
      </c>
      <c r="W1570" t="s">
        <v>15322</v>
      </c>
      <c r="X1570" t="s">
        <v>15321</v>
      </c>
      <c r="Y1570" t="s">
        <v>15320</v>
      </c>
      <c r="Z1570" t="s">
        <v>74</v>
      </c>
      <c r="AA1570" t="s">
        <v>7706</v>
      </c>
      <c r="AB1570" t="s">
        <v>257</v>
      </c>
      <c r="AC1570" t="s">
        <v>74</v>
      </c>
      <c r="AD1570" t="s">
        <v>74</v>
      </c>
      <c r="AE1570" t="s">
        <v>74</v>
      </c>
      <c r="AF1570" t="s">
        <v>74</v>
      </c>
      <c r="AG1570">
        <v>21</v>
      </c>
      <c r="AH1570">
        <v>24</v>
      </c>
      <c r="AI1570">
        <v>26</v>
      </c>
      <c r="AJ1570">
        <v>0</v>
      </c>
      <c r="AK1570">
        <v>1</v>
      </c>
      <c r="AL1570" t="s">
        <v>14998</v>
      </c>
      <c r="AM1570" t="s">
        <v>486</v>
      </c>
      <c r="AN1570" t="s">
        <v>14752</v>
      </c>
      <c r="AO1570" t="s">
        <v>4358</v>
      </c>
      <c r="AP1570" t="s">
        <v>74</v>
      </c>
      <c r="AQ1570" t="s">
        <v>74</v>
      </c>
      <c r="AR1570" t="s">
        <v>4360</v>
      </c>
      <c r="AS1570" t="s">
        <v>4361</v>
      </c>
      <c r="AT1570" t="s">
        <v>420</v>
      </c>
      <c r="AU1570">
        <v>2002</v>
      </c>
      <c r="AV1570">
        <v>161</v>
      </c>
      <c r="AW1570" t="s">
        <v>74</v>
      </c>
      <c r="AX1570" t="s">
        <v>74</v>
      </c>
      <c r="AY1570">
        <v>1</v>
      </c>
      <c r="AZ1570" t="s">
        <v>74</v>
      </c>
      <c r="BA1570" t="s">
        <v>74</v>
      </c>
      <c r="BB1570" t="s">
        <v>15319</v>
      </c>
      <c r="BC1570" t="s">
        <v>15318</v>
      </c>
      <c r="BD1570" t="s">
        <v>74</v>
      </c>
      <c r="BE1570" t="s">
        <v>15317</v>
      </c>
      <c r="BF1570" t="str">
        <f>HYPERLINK("http://dx.doi.org/10.1007/BF02680003","http://dx.doi.org/10.1007/BF02680003")</f>
        <v>http://dx.doi.org/10.1007/BF02680003</v>
      </c>
      <c r="BG1570" t="s">
        <v>74</v>
      </c>
      <c r="BH1570" t="s">
        <v>74</v>
      </c>
      <c r="BI1570">
        <v>4</v>
      </c>
      <c r="BJ1570" t="s">
        <v>4364</v>
      </c>
      <c r="BK1570" t="s">
        <v>101</v>
      </c>
      <c r="BL1570" t="s">
        <v>4364</v>
      </c>
      <c r="BM1570" t="s">
        <v>15316</v>
      </c>
      <c r="BN1570">
        <v>12373580</v>
      </c>
      <c r="BO1570" t="s">
        <v>74</v>
      </c>
      <c r="BP1570" t="s">
        <v>74</v>
      </c>
      <c r="BQ1570" t="s">
        <v>74</v>
      </c>
      <c r="BR1570" t="s">
        <v>104</v>
      </c>
      <c r="BS1570" t="s">
        <v>15315</v>
      </c>
      <c r="BT1570" t="str">
        <f>HYPERLINK("https%3A%2F%2Fwww.webofscience.com%2Fwos%2Fwoscc%2Ffull-record%2FWOS:000178904800017","View Full Record in Web of Science")</f>
        <v>View Full Record in Web of Science</v>
      </c>
    </row>
    <row r="1571" spans="1:72" x14ac:dyDescent="0.25">
      <c r="A1571" t="s">
        <v>72</v>
      </c>
      <c r="B1571" t="s">
        <v>15314</v>
      </c>
      <c r="C1571" t="s">
        <v>74</v>
      </c>
      <c r="D1571" t="s">
        <v>74</v>
      </c>
      <c r="E1571" t="s">
        <v>74</v>
      </c>
      <c r="F1571" t="s">
        <v>15314</v>
      </c>
      <c r="G1571" t="s">
        <v>74</v>
      </c>
      <c r="H1571" t="s">
        <v>74</v>
      </c>
      <c r="I1571" t="s">
        <v>15313</v>
      </c>
      <c r="J1571" t="s">
        <v>15312</v>
      </c>
      <c r="K1571" t="s">
        <v>74</v>
      </c>
      <c r="L1571" t="s">
        <v>74</v>
      </c>
      <c r="M1571" t="s">
        <v>78</v>
      </c>
      <c r="N1571" t="s">
        <v>79</v>
      </c>
      <c r="O1571" t="s">
        <v>74</v>
      </c>
      <c r="P1571" t="s">
        <v>74</v>
      </c>
      <c r="Q1571" t="s">
        <v>74</v>
      </c>
      <c r="R1571" t="s">
        <v>74</v>
      </c>
      <c r="S1571" t="s">
        <v>74</v>
      </c>
      <c r="T1571" t="s">
        <v>74</v>
      </c>
      <c r="U1571" t="s">
        <v>15311</v>
      </c>
      <c r="V1571" t="s">
        <v>15310</v>
      </c>
      <c r="W1571" t="s">
        <v>15309</v>
      </c>
      <c r="X1571" t="s">
        <v>15308</v>
      </c>
      <c r="Y1571" t="s">
        <v>15307</v>
      </c>
      <c r="Z1571" t="s">
        <v>15306</v>
      </c>
      <c r="AA1571" t="s">
        <v>15305</v>
      </c>
      <c r="AB1571" t="s">
        <v>15304</v>
      </c>
      <c r="AC1571" t="s">
        <v>74</v>
      </c>
      <c r="AD1571" t="s">
        <v>74</v>
      </c>
      <c r="AE1571" t="s">
        <v>74</v>
      </c>
      <c r="AF1571" t="s">
        <v>74</v>
      </c>
      <c r="AG1571">
        <v>46</v>
      </c>
      <c r="AH1571">
        <v>318</v>
      </c>
      <c r="AI1571">
        <v>356</v>
      </c>
      <c r="AJ1571">
        <v>0</v>
      </c>
      <c r="AK1571">
        <v>20</v>
      </c>
      <c r="AL1571" t="s">
        <v>7501</v>
      </c>
      <c r="AM1571" t="s">
        <v>486</v>
      </c>
      <c r="AN1571" t="s">
        <v>9667</v>
      </c>
      <c r="AO1571" t="s">
        <v>15303</v>
      </c>
      <c r="AP1571" t="s">
        <v>15302</v>
      </c>
      <c r="AQ1571" t="s">
        <v>74</v>
      </c>
      <c r="AR1571" t="s">
        <v>15301</v>
      </c>
      <c r="AS1571" t="s">
        <v>15300</v>
      </c>
      <c r="AT1571" t="s">
        <v>420</v>
      </c>
      <c r="AU1571">
        <v>2002</v>
      </c>
      <c r="AV1571">
        <v>8</v>
      </c>
      <c r="AW1571">
        <v>10</v>
      </c>
      <c r="AX1571" t="s">
        <v>74</v>
      </c>
      <c r="AY1571" t="s">
        <v>74</v>
      </c>
      <c r="AZ1571" t="s">
        <v>74</v>
      </c>
      <c r="BA1571" t="s">
        <v>74</v>
      </c>
      <c r="BB1571">
        <v>1129</v>
      </c>
      <c r="BC1571">
        <v>1135</v>
      </c>
      <c r="BD1571" t="s">
        <v>74</v>
      </c>
      <c r="BE1571" t="s">
        <v>15299</v>
      </c>
      <c r="BF1571" t="str">
        <f>HYPERLINK("http://dx.doi.org/10.1038/nm764","http://dx.doi.org/10.1038/nm764")</f>
        <v>http://dx.doi.org/10.1038/nm764</v>
      </c>
      <c r="BG1571" t="s">
        <v>74</v>
      </c>
      <c r="BH1571" t="s">
        <v>74</v>
      </c>
      <c r="BI1571">
        <v>7</v>
      </c>
      <c r="BJ1571" t="s">
        <v>15298</v>
      </c>
      <c r="BK1571" t="s">
        <v>101</v>
      </c>
      <c r="BL1571" t="s">
        <v>15297</v>
      </c>
      <c r="BM1571" t="s">
        <v>15296</v>
      </c>
      <c r="BN1571">
        <v>12244304</v>
      </c>
      <c r="BO1571" t="s">
        <v>612</v>
      </c>
      <c r="BP1571" t="s">
        <v>74</v>
      </c>
      <c r="BQ1571" t="s">
        <v>74</v>
      </c>
      <c r="BR1571" t="s">
        <v>104</v>
      </c>
      <c r="BS1571" t="s">
        <v>15295</v>
      </c>
      <c r="BT1571" t="str">
        <f>HYPERLINK("https%3A%2F%2Fwww.webofscience.com%2Fwos%2Fwoscc%2Ffull-record%2FWOS:000178311000040","View Full Record in Web of Science")</f>
        <v>View Full Record in Web of Science</v>
      </c>
    </row>
    <row r="1572" spans="1:72" x14ac:dyDescent="0.25">
      <c r="A1572" t="s">
        <v>72</v>
      </c>
      <c r="B1572" t="s">
        <v>15294</v>
      </c>
      <c r="C1572" t="s">
        <v>74</v>
      </c>
      <c r="D1572" t="s">
        <v>74</v>
      </c>
      <c r="E1572" t="s">
        <v>74</v>
      </c>
      <c r="F1572" t="s">
        <v>15294</v>
      </c>
      <c r="G1572" t="s">
        <v>74</v>
      </c>
      <c r="H1572" t="s">
        <v>74</v>
      </c>
      <c r="I1572" t="s">
        <v>15293</v>
      </c>
      <c r="J1572" t="s">
        <v>216</v>
      </c>
      <c r="K1572" t="s">
        <v>74</v>
      </c>
      <c r="L1572" t="s">
        <v>74</v>
      </c>
      <c r="M1572" t="s">
        <v>78</v>
      </c>
      <c r="N1572" t="s">
        <v>140</v>
      </c>
      <c r="O1572" t="s">
        <v>74</v>
      </c>
      <c r="P1572" t="s">
        <v>74</v>
      </c>
      <c r="Q1572" t="s">
        <v>74</v>
      </c>
      <c r="R1572" t="s">
        <v>74</v>
      </c>
      <c r="S1572" t="s">
        <v>74</v>
      </c>
      <c r="T1572" t="s">
        <v>74</v>
      </c>
      <c r="U1572" t="s">
        <v>15292</v>
      </c>
      <c r="V1572" t="s">
        <v>74</v>
      </c>
      <c r="W1572" t="s">
        <v>15291</v>
      </c>
      <c r="X1572" t="s">
        <v>15290</v>
      </c>
      <c r="Y1572" t="s">
        <v>15289</v>
      </c>
      <c r="Z1572" t="s">
        <v>74</v>
      </c>
      <c r="AA1572" t="s">
        <v>15288</v>
      </c>
      <c r="AB1572" t="s">
        <v>15287</v>
      </c>
      <c r="AC1572" t="s">
        <v>74</v>
      </c>
      <c r="AD1572" t="s">
        <v>74</v>
      </c>
      <c r="AE1572" t="s">
        <v>74</v>
      </c>
      <c r="AF1572" t="s">
        <v>74</v>
      </c>
      <c r="AG1572">
        <v>18</v>
      </c>
      <c r="AH1572">
        <v>3</v>
      </c>
      <c r="AI1572">
        <v>3</v>
      </c>
      <c r="AJ1572">
        <v>0</v>
      </c>
      <c r="AK1572">
        <v>0</v>
      </c>
      <c r="AL1572" t="s">
        <v>219</v>
      </c>
      <c r="AM1572" t="s">
        <v>220</v>
      </c>
      <c r="AN1572" t="s">
        <v>15273</v>
      </c>
      <c r="AO1572" t="s">
        <v>222</v>
      </c>
      <c r="AP1572" t="s">
        <v>74</v>
      </c>
      <c r="AQ1572" t="s">
        <v>74</v>
      </c>
      <c r="AR1572" t="s">
        <v>224</v>
      </c>
      <c r="AS1572" t="s">
        <v>225</v>
      </c>
      <c r="AT1572" t="s">
        <v>492</v>
      </c>
      <c r="AU1572">
        <v>2002</v>
      </c>
      <c r="AV1572">
        <v>20</v>
      </c>
      <c r="AW1572">
        <v>3</v>
      </c>
      <c r="AX1572" t="s">
        <v>74</v>
      </c>
      <c r="AY1572" t="s">
        <v>74</v>
      </c>
      <c r="AZ1572" t="s">
        <v>74</v>
      </c>
      <c r="BA1572" t="s">
        <v>74</v>
      </c>
      <c r="BB1572">
        <v>509</v>
      </c>
      <c r="BC1572">
        <v>510</v>
      </c>
      <c r="BD1572" t="s">
        <v>74</v>
      </c>
      <c r="BE1572" t="s">
        <v>15286</v>
      </c>
      <c r="BF1572" t="str">
        <f>HYPERLINK("http://dx.doi.org/10.1183/09031936.02.03292002","http://dx.doi.org/10.1183/09031936.02.03292002")</f>
        <v>http://dx.doi.org/10.1183/09031936.02.03292002</v>
      </c>
      <c r="BG1572" t="s">
        <v>74</v>
      </c>
      <c r="BH1572" t="s">
        <v>74</v>
      </c>
      <c r="BI1572">
        <v>2</v>
      </c>
      <c r="BJ1572" t="s">
        <v>228</v>
      </c>
      <c r="BK1572" t="s">
        <v>101</v>
      </c>
      <c r="BL1572" t="s">
        <v>228</v>
      </c>
      <c r="BM1572" t="s">
        <v>15260</v>
      </c>
      <c r="BN1572">
        <v>12358320</v>
      </c>
      <c r="BO1572" t="s">
        <v>1194</v>
      </c>
      <c r="BP1572" t="s">
        <v>74</v>
      </c>
      <c r="BQ1572" t="s">
        <v>74</v>
      </c>
      <c r="BR1572" t="s">
        <v>104</v>
      </c>
      <c r="BS1572" t="s">
        <v>15285</v>
      </c>
      <c r="BT1572" t="str">
        <f>HYPERLINK("https%3A%2F%2Fwww.webofscience.com%2Fwos%2Fwoscc%2Ffull-record%2FWOS:000178187100001","View Full Record in Web of Science")</f>
        <v>View Full Record in Web of Science</v>
      </c>
    </row>
    <row r="1573" spans="1:72" x14ac:dyDescent="0.25">
      <c r="A1573" t="s">
        <v>72</v>
      </c>
      <c r="B1573" t="s">
        <v>15284</v>
      </c>
      <c r="C1573" t="s">
        <v>74</v>
      </c>
      <c r="D1573" t="s">
        <v>74</v>
      </c>
      <c r="E1573" t="s">
        <v>74</v>
      </c>
      <c r="F1573" t="s">
        <v>15284</v>
      </c>
      <c r="G1573" t="s">
        <v>74</v>
      </c>
      <c r="H1573" t="s">
        <v>74</v>
      </c>
      <c r="I1573" t="s">
        <v>15283</v>
      </c>
      <c r="J1573" t="s">
        <v>216</v>
      </c>
      <c r="K1573" t="s">
        <v>74</v>
      </c>
      <c r="L1573" t="s">
        <v>74</v>
      </c>
      <c r="M1573" t="s">
        <v>78</v>
      </c>
      <c r="N1573" t="s">
        <v>79</v>
      </c>
      <c r="O1573" t="s">
        <v>74</v>
      </c>
      <c r="P1573" t="s">
        <v>74</v>
      </c>
      <c r="Q1573" t="s">
        <v>74</v>
      </c>
      <c r="R1573" t="s">
        <v>74</v>
      </c>
      <c r="S1573" t="s">
        <v>74</v>
      </c>
      <c r="T1573" t="s">
        <v>15282</v>
      </c>
      <c r="U1573" t="s">
        <v>15281</v>
      </c>
      <c r="V1573" t="s">
        <v>15280</v>
      </c>
      <c r="W1573" t="s">
        <v>15279</v>
      </c>
      <c r="X1573" t="s">
        <v>15278</v>
      </c>
      <c r="Y1573" t="s">
        <v>15277</v>
      </c>
      <c r="Z1573" t="s">
        <v>74</v>
      </c>
      <c r="AA1573" t="s">
        <v>14164</v>
      </c>
      <c r="AB1573" t="s">
        <v>15276</v>
      </c>
      <c r="AC1573" t="s">
        <v>15275</v>
      </c>
      <c r="AD1573" t="s">
        <v>15274</v>
      </c>
      <c r="AE1573" t="s">
        <v>74</v>
      </c>
      <c r="AF1573" t="s">
        <v>74</v>
      </c>
      <c r="AG1573">
        <v>30</v>
      </c>
      <c r="AH1573">
        <v>141</v>
      </c>
      <c r="AI1573">
        <v>153</v>
      </c>
      <c r="AJ1573">
        <v>0</v>
      </c>
      <c r="AK1573">
        <v>3</v>
      </c>
      <c r="AL1573" t="s">
        <v>219</v>
      </c>
      <c r="AM1573" t="s">
        <v>220</v>
      </c>
      <c r="AN1573" t="s">
        <v>15273</v>
      </c>
      <c r="AO1573" t="s">
        <v>222</v>
      </c>
      <c r="AP1573" t="s">
        <v>74</v>
      </c>
      <c r="AQ1573" t="s">
        <v>74</v>
      </c>
      <c r="AR1573" t="s">
        <v>224</v>
      </c>
      <c r="AS1573" t="s">
        <v>225</v>
      </c>
      <c r="AT1573" t="s">
        <v>492</v>
      </c>
      <c r="AU1573">
        <v>2002</v>
      </c>
      <c r="AV1573">
        <v>20</v>
      </c>
      <c r="AW1573">
        <v>3</v>
      </c>
      <c r="AX1573" t="s">
        <v>74</v>
      </c>
      <c r="AY1573" t="s">
        <v>74</v>
      </c>
      <c r="AZ1573" t="s">
        <v>74</v>
      </c>
      <c r="BA1573" t="s">
        <v>74</v>
      </c>
      <c r="BB1573">
        <v>518</v>
      </c>
      <c r="BC1573">
        <v>523</v>
      </c>
      <c r="BD1573" t="s">
        <v>74</v>
      </c>
      <c r="BE1573" t="s">
        <v>15272</v>
      </c>
      <c r="BF1573" t="str">
        <f>HYPERLINK("http://dx.doi.org/10.1183/09031936.02.01762002","http://dx.doi.org/10.1183/09031936.02.01762002")</f>
        <v>http://dx.doi.org/10.1183/09031936.02.01762002</v>
      </c>
      <c r="BG1573" t="s">
        <v>74</v>
      </c>
      <c r="BH1573" t="s">
        <v>74</v>
      </c>
      <c r="BI1573">
        <v>6</v>
      </c>
      <c r="BJ1573" t="s">
        <v>228</v>
      </c>
      <c r="BK1573" t="s">
        <v>101</v>
      </c>
      <c r="BL1573" t="s">
        <v>228</v>
      </c>
      <c r="BM1573" t="s">
        <v>15260</v>
      </c>
      <c r="BN1573">
        <v>12358323</v>
      </c>
      <c r="BO1573" t="s">
        <v>1194</v>
      </c>
      <c r="BP1573" t="s">
        <v>74</v>
      </c>
      <c r="BQ1573" t="s">
        <v>74</v>
      </c>
      <c r="BR1573" t="s">
        <v>104</v>
      </c>
      <c r="BS1573" t="s">
        <v>15271</v>
      </c>
      <c r="BT1573" t="str">
        <f>HYPERLINK("https%3A%2F%2Fwww.webofscience.com%2Fwos%2Fwoscc%2Ffull-record%2FWOS:000178187100004","View Full Record in Web of Science")</f>
        <v>View Full Record in Web of Science</v>
      </c>
    </row>
    <row r="1574" spans="1:72" x14ac:dyDescent="0.25">
      <c r="A1574" t="s">
        <v>72</v>
      </c>
      <c r="B1574" t="s">
        <v>15270</v>
      </c>
      <c r="C1574" t="s">
        <v>74</v>
      </c>
      <c r="D1574" t="s">
        <v>74</v>
      </c>
      <c r="E1574" t="s">
        <v>74</v>
      </c>
      <c r="F1574" t="s">
        <v>15270</v>
      </c>
      <c r="G1574" t="s">
        <v>74</v>
      </c>
      <c r="H1574" t="s">
        <v>74</v>
      </c>
      <c r="I1574" t="s">
        <v>15269</v>
      </c>
      <c r="J1574" t="s">
        <v>216</v>
      </c>
      <c r="K1574" t="s">
        <v>74</v>
      </c>
      <c r="L1574" t="s">
        <v>74</v>
      </c>
      <c r="M1574" t="s">
        <v>78</v>
      </c>
      <c r="N1574" t="s">
        <v>79</v>
      </c>
      <c r="O1574" t="s">
        <v>74</v>
      </c>
      <c r="P1574" t="s">
        <v>74</v>
      </c>
      <c r="Q1574" t="s">
        <v>74</v>
      </c>
      <c r="R1574" t="s">
        <v>74</v>
      </c>
      <c r="S1574" t="s">
        <v>74</v>
      </c>
      <c r="T1574" t="s">
        <v>15268</v>
      </c>
      <c r="U1574" t="s">
        <v>15267</v>
      </c>
      <c r="V1574" t="s">
        <v>15266</v>
      </c>
      <c r="W1574" t="s">
        <v>15265</v>
      </c>
      <c r="X1574" t="s">
        <v>15264</v>
      </c>
      <c r="Y1574" t="s">
        <v>15263</v>
      </c>
      <c r="Z1574" t="s">
        <v>15027</v>
      </c>
      <c r="AA1574" t="s">
        <v>780</v>
      </c>
      <c r="AB1574" t="s">
        <v>15262</v>
      </c>
      <c r="AC1574" t="s">
        <v>74</v>
      </c>
      <c r="AD1574" t="s">
        <v>74</v>
      </c>
      <c r="AE1574" t="s">
        <v>74</v>
      </c>
      <c r="AF1574" t="s">
        <v>74</v>
      </c>
      <c r="AG1574">
        <v>34</v>
      </c>
      <c r="AH1574">
        <v>34</v>
      </c>
      <c r="AI1574">
        <v>41</v>
      </c>
      <c r="AJ1574">
        <v>0</v>
      </c>
      <c r="AK1574">
        <v>4</v>
      </c>
      <c r="AL1574" t="s">
        <v>219</v>
      </c>
      <c r="AM1574" t="s">
        <v>220</v>
      </c>
      <c r="AN1574" t="s">
        <v>221</v>
      </c>
      <c r="AO1574" t="s">
        <v>222</v>
      </c>
      <c r="AP1574" t="s">
        <v>223</v>
      </c>
      <c r="AQ1574" t="s">
        <v>74</v>
      </c>
      <c r="AR1574" t="s">
        <v>224</v>
      </c>
      <c r="AS1574" t="s">
        <v>225</v>
      </c>
      <c r="AT1574" t="s">
        <v>492</v>
      </c>
      <c r="AU1574">
        <v>2002</v>
      </c>
      <c r="AV1574">
        <v>20</v>
      </c>
      <c r="AW1574">
        <v>3</v>
      </c>
      <c r="AX1574" t="s">
        <v>74</v>
      </c>
      <c r="AY1574" t="s">
        <v>74</v>
      </c>
      <c r="AZ1574" t="s">
        <v>74</v>
      </c>
      <c r="BA1574" t="s">
        <v>74</v>
      </c>
      <c r="BB1574">
        <v>741</v>
      </c>
      <c r="BC1574">
        <v>749</v>
      </c>
      <c r="BD1574" t="s">
        <v>74</v>
      </c>
      <c r="BE1574" t="s">
        <v>15261</v>
      </c>
      <c r="BF1574" t="str">
        <f>HYPERLINK("http://dx.doi.org/10.1183/09031936.02.02702002","http://dx.doi.org/10.1183/09031936.02.02702002")</f>
        <v>http://dx.doi.org/10.1183/09031936.02.02702002</v>
      </c>
      <c r="BG1574" t="s">
        <v>74</v>
      </c>
      <c r="BH1574" t="s">
        <v>74</v>
      </c>
      <c r="BI1574">
        <v>9</v>
      </c>
      <c r="BJ1574" t="s">
        <v>228</v>
      </c>
      <c r="BK1574" t="s">
        <v>101</v>
      </c>
      <c r="BL1574" t="s">
        <v>228</v>
      </c>
      <c r="BM1574" t="s">
        <v>15260</v>
      </c>
      <c r="BN1574">
        <v>12358355</v>
      </c>
      <c r="BO1574" t="s">
        <v>1194</v>
      </c>
      <c r="BP1574" t="s">
        <v>74</v>
      </c>
      <c r="BQ1574" t="s">
        <v>74</v>
      </c>
      <c r="BR1574" t="s">
        <v>104</v>
      </c>
      <c r="BS1574" t="s">
        <v>15259</v>
      </c>
      <c r="BT1574" t="str">
        <f>HYPERLINK("https%3A%2F%2Fwww.webofscience.com%2Fwos%2Fwoscc%2Ffull-record%2FWOS:000178187100036","View Full Record in Web of Science")</f>
        <v>View Full Record in Web of Science</v>
      </c>
    </row>
    <row r="1575" spans="1:72" x14ac:dyDescent="0.25">
      <c r="A1575" t="s">
        <v>72</v>
      </c>
      <c r="B1575" t="s">
        <v>15258</v>
      </c>
      <c r="C1575" t="s">
        <v>74</v>
      </c>
      <c r="D1575" t="s">
        <v>74</v>
      </c>
      <c r="E1575" t="s">
        <v>74</v>
      </c>
      <c r="F1575" t="s">
        <v>15258</v>
      </c>
      <c r="G1575" t="s">
        <v>74</v>
      </c>
      <c r="H1575" t="s">
        <v>74</v>
      </c>
      <c r="I1575" t="s">
        <v>15257</v>
      </c>
      <c r="J1575" t="s">
        <v>15256</v>
      </c>
      <c r="K1575" t="s">
        <v>74</v>
      </c>
      <c r="L1575" t="s">
        <v>74</v>
      </c>
      <c r="M1575" t="s">
        <v>78</v>
      </c>
      <c r="N1575" t="s">
        <v>299</v>
      </c>
      <c r="O1575" t="s">
        <v>74</v>
      </c>
      <c r="P1575" t="s">
        <v>74</v>
      </c>
      <c r="Q1575" t="s">
        <v>74</v>
      </c>
      <c r="R1575" t="s">
        <v>74</v>
      </c>
      <c r="S1575" t="s">
        <v>74</v>
      </c>
      <c r="T1575" t="s">
        <v>74</v>
      </c>
      <c r="U1575" t="s">
        <v>15255</v>
      </c>
      <c r="V1575" t="s">
        <v>74</v>
      </c>
      <c r="W1575" t="s">
        <v>15254</v>
      </c>
      <c r="X1575" t="s">
        <v>15253</v>
      </c>
      <c r="Y1575" t="s">
        <v>15252</v>
      </c>
      <c r="Z1575" t="s">
        <v>74</v>
      </c>
      <c r="AA1575" t="s">
        <v>14550</v>
      </c>
      <c r="AB1575" t="s">
        <v>3302</v>
      </c>
      <c r="AC1575" t="s">
        <v>74</v>
      </c>
      <c r="AD1575" t="s">
        <v>74</v>
      </c>
      <c r="AE1575" t="s">
        <v>74</v>
      </c>
      <c r="AF1575" t="s">
        <v>74</v>
      </c>
      <c r="AG1575">
        <v>84</v>
      </c>
      <c r="AH1575">
        <v>42</v>
      </c>
      <c r="AI1575">
        <v>48</v>
      </c>
      <c r="AJ1575">
        <v>0</v>
      </c>
      <c r="AK1575">
        <v>0</v>
      </c>
      <c r="AL1575" t="s">
        <v>1169</v>
      </c>
      <c r="AM1575" t="s">
        <v>123</v>
      </c>
      <c r="AN1575" t="s">
        <v>1170</v>
      </c>
      <c r="AO1575" t="s">
        <v>15251</v>
      </c>
      <c r="AP1575" t="s">
        <v>15250</v>
      </c>
      <c r="AQ1575" t="s">
        <v>74</v>
      </c>
      <c r="AR1575" t="s">
        <v>15249</v>
      </c>
      <c r="AS1575" t="s">
        <v>15248</v>
      </c>
      <c r="AT1575" t="s">
        <v>13258</v>
      </c>
      <c r="AU1575">
        <v>2002</v>
      </c>
      <c r="AV1575">
        <v>45</v>
      </c>
      <c r="AW1575">
        <v>2</v>
      </c>
      <c r="AX1575" t="s">
        <v>74</v>
      </c>
      <c r="AY1575" t="s">
        <v>74</v>
      </c>
      <c r="AZ1575" t="s">
        <v>74</v>
      </c>
      <c r="BA1575" t="s">
        <v>74</v>
      </c>
      <c r="BB1575">
        <v>115</v>
      </c>
      <c r="BC1575">
        <v>128</v>
      </c>
      <c r="BD1575" t="s">
        <v>74</v>
      </c>
      <c r="BE1575" t="s">
        <v>15247</v>
      </c>
      <c r="BF1575" t="str">
        <f>HYPERLINK("http://dx.doi.org/10.1053/pcad.2002.128449","http://dx.doi.org/10.1053/pcad.2002.128449")</f>
        <v>http://dx.doi.org/10.1053/pcad.2002.128449</v>
      </c>
      <c r="BG1575" t="s">
        <v>74</v>
      </c>
      <c r="BH1575" t="s">
        <v>74</v>
      </c>
      <c r="BI1575">
        <v>14</v>
      </c>
      <c r="BJ1575" t="s">
        <v>132</v>
      </c>
      <c r="BK1575" t="s">
        <v>101</v>
      </c>
      <c r="BL1575" t="s">
        <v>133</v>
      </c>
      <c r="BM1575" t="s">
        <v>15246</v>
      </c>
      <c r="BN1575">
        <v>12411973</v>
      </c>
      <c r="BO1575" t="s">
        <v>74</v>
      </c>
      <c r="BP1575" t="s">
        <v>74</v>
      </c>
      <c r="BQ1575" t="s">
        <v>74</v>
      </c>
      <c r="BR1575" t="s">
        <v>104</v>
      </c>
      <c r="BS1575" t="s">
        <v>15245</v>
      </c>
      <c r="BT1575" t="str">
        <f>HYPERLINK("https%3A%2F%2Fwww.webofscience.com%2Fwos%2Fwoscc%2Ffull-record%2FWOS:000179172100002","View Full Record in Web of Science")</f>
        <v>View Full Record in Web of Science</v>
      </c>
    </row>
    <row r="1576" spans="1:72" x14ac:dyDescent="0.25">
      <c r="A1576" t="s">
        <v>72</v>
      </c>
      <c r="B1576" t="s">
        <v>15244</v>
      </c>
      <c r="C1576" t="s">
        <v>74</v>
      </c>
      <c r="D1576" t="s">
        <v>74</v>
      </c>
      <c r="E1576" t="s">
        <v>74</v>
      </c>
      <c r="F1576" t="s">
        <v>15244</v>
      </c>
      <c r="G1576" t="s">
        <v>74</v>
      </c>
      <c r="H1576" t="s">
        <v>74</v>
      </c>
      <c r="I1576" t="s">
        <v>15243</v>
      </c>
      <c r="J1576" t="s">
        <v>9067</v>
      </c>
      <c r="K1576" t="s">
        <v>74</v>
      </c>
      <c r="L1576" t="s">
        <v>74</v>
      </c>
      <c r="M1576" t="s">
        <v>78</v>
      </c>
      <c r="N1576" t="s">
        <v>79</v>
      </c>
      <c r="O1576" t="s">
        <v>74</v>
      </c>
      <c r="P1576" t="s">
        <v>74</v>
      </c>
      <c r="Q1576" t="s">
        <v>74</v>
      </c>
      <c r="R1576" t="s">
        <v>74</v>
      </c>
      <c r="S1576" t="s">
        <v>74</v>
      </c>
      <c r="T1576" t="s">
        <v>74</v>
      </c>
      <c r="U1576" t="s">
        <v>15242</v>
      </c>
      <c r="V1576" t="s">
        <v>15241</v>
      </c>
      <c r="W1576" t="s">
        <v>15240</v>
      </c>
      <c r="X1576" t="s">
        <v>14516</v>
      </c>
      <c r="Y1576" t="s">
        <v>15239</v>
      </c>
      <c r="Z1576" t="s">
        <v>74</v>
      </c>
      <c r="AA1576" t="s">
        <v>15238</v>
      </c>
      <c r="AB1576" t="s">
        <v>15237</v>
      </c>
      <c r="AC1576" t="s">
        <v>74</v>
      </c>
      <c r="AD1576" t="s">
        <v>74</v>
      </c>
      <c r="AE1576" t="s">
        <v>74</v>
      </c>
      <c r="AF1576" t="s">
        <v>74</v>
      </c>
      <c r="AG1576">
        <v>20</v>
      </c>
      <c r="AH1576">
        <v>1034</v>
      </c>
      <c r="AI1576">
        <v>1109</v>
      </c>
      <c r="AJ1576">
        <v>1</v>
      </c>
      <c r="AK1576">
        <v>24</v>
      </c>
      <c r="AL1576" t="s">
        <v>991</v>
      </c>
      <c r="AM1576" t="s">
        <v>486</v>
      </c>
      <c r="AN1576" t="s">
        <v>8530</v>
      </c>
      <c r="AO1576" t="s">
        <v>9073</v>
      </c>
      <c r="AP1576" t="s">
        <v>74</v>
      </c>
      <c r="AQ1576" t="s">
        <v>74</v>
      </c>
      <c r="AR1576" t="s">
        <v>9075</v>
      </c>
      <c r="AS1576" t="s">
        <v>9076</v>
      </c>
      <c r="AT1576" t="s">
        <v>15236</v>
      </c>
      <c r="AU1576">
        <v>2002</v>
      </c>
      <c r="AV1576">
        <v>40</v>
      </c>
      <c r="AW1576">
        <v>4</v>
      </c>
      <c r="AX1576" t="s">
        <v>74</v>
      </c>
      <c r="AY1576" t="s">
        <v>74</v>
      </c>
      <c r="AZ1576" t="s">
        <v>74</v>
      </c>
      <c r="BA1576" t="s">
        <v>74</v>
      </c>
      <c r="BB1576">
        <v>780</v>
      </c>
      <c r="BC1576">
        <v>788</v>
      </c>
      <c r="BD1576" t="s">
        <v>15235</v>
      </c>
      <c r="BE1576" t="s">
        <v>15234</v>
      </c>
      <c r="BF1576" t="str">
        <f>HYPERLINK("http://dx.doi.org/10.1016/S0735-1097(02)02012-0","http://dx.doi.org/10.1016/S0735-1097(02)02012-0")</f>
        <v>http://dx.doi.org/10.1016/S0735-1097(02)02012-0</v>
      </c>
      <c r="BG1576" t="s">
        <v>74</v>
      </c>
      <c r="BH1576" t="s">
        <v>74</v>
      </c>
      <c r="BI1576">
        <v>9</v>
      </c>
      <c r="BJ1576" t="s">
        <v>132</v>
      </c>
      <c r="BK1576" t="s">
        <v>101</v>
      </c>
      <c r="BL1576" t="s">
        <v>133</v>
      </c>
      <c r="BM1576" t="s">
        <v>15233</v>
      </c>
      <c r="BN1576">
        <v>12204511</v>
      </c>
      <c r="BO1576" t="s">
        <v>74</v>
      </c>
      <c r="BP1576" t="s">
        <v>74</v>
      </c>
      <c r="BQ1576" t="s">
        <v>74</v>
      </c>
      <c r="BR1576" t="s">
        <v>104</v>
      </c>
      <c r="BS1576" t="s">
        <v>15232</v>
      </c>
      <c r="BT1576" t="str">
        <f>HYPERLINK("https%3A%2F%2Fwww.webofscience.com%2Fwos%2Fwoscc%2Ffull-record%2FWOS:000177474000025","View Full Record in Web of Science")</f>
        <v>View Full Record in Web of Science</v>
      </c>
    </row>
    <row r="1577" spans="1:72" x14ac:dyDescent="0.25">
      <c r="A1577" t="s">
        <v>72</v>
      </c>
      <c r="B1577" t="s">
        <v>15231</v>
      </c>
      <c r="C1577" t="s">
        <v>74</v>
      </c>
      <c r="D1577" t="s">
        <v>74</v>
      </c>
      <c r="E1577" t="s">
        <v>74</v>
      </c>
      <c r="F1577" t="s">
        <v>15231</v>
      </c>
      <c r="G1577" t="s">
        <v>74</v>
      </c>
      <c r="H1577" t="s">
        <v>74</v>
      </c>
      <c r="I1577" t="s">
        <v>15230</v>
      </c>
      <c r="J1577" t="s">
        <v>637</v>
      </c>
      <c r="K1577" t="s">
        <v>74</v>
      </c>
      <c r="L1577" t="s">
        <v>74</v>
      </c>
      <c r="M1577" t="s">
        <v>78</v>
      </c>
      <c r="N1577" t="s">
        <v>79</v>
      </c>
      <c r="O1577" t="s">
        <v>74</v>
      </c>
      <c r="P1577" t="s">
        <v>74</v>
      </c>
      <c r="Q1577" t="s">
        <v>74</v>
      </c>
      <c r="R1577" t="s">
        <v>74</v>
      </c>
      <c r="S1577" t="s">
        <v>74</v>
      </c>
      <c r="T1577" t="s">
        <v>15229</v>
      </c>
      <c r="U1577" t="s">
        <v>15228</v>
      </c>
      <c r="V1577" t="s">
        <v>15227</v>
      </c>
      <c r="W1577" t="s">
        <v>15226</v>
      </c>
      <c r="X1577" t="s">
        <v>15225</v>
      </c>
      <c r="Y1577" t="s">
        <v>74</v>
      </c>
      <c r="Z1577" t="s">
        <v>15038</v>
      </c>
      <c r="AA1577" t="s">
        <v>15224</v>
      </c>
      <c r="AB1577" t="s">
        <v>15223</v>
      </c>
      <c r="AC1577" t="s">
        <v>74</v>
      </c>
      <c r="AD1577" t="s">
        <v>74</v>
      </c>
      <c r="AE1577" t="s">
        <v>74</v>
      </c>
      <c r="AF1577" t="s">
        <v>74</v>
      </c>
      <c r="AG1577">
        <v>25</v>
      </c>
      <c r="AH1577">
        <v>138</v>
      </c>
      <c r="AI1577">
        <v>148</v>
      </c>
      <c r="AJ1577">
        <v>0</v>
      </c>
      <c r="AK1577">
        <v>1</v>
      </c>
      <c r="AL1577" t="s">
        <v>649</v>
      </c>
      <c r="AM1577" t="s">
        <v>486</v>
      </c>
      <c r="AN1577" t="s">
        <v>650</v>
      </c>
      <c r="AO1577" t="s">
        <v>651</v>
      </c>
      <c r="AP1577" t="s">
        <v>652</v>
      </c>
      <c r="AQ1577" t="s">
        <v>74</v>
      </c>
      <c r="AR1577" t="s">
        <v>653</v>
      </c>
      <c r="AS1577" t="s">
        <v>654</v>
      </c>
      <c r="AT1577" t="s">
        <v>6124</v>
      </c>
      <c r="AU1577">
        <v>2002</v>
      </c>
      <c r="AV1577">
        <v>166</v>
      </c>
      <c r="AW1577">
        <v>4</v>
      </c>
      <c r="AX1577" t="s">
        <v>74</v>
      </c>
      <c r="AY1577" t="s">
        <v>74</v>
      </c>
      <c r="AZ1577" t="s">
        <v>74</v>
      </c>
      <c r="BA1577" t="s">
        <v>74</v>
      </c>
      <c r="BB1577">
        <v>514</v>
      </c>
      <c r="BC1577" t="s">
        <v>3083</v>
      </c>
      <c r="BD1577" t="s">
        <v>74</v>
      </c>
      <c r="BE1577" t="s">
        <v>15222</v>
      </c>
      <c r="BF1577" t="str">
        <f>HYPERLINK("http://dx.doi.org/10.1164/rccm.200201-027OC","http://dx.doi.org/10.1164/rccm.200201-027OC")</f>
        <v>http://dx.doi.org/10.1164/rccm.200201-027OC</v>
      </c>
      <c r="BG1577" t="s">
        <v>74</v>
      </c>
      <c r="BH1577" t="s">
        <v>74</v>
      </c>
      <c r="BI1577">
        <v>5</v>
      </c>
      <c r="BJ1577" t="s">
        <v>341</v>
      </c>
      <c r="BK1577" t="s">
        <v>101</v>
      </c>
      <c r="BL1577" t="s">
        <v>342</v>
      </c>
      <c r="BM1577" t="s">
        <v>15221</v>
      </c>
      <c r="BN1577">
        <v>12186830</v>
      </c>
      <c r="BO1577" t="s">
        <v>74</v>
      </c>
      <c r="BP1577" t="s">
        <v>74</v>
      </c>
      <c r="BQ1577" t="s">
        <v>74</v>
      </c>
      <c r="BR1577" t="s">
        <v>104</v>
      </c>
      <c r="BS1577" t="s">
        <v>15220</v>
      </c>
      <c r="BT1577" t="str">
        <f>HYPERLINK("https%3A%2F%2Fwww.webofscience.com%2Fwos%2Fwoscc%2Ffull-record%2FWOS:000177446700018","View Full Record in Web of Science")</f>
        <v>View Full Record in Web of Science</v>
      </c>
    </row>
    <row r="1578" spans="1:72" x14ac:dyDescent="0.25">
      <c r="A1578" t="s">
        <v>72</v>
      </c>
      <c r="B1578" t="s">
        <v>15219</v>
      </c>
      <c r="C1578" t="s">
        <v>74</v>
      </c>
      <c r="D1578" t="s">
        <v>74</v>
      </c>
      <c r="E1578" t="s">
        <v>74</v>
      </c>
      <c r="F1578" t="s">
        <v>15219</v>
      </c>
      <c r="G1578" t="s">
        <v>74</v>
      </c>
      <c r="H1578" t="s">
        <v>74</v>
      </c>
      <c r="I1578" t="s">
        <v>15218</v>
      </c>
      <c r="J1578" t="s">
        <v>216</v>
      </c>
      <c r="K1578" t="s">
        <v>74</v>
      </c>
      <c r="L1578" t="s">
        <v>74</v>
      </c>
      <c r="M1578" t="s">
        <v>78</v>
      </c>
      <c r="N1578" t="s">
        <v>79</v>
      </c>
      <c r="O1578" t="s">
        <v>74</v>
      </c>
      <c r="P1578" t="s">
        <v>74</v>
      </c>
      <c r="Q1578" t="s">
        <v>74</v>
      </c>
      <c r="R1578" t="s">
        <v>74</v>
      </c>
      <c r="S1578" t="s">
        <v>74</v>
      </c>
      <c r="T1578" t="s">
        <v>15217</v>
      </c>
      <c r="U1578" t="s">
        <v>15216</v>
      </c>
      <c r="V1578" t="s">
        <v>15215</v>
      </c>
      <c r="W1578" t="s">
        <v>15214</v>
      </c>
      <c r="X1578" t="s">
        <v>15213</v>
      </c>
      <c r="Y1578" t="s">
        <v>15212</v>
      </c>
      <c r="Z1578" t="s">
        <v>15027</v>
      </c>
      <c r="AA1578" t="s">
        <v>15211</v>
      </c>
      <c r="AB1578" t="s">
        <v>15210</v>
      </c>
      <c r="AC1578" t="s">
        <v>74</v>
      </c>
      <c r="AD1578" t="s">
        <v>74</v>
      </c>
      <c r="AE1578" t="s">
        <v>74</v>
      </c>
      <c r="AF1578" t="s">
        <v>74</v>
      </c>
      <c r="AG1578">
        <v>31</v>
      </c>
      <c r="AH1578">
        <v>34</v>
      </c>
      <c r="AI1578">
        <v>40</v>
      </c>
      <c r="AJ1578">
        <v>0</v>
      </c>
      <c r="AK1578">
        <v>5</v>
      </c>
      <c r="AL1578" t="s">
        <v>219</v>
      </c>
      <c r="AM1578" t="s">
        <v>220</v>
      </c>
      <c r="AN1578" t="s">
        <v>221</v>
      </c>
      <c r="AO1578" t="s">
        <v>222</v>
      </c>
      <c r="AP1578" t="s">
        <v>223</v>
      </c>
      <c r="AQ1578" t="s">
        <v>74</v>
      </c>
      <c r="AR1578" t="s">
        <v>224</v>
      </c>
      <c r="AS1578" t="s">
        <v>225</v>
      </c>
      <c r="AT1578" t="s">
        <v>785</v>
      </c>
      <c r="AU1578">
        <v>2002</v>
      </c>
      <c r="AV1578">
        <v>20</v>
      </c>
      <c r="AW1578">
        <v>1</v>
      </c>
      <c r="AX1578" t="s">
        <v>74</v>
      </c>
      <c r="AY1578" t="s">
        <v>74</v>
      </c>
      <c r="AZ1578" t="s">
        <v>74</v>
      </c>
      <c r="BA1578" t="s">
        <v>74</v>
      </c>
      <c r="BB1578">
        <v>59</v>
      </c>
      <c r="BC1578">
        <v>65</v>
      </c>
      <c r="BD1578" t="s">
        <v>74</v>
      </c>
      <c r="BE1578" t="s">
        <v>15209</v>
      </c>
      <c r="BF1578" t="str">
        <f>HYPERLINK("http://dx.doi.org/10.1183/09031936.02.00258702","http://dx.doi.org/10.1183/09031936.02.00258702")</f>
        <v>http://dx.doi.org/10.1183/09031936.02.00258702</v>
      </c>
      <c r="BG1578" t="s">
        <v>74</v>
      </c>
      <c r="BH1578" t="s">
        <v>74</v>
      </c>
      <c r="BI1578">
        <v>7</v>
      </c>
      <c r="BJ1578" t="s">
        <v>228</v>
      </c>
      <c r="BK1578" t="s">
        <v>101</v>
      </c>
      <c r="BL1578" t="s">
        <v>228</v>
      </c>
      <c r="BM1578" t="s">
        <v>15208</v>
      </c>
      <c r="BN1578">
        <v>12166582</v>
      </c>
      <c r="BO1578" t="s">
        <v>1194</v>
      </c>
      <c r="BP1578" t="s">
        <v>74</v>
      </c>
      <c r="BQ1578" t="s">
        <v>74</v>
      </c>
      <c r="BR1578" t="s">
        <v>104</v>
      </c>
      <c r="BS1578" t="s">
        <v>15207</v>
      </c>
      <c r="BT1578" t="str">
        <f>HYPERLINK("https%3A%2F%2Fwww.webofscience.com%2Fwos%2Fwoscc%2Ffull-record%2FWOS:000177188600010","View Full Record in Web of Science")</f>
        <v>View Full Record in Web of Science</v>
      </c>
    </row>
    <row r="1579" spans="1:72" x14ac:dyDescent="0.25">
      <c r="A1579" t="s">
        <v>72</v>
      </c>
      <c r="B1579" t="s">
        <v>15206</v>
      </c>
      <c r="C1579" t="s">
        <v>74</v>
      </c>
      <c r="D1579" t="s">
        <v>74</v>
      </c>
      <c r="E1579" t="s">
        <v>74</v>
      </c>
      <c r="F1579" t="s">
        <v>15206</v>
      </c>
      <c r="G1579" t="s">
        <v>74</v>
      </c>
      <c r="H1579" t="s">
        <v>74</v>
      </c>
      <c r="I1579" t="s">
        <v>15205</v>
      </c>
      <c r="J1579" t="s">
        <v>15204</v>
      </c>
      <c r="K1579" t="s">
        <v>74</v>
      </c>
      <c r="L1579" t="s">
        <v>74</v>
      </c>
      <c r="M1579" t="s">
        <v>78</v>
      </c>
      <c r="N1579" t="s">
        <v>79</v>
      </c>
      <c r="O1579" t="s">
        <v>74</v>
      </c>
      <c r="P1579" t="s">
        <v>74</v>
      </c>
      <c r="Q1579" t="s">
        <v>74</v>
      </c>
      <c r="R1579" t="s">
        <v>74</v>
      </c>
      <c r="S1579" t="s">
        <v>74</v>
      </c>
      <c r="T1579" t="s">
        <v>15203</v>
      </c>
      <c r="U1579" t="s">
        <v>15202</v>
      </c>
      <c r="V1579" t="s">
        <v>15201</v>
      </c>
      <c r="W1579" t="s">
        <v>15200</v>
      </c>
      <c r="X1579" t="s">
        <v>15199</v>
      </c>
      <c r="Y1579" t="s">
        <v>74</v>
      </c>
      <c r="Z1579" t="s">
        <v>15198</v>
      </c>
      <c r="AA1579" t="s">
        <v>15197</v>
      </c>
      <c r="AB1579" t="s">
        <v>15196</v>
      </c>
      <c r="AC1579" t="s">
        <v>74</v>
      </c>
      <c r="AD1579" t="s">
        <v>74</v>
      </c>
      <c r="AE1579" t="s">
        <v>74</v>
      </c>
      <c r="AF1579" t="s">
        <v>74</v>
      </c>
      <c r="AG1579">
        <v>29</v>
      </c>
      <c r="AH1579">
        <v>10</v>
      </c>
      <c r="AI1579">
        <v>11</v>
      </c>
      <c r="AJ1579">
        <v>0</v>
      </c>
      <c r="AK1579">
        <v>0</v>
      </c>
      <c r="AL1579" t="s">
        <v>122</v>
      </c>
      <c r="AM1579" t="s">
        <v>123</v>
      </c>
      <c r="AN1579" t="s">
        <v>124</v>
      </c>
      <c r="AO1579" t="s">
        <v>15195</v>
      </c>
      <c r="AP1579" t="s">
        <v>15194</v>
      </c>
      <c r="AQ1579" t="s">
        <v>74</v>
      </c>
      <c r="AR1579" t="s">
        <v>15193</v>
      </c>
      <c r="AS1579" t="s">
        <v>15192</v>
      </c>
      <c r="AT1579" t="s">
        <v>785</v>
      </c>
      <c r="AU1579">
        <v>2002</v>
      </c>
      <c r="AV1579">
        <v>13</v>
      </c>
      <c r="AW1579">
        <v>5</v>
      </c>
      <c r="AX1579" t="s">
        <v>74</v>
      </c>
      <c r="AY1579" t="s">
        <v>74</v>
      </c>
      <c r="AZ1579" t="s">
        <v>74</v>
      </c>
      <c r="BA1579" t="s">
        <v>74</v>
      </c>
      <c r="BB1579">
        <v>417</v>
      </c>
      <c r="BC1579">
        <v>422</v>
      </c>
      <c r="BD1579" t="s">
        <v>74</v>
      </c>
      <c r="BE1579" t="s">
        <v>15191</v>
      </c>
      <c r="BF1579" t="str">
        <f>HYPERLINK("http://dx.doi.org/10.1097/00001721-200207000-00006","http://dx.doi.org/10.1097/00001721-200207000-00006")</f>
        <v>http://dx.doi.org/10.1097/00001721-200207000-00006</v>
      </c>
      <c r="BG1579" t="s">
        <v>74</v>
      </c>
      <c r="BH1579" t="s">
        <v>74</v>
      </c>
      <c r="BI1579">
        <v>6</v>
      </c>
      <c r="BJ1579" t="s">
        <v>318</v>
      </c>
      <c r="BK1579" t="s">
        <v>101</v>
      </c>
      <c r="BL1579" t="s">
        <v>318</v>
      </c>
      <c r="BM1579" t="s">
        <v>15190</v>
      </c>
      <c r="BN1579">
        <v>12138369</v>
      </c>
      <c r="BO1579" t="s">
        <v>74</v>
      </c>
      <c r="BP1579" t="s">
        <v>74</v>
      </c>
      <c r="BQ1579" t="s">
        <v>74</v>
      </c>
      <c r="BR1579" t="s">
        <v>104</v>
      </c>
      <c r="BS1579" t="s">
        <v>15189</v>
      </c>
      <c r="BT1579" t="str">
        <f>HYPERLINK("https%3A%2F%2Fwww.webofscience.com%2Fwos%2Fwoscc%2Ffull-record%2FWOS:000177680200006","View Full Record in Web of Science")</f>
        <v>View Full Record in Web of Science</v>
      </c>
    </row>
    <row r="1580" spans="1:72" x14ac:dyDescent="0.25">
      <c r="A1580" t="s">
        <v>72</v>
      </c>
      <c r="B1580" t="s">
        <v>15188</v>
      </c>
      <c r="C1580" t="s">
        <v>74</v>
      </c>
      <c r="D1580" t="s">
        <v>74</v>
      </c>
      <c r="E1580" t="s">
        <v>74</v>
      </c>
      <c r="F1580" t="s">
        <v>15188</v>
      </c>
      <c r="G1580" t="s">
        <v>74</v>
      </c>
      <c r="H1580" t="s">
        <v>74</v>
      </c>
      <c r="I1580" t="s">
        <v>15187</v>
      </c>
      <c r="J1580" t="s">
        <v>13938</v>
      </c>
      <c r="K1580" t="s">
        <v>74</v>
      </c>
      <c r="L1580" t="s">
        <v>74</v>
      </c>
      <c r="M1580" t="s">
        <v>1349</v>
      </c>
      <c r="N1580" t="s">
        <v>79</v>
      </c>
      <c r="O1580" t="s">
        <v>74</v>
      </c>
      <c r="P1580" t="s">
        <v>74</v>
      </c>
      <c r="Q1580" t="s">
        <v>74</v>
      </c>
      <c r="R1580" t="s">
        <v>74</v>
      </c>
      <c r="S1580" t="s">
        <v>74</v>
      </c>
      <c r="T1580" t="s">
        <v>15186</v>
      </c>
      <c r="U1580" t="s">
        <v>15185</v>
      </c>
      <c r="V1580" t="s">
        <v>15184</v>
      </c>
      <c r="W1580" t="s">
        <v>15183</v>
      </c>
      <c r="X1580" t="s">
        <v>14156</v>
      </c>
      <c r="Y1580" t="s">
        <v>15182</v>
      </c>
      <c r="Z1580" t="s">
        <v>15027</v>
      </c>
      <c r="AA1580" t="s">
        <v>14550</v>
      </c>
      <c r="AB1580" t="s">
        <v>15181</v>
      </c>
      <c r="AC1580" t="s">
        <v>74</v>
      </c>
      <c r="AD1580" t="s">
        <v>74</v>
      </c>
      <c r="AE1580" t="s">
        <v>74</v>
      </c>
      <c r="AF1580" t="s">
        <v>74</v>
      </c>
      <c r="AG1580">
        <v>64</v>
      </c>
      <c r="AH1580">
        <v>3</v>
      </c>
      <c r="AI1580">
        <v>3</v>
      </c>
      <c r="AJ1580">
        <v>0</v>
      </c>
      <c r="AK1580">
        <v>1</v>
      </c>
      <c r="AL1580" t="s">
        <v>1358</v>
      </c>
      <c r="AM1580" t="s">
        <v>1359</v>
      </c>
      <c r="AN1580" t="s">
        <v>1360</v>
      </c>
      <c r="AO1580" t="s">
        <v>13936</v>
      </c>
      <c r="AP1580" t="s">
        <v>74</v>
      </c>
      <c r="AQ1580" t="s">
        <v>74</v>
      </c>
      <c r="AR1580" t="s">
        <v>13935</v>
      </c>
      <c r="AS1580" t="s">
        <v>13934</v>
      </c>
      <c r="AT1580" t="s">
        <v>1060</v>
      </c>
      <c r="AU1580">
        <v>2002</v>
      </c>
      <c r="AV1580">
        <v>153</v>
      </c>
      <c r="AW1580">
        <v>4</v>
      </c>
      <c r="AX1580" t="s">
        <v>74</v>
      </c>
      <c r="AY1580" t="s">
        <v>74</v>
      </c>
      <c r="AZ1580" t="s">
        <v>74</v>
      </c>
      <c r="BA1580" t="s">
        <v>74</v>
      </c>
      <c r="BB1580">
        <v>250</v>
      </c>
      <c r="BC1580">
        <v>259</v>
      </c>
      <c r="BD1580" t="s">
        <v>74</v>
      </c>
      <c r="BE1580" t="s">
        <v>74</v>
      </c>
      <c r="BF1580" t="s">
        <v>74</v>
      </c>
      <c r="BG1580" t="s">
        <v>74</v>
      </c>
      <c r="BH1580" t="s">
        <v>74</v>
      </c>
      <c r="BI1580">
        <v>10</v>
      </c>
      <c r="BJ1580" t="s">
        <v>1152</v>
      </c>
      <c r="BK1580" t="s">
        <v>101</v>
      </c>
      <c r="BL1580" t="s">
        <v>1153</v>
      </c>
      <c r="BM1580" t="s">
        <v>15180</v>
      </c>
      <c r="BN1580">
        <v>12218891</v>
      </c>
      <c r="BO1580" t="s">
        <v>74</v>
      </c>
      <c r="BP1580" t="s">
        <v>74</v>
      </c>
      <c r="BQ1580" t="s">
        <v>74</v>
      </c>
      <c r="BR1580" t="s">
        <v>104</v>
      </c>
      <c r="BS1580" t="s">
        <v>15179</v>
      </c>
      <c r="BT1580" t="str">
        <f>HYPERLINK("https%3A%2F%2Fwww.webofscience.com%2Fwos%2Fwoscc%2Ffull-record%2FWOS:000177628600005","View Full Record in Web of Science")</f>
        <v>View Full Record in Web of Science</v>
      </c>
    </row>
    <row r="1581" spans="1:72" x14ac:dyDescent="0.25">
      <c r="A1581" t="s">
        <v>72</v>
      </c>
      <c r="B1581" t="s">
        <v>15178</v>
      </c>
      <c r="C1581" t="s">
        <v>74</v>
      </c>
      <c r="D1581" t="s">
        <v>74</v>
      </c>
      <c r="E1581" t="s">
        <v>74</v>
      </c>
      <c r="F1581" t="s">
        <v>15178</v>
      </c>
      <c r="G1581" t="s">
        <v>74</v>
      </c>
      <c r="H1581" t="s">
        <v>74</v>
      </c>
      <c r="I1581" t="s">
        <v>15177</v>
      </c>
      <c r="J1581" t="s">
        <v>637</v>
      </c>
      <c r="K1581" t="s">
        <v>74</v>
      </c>
      <c r="L1581" t="s">
        <v>74</v>
      </c>
      <c r="M1581" t="s">
        <v>78</v>
      </c>
      <c r="N1581" t="s">
        <v>79</v>
      </c>
      <c r="O1581" t="s">
        <v>74</v>
      </c>
      <c r="P1581" t="s">
        <v>74</v>
      </c>
      <c r="Q1581" t="s">
        <v>74</v>
      </c>
      <c r="R1581" t="s">
        <v>74</v>
      </c>
      <c r="S1581" t="s">
        <v>74</v>
      </c>
      <c r="T1581" t="s">
        <v>15176</v>
      </c>
      <c r="U1581" t="s">
        <v>15175</v>
      </c>
      <c r="V1581" t="s">
        <v>15174</v>
      </c>
      <c r="W1581" t="s">
        <v>15173</v>
      </c>
      <c r="X1581" t="s">
        <v>15172</v>
      </c>
      <c r="Y1581" t="s">
        <v>15171</v>
      </c>
      <c r="Z1581" t="s">
        <v>15027</v>
      </c>
      <c r="AA1581" t="s">
        <v>15095</v>
      </c>
      <c r="AB1581" t="s">
        <v>15170</v>
      </c>
      <c r="AC1581" t="s">
        <v>74</v>
      </c>
      <c r="AD1581" t="s">
        <v>74</v>
      </c>
      <c r="AE1581" t="s">
        <v>74</v>
      </c>
      <c r="AF1581" t="s">
        <v>74</v>
      </c>
      <c r="AG1581">
        <v>54</v>
      </c>
      <c r="AH1581">
        <v>218</v>
      </c>
      <c r="AI1581">
        <v>260</v>
      </c>
      <c r="AJ1581">
        <v>0</v>
      </c>
      <c r="AK1581">
        <v>6</v>
      </c>
      <c r="AL1581" t="s">
        <v>649</v>
      </c>
      <c r="AM1581" t="s">
        <v>486</v>
      </c>
      <c r="AN1581" t="s">
        <v>650</v>
      </c>
      <c r="AO1581" t="s">
        <v>651</v>
      </c>
      <c r="AP1581" t="s">
        <v>652</v>
      </c>
      <c r="AQ1581" t="s">
        <v>74</v>
      </c>
      <c r="AR1581" t="s">
        <v>653</v>
      </c>
      <c r="AS1581" t="s">
        <v>654</v>
      </c>
      <c r="AT1581" t="s">
        <v>8773</v>
      </c>
      <c r="AU1581">
        <v>2002</v>
      </c>
      <c r="AV1581">
        <v>165</v>
      </c>
      <c r="AW1581">
        <v>10</v>
      </c>
      <c r="AX1581" t="s">
        <v>74</v>
      </c>
      <c r="AY1581" t="s">
        <v>74</v>
      </c>
      <c r="AZ1581" t="s">
        <v>74</v>
      </c>
      <c r="BA1581" t="s">
        <v>74</v>
      </c>
      <c r="BB1581">
        <v>1419</v>
      </c>
      <c r="BC1581">
        <v>1425</v>
      </c>
      <c r="BD1581" t="s">
        <v>74</v>
      </c>
      <c r="BE1581" t="s">
        <v>15169</v>
      </c>
      <c r="BF1581" t="str">
        <f>HYPERLINK("http://dx.doi.org/10.1164/rccm.2106007","http://dx.doi.org/10.1164/rccm.2106007")</f>
        <v>http://dx.doi.org/10.1164/rccm.2106007</v>
      </c>
      <c r="BG1581" t="s">
        <v>74</v>
      </c>
      <c r="BH1581" t="s">
        <v>74</v>
      </c>
      <c r="BI1581">
        <v>7</v>
      </c>
      <c r="BJ1581" t="s">
        <v>341</v>
      </c>
      <c r="BK1581" t="s">
        <v>101</v>
      </c>
      <c r="BL1581" t="s">
        <v>342</v>
      </c>
      <c r="BM1581" t="s">
        <v>15168</v>
      </c>
      <c r="BN1581">
        <v>12016106</v>
      </c>
      <c r="BO1581" t="s">
        <v>74</v>
      </c>
      <c r="BP1581" t="s">
        <v>74</v>
      </c>
      <c r="BQ1581" t="s">
        <v>74</v>
      </c>
      <c r="BR1581" t="s">
        <v>104</v>
      </c>
      <c r="BS1581" t="s">
        <v>15167</v>
      </c>
      <c r="BT1581" t="str">
        <f>HYPERLINK("https%3A%2F%2Fwww.webofscience.com%2Fwos%2Fwoscc%2Ffull-record%2FWOS:000175661600015","View Full Record in Web of Science")</f>
        <v>View Full Record in Web of Science</v>
      </c>
    </row>
    <row r="1582" spans="1:72" x14ac:dyDescent="0.25">
      <c r="A1582" t="s">
        <v>72</v>
      </c>
      <c r="B1582" t="s">
        <v>15166</v>
      </c>
      <c r="C1582" t="s">
        <v>74</v>
      </c>
      <c r="D1582" t="s">
        <v>74</v>
      </c>
      <c r="E1582" t="s">
        <v>74</v>
      </c>
      <c r="F1582" t="s">
        <v>15166</v>
      </c>
      <c r="G1582" t="s">
        <v>74</v>
      </c>
      <c r="H1582" t="s">
        <v>15165</v>
      </c>
      <c r="I1582" t="s">
        <v>15164</v>
      </c>
      <c r="J1582" t="s">
        <v>9067</v>
      </c>
      <c r="K1582" t="s">
        <v>74</v>
      </c>
      <c r="L1582" t="s">
        <v>74</v>
      </c>
      <c r="M1582" t="s">
        <v>78</v>
      </c>
      <c r="N1582" t="s">
        <v>79</v>
      </c>
      <c r="O1582" t="s">
        <v>74</v>
      </c>
      <c r="P1582" t="s">
        <v>74</v>
      </c>
      <c r="Q1582" t="s">
        <v>74</v>
      </c>
      <c r="R1582" t="s">
        <v>74</v>
      </c>
      <c r="S1582" t="s">
        <v>74</v>
      </c>
      <c r="T1582" t="s">
        <v>74</v>
      </c>
      <c r="U1582" t="s">
        <v>15163</v>
      </c>
      <c r="V1582" t="s">
        <v>15162</v>
      </c>
      <c r="W1582" t="s">
        <v>15161</v>
      </c>
      <c r="X1582" t="s">
        <v>15160</v>
      </c>
      <c r="Y1582" t="s">
        <v>15159</v>
      </c>
      <c r="Z1582" t="s">
        <v>74</v>
      </c>
      <c r="AA1582" t="s">
        <v>15158</v>
      </c>
      <c r="AB1582" t="s">
        <v>15157</v>
      </c>
      <c r="AC1582" t="s">
        <v>74</v>
      </c>
      <c r="AD1582" t="s">
        <v>74</v>
      </c>
      <c r="AE1582" t="s">
        <v>74</v>
      </c>
      <c r="AF1582" t="s">
        <v>74</v>
      </c>
      <c r="AG1582">
        <v>29</v>
      </c>
      <c r="AH1582">
        <v>514</v>
      </c>
      <c r="AI1582">
        <v>562</v>
      </c>
      <c r="AJ1582">
        <v>2</v>
      </c>
      <c r="AK1582">
        <v>22</v>
      </c>
      <c r="AL1582" t="s">
        <v>991</v>
      </c>
      <c r="AM1582" t="s">
        <v>486</v>
      </c>
      <c r="AN1582" t="s">
        <v>8530</v>
      </c>
      <c r="AO1582" t="s">
        <v>9073</v>
      </c>
      <c r="AP1582" t="s">
        <v>74</v>
      </c>
      <c r="AQ1582" t="s">
        <v>74</v>
      </c>
      <c r="AR1582" t="s">
        <v>9075</v>
      </c>
      <c r="AS1582" t="s">
        <v>9076</v>
      </c>
      <c r="AT1582" t="s">
        <v>960</v>
      </c>
      <c r="AU1582">
        <v>2002</v>
      </c>
      <c r="AV1582">
        <v>39</v>
      </c>
      <c r="AW1582">
        <v>9</v>
      </c>
      <c r="AX1582" t="s">
        <v>74</v>
      </c>
      <c r="AY1582" t="s">
        <v>74</v>
      </c>
      <c r="AZ1582" t="s">
        <v>74</v>
      </c>
      <c r="BA1582" t="s">
        <v>74</v>
      </c>
      <c r="BB1582">
        <v>1496</v>
      </c>
      <c r="BC1582">
        <v>1502</v>
      </c>
      <c r="BD1582" t="s">
        <v>15156</v>
      </c>
      <c r="BE1582" t="s">
        <v>15155</v>
      </c>
      <c r="BF1582" t="str">
        <f>HYPERLINK("http://dx.doi.org/10.1016/S0735-1097(02)01786-2","http://dx.doi.org/10.1016/S0735-1097(02)01786-2")</f>
        <v>http://dx.doi.org/10.1016/S0735-1097(02)01786-2</v>
      </c>
      <c r="BG1582" t="s">
        <v>74</v>
      </c>
      <c r="BH1582" t="s">
        <v>74</v>
      </c>
      <c r="BI1582">
        <v>7</v>
      </c>
      <c r="BJ1582" t="s">
        <v>132</v>
      </c>
      <c r="BK1582" t="s">
        <v>101</v>
      </c>
      <c r="BL1582" t="s">
        <v>133</v>
      </c>
      <c r="BM1582" t="s">
        <v>15154</v>
      </c>
      <c r="BN1582">
        <v>11985913</v>
      </c>
      <c r="BO1582" t="s">
        <v>74</v>
      </c>
      <c r="BP1582" t="s">
        <v>74</v>
      </c>
      <c r="BQ1582" t="s">
        <v>74</v>
      </c>
      <c r="BR1582" t="s">
        <v>104</v>
      </c>
      <c r="BS1582" t="s">
        <v>15153</v>
      </c>
      <c r="BT1582" t="str">
        <f>HYPERLINK("https%3A%2F%2Fwww.webofscience.com%2Fwos%2Fwoscc%2Ffull-record%2FWOS:000175227200014","View Full Record in Web of Science")</f>
        <v>View Full Record in Web of Science</v>
      </c>
    </row>
    <row r="1583" spans="1:72" x14ac:dyDescent="0.25">
      <c r="A1583" t="s">
        <v>72</v>
      </c>
      <c r="B1583" t="s">
        <v>15152</v>
      </c>
      <c r="C1583" t="s">
        <v>74</v>
      </c>
      <c r="D1583" t="s">
        <v>74</v>
      </c>
      <c r="E1583" t="s">
        <v>74</v>
      </c>
      <c r="F1583" t="s">
        <v>15152</v>
      </c>
      <c r="G1583" t="s">
        <v>74</v>
      </c>
      <c r="H1583" t="s">
        <v>74</v>
      </c>
      <c r="I1583" t="s">
        <v>15151</v>
      </c>
      <c r="J1583" t="s">
        <v>2105</v>
      </c>
      <c r="K1583" t="s">
        <v>74</v>
      </c>
      <c r="L1583" t="s">
        <v>74</v>
      </c>
      <c r="M1583" t="s">
        <v>1349</v>
      </c>
      <c r="N1583" t="s">
        <v>15150</v>
      </c>
      <c r="O1583" t="s">
        <v>74</v>
      </c>
      <c r="P1583" t="s">
        <v>74</v>
      </c>
      <c r="Q1583" t="s">
        <v>74</v>
      </c>
      <c r="R1583" t="s">
        <v>74</v>
      </c>
      <c r="S1583" t="s">
        <v>74</v>
      </c>
      <c r="T1583" t="s">
        <v>74</v>
      </c>
      <c r="U1583" t="s">
        <v>15149</v>
      </c>
      <c r="V1583" t="s">
        <v>74</v>
      </c>
      <c r="W1583" t="s">
        <v>15148</v>
      </c>
      <c r="X1583" t="s">
        <v>15147</v>
      </c>
      <c r="Y1583" t="s">
        <v>15146</v>
      </c>
      <c r="Z1583" t="s">
        <v>15145</v>
      </c>
      <c r="AA1583" t="s">
        <v>144</v>
      </c>
      <c r="AB1583" t="s">
        <v>74</v>
      </c>
      <c r="AC1583" t="s">
        <v>74</v>
      </c>
      <c r="AD1583" t="s">
        <v>74</v>
      </c>
      <c r="AE1583" t="s">
        <v>74</v>
      </c>
      <c r="AF1583" t="s">
        <v>74</v>
      </c>
      <c r="AG1583">
        <v>7</v>
      </c>
      <c r="AH1583">
        <v>0</v>
      </c>
      <c r="AI1583">
        <v>0</v>
      </c>
      <c r="AJ1583">
        <v>0</v>
      </c>
      <c r="AK1583">
        <v>0</v>
      </c>
      <c r="AL1583" t="s">
        <v>2113</v>
      </c>
      <c r="AM1583" t="s">
        <v>2114</v>
      </c>
      <c r="AN1583" t="s">
        <v>2115</v>
      </c>
      <c r="AO1583" t="s">
        <v>2116</v>
      </c>
      <c r="AP1583" t="s">
        <v>74</v>
      </c>
      <c r="AQ1583" t="s">
        <v>74</v>
      </c>
      <c r="AR1583" t="s">
        <v>2118</v>
      </c>
      <c r="AS1583" t="s">
        <v>2119</v>
      </c>
      <c r="AT1583" t="s">
        <v>997</v>
      </c>
      <c r="AU1583">
        <v>2002</v>
      </c>
      <c r="AV1583">
        <v>18</v>
      </c>
      <c r="AW1583">
        <v>4</v>
      </c>
      <c r="AX1583" t="s">
        <v>74</v>
      </c>
      <c r="AY1583" t="s">
        <v>74</v>
      </c>
      <c r="AZ1583" t="s">
        <v>74</v>
      </c>
      <c r="BA1583" t="s">
        <v>74</v>
      </c>
      <c r="BB1583">
        <v>395</v>
      </c>
      <c r="BC1583">
        <v>397</v>
      </c>
      <c r="BD1583" t="s">
        <v>74</v>
      </c>
      <c r="BE1583" t="s">
        <v>15144</v>
      </c>
      <c r="BF1583" t="str">
        <f>HYPERLINK("http://dx.doi.org/10.1051/medsci/2002184395","http://dx.doi.org/10.1051/medsci/2002184395")</f>
        <v>http://dx.doi.org/10.1051/medsci/2002184395</v>
      </c>
      <c r="BG1583" t="s">
        <v>74</v>
      </c>
      <c r="BH1583" t="s">
        <v>74</v>
      </c>
      <c r="BI1583">
        <v>3</v>
      </c>
      <c r="BJ1583" t="s">
        <v>2122</v>
      </c>
      <c r="BK1583" t="s">
        <v>101</v>
      </c>
      <c r="BL1583" t="s">
        <v>2123</v>
      </c>
      <c r="BM1583" t="s">
        <v>15143</v>
      </c>
      <c r="BN1583" t="s">
        <v>74</v>
      </c>
      <c r="BO1583" t="s">
        <v>2854</v>
      </c>
      <c r="BP1583" t="s">
        <v>74</v>
      </c>
      <c r="BQ1583" t="s">
        <v>74</v>
      </c>
      <c r="BR1583" t="s">
        <v>104</v>
      </c>
      <c r="BS1583" t="s">
        <v>15142</v>
      </c>
      <c r="BT1583" t="str">
        <f>HYPERLINK("https%3A%2F%2Fwww.webofscience.com%2Fwos%2Fwoscc%2Ffull-record%2FWOS:000175445800004","View Full Record in Web of Science")</f>
        <v>View Full Record in Web of Science</v>
      </c>
    </row>
    <row r="1584" spans="1:72" x14ac:dyDescent="0.25">
      <c r="A1584" t="s">
        <v>72</v>
      </c>
      <c r="B1584" t="s">
        <v>14526</v>
      </c>
      <c r="C1584" t="s">
        <v>74</v>
      </c>
      <c r="D1584" t="s">
        <v>74</v>
      </c>
      <c r="E1584" t="s">
        <v>74</v>
      </c>
      <c r="F1584" t="s">
        <v>14526</v>
      </c>
      <c r="G1584" t="s">
        <v>74</v>
      </c>
      <c r="H1584" t="s">
        <v>74</v>
      </c>
      <c r="I1584" t="s">
        <v>15141</v>
      </c>
      <c r="J1584" t="s">
        <v>14510</v>
      </c>
      <c r="K1584" t="s">
        <v>74</v>
      </c>
      <c r="L1584" t="s">
        <v>74</v>
      </c>
      <c r="M1584" t="s">
        <v>1349</v>
      </c>
      <c r="N1584" t="s">
        <v>8016</v>
      </c>
      <c r="O1584" t="s">
        <v>15140</v>
      </c>
      <c r="P1584" t="s">
        <v>15139</v>
      </c>
      <c r="Q1584" t="s">
        <v>15138</v>
      </c>
      <c r="R1584" t="s">
        <v>15137</v>
      </c>
      <c r="S1584" t="s">
        <v>74</v>
      </c>
      <c r="T1584" t="s">
        <v>15136</v>
      </c>
      <c r="U1584" t="s">
        <v>15135</v>
      </c>
      <c r="V1584" t="s">
        <v>15134</v>
      </c>
      <c r="W1584" t="s">
        <v>15133</v>
      </c>
      <c r="X1584" t="s">
        <v>14590</v>
      </c>
      <c r="Y1584" t="s">
        <v>15132</v>
      </c>
      <c r="Z1584" t="s">
        <v>74</v>
      </c>
      <c r="AA1584" t="s">
        <v>144</v>
      </c>
      <c r="AB1584" t="s">
        <v>257</v>
      </c>
      <c r="AC1584" t="s">
        <v>74</v>
      </c>
      <c r="AD1584" t="s">
        <v>74</v>
      </c>
      <c r="AE1584" t="s">
        <v>74</v>
      </c>
      <c r="AF1584" t="s">
        <v>74</v>
      </c>
      <c r="AG1584">
        <v>50</v>
      </c>
      <c r="AH1584">
        <v>0</v>
      </c>
      <c r="AI1584">
        <v>0</v>
      </c>
      <c r="AJ1584">
        <v>0</v>
      </c>
      <c r="AK1584">
        <v>0</v>
      </c>
      <c r="AL1584" t="s">
        <v>14964</v>
      </c>
      <c r="AM1584" t="s">
        <v>14963</v>
      </c>
      <c r="AN1584" t="s">
        <v>14962</v>
      </c>
      <c r="AO1584" t="s">
        <v>14502</v>
      </c>
      <c r="AP1584" t="s">
        <v>74</v>
      </c>
      <c r="AQ1584" t="s">
        <v>74</v>
      </c>
      <c r="AR1584" t="s">
        <v>14501</v>
      </c>
      <c r="AS1584" t="s">
        <v>14500</v>
      </c>
      <c r="AT1584" t="s">
        <v>997</v>
      </c>
      <c r="AU1584">
        <v>2002</v>
      </c>
      <c r="AV1584">
        <v>42</v>
      </c>
      <c r="AW1584">
        <v>3</v>
      </c>
      <c r="AX1584" t="s">
        <v>74</v>
      </c>
      <c r="AY1584" t="s">
        <v>74</v>
      </c>
      <c r="AZ1584" t="s">
        <v>74</v>
      </c>
      <c r="BA1584" t="s">
        <v>74</v>
      </c>
      <c r="BB1584">
        <v>241</v>
      </c>
      <c r="BC1584">
        <v>247</v>
      </c>
      <c r="BD1584" t="s">
        <v>74</v>
      </c>
      <c r="BE1584" t="s">
        <v>15131</v>
      </c>
      <c r="BF1584" t="str">
        <f>HYPERLINK("http://dx.doi.org/10.1016/S0335-7457(02)00144-2","http://dx.doi.org/10.1016/S0335-7457(02)00144-2")</f>
        <v>http://dx.doi.org/10.1016/S0335-7457(02)00144-2</v>
      </c>
      <c r="BG1584" t="s">
        <v>74</v>
      </c>
      <c r="BH1584" t="s">
        <v>74</v>
      </c>
      <c r="BI1584">
        <v>7</v>
      </c>
      <c r="BJ1584" t="s">
        <v>601</v>
      </c>
      <c r="BK1584" t="s">
        <v>14074</v>
      </c>
      <c r="BL1584" t="s">
        <v>601</v>
      </c>
      <c r="BM1584" t="s">
        <v>15130</v>
      </c>
      <c r="BN1584" t="s">
        <v>74</v>
      </c>
      <c r="BO1584" t="s">
        <v>74</v>
      </c>
      <c r="BP1584" t="s">
        <v>74</v>
      </c>
      <c r="BQ1584" t="s">
        <v>74</v>
      </c>
      <c r="BR1584" t="s">
        <v>104</v>
      </c>
      <c r="BS1584" t="s">
        <v>15129</v>
      </c>
      <c r="BT1584" t="str">
        <f>HYPERLINK("https%3A%2F%2Fwww.webofscience.com%2Fwos%2Fwoscc%2Ffull-record%2FWOS:000175622000004","View Full Record in Web of Science")</f>
        <v>View Full Record in Web of Science</v>
      </c>
    </row>
    <row r="1585" spans="1:72" x14ac:dyDescent="0.25">
      <c r="A1585" t="s">
        <v>72</v>
      </c>
      <c r="B1585" t="s">
        <v>15065</v>
      </c>
      <c r="C1585" t="s">
        <v>74</v>
      </c>
      <c r="D1585" t="s">
        <v>74</v>
      </c>
      <c r="E1585" t="s">
        <v>74</v>
      </c>
      <c r="F1585" t="s">
        <v>15065</v>
      </c>
      <c r="G1585" t="s">
        <v>74</v>
      </c>
      <c r="H1585" t="s">
        <v>74</v>
      </c>
      <c r="I1585" t="s">
        <v>15128</v>
      </c>
      <c r="J1585" t="s">
        <v>324</v>
      </c>
      <c r="K1585" t="s">
        <v>74</v>
      </c>
      <c r="L1585" t="s">
        <v>74</v>
      </c>
      <c r="M1585" t="s">
        <v>78</v>
      </c>
      <c r="N1585" t="s">
        <v>8016</v>
      </c>
      <c r="O1585" t="s">
        <v>15127</v>
      </c>
      <c r="P1585" t="s">
        <v>15126</v>
      </c>
      <c r="Q1585" t="s">
        <v>14580</v>
      </c>
      <c r="R1585" t="s">
        <v>74</v>
      </c>
      <c r="S1585" t="s">
        <v>74</v>
      </c>
      <c r="T1585" t="s">
        <v>74</v>
      </c>
      <c r="U1585" t="s">
        <v>74</v>
      </c>
      <c r="V1585" t="s">
        <v>74</v>
      </c>
      <c r="W1585" t="s">
        <v>15125</v>
      </c>
      <c r="X1585" t="s">
        <v>15124</v>
      </c>
      <c r="Y1585" t="s">
        <v>15123</v>
      </c>
      <c r="Z1585" t="s">
        <v>74</v>
      </c>
      <c r="AA1585" t="s">
        <v>15122</v>
      </c>
      <c r="AB1585" t="s">
        <v>15121</v>
      </c>
      <c r="AC1585" t="s">
        <v>74</v>
      </c>
      <c r="AD1585" t="s">
        <v>74</v>
      </c>
      <c r="AE1585" t="s">
        <v>74</v>
      </c>
      <c r="AF1585" t="s">
        <v>74</v>
      </c>
      <c r="AG1585">
        <v>0</v>
      </c>
      <c r="AH1585">
        <v>27</v>
      </c>
      <c r="AI1585">
        <v>30</v>
      </c>
      <c r="AJ1585">
        <v>0</v>
      </c>
      <c r="AK1585">
        <v>3</v>
      </c>
      <c r="AL1585" t="s">
        <v>11161</v>
      </c>
      <c r="AM1585" t="s">
        <v>14574</v>
      </c>
      <c r="AN1585" t="s">
        <v>14573</v>
      </c>
      <c r="AO1585" t="s">
        <v>337</v>
      </c>
      <c r="AP1585" t="s">
        <v>74</v>
      </c>
      <c r="AQ1585" t="s">
        <v>74</v>
      </c>
      <c r="AR1585" t="s">
        <v>324</v>
      </c>
      <c r="AS1585" t="s">
        <v>339</v>
      </c>
      <c r="AT1585" t="s">
        <v>98</v>
      </c>
      <c r="AU1585">
        <v>2002</v>
      </c>
      <c r="AV1585">
        <v>121</v>
      </c>
      <c r="AW1585">
        <v>3</v>
      </c>
      <c r="AX1585" t="s">
        <v>74</v>
      </c>
      <c r="AY1585" t="s">
        <v>998</v>
      </c>
      <c r="AZ1585" t="s">
        <v>74</v>
      </c>
      <c r="BA1585" t="s">
        <v>74</v>
      </c>
      <c r="BB1585" t="s">
        <v>15120</v>
      </c>
      <c r="BC1585" t="s">
        <v>15119</v>
      </c>
      <c r="BD1585" t="s">
        <v>74</v>
      </c>
      <c r="BE1585" t="s">
        <v>15118</v>
      </c>
      <c r="BF1585" t="str">
        <f>HYPERLINK("http://dx.doi.org/10.1378/chest.121.3_suppl.97S-a","http://dx.doi.org/10.1378/chest.121.3_suppl.97S-a")</f>
        <v>http://dx.doi.org/10.1378/chest.121.3_suppl.97S-a</v>
      </c>
      <c r="BG1585" t="s">
        <v>74</v>
      </c>
      <c r="BH1585" t="s">
        <v>74</v>
      </c>
      <c r="BI1585">
        <v>2</v>
      </c>
      <c r="BJ1585" t="s">
        <v>341</v>
      </c>
      <c r="BK1585" t="s">
        <v>14074</v>
      </c>
      <c r="BL1585" t="s">
        <v>342</v>
      </c>
      <c r="BM1585" t="s">
        <v>15117</v>
      </c>
      <c r="BN1585">
        <v>11893722</v>
      </c>
      <c r="BO1585" t="s">
        <v>74</v>
      </c>
      <c r="BP1585" t="s">
        <v>74</v>
      </c>
      <c r="BQ1585" t="s">
        <v>74</v>
      </c>
      <c r="BR1585" t="s">
        <v>104</v>
      </c>
      <c r="BS1585" t="s">
        <v>15116</v>
      </c>
      <c r="BT1585" t="str">
        <f>HYPERLINK("https%3A%2F%2Fwww.webofscience.com%2Fwos%2Fwoscc%2Ffull-record%2FWOS:000174481400074","View Full Record in Web of Science")</f>
        <v>View Full Record in Web of Science</v>
      </c>
    </row>
    <row r="1586" spans="1:72" x14ac:dyDescent="0.25">
      <c r="A1586" t="s">
        <v>72</v>
      </c>
      <c r="B1586" t="s">
        <v>15115</v>
      </c>
      <c r="C1586" t="s">
        <v>74</v>
      </c>
      <c r="D1586" t="s">
        <v>74</v>
      </c>
      <c r="E1586" t="s">
        <v>74</v>
      </c>
      <c r="F1586" t="s">
        <v>15115</v>
      </c>
      <c r="G1586" t="s">
        <v>74</v>
      </c>
      <c r="H1586" t="s">
        <v>74</v>
      </c>
      <c r="I1586" t="s">
        <v>15114</v>
      </c>
      <c r="J1586" t="s">
        <v>5175</v>
      </c>
      <c r="K1586" t="s">
        <v>74</v>
      </c>
      <c r="L1586" t="s">
        <v>74</v>
      </c>
      <c r="M1586" t="s">
        <v>78</v>
      </c>
      <c r="N1586" t="s">
        <v>79</v>
      </c>
      <c r="O1586" t="s">
        <v>74</v>
      </c>
      <c r="P1586" t="s">
        <v>74</v>
      </c>
      <c r="Q1586" t="s">
        <v>74</v>
      </c>
      <c r="R1586" t="s">
        <v>74</v>
      </c>
      <c r="S1586" t="s">
        <v>74</v>
      </c>
      <c r="T1586" t="s">
        <v>15113</v>
      </c>
      <c r="U1586" t="s">
        <v>15112</v>
      </c>
      <c r="V1586" t="s">
        <v>15111</v>
      </c>
      <c r="W1586" t="s">
        <v>15110</v>
      </c>
      <c r="X1586" t="s">
        <v>14541</v>
      </c>
      <c r="Y1586" t="s">
        <v>15109</v>
      </c>
      <c r="Z1586" t="s">
        <v>74</v>
      </c>
      <c r="AA1586" t="s">
        <v>3301</v>
      </c>
      <c r="AB1586" t="s">
        <v>3302</v>
      </c>
      <c r="AC1586" t="s">
        <v>74</v>
      </c>
      <c r="AD1586" t="s">
        <v>74</v>
      </c>
      <c r="AE1586" t="s">
        <v>74</v>
      </c>
      <c r="AF1586" t="s">
        <v>74</v>
      </c>
      <c r="AG1586">
        <v>28</v>
      </c>
      <c r="AH1586">
        <v>67</v>
      </c>
      <c r="AI1586">
        <v>69</v>
      </c>
      <c r="AJ1586">
        <v>0</v>
      </c>
      <c r="AK1586">
        <v>2</v>
      </c>
      <c r="AL1586" t="s">
        <v>15108</v>
      </c>
      <c r="AM1586" t="s">
        <v>5188</v>
      </c>
      <c r="AN1586" t="s">
        <v>15107</v>
      </c>
      <c r="AO1586" t="s">
        <v>5190</v>
      </c>
      <c r="AP1586" t="s">
        <v>74</v>
      </c>
      <c r="AQ1586" t="s">
        <v>74</v>
      </c>
      <c r="AR1586" t="s">
        <v>5175</v>
      </c>
      <c r="AS1586" t="s">
        <v>5191</v>
      </c>
      <c r="AT1586" t="s">
        <v>98</v>
      </c>
      <c r="AU1586">
        <v>2002</v>
      </c>
      <c r="AV1586">
        <v>222</v>
      </c>
      <c r="AW1586">
        <v>3</v>
      </c>
      <c r="AX1586" t="s">
        <v>74</v>
      </c>
      <c r="AY1586" t="s">
        <v>74</v>
      </c>
      <c r="AZ1586" t="s">
        <v>74</v>
      </c>
      <c r="BA1586" t="s">
        <v>74</v>
      </c>
      <c r="BB1586">
        <v>782</v>
      </c>
      <c r="BC1586">
        <v>788</v>
      </c>
      <c r="BD1586" t="s">
        <v>74</v>
      </c>
      <c r="BE1586" t="s">
        <v>15106</v>
      </c>
      <c r="BF1586" t="str">
        <f>HYPERLINK("http://dx.doi.org/10.1148/radiol.2223010668","http://dx.doi.org/10.1148/radiol.2223010668")</f>
        <v>http://dx.doi.org/10.1148/radiol.2223010668</v>
      </c>
      <c r="BG1586" t="s">
        <v>74</v>
      </c>
      <c r="BH1586" t="s">
        <v>74</v>
      </c>
      <c r="BI1586">
        <v>7</v>
      </c>
      <c r="BJ1586" t="s">
        <v>892</v>
      </c>
      <c r="BK1586" t="s">
        <v>101</v>
      </c>
      <c r="BL1586" t="s">
        <v>892</v>
      </c>
      <c r="BM1586" t="s">
        <v>15105</v>
      </c>
      <c r="BN1586">
        <v>11867801</v>
      </c>
      <c r="BO1586" t="s">
        <v>74</v>
      </c>
      <c r="BP1586" t="s">
        <v>74</v>
      </c>
      <c r="BQ1586" t="s">
        <v>74</v>
      </c>
      <c r="BR1586" t="s">
        <v>104</v>
      </c>
      <c r="BS1586" t="s">
        <v>15104</v>
      </c>
      <c r="BT1586" t="str">
        <f>HYPERLINK("https%3A%2F%2Fwww.webofscience.com%2Fwos%2Fwoscc%2Ffull-record%2FWOS:000174029900029","View Full Record in Web of Science")</f>
        <v>View Full Record in Web of Science</v>
      </c>
    </row>
    <row r="1587" spans="1:72" x14ac:dyDescent="0.25">
      <c r="A1587" t="s">
        <v>72</v>
      </c>
      <c r="B1587" t="s">
        <v>15103</v>
      </c>
      <c r="C1587" t="s">
        <v>74</v>
      </c>
      <c r="D1587" t="s">
        <v>74</v>
      </c>
      <c r="E1587" t="s">
        <v>74</v>
      </c>
      <c r="F1587" t="s">
        <v>15103</v>
      </c>
      <c r="G1587" t="s">
        <v>74</v>
      </c>
      <c r="H1587" t="s">
        <v>74</v>
      </c>
      <c r="I1587" t="s">
        <v>15102</v>
      </c>
      <c r="J1587" t="s">
        <v>637</v>
      </c>
      <c r="K1587" t="s">
        <v>74</v>
      </c>
      <c r="L1587" t="s">
        <v>74</v>
      </c>
      <c r="M1587" t="s">
        <v>78</v>
      </c>
      <c r="N1587" t="s">
        <v>79</v>
      </c>
      <c r="O1587" t="s">
        <v>74</v>
      </c>
      <c r="P1587" t="s">
        <v>74</v>
      </c>
      <c r="Q1587" t="s">
        <v>74</v>
      </c>
      <c r="R1587" t="s">
        <v>74</v>
      </c>
      <c r="S1587" t="s">
        <v>74</v>
      </c>
      <c r="T1587" t="s">
        <v>15101</v>
      </c>
      <c r="U1587" t="s">
        <v>15100</v>
      </c>
      <c r="V1587" t="s">
        <v>15099</v>
      </c>
      <c r="W1587" t="s">
        <v>15098</v>
      </c>
      <c r="X1587" t="s">
        <v>15097</v>
      </c>
      <c r="Y1587" t="s">
        <v>15096</v>
      </c>
      <c r="Z1587" t="s">
        <v>15027</v>
      </c>
      <c r="AA1587" t="s">
        <v>15095</v>
      </c>
      <c r="AB1587" t="s">
        <v>15094</v>
      </c>
      <c r="AC1587" t="s">
        <v>74</v>
      </c>
      <c r="AD1587" t="s">
        <v>74</v>
      </c>
      <c r="AE1587" t="s">
        <v>74</v>
      </c>
      <c r="AF1587" t="s">
        <v>74</v>
      </c>
      <c r="AG1587">
        <v>52</v>
      </c>
      <c r="AH1587">
        <v>213</v>
      </c>
      <c r="AI1587">
        <v>234</v>
      </c>
      <c r="AJ1587">
        <v>0</v>
      </c>
      <c r="AK1587">
        <v>3</v>
      </c>
      <c r="AL1587" t="s">
        <v>649</v>
      </c>
      <c r="AM1587" t="s">
        <v>486</v>
      </c>
      <c r="AN1587" t="s">
        <v>650</v>
      </c>
      <c r="AO1587" t="s">
        <v>651</v>
      </c>
      <c r="AP1587" t="s">
        <v>652</v>
      </c>
      <c r="AQ1587" t="s">
        <v>74</v>
      </c>
      <c r="AR1587" t="s">
        <v>653</v>
      </c>
      <c r="AS1587" t="s">
        <v>654</v>
      </c>
      <c r="AT1587" t="s">
        <v>2334</v>
      </c>
      <c r="AU1587">
        <v>2002</v>
      </c>
      <c r="AV1587">
        <v>165</v>
      </c>
      <c r="AW1587">
        <v>4</v>
      </c>
      <c r="AX1587" t="s">
        <v>74</v>
      </c>
      <c r="AY1587" t="s">
        <v>74</v>
      </c>
      <c r="AZ1587" t="s">
        <v>74</v>
      </c>
      <c r="BA1587" t="s">
        <v>74</v>
      </c>
      <c r="BB1587">
        <v>534</v>
      </c>
      <c r="BC1587">
        <v>539</v>
      </c>
      <c r="BD1587" t="s">
        <v>74</v>
      </c>
      <c r="BE1587" t="s">
        <v>15093</v>
      </c>
      <c r="BF1587" t="str">
        <f>HYPERLINK("http://dx.doi.org/10.1164/rccm.2012112","http://dx.doi.org/10.1164/rccm.2012112")</f>
        <v>http://dx.doi.org/10.1164/rccm.2012112</v>
      </c>
      <c r="BG1587" t="s">
        <v>74</v>
      </c>
      <c r="BH1587" t="s">
        <v>74</v>
      </c>
      <c r="BI1587">
        <v>6</v>
      </c>
      <c r="BJ1587" t="s">
        <v>341</v>
      </c>
      <c r="BK1587" t="s">
        <v>101</v>
      </c>
      <c r="BL1587" t="s">
        <v>342</v>
      </c>
      <c r="BM1587" t="s">
        <v>15092</v>
      </c>
      <c r="BN1587">
        <v>11850348</v>
      </c>
      <c r="BO1587" t="s">
        <v>74</v>
      </c>
      <c r="BP1587" t="s">
        <v>74</v>
      </c>
      <c r="BQ1587" t="s">
        <v>74</v>
      </c>
      <c r="BR1587" t="s">
        <v>104</v>
      </c>
      <c r="BS1587" t="s">
        <v>15091</v>
      </c>
      <c r="BT1587" t="str">
        <f>HYPERLINK("https%3A%2F%2Fwww.webofscience.com%2Fwos%2Fwoscc%2Ffull-record%2FWOS:000174011800019","View Full Record in Web of Science")</f>
        <v>View Full Record in Web of Science</v>
      </c>
    </row>
    <row r="1588" spans="1:72" x14ac:dyDescent="0.25">
      <c r="A1588" t="s">
        <v>72</v>
      </c>
      <c r="B1588" t="s">
        <v>15090</v>
      </c>
      <c r="C1588" t="s">
        <v>74</v>
      </c>
      <c r="D1588" t="s">
        <v>74</v>
      </c>
      <c r="E1588" t="s">
        <v>74</v>
      </c>
      <c r="F1588" t="s">
        <v>15090</v>
      </c>
      <c r="G1588" t="s">
        <v>74</v>
      </c>
      <c r="H1588" t="s">
        <v>74</v>
      </c>
      <c r="I1588" t="s">
        <v>15089</v>
      </c>
      <c r="J1588" t="s">
        <v>637</v>
      </c>
      <c r="K1588" t="s">
        <v>74</v>
      </c>
      <c r="L1588" t="s">
        <v>74</v>
      </c>
      <c r="M1588" t="s">
        <v>78</v>
      </c>
      <c r="N1588" t="s">
        <v>79</v>
      </c>
      <c r="O1588" t="s">
        <v>74</v>
      </c>
      <c r="P1588" t="s">
        <v>74</v>
      </c>
      <c r="Q1588" t="s">
        <v>74</v>
      </c>
      <c r="R1588" t="s">
        <v>74</v>
      </c>
      <c r="S1588" t="s">
        <v>74</v>
      </c>
      <c r="T1588" t="s">
        <v>15088</v>
      </c>
      <c r="U1588" t="s">
        <v>15087</v>
      </c>
      <c r="V1588" t="s">
        <v>15086</v>
      </c>
      <c r="W1588" t="s">
        <v>15085</v>
      </c>
      <c r="X1588" t="s">
        <v>15084</v>
      </c>
      <c r="Y1588" t="s">
        <v>15083</v>
      </c>
      <c r="Z1588" t="s">
        <v>74</v>
      </c>
      <c r="AA1588" t="s">
        <v>15082</v>
      </c>
      <c r="AB1588" t="s">
        <v>15081</v>
      </c>
      <c r="AC1588" t="s">
        <v>74</v>
      </c>
      <c r="AD1588" t="s">
        <v>74</v>
      </c>
      <c r="AE1588" t="s">
        <v>74</v>
      </c>
      <c r="AF1588" t="s">
        <v>74</v>
      </c>
      <c r="AG1588">
        <v>19</v>
      </c>
      <c r="AH1588">
        <v>79</v>
      </c>
      <c r="AI1588">
        <v>86</v>
      </c>
      <c r="AJ1588">
        <v>0</v>
      </c>
      <c r="AK1588">
        <v>1</v>
      </c>
      <c r="AL1588" t="s">
        <v>649</v>
      </c>
      <c r="AM1588" t="s">
        <v>486</v>
      </c>
      <c r="AN1588" t="s">
        <v>14919</v>
      </c>
      <c r="AO1588" t="s">
        <v>651</v>
      </c>
      <c r="AP1588" t="s">
        <v>74</v>
      </c>
      <c r="AQ1588" t="s">
        <v>74</v>
      </c>
      <c r="AR1588" t="s">
        <v>653</v>
      </c>
      <c r="AS1588" t="s">
        <v>654</v>
      </c>
      <c r="AT1588" t="s">
        <v>2573</v>
      </c>
      <c r="AU1588">
        <v>2002</v>
      </c>
      <c r="AV1588">
        <v>165</v>
      </c>
      <c r="AW1588">
        <v>3</v>
      </c>
      <c r="AX1588" t="s">
        <v>74</v>
      </c>
      <c r="AY1588" t="s">
        <v>74</v>
      </c>
      <c r="AZ1588" t="s">
        <v>74</v>
      </c>
      <c r="BA1588" t="s">
        <v>74</v>
      </c>
      <c r="BB1588">
        <v>338</v>
      </c>
      <c r="BC1588">
        <v>340</v>
      </c>
      <c r="BD1588" t="s">
        <v>74</v>
      </c>
      <c r="BE1588" t="s">
        <v>15080</v>
      </c>
      <c r="BF1588" t="str">
        <f>HYPERLINK("http://dx.doi.org/10.1164/ajrccm.165.3.2106033","http://dx.doi.org/10.1164/ajrccm.165.3.2106033")</f>
        <v>http://dx.doi.org/10.1164/ajrccm.165.3.2106033</v>
      </c>
      <c r="BG1588" t="s">
        <v>74</v>
      </c>
      <c r="BH1588" t="s">
        <v>74</v>
      </c>
      <c r="BI1588">
        <v>3</v>
      </c>
      <c r="BJ1588" t="s">
        <v>341</v>
      </c>
      <c r="BK1588" t="s">
        <v>101</v>
      </c>
      <c r="BL1588" t="s">
        <v>342</v>
      </c>
      <c r="BM1588" t="s">
        <v>15079</v>
      </c>
      <c r="BN1588">
        <v>11818317</v>
      </c>
      <c r="BO1588" t="s">
        <v>74</v>
      </c>
      <c r="BP1588" t="s">
        <v>74</v>
      </c>
      <c r="BQ1588" t="s">
        <v>74</v>
      </c>
      <c r="BR1588" t="s">
        <v>104</v>
      </c>
      <c r="BS1588" t="s">
        <v>15078</v>
      </c>
      <c r="BT1588" t="str">
        <f>HYPERLINK("https%3A%2F%2Fwww.webofscience.com%2Fwos%2Fwoscc%2Ffull-record%2FWOS:000173618100007","View Full Record in Web of Science")</f>
        <v>View Full Record in Web of Science</v>
      </c>
    </row>
    <row r="1589" spans="1:72" x14ac:dyDescent="0.25">
      <c r="A1589" t="s">
        <v>72</v>
      </c>
      <c r="B1589" t="s">
        <v>15077</v>
      </c>
      <c r="C1589" t="s">
        <v>74</v>
      </c>
      <c r="D1589" t="s">
        <v>74</v>
      </c>
      <c r="E1589" t="s">
        <v>74</v>
      </c>
      <c r="F1589" t="s">
        <v>15077</v>
      </c>
      <c r="G1589" t="s">
        <v>74</v>
      </c>
      <c r="H1589" t="s">
        <v>74</v>
      </c>
      <c r="I1589" t="s">
        <v>15076</v>
      </c>
      <c r="J1589" t="s">
        <v>8129</v>
      </c>
      <c r="K1589" t="s">
        <v>74</v>
      </c>
      <c r="L1589" t="s">
        <v>74</v>
      </c>
      <c r="M1589" t="s">
        <v>1349</v>
      </c>
      <c r="N1589" t="s">
        <v>79</v>
      </c>
      <c r="O1589" t="s">
        <v>74</v>
      </c>
      <c r="P1589" t="s">
        <v>74</v>
      </c>
      <c r="Q1589" t="s">
        <v>74</v>
      </c>
      <c r="R1589" t="s">
        <v>74</v>
      </c>
      <c r="S1589" t="s">
        <v>74</v>
      </c>
      <c r="T1589" t="s">
        <v>15075</v>
      </c>
      <c r="U1589" t="s">
        <v>15074</v>
      </c>
      <c r="V1589" t="s">
        <v>15073</v>
      </c>
      <c r="W1589" t="s">
        <v>15072</v>
      </c>
      <c r="X1589" t="s">
        <v>14156</v>
      </c>
      <c r="Y1589" t="s">
        <v>15071</v>
      </c>
      <c r="Z1589" t="s">
        <v>74</v>
      </c>
      <c r="AA1589" t="s">
        <v>15070</v>
      </c>
      <c r="AB1589" t="s">
        <v>15069</v>
      </c>
      <c r="AC1589" t="s">
        <v>74</v>
      </c>
      <c r="AD1589" t="s">
        <v>74</v>
      </c>
      <c r="AE1589" t="s">
        <v>74</v>
      </c>
      <c r="AF1589" t="s">
        <v>74</v>
      </c>
      <c r="AG1589">
        <v>91</v>
      </c>
      <c r="AH1589">
        <v>14</v>
      </c>
      <c r="AI1589">
        <v>15</v>
      </c>
      <c r="AJ1589">
        <v>1</v>
      </c>
      <c r="AK1589">
        <v>3</v>
      </c>
      <c r="AL1589" t="s">
        <v>14964</v>
      </c>
      <c r="AM1589" t="s">
        <v>14963</v>
      </c>
      <c r="AN1589" t="s">
        <v>14962</v>
      </c>
      <c r="AO1589" t="s">
        <v>8141</v>
      </c>
      <c r="AP1589" t="s">
        <v>74</v>
      </c>
      <c r="AQ1589" t="s">
        <v>74</v>
      </c>
      <c r="AR1589" t="s">
        <v>8142</v>
      </c>
      <c r="AS1589" t="s">
        <v>8143</v>
      </c>
      <c r="AT1589" t="s">
        <v>176</v>
      </c>
      <c r="AU1589">
        <v>2002</v>
      </c>
      <c r="AV1589">
        <v>23</v>
      </c>
      <c r="AW1589">
        <v>1</v>
      </c>
      <c r="AX1589" t="s">
        <v>74</v>
      </c>
      <c r="AY1589" t="s">
        <v>74</v>
      </c>
      <c r="AZ1589" t="s">
        <v>74</v>
      </c>
      <c r="BA1589" t="s">
        <v>74</v>
      </c>
      <c r="BB1589">
        <v>41</v>
      </c>
      <c r="BC1589">
        <v>54</v>
      </c>
      <c r="BD1589" t="s">
        <v>74</v>
      </c>
      <c r="BE1589" t="s">
        <v>15068</v>
      </c>
      <c r="BF1589" t="str">
        <f>HYPERLINK("http://dx.doi.org/10.1016/S0248-8663(01)00514-8","http://dx.doi.org/10.1016/S0248-8663(01)00514-8")</f>
        <v>http://dx.doi.org/10.1016/S0248-8663(01)00514-8</v>
      </c>
      <c r="BG1589" t="s">
        <v>74</v>
      </c>
      <c r="BH1589" t="s">
        <v>74</v>
      </c>
      <c r="BI1589">
        <v>14</v>
      </c>
      <c r="BJ1589" t="s">
        <v>1152</v>
      </c>
      <c r="BK1589" t="s">
        <v>101</v>
      </c>
      <c r="BL1589" t="s">
        <v>1153</v>
      </c>
      <c r="BM1589" t="s">
        <v>15067</v>
      </c>
      <c r="BN1589">
        <v>11859694</v>
      </c>
      <c r="BO1589" t="s">
        <v>74</v>
      </c>
      <c r="BP1589" t="s">
        <v>74</v>
      </c>
      <c r="BQ1589" t="s">
        <v>74</v>
      </c>
      <c r="BR1589" t="s">
        <v>104</v>
      </c>
      <c r="BS1589" t="s">
        <v>15066</v>
      </c>
      <c r="BT1589" t="str">
        <f>HYPERLINK("https%3A%2F%2Fwww.webofscience.com%2Fwos%2Fwoscc%2Ffull-record%2FWOS:000173539700006","View Full Record in Web of Science")</f>
        <v>View Full Record in Web of Science</v>
      </c>
    </row>
    <row r="1590" spans="1:72" x14ac:dyDescent="0.25">
      <c r="A1590" t="s">
        <v>72</v>
      </c>
      <c r="B1590" t="s">
        <v>15065</v>
      </c>
      <c r="C1590" t="s">
        <v>74</v>
      </c>
      <c r="D1590" t="s">
        <v>74</v>
      </c>
      <c r="E1590" t="s">
        <v>74</v>
      </c>
      <c r="F1590" t="s">
        <v>15065</v>
      </c>
      <c r="G1590" t="s">
        <v>74</v>
      </c>
      <c r="H1590" t="s">
        <v>74</v>
      </c>
      <c r="I1590" t="s">
        <v>15064</v>
      </c>
      <c r="J1590" t="s">
        <v>8916</v>
      </c>
      <c r="K1590" t="s">
        <v>74</v>
      </c>
      <c r="L1590" t="s">
        <v>74</v>
      </c>
      <c r="M1590" t="s">
        <v>78</v>
      </c>
      <c r="N1590" t="s">
        <v>79</v>
      </c>
      <c r="O1590" t="s">
        <v>74</v>
      </c>
      <c r="P1590" t="s">
        <v>74</v>
      </c>
      <c r="Q1590" t="s">
        <v>74</v>
      </c>
      <c r="R1590" t="s">
        <v>74</v>
      </c>
      <c r="S1590" t="s">
        <v>74</v>
      </c>
      <c r="T1590" t="s">
        <v>74</v>
      </c>
      <c r="U1590" t="s">
        <v>15063</v>
      </c>
      <c r="V1590" t="s">
        <v>15062</v>
      </c>
      <c r="W1590" t="s">
        <v>15061</v>
      </c>
      <c r="X1590" t="s">
        <v>15060</v>
      </c>
      <c r="Y1590" t="s">
        <v>15059</v>
      </c>
      <c r="Z1590" t="s">
        <v>15058</v>
      </c>
      <c r="AA1590" t="s">
        <v>15057</v>
      </c>
      <c r="AB1590" t="s">
        <v>15056</v>
      </c>
      <c r="AC1590" t="s">
        <v>74</v>
      </c>
      <c r="AD1590" t="s">
        <v>74</v>
      </c>
      <c r="AE1590" t="s">
        <v>74</v>
      </c>
      <c r="AF1590" t="s">
        <v>74</v>
      </c>
      <c r="AG1590">
        <v>29</v>
      </c>
      <c r="AH1590">
        <v>437</v>
      </c>
      <c r="AI1590">
        <v>472</v>
      </c>
      <c r="AJ1590">
        <v>0</v>
      </c>
      <c r="AK1590">
        <v>10</v>
      </c>
      <c r="AL1590" t="s">
        <v>7942</v>
      </c>
      <c r="AM1590" t="s">
        <v>7943</v>
      </c>
      <c r="AN1590" t="s">
        <v>7944</v>
      </c>
      <c r="AO1590" t="s">
        <v>8927</v>
      </c>
      <c r="AP1590" t="s">
        <v>8928</v>
      </c>
      <c r="AQ1590" t="s">
        <v>74</v>
      </c>
      <c r="AR1590" t="s">
        <v>8929</v>
      </c>
      <c r="AS1590" t="s">
        <v>8930</v>
      </c>
      <c r="AT1590" t="s">
        <v>420</v>
      </c>
      <c r="AU1590">
        <v>2001</v>
      </c>
      <c r="AV1590">
        <v>108</v>
      </c>
      <c r="AW1590">
        <v>8</v>
      </c>
      <c r="AX1590" t="s">
        <v>74</v>
      </c>
      <c r="AY1590" t="s">
        <v>74</v>
      </c>
      <c r="AZ1590" t="s">
        <v>74</v>
      </c>
      <c r="BA1590" t="s">
        <v>74</v>
      </c>
      <c r="BB1590">
        <v>1141</v>
      </c>
      <c r="BC1590">
        <v>1150</v>
      </c>
      <c r="BD1590" t="s">
        <v>74</v>
      </c>
      <c r="BE1590" t="s">
        <v>15055</v>
      </c>
      <c r="BF1590" t="str">
        <f>HYPERLINK("http://dx.doi.org/10.1172/JCI200112805","http://dx.doi.org/10.1172/JCI200112805")</f>
        <v>http://dx.doi.org/10.1172/JCI200112805</v>
      </c>
      <c r="BG1590" t="s">
        <v>74</v>
      </c>
      <c r="BH1590" t="s">
        <v>74</v>
      </c>
      <c r="BI1590">
        <v>10</v>
      </c>
      <c r="BJ1590" t="s">
        <v>2122</v>
      </c>
      <c r="BK1590" t="s">
        <v>101</v>
      </c>
      <c r="BL1590" t="s">
        <v>2123</v>
      </c>
      <c r="BM1590" t="s">
        <v>15054</v>
      </c>
      <c r="BN1590">
        <v>11602621</v>
      </c>
      <c r="BO1590" t="s">
        <v>2517</v>
      </c>
      <c r="BP1590" t="s">
        <v>74</v>
      </c>
      <c r="BQ1590" t="s">
        <v>74</v>
      </c>
      <c r="BR1590" t="s">
        <v>104</v>
      </c>
      <c r="BS1590" t="s">
        <v>15053</v>
      </c>
      <c r="BT1590" t="str">
        <f>HYPERLINK("https%3A%2F%2Fwww.webofscience.com%2Fwos%2Fwoscc%2Ffull-record%2FWOS:000171614500008","View Full Record in Web of Science")</f>
        <v>View Full Record in Web of Science</v>
      </c>
    </row>
    <row r="1591" spans="1:72" x14ac:dyDescent="0.25">
      <c r="A1591" t="s">
        <v>72</v>
      </c>
      <c r="B1591" t="s">
        <v>15052</v>
      </c>
      <c r="C1591" t="s">
        <v>74</v>
      </c>
      <c r="D1591" t="s">
        <v>74</v>
      </c>
      <c r="E1591" t="s">
        <v>74</v>
      </c>
      <c r="F1591" t="s">
        <v>15052</v>
      </c>
      <c r="G1591" t="s">
        <v>74</v>
      </c>
      <c r="H1591" t="s">
        <v>74</v>
      </c>
      <c r="I1591" t="s">
        <v>15051</v>
      </c>
      <c r="J1591" t="s">
        <v>1348</v>
      </c>
      <c r="K1591" t="s">
        <v>74</v>
      </c>
      <c r="L1591" t="s">
        <v>74</v>
      </c>
      <c r="M1591" t="s">
        <v>1349</v>
      </c>
      <c r="N1591" t="s">
        <v>140</v>
      </c>
      <c r="O1591" t="s">
        <v>74</v>
      </c>
      <c r="P1591" t="s">
        <v>74</v>
      </c>
      <c r="Q1591" t="s">
        <v>74</v>
      </c>
      <c r="R1591" t="s">
        <v>74</v>
      </c>
      <c r="S1591" t="s">
        <v>74</v>
      </c>
      <c r="T1591" t="s">
        <v>74</v>
      </c>
      <c r="U1591" t="s">
        <v>15050</v>
      </c>
      <c r="V1591" t="s">
        <v>74</v>
      </c>
      <c r="W1591" t="s">
        <v>15049</v>
      </c>
      <c r="X1591" t="s">
        <v>14156</v>
      </c>
      <c r="Y1591" t="s">
        <v>15048</v>
      </c>
      <c r="Z1591" t="s">
        <v>74</v>
      </c>
      <c r="AA1591" t="s">
        <v>7706</v>
      </c>
      <c r="AB1591" t="s">
        <v>257</v>
      </c>
      <c r="AC1591" t="s">
        <v>74</v>
      </c>
      <c r="AD1591" t="s">
        <v>74</v>
      </c>
      <c r="AE1591" t="s">
        <v>74</v>
      </c>
      <c r="AF1591" t="s">
        <v>74</v>
      </c>
      <c r="AG1591">
        <v>32</v>
      </c>
      <c r="AH1591">
        <v>1</v>
      </c>
      <c r="AI1591">
        <v>1</v>
      </c>
      <c r="AJ1591">
        <v>1</v>
      </c>
      <c r="AK1591">
        <v>1</v>
      </c>
      <c r="AL1591" t="s">
        <v>1358</v>
      </c>
      <c r="AM1591" t="s">
        <v>14123</v>
      </c>
      <c r="AN1591" t="s">
        <v>14122</v>
      </c>
      <c r="AO1591" t="s">
        <v>1361</v>
      </c>
      <c r="AP1591" t="s">
        <v>74</v>
      </c>
      <c r="AQ1591" t="s">
        <v>74</v>
      </c>
      <c r="AR1591" t="s">
        <v>1363</v>
      </c>
      <c r="AS1591" t="s">
        <v>1364</v>
      </c>
      <c r="AT1591" t="s">
        <v>420</v>
      </c>
      <c r="AU1591">
        <v>2001</v>
      </c>
      <c r="AV1591">
        <v>18</v>
      </c>
      <c r="AW1591">
        <v>5</v>
      </c>
      <c r="AX1591" t="s">
        <v>74</v>
      </c>
      <c r="AY1591" t="s">
        <v>74</v>
      </c>
      <c r="AZ1591" t="s">
        <v>74</v>
      </c>
      <c r="BA1591" t="s">
        <v>74</v>
      </c>
      <c r="BB1591">
        <v>473</v>
      </c>
      <c r="BC1591">
        <v>478</v>
      </c>
      <c r="BD1591" t="s">
        <v>74</v>
      </c>
      <c r="BE1591" t="s">
        <v>74</v>
      </c>
      <c r="BF1591" t="s">
        <v>74</v>
      </c>
      <c r="BG1591" t="s">
        <v>74</v>
      </c>
      <c r="BH1591" t="s">
        <v>74</v>
      </c>
      <c r="BI1591">
        <v>6</v>
      </c>
      <c r="BJ1591" t="s">
        <v>228</v>
      </c>
      <c r="BK1591" t="s">
        <v>101</v>
      </c>
      <c r="BL1591" t="s">
        <v>228</v>
      </c>
      <c r="BM1591" t="s">
        <v>15047</v>
      </c>
      <c r="BN1591">
        <v>11887763</v>
      </c>
      <c r="BO1591" t="s">
        <v>74</v>
      </c>
      <c r="BP1591" t="s">
        <v>74</v>
      </c>
      <c r="BQ1591" t="s">
        <v>74</v>
      </c>
      <c r="BR1591" t="s">
        <v>104</v>
      </c>
      <c r="BS1591" t="s">
        <v>15046</v>
      </c>
      <c r="BT1591" t="str">
        <f>HYPERLINK("https%3A%2F%2Fwww.webofscience.com%2Fwos%2Fwoscc%2Ffull-record%2FWOS:000172235400003","View Full Record in Web of Science")</f>
        <v>View Full Record in Web of Science</v>
      </c>
    </row>
    <row r="1592" spans="1:72" x14ac:dyDescent="0.25">
      <c r="A1592" t="s">
        <v>72</v>
      </c>
      <c r="B1592" t="s">
        <v>15045</v>
      </c>
      <c r="C1592" t="s">
        <v>74</v>
      </c>
      <c r="D1592" t="s">
        <v>74</v>
      </c>
      <c r="E1592" t="s">
        <v>74</v>
      </c>
      <c r="F1592" t="s">
        <v>15045</v>
      </c>
      <c r="G1592" t="s">
        <v>74</v>
      </c>
      <c r="H1592" t="s">
        <v>74</v>
      </c>
      <c r="I1592" t="s">
        <v>15044</v>
      </c>
      <c r="J1592" t="s">
        <v>1161</v>
      </c>
      <c r="K1592" t="s">
        <v>74</v>
      </c>
      <c r="L1592" t="s">
        <v>74</v>
      </c>
      <c r="M1592" t="s">
        <v>78</v>
      </c>
      <c r="N1592" t="s">
        <v>79</v>
      </c>
      <c r="O1592" t="s">
        <v>74</v>
      </c>
      <c r="P1592" t="s">
        <v>74</v>
      </c>
      <c r="Q1592" t="s">
        <v>74</v>
      </c>
      <c r="R1592" t="s">
        <v>74</v>
      </c>
      <c r="S1592" t="s">
        <v>74</v>
      </c>
      <c r="T1592" t="s">
        <v>74</v>
      </c>
      <c r="U1592" t="s">
        <v>15043</v>
      </c>
      <c r="V1592" t="s">
        <v>15042</v>
      </c>
      <c r="W1592" t="s">
        <v>15041</v>
      </c>
      <c r="X1592" t="s">
        <v>15040</v>
      </c>
      <c r="Y1592" t="s">
        <v>15039</v>
      </c>
      <c r="Z1592" t="s">
        <v>15038</v>
      </c>
      <c r="AA1592" t="s">
        <v>15037</v>
      </c>
      <c r="AB1592" t="s">
        <v>15036</v>
      </c>
      <c r="AC1592" t="s">
        <v>74</v>
      </c>
      <c r="AD1592" t="s">
        <v>74</v>
      </c>
      <c r="AE1592" t="s">
        <v>74</v>
      </c>
      <c r="AF1592" t="s">
        <v>74</v>
      </c>
      <c r="AG1592">
        <v>51</v>
      </c>
      <c r="AH1592">
        <v>134</v>
      </c>
      <c r="AI1592">
        <v>152</v>
      </c>
      <c r="AJ1592">
        <v>0</v>
      </c>
      <c r="AK1592">
        <v>12</v>
      </c>
      <c r="AL1592" t="s">
        <v>1169</v>
      </c>
      <c r="AM1592" t="s">
        <v>123</v>
      </c>
      <c r="AN1592" t="s">
        <v>1170</v>
      </c>
      <c r="AO1592" t="s">
        <v>1171</v>
      </c>
      <c r="AP1592" t="s">
        <v>1172</v>
      </c>
      <c r="AQ1592" t="s">
        <v>74</v>
      </c>
      <c r="AR1592" t="s">
        <v>1173</v>
      </c>
      <c r="AS1592" t="s">
        <v>1174</v>
      </c>
      <c r="AT1592" t="s">
        <v>492</v>
      </c>
      <c r="AU1592">
        <v>2001</v>
      </c>
      <c r="AV1592">
        <v>22</v>
      </c>
      <c r="AW1592">
        <v>3</v>
      </c>
      <c r="AX1592" t="s">
        <v>74</v>
      </c>
      <c r="AY1592" t="s">
        <v>74</v>
      </c>
      <c r="AZ1592" t="s">
        <v>74</v>
      </c>
      <c r="BA1592" t="s">
        <v>74</v>
      </c>
      <c r="BB1592">
        <v>451</v>
      </c>
      <c r="BC1592" t="s">
        <v>3083</v>
      </c>
      <c r="BD1592" t="s">
        <v>74</v>
      </c>
      <c r="BE1592" t="s">
        <v>15035</v>
      </c>
      <c r="BF1592" t="str">
        <f>HYPERLINK("http://dx.doi.org/10.1016/S0272-5231(05)70283-5","http://dx.doi.org/10.1016/S0272-5231(05)70283-5")</f>
        <v>http://dx.doi.org/10.1016/S0272-5231(05)70283-5</v>
      </c>
      <c r="BG1592" t="s">
        <v>74</v>
      </c>
      <c r="BH1592" t="s">
        <v>74</v>
      </c>
      <c r="BI1592">
        <v>9</v>
      </c>
      <c r="BJ1592" t="s">
        <v>228</v>
      </c>
      <c r="BK1592" t="s">
        <v>101</v>
      </c>
      <c r="BL1592" t="s">
        <v>228</v>
      </c>
      <c r="BM1592" t="s">
        <v>15023</v>
      </c>
      <c r="BN1592">
        <v>11590840</v>
      </c>
      <c r="BO1592" t="s">
        <v>74</v>
      </c>
      <c r="BP1592" t="s">
        <v>74</v>
      </c>
      <c r="BQ1592" t="s">
        <v>74</v>
      </c>
      <c r="BR1592" t="s">
        <v>104</v>
      </c>
      <c r="BS1592" t="s">
        <v>15034</v>
      </c>
      <c r="BT1592" t="str">
        <f>HYPERLINK("https%3A%2F%2Fwww.webofscience.com%2Fwos%2Fwoscc%2Ffull-record%2FWOS:000171324900007","View Full Record in Web of Science")</f>
        <v>View Full Record in Web of Science</v>
      </c>
    </row>
    <row r="1593" spans="1:72" x14ac:dyDescent="0.25">
      <c r="A1593" t="s">
        <v>72</v>
      </c>
      <c r="B1593" t="s">
        <v>15033</v>
      </c>
      <c r="C1593" t="s">
        <v>74</v>
      </c>
      <c r="D1593" t="s">
        <v>74</v>
      </c>
      <c r="E1593" t="s">
        <v>74</v>
      </c>
      <c r="F1593" t="s">
        <v>15033</v>
      </c>
      <c r="G1593" t="s">
        <v>74</v>
      </c>
      <c r="H1593" t="s">
        <v>74</v>
      </c>
      <c r="I1593" t="s">
        <v>15032</v>
      </c>
      <c r="J1593" t="s">
        <v>1161</v>
      </c>
      <c r="K1593" t="s">
        <v>74</v>
      </c>
      <c r="L1593" t="s">
        <v>74</v>
      </c>
      <c r="M1593" t="s">
        <v>78</v>
      </c>
      <c r="N1593" t="s">
        <v>299</v>
      </c>
      <c r="O1593" t="s">
        <v>74</v>
      </c>
      <c r="P1593" t="s">
        <v>74</v>
      </c>
      <c r="Q1593" t="s">
        <v>74</v>
      </c>
      <c r="R1593" t="s">
        <v>74</v>
      </c>
      <c r="S1593" t="s">
        <v>74</v>
      </c>
      <c r="T1593" t="s">
        <v>74</v>
      </c>
      <c r="U1593" t="s">
        <v>15031</v>
      </c>
      <c r="V1593" t="s">
        <v>15030</v>
      </c>
      <c r="W1593" t="s">
        <v>15029</v>
      </c>
      <c r="X1593" t="s">
        <v>14590</v>
      </c>
      <c r="Y1593" t="s">
        <v>15028</v>
      </c>
      <c r="Z1593" t="s">
        <v>15027</v>
      </c>
      <c r="AA1593" t="s">
        <v>15026</v>
      </c>
      <c r="AB1593" t="s">
        <v>15025</v>
      </c>
      <c r="AC1593" t="s">
        <v>74</v>
      </c>
      <c r="AD1593" t="s">
        <v>74</v>
      </c>
      <c r="AE1593" t="s">
        <v>74</v>
      </c>
      <c r="AF1593" t="s">
        <v>74</v>
      </c>
      <c r="AG1593">
        <v>125</v>
      </c>
      <c r="AH1593">
        <v>85</v>
      </c>
      <c r="AI1593">
        <v>92</v>
      </c>
      <c r="AJ1593">
        <v>0</v>
      </c>
      <c r="AK1593">
        <v>8</v>
      </c>
      <c r="AL1593" t="s">
        <v>1169</v>
      </c>
      <c r="AM1593" t="s">
        <v>123</v>
      </c>
      <c r="AN1593" t="s">
        <v>1170</v>
      </c>
      <c r="AO1593" t="s">
        <v>1171</v>
      </c>
      <c r="AP1593" t="s">
        <v>1172</v>
      </c>
      <c r="AQ1593" t="s">
        <v>74</v>
      </c>
      <c r="AR1593" t="s">
        <v>1173</v>
      </c>
      <c r="AS1593" t="s">
        <v>1174</v>
      </c>
      <c r="AT1593" t="s">
        <v>492</v>
      </c>
      <c r="AU1593">
        <v>2001</v>
      </c>
      <c r="AV1593">
        <v>22</v>
      </c>
      <c r="AW1593">
        <v>3</v>
      </c>
      <c r="AX1593" t="s">
        <v>74</v>
      </c>
      <c r="AY1593" t="s">
        <v>74</v>
      </c>
      <c r="AZ1593" t="s">
        <v>74</v>
      </c>
      <c r="BA1593" t="s">
        <v>74</v>
      </c>
      <c r="BB1593">
        <v>459</v>
      </c>
      <c r="BC1593" t="s">
        <v>3083</v>
      </c>
      <c r="BD1593" t="s">
        <v>74</v>
      </c>
      <c r="BE1593" t="s">
        <v>15024</v>
      </c>
      <c r="BF1593" t="str">
        <f>HYPERLINK("http://dx.doi.org/10.1016/S0272-5231(05)70284-7","http://dx.doi.org/10.1016/S0272-5231(05)70284-7")</f>
        <v>http://dx.doi.org/10.1016/S0272-5231(05)70284-7</v>
      </c>
      <c r="BG1593" t="s">
        <v>74</v>
      </c>
      <c r="BH1593" t="s">
        <v>74</v>
      </c>
      <c r="BI1593">
        <v>19</v>
      </c>
      <c r="BJ1593" t="s">
        <v>228</v>
      </c>
      <c r="BK1593" t="s">
        <v>101</v>
      </c>
      <c r="BL1593" t="s">
        <v>228</v>
      </c>
      <c r="BM1593" t="s">
        <v>15023</v>
      </c>
      <c r="BN1593">
        <v>11590841</v>
      </c>
      <c r="BO1593" t="s">
        <v>74</v>
      </c>
      <c r="BP1593" t="s">
        <v>74</v>
      </c>
      <c r="BQ1593" t="s">
        <v>74</v>
      </c>
      <c r="BR1593" t="s">
        <v>104</v>
      </c>
      <c r="BS1593" t="s">
        <v>15022</v>
      </c>
      <c r="BT1593" t="str">
        <f>HYPERLINK("https%3A%2F%2Fwww.webofscience.com%2Fwos%2Fwoscc%2Ffull-record%2FWOS:000171324900008","View Full Record in Web of Science")</f>
        <v>View Full Record in Web of Science</v>
      </c>
    </row>
    <row r="1594" spans="1:72" x14ac:dyDescent="0.25">
      <c r="A1594" t="s">
        <v>72</v>
      </c>
      <c r="B1594" t="s">
        <v>15021</v>
      </c>
      <c r="C1594" t="s">
        <v>74</v>
      </c>
      <c r="D1594" t="s">
        <v>74</v>
      </c>
      <c r="E1594" t="s">
        <v>74</v>
      </c>
      <c r="F1594" t="s">
        <v>15021</v>
      </c>
      <c r="G1594" t="s">
        <v>74</v>
      </c>
      <c r="H1594" t="s">
        <v>74</v>
      </c>
      <c r="I1594" t="s">
        <v>15020</v>
      </c>
      <c r="J1594" t="s">
        <v>2276</v>
      </c>
      <c r="K1594" t="s">
        <v>74</v>
      </c>
      <c r="L1594" t="s">
        <v>74</v>
      </c>
      <c r="M1594" t="s">
        <v>78</v>
      </c>
      <c r="N1594" t="s">
        <v>79</v>
      </c>
      <c r="O1594" t="s">
        <v>74</v>
      </c>
      <c r="P1594" t="s">
        <v>74</v>
      </c>
      <c r="Q1594" t="s">
        <v>74</v>
      </c>
      <c r="R1594" t="s">
        <v>74</v>
      </c>
      <c r="S1594" t="s">
        <v>74</v>
      </c>
      <c r="T1594" t="s">
        <v>74</v>
      </c>
      <c r="U1594" t="s">
        <v>15019</v>
      </c>
      <c r="V1594" t="s">
        <v>15018</v>
      </c>
      <c r="W1594" t="s">
        <v>15017</v>
      </c>
      <c r="X1594" t="s">
        <v>15016</v>
      </c>
      <c r="Y1594" t="s">
        <v>15015</v>
      </c>
      <c r="Z1594" t="s">
        <v>74</v>
      </c>
      <c r="AA1594" t="s">
        <v>15014</v>
      </c>
      <c r="AB1594" t="s">
        <v>15013</v>
      </c>
      <c r="AC1594" t="s">
        <v>14892</v>
      </c>
      <c r="AD1594" t="s">
        <v>8029</v>
      </c>
      <c r="AE1594" t="s">
        <v>74</v>
      </c>
      <c r="AF1594" t="s">
        <v>74</v>
      </c>
      <c r="AG1594">
        <v>33</v>
      </c>
      <c r="AH1594">
        <v>532</v>
      </c>
      <c r="AI1594">
        <v>579</v>
      </c>
      <c r="AJ1594">
        <v>0</v>
      </c>
      <c r="AK1594">
        <v>27</v>
      </c>
      <c r="AL1594" t="s">
        <v>2284</v>
      </c>
      <c r="AM1594" t="s">
        <v>2285</v>
      </c>
      <c r="AN1594" t="s">
        <v>2286</v>
      </c>
      <c r="AO1594" t="s">
        <v>2287</v>
      </c>
      <c r="AP1594" t="s">
        <v>74</v>
      </c>
      <c r="AQ1594" t="s">
        <v>74</v>
      </c>
      <c r="AR1594" t="s">
        <v>2289</v>
      </c>
      <c r="AS1594" t="s">
        <v>2290</v>
      </c>
      <c r="AT1594" t="s">
        <v>15012</v>
      </c>
      <c r="AU1594">
        <v>2001</v>
      </c>
      <c r="AV1594">
        <v>345</v>
      </c>
      <c r="AW1594">
        <v>5</v>
      </c>
      <c r="AX1594" t="s">
        <v>74</v>
      </c>
      <c r="AY1594" t="s">
        <v>74</v>
      </c>
      <c r="AZ1594" t="s">
        <v>74</v>
      </c>
      <c r="BA1594" t="s">
        <v>74</v>
      </c>
      <c r="BB1594">
        <v>325</v>
      </c>
      <c r="BC1594">
        <v>334</v>
      </c>
      <c r="BD1594" t="s">
        <v>74</v>
      </c>
      <c r="BE1594" t="s">
        <v>15011</v>
      </c>
      <c r="BF1594" t="str">
        <f>HYPERLINK("http://dx.doi.org/10.1056/NEJM200108023450503","http://dx.doi.org/10.1056/NEJM200108023450503")</f>
        <v>http://dx.doi.org/10.1056/NEJM200108023450503</v>
      </c>
      <c r="BG1594" t="s">
        <v>74</v>
      </c>
      <c r="BH1594" t="s">
        <v>74</v>
      </c>
      <c r="BI1594">
        <v>10</v>
      </c>
      <c r="BJ1594" t="s">
        <v>1152</v>
      </c>
      <c r="BK1594" t="s">
        <v>101</v>
      </c>
      <c r="BL1594" t="s">
        <v>1153</v>
      </c>
      <c r="BM1594" t="s">
        <v>15010</v>
      </c>
      <c r="BN1594">
        <v>11484689</v>
      </c>
      <c r="BO1594" t="s">
        <v>2517</v>
      </c>
      <c r="BP1594" t="s">
        <v>74</v>
      </c>
      <c r="BQ1594" t="s">
        <v>74</v>
      </c>
      <c r="BR1594" t="s">
        <v>104</v>
      </c>
      <c r="BS1594" t="s">
        <v>15009</v>
      </c>
      <c r="BT1594" t="str">
        <f>HYPERLINK("https%3A%2F%2Fwww.webofscience.com%2Fwos%2Fwoscc%2Ffull-record%2FWOS:000170193600003","View Full Record in Web of Science")</f>
        <v>View Full Record in Web of Science</v>
      </c>
    </row>
    <row r="1595" spans="1:72" x14ac:dyDescent="0.25">
      <c r="A1595" t="s">
        <v>72</v>
      </c>
      <c r="B1595" t="s">
        <v>15008</v>
      </c>
      <c r="C1595" t="s">
        <v>74</v>
      </c>
      <c r="D1595" t="s">
        <v>74</v>
      </c>
      <c r="E1595" t="s">
        <v>74</v>
      </c>
      <c r="F1595" t="s">
        <v>15008</v>
      </c>
      <c r="G1595" t="s">
        <v>74</v>
      </c>
      <c r="H1595" t="s">
        <v>74</v>
      </c>
      <c r="I1595" t="s">
        <v>15007</v>
      </c>
      <c r="J1595" t="s">
        <v>14756</v>
      </c>
      <c r="K1595" t="s">
        <v>74</v>
      </c>
      <c r="L1595" t="s">
        <v>74</v>
      </c>
      <c r="M1595" t="s">
        <v>78</v>
      </c>
      <c r="N1595" t="s">
        <v>52</v>
      </c>
      <c r="O1595" t="s">
        <v>74</v>
      </c>
      <c r="P1595" t="s">
        <v>74</v>
      </c>
      <c r="Q1595" t="s">
        <v>74</v>
      </c>
      <c r="R1595" t="s">
        <v>74</v>
      </c>
      <c r="S1595" t="s">
        <v>74</v>
      </c>
      <c r="T1595" t="s">
        <v>74</v>
      </c>
      <c r="U1595" t="s">
        <v>74</v>
      </c>
      <c r="V1595" t="s">
        <v>74</v>
      </c>
      <c r="W1595" t="s">
        <v>15006</v>
      </c>
      <c r="X1595" t="s">
        <v>15005</v>
      </c>
      <c r="Y1595" t="s">
        <v>74</v>
      </c>
      <c r="Z1595" t="s">
        <v>74</v>
      </c>
      <c r="AA1595" t="s">
        <v>14695</v>
      </c>
      <c r="AB1595" t="s">
        <v>74</v>
      </c>
      <c r="AC1595" t="s">
        <v>74</v>
      </c>
      <c r="AD1595" t="s">
        <v>74</v>
      </c>
      <c r="AE1595" t="s">
        <v>74</v>
      </c>
      <c r="AF1595" t="s">
        <v>74</v>
      </c>
      <c r="AG1595">
        <v>0</v>
      </c>
      <c r="AH1595">
        <v>0</v>
      </c>
      <c r="AI1595">
        <v>0</v>
      </c>
      <c r="AJ1595">
        <v>0</v>
      </c>
      <c r="AK1595">
        <v>0</v>
      </c>
      <c r="AL1595" t="s">
        <v>14998</v>
      </c>
      <c r="AM1595" t="s">
        <v>486</v>
      </c>
      <c r="AN1595" t="s">
        <v>14752</v>
      </c>
      <c r="AO1595" t="s">
        <v>14751</v>
      </c>
      <c r="AP1595" t="s">
        <v>74</v>
      </c>
      <c r="AQ1595" t="s">
        <v>74</v>
      </c>
      <c r="AR1595" t="s">
        <v>14750</v>
      </c>
      <c r="AS1595" t="s">
        <v>14749</v>
      </c>
      <c r="AT1595" t="s">
        <v>725</v>
      </c>
      <c r="AU1595">
        <v>2001</v>
      </c>
      <c r="AV1595">
        <v>28</v>
      </c>
      <c r="AW1595">
        <v>8</v>
      </c>
      <c r="AX1595" t="s">
        <v>74</v>
      </c>
      <c r="AY1595" t="s">
        <v>998</v>
      </c>
      <c r="AZ1595" t="s">
        <v>74</v>
      </c>
      <c r="BA1595" t="s">
        <v>15004</v>
      </c>
      <c r="BB1595">
        <v>1037</v>
      </c>
      <c r="BC1595">
        <v>1037</v>
      </c>
      <c r="BD1595" t="s">
        <v>74</v>
      </c>
      <c r="BE1595" t="s">
        <v>74</v>
      </c>
      <c r="BF1595" t="s">
        <v>74</v>
      </c>
      <c r="BG1595" t="s">
        <v>74</v>
      </c>
      <c r="BH1595" t="s">
        <v>74</v>
      </c>
      <c r="BI1595">
        <v>1</v>
      </c>
      <c r="BJ1595" t="s">
        <v>892</v>
      </c>
      <c r="BK1595" t="s">
        <v>101</v>
      </c>
      <c r="BL1595" t="s">
        <v>892</v>
      </c>
      <c r="BM1595" t="s">
        <v>14996</v>
      </c>
      <c r="BN1595" t="s">
        <v>74</v>
      </c>
      <c r="BO1595" t="s">
        <v>74</v>
      </c>
      <c r="BP1595" t="s">
        <v>74</v>
      </c>
      <c r="BQ1595" t="s">
        <v>74</v>
      </c>
      <c r="BR1595" t="s">
        <v>104</v>
      </c>
      <c r="BS1595" t="s">
        <v>15003</v>
      </c>
      <c r="BT1595" t="str">
        <f>HYPERLINK("https%3A%2F%2Fwww.webofscience.com%2Fwos%2Fwoscc%2Ffull-record%2FWOS:000170528300296","View Full Record in Web of Science")</f>
        <v>View Full Record in Web of Science</v>
      </c>
    </row>
    <row r="1596" spans="1:72" x14ac:dyDescent="0.25">
      <c r="A1596" t="s">
        <v>72</v>
      </c>
      <c r="B1596" t="s">
        <v>15002</v>
      </c>
      <c r="C1596" t="s">
        <v>74</v>
      </c>
      <c r="D1596" t="s">
        <v>74</v>
      </c>
      <c r="E1596" t="s">
        <v>74</v>
      </c>
      <c r="F1596" t="s">
        <v>15002</v>
      </c>
      <c r="G1596" t="s">
        <v>74</v>
      </c>
      <c r="H1596" t="s">
        <v>74</v>
      </c>
      <c r="I1596" t="s">
        <v>15001</v>
      </c>
      <c r="J1596" t="s">
        <v>14756</v>
      </c>
      <c r="K1596" t="s">
        <v>74</v>
      </c>
      <c r="L1596" t="s">
        <v>74</v>
      </c>
      <c r="M1596" t="s">
        <v>78</v>
      </c>
      <c r="N1596" t="s">
        <v>52</v>
      </c>
      <c r="O1596" t="s">
        <v>74</v>
      </c>
      <c r="P1596" t="s">
        <v>74</v>
      </c>
      <c r="Q1596" t="s">
        <v>74</v>
      </c>
      <c r="R1596" t="s">
        <v>74</v>
      </c>
      <c r="S1596" t="s">
        <v>74</v>
      </c>
      <c r="T1596" t="s">
        <v>74</v>
      </c>
      <c r="U1596" t="s">
        <v>74</v>
      </c>
      <c r="V1596" t="s">
        <v>74</v>
      </c>
      <c r="W1596" t="s">
        <v>15000</v>
      </c>
      <c r="X1596" t="s">
        <v>14577</v>
      </c>
      <c r="Y1596" t="s">
        <v>74</v>
      </c>
      <c r="Z1596" t="s">
        <v>74</v>
      </c>
      <c r="AA1596" t="s">
        <v>14999</v>
      </c>
      <c r="AB1596" t="s">
        <v>74</v>
      </c>
      <c r="AC1596" t="s">
        <v>74</v>
      </c>
      <c r="AD1596" t="s">
        <v>74</v>
      </c>
      <c r="AE1596" t="s">
        <v>74</v>
      </c>
      <c r="AF1596" t="s">
        <v>74</v>
      </c>
      <c r="AG1596">
        <v>0</v>
      </c>
      <c r="AH1596">
        <v>0</v>
      </c>
      <c r="AI1596">
        <v>0</v>
      </c>
      <c r="AJ1596">
        <v>0</v>
      </c>
      <c r="AK1596">
        <v>0</v>
      </c>
      <c r="AL1596" t="s">
        <v>14998</v>
      </c>
      <c r="AM1596" t="s">
        <v>486</v>
      </c>
      <c r="AN1596" t="s">
        <v>14752</v>
      </c>
      <c r="AO1596" t="s">
        <v>14751</v>
      </c>
      <c r="AP1596" t="s">
        <v>74</v>
      </c>
      <c r="AQ1596" t="s">
        <v>74</v>
      </c>
      <c r="AR1596" t="s">
        <v>14750</v>
      </c>
      <c r="AS1596" t="s">
        <v>14749</v>
      </c>
      <c r="AT1596" t="s">
        <v>725</v>
      </c>
      <c r="AU1596">
        <v>2001</v>
      </c>
      <c r="AV1596">
        <v>28</v>
      </c>
      <c r="AW1596">
        <v>8</v>
      </c>
      <c r="AX1596" t="s">
        <v>74</v>
      </c>
      <c r="AY1596" t="s">
        <v>998</v>
      </c>
      <c r="AZ1596" t="s">
        <v>74</v>
      </c>
      <c r="BA1596" t="s">
        <v>14997</v>
      </c>
      <c r="BB1596">
        <v>1132</v>
      </c>
      <c r="BC1596">
        <v>1132</v>
      </c>
      <c r="BD1596" t="s">
        <v>74</v>
      </c>
      <c r="BE1596" t="s">
        <v>74</v>
      </c>
      <c r="BF1596" t="s">
        <v>74</v>
      </c>
      <c r="BG1596" t="s">
        <v>74</v>
      </c>
      <c r="BH1596" t="s">
        <v>74</v>
      </c>
      <c r="BI1596">
        <v>1</v>
      </c>
      <c r="BJ1596" t="s">
        <v>892</v>
      </c>
      <c r="BK1596" t="s">
        <v>101</v>
      </c>
      <c r="BL1596" t="s">
        <v>892</v>
      </c>
      <c r="BM1596" t="s">
        <v>14996</v>
      </c>
      <c r="BN1596" t="s">
        <v>74</v>
      </c>
      <c r="BO1596" t="s">
        <v>74</v>
      </c>
      <c r="BP1596" t="s">
        <v>74</v>
      </c>
      <c r="BQ1596" t="s">
        <v>74</v>
      </c>
      <c r="BR1596" t="s">
        <v>104</v>
      </c>
      <c r="BS1596" t="s">
        <v>14995</v>
      </c>
      <c r="BT1596" t="str">
        <f>HYPERLINK("https%3A%2F%2Fwww.webofscience.com%2Fwos%2Fwoscc%2Ffull-record%2FWOS:000170528300657","View Full Record in Web of Science")</f>
        <v>View Full Record in Web of Science</v>
      </c>
    </row>
    <row r="1597" spans="1:72" x14ac:dyDescent="0.25">
      <c r="A1597" t="s">
        <v>72</v>
      </c>
      <c r="B1597" t="s">
        <v>14994</v>
      </c>
      <c r="C1597" t="s">
        <v>74</v>
      </c>
      <c r="D1597" t="s">
        <v>74</v>
      </c>
      <c r="E1597" t="s">
        <v>74</v>
      </c>
      <c r="F1597" t="s">
        <v>14994</v>
      </c>
      <c r="G1597" t="s">
        <v>74</v>
      </c>
      <c r="H1597" t="s">
        <v>74</v>
      </c>
      <c r="I1597" t="s">
        <v>14993</v>
      </c>
      <c r="J1597" t="s">
        <v>8823</v>
      </c>
      <c r="K1597" t="s">
        <v>74</v>
      </c>
      <c r="L1597" t="s">
        <v>74</v>
      </c>
      <c r="M1597" t="s">
        <v>78</v>
      </c>
      <c r="N1597" t="s">
        <v>52</v>
      </c>
      <c r="O1597" t="s">
        <v>74</v>
      </c>
      <c r="P1597" t="s">
        <v>74</v>
      </c>
      <c r="Q1597" t="s">
        <v>74</v>
      </c>
      <c r="R1597" t="s">
        <v>74</v>
      </c>
      <c r="S1597" t="s">
        <v>74</v>
      </c>
      <c r="T1597" t="s">
        <v>74</v>
      </c>
      <c r="U1597" t="s">
        <v>74</v>
      </c>
      <c r="V1597" t="s">
        <v>74</v>
      </c>
      <c r="W1597" t="s">
        <v>14989</v>
      </c>
      <c r="X1597" t="s">
        <v>14156</v>
      </c>
      <c r="Y1597" t="s">
        <v>74</v>
      </c>
      <c r="Z1597" t="s">
        <v>74</v>
      </c>
      <c r="AA1597" t="s">
        <v>14988</v>
      </c>
      <c r="AB1597" t="s">
        <v>74</v>
      </c>
      <c r="AC1597" t="s">
        <v>74</v>
      </c>
      <c r="AD1597" t="s">
        <v>74</v>
      </c>
      <c r="AE1597" t="s">
        <v>74</v>
      </c>
      <c r="AF1597" t="s">
        <v>74</v>
      </c>
      <c r="AG1597">
        <v>0</v>
      </c>
      <c r="AH1597">
        <v>5</v>
      </c>
      <c r="AI1597">
        <v>5</v>
      </c>
      <c r="AJ1597">
        <v>0</v>
      </c>
      <c r="AK1597">
        <v>1</v>
      </c>
      <c r="AL1597" t="s">
        <v>8831</v>
      </c>
      <c r="AM1597" t="s">
        <v>8832</v>
      </c>
      <c r="AN1597" t="s">
        <v>8833</v>
      </c>
      <c r="AO1597" t="s">
        <v>8834</v>
      </c>
      <c r="AP1597" t="s">
        <v>74</v>
      </c>
      <c r="AQ1597" t="s">
        <v>74</v>
      </c>
      <c r="AR1597" t="s">
        <v>8836</v>
      </c>
      <c r="AS1597" t="s">
        <v>8837</v>
      </c>
      <c r="AT1597" t="s">
        <v>2097</v>
      </c>
      <c r="AU1597">
        <v>2001</v>
      </c>
      <c r="AV1597">
        <v>42</v>
      </c>
      <c r="AW1597">
        <v>5</v>
      </c>
      <c r="AX1597" t="s">
        <v>74</v>
      </c>
      <c r="AY1597" t="s">
        <v>998</v>
      </c>
      <c r="AZ1597" t="s">
        <v>74</v>
      </c>
      <c r="BA1597">
        <v>514</v>
      </c>
      <c r="BB1597" t="s">
        <v>14987</v>
      </c>
      <c r="BC1597" t="s">
        <v>14987</v>
      </c>
      <c r="BD1597" t="s">
        <v>74</v>
      </c>
      <c r="BE1597" t="s">
        <v>74</v>
      </c>
      <c r="BF1597" t="s">
        <v>74</v>
      </c>
      <c r="BG1597" t="s">
        <v>74</v>
      </c>
      <c r="BH1597" t="s">
        <v>74</v>
      </c>
      <c r="BI1597">
        <v>1</v>
      </c>
      <c r="BJ1597" t="s">
        <v>892</v>
      </c>
      <c r="BK1597" t="s">
        <v>101</v>
      </c>
      <c r="BL1597" t="s">
        <v>892</v>
      </c>
      <c r="BM1597" t="s">
        <v>14986</v>
      </c>
      <c r="BN1597" t="s">
        <v>74</v>
      </c>
      <c r="BO1597" t="s">
        <v>74</v>
      </c>
      <c r="BP1597" t="s">
        <v>74</v>
      </c>
      <c r="BQ1597" t="s">
        <v>74</v>
      </c>
      <c r="BR1597" t="s">
        <v>104</v>
      </c>
      <c r="BS1597" t="s">
        <v>14992</v>
      </c>
      <c r="BT1597" t="str">
        <f>HYPERLINK("https%3A%2F%2Fwww.webofscience.com%2Fwos%2Fwoscc%2Ffull-record%2FWOS:000168821900515","View Full Record in Web of Science")</f>
        <v>View Full Record in Web of Science</v>
      </c>
    </row>
    <row r="1598" spans="1:72" x14ac:dyDescent="0.25">
      <c r="A1598" t="s">
        <v>72</v>
      </c>
      <c r="B1598" t="s">
        <v>14991</v>
      </c>
      <c r="C1598" t="s">
        <v>74</v>
      </c>
      <c r="D1598" t="s">
        <v>74</v>
      </c>
      <c r="E1598" t="s">
        <v>74</v>
      </c>
      <c r="F1598" t="s">
        <v>14991</v>
      </c>
      <c r="G1598" t="s">
        <v>74</v>
      </c>
      <c r="H1598" t="s">
        <v>74</v>
      </c>
      <c r="I1598" t="s">
        <v>14990</v>
      </c>
      <c r="J1598" t="s">
        <v>8823</v>
      </c>
      <c r="K1598" t="s">
        <v>74</v>
      </c>
      <c r="L1598" t="s">
        <v>74</v>
      </c>
      <c r="M1598" t="s">
        <v>78</v>
      </c>
      <c r="N1598" t="s">
        <v>52</v>
      </c>
      <c r="O1598" t="s">
        <v>74</v>
      </c>
      <c r="P1598" t="s">
        <v>74</v>
      </c>
      <c r="Q1598" t="s">
        <v>74</v>
      </c>
      <c r="R1598" t="s">
        <v>74</v>
      </c>
      <c r="S1598" t="s">
        <v>74</v>
      </c>
      <c r="T1598" t="s">
        <v>74</v>
      </c>
      <c r="U1598" t="s">
        <v>74</v>
      </c>
      <c r="V1598" t="s">
        <v>74</v>
      </c>
      <c r="W1598" t="s">
        <v>14989</v>
      </c>
      <c r="X1598" t="s">
        <v>14156</v>
      </c>
      <c r="Y1598" t="s">
        <v>74</v>
      </c>
      <c r="Z1598" t="s">
        <v>74</v>
      </c>
      <c r="AA1598" t="s">
        <v>14988</v>
      </c>
      <c r="AB1598" t="s">
        <v>74</v>
      </c>
      <c r="AC1598" t="s">
        <v>74</v>
      </c>
      <c r="AD1598" t="s">
        <v>74</v>
      </c>
      <c r="AE1598" t="s">
        <v>74</v>
      </c>
      <c r="AF1598" t="s">
        <v>74</v>
      </c>
      <c r="AG1598">
        <v>0</v>
      </c>
      <c r="AH1598">
        <v>5</v>
      </c>
      <c r="AI1598">
        <v>5</v>
      </c>
      <c r="AJ1598">
        <v>0</v>
      </c>
      <c r="AK1598">
        <v>1</v>
      </c>
      <c r="AL1598" t="s">
        <v>8831</v>
      </c>
      <c r="AM1598" t="s">
        <v>8832</v>
      </c>
      <c r="AN1598" t="s">
        <v>8833</v>
      </c>
      <c r="AO1598" t="s">
        <v>8834</v>
      </c>
      <c r="AP1598" t="s">
        <v>74</v>
      </c>
      <c r="AQ1598" t="s">
        <v>74</v>
      </c>
      <c r="AR1598" t="s">
        <v>8836</v>
      </c>
      <c r="AS1598" t="s">
        <v>8837</v>
      </c>
      <c r="AT1598" t="s">
        <v>2097</v>
      </c>
      <c r="AU1598">
        <v>2001</v>
      </c>
      <c r="AV1598">
        <v>42</v>
      </c>
      <c r="AW1598">
        <v>5</v>
      </c>
      <c r="AX1598" t="s">
        <v>74</v>
      </c>
      <c r="AY1598" t="s">
        <v>998</v>
      </c>
      <c r="AZ1598" t="s">
        <v>74</v>
      </c>
      <c r="BA1598">
        <v>513</v>
      </c>
      <c r="BB1598" t="s">
        <v>14987</v>
      </c>
      <c r="BC1598" t="s">
        <v>14987</v>
      </c>
      <c r="BD1598" t="s">
        <v>74</v>
      </c>
      <c r="BE1598" t="s">
        <v>74</v>
      </c>
      <c r="BF1598" t="s">
        <v>74</v>
      </c>
      <c r="BG1598" t="s">
        <v>74</v>
      </c>
      <c r="BH1598" t="s">
        <v>74</v>
      </c>
      <c r="BI1598">
        <v>1</v>
      </c>
      <c r="BJ1598" t="s">
        <v>892</v>
      </c>
      <c r="BK1598" t="s">
        <v>101</v>
      </c>
      <c r="BL1598" t="s">
        <v>892</v>
      </c>
      <c r="BM1598" t="s">
        <v>14986</v>
      </c>
      <c r="BN1598" t="s">
        <v>74</v>
      </c>
      <c r="BO1598" t="s">
        <v>74</v>
      </c>
      <c r="BP1598" t="s">
        <v>74</v>
      </c>
      <c r="BQ1598" t="s">
        <v>74</v>
      </c>
      <c r="BR1598" t="s">
        <v>104</v>
      </c>
      <c r="BS1598" t="s">
        <v>14985</v>
      </c>
      <c r="BT1598" t="str">
        <f>HYPERLINK("https%3A%2F%2Fwww.webofscience.com%2Fwos%2Fwoscc%2Ffull-record%2FWOS:000168821900514","View Full Record in Web of Science")</f>
        <v>View Full Record in Web of Science</v>
      </c>
    </row>
    <row r="1599" spans="1:72" x14ac:dyDescent="0.25">
      <c r="A1599" t="s">
        <v>72</v>
      </c>
      <c r="B1599" t="s">
        <v>14984</v>
      </c>
      <c r="C1599" t="s">
        <v>74</v>
      </c>
      <c r="D1599" t="s">
        <v>74</v>
      </c>
      <c r="E1599" t="s">
        <v>74</v>
      </c>
      <c r="F1599" t="s">
        <v>14984</v>
      </c>
      <c r="G1599" t="s">
        <v>74</v>
      </c>
      <c r="H1599" t="s">
        <v>74</v>
      </c>
      <c r="I1599" t="s">
        <v>14983</v>
      </c>
      <c r="J1599" t="s">
        <v>4427</v>
      </c>
      <c r="K1599" t="s">
        <v>74</v>
      </c>
      <c r="L1599" t="s">
        <v>74</v>
      </c>
      <c r="M1599" t="s">
        <v>78</v>
      </c>
      <c r="N1599" t="s">
        <v>79</v>
      </c>
      <c r="O1599" t="s">
        <v>74</v>
      </c>
      <c r="P1599" t="s">
        <v>74</v>
      </c>
      <c r="Q1599" t="s">
        <v>74</v>
      </c>
      <c r="R1599" t="s">
        <v>74</v>
      </c>
      <c r="S1599" t="s">
        <v>74</v>
      </c>
      <c r="T1599" t="s">
        <v>14982</v>
      </c>
      <c r="U1599" t="s">
        <v>14981</v>
      </c>
      <c r="V1599" t="s">
        <v>14980</v>
      </c>
      <c r="W1599" t="s">
        <v>14979</v>
      </c>
      <c r="X1599" t="s">
        <v>14978</v>
      </c>
      <c r="Y1599" t="s">
        <v>14977</v>
      </c>
      <c r="Z1599" t="s">
        <v>74</v>
      </c>
      <c r="AA1599" t="s">
        <v>144</v>
      </c>
      <c r="AB1599" t="s">
        <v>14976</v>
      </c>
      <c r="AC1599" t="s">
        <v>74</v>
      </c>
      <c r="AD1599" t="s">
        <v>74</v>
      </c>
      <c r="AE1599" t="s">
        <v>74</v>
      </c>
      <c r="AF1599" t="s">
        <v>74</v>
      </c>
      <c r="AG1599">
        <v>41</v>
      </c>
      <c r="AH1599">
        <v>150</v>
      </c>
      <c r="AI1599">
        <v>158</v>
      </c>
      <c r="AJ1599">
        <v>0</v>
      </c>
      <c r="AK1599">
        <v>4</v>
      </c>
      <c r="AL1599" t="s">
        <v>14975</v>
      </c>
      <c r="AM1599" t="s">
        <v>14439</v>
      </c>
      <c r="AN1599" t="s">
        <v>14658</v>
      </c>
      <c r="AO1599" t="s">
        <v>4433</v>
      </c>
      <c r="AP1599" t="s">
        <v>74</v>
      </c>
      <c r="AQ1599" t="s">
        <v>74</v>
      </c>
      <c r="AR1599" t="s">
        <v>4435</v>
      </c>
      <c r="AS1599" t="s">
        <v>4436</v>
      </c>
      <c r="AT1599" t="s">
        <v>997</v>
      </c>
      <c r="AU1599">
        <v>2001</v>
      </c>
      <c r="AV1599">
        <v>107</v>
      </c>
      <c r="AW1599">
        <v>4</v>
      </c>
      <c r="AX1599" t="s">
        <v>74</v>
      </c>
      <c r="AY1599" t="s">
        <v>74</v>
      </c>
      <c r="AZ1599" t="s">
        <v>74</v>
      </c>
      <c r="BA1599" t="s">
        <v>74</v>
      </c>
      <c r="BB1599">
        <v>686</v>
      </c>
      <c r="BC1599">
        <v>692</v>
      </c>
      <c r="BD1599" t="s">
        <v>74</v>
      </c>
      <c r="BE1599" t="s">
        <v>14974</v>
      </c>
      <c r="BF1599" t="str">
        <f>HYPERLINK("http://dx.doi.org/10.1067/mai.2001.114339","http://dx.doi.org/10.1067/mai.2001.114339")</f>
        <v>http://dx.doi.org/10.1067/mai.2001.114339</v>
      </c>
      <c r="BG1599" t="s">
        <v>74</v>
      </c>
      <c r="BH1599" t="s">
        <v>74</v>
      </c>
      <c r="BI1599">
        <v>7</v>
      </c>
      <c r="BJ1599" t="s">
        <v>3085</v>
      </c>
      <c r="BK1599" t="s">
        <v>101</v>
      </c>
      <c r="BL1599" t="s">
        <v>3085</v>
      </c>
      <c r="BM1599" t="s">
        <v>14973</v>
      </c>
      <c r="BN1599">
        <v>11295659</v>
      </c>
      <c r="BO1599" t="s">
        <v>1194</v>
      </c>
      <c r="BP1599" t="s">
        <v>74</v>
      </c>
      <c r="BQ1599" t="s">
        <v>74</v>
      </c>
      <c r="BR1599" t="s">
        <v>104</v>
      </c>
      <c r="BS1599" t="s">
        <v>14972</v>
      </c>
      <c r="BT1599" t="str">
        <f>HYPERLINK("https%3A%2F%2Fwww.webofscience.com%2Fwos%2Fwoscc%2Ffull-record%2FWOS:000168190100022","View Full Record in Web of Science")</f>
        <v>View Full Record in Web of Science</v>
      </c>
    </row>
    <row r="1600" spans="1:72" x14ac:dyDescent="0.25">
      <c r="A1600" t="s">
        <v>72</v>
      </c>
      <c r="B1600" t="s">
        <v>14971</v>
      </c>
      <c r="C1600" t="s">
        <v>74</v>
      </c>
      <c r="D1600" t="s">
        <v>74</v>
      </c>
      <c r="E1600" t="s">
        <v>74</v>
      </c>
      <c r="F1600" t="s">
        <v>14971</v>
      </c>
      <c r="G1600" t="s">
        <v>74</v>
      </c>
      <c r="H1600" t="s">
        <v>74</v>
      </c>
      <c r="I1600" t="s">
        <v>14970</v>
      </c>
      <c r="J1600" t="s">
        <v>14510</v>
      </c>
      <c r="K1600" t="s">
        <v>74</v>
      </c>
      <c r="L1600" t="s">
        <v>74</v>
      </c>
      <c r="M1600" t="s">
        <v>1349</v>
      </c>
      <c r="N1600" t="s">
        <v>8016</v>
      </c>
      <c r="O1600" t="s">
        <v>14969</v>
      </c>
      <c r="P1600" t="s">
        <v>14968</v>
      </c>
      <c r="Q1600" t="s">
        <v>14967</v>
      </c>
      <c r="R1600" t="s">
        <v>74</v>
      </c>
      <c r="S1600" t="s">
        <v>74</v>
      </c>
      <c r="T1600" t="s">
        <v>74</v>
      </c>
      <c r="U1600" t="s">
        <v>14966</v>
      </c>
      <c r="V1600" t="s">
        <v>74</v>
      </c>
      <c r="W1600" t="s">
        <v>14506</v>
      </c>
      <c r="X1600" t="s">
        <v>14156</v>
      </c>
      <c r="Y1600" t="s">
        <v>14505</v>
      </c>
      <c r="Z1600" t="s">
        <v>74</v>
      </c>
      <c r="AA1600" t="s">
        <v>14965</v>
      </c>
      <c r="AB1600" t="s">
        <v>257</v>
      </c>
      <c r="AC1600" t="s">
        <v>74</v>
      </c>
      <c r="AD1600" t="s">
        <v>74</v>
      </c>
      <c r="AE1600" t="s">
        <v>74</v>
      </c>
      <c r="AF1600" t="s">
        <v>74</v>
      </c>
      <c r="AG1600">
        <v>20</v>
      </c>
      <c r="AH1600">
        <v>0</v>
      </c>
      <c r="AI1600">
        <v>0</v>
      </c>
      <c r="AJ1600">
        <v>0</v>
      </c>
      <c r="AK1600">
        <v>1</v>
      </c>
      <c r="AL1600" t="s">
        <v>14964</v>
      </c>
      <c r="AM1600" t="s">
        <v>14963</v>
      </c>
      <c r="AN1600" t="s">
        <v>14962</v>
      </c>
      <c r="AO1600" t="s">
        <v>14502</v>
      </c>
      <c r="AP1600" t="s">
        <v>74</v>
      </c>
      <c r="AQ1600" t="s">
        <v>74</v>
      </c>
      <c r="AR1600" t="s">
        <v>14501</v>
      </c>
      <c r="AS1600" t="s">
        <v>14500</v>
      </c>
      <c r="AT1600" t="s">
        <v>176</v>
      </c>
      <c r="AU1600">
        <v>2001</v>
      </c>
      <c r="AV1600">
        <v>41</v>
      </c>
      <c r="AW1600">
        <v>1</v>
      </c>
      <c r="AX1600" t="s">
        <v>74</v>
      </c>
      <c r="AY1600" t="s">
        <v>74</v>
      </c>
      <c r="AZ1600" t="s">
        <v>74</v>
      </c>
      <c r="BA1600" t="s">
        <v>74</v>
      </c>
      <c r="BB1600">
        <v>50</v>
      </c>
      <c r="BC1600">
        <v>54</v>
      </c>
      <c r="BD1600" t="s">
        <v>74</v>
      </c>
      <c r="BE1600" t="s">
        <v>14961</v>
      </c>
      <c r="BF1600" t="str">
        <f>HYPERLINK("http://dx.doi.org/10.1016/S0335-7457(01)80021-6","http://dx.doi.org/10.1016/S0335-7457(01)80021-6")</f>
        <v>http://dx.doi.org/10.1016/S0335-7457(01)80021-6</v>
      </c>
      <c r="BG1600" t="s">
        <v>74</v>
      </c>
      <c r="BH1600" t="s">
        <v>74</v>
      </c>
      <c r="BI1600">
        <v>5</v>
      </c>
      <c r="BJ1600" t="s">
        <v>601</v>
      </c>
      <c r="BK1600" t="s">
        <v>14074</v>
      </c>
      <c r="BL1600" t="s">
        <v>601</v>
      </c>
      <c r="BM1600" t="s">
        <v>14960</v>
      </c>
      <c r="BN1600" t="s">
        <v>74</v>
      </c>
      <c r="BO1600" t="s">
        <v>74</v>
      </c>
      <c r="BP1600" t="s">
        <v>74</v>
      </c>
      <c r="BQ1600" t="s">
        <v>74</v>
      </c>
      <c r="BR1600" t="s">
        <v>104</v>
      </c>
      <c r="BS1600" t="s">
        <v>14959</v>
      </c>
      <c r="BT1600" t="str">
        <f>HYPERLINK("https%3A%2F%2Fwww.webofscience.com%2Fwos%2Fwoscc%2Ffull-record%2FWOS:000166668700010","View Full Record in Web of Science")</f>
        <v>View Full Record in Web of Science</v>
      </c>
    </row>
    <row r="1601" spans="1:72" x14ac:dyDescent="0.25">
      <c r="A1601" t="s">
        <v>72</v>
      </c>
      <c r="B1601" t="s">
        <v>14958</v>
      </c>
      <c r="C1601" t="s">
        <v>74</v>
      </c>
      <c r="D1601" t="s">
        <v>74</v>
      </c>
      <c r="E1601" t="s">
        <v>74</v>
      </c>
      <c r="F1601" t="s">
        <v>14958</v>
      </c>
      <c r="G1601" t="s">
        <v>74</v>
      </c>
      <c r="H1601" t="s">
        <v>74</v>
      </c>
      <c r="I1601" t="s">
        <v>14957</v>
      </c>
      <c r="J1601" t="s">
        <v>14956</v>
      </c>
      <c r="K1601" t="s">
        <v>74</v>
      </c>
      <c r="L1601" t="s">
        <v>74</v>
      </c>
      <c r="M1601" t="s">
        <v>78</v>
      </c>
      <c r="N1601" t="s">
        <v>79</v>
      </c>
      <c r="O1601" t="s">
        <v>74</v>
      </c>
      <c r="P1601" t="s">
        <v>74</v>
      </c>
      <c r="Q1601" t="s">
        <v>74</v>
      </c>
      <c r="R1601" t="s">
        <v>74</v>
      </c>
      <c r="S1601" t="s">
        <v>74</v>
      </c>
      <c r="T1601" t="s">
        <v>74</v>
      </c>
      <c r="U1601" t="s">
        <v>14955</v>
      </c>
      <c r="V1601" t="s">
        <v>14954</v>
      </c>
      <c r="W1601" t="s">
        <v>14953</v>
      </c>
      <c r="X1601" t="s">
        <v>14952</v>
      </c>
      <c r="Y1601" t="s">
        <v>14951</v>
      </c>
      <c r="Z1601" t="s">
        <v>74</v>
      </c>
      <c r="AA1601" t="s">
        <v>14950</v>
      </c>
      <c r="AB1601" t="s">
        <v>14949</v>
      </c>
      <c r="AC1601" t="s">
        <v>14948</v>
      </c>
      <c r="AD1601" t="s">
        <v>8029</v>
      </c>
      <c r="AE1601" t="s">
        <v>74</v>
      </c>
      <c r="AF1601" t="s">
        <v>74</v>
      </c>
      <c r="AG1601">
        <v>27</v>
      </c>
      <c r="AH1601">
        <v>419</v>
      </c>
      <c r="AI1601">
        <v>461</v>
      </c>
      <c r="AJ1601">
        <v>0</v>
      </c>
      <c r="AK1601">
        <v>27</v>
      </c>
      <c r="AL1601" t="s">
        <v>14947</v>
      </c>
      <c r="AM1601" t="s">
        <v>3652</v>
      </c>
      <c r="AN1601" t="s">
        <v>14946</v>
      </c>
      <c r="AO1601" t="s">
        <v>14945</v>
      </c>
      <c r="AP1601" t="s">
        <v>74</v>
      </c>
      <c r="AQ1601" t="s">
        <v>74</v>
      </c>
      <c r="AR1601" t="s">
        <v>14944</v>
      </c>
      <c r="AS1601" t="s">
        <v>14943</v>
      </c>
      <c r="AT1601" t="s">
        <v>176</v>
      </c>
      <c r="AU1601">
        <v>2001</v>
      </c>
      <c r="AV1601">
        <v>68</v>
      </c>
      <c r="AW1601">
        <v>1</v>
      </c>
      <c r="AX1601" t="s">
        <v>74</v>
      </c>
      <c r="AY1601" t="s">
        <v>74</v>
      </c>
      <c r="AZ1601" t="s">
        <v>74</v>
      </c>
      <c r="BA1601" t="s">
        <v>74</v>
      </c>
      <c r="BB1601">
        <v>92</v>
      </c>
      <c r="BC1601">
        <v>102</v>
      </c>
      <c r="BD1601" t="s">
        <v>74</v>
      </c>
      <c r="BE1601" t="s">
        <v>14942</v>
      </c>
      <c r="BF1601" t="str">
        <f>HYPERLINK("http://dx.doi.org/10.1086/316947","http://dx.doi.org/10.1086/316947")</f>
        <v>http://dx.doi.org/10.1086/316947</v>
      </c>
      <c r="BG1601" t="s">
        <v>74</v>
      </c>
      <c r="BH1601" t="s">
        <v>74</v>
      </c>
      <c r="BI1601">
        <v>11</v>
      </c>
      <c r="BJ1601" t="s">
        <v>4407</v>
      </c>
      <c r="BK1601" t="s">
        <v>101</v>
      </c>
      <c r="BL1601" t="s">
        <v>4407</v>
      </c>
      <c r="BM1601" t="s">
        <v>14941</v>
      </c>
      <c r="BN1601">
        <v>11115378</v>
      </c>
      <c r="BO1601" t="s">
        <v>7925</v>
      </c>
      <c r="BP1601" t="s">
        <v>74</v>
      </c>
      <c r="BQ1601" t="s">
        <v>74</v>
      </c>
      <c r="BR1601" t="s">
        <v>104</v>
      </c>
      <c r="BS1601" t="s">
        <v>14940</v>
      </c>
      <c r="BT1601" t="str">
        <f>HYPERLINK("https%3A%2F%2Fwww.webofscience.com%2Fwos%2Fwoscc%2Ffull-record%2FWOS:000166399900008","View Full Record in Web of Science")</f>
        <v>View Full Record in Web of Science</v>
      </c>
    </row>
    <row r="1602" spans="1:72" x14ac:dyDescent="0.25">
      <c r="A1602" t="s">
        <v>72</v>
      </c>
      <c r="B1602" t="s">
        <v>14939</v>
      </c>
      <c r="C1602" t="s">
        <v>74</v>
      </c>
      <c r="D1602" t="s">
        <v>74</v>
      </c>
      <c r="E1602" t="s">
        <v>74</v>
      </c>
      <c r="F1602" t="s">
        <v>14939</v>
      </c>
      <c r="G1602" t="s">
        <v>74</v>
      </c>
      <c r="H1602" t="s">
        <v>74</v>
      </c>
      <c r="I1602" t="s">
        <v>14938</v>
      </c>
      <c r="J1602" t="s">
        <v>251</v>
      </c>
      <c r="K1602" t="s">
        <v>74</v>
      </c>
      <c r="L1602" t="s">
        <v>74</v>
      </c>
      <c r="M1602" t="s">
        <v>78</v>
      </c>
      <c r="N1602" t="s">
        <v>79</v>
      </c>
      <c r="O1602" t="s">
        <v>74</v>
      </c>
      <c r="P1602" t="s">
        <v>74</v>
      </c>
      <c r="Q1602" t="s">
        <v>74</v>
      </c>
      <c r="R1602" t="s">
        <v>74</v>
      </c>
      <c r="S1602" t="s">
        <v>74</v>
      </c>
      <c r="T1602" t="s">
        <v>14937</v>
      </c>
      <c r="U1602" t="s">
        <v>14936</v>
      </c>
      <c r="V1602" t="s">
        <v>14935</v>
      </c>
      <c r="W1602" t="s">
        <v>14934</v>
      </c>
      <c r="X1602" t="s">
        <v>14933</v>
      </c>
      <c r="Y1602" t="s">
        <v>14932</v>
      </c>
      <c r="Z1602" t="s">
        <v>74</v>
      </c>
      <c r="AA1602" t="s">
        <v>14164</v>
      </c>
      <c r="AB1602" t="s">
        <v>3302</v>
      </c>
      <c r="AC1602" t="s">
        <v>74</v>
      </c>
      <c r="AD1602" t="s">
        <v>74</v>
      </c>
      <c r="AE1602" t="s">
        <v>74</v>
      </c>
      <c r="AF1602" t="s">
        <v>74</v>
      </c>
      <c r="AG1602">
        <v>16</v>
      </c>
      <c r="AH1602">
        <v>53</v>
      </c>
      <c r="AI1602">
        <v>55</v>
      </c>
      <c r="AJ1602">
        <v>0</v>
      </c>
      <c r="AK1602">
        <v>1</v>
      </c>
      <c r="AL1602" t="s">
        <v>122</v>
      </c>
      <c r="AM1602" t="s">
        <v>123</v>
      </c>
      <c r="AN1602" t="s">
        <v>14769</v>
      </c>
      <c r="AO1602" t="s">
        <v>258</v>
      </c>
      <c r="AP1602" t="s">
        <v>74</v>
      </c>
      <c r="AQ1602" t="s">
        <v>74</v>
      </c>
      <c r="AR1602" t="s">
        <v>251</v>
      </c>
      <c r="AS1602" t="s">
        <v>260</v>
      </c>
      <c r="AT1602" t="s">
        <v>9463</v>
      </c>
      <c r="AU1602">
        <v>2000</v>
      </c>
      <c r="AV1602">
        <v>102</v>
      </c>
      <c r="AW1602">
        <v>20</v>
      </c>
      <c r="AX1602" t="s">
        <v>74</v>
      </c>
      <c r="AY1602" t="s">
        <v>74</v>
      </c>
      <c r="AZ1602" t="s">
        <v>74</v>
      </c>
      <c r="BA1602" t="s">
        <v>74</v>
      </c>
      <c r="BB1602">
        <v>2460</v>
      </c>
      <c r="BC1602">
        <v>2462</v>
      </c>
      <c r="BD1602" t="s">
        <v>74</v>
      </c>
      <c r="BE1602" t="s">
        <v>14931</v>
      </c>
      <c r="BF1602" t="str">
        <f>HYPERLINK("http://dx.doi.org/10.1161/01.CIR.102.20.2460","http://dx.doi.org/10.1161/01.CIR.102.20.2460")</f>
        <v>http://dx.doi.org/10.1161/01.CIR.102.20.2460</v>
      </c>
      <c r="BG1602" t="s">
        <v>74</v>
      </c>
      <c r="BH1602" t="s">
        <v>74</v>
      </c>
      <c r="BI1602">
        <v>3</v>
      </c>
      <c r="BJ1602" t="s">
        <v>263</v>
      </c>
      <c r="BK1602" t="s">
        <v>101</v>
      </c>
      <c r="BL1602" t="s">
        <v>133</v>
      </c>
      <c r="BM1602" t="s">
        <v>14930</v>
      </c>
      <c r="BN1602">
        <v>11076816</v>
      </c>
      <c r="BO1602" t="s">
        <v>1194</v>
      </c>
      <c r="BP1602" t="s">
        <v>74</v>
      </c>
      <c r="BQ1602" t="s">
        <v>74</v>
      </c>
      <c r="BR1602" t="s">
        <v>104</v>
      </c>
      <c r="BS1602" t="s">
        <v>14929</v>
      </c>
      <c r="BT1602" t="str">
        <f>HYPERLINK("https%3A%2F%2Fwww.webofscience.com%2Fwos%2Fwoscc%2Ffull-record%2FWOS:000165296100011","View Full Record in Web of Science")</f>
        <v>View Full Record in Web of Science</v>
      </c>
    </row>
    <row r="1603" spans="1:72" x14ac:dyDescent="0.25">
      <c r="A1603" t="s">
        <v>72</v>
      </c>
      <c r="B1603" t="s">
        <v>14928</v>
      </c>
      <c r="C1603" t="s">
        <v>74</v>
      </c>
      <c r="D1603" t="s">
        <v>74</v>
      </c>
      <c r="E1603" t="s">
        <v>74</v>
      </c>
      <c r="F1603" t="s">
        <v>14928</v>
      </c>
      <c r="G1603" t="s">
        <v>74</v>
      </c>
      <c r="H1603" t="s">
        <v>74</v>
      </c>
      <c r="I1603" t="s">
        <v>14927</v>
      </c>
      <c r="J1603" t="s">
        <v>637</v>
      </c>
      <c r="K1603" t="s">
        <v>74</v>
      </c>
      <c r="L1603" t="s">
        <v>74</v>
      </c>
      <c r="M1603" t="s">
        <v>78</v>
      </c>
      <c r="N1603" t="s">
        <v>79</v>
      </c>
      <c r="O1603" t="s">
        <v>74</v>
      </c>
      <c r="P1603" t="s">
        <v>74</v>
      </c>
      <c r="Q1603" t="s">
        <v>74</v>
      </c>
      <c r="R1603" t="s">
        <v>74</v>
      </c>
      <c r="S1603" t="s">
        <v>74</v>
      </c>
      <c r="T1603" t="s">
        <v>74</v>
      </c>
      <c r="U1603" t="s">
        <v>14926</v>
      </c>
      <c r="V1603" t="s">
        <v>14925</v>
      </c>
      <c r="W1603" t="s">
        <v>14924</v>
      </c>
      <c r="X1603" t="s">
        <v>14923</v>
      </c>
      <c r="Y1603" t="s">
        <v>14922</v>
      </c>
      <c r="Z1603" t="s">
        <v>74</v>
      </c>
      <c r="AA1603" t="s">
        <v>14921</v>
      </c>
      <c r="AB1603" t="s">
        <v>14920</v>
      </c>
      <c r="AC1603" t="s">
        <v>74</v>
      </c>
      <c r="AD1603" t="s">
        <v>74</v>
      </c>
      <c r="AE1603" t="s">
        <v>74</v>
      </c>
      <c r="AF1603" t="s">
        <v>74</v>
      </c>
      <c r="AG1603">
        <v>24</v>
      </c>
      <c r="AH1603">
        <v>78</v>
      </c>
      <c r="AI1603">
        <v>87</v>
      </c>
      <c r="AJ1603">
        <v>0</v>
      </c>
      <c r="AK1603">
        <v>4</v>
      </c>
      <c r="AL1603" t="s">
        <v>649</v>
      </c>
      <c r="AM1603" t="s">
        <v>486</v>
      </c>
      <c r="AN1603" t="s">
        <v>14919</v>
      </c>
      <c r="AO1603" t="s">
        <v>651</v>
      </c>
      <c r="AP1603" t="s">
        <v>74</v>
      </c>
      <c r="AQ1603" t="s">
        <v>74</v>
      </c>
      <c r="AR1603" t="s">
        <v>653</v>
      </c>
      <c r="AS1603" t="s">
        <v>654</v>
      </c>
      <c r="AT1603" t="s">
        <v>420</v>
      </c>
      <c r="AU1603">
        <v>2000</v>
      </c>
      <c r="AV1603">
        <v>162</v>
      </c>
      <c r="AW1603">
        <v>4</v>
      </c>
      <c r="AX1603" t="s">
        <v>74</v>
      </c>
      <c r="AY1603" t="s">
        <v>74</v>
      </c>
      <c r="AZ1603" t="s">
        <v>74</v>
      </c>
      <c r="BA1603" t="s">
        <v>74</v>
      </c>
      <c r="BB1603">
        <v>1493</v>
      </c>
      <c r="BC1603">
        <v>1499</v>
      </c>
      <c r="BD1603" t="s">
        <v>74</v>
      </c>
      <c r="BE1603" t="s">
        <v>14918</v>
      </c>
      <c r="BF1603" t="str">
        <f>HYPERLINK("http://dx.doi.org/10.1164/ajrccm.162.4.2003124","http://dx.doi.org/10.1164/ajrccm.162.4.2003124")</f>
        <v>http://dx.doi.org/10.1164/ajrccm.162.4.2003124</v>
      </c>
      <c r="BG1603" t="s">
        <v>74</v>
      </c>
      <c r="BH1603" t="s">
        <v>74</v>
      </c>
      <c r="BI1603">
        <v>7</v>
      </c>
      <c r="BJ1603" t="s">
        <v>341</v>
      </c>
      <c r="BK1603" t="s">
        <v>101</v>
      </c>
      <c r="BL1603" t="s">
        <v>342</v>
      </c>
      <c r="BM1603" t="s">
        <v>14917</v>
      </c>
      <c r="BN1603">
        <v>11029367</v>
      </c>
      <c r="BO1603" t="s">
        <v>74</v>
      </c>
      <c r="BP1603" t="s">
        <v>74</v>
      </c>
      <c r="BQ1603" t="s">
        <v>74</v>
      </c>
      <c r="BR1603" t="s">
        <v>104</v>
      </c>
      <c r="BS1603" t="s">
        <v>14916</v>
      </c>
      <c r="BT1603" t="str">
        <f>HYPERLINK("https%3A%2F%2Fwww.webofscience.com%2Fwos%2Fwoscc%2Ffull-record%2FWOS:000089905900051","View Full Record in Web of Science")</f>
        <v>View Full Record in Web of Science</v>
      </c>
    </row>
    <row r="1604" spans="1:72" x14ac:dyDescent="0.25">
      <c r="A1604" t="s">
        <v>72</v>
      </c>
      <c r="B1604" t="s">
        <v>14915</v>
      </c>
      <c r="C1604" t="s">
        <v>74</v>
      </c>
      <c r="D1604" t="s">
        <v>74</v>
      </c>
      <c r="E1604" t="s">
        <v>74</v>
      </c>
      <c r="F1604" t="s">
        <v>14915</v>
      </c>
      <c r="G1604" t="s">
        <v>74</v>
      </c>
      <c r="H1604" t="s">
        <v>74</v>
      </c>
      <c r="I1604" t="s">
        <v>14914</v>
      </c>
      <c r="J1604" t="s">
        <v>6618</v>
      </c>
      <c r="K1604" t="s">
        <v>74</v>
      </c>
      <c r="L1604" t="s">
        <v>74</v>
      </c>
      <c r="M1604" t="s">
        <v>78</v>
      </c>
      <c r="N1604" t="s">
        <v>79</v>
      </c>
      <c r="O1604" t="s">
        <v>74</v>
      </c>
      <c r="P1604" t="s">
        <v>74</v>
      </c>
      <c r="Q1604" t="s">
        <v>74</v>
      </c>
      <c r="R1604" t="s">
        <v>74</v>
      </c>
      <c r="S1604" t="s">
        <v>74</v>
      </c>
      <c r="T1604" t="s">
        <v>14913</v>
      </c>
      <c r="U1604" t="s">
        <v>14912</v>
      </c>
      <c r="V1604" t="s">
        <v>14911</v>
      </c>
      <c r="W1604" t="s">
        <v>14910</v>
      </c>
      <c r="X1604" t="s">
        <v>14909</v>
      </c>
      <c r="Y1604" t="s">
        <v>14908</v>
      </c>
      <c r="Z1604" t="s">
        <v>14907</v>
      </c>
      <c r="AA1604" t="s">
        <v>14906</v>
      </c>
      <c r="AB1604" t="s">
        <v>257</v>
      </c>
      <c r="AC1604" t="s">
        <v>74</v>
      </c>
      <c r="AD1604" t="s">
        <v>74</v>
      </c>
      <c r="AE1604" t="s">
        <v>74</v>
      </c>
      <c r="AF1604" t="s">
        <v>74</v>
      </c>
      <c r="AG1604">
        <v>39</v>
      </c>
      <c r="AH1604">
        <v>124</v>
      </c>
      <c r="AI1604">
        <v>133</v>
      </c>
      <c r="AJ1604">
        <v>0</v>
      </c>
      <c r="AK1604">
        <v>7</v>
      </c>
      <c r="AL1604" t="s">
        <v>122</v>
      </c>
      <c r="AM1604" t="s">
        <v>123</v>
      </c>
      <c r="AN1604" t="s">
        <v>124</v>
      </c>
      <c r="AO1604" t="s">
        <v>6630</v>
      </c>
      <c r="AP1604" t="s">
        <v>6631</v>
      </c>
      <c r="AQ1604" t="s">
        <v>74</v>
      </c>
      <c r="AR1604" t="s">
        <v>6632</v>
      </c>
      <c r="AS1604" t="s">
        <v>6633</v>
      </c>
      <c r="AT1604" t="s">
        <v>420</v>
      </c>
      <c r="AU1604">
        <v>2000</v>
      </c>
      <c r="AV1604">
        <v>20</v>
      </c>
      <c r="AW1604">
        <v>10</v>
      </c>
      <c r="AX1604" t="s">
        <v>74</v>
      </c>
      <c r="AY1604" t="s">
        <v>74</v>
      </c>
      <c r="AZ1604" t="s">
        <v>74</v>
      </c>
      <c r="BA1604" t="s">
        <v>74</v>
      </c>
      <c r="BB1604">
        <v>2233</v>
      </c>
      <c r="BC1604">
        <v>2239</v>
      </c>
      <c r="BD1604" t="s">
        <v>74</v>
      </c>
      <c r="BE1604" t="s">
        <v>14905</v>
      </c>
      <c r="BF1604" t="str">
        <f>HYPERLINK("http://dx.doi.org/10.1161/01.ATV.20.10.2233","http://dx.doi.org/10.1161/01.ATV.20.10.2233")</f>
        <v>http://dx.doi.org/10.1161/01.ATV.20.10.2233</v>
      </c>
      <c r="BG1604" t="s">
        <v>74</v>
      </c>
      <c r="BH1604" t="s">
        <v>74</v>
      </c>
      <c r="BI1604">
        <v>7</v>
      </c>
      <c r="BJ1604" t="s">
        <v>6635</v>
      </c>
      <c r="BK1604" t="s">
        <v>101</v>
      </c>
      <c r="BL1604" t="s">
        <v>6636</v>
      </c>
      <c r="BM1604" t="s">
        <v>14904</v>
      </c>
      <c r="BN1604">
        <v>11031209</v>
      </c>
      <c r="BO1604" t="s">
        <v>74</v>
      </c>
      <c r="BP1604" t="s">
        <v>74</v>
      </c>
      <c r="BQ1604" t="s">
        <v>74</v>
      </c>
      <c r="BR1604" t="s">
        <v>104</v>
      </c>
      <c r="BS1604" t="s">
        <v>14903</v>
      </c>
      <c r="BT1604" t="str">
        <f>HYPERLINK("https%3A%2F%2Fwww.webofscience.com%2Fwos%2Fwoscc%2Ffull-record%2FWOS:000090110400010","View Full Record in Web of Science")</f>
        <v>View Full Record in Web of Science</v>
      </c>
    </row>
    <row r="1605" spans="1:72" x14ac:dyDescent="0.25">
      <c r="A1605" t="s">
        <v>72</v>
      </c>
      <c r="B1605" t="s">
        <v>14902</v>
      </c>
      <c r="C1605" t="s">
        <v>74</v>
      </c>
      <c r="D1605" t="s">
        <v>74</v>
      </c>
      <c r="E1605" t="s">
        <v>74</v>
      </c>
      <c r="F1605" t="s">
        <v>14902</v>
      </c>
      <c r="G1605" t="s">
        <v>74</v>
      </c>
      <c r="H1605" t="s">
        <v>74</v>
      </c>
      <c r="I1605" t="s">
        <v>14901</v>
      </c>
      <c r="J1605" t="s">
        <v>14900</v>
      </c>
      <c r="K1605" t="s">
        <v>74</v>
      </c>
      <c r="L1605" t="s">
        <v>74</v>
      </c>
      <c r="M1605" t="s">
        <v>78</v>
      </c>
      <c r="N1605" t="s">
        <v>79</v>
      </c>
      <c r="O1605" t="s">
        <v>74</v>
      </c>
      <c r="P1605" t="s">
        <v>74</v>
      </c>
      <c r="Q1605" t="s">
        <v>74</v>
      </c>
      <c r="R1605" t="s">
        <v>74</v>
      </c>
      <c r="S1605" t="s">
        <v>74</v>
      </c>
      <c r="T1605" t="s">
        <v>14899</v>
      </c>
      <c r="U1605" t="s">
        <v>74</v>
      </c>
      <c r="V1605" t="s">
        <v>14898</v>
      </c>
      <c r="W1605" t="s">
        <v>14897</v>
      </c>
      <c r="X1605" t="s">
        <v>14896</v>
      </c>
      <c r="Y1605" t="s">
        <v>14895</v>
      </c>
      <c r="Z1605" t="s">
        <v>74</v>
      </c>
      <c r="AA1605" t="s">
        <v>14894</v>
      </c>
      <c r="AB1605" t="s">
        <v>14893</v>
      </c>
      <c r="AC1605" t="s">
        <v>14892</v>
      </c>
      <c r="AD1605" t="s">
        <v>8029</v>
      </c>
      <c r="AE1605" t="s">
        <v>74</v>
      </c>
      <c r="AF1605" t="s">
        <v>74</v>
      </c>
      <c r="AG1605">
        <v>23</v>
      </c>
      <c r="AH1605">
        <v>529</v>
      </c>
      <c r="AI1605">
        <v>580</v>
      </c>
      <c r="AJ1605">
        <v>0</v>
      </c>
      <c r="AK1605">
        <v>27</v>
      </c>
      <c r="AL1605" t="s">
        <v>14278</v>
      </c>
      <c r="AM1605" t="s">
        <v>201</v>
      </c>
      <c r="AN1605" t="s">
        <v>2591</v>
      </c>
      <c r="AO1605" t="s">
        <v>14891</v>
      </c>
      <c r="AP1605" t="s">
        <v>74</v>
      </c>
      <c r="AQ1605" t="s">
        <v>74</v>
      </c>
      <c r="AR1605" t="s">
        <v>14890</v>
      </c>
      <c r="AS1605" t="s">
        <v>14889</v>
      </c>
      <c r="AT1605" t="s">
        <v>420</v>
      </c>
      <c r="AU1605">
        <v>2000</v>
      </c>
      <c r="AV1605">
        <v>37</v>
      </c>
      <c r="AW1605">
        <v>10</v>
      </c>
      <c r="AX1605" t="s">
        <v>74</v>
      </c>
      <c r="AY1605" t="s">
        <v>74</v>
      </c>
      <c r="AZ1605" t="s">
        <v>74</v>
      </c>
      <c r="BA1605" t="s">
        <v>74</v>
      </c>
      <c r="BB1605">
        <v>741</v>
      </c>
      <c r="BC1605">
        <v>745</v>
      </c>
      <c r="BD1605" t="s">
        <v>74</v>
      </c>
      <c r="BE1605" t="s">
        <v>14888</v>
      </c>
      <c r="BF1605" t="str">
        <f>HYPERLINK("http://dx.doi.org/10.1136/jmg.37.10.741","http://dx.doi.org/10.1136/jmg.37.10.741")</f>
        <v>http://dx.doi.org/10.1136/jmg.37.10.741</v>
      </c>
      <c r="BG1605" t="s">
        <v>74</v>
      </c>
      <c r="BH1605" t="s">
        <v>74</v>
      </c>
      <c r="BI1605">
        <v>5</v>
      </c>
      <c r="BJ1605" t="s">
        <v>4407</v>
      </c>
      <c r="BK1605" t="s">
        <v>101</v>
      </c>
      <c r="BL1605" t="s">
        <v>4407</v>
      </c>
      <c r="BM1605" t="s">
        <v>14887</v>
      </c>
      <c r="BN1605">
        <v>11015450</v>
      </c>
      <c r="BO1605" t="s">
        <v>2517</v>
      </c>
      <c r="BP1605" t="s">
        <v>74</v>
      </c>
      <c r="BQ1605" t="s">
        <v>74</v>
      </c>
      <c r="BR1605" t="s">
        <v>104</v>
      </c>
      <c r="BS1605" t="s">
        <v>14886</v>
      </c>
      <c r="BT1605" t="str">
        <f>HYPERLINK("https%3A%2F%2Fwww.webofscience.com%2Fwos%2Fwoscc%2Ffull-record%2FWOS:000089877300002","View Full Record in Web of Science")</f>
        <v>View Full Record in Web of Science</v>
      </c>
    </row>
    <row r="1606" spans="1:72" x14ac:dyDescent="0.25">
      <c r="A1606" t="s">
        <v>72</v>
      </c>
      <c r="B1606" t="s">
        <v>14885</v>
      </c>
      <c r="C1606" t="s">
        <v>74</v>
      </c>
      <c r="D1606" t="s">
        <v>74</v>
      </c>
      <c r="E1606" t="s">
        <v>74</v>
      </c>
      <c r="F1606" t="s">
        <v>14885</v>
      </c>
      <c r="G1606" t="s">
        <v>74</v>
      </c>
      <c r="H1606" t="s">
        <v>74</v>
      </c>
      <c r="I1606" t="s">
        <v>14884</v>
      </c>
      <c r="J1606" t="s">
        <v>14883</v>
      </c>
      <c r="K1606" t="s">
        <v>74</v>
      </c>
      <c r="L1606" t="s">
        <v>74</v>
      </c>
      <c r="M1606" t="s">
        <v>78</v>
      </c>
      <c r="N1606" t="s">
        <v>79</v>
      </c>
      <c r="O1606" t="s">
        <v>74</v>
      </c>
      <c r="P1606" t="s">
        <v>74</v>
      </c>
      <c r="Q1606" t="s">
        <v>74</v>
      </c>
      <c r="R1606" t="s">
        <v>74</v>
      </c>
      <c r="S1606" t="s">
        <v>74</v>
      </c>
      <c r="T1606" t="s">
        <v>74</v>
      </c>
      <c r="U1606" t="s">
        <v>14882</v>
      </c>
      <c r="V1606" t="s">
        <v>14881</v>
      </c>
      <c r="W1606" t="s">
        <v>14880</v>
      </c>
      <c r="X1606" t="s">
        <v>14879</v>
      </c>
      <c r="Y1606" t="s">
        <v>14878</v>
      </c>
      <c r="Z1606" t="s">
        <v>74</v>
      </c>
      <c r="AA1606" t="s">
        <v>7706</v>
      </c>
      <c r="AB1606" t="s">
        <v>257</v>
      </c>
      <c r="AC1606" t="s">
        <v>74</v>
      </c>
      <c r="AD1606" t="s">
        <v>74</v>
      </c>
      <c r="AE1606" t="s">
        <v>74</v>
      </c>
      <c r="AF1606" t="s">
        <v>74</v>
      </c>
      <c r="AG1606">
        <v>25</v>
      </c>
      <c r="AH1606">
        <v>28</v>
      </c>
      <c r="AI1606">
        <v>30</v>
      </c>
      <c r="AJ1606">
        <v>0</v>
      </c>
      <c r="AK1606">
        <v>1</v>
      </c>
      <c r="AL1606" t="s">
        <v>169</v>
      </c>
      <c r="AM1606" t="s">
        <v>170</v>
      </c>
      <c r="AN1606" t="s">
        <v>171</v>
      </c>
      <c r="AO1606" t="s">
        <v>14877</v>
      </c>
      <c r="AP1606" t="s">
        <v>14876</v>
      </c>
      <c r="AQ1606" t="s">
        <v>74</v>
      </c>
      <c r="AR1606" t="s">
        <v>14875</v>
      </c>
      <c r="AS1606" t="s">
        <v>14874</v>
      </c>
      <c r="AT1606" t="s">
        <v>1060</v>
      </c>
      <c r="AU1606">
        <v>2000</v>
      </c>
      <c r="AV1606">
        <v>51</v>
      </c>
      <c r="AW1606">
        <v>6</v>
      </c>
      <c r="AX1606" t="s">
        <v>74</v>
      </c>
      <c r="AY1606" t="s">
        <v>74</v>
      </c>
      <c r="AZ1606" t="s">
        <v>74</v>
      </c>
      <c r="BA1606" t="s">
        <v>74</v>
      </c>
      <c r="BB1606">
        <v>607</v>
      </c>
      <c r="BC1606">
        <v>611</v>
      </c>
      <c r="BD1606" t="s">
        <v>74</v>
      </c>
      <c r="BE1606" t="s">
        <v>74</v>
      </c>
      <c r="BF1606" t="s">
        <v>74</v>
      </c>
      <c r="BG1606" t="s">
        <v>74</v>
      </c>
      <c r="BH1606" t="s">
        <v>74</v>
      </c>
      <c r="BI1606">
        <v>5</v>
      </c>
      <c r="BJ1606" t="s">
        <v>159</v>
      </c>
      <c r="BK1606" t="s">
        <v>101</v>
      </c>
      <c r="BL1606" t="s">
        <v>159</v>
      </c>
      <c r="BM1606" t="s">
        <v>14873</v>
      </c>
      <c r="BN1606">
        <v>10849372</v>
      </c>
      <c r="BO1606" t="s">
        <v>74</v>
      </c>
      <c r="BP1606" t="s">
        <v>74</v>
      </c>
      <c r="BQ1606" t="s">
        <v>74</v>
      </c>
      <c r="BR1606" t="s">
        <v>104</v>
      </c>
      <c r="BS1606" t="s">
        <v>14872</v>
      </c>
      <c r="BT1606" t="str">
        <f>HYPERLINK("https%3A%2F%2Fwww.webofscience.com%2Fwos%2Fwoscc%2Ffull-record%2FWOS:000087479400010","View Full Record in Web of Science")</f>
        <v>View Full Record in Web of Science</v>
      </c>
    </row>
    <row r="1607" spans="1:72" x14ac:dyDescent="0.25">
      <c r="A1607" t="s">
        <v>72</v>
      </c>
      <c r="B1607" t="s">
        <v>14871</v>
      </c>
      <c r="C1607" t="s">
        <v>74</v>
      </c>
      <c r="D1607" t="s">
        <v>74</v>
      </c>
      <c r="E1607" t="s">
        <v>74</v>
      </c>
      <c r="F1607" t="s">
        <v>14871</v>
      </c>
      <c r="G1607" t="s">
        <v>74</v>
      </c>
      <c r="H1607" t="s">
        <v>14860</v>
      </c>
      <c r="I1607" t="s">
        <v>14870</v>
      </c>
      <c r="J1607" t="s">
        <v>8823</v>
      </c>
      <c r="K1607" t="s">
        <v>74</v>
      </c>
      <c r="L1607" t="s">
        <v>74</v>
      </c>
      <c r="M1607" t="s">
        <v>78</v>
      </c>
      <c r="N1607" t="s">
        <v>52</v>
      </c>
      <c r="O1607" t="s">
        <v>74</v>
      </c>
      <c r="P1607" t="s">
        <v>74</v>
      </c>
      <c r="Q1607" t="s">
        <v>74</v>
      </c>
      <c r="R1607" t="s">
        <v>74</v>
      </c>
      <c r="S1607" t="s">
        <v>74</v>
      </c>
      <c r="T1607" t="s">
        <v>74</v>
      </c>
      <c r="U1607" t="s">
        <v>74</v>
      </c>
      <c r="V1607" t="s">
        <v>74</v>
      </c>
      <c r="W1607" t="s">
        <v>14858</v>
      </c>
      <c r="X1607" t="s">
        <v>14590</v>
      </c>
      <c r="Y1607" t="s">
        <v>74</v>
      </c>
      <c r="Z1607" t="s">
        <v>74</v>
      </c>
      <c r="AA1607" t="s">
        <v>14869</v>
      </c>
      <c r="AB1607" t="s">
        <v>74</v>
      </c>
      <c r="AC1607" t="s">
        <v>74</v>
      </c>
      <c r="AD1607" t="s">
        <v>74</v>
      </c>
      <c r="AE1607" t="s">
        <v>74</v>
      </c>
      <c r="AF1607" t="s">
        <v>74</v>
      </c>
      <c r="AG1607">
        <v>0</v>
      </c>
      <c r="AH1607">
        <v>0</v>
      </c>
      <c r="AI1607">
        <v>0</v>
      </c>
      <c r="AJ1607">
        <v>0</v>
      </c>
      <c r="AK1607">
        <v>0</v>
      </c>
      <c r="AL1607" t="s">
        <v>8831</v>
      </c>
      <c r="AM1607" t="s">
        <v>8832</v>
      </c>
      <c r="AN1607" t="s">
        <v>8833</v>
      </c>
      <c r="AO1607" t="s">
        <v>8834</v>
      </c>
      <c r="AP1607" t="s">
        <v>74</v>
      </c>
      <c r="AQ1607" t="s">
        <v>74</v>
      </c>
      <c r="AR1607" t="s">
        <v>8836</v>
      </c>
      <c r="AS1607" t="s">
        <v>8837</v>
      </c>
      <c r="AT1607" t="s">
        <v>2097</v>
      </c>
      <c r="AU1607">
        <v>2000</v>
      </c>
      <c r="AV1607">
        <v>41</v>
      </c>
      <c r="AW1607">
        <v>5</v>
      </c>
      <c r="AX1607" t="s">
        <v>74</v>
      </c>
      <c r="AY1607" t="s">
        <v>998</v>
      </c>
      <c r="AZ1607" t="s">
        <v>74</v>
      </c>
      <c r="BA1607">
        <v>16</v>
      </c>
      <c r="BB1607" t="s">
        <v>14868</v>
      </c>
      <c r="BC1607" t="s">
        <v>14868</v>
      </c>
      <c r="BD1607" t="s">
        <v>74</v>
      </c>
      <c r="BE1607" t="s">
        <v>74</v>
      </c>
      <c r="BF1607" t="s">
        <v>74</v>
      </c>
      <c r="BG1607" t="s">
        <v>74</v>
      </c>
      <c r="BH1607" t="s">
        <v>74</v>
      </c>
      <c r="BI1607">
        <v>1</v>
      </c>
      <c r="BJ1607" t="s">
        <v>892</v>
      </c>
      <c r="BK1607" t="s">
        <v>101</v>
      </c>
      <c r="BL1607" t="s">
        <v>892</v>
      </c>
      <c r="BM1607" t="s">
        <v>14856</v>
      </c>
      <c r="BN1607" t="s">
        <v>74</v>
      </c>
      <c r="BO1607" t="s">
        <v>74</v>
      </c>
      <c r="BP1607" t="s">
        <v>74</v>
      </c>
      <c r="BQ1607" t="s">
        <v>74</v>
      </c>
      <c r="BR1607" t="s">
        <v>104</v>
      </c>
      <c r="BS1607" t="s">
        <v>14867</v>
      </c>
      <c r="BT1607" t="str">
        <f>HYPERLINK("https%3A%2F%2Fwww.webofscience.com%2Fwos%2Fwoscc%2Ffull-record%2FWOS:000089892400017","View Full Record in Web of Science")</f>
        <v>View Full Record in Web of Science</v>
      </c>
    </row>
    <row r="1608" spans="1:72" x14ac:dyDescent="0.25">
      <c r="A1608" t="s">
        <v>72</v>
      </c>
      <c r="B1608" t="s">
        <v>14866</v>
      </c>
      <c r="C1608" t="s">
        <v>74</v>
      </c>
      <c r="D1608" t="s">
        <v>74</v>
      </c>
      <c r="E1608" t="s">
        <v>74</v>
      </c>
      <c r="F1608" t="s">
        <v>14866</v>
      </c>
      <c r="G1608" t="s">
        <v>74</v>
      </c>
      <c r="H1608" t="s">
        <v>14860</v>
      </c>
      <c r="I1608" t="s">
        <v>14865</v>
      </c>
      <c r="J1608" t="s">
        <v>8823</v>
      </c>
      <c r="K1608" t="s">
        <v>74</v>
      </c>
      <c r="L1608" t="s">
        <v>74</v>
      </c>
      <c r="M1608" t="s">
        <v>78</v>
      </c>
      <c r="N1608" t="s">
        <v>52</v>
      </c>
      <c r="O1608" t="s">
        <v>74</v>
      </c>
      <c r="P1608" t="s">
        <v>74</v>
      </c>
      <c r="Q1608" t="s">
        <v>74</v>
      </c>
      <c r="R1608" t="s">
        <v>74</v>
      </c>
      <c r="S1608" t="s">
        <v>74</v>
      </c>
      <c r="T1608" t="s">
        <v>74</v>
      </c>
      <c r="U1608" t="s">
        <v>74</v>
      </c>
      <c r="V1608" t="s">
        <v>74</v>
      </c>
      <c r="W1608" t="s">
        <v>14858</v>
      </c>
      <c r="X1608" t="s">
        <v>14590</v>
      </c>
      <c r="Y1608" t="s">
        <v>74</v>
      </c>
      <c r="Z1608" t="s">
        <v>74</v>
      </c>
      <c r="AA1608" t="s">
        <v>14864</v>
      </c>
      <c r="AB1608" t="s">
        <v>74</v>
      </c>
      <c r="AC1608" t="s">
        <v>74</v>
      </c>
      <c r="AD1608" t="s">
        <v>74</v>
      </c>
      <c r="AE1608" t="s">
        <v>74</v>
      </c>
      <c r="AF1608" t="s">
        <v>74</v>
      </c>
      <c r="AG1608">
        <v>0</v>
      </c>
      <c r="AH1608">
        <v>0</v>
      </c>
      <c r="AI1608">
        <v>0</v>
      </c>
      <c r="AJ1608">
        <v>0</v>
      </c>
      <c r="AK1608">
        <v>0</v>
      </c>
      <c r="AL1608" t="s">
        <v>8831</v>
      </c>
      <c r="AM1608" t="s">
        <v>8832</v>
      </c>
      <c r="AN1608" t="s">
        <v>8833</v>
      </c>
      <c r="AO1608" t="s">
        <v>8834</v>
      </c>
      <c r="AP1608" t="s">
        <v>74</v>
      </c>
      <c r="AQ1608" t="s">
        <v>74</v>
      </c>
      <c r="AR1608" t="s">
        <v>8836</v>
      </c>
      <c r="AS1608" t="s">
        <v>8837</v>
      </c>
      <c r="AT1608" t="s">
        <v>2097</v>
      </c>
      <c r="AU1608">
        <v>2000</v>
      </c>
      <c r="AV1608">
        <v>41</v>
      </c>
      <c r="AW1608">
        <v>5</v>
      </c>
      <c r="AX1608" t="s">
        <v>74</v>
      </c>
      <c r="AY1608" t="s">
        <v>998</v>
      </c>
      <c r="AZ1608" t="s">
        <v>74</v>
      </c>
      <c r="BA1608">
        <v>768</v>
      </c>
      <c r="BB1608" t="s">
        <v>14863</v>
      </c>
      <c r="BC1608" t="s">
        <v>14863</v>
      </c>
      <c r="BD1608" t="s">
        <v>74</v>
      </c>
      <c r="BE1608" t="s">
        <v>74</v>
      </c>
      <c r="BF1608" t="s">
        <v>74</v>
      </c>
      <c r="BG1608" t="s">
        <v>74</v>
      </c>
      <c r="BH1608" t="s">
        <v>74</v>
      </c>
      <c r="BI1608">
        <v>1</v>
      </c>
      <c r="BJ1608" t="s">
        <v>892</v>
      </c>
      <c r="BK1608" t="s">
        <v>101</v>
      </c>
      <c r="BL1608" t="s">
        <v>892</v>
      </c>
      <c r="BM1608" t="s">
        <v>14856</v>
      </c>
      <c r="BN1608" t="s">
        <v>74</v>
      </c>
      <c r="BO1608" t="s">
        <v>74</v>
      </c>
      <c r="BP1608" t="s">
        <v>74</v>
      </c>
      <c r="BQ1608" t="s">
        <v>74</v>
      </c>
      <c r="BR1608" t="s">
        <v>104</v>
      </c>
      <c r="BS1608" t="s">
        <v>14862</v>
      </c>
      <c r="BT1608" t="str">
        <f>HYPERLINK("https%3A%2F%2Fwww.webofscience.com%2Fwos%2Fwoscc%2Ffull-record%2FWOS:000089892400662","View Full Record in Web of Science")</f>
        <v>View Full Record in Web of Science</v>
      </c>
    </row>
    <row r="1609" spans="1:72" x14ac:dyDescent="0.25">
      <c r="A1609" t="s">
        <v>72</v>
      </c>
      <c r="B1609" t="s">
        <v>14861</v>
      </c>
      <c r="C1609" t="s">
        <v>74</v>
      </c>
      <c r="D1609" t="s">
        <v>74</v>
      </c>
      <c r="E1609" t="s">
        <v>74</v>
      </c>
      <c r="F1609" t="s">
        <v>14861</v>
      </c>
      <c r="G1609" t="s">
        <v>74</v>
      </c>
      <c r="H1609" t="s">
        <v>14860</v>
      </c>
      <c r="I1609" t="s">
        <v>14859</v>
      </c>
      <c r="J1609" t="s">
        <v>8823</v>
      </c>
      <c r="K1609" t="s">
        <v>74</v>
      </c>
      <c r="L1609" t="s">
        <v>74</v>
      </c>
      <c r="M1609" t="s">
        <v>78</v>
      </c>
      <c r="N1609" t="s">
        <v>52</v>
      </c>
      <c r="O1609" t="s">
        <v>74</v>
      </c>
      <c r="P1609" t="s">
        <v>74</v>
      </c>
      <c r="Q1609" t="s">
        <v>74</v>
      </c>
      <c r="R1609" t="s">
        <v>74</v>
      </c>
      <c r="S1609" t="s">
        <v>74</v>
      </c>
      <c r="T1609" t="s">
        <v>74</v>
      </c>
      <c r="U1609" t="s">
        <v>74</v>
      </c>
      <c r="V1609" t="s">
        <v>74</v>
      </c>
      <c r="W1609" t="s">
        <v>14858</v>
      </c>
      <c r="X1609" t="s">
        <v>14590</v>
      </c>
      <c r="Y1609" t="s">
        <v>74</v>
      </c>
      <c r="Z1609" t="s">
        <v>74</v>
      </c>
      <c r="AA1609" t="s">
        <v>14550</v>
      </c>
      <c r="AB1609" t="s">
        <v>74</v>
      </c>
      <c r="AC1609" t="s">
        <v>74</v>
      </c>
      <c r="AD1609" t="s">
        <v>74</v>
      </c>
      <c r="AE1609" t="s">
        <v>74</v>
      </c>
      <c r="AF1609" t="s">
        <v>74</v>
      </c>
      <c r="AG1609">
        <v>0</v>
      </c>
      <c r="AH1609">
        <v>0</v>
      </c>
      <c r="AI1609">
        <v>0</v>
      </c>
      <c r="AJ1609">
        <v>0</v>
      </c>
      <c r="AK1609">
        <v>0</v>
      </c>
      <c r="AL1609" t="s">
        <v>8831</v>
      </c>
      <c r="AM1609" t="s">
        <v>8832</v>
      </c>
      <c r="AN1609" t="s">
        <v>8833</v>
      </c>
      <c r="AO1609" t="s">
        <v>8834</v>
      </c>
      <c r="AP1609" t="s">
        <v>74</v>
      </c>
      <c r="AQ1609" t="s">
        <v>74</v>
      </c>
      <c r="AR1609" t="s">
        <v>8836</v>
      </c>
      <c r="AS1609" t="s">
        <v>8837</v>
      </c>
      <c r="AT1609" t="s">
        <v>2097</v>
      </c>
      <c r="AU1609">
        <v>2000</v>
      </c>
      <c r="AV1609">
        <v>41</v>
      </c>
      <c r="AW1609">
        <v>5</v>
      </c>
      <c r="AX1609" t="s">
        <v>74</v>
      </c>
      <c r="AY1609" t="s">
        <v>998</v>
      </c>
      <c r="AZ1609" t="s">
        <v>74</v>
      </c>
      <c r="BA1609">
        <v>782</v>
      </c>
      <c r="BB1609" t="s">
        <v>14857</v>
      </c>
      <c r="BC1609" t="s">
        <v>14857</v>
      </c>
      <c r="BD1609" t="s">
        <v>74</v>
      </c>
      <c r="BE1609" t="s">
        <v>74</v>
      </c>
      <c r="BF1609" t="s">
        <v>74</v>
      </c>
      <c r="BG1609" t="s">
        <v>74</v>
      </c>
      <c r="BH1609" t="s">
        <v>74</v>
      </c>
      <c r="BI1609">
        <v>1</v>
      </c>
      <c r="BJ1609" t="s">
        <v>892</v>
      </c>
      <c r="BK1609" t="s">
        <v>101</v>
      </c>
      <c r="BL1609" t="s">
        <v>892</v>
      </c>
      <c r="BM1609" t="s">
        <v>14856</v>
      </c>
      <c r="BN1609" t="s">
        <v>74</v>
      </c>
      <c r="BO1609" t="s">
        <v>74</v>
      </c>
      <c r="BP1609" t="s">
        <v>74</v>
      </c>
      <c r="BQ1609" t="s">
        <v>74</v>
      </c>
      <c r="BR1609" t="s">
        <v>104</v>
      </c>
      <c r="BS1609" t="s">
        <v>14855</v>
      </c>
      <c r="BT1609" t="str">
        <f>HYPERLINK("https%3A%2F%2Fwww.webofscience.com%2Fwos%2Fwoscc%2Ffull-record%2FWOS:000089892400676","View Full Record in Web of Science")</f>
        <v>View Full Record in Web of Science</v>
      </c>
    </row>
    <row r="1610" spans="1:72" x14ac:dyDescent="0.25">
      <c r="A1610" t="s">
        <v>72</v>
      </c>
      <c r="B1610" t="s">
        <v>14854</v>
      </c>
      <c r="C1610" t="s">
        <v>74</v>
      </c>
      <c r="D1610" t="s">
        <v>74</v>
      </c>
      <c r="E1610" t="s">
        <v>74</v>
      </c>
      <c r="F1610" t="s">
        <v>14854</v>
      </c>
      <c r="G1610" t="s">
        <v>74</v>
      </c>
      <c r="H1610" t="s">
        <v>74</v>
      </c>
      <c r="I1610" t="s">
        <v>14853</v>
      </c>
      <c r="J1610" t="s">
        <v>216</v>
      </c>
      <c r="K1610" t="s">
        <v>74</v>
      </c>
      <c r="L1610" t="s">
        <v>74</v>
      </c>
      <c r="M1610" t="s">
        <v>78</v>
      </c>
      <c r="N1610" t="s">
        <v>79</v>
      </c>
      <c r="O1610" t="s">
        <v>74</v>
      </c>
      <c r="P1610" t="s">
        <v>74</v>
      </c>
      <c r="Q1610" t="s">
        <v>74</v>
      </c>
      <c r="R1610" t="s">
        <v>74</v>
      </c>
      <c r="S1610" t="s">
        <v>74</v>
      </c>
      <c r="T1610" t="s">
        <v>14852</v>
      </c>
      <c r="U1610" t="s">
        <v>14851</v>
      </c>
      <c r="V1610" t="s">
        <v>14850</v>
      </c>
      <c r="W1610" t="s">
        <v>14849</v>
      </c>
      <c r="X1610" t="s">
        <v>14848</v>
      </c>
      <c r="Y1610" t="s">
        <v>14505</v>
      </c>
      <c r="Z1610" t="s">
        <v>74</v>
      </c>
      <c r="AA1610" t="s">
        <v>14847</v>
      </c>
      <c r="AB1610" t="s">
        <v>14846</v>
      </c>
      <c r="AC1610" t="s">
        <v>74</v>
      </c>
      <c r="AD1610" t="s">
        <v>74</v>
      </c>
      <c r="AE1610" t="s">
        <v>74</v>
      </c>
      <c r="AF1610" t="s">
        <v>74</v>
      </c>
      <c r="AG1610">
        <v>22</v>
      </c>
      <c r="AH1610">
        <v>36</v>
      </c>
      <c r="AI1610">
        <v>37</v>
      </c>
      <c r="AJ1610">
        <v>0</v>
      </c>
      <c r="AK1610">
        <v>0</v>
      </c>
      <c r="AL1610" t="s">
        <v>14340</v>
      </c>
      <c r="AM1610" t="s">
        <v>14339</v>
      </c>
      <c r="AN1610" t="s">
        <v>14338</v>
      </c>
      <c r="AO1610" t="s">
        <v>222</v>
      </c>
      <c r="AP1610" t="s">
        <v>74</v>
      </c>
      <c r="AQ1610" t="s">
        <v>74</v>
      </c>
      <c r="AR1610" t="s">
        <v>224</v>
      </c>
      <c r="AS1610" t="s">
        <v>225</v>
      </c>
      <c r="AT1610" t="s">
        <v>2097</v>
      </c>
      <c r="AU1610">
        <v>2000</v>
      </c>
      <c r="AV1610">
        <v>15</v>
      </c>
      <c r="AW1610">
        <v>5</v>
      </c>
      <c r="AX1610" t="s">
        <v>74</v>
      </c>
      <c r="AY1610" t="s">
        <v>74</v>
      </c>
      <c r="AZ1610" t="s">
        <v>74</v>
      </c>
      <c r="BA1610" t="s">
        <v>74</v>
      </c>
      <c r="BB1610">
        <v>978</v>
      </c>
      <c r="BC1610">
        <v>981</v>
      </c>
      <c r="BD1610" t="s">
        <v>74</v>
      </c>
      <c r="BE1610" t="s">
        <v>14845</v>
      </c>
      <c r="BF1610" t="str">
        <f>HYPERLINK("http://dx.doi.org/10.1034/j.1399-3003.2000.15e29.x","http://dx.doi.org/10.1034/j.1399-3003.2000.15e29.x")</f>
        <v>http://dx.doi.org/10.1034/j.1399-3003.2000.15e29.x</v>
      </c>
      <c r="BG1610" t="s">
        <v>74</v>
      </c>
      <c r="BH1610" t="s">
        <v>74</v>
      </c>
      <c r="BI1610">
        <v>4</v>
      </c>
      <c r="BJ1610" t="s">
        <v>228</v>
      </c>
      <c r="BK1610" t="s">
        <v>101</v>
      </c>
      <c r="BL1610" t="s">
        <v>228</v>
      </c>
      <c r="BM1610" t="s">
        <v>14844</v>
      </c>
      <c r="BN1610">
        <v>10853870</v>
      </c>
      <c r="BO1610" t="s">
        <v>1194</v>
      </c>
      <c r="BP1610" t="s">
        <v>74</v>
      </c>
      <c r="BQ1610" t="s">
        <v>74</v>
      </c>
      <c r="BR1610" t="s">
        <v>104</v>
      </c>
      <c r="BS1610" t="s">
        <v>14843</v>
      </c>
      <c r="BT1610" t="str">
        <f>HYPERLINK("https%3A%2F%2Fwww.webofscience.com%2Fwos%2Fwoscc%2Ffull-record%2FWOS:000087221900029","View Full Record in Web of Science")</f>
        <v>View Full Record in Web of Science</v>
      </c>
    </row>
    <row r="1611" spans="1:72" x14ac:dyDescent="0.25">
      <c r="A1611" t="s">
        <v>72</v>
      </c>
      <c r="B1611" t="s">
        <v>14842</v>
      </c>
      <c r="C1611" t="s">
        <v>74</v>
      </c>
      <c r="D1611" t="s">
        <v>74</v>
      </c>
      <c r="E1611" t="s">
        <v>74</v>
      </c>
      <c r="F1611" t="s">
        <v>14842</v>
      </c>
      <c r="G1611" t="s">
        <v>74</v>
      </c>
      <c r="H1611" t="s">
        <v>74</v>
      </c>
      <c r="I1611" t="s">
        <v>14841</v>
      </c>
      <c r="J1611" t="s">
        <v>1348</v>
      </c>
      <c r="K1611" t="s">
        <v>74</v>
      </c>
      <c r="L1611" t="s">
        <v>74</v>
      </c>
      <c r="M1611" t="s">
        <v>1349</v>
      </c>
      <c r="N1611" t="s">
        <v>79</v>
      </c>
      <c r="O1611" t="s">
        <v>74</v>
      </c>
      <c r="P1611" t="s">
        <v>74</v>
      </c>
      <c r="Q1611" t="s">
        <v>74</v>
      </c>
      <c r="R1611" t="s">
        <v>74</v>
      </c>
      <c r="S1611" t="s">
        <v>74</v>
      </c>
      <c r="T1611" t="s">
        <v>14840</v>
      </c>
      <c r="U1611" t="s">
        <v>14839</v>
      </c>
      <c r="V1611" t="s">
        <v>14838</v>
      </c>
      <c r="W1611" t="s">
        <v>14837</v>
      </c>
      <c r="X1611" t="s">
        <v>14836</v>
      </c>
      <c r="Y1611" t="s">
        <v>14835</v>
      </c>
      <c r="Z1611" t="s">
        <v>74</v>
      </c>
      <c r="AA1611" t="s">
        <v>14144</v>
      </c>
      <c r="AB1611" t="s">
        <v>74</v>
      </c>
      <c r="AC1611" t="s">
        <v>74</v>
      </c>
      <c r="AD1611" t="s">
        <v>74</v>
      </c>
      <c r="AE1611" t="s">
        <v>74</v>
      </c>
      <c r="AF1611" t="s">
        <v>74</v>
      </c>
      <c r="AG1611">
        <v>69</v>
      </c>
      <c r="AH1611">
        <v>3</v>
      </c>
      <c r="AI1611">
        <v>3</v>
      </c>
      <c r="AJ1611">
        <v>1</v>
      </c>
      <c r="AK1611">
        <v>5</v>
      </c>
      <c r="AL1611" t="s">
        <v>1358</v>
      </c>
      <c r="AM1611" t="s">
        <v>1359</v>
      </c>
      <c r="AN1611" t="s">
        <v>1360</v>
      </c>
      <c r="AO1611" t="s">
        <v>1361</v>
      </c>
      <c r="AP1611" t="s">
        <v>1362</v>
      </c>
      <c r="AQ1611" t="s">
        <v>74</v>
      </c>
      <c r="AR1611" t="s">
        <v>1363</v>
      </c>
      <c r="AS1611" t="s">
        <v>1364</v>
      </c>
      <c r="AT1611" t="s">
        <v>129</v>
      </c>
      <c r="AU1611">
        <v>2000</v>
      </c>
      <c r="AV1611">
        <v>17</v>
      </c>
      <c r="AW1611" t="s">
        <v>14827</v>
      </c>
      <c r="AX1611" t="s">
        <v>74</v>
      </c>
      <c r="AY1611" t="s">
        <v>74</v>
      </c>
      <c r="AZ1611" t="s">
        <v>74</v>
      </c>
      <c r="BA1611" t="s">
        <v>74</v>
      </c>
      <c r="BB1611">
        <v>183</v>
      </c>
      <c r="BC1611">
        <v>193</v>
      </c>
      <c r="BD1611" t="s">
        <v>74</v>
      </c>
      <c r="BE1611" t="s">
        <v>74</v>
      </c>
      <c r="BF1611" t="s">
        <v>74</v>
      </c>
      <c r="BG1611" t="s">
        <v>74</v>
      </c>
      <c r="BH1611" t="s">
        <v>74</v>
      </c>
      <c r="BI1611">
        <v>11</v>
      </c>
      <c r="BJ1611" t="s">
        <v>228</v>
      </c>
      <c r="BK1611" t="s">
        <v>101</v>
      </c>
      <c r="BL1611" t="s">
        <v>228</v>
      </c>
      <c r="BM1611" t="s">
        <v>14826</v>
      </c>
      <c r="BN1611" t="s">
        <v>74</v>
      </c>
      <c r="BO1611" t="s">
        <v>74</v>
      </c>
      <c r="BP1611" t="s">
        <v>74</v>
      </c>
      <c r="BQ1611" t="s">
        <v>74</v>
      </c>
      <c r="BR1611" t="s">
        <v>104</v>
      </c>
      <c r="BS1611" t="s">
        <v>14834</v>
      </c>
      <c r="BT1611" t="str">
        <f>HYPERLINK("https%3A%2F%2Fwww.webofscience.com%2Fwos%2Fwoscc%2Ffull-record%2FWOS:000086111900006","View Full Record in Web of Science")</f>
        <v>View Full Record in Web of Science</v>
      </c>
    </row>
    <row r="1612" spans="1:72" x14ac:dyDescent="0.25">
      <c r="A1612" t="s">
        <v>72</v>
      </c>
      <c r="B1612" t="s">
        <v>1420</v>
      </c>
      <c r="C1612" t="s">
        <v>74</v>
      </c>
      <c r="D1612" t="s">
        <v>74</v>
      </c>
      <c r="E1612" t="s">
        <v>74</v>
      </c>
      <c r="F1612" t="s">
        <v>1420</v>
      </c>
      <c r="G1612" t="s">
        <v>74</v>
      </c>
      <c r="H1612" t="s">
        <v>74</v>
      </c>
      <c r="I1612" t="s">
        <v>14833</v>
      </c>
      <c r="J1612" t="s">
        <v>1348</v>
      </c>
      <c r="K1612" t="s">
        <v>74</v>
      </c>
      <c r="L1612" t="s">
        <v>74</v>
      </c>
      <c r="M1612" t="s">
        <v>1349</v>
      </c>
      <c r="N1612" t="s">
        <v>79</v>
      </c>
      <c r="O1612" t="s">
        <v>74</v>
      </c>
      <c r="P1612" t="s">
        <v>74</v>
      </c>
      <c r="Q1612" t="s">
        <v>74</v>
      </c>
      <c r="R1612" t="s">
        <v>74</v>
      </c>
      <c r="S1612" t="s">
        <v>74</v>
      </c>
      <c r="T1612" t="s">
        <v>14832</v>
      </c>
      <c r="U1612" t="s">
        <v>14831</v>
      </c>
      <c r="V1612" t="s">
        <v>14830</v>
      </c>
      <c r="W1612" t="s">
        <v>14829</v>
      </c>
      <c r="X1612" t="s">
        <v>14516</v>
      </c>
      <c r="Y1612" t="s">
        <v>14828</v>
      </c>
      <c r="Z1612" t="s">
        <v>74</v>
      </c>
      <c r="AA1612" t="s">
        <v>144</v>
      </c>
      <c r="AB1612" t="s">
        <v>257</v>
      </c>
      <c r="AC1612" t="s">
        <v>74</v>
      </c>
      <c r="AD1612" t="s">
        <v>74</v>
      </c>
      <c r="AE1612" t="s">
        <v>74</v>
      </c>
      <c r="AF1612" t="s">
        <v>74</v>
      </c>
      <c r="AG1612">
        <v>65</v>
      </c>
      <c r="AH1612">
        <v>8</v>
      </c>
      <c r="AI1612">
        <v>9</v>
      </c>
      <c r="AJ1612">
        <v>0</v>
      </c>
      <c r="AK1612">
        <v>0</v>
      </c>
      <c r="AL1612" t="s">
        <v>1358</v>
      </c>
      <c r="AM1612" t="s">
        <v>1359</v>
      </c>
      <c r="AN1612" t="s">
        <v>1360</v>
      </c>
      <c r="AO1612" t="s">
        <v>1361</v>
      </c>
      <c r="AP1612" t="s">
        <v>1362</v>
      </c>
      <c r="AQ1612" t="s">
        <v>74</v>
      </c>
      <c r="AR1612" t="s">
        <v>1363</v>
      </c>
      <c r="AS1612" t="s">
        <v>1364</v>
      </c>
      <c r="AT1612" t="s">
        <v>129</v>
      </c>
      <c r="AU1612">
        <v>2000</v>
      </c>
      <c r="AV1612">
        <v>17</v>
      </c>
      <c r="AW1612" t="s">
        <v>14827</v>
      </c>
      <c r="AX1612" t="s">
        <v>74</v>
      </c>
      <c r="AY1612" t="s">
        <v>74</v>
      </c>
      <c r="AZ1612" t="s">
        <v>74</v>
      </c>
      <c r="BA1612" t="s">
        <v>74</v>
      </c>
      <c r="BB1612">
        <v>245</v>
      </c>
      <c r="BC1612">
        <v>254</v>
      </c>
      <c r="BD1612" t="s">
        <v>74</v>
      </c>
      <c r="BE1612" t="s">
        <v>74</v>
      </c>
      <c r="BF1612" t="s">
        <v>74</v>
      </c>
      <c r="BG1612" t="s">
        <v>74</v>
      </c>
      <c r="BH1612" t="s">
        <v>74</v>
      </c>
      <c r="BI1612">
        <v>10</v>
      </c>
      <c r="BJ1612" t="s">
        <v>228</v>
      </c>
      <c r="BK1612" t="s">
        <v>101</v>
      </c>
      <c r="BL1612" t="s">
        <v>228</v>
      </c>
      <c r="BM1612" t="s">
        <v>14826</v>
      </c>
      <c r="BN1612">
        <v>10902138</v>
      </c>
      <c r="BO1612" t="s">
        <v>74</v>
      </c>
      <c r="BP1612" t="s">
        <v>74</v>
      </c>
      <c r="BQ1612" t="s">
        <v>74</v>
      </c>
      <c r="BR1612" t="s">
        <v>104</v>
      </c>
      <c r="BS1612" t="s">
        <v>14825</v>
      </c>
      <c r="BT1612" t="str">
        <f>HYPERLINK("https%3A%2F%2Fwww.webofscience.com%2Fwos%2Fwoscc%2Ffull-record%2FWOS:000086111900012","View Full Record in Web of Science")</f>
        <v>View Full Record in Web of Science</v>
      </c>
    </row>
    <row r="1613" spans="1:72" x14ac:dyDescent="0.25">
      <c r="A1613" t="s">
        <v>72</v>
      </c>
      <c r="B1613" t="s">
        <v>14824</v>
      </c>
      <c r="C1613" t="s">
        <v>74</v>
      </c>
      <c r="D1613" t="s">
        <v>74</v>
      </c>
      <c r="E1613" t="s">
        <v>74</v>
      </c>
      <c r="F1613" t="s">
        <v>14824</v>
      </c>
      <c r="G1613" t="s">
        <v>74</v>
      </c>
      <c r="H1613" t="s">
        <v>74</v>
      </c>
      <c r="I1613" t="s">
        <v>14823</v>
      </c>
      <c r="J1613" t="s">
        <v>637</v>
      </c>
      <c r="K1613" t="s">
        <v>74</v>
      </c>
      <c r="L1613" t="s">
        <v>74</v>
      </c>
      <c r="M1613" t="s">
        <v>78</v>
      </c>
      <c r="N1613" t="s">
        <v>79</v>
      </c>
      <c r="O1613" t="s">
        <v>74</v>
      </c>
      <c r="P1613" t="s">
        <v>74</v>
      </c>
      <c r="Q1613" t="s">
        <v>74</v>
      </c>
      <c r="R1613" t="s">
        <v>74</v>
      </c>
      <c r="S1613" t="s">
        <v>74</v>
      </c>
      <c r="T1613" t="s">
        <v>74</v>
      </c>
      <c r="U1613" t="s">
        <v>14822</v>
      </c>
      <c r="V1613" t="s">
        <v>14821</v>
      </c>
      <c r="W1613" t="s">
        <v>14820</v>
      </c>
      <c r="X1613" t="s">
        <v>14541</v>
      </c>
      <c r="Y1613" t="s">
        <v>14819</v>
      </c>
      <c r="Z1613" t="s">
        <v>74</v>
      </c>
      <c r="AA1613" t="s">
        <v>14164</v>
      </c>
      <c r="AB1613" t="s">
        <v>3302</v>
      </c>
      <c r="AC1613" t="s">
        <v>74</v>
      </c>
      <c r="AD1613" t="s">
        <v>74</v>
      </c>
      <c r="AE1613" t="s">
        <v>74</v>
      </c>
      <c r="AF1613" t="s">
        <v>74</v>
      </c>
      <c r="AG1613">
        <v>38</v>
      </c>
      <c r="AH1613">
        <v>174</v>
      </c>
      <c r="AI1613">
        <v>180</v>
      </c>
      <c r="AJ1613">
        <v>1</v>
      </c>
      <c r="AK1613">
        <v>1</v>
      </c>
      <c r="AL1613" t="s">
        <v>649</v>
      </c>
      <c r="AM1613" t="s">
        <v>486</v>
      </c>
      <c r="AN1613" t="s">
        <v>650</v>
      </c>
      <c r="AO1613" t="s">
        <v>651</v>
      </c>
      <c r="AP1613" t="s">
        <v>652</v>
      </c>
      <c r="AQ1613" t="s">
        <v>74</v>
      </c>
      <c r="AR1613" t="s">
        <v>653</v>
      </c>
      <c r="AS1613" t="s">
        <v>654</v>
      </c>
      <c r="AT1613" t="s">
        <v>176</v>
      </c>
      <c r="AU1613">
        <v>2000</v>
      </c>
      <c r="AV1613">
        <v>161</v>
      </c>
      <c r="AW1613">
        <v>1</v>
      </c>
      <c r="AX1613" t="s">
        <v>74</v>
      </c>
      <c r="AY1613" t="s">
        <v>74</v>
      </c>
      <c r="AZ1613" t="s">
        <v>74</v>
      </c>
      <c r="BA1613" t="s">
        <v>74</v>
      </c>
      <c r="BB1613">
        <v>216</v>
      </c>
      <c r="BC1613">
        <v>223</v>
      </c>
      <c r="BD1613" t="s">
        <v>74</v>
      </c>
      <c r="BE1613" t="s">
        <v>14818</v>
      </c>
      <c r="BF1613" t="str">
        <f>HYPERLINK("http://dx.doi.org/10.1164/ajrccm.161.1.9807024","http://dx.doi.org/10.1164/ajrccm.161.1.9807024")</f>
        <v>http://dx.doi.org/10.1164/ajrccm.161.1.9807024</v>
      </c>
      <c r="BG1613" t="s">
        <v>74</v>
      </c>
      <c r="BH1613" t="s">
        <v>74</v>
      </c>
      <c r="BI1613">
        <v>8</v>
      </c>
      <c r="BJ1613" t="s">
        <v>341</v>
      </c>
      <c r="BK1613" t="s">
        <v>101</v>
      </c>
      <c r="BL1613" t="s">
        <v>342</v>
      </c>
      <c r="BM1613" t="s">
        <v>14817</v>
      </c>
      <c r="BN1613">
        <v>10619823</v>
      </c>
      <c r="BO1613" t="s">
        <v>74</v>
      </c>
      <c r="BP1613" t="s">
        <v>74</v>
      </c>
      <c r="BQ1613" t="s">
        <v>74</v>
      </c>
      <c r="BR1613" t="s">
        <v>104</v>
      </c>
      <c r="BS1613" t="s">
        <v>14816</v>
      </c>
      <c r="BT1613" t="str">
        <f>HYPERLINK("https%3A%2F%2Fwww.webofscience.com%2Fwos%2Fwoscc%2Ffull-record%2FWOS:000084820200036","View Full Record in Web of Science")</f>
        <v>View Full Record in Web of Science</v>
      </c>
    </row>
    <row r="1614" spans="1:72" x14ac:dyDescent="0.25">
      <c r="A1614" t="s">
        <v>72</v>
      </c>
      <c r="B1614" t="s">
        <v>14815</v>
      </c>
      <c r="C1614" t="s">
        <v>74</v>
      </c>
      <c r="D1614" t="s">
        <v>74</v>
      </c>
      <c r="E1614" t="s">
        <v>74</v>
      </c>
      <c r="F1614" t="s">
        <v>14815</v>
      </c>
      <c r="G1614" t="s">
        <v>74</v>
      </c>
      <c r="H1614" t="s">
        <v>74</v>
      </c>
      <c r="I1614" t="s">
        <v>14814</v>
      </c>
      <c r="J1614" t="s">
        <v>4427</v>
      </c>
      <c r="K1614" t="s">
        <v>74</v>
      </c>
      <c r="L1614" t="s">
        <v>74</v>
      </c>
      <c r="M1614" t="s">
        <v>78</v>
      </c>
      <c r="N1614" t="s">
        <v>79</v>
      </c>
      <c r="O1614" t="s">
        <v>74</v>
      </c>
      <c r="P1614" t="s">
        <v>74</v>
      </c>
      <c r="Q1614" t="s">
        <v>74</v>
      </c>
      <c r="R1614" t="s">
        <v>74</v>
      </c>
      <c r="S1614" t="s">
        <v>74</v>
      </c>
      <c r="T1614" t="s">
        <v>14813</v>
      </c>
      <c r="U1614" t="s">
        <v>14812</v>
      </c>
      <c r="V1614" t="s">
        <v>14811</v>
      </c>
      <c r="W1614" t="s">
        <v>14810</v>
      </c>
      <c r="X1614" t="s">
        <v>14809</v>
      </c>
      <c r="Y1614" t="s">
        <v>14808</v>
      </c>
      <c r="Z1614" t="s">
        <v>74</v>
      </c>
      <c r="AA1614" t="s">
        <v>780</v>
      </c>
      <c r="AB1614" t="s">
        <v>14379</v>
      </c>
      <c r="AC1614" t="s">
        <v>74</v>
      </c>
      <c r="AD1614" t="s">
        <v>74</v>
      </c>
      <c r="AE1614" t="s">
        <v>74</v>
      </c>
      <c r="AF1614" t="s">
        <v>74</v>
      </c>
      <c r="AG1614">
        <v>41</v>
      </c>
      <c r="AH1614">
        <v>147</v>
      </c>
      <c r="AI1614">
        <v>169</v>
      </c>
      <c r="AJ1614">
        <v>0</v>
      </c>
      <c r="AK1614">
        <v>7</v>
      </c>
      <c r="AL1614" t="s">
        <v>485</v>
      </c>
      <c r="AM1614" t="s">
        <v>486</v>
      </c>
      <c r="AN1614" t="s">
        <v>487</v>
      </c>
      <c r="AO1614" t="s">
        <v>4433</v>
      </c>
      <c r="AP1614" t="s">
        <v>4434</v>
      </c>
      <c r="AQ1614" t="s">
        <v>74</v>
      </c>
      <c r="AR1614" t="s">
        <v>4435</v>
      </c>
      <c r="AS1614" t="s">
        <v>4436</v>
      </c>
      <c r="AT1614" t="s">
        <v>176</v>
      </c>
      <c r="AU1614">
        <v>2000</v>
      </c>
      <c r="AV1614">
        <v>105</v>
      </c>
      <c r="AW1614">
        <v>1</v>
      </c>
      <c r="AX1614">
        <v>1</v>
      </c>
      <c r="AY1614" t="s">
        <v>74</v>
      </c>
      <c r="AZ1614" t="s">
        <v>74</v>
      </c>
      <c r="BA1614" t="s">
        <v>74</v>
      </c>
      <c r="BB1614">
        <v>99</v>
      </c>
      <c r="BC1614">
        <v>107</v>
      </c>
      <c r="BD1614" t="s">
        <v>74</v>
      </c>
      <c r="BE1614" t="s">
        <v>14807</v>
      </c>
      <c r="BF1614" t="str">
        <f>HYPERLINK("http://dx.doi.org/10.1016/S0091-6749(00)90184-2","http://dx.doi.org/10.1016/S0091-6749(00)90184-2")</f>
        <v>http://dx.doi.org/10.1016/S0091-6749(00)90184-2</v>
      </c>
      <c r="BG1614" t="s">
        <v>74</v>
      </c>
      <c r="BH1614" t="s">
        <v>74</v>
      </c>
      <c r="BI1614">
        <v>9</v>
      </c>
      <c r="BJ1614" t="s">
        <v>3085</v>
      </c>
      <c r="BK1614" t="s">
        <v>101</v>
      </c>
      <c r="BL1614" t="s">
        <v>3085</v>
      </c>
      <c r="BM1614" t="s">
        <v>14806</v>
      </c>
      <c r="BN1614">
        <v>10629459</v>
      </c>
      <c r="BO1614" t="s">
        <v>74</v>
      </c>
      <c r="BP1614" t="s">
        <v>74</v>
      </c>
      <c r="BQ1614" t="s">
        <v>74</v>
      </c>
      <c r="BR1614" t="s">
        <v>104</v>
      </c>
      <c r="BS1614" t="s">
        <v>14805</v>
      </c>
      <c r="BT1614" t="str">
        <f>HYPERLINK("https%3A%2F%2Fwww.webofscience.com%2Fwos%2Fwoscc%2Ffull-record%2FWOS:000084992100014","View Full Record in Web of Science")</f>
        <v>View Full Record in Web of Science</v>
      </c>
    </row>
    <row r="1615" spans="1:72" x14ac:dyDescent="0.25">
      <c r="A1615" t="s">
        <v>72</v>
      </c>
      <c r="B1615" t="s">
        <v>14804</v>
      </c>
      <c r="C1615" t="s">
        <v>74</v>
      </c>
      <c r="D1615" t="s">
        <v>74</v>
      </c>
      <c r="E1615" t="s">
        <v>74</v>
      </c>
      <c r="F1615" t="s">
        <v>14804</v>
      </c>
      <c r="G1615" t="s">
        <v>74</v>
      </c>
      <c r="H1615" t="s">
        <v>74</v>
      </c>
      <c r="I1615" t="s">
        <v>14803</v>
      </c>
      <c r="J1615" t="s">
        <v>14411</v>
      </c>
      <c r="K1615" t="s">
        <v>74</v>
      </c>
      <c r="L1615" t="s">
        <v>74</v>
      </c>
      <c r="M1615" t="s">
        <v>78</v>
      </c>
      <c r="N1615" t="s">
        <v>79</v>
      </c>
      <c r="O1615" t="s">
        <v>74</v>
      </c>
      <c r="P1615" t="s">
        <v>74</v>
      </c>
      <c r="Q1615" t="s">
        <v>74</v>
      </c>
      <c r="R1615" t="s">
        <v>74</v>
      </c>
      <c r="S1615" t="s">
        <v>74</v>
      </c>
      <c r="T1615" t="s">
        <v>74</v>
      </c>
      <c r="U1615" t="s">
        <v>14802</v>
      </c>
      <c r="V1615" t="s">
        <v>14801</v>
      </c>
      <c r="W1615" t="s">
        <v>14800</v>
      </c>
      <c r="X1615" t="s">
        <v>14799</v>
      </c>
      <c r="Y1615" t="s">
        <v>14798</v>
      </c>
      <c r="Z1615" t="s">
        <v>14797</v>
      </c>
      <c r="AA1615" t="s">
        <v>144</v>
      </c>
      <c r="AB1615" t="s">
        <v>257</v>
      </c>
      <c r="AC1615" t="s">
        <v>74</v>
      </c>
      <c r="AD1615" t="s">
        <v>74</v>
      </c>
      <c r="AE1615" t="s">
        <v>74</v>
      </c>
      <c r="AF1615" t="s">
        <v>74</v>
      </c>
      <c r="AG1615">
        <v>53</v>
      </c>
      <c r="AH1615">
        <v>360</v>
      </c>
      <c r="AI1615">
        <v>406</v>
      </c>
      <c r="AJ1615">
        <v>0</v>
      </c>
      <c r="AK1615">
        <v>4</v>
      </c>
      <c r="AL1615" t="s">
        <v>14405</v>
      </c>
      <c r="AM1615" t="s">
        <v>7882</v>
      </c>
      <c r="AN1615" t="s">
        <v>7883</v>
      </c>
      <c r="AO1615" t="s">
        <v>14404</v>
      </c>
      <c r="AP1615" t="s">
        <v>14403</v>
      </c>
      <c r="AQ1615" t="s">
        <v>74</v>
      </c>
      <c r="AR1615" t="s">
        <v>14402</v>
      </c>
      <c r="AS1615" t="s">
        <v>14401</v>
      </c>
      <c r="AT1615" t="s">
        <v>2689</v>
      </c>
      <c r="AU1615">
        <v>1999</v>
      </c>
      <c r="AV1615">
        <v>163</v>
      </c>
      <c r="AW1615">
        <v>11</v>
      </c>
      <c r="AX1615" t="s">
        <v>74</v>
      </c>
      <c r="AY1615" t="s">
        <v>74</v>
      </c>
      <c r="AZ1615" t="s">
        <v>74</v>
      </c>
      <c r="BA1615" t="s">
        <v>74</v>
      </c>
      <c r="BB1615">
        <v>6321</v>
      </c>
      <c r="BC1615">
        <v>6329</v>
      </c>
      <c r="BD1615" t="s">
        <v>74</v>
      </c>
      <c r="BE1615" t="s">
        <v>74</v>
      </c>
      <c r="BF1615" t="s">
        <v>74</v>
      </c>
      <c r="BG1615" t="s">
        <v>74</v>
      </c>
      <c r="BH1615" t="s">
        <v>74</v>
      </c>
      <c r="BI1615">
        <v>9</v>
      </c>
      <c r="BJ1615" t="s">
        <v>159</v>
      </c>
      <c r="BK1615" t="s">
        <v>101</v>
      </c>
      <c r="BL1615" t="s">
        <v>159</v>
      </c>
      <c r="BM1615" t="s">
        <v>14796</v>
      </c>
      <c r="BN1615">
        <v>10570327</v>
      </c>
      <c r="BO1615" t="s">
        <v>74</v>
      </c>
      <c r="BP1615" t="s">
        <v>74</v>
      </c>
      <c r="BQ1615" t="s">
        <v>74</v>
      </c>
      <c r="BR1615" t="s">
        <v>104</v>
      </c>
      <c r="BS1615" t="s">
        <v>14795</v>
      </c>
      <c r="BT1615" t="str">
        <f>HYPERLINK("https%3A%2F%2Fwww.webofscience.com%2Fwos%2Fwoscc%2Ffull-record%2FWOS:000083843500072","View Full Record in Web of Science")</f>
        <v>View Full Record in Web of Science</v>
      </c>
    </row>
    <row r="1616" spans="1:72" x14ac:dyDescent="0.25">
      <c r="A1616" t="s">
        <v>72</v>
      </c>
      <c r="B1616" t="s">
        <v>14776</v>
      </c>
      <c r="C1616" t="s">
        <v>74</v>
      </c>
      <c r="D1616" t="s">
        <v>74</v>
      </c>
      <c r="E1616" t="s">
        <v>74</v>
      </c>
      <c r="F1616" t="s">
        <v>14776</v>
      </c>
      <c r="G1616" t="s">
        <v>74</v>
      </c>
      <c r="H1616" t="s">
        <v>74</v>
      </c>
      <c r="I1616" t="s">
        <v>14794</v>
      </c>
      <c r="J1616" t="s">
        <v>14774</v>
      </c>
      <c r="K1616" t="s">
        <v>74</v>
      </c>
      <c r="L1616" t="s">
        <v>74</v>
      </c>
      <c r="M1616" t="s">
        <v>78</v>
      </c>
      <c r="N1616" t="s">
        <v>217</v>
      </c>
      <c r="O1616" t="s">
        <v>74</v>
      </c>
      <c r="P1616" t="s">
        <v>74</v>
      </c>
      <c r="Q1616" t="s">
        <v>74</v>
      </c>
      <c r="R1616" t="s">
        <v>74</v>
      </c>
      <c r="S1616" t="s">
        <v>74</v>
      </c>
      <c r="T1616" t="s">
        <v>74</v>
      </c>
      <c r="U1616" t="s">
        <v>74</v>
      </c>
      <c r="V1616" t="s">
        <v>74</v>
      </c>
      <c r="W1616" t="s">
        <v>74</v>
      </c>
      <c r="X1616" t="s">
        <v>74</v>
      </c>
      <c r="Y1616" t="s">
        <v>14793</v>
      </c>
      <c r="Z1616" t="s">
        <v>74</v>
      </c>
      <c r="AA1616" t="s">
        <v>144</v>
      </c>
      <c r="AB1616" t="s">
        <v>74</v>
      </c>
      <c r="AC1616" t="s">
        <v>74</v>
      </c>
      <c r="AD1616" t="s">
        <v>74</v>
      </c>
      <c r="AE1616" t="s">
        <v>74</v>
      </c>
      <c r="AF1616" t="s">
        <v>74</v>
      </c>
      <c r="AG1616">
        <v>1</v>
      </c>
      <c r="AH1616">
        <v>0</v>
      </c>
      <c r="AI1616">
        <v>0</v>
      </c>
      <c r="AJ1616">
        <v>0</v>
      </c>
      <c r="AK1616">
        <v>0</v>
      </c>
      <c r="AL1616" t="s">
        <v>122</v>
      </c>
      <c r="AM1616" t="s">
        <v>123</v>
      </c>
      <c r="AN1616" t="s">
        <v>14769</v>
      </c>
      <c r="AO1616" t="s">
        <v>14768</v>
      </c>
      <c r="AP1616" t="s">
        <v>74</v>
      </c>
      <c r="AQ1616" t="s">
        <v>74</v>
      </c>
      <c r="AR1616" t="s">
        <v>14767</v>
      </c>
      <c r="AS1616" t="s">
        <v>14766</v>
      </c>
      <c r="AT1616" t="s">
        <v>315</v>
      </c>
      <c r="AU1616">
        <v>1999</v>
      </c>
      <c r="AV1616">
        <v>14</v>
      </c>
      <c r="AW1616">
        <v>6</v>
      </c>
      <c r="AX1616" t="s">
        <v>74</v>
      </c>
      <c r="AY1616" t="s">
        <v>74</v>
      </c>
      <c r="AZ1616" t="s">
        <v>74</v>
      </c>
      <c r="BA1616" t="s">
        <v>74</v>
      </c>
      <c r="BB1616" t="s">
        <v>14792</v>
      </c>
      <c r="BC1616" t="s">
        <v>14792</v>
      </c>
      <c r="BD1616" t="s">
        <v>74</v>
      </c>
      <c r="BE1616" t="s">
        <v>74</v>
      </c>
      <c r="BF1616" t="s">
        <v>74</v>
      </c>
      <c r="BG1616" t="s">
        <v>74</v>
      </c>
      <c r="BH1616" t="s">
        <v>74</v>
      </c>
      <c r="BI1616">
        <v>1</v>
      </c>
      <c r="BJ1616" t="s">
        <v>132</v>
      </c>
      <c r="BK1616" t="s">
        <v>101</v>
      </c>
      <c r="BL1616" t="s">
        <v>133</v>
      </c>
      <c r="BM1616" t="s">
        <v>14791</v>
      </c>
      <c r="BN1616" t="s">
        <v>74</v>
      </c>
      <c r="BO1616" t="s">
        <v>74</v>
      </c>
      <c r="BP1616" t="s">
        <v>74</v>
      </c>
      <c r="BQ1616" t="s">
        <v>74</v>
      </c>
      <c r="BR1616" t="s">
        <v>104</v>
      </c>
      <c r="BS1616" t="s">
        <v>14790</v>
      </c>
      <c r="BT1616" t="str">
        <f>HYPERLINK("https%3A%2F%2Fwww.webofscience.com%2Fwos%2Fwoscc%2Ffull-record%2FWOS:000083564200013","View Full Record in Web of Science")</f>
        <v>View Full Record in Web of Science</v>
      </c>
    </row>
    <row r="1617" spans="1:72" x14ac:dyDescent="0.25">
      <c r="A1617" t="s">
        <v>72</v>
      </c>
      <c r="B1617" t="s">
        <v>14789</v>
      </c>
      <c r="C1617" t="s">
        <v>74</v>
      </c>
      <c r="D1617" t="s">
        <v>74</v>
      </c>
      <c r="E1617" t="s">
        <v>74</v>
      </c>
      <c r="F1617" t="s">
        <v>14789</v>
      </c>
      <c r="G1617" t="s">
        <v>74</v>
      </c>
      <c r="H1617" t="s">
        <v>74</v>
      </c>
      <c r="I1617" t="s">
        <v>14788</v>
      </c>
      <c r="J1617" t="s">
        <v>14787</v>
      </c>
      <c r="K1617" t="s">
        <v>74</v>
      </c>
      <c r="L1617" t="s">
        <v>74</v>
      </c>
      <c r="M1617" t="s">
        <v>78</v>
      </c>
      <c r="N1617" t="s">
        <v>299</v>
      </c>
      <c r="O1617" t="s">
        <v>74</v>
      </c>
      <c r="P1617" t="s">
        <v>74</v>
      </c>
      <c r="Q1617" t="s">
        <v>74</v>
      </c>
      <c r="R1617" t="s">
        <v>74</v>
      </c>
      <c r="S1617" t="s">
        <v>74</v>
      </c>
      <c r="T1617" t="s">
        <v>74</v>
      </c>
      <c r="U1617" t="s">
        <v>14786</v>
      </c>
      <c r="V1617" t="s">
        <v>14785</v>
      </c>
      <c r="W1617" t="s">
        <v>14784</v>
      </c>
      <c r="X1617" t="s">
        <v>14182</v>
      </c>
      <c r="Y1617" t="s">
        <v>14783</v>
      </c>
      <c r="Z1617" t="s">
        <v>74</v>
      </c>
      <c r="AA1617" t="s">
        <v>144</v>
      </c>
      <c r="AB1617" t="s">
        <v>257</v>
      </c>
      <c r="AC1617" t="s">
        <v>74</v>
      </c>
      <c r="AD1617" t="s">
        <v>74</v>
      </c>
      <c r="AE1617" t="s">
        <v>74</v>
      </c>
      <c r="AF1617" t="s">
        <v>74</v>
      </c>
      <c r="AG1617">
        <v>36</v>
      </c>
      <c r="AH1617">
        <v>271</v>
      </c>
      <c r="AI1617">
        <v>312</v>
      </c>
      <c r="AJ1617">
        <v>0</v>
      </c>
      <c r="AK1617">
        <v>13</v>
      </c>
      <c r="AL1617" t="s">
        <v>397</v>
      </c>
      <c r="AM1617" t="s">
        <v>1074</v>
      </c>
      <c r="AN1617" t="s">
        <v>4444</v>
      </c>
      <c r="AO1617" t="s">
        <v>14782</v>
      </c>
      <c r="AP1617" t="s">
        <v>74</v>
      </c>
      <c r="AQ1617" t="s">
        <v>74</v>
      </c>
      <c r="AR1617" t="s">
        <v>14781</v>
      </c>
      <c r="AS1617" t="s">
        <v>14780</v>
      </c>
      <c r="AT1617" t="s">
        <v>315</v>
      </c>
      <c r="AU1617">
        <v>1999</v>
      </c>
      <c r="AV1617">
        <v>20</v>
      </c>
      <c r="AW1617">
        <v>11</v>
      </c>
      <c r="AX1617" t="s">
        <v>74</v>
      </c>
      <c r="AY1617" t="s">
        <v>74</v>
      </c>
      <c r="AZ1617" t="s">
        <v>74</v>
      </c>
      <c r="BA1617" t="s">
        <v>74</v>
      </c>
      <c r="BB1617">
        <v>528</v>
      </c>
      <c r="BC1617">
        <v>533</v>
      </c>
      <c r="BD1617" t="s">
        <v>74</v>
      </c>
      <c r="BE1617" t="s">
        <v>14779</v>
      </c>
      <c r="BF1617" t="str">
        <f>HYPERLINK("http://dx.doi.org/10.1016/S0167-5699(99)01535-2","http://dx.doi.org/10.1016/S0167-5699(99)01535-2")</f>
        <v>http://dx.doi.org/10.1016/S0167-5699(99)01535-2</v>
      </c>
      <c r="BG1617" t="s">
        <v>74</v>
      </c>
      <c r="BH1617" t="s">
        <v>74</v>
      </c>
      <c r="BI1617">
        <v>6</v>
      </c>
      <c r="BJ1617" t="s">
        <v>159</v>
      </c>
      <c r="BK1617" t="s">
        <v>101</v>
      </c>
      <c r="BL1617" t="s">
        <v>159</v>
      </c>
      <c r="BM1617" t="s">
        <v>14778</v>
      </c>
      <c r="BN1617">
        <v>10529782</v>
      </c>
      <c r="BO1617" t="s">
        <v>74</v>
      </c>
      <c r="BP1617" t="s">
        <v>74</v>
      </c>
      <c r="BQ1617" t="s">
        <v>74</v>
      </c>
      <c r="BR1617" t="s">
        <v>104</v>
      </c>
      <c r="BS1617" t="s">
        <v>14777</v>
      </c>
      <c r="BT1617" t="str">
        <f>HYPERLINK("https%3A%2F%2Fwww.webofscience.com%2Fwos%2Fwoscc%2Ffull-record%2FWOS:000083404500012","View Full Record in Web of Science")</f>
        <v>View Full Record in Web of Science</v>
      </c>
    </row>
    <row r="1618" spans="1:72" x14ac:dyDescent="0.25">
      <c r="A1618" t="s">
        <v>72</v>
      </c>
      <c r="B1618" t="s">
        <v>14776</v>
      </c>
      <c r="C1618" t="s">
        <v>74</v>
      </c>
      <c r="D1618" t="s">
        <v>74</v>
      </c>
      <c r="E1618" t="s">
        <v>74</v>
      </c>
      <c r="F1618" t="s">
        <v>14776</v>
      </c>
      <c r="G1618" t="s">
        <v>74</v>
      </c>
      <c r="H1618" t="s">
        <v>74</v>
      </c>
      <c r="I1618" t="s">
        <v>14775</v>
      </c>
      <c r="J1618" t="s">
        <v>14774</v>
      </c>
      <c r="K1618" t="s">
        <v>74</v>
      </c>
      <c r="L1618" t="s">
        <v>74</v>
      </c>
      <c r="M1618" t="s">
        <v>78</v>
      </c>
      <c r="N1618" t="s">
        <v>299</v>
      </c>
      <c r="O1618" t="s">
        <v>74</v>
      </c>
      <c r="P1618" t="s">
        <v>74</v>
      </c>
      <c r="Q1618" t="s">
        <v>74</v>
      </c>
      <c r="R1618" t="s">
        <v>74</v>
      </c>
      <c r="S1618" t="s">
        <v>74</v>
      </c>
      <c r="T1618" t="s">
        <v>74</v>
      </c>
      <c r="U1618" t="s">
        <v>14773</v>
      </c>
      <c r="V1618" t="s">
        <v>74</v>
      </c>
      <c r="W1618" t="s">
        <v>14772</v>
      </c>
      <c r="X1618" t="s">
        <v>14771</v>
      </c>
      <c r="Y1618" t="s">
        <v>14770</v>
      </c>
      <c r="Z1618" t="s">
        <v>74</v>
      </c>
      <c r="AA1618" t="s">
        <v>144</v>
      </c>
      <c r="AB1618" t="s">
        <v>257</v>
      </c>
      <c r="AC1618" t="s">
        <v>74</v>
      </c>
      <c r="AD1618" t="s">
        <v>74</v>
      </c>
      <c r="AE1618" t="s">
        <v>74</v>
      </c>
      <c r="AF1618" t="s">
        <v>74</v>
      </c>
      <c r="AG1618">
        <v>52</v>
      </c>
      <c r="AH1618">
        <v>11</v>
      </c>
      <c r="AI1618">
        <v>14</v>
      </c>
      <c r="AJ1618">
        <v>0</v>
      </c>
      <c r="AK1618">
        <v>0</v>
      </c>
      <c r="AL1618" t="s">
        <v>122</v>
      </c>
      <c r="AM1618" t="s">
        <v>123</v>
      </c>
      <c r="AN1618" t="s">
        <v>14769</v>
      </c>
      <c r="AO1618" t="s">
        <v>14768</v>
      </c>
      <c r="AP1618" t="s">
        <v>74</v>
      </c>
      <c r="AQ1618" t="s">
        <v>74</v>
      </c>
      <c r="AR1618" t="s">
        <v>14767</v>
      </c>
      <c r="AS1618" t="s">
        <v>14766</v>
      </c>
      <c r="AT1618" t="s">
        <v>492</v>
      </c>
      <c r="AU1618">
        <v>1999</v>
      </c>
      <c r="AV1618">
        <v>14</v>
      </c>
      <c r="AW1618">
        <v>5</v>
      </c>
      <c r="AX1618" t="s">
        <v>74</v>
      </c>
      <c r="AY1618" t="s">
        <v>74</v>
      </c>
      <c r="AZ1618" t="s">
        <v>74</v>
      </c>
      <c r="BA1618" t="s">
        <v>74</v>
      </c>
      <c r="BB1618">
        <v>437</v>
      </c>
      <c r="BC1618">
        <v>441</v>
      </c>
      <c r="BD1618" t="s">
        <v>74</v>
      </c>
      <c r="BE1618" t="s">
        <v>14765</v>
      </c>
      <c r="BF1618" t="str">
        <f>HYPERLINK("http://dx.doi.org/10.1097/00001573-199909000-00013","http://dx.doi.org/10.1097/00001573-199909000-00013")</f>
        <v>http://dx.doi.org/10.1097/00001573-199909000-00013</v>
      </c>
      <c r="BG1618" t="s">
        <v>74</v>
      </c>
      <c r="BH1618" t="s">
        <v>74</v>
      </c>
      <c r="BI1618">
        <v>5</v>
      </c>
      <c r="BJ1618" t="s">
        <v>132</v>
      </c>
      <c r="BK1618" t="s">
        <v>101</v>
      </c>
      <c r="BL1618" t="s">
        <v>133</v>
      </c>
      <c r="BM1618" t="s">
        <v>14764</v>
      </c>
      <c r="BN1618">
        <v>10500907</v>
      </c>
      <c r="BO1618" t="s">
        <v>74</v>
      </c>
      <c r="BP1618" t="s">
        <v>74</v>
      </c>
      <c r="BQ1618" t="s">
        <v>74</v>
      </c>
      <c r="BR1618" t="s">
        <v>104</v>
      </c>
      <c r="BS1618" t="s">
        <v>14763</v>
      </c>
      <c r="BT1618" t="str">
        <f>HYPERLINK("https%3A%2F%2Fwww.webofscience.com%2Fwos%2Fwoscc%2Ffull-record%2FWOS:000082197900013","View Full Record in Web of Science")</f>
        <v>View Full Record in Web of Science</v>
      </c>
    </row>
    <row r="1619" spans="1:72" x14ac:dyDescent="0.25">
      <c r="A1619" t="s">
        <v>72</v>
      </c>
      <c r="B1619" t="s">
        <v>14762</v>
      </c>
      <c r="C1619" t="s">
        <v>74</v>
      </c>
      <c r="D1619" t="s">
        <v>74</v>
      </c>
      <c r="E1619" t="s">
        <v>74</v>
      </c>
      <c r="F1619" t="s">
        <v>14762</v>
      </c>
      <c r="G1619" t="s">
        <v>74</v>
      </c>
      <c r="H1619" t="s">
        <v>74</v>
      </c>
      <c r="I1619" t="s">
        <v>14761</v>
      </c>
      <c r="J1619" t="s">
        <v>14756</v>
      </c>
      <c r="K1619" t="s">
        <v>74</v>
      </c>
      <c r="L1619" t="s">
        <v>74</v>
      </c>
      <c r="M1619" t="s">
        <v>78</v>
      </c>
      <c r="N1619" t="s">
        <v>52</v>
      </c>
      <c r="O1619" t="s">
        <v>74</v>
      </c>
      <c r="P1619" t="s">
        <v>74</v>
      </c>
      <c r="Q1619" t="s">
        <v>74</v>
      </c>
      <c r="R1619" t="s">
        <v>74</v>
      </c>
      <c r="S1619" t="s">
        <v>74</v>
      </c>
      <c r="T1619" t="s">
        <v>74</v>
      </c>
      <c r="U1619" t="s">
        <v>74</v>
      </c>
      <c r="V1619" t="s">
        <v>74</v>
      </c>
      <c r="W1619" t="s">
        <v>74</v>
      </c>
      <c r="X1619" t="s">
        <v>74</v>
      </c>
      <c r="Y1619" t="s">
        <v>74</v>
      </c>
      <c r="Z1619" t="s">
        <v>74</v>
      </c>
      <c r="AA1619" t="s">
        <v>14550</v>
      </c>
      <c r="AB1619" t="s">
        <v>74</v>
      </c>
      <c r="AC1619" t="s">
        <v>74</v>
      </c>
      <c r="AD1619" t="s">
        <v>74</v>
      </c>
      <c r="AE1619" t="s">
        <v>74</v>
      </c>
      <c r="AF1619" t="s">
        <v>74</v>
      </c>
      <c r="AG1619">
        <v>0</v>
      </c>
      <c r="AH1619">
        <v>0</v>
      </c>
      <c r="AI1619">
        <v>0</v>
      </c>
      <c r="AJ1619">
        <v>0</v>
      </c>
      <c r="AK1619">
        <v>0</v>
      </c>
      <c r="AL1619" t="s">
        <v>14753</v>
      </c>
      <c r="AM1619" t="s">
        <v>486</v>
      </c>
      <c r="AN1619" t="s">
        <v>14752</v>
      </c>
      <c r="AO1619" t="s">
        <v>14751</v>
      </c>
      <c r="AP1619" t="s">
        <v>74</v>
      </c>
      <c r="AQ1619" t="s">
        <v>74</v>
      </c>
      <c r="AR1619" t="s">
        <v>14750</v>
      </c>
      <c r="AS1619" t="s">
        <v>14749</v>
      </c>
      <c r="AT1619" t="s">
        <v>492</v>
      </c>
      <c r="AU1619">
        <v>1999</v>
      </c>
      <c r="AV1619">
        <v>26</v>
      </c>
      <c r="AW1619">
        <v>9</v>
      </c>
      <c r="AX1619" t="s">
        <v>74</v>
      </c>
      <c r="AY1619" t="s">
        <v>74</v>
      </c>
      <c r="AZ1619" t="s">
        <v>74</v>
      </c>
      <c r="BA1619" t="s">
        <v>14760</v>
      </c>
      <c r="BB1619">
        <v>1077</v>
      </c>
      <c r="BC1619">
        <v>1077</v>
      </c>
      <c r="BD1619" t="s">
        <v>74</v>
      </c>
      <c r="BE1619" t="s">
        <v>74</v>
      </c>
      <c r="BF1619" t="s">
        <v>74</v>
      </c>
      <c r="BG1619" t="s">
        <v>74</v>
      </c>
      <c r="BH1619" t="s">
        <v>74</v>
      </c>
      <c r="BI1619">
        <v>1</v>
      </c>
      <c r="BJ1619" t="s">
        <v>892</v>
      </c>
      <c r="BK1619" t="s">
        <v>101</v>
      </c>
      <c r="BL1619" t="s">
        <v>892</v>
      </c>
      <c r="BM1619" t="s">
        <v>14747</v>
      </c>
      <c r="BN1619" t="s">
        <v>74</v>
      </c>
      <c r="BO1619" t="s">
        <v>74</v>
      </c>
      <c r="BP1619" t="s">
        <v>74</v>
      </c>
      <c r="BQ1619" t="s">
        <v>74</v>
      </c>
      <c r="BR1619" t="s">
        <v>104</v>
      </c>
      <c r="BS1619" t="s">
        <v>14759</v>
      </c>
      <c r="BT1619" t="str">
        <f>HYPERLINK("https%3A%2F%2Fwww.webofscience.com%2Fwos%2Fwoscc%2Ffull-record%2FWOS:000082614100468","View Full Record in Web of Science")</f>
        <v>View Full Record in Web of Science</v>
      </c>
    </row>
    <row r="1620" spans="1:72" x14ac:dyDescent="0.25">
      <c r="A1620" t="s">
        <v>72</v>
      </c>
      <c r="B1620" t="s">
        <v>14758</v>
      </c>
      <c r="C1620" t="s">
        <v>74</v>
      </c>
      <c r="D1620" t="s">
        <v>74</v>
      </c>
      <c r="E1620" t="s">
        <v>74</v>
      </c>
      <c r="F1620" t="s">
        <v>14758</v>
      </c>
      <c r="G1620" t="s">
        <v>74</v>
      </c>
      <c r="H1620" t="s">
        <v>74</v>
      </c>
      <c r="I1620" t="s">
        <v>14757</v>
      </c>
      <c r="J1620" t="s">
        <v>14756</v>
      </c>
      <c r="K1620" t="s">
        <v>74</v>
      </c>
      <c r="L1620" t="s">
        <v>74</v>
      </c>
      <c r="M1620" t="s">
        <v>78</v>
      </c>
      <c r="N1620" t="s">
        <v>52</v>
      </c>
      <c r="O1620" t="s">
        <v>74</v>
      </c>
      <c r="P1620" t="s">
        <v>74</v>
      </c>
      <c r="Q1620" t="s">
        <v>74</v>
      </c>
      <c r="R1620" t="s">
        <v>74</v>
      </c>
      <c r="S1620" t="s">
        <v>74</v>
      </c>
      <c r="T1620" t="s">
        <v>74</v>
      </c>
      <c r="U1620" t="s">
        <v>74</v>
      </c>
      <c r="V1620" t="s">
        <v>74</v>
      </c>
      <c r="W1620" t="s">
        <v>14755</v>
      </c>
      <c r="X1620" t="s">
        <v>14541</v>
      </c>
      <c r="Y1620" t="s">
        <v>74</v>
      </c>
      <c r="Z1620" t="s">
        <v>74</v>
      </c>
      <c r="AA1620" t="s">
        <v>14754</v>
      </c>
      <c r="AB1620" t="s">
        <v>74</v>
      </c>
      <c r="AC1620" t="s">
        <v>74</v>
      </c>
      <c r="AD1620" t="s">
        <v>74</v>
      </c>
      <c r="AE1620" t="s">
        <v>74</v>
      </c>
      <c r="AF1620" t="s">
        <v>74</v>
      </c>
      <c r="AG1620">
        <v>0</v>
      </c>
      <c r="AH1620">
        <v>0</v>
      </c>
      <c r="AI1620">
        <v>0</v>
      </c>
      <c r="AJ1620">
        <v>0</v>
      </c>
      <c r="AK1620">
        <v>0</v>
      </c>
      <c r="AL1620" t="s">
        <v>14753</v>
      </c>
      <c r="AM1620" t="s">
        <v>486</v>
      </c>
      <c r="AN1620" t="s">
        <v>14752</v>
      </c>
      <c r="AO1620" t="s">
        <v>14751</v>
      </c>
      <c r="AP1620" t="s">
        <v>74</v>
      </c>
      <c r="AQ1620" t="s">
        <v>74</v>
      </c>
      <c r="AR1620" t="s">
        <v>14750</v>
      </c>
      <c r="AS1620" t="s">
        <v>14749</v>
      </c>
      <c r="AT1620" t="s">
        <v>492</v>
      </c>
      <c r="AU1620">
        <v>1999</v>
      </c>
      <c r="AV1620">
        <v>26</v>
      </c>
      <c r="AW1620">
        <v>9</v>
      </c>
      <c r="AX1620" t="s">
        <v>74</v>
      </c>
      <c r="AY1620" t="s">
        <v>74</v>
      </c>
      <c r="AZ1620" t="s">
        <v>74</v>
      </c>
      <c r="BA1620" t="s">
        <v>14748</v>
      </c>
      <c r="BB1620">
        <v>1079</v>
      </c>
      <c r="BC1620">
        <v>1079</v>
      </c>
      <c r="BD1620" t="s">
        <v>74</v>
      </c>
      <c r="BE1620" t="s">
        <v>74</v>
      </c>
      <c r="BF1620" t="s">
        <v>74</v>
      </c>
      <c r="BG1620" t="s">
        <v>74</v>
      </c>
      <c r="BH1620" t="s">
        <v>74</v>
      </c>
      <c r="BI1620">
        <v>1</v>
      </c>
      <c r="BJ1620" t="s">
        <v>892</v>
      </c>
      <c r="BK1620" t="s">
        <v>101</v>
      </c>
      <c r="BL1620" t="s">
        <v>892</v>
      </c>
      <c r="BM1620" t="s">
        <v>14747</v>
      </c>
      <c r="BN1620" t="s">
        <v>74</v>
      </c>
      <c r="BO1620" t="s">
        <v>74</v>
      </c>
      <c r="BP1620" t="s">
        <v>74</v>
      </c>
      <c r="BQ1620" t="s">
        <v>74</v>
      </c>
      <c r="BR1620" t="s">
        <v>104</v>
      </c>
      <c r="BS1620" t="s">
        <v>14746</v>
      </c>
      <c r="BT1620" t="str">
        <f>HYPERLINK("https%3A%2F%2Fwww.webofscience.com%2Fwos%2Fwoscc%2Ffull-record%2FWOS:000082614100477","View Full Record in Web of Science")</f>
        <v>View Full Record in Web of Science</v>
      </c>
    </row>
    <row r="1621" spans="1:72" x14ac:dyDescent="0.25">
      <c r="A1621" t="s">
        <v>72</v>
      </c>
      <c r="B1621" t="s">
        <v>14745</v>
      </c>
      <c r="C1621" t="s">
        <v>74</v>
      </c>
      <c r="D1621" t="s">
        <v>74</v>
      </c>
      <c r="E1621" t="s">
        <v>74</v>
      </c>
      <c r="F1621" t="s">
        <v>14745</v>
      </c>
      <c r="G1621" t="s">
        <v>74</v>
      </c>
      <c r="H1621" t="s">
        <v>74</v>
      </c>
      <c r="I1621" t="s">
        <v>14744</v>
      </c>
      <c r="J1621" t="s">
        <v>216</v>
      </c>
      <c r="K1621" t="s">
        <v>74</v>
      </c>
      <c r="L1621" t="s">
        <v>74</v>
      </c>
      <c r="M1621" t="s">
        <v>78</v>
      </c>
      <c r="N1621" t="s">
        <v>79</v>
      </c>
      <c r="O1621" t="s">
        <v>74</v>
      </c>
      <c r="P1621" t="s">
        <v>74</v>
      </c>
      <c r="Q1621" t="s">
        <v>74</v>
      </c>
      <c r="R1621" t="s">
        <v>74</v>
      </c>
      <c r="S1621" t="s">
        <v>74</v>
      </c>
      <c r="T1621" t="s">
        <v>14743</v>
      </c>
      <c r="U1621" t="s">
        <v>14742</v>
      </c>
      <c r="V1621" t="s">
        <v>14741</v>
      </c>
      <c r="W1621" t="s">
        <v>14740</v>
      </c>
      <c r="X1621" t="s">
        <v>14156</v>
      </c>
      <c r="Y1621" t="s">
        <v>14739</v>
      </c>
      <c r="Z1621" t="s">
        <v>74</v>
      </c>
      <c r="AA1621" t="s">
        <v>14164</v>
      </c>
      <c r="AB1621" t="s">
        <v>14575</v>
      </c>
      <c r="AC1621" t="s">
        <v>74</v>
      </c>
      <c r="AD1621" t="s">
        <v>74</v>
      </c>
      <c r="AE1621" t="s">
        <v>74</v>
      </c>
      <c r="AF1621" t="s">
        <v>74</v>
      </c>
      <c r="AG1621">
        <v>29</v>
      </c>
      <c r="AH1621">
        <v>92</v>
      </c>
      <c r="AI1621">
        <v>112</v>
      </c>
      <c r="AJ1621">
        <v>0</v>
      </c>
      <c r="AK1621">
        <v>4</v>
      </c>
      <c r="AL1621" t="s">
        <v>14340</v>
      </c>
      <c r="AM1621" t="s">
        <v>14339</v>
      </c>
      <c r="AN1621" t="s">
        <v>14338</v>
      </c>
      <c r="AO1621" t="s">
        <v>222</v>
      </c>
      <c r="AP1621" t="s">
        <v>74</v>
      </c>
      <c r="AQ1621" t="s">
        <v>74</v>
      </c>
      <c r="AR1621" t="s">
        <v>224</v>
      </c>
      <c r="AS1621" t="s">
        <v>225</v>
      </c>
      <c r="AT1621" t="s">
        <v>1060</v>
      </c>
      <c r="AU1621">
        <v>1999</v>
      </c>
      <c r="AV1621">
        <v>13</v>
      </c>
      <c r="AW1621">
        <v>6</v>
      </c>
      <c r="AX1621" t="s">
        <v>74</v>
      </c>
      <c r="AY1621" t="s">
        <v>74</v>
      </c>
      <c r="AZ1621" t="s">
        <v>74</v>
      </c>
      <c r="BA1621" t="s">
        <v>74</v>
      </c>
      <c r="BB1621">
        <v>1351</v>
      </c>
      <c r="BC1621">
        <v>1356</v>
      </c>
      <c r="BD1621" t="s">
        <v>74</v>
      </c>
      <c r="BE1621" t="s">
        <v>14738</v>
      </c>
      <c r="BF1621" t="str">
        <f>HYPERLINK("http://dx.doi.org/10.1183/09031936.99.13613579","http://dx.doi.org/10.1183/09031936.99.13613579")</f>
        <v>http://dx.doi.org/10.1183/09031936.99.13613579</v>
      </c>
      <c r="BG1621" t="s">
        <v>74</v>
      </c>
      <c r="BH1621" t="s">
        <v>74</v>
      </c>
      <c r="BI1621">
        <v>6</v>
      </c>
      <c r="BJ1621" t="s">
        <v>228</v>
      </c>
      <c r="BK1621" t="s">
        <v>101</v>
      </c>
      <c r="BL1621" t="s">
        <v>228</v>
      </c>
      <c r="BM1621" t="s">
        <v>14737</v>
      </c>
      <c r="BN1621">
        <v>10445611</v>
      </c>
      <c r="BO1621" t="s">
        <v>1194</v>
      </c>
      <c r="BP1621" t="s">
        <v>74</v>
      </c>
      <c r="BQ1621" t="s">
        <v>74</v>
      </c>
      <c r="BR1621" t="s">
        <v>104</v>
      </c>
      <c r="BS1621" t="s">
        <v>14736</v>
      </c>
      <c r="BT1621" t="str">
        <f>HYPERLINK("https%3A%2F%2Fwww.webofscience.com%2Fwos%2Fwoscc%2Ffull-record%2FWOS:000081775800020","View Full Record in Web of Science")</f>
        <v>View Full Record in Web of Science</v>
      </c>
    </row>
    <row r="1622" spans="1:72" x14ac:dyDescent="0.25">
      <c r="A1622" t="s">
        <v>72</v>
      </c>
      <c r="B1622" t="s">
        <v>14735</v>
      </c>
      <c r="C1622" t="s">
        <v>74</v>
      </c>
      <c r="D1622" t="s">
        <v>74</v>
      </c>
      <c r="E1622" t="s">
        <v>74</v>
      </c>
      <c r="F1622" t="s">
        <v>14735</v>
      </c>
      <c r="G1622" t="s">
        <v>74</v>
      </c>
      <c r="H1622" t="s">
        <v>74</v>
      </c>
      <c r="I1622" t="s">
        <v>14734</v>
      </c>
      <c r="J1622" t="s">
        <v>637</v>
      </c>
      <c r="K1622" t="s">
        <v>74</v>
      </c>
      <c r="L1622" t="s">
        <v>74</v>
      </c>
      <c r="M1622" t="s">
        <v>78</v>
      </c>
      <c r="N1622" t="s">
        <v>52</v>
      </c>
      <c r="O1622" t="s">
        <v>74</v>
      </c>
      <c r="P1622" t="s">
        <v>74</v>
      </c>
      <c r="Q1622" t="s">
        <v>74</v>
      </c>
      <c r="R1622" t="s">
        <v>74</v>
      </c>
      <c r="S1622" t="s">
        <v>74</v>
      </c>
      <c r="T1622" t="s">
        <v>74</v>
      </c>
      <c r="U1622" t="s">
        <v>74</v>
      </c>
      <c r="V1622" t="s">
        <v>74</v>
      </c>
      <c r="W1622" t="s">
        <v>14733</v>
      </c>
      <c r="X1622" t="s">
        <v>14732</v>
      </c>
      <c r="Y1622" t="s">
        <v>74</v>
      </c>
      <c r="Z1622" t="s">
        <v>74</v>
      </c>
      <c r="AA1622" t="s">
        <v>7706</v>
      </c>
      <c r="AB1622" t="s">
        <v>74</v>
      </c>
      <c r="AC1622" t="s">
        <v>74</v>
      </c>
      <c r="AD1622" t="s">
        <v>74</v>
      </c>
      <c r="AE1622" t="s">
        <v>74</v>
      </c>
      <c r="AF1622" t="s">
        <v>74</v>
      </c>
      <c r="AG1622">
        <v>0</v>
      </c>
      <c r="AH1622">
        <v>5</v>
      </c>
      <c r="AI1622">
        <v>5</v>
      </c>
      <c r="AJ1622">
        <v>0</v>
      </c>
      <c r="AK1622">
        <v>0</v>
      </c>
      <c r="AL1622" t="s">
        <v>14045</v>
      </c>
      <c r="AM1622" t="s">
        <v>486</v>
      </c>
      <c r="AN1622" t="s">
        <v>14540</v>
      </c>
      <c r="AO1622" t="s">
        <v>651</v>
      </c>
      <c r="AP1622" t="s">
        <v>74</v>
      </c>
      <c r="AQ1622" t="s">
        <v>74</v>
      </c>
      <c r="AR1622" t="s">
        <v>653</v>
      </c>
      <c r="AS1622" t="s">
        <v>654</v>
      </c>
      <c r="AT1622" t="s">
        <v>98</v>
      </c>
      <c r="AU1622">
        <v>1999</v>
      </c>
      <c r="AV1622">
        <v>159</v>
      </c>
      <c r="AW1622">
        <v>3</v>
      </c>
      <c r="AX1622" t="s">
        <v>74</v>
      </c>
      <c r="AY1622" t="s">
        <v>998</v>
      </c>
      <c r="AZ1622" t="s">
        <v>74</v>
      </c>
      <c r="BA1622" t="s">
        <v>74</v>
      </c>
      <c r="BB1622" t="s">
        <v>14731</v>
      </c>
      <c r="BC1622" t="s">
        <v>14731</v>
      </c>
      <c r="BD1622" t="s">
        <v>74</v>
      </c>
      <c r="BE1622" t="s">
        <v>74</v>
      </c>
      <c r="BF1622" t="s">
        <v>74</v>
      </c>
      <c r="BG1622" t="s">
        <v>74</v>
      </c>
      <c r="BH1622" t="s">
        <v>74</v>
      </c>
      <c r="BI1622">
        <v>1</v>
      </c>
      <c r="BJ1622" t="s">
        <v>341</v>
      </c>
      <c r="BK1622" t="s">
        <v>101</v>
      </c>
      <c r="BL1622" t="s">
        <v>342</v>
      </c>
      <c r="BM1622" t="s">
        <v>14693</v>
      </c>
      <c r="BN1622" t="s">
        <v>74</v>
      </c>
      <c r="BO1622" t="s">
        <v>74</v>
      </c>
      <c r="BP1622" t="s">
        <v>74</v>
      </c>
      <c r="BQ1622" t="s">
        <v>74</v>
      </c>
      <c r="BR1622" t="s">
        <v>104</v>
      </c>
      <c r="BS1622" t="s">
        <v>14730</v>
      </c>
      <c r="BT1622" t="str">
        <f>HYPERLINK("https%3A%2F%2Fwww.webofscience.com%2Fwos%2Fwoscc%2Ffull-record%2FWOS:000082237100883","View Full Record in Web of Science")</f>
        <v>View Full Record in Web of Science</v>
      </c>
    </row>
    <row r="1623" spans="1:72" x14ac:dyDescent="0.25">
      <c r="A1623" t="s">
        <v>72</v>
      </c>
      <c r="B1623" t="s">
        <v>14729</v>
      </c>
      <c r="C1623" t="s">
        <v>74</v>
      </c>
      <c r="D1623" t="s">
        <v>74</v>
      </c>
      <c r="E1623" t="s">
        <v>74</v>
      </c>
      <c r="F1623" t="s">
        <v>14729</v>
      </c>
      <c r="G1623" t="s">
        <v>74</v>
      </c>
      <c r="H1623" t="s">
        <v>74</v>
      </c>
      <c r="I1623" t="s">
        <v>14728</v>
      </c>
      <c r="J1623" t="s">
        <v>637</v>
      </c>
      <c r="K1623" t="s">
        <v>74</v>
      </c>
      <c r="L1623" t="s">
        <v>74</v>
      </c>
      <c r="M1623" t="s">
        <v>78</v>
      </c>
      <c r="N1623" t="s">
        <v>52</v>
      </c>
      <c r="O1623" t="s">
        <v>74</v>
      </c>
      <c r="P1623" t="s">
        <v>74</v>
      </c>
      <c r="Q1623" t="s">
        <v>74</v>
      </c>
      <c r="R1623" t="s">
        <v>74</v>
      </c>
      <c r="S1623" t="s">
        <v>74</v>
      </c>
      <c r="T1623" t="s">
        <v>74</v>
      </c>
      <c r="U1623" t="s">
        <v>74</v>
      </c>
      <c r="V1623" t="s">
        <v>74</v>
      </c>
      <c r="W1623" t="s">
        <v>14727</v>
      </c>
      <c r="X1623" t="s">
        <v>14726</v>
      </c>
      <c r="Y1623" t="s">
        <v>74</v>
      </c>
      <c r="Z1623" t="s">
        <v>74</v>
      </c>
      <c r="AA1623" t="s">
        <v>14725</v>
      </c>
      <c r="AB1623" t="s">
        <v>74</v>
      </c>
      <c r="AC1623" t="s">
        <v>74</v>
      </c>
      <c r="AD1623" t="s">
        <v>74</v>
      </c>
      <c r="AE1623" t="s">
        <v>74</v>
      </c>
      <c r="AF1623" t="s">
        <v>74</v>
      </c>
      <c r="AG1623">
        <v>0</v>
      </c>
      <c r="AH1623">
        <v>0</v>
      </c>
      <c r="AI1623">
        <v>0</v>
      </c>
      <c r="AJ1623">
        <v>0</v>
      </c>
      <c r="AK1623">
        <v>0</v>
      </c>
      <c r="AL1623" t="s">
        <v>14045</v>
      </c>
      <c r="AM1623" t="s">
        <v>486</v>
      </c>
      <c r="AN1623" t="s">
        <v>14540</v>
      </c>
      <c r="AO1623" t="s">
        <v>651</v>
      </c>
      <c r="AP1623" t="s">
        <v>74</v>
      </c>
      <c r="AQ1623" t="s">
        <v>74</v>
      </c>
      <c r="AR1623" t="s">
        <v>653</v>
      </c>
      <c r="AS1623" t="s">
        <v>654</v>
      </c>
      <c r="AT1623" t="s">
        <v>98</v>
      </c>
      <c r="AU1623">
        <v>1999</v>
      </c>
      <c r="AV1623">
        <v>159</v>
      </c>
      <c r="AW1623">
        <v>3</v>
      </c>
      <c r="AX1623" t="s">
        <v>74</v>
      </c>
      <c r="AY1623" t="s">
        <v>998</v>
      </c>
      <c r="AZ1623" t="s">
        <v>74</v>
      </c>
      <c r="BA1623" t="s">
        <v>74</v>
      </c>
      <c r="BB1623" t="s">
        <v>14724</v>
      </c>
      <c r="BC1623" t="s">
        <v>14724</v>
      </c>
      <c r="BD1623" t="s">
        <v>74</v>
      </c>
      <c r="BE1623" t="s">
        <v>74</v>
      </c>
      <c r="BF1623" t="s">
        <v>74</v>
      </c>
      <c r="BG1623" t="s">
        <v>74</v>
      </c>
      <c r="BH1623" t="s">
        <v>74</v>
      </c>
      <c r="BI1623">
        <v>1</v>
      </c>
      <c r="BJ1623" t="s">
        <v>341</v>
      </c>
      <c r="BK1623" t="s">
        <v>101</v>
      </c>
      <c r="BL1623" t="s">
        <v>342</v>
      </c>
      <c r="BM1623" t="s">
        <v>14693</v>
      </c>
      <c r="BN1623" t="s">
        <v>74</v>
      </c>
      <c r="BO1623" t="s">
        <v>74</v>
      </c>
      <c r="BP1623" t="s">
        <v>74</v>
      </c>
      <c r="BQ1623" t="s">
        <v>74</v>
      </c>
      <c r="BR1623" t="s">
        <v>104</v>
      </c>
      <c r="BS1623" t="s">
        <v>14723</v>
      </c>
      <c r="BT1623" t="str">
        <f>HYPERLINK("https%3A%2F%2Fwww.webofscience.com%2Fwos%2Fwoscc%2Ffull-record%2FWOS:000082237103874","View Full Record in Web of Science")</f>
        <v>View Full Record in Web of Science</v>
      </c>
    </row>
    <row r="1624" spans="1:72" x14ac:dyDescent="0.25">
      <c r="A1624" t="s">
        <v>72</v>
      </c>
      <c r="B1624" t="s">
        <v>14722</v>
      </c>
      <c r="C1624" t="s">
        <v>74</v>
      </c>
      <c r="D1624" t="s">
        <v>74</v>
      </c>
      <c r="E1624" t="s">
        <v>74</v>
      </c>
      <c r="F1624" t="s">
        <v>14722</v>
      </c>
      <c r="G1624" t="s">
        <v>74</v>
      </c>
      <c r="H1624" t="s">
        <v>74</v>
      </c>
      <c r="I1624" t="s">
        <v>14721</v>
      </c>
      <c r="J1624" t="s">
        <v>6978</v>
      </c>
      <c r="K1624" t="s">
        <v>74</v>
      </c>
      <c r="L1624" t="s">
        <v>74</v>
      </c>
      <c r="M1624" t="s">
        <v>78</v>
      </c>
      <c r="N1624" t="s">
        <v>299</v>
      </c>
      <c r="O1624" t="s">
        <v>74</v>
      </c>
      <c r="P1624" t="s">
        <v>74</v>
      </c>
      <c r="Q1624" t="s">
        <v>74</v>
      </c>
      <c r="R1624" t="s">
        <v>74</v>
      </c>
      <c r="S1624" t="s">
        <v>74</v>
      </c>
      <c r="T1624" t="s">
        <v>74</v>
      </c>
      <c r="U1624" t="s">
        <v>14720</v>
      </c>
      <c r="V1624" t="s">
        <v>74</v>
      </c>
      <c r="W1624" t="s">
        <v>14719</v>
      </c>
      <c r="X1624" t="s">
        <v>14718</v>
      </c>
      <c r="Y1624" t="s">
        <v>14717</v>
      </c>
      <c r="Z1624" t="s">
        <v>74</v>
      </c>
      <c r="AA1624" t="s">
        <v>14164</v>
      </c>
      <c r="AB1624" t="s">
        <v>3302</v>
      </c>
      <c r="AC1624" t="s">
        <v>74</v>
      </c>
      <c r="AD1624" t="s">
        <v>74</v>
      </c>
      <c r="AE1624" t="s">
        <v>74</v>
      </c>
      <c r="AF1624" t="s">
        <v>74</v>
      </c>
      <c r="AG1624">
        <v>59</v>
      </c>
      <c r="AH1624">
        <v>87</v>
      </c>
      <c r="AI1624">
        <v>93</v>
      </c>
      <c r="AJ1624">
        <v>0</v>
      </c>
      <c r="AK1624">
        <v>2</v>
      </c>
      <c r="AL1624" t="s">
        <v>14278</v>
      </c>
      <c r="AM1624" t="s">
        <v>201</v>
      </c>
      <c r="AN1624" t="s">
        <v>2591</v>
      </c>
      <c r="AO1624" t="s">
        <v>6985</v>
      </c>
      <c r="AP1624" t="s">
        <v>74</v>
      </c>
      <c r="AQ1624" t="s">
        <v>74</v>
      </c>
      <c r="AR1624" t="s">
        <v>6978</v>
      </c>
      <c r="AS1624" t="s">
        <v>6987</v>
      </c>
      <c r="AT1624" t="s">
        <v>98</v>
      </c>
      <c r="AU1624">
        <v>1999</v>
      </c>
      <c r="AV1624">
        <v>54</v>
      </c>
      <c r="AW1624">
        <v>3</v>
      </c>
      <c r="AX1624" t="s">
        <v>74</v>
      </c>
      <c r="AY1624" t="s">
        <v>74</v>
      </c>
      <c r="AZ1624" t="s">
        <v>74</v>
      </c>
      <c r="BA1624" t="s">
        <v>74</v>
      </c>
      <c r="BB1624">
        <v>273</v>
      </c>
      <c r="BC1624">
        <v>277</v>
      </c>
      <c r="BD1624" t="s">
        <v>74</v>
      </c>
      <c r="BE1624" t="s">
        <v>14716</v>
      </c>
      <c r="BF1624" t="str">
        <f>HYPERLINK("http://dx.doi.org/10.1136/thx.54.3.273","http://dx.doi.org/10.1136/thx.54.3.273")</f>
        <v>http://dx.doi.org/10.1136/thx.54.3.273</v>
      </c>
      <c r="BG1624" t="s">
        <v>74</v>
      </c>
      <c r="BH1624" t="s">
        <v>74</v>
      </c>
      <c r="BI1624">
        <v>5</v>
      </c>
      <c r="BJ1624" t="s">
        <v>228</v>
      </c>
      <c r="BK1624" t="s">
        <v>101</v>
      </c>
      <c r="BL1624" t="s">
        <v>228</v>
      </c>
      <c r="BM1624" t="s">
        <v>14715</v>
      </c>
      <c r="BN1624">
        <v>10325906</v>
      </c>
      <c r="BO1624" t="s">
        <v>6217</v>
      </c>
      <c r="BP1624" t="s">
        <v>74</v>
      </c>
      <c r="BQ1624" t="s">
        <v>74</v>
      </c>
      <c r="BR1624" t="s">
        <v>104</v>
      </c>
      <c r="BS1624" t="s">
        <v>14714</v>
      </c>
      <c r="BT1624" t="str">
        <f>HYPERLINK("https%3A%2F%2Fwww.webofscience.com%2Fwos%2Fwoscc%2Ffull-record%2FWOS:000079065100019","View Full Record in Web of Science")</f>
        <v>View Full Record in Web of Science</v>
      </c>
    </row>
    <row r="1625" spans="1:72" x14ac:dyDescent="0.25">
      <c r="A1625" t="s">
        <v>72</v>
      </c>
      <c r="B1625" t="s">
        <v>14713</v>
      </c>
      <c r="C1625" t="s">
        <v>74</v>
      </c>
      <c r="D1625" t="s">
        <v>74</v>
      </c>
      <c r="E1625" t="s">
        <v>74</v>
      </c>
      <c r="F1625" t="s">
        <v>14713</v>
      </c>
      <c r="G1625" t="s">
        <v>74</v>
      </c>
      <c r="H1625" t="s">
        <v>74</v>
      </c>
      <c r="I1625" t="s">
        <v>14712</v>
      </c>
      <c r="J1625" t="s">
        <v>637</v>
      </c>
      <c r="K1625" t="s">
        <v>74</v>
      </c>
      <c r="L1625" t="s">
        <v>74</v>
      </c>
      <c r="M1625" t="s">
        <v>78</v>
      </c>
      <c r="N1625" t="s">
        <v>52</v>
      </c>
      <c r="O1625" t="s">
        <v>74</v>
      </c>
      <c r="P1625" t="s">
        <v>74</v>
      </c>
      <c r="Q1625" t="s">
        <v>74</v>
      </c>
      <c r="R1625" t="s">
        <v>74</v>
      </c>
      <c r="S1625" t="s">
        <v>74</v>
      </c>
      <c r="T1625" t="s">
        <v>74</v>
      </c>
      <c r="U1625" t="s">
        <v>74</v>
      </c>
      <c r="V1625" t="s">
        <v>74</v>
      </c>
      <c r="W1625" t="s">
        <v>14711</v>
      </c>
      <c r="X1625" t="s">
        <v>14710</v>
      </c>
      <c r="Y1625" t="s">
        <v>74</v>
      </c>
      <c r="Z1625" t="s">
        <v>74</v>
      </c>
      <c r="AA1625" t="s">
        <v>14709</v>
      </c>
      <c r="AB1625" t="s">
        <v>14708</v>
      </c>
      <c r="AC1625" t="s">
        <v>74</v>
      </c>
      <c r="AD1625" t="s">
        <v>74</v>
      </c>
      <c r="AE1625" t="s">
        <v>74</v>
      </c>
      <c r="AF1625" t="s">
        <v>74</v>
      </c>
      <c r="AG1625">
        <v>0</v>
      </c>
      <c r="AH1625">
        <v>0</v>
      </c>
      <c r="AI1625">
        <v>0</v>
      </c>
      <c r="AJ1625">
        <v>0</v>
      </c>
      <c r="AK1625">
        <v>0</v>
      </c>
      <c r="AL1625" t="s">
        <v>14045</v>
      </c>
      <c r="AM1625" t="s">
        <v>486</v>
      </c>
      <c r="AN1625" t="s">
        <v>14540</v>
      </c>
      <c r="AO1625" t="s">
        <v>651</v>
      </c>
      <c r="AP1625" t="s">
        <v>74</v>
      </c>
      <c r="AQ1625" t="s">
        <v>74</v>
      </c>
      <c r="AR1625" t="s">
        <v>653</v>
      </c>
      <c r="AS1625" t="s">
        <v>654</v>
      </c>
      <c r="AT1625" t="s">
        <v>98</v>
      </c>
      <c r="AU1625">
        <v>1999</v>
      </c>
      <c r="AV1625">
        <v>159</v>
      </c>
      <c r="AW1625">
        <v>3</v>
      </c>
      <c r="AX1625" t="s">
        <v>74</v>
      </c>
      <c r="AY1625" t="s">
        <v>998</v>
      </c>
      <c r="AZ1625" t="s">
        <v>74</v>
      </c>
      <c r="BA1625" t="s">
        <v>74</v>
      </c>
      <c r="BB1625" t="s">
        <v>14707</v>
      </c>
      <c r="BC1625" t="s">
        <v>14707</v>
      </c>
      <c r="BD1625" t="s">
        <v>74</v>
      </c>
      <c r="BE1625" t="s">
        <v>74</v>
      </c>
      <c r="BF1625" t="s">
        <v>74</v>
      </c>
      <c r="BG1625" t="s">
        <v>74</v>
      </c>
      <c r="BH1625" t="s">
        <v>74</v>
      </c>
      <c r="BI1625">
        <v>1</v>
      </c>
      <c r="BJ1625" t="s">
        <v>341</v>
      </c>
      <c r="BK1625" t="s">
        <v>101</v>
      </c>
      <c r="BL1625" t="s">
        <v>342</v>
      </c>
      <c r="BM1625" t="s">
        <v>14693</v>
      </c>
      <c r="BN1625" t="s">
        <v>74</v>
      </c>
      <c r="BO1625" t="s">
        <v>74</v>
      </c>
      <c r="BP1625" t="s">
        <v>74</v>
      </c>
      <c r="BQ1625" t="s">
        <v>74</v>
      </c>
      <c r="BR1625" t="s">
        <v>104</v>
      </c>
      <c r="BS1625" t="s">
        <v>14706</v>
      </c>
      <c r="BT1625" t="str">
        <f>HYPERLINK("https%3A%2F%2Fwww.webofscience.com%2Fwos%2Fwoscc%2Ffull-record%2FWOS:000082237103880","View Full Record in Web of Science")</f>
        <v>View Full Record in Web of Science</v>
      </c>
    </row>
    <row r="1626" spans="1:72" x14ac:dyDescent="0.25">
      <c r="A1626" t="s">
        <v>72</v>
      </c>
      <c r="B1626" t="s">
        <v>14705</v>
      </c>
      <c r="C1626" t="s">
        <v>74</v>
      </c>
      <c r="D1626" t="s">
        <v>74</v>
      </c>
      <c r="E1626" t="s">
        <v>74</v>
      </c>
      <c r="F1626" t="s">
        <v>14705</v>
      </c>
      <c r="G1626" t="s">
        <v>74</v>
      </c>
      <c r="H1626" t="s">
        <v>74</v>
      </c>
      <c r="I1626" t="s">
        <v>14704</v>
      </c>
      <c r="J1626" t="s">
        <v>637</v>
      </c>
      <c r="K1626" t="s">
        <v>74</v>
      </c>
      <c r="L1626" t="s">
        <v>74</v>
      </c>
      <c r="M1626" t="s">
        <v>78</v>
      </c>
      <c r="N1626" t="s">
        <v>52</v>
      </c>
      <c r="O1626" t="s">
        <v>74</v>
      </c>
      <c r="P1626" t="s">
        <v>74</v>
      </c>
      <c r="Q1626" t="s">
        <v>74</v>
      </c>
      <c r="R1626" t="s">
        <v>74</v>
      </c>
      <c r="S1626" t="s">
        <v>74</v>
      </c>
      <c r="T1626" t="s">
        <v>74</v>
      </c>
      <c r="U1626" t="s">
        <v>74</v>
      </c>
      <c r="V1626" t="s">
        <v>74</v>
      </c>
      <c r="W1626" t="s">
        <v>14703</v>
      </c>
      <c r="X1626" t="s">
        <v>14516</v>
      </c>
      <c r="Y1626" t="s">
        <v>74</v>
      </c>
      <c r="Z1626" t="s">
        <v>74</v>
      </c>
      <c r="AA1626" t="s">
        <v>14702</v>
      </c>
      <c r="AB1626" t="s">
        <v>74</v>
      </c>
      <c r="AC1626" t="s">
        <v>74</v>
      </c>
      <c r="AD1626" t="s">
        <v>74</v>
      </c>
      <c r="AE1626" t="s">
        <v>74</v>
      </c>
      <c r="AF1626" t="s">
        <v>74</v>
      </c>
      <c r="AG1626">
        <v>0</v>
      </c>
      <c r="AH1626">
        <v>4</v>
      </c>
      <c r="AI1626">
        <v>4</v>
      </c>
      <c r="AJ1626">
        <v>0</v>
      </c>
      <c r="AK1626">
        <v>0</v>
      </c>
      <c r="AL1626" t="s">
        <v>14045</v>
      </c>
      <c r="AM1626" t="s">
        <v>486</v>
      </c>
      <c r="AN1626" t="s">
        <v>14540</v>
      </c>
      <c r="AO1626" t="s">
        <v>651</v>
      </c>
      <c r="AP1626" t="s">
        <v>74</v>
      </c>
      <c r="AQ1626" t="s">
        <v>74</v>
      </c>
      <c r="AR1626" t="s">
        <v>653</v>
      </c>
      <c r="AS1626" t="s">
        <v>654</v>
      </c>
      <c r="AT1626" t="s">
        <v>98</v>
      </c>
      <c r="AU1626">
        <v>1999</v>
      </c>
      <c r="AV1626">
        <v>159</v>
      </c>
      <c r="AW1626">
        <v>3</v>
      </c>
      <c r="AX1626" t="s">
        <v>74</v>
      </c>
      <c r="AY1626" t="s">
        <v>998</v>
      </c>
      <c r="AZ1626" t="s">
        <v>74</v>
      </c>
      <c r="BA1626" t="s">
        <v>74</v>
      </c>
      <c r="BB1626" t="s">
        <v>14701</v>
      </c>
      <c r="BC1626" t="s">
        <v>14701</v>
      </c>
      <c r="BD1626" t="s">
        <v>74</v>
      </c>
      <c r="BE1626" t="s">
        <v>74</v>
      </c>
      <c r="BF1626" t="s">
        <v>74</v>
      </c>
      <c r="BG1626" t="s">
        <v>74</v>
      </c>
      <c r="BH1626" t="s">
        <v>74</v>
      </c>
      <c r="BI1626">
        <v>1</v>
      </c>
      <c r="BJ1626" t="s">
        <v>341</v>
      </c>
      <c r="BK1626" t="s">
        <v>101</v>
      </c>
      <c r="BL1626" t="s">
        <v>342</v>
      </c>
      <c r="BM1626" t="s">
        <v>14693</v>
      </c>
      <c r="BN1626" t="s">
        <v>74</v>
      </c>
      <c r="BO1626" t="s">
        <v>74</v>
      </c>
      <c r="BP1626" t="s">
        <v>74</v>
      </c>
      <c r="BQ1626" t="s">
        <v>74</v>
      </c>
      <c r="BR1626" t="s">
        <v>104</v>
      </c>
      <c r="BS1626" t="s">
        <v>14700</v>
      </c>
      <c r="BT1626" t="str">
        <f>HYPERLINK("https%3A%2F%2Fwww.webofscience.com%2Fwos%2Fwoscc%2Ffull-record%2FWOS:000082237100841","View Full Record in Web of Science")</f>
        <v>View Full Record in Web of Science</v>
      </c>
    </row>
    <row r="1627" spans="1:72" x14ac:dyDescent="0.25">
      <c r="A1627" t="s">
        <v>72</v>
      </c>
      <c r="B1627" t="s">
        <v>14699</v>
      </c>
      <c r="C1627" t="s">
        <v>74</v>
      </c>
      <c r="D1627" t="s">
        <v>74</v>
      </c>
      <c r="E1627" t="s">
        <v>74</v>
      </c>
      <c r="F1627" t="s">
        <v>14699</v>
      </c>
      <c r="G1627" t="s">
        <v>74</v>
      </c>
      <c r="H1627" t="s">
        <v>74</v>
      </c>
      <c r="I1627" t="s">
        <v>14698</v>
      </c>
      <c r="J1627" t="s">
        <v>637</v>
      </c>
      <c r="K1627" t="s">
        <v>74</v>
      </c>
      <c r="L1627" t="s">
        <v>74</v>
      </c>
      <c r="M1627" t="s">
        <v>78</v>
      </c>
      <c r="N1627" t="s">
        <v>52</v>
      </c>
      <c r="O1627" t="s">
        <v>74</v>
      </c>
      <c r="P1627" t="s">
        <v>74</v>
      </c>
      <c r="Q1627" t="s">
        <v>74</v>
      </c>
      <c r="R1627" t="s">
        <v>74</v>
      </c>
      <c r="S1627" t="s">
        <v>74</v>
      </c>
      <c r="T1627" t="s">
        <v>74</v>
      </c>
      <c r="U1627" t="s">
        <v>74</v>
      </c>
      <c r="V1627" t="s">
        <v>74</v>
      </c>
      <c r="W1627" t="s">
        <v>14697</v>
      </c>
      <c r="X1627" t="s">
        <v>14696</v>
      </c>
      <c r="Y1627" t="s">
        <v>74</v>
      </c>
      <c r="Z1627" t="s">
        <v>74</v>
      </c>
      <c r="AA1627" t="s">
        <v>14695</v>
      </c>
      <c r="AB1627" t="s">
        <v>74</v>
      </c>
      <c r="AC1627" t="s">
        <v>74</v>
      </c>
      <c r="AD1627" t="s">
        <v>74</v>
      </c>
      <c r="AE1627" t="s">
        <v>74</v>
      </c>
      <c r="AF1627" t="s">
        <v>74</v>
      </c>
      <c r="AG1627">
        <v>0</v>
      </c>
      <c r="AH1627">
        <v>0</v>
      </c>
      <c r="AI1627">
        <v>0</v>
      </c>
      <c r="AJ1627">
        <v>0</v>
      </c>
      <c r="AK1627">
        <v>0</v>
      </c>
      <c r="AL1627" t="s">
        <v>14045</v>
      </c>
      <c r="AM1627" t="s">
        <v>486</v>
      </c>
      <c r="AN1627" t="s">
        <v>14540</v>
      </c>
      <c r="AO1627" t="s">
        <v>651</v>
      </c>
      <c r="AP1627" t="s">
        <v>74</v>
      </c>
      <c r="AQ1627" t="s">
        <v>74</v>
      </c>
      <c r="AR1627" t="s">
        <v>653</v>
      </c>
      <c r="AS1627" t="s">
        <v>654</v>
      </c>
      <c r="AT1627" t="s">
        <v>98</v>
      </c>
      <c r="AU1627">
        <v>1999</v>
      </c>
      <c r="AV1627">
        <v>159</v>
      </c>
      <c r="AW1627">
        <v>3</v>
      </c>
      <c r="AX1627" t="s">
        <v>74</v>
      </c>
      <c r="AY1627" t="s">
        <v>998</v>
      </c>
      <c r="AZ1627" t="s">
        <v>74</v>
      </c>
      <c r="BA1627" t="s">
        <v>74</v>
      </c>
      <c r="BB1627" t="s">
        <v>14694</v>
      </c>
      <c r="BC1627" t="s">
        <v>14694</v>
      </c>
      <c r="BD1627" t="s">
        <v>74</v>
      </c>
      <c r="BE1627" t="s">
        <v>74</v>
      </c>
      <c r="BF1627" t="s">
        <v>74</v>
      </c>
      <c r="BG1627" t="s">
        <v>74</v>
      </c>
      <c r="BH1627" t="s">
        <v>74</v>
      </c>
      <c r="BI1627">
        <v>1</v>
      </c>
      <c r="BJ1627" t="s">
        <v>341</v>
      </c>
      <c r="BK1627" t="s">
        <v>101</v>
      </c>
      <c r="BL1627" t="s">
        <v>342</v>
      </c>
      <c r="BM1627" t="s">
        <v>14693</v>
      </c>
      <c r="BN1627" t="s">
        <v>74</v>
      </c>
      <c r="BO1627" t="s">
        <v>74</v>
      </c>
      <c r="BP1627" t="s">
        <v>74</v>
      </c>
      <c r="BQ1627" t="s">
        <v>74</v>
      </c>
      <c r="BR1627" t="s">
        <v>104</v>
      </c>
      <c r="BS1627" t="s">
        <v>14692</v>
      </c>
      <c r="BT1627" t="str">
        <f>HYPERLINK("https%3A%2F%2Fwww.webofscience.com%2Fwos%2Fwoscc%2Ffull-record%2FWOS:000082237103872","View Full Record in Web of Science")</f>
        <v>View Full Record in Web of Science</v>
      </c>
    </row>
    <row r="1628" spans="1:72" x14ac:dyDescent="0.25">
      <c r="A1628" t="s">
        <v>72</v>
      </c>
      <c r="B1628" t="s">
        <v>14691</v>
      </c>
      <c r="C1628" t="s">
        <v>74</v>
      </c>
      <c r="D1628" t="s">
        <v>74</v>
      </c>
      <c r="E1628" t="s">
        <v>74</v>
      </c>
      <c r="F1628" t="s">
        <v>14691</v>
      </c>
      <c r="G1628" t="s">
        <v>74</v>
      </c>
      <c r="H1628" t="s">
        <v>74</v>
      </c>
      <c r="I1628" t="s">
        <v>14690</v>
      </c>
      <c r="J1628" t="s">
        <v>6978</v>
      </c>
      <c r="K1628" t="s">
        <v>74</v>
      </c>
      <c r="L1628" t="s">
        <v>74</v>
      </c>
      <c r="M1628" t="s">
        <v>78</v>
      </c>
      <c r="N1628" t="s">
        <v>79</v>
      </c>
      <c r="O1628" t="s">
        <v>74</v>
      </c>
      <c r="P1628" t="s">
        <v>74</v>
      </c>
      <c r="Q1628" t="s">
        <v>74</v>
      </c>
      <c r="R1628" t="s">
        <v>74</v>
      </c>
      <c r="S1628" t="s">
        <v>74</v>
      </c>
      <c r="T1628" t="s">
        <v>14689</v>
      </c>
      <c r="U1628" t="s">
        <v>14688</v>
      </c>
      <c r="V1628" t="s">
        <v>14687</v>
      </c>
      <c r="W1628" t="s">
        <v>14686</v>
      </c>
      <c r="X1628" t="s">
        <v>14541</v>
      </c>
      <c r="Y1628" t="s">
        <v>14685</v>
      </c>
      <c r="Z1628" t="s">
        <v>74</v>
      </c>
      <c r="AA1628" t="s">
        <v>14684</v>
      </c>
      <c r="AB1628" t="s">
        <v>257</v>
      </c>
      <c r="AC1628" t="s">
        <v>74</v>
      </c>
      <c r="AD1628" t="s">
        <v>74</v>
      </c>
      <c r="AE1628" t="s">
        <v>74</v>
      </c>
      <c r="AF1628" t="s">
        <v>74</v>
      </c>
      <c r="AG1628">
        <v>27</v>
      </c>
      <c r="AH1628">
        <v>43</v>
      </c>
      <c r="AI1628">
        <v>44</v>
      </c>
      <c r="AJ1628">
        <v>0</v>
      </c>
      <c r="AK1628">
        <v>2</v>
      </c>
      <c r="AL1628" t="s">
        <v>14278</v>
      </c>
      <c r="AM1628" t="s">
        <v>201</v>
      </c>
      <c r="AN1628" t="s">
        <v>2591</v>
      </c>
      <c r="AO1628" t="s">
        <v>6985</v>
      </c>
      <c r="AP1628" t="s">
        <v>74</v>
      </c>
      <c r="AQ1628" t="s">
        <v>74</v>
      </c>
      <c r="AR1628" t="s">
        <v>6978</v>
      </c>
      <c r="AS1628" t="s">
        <v>6987</v>
      </c>
      <c r="AT1628" t="s">
        <v>226</v>
      </c>
      <c r="AU1628">
        <v>1998</v>
      </c>
      <c r="AV1628">
        <v>53</v>
      </c>
      <c r="AW1628">
        <v>12</v>
      </c>
      <c r="AX1628" t="s">
        <v>74</v>
      </c>
      <c r="AY1628" t="s">
        <v>74</v>
      </c>
      <c r="AZ1628" t="s">
        <v>74</v>
      </c>
      <c r="BA1628" t="s">
        <v>74</v>
      </c>
      <c r="BB1628">
        <v>1059</v>
      </c>
      <c r="BC1628">
        <v>1062</v>
      </c>
      <c r="BD1628" t="s">
        <v>74</v>
      </c>
      <c r="BE1628" t="s">
        <v>14683</v>
      </c>
      <c r="BF1628" t="str">
        <f>HYPERLINK("http://dx.doi.org/10.1136/thx.53.12.1059","http://dx.doi.org/10.1136/thx.53.12.1059")</f>
        <v>http://dx.doi.org/10.1136/thx.53.12.1059</v>
      </c>
      <c r="BG1628" t="s">
        <v>74</v>
      </c>
      <c r="BH1628" t="s">
        <v>74</v>
      </c>
      <c r="BI1628">
        <v>4</v>
      </c>
      <c r="BJ1628" t="s">
        <v>228</v>
      </c>
      <c r="BK1628" t="s">
        <v>101</v>
      </c>
      <c r="BL1628" t="s">
        <v>228</v>
      </c>
      <c r="BM1628" t="s">
        <v>14682</v>
      </c>
      <c r="BN1628">
        <v>10195079</v>
      </c>
      <c r="BO1628" t="s">
        <v>2517</v>
      </c>
      <c r="BP1628" t="s">
        <v>74</v>
      </c>
      <c r="BQ1628" t="s">
        <v>74</v>
      </c>
      <c r="BR1628" t="s">
        <v>104</v>
      </c>
      <c r="BS1628" t="s">
        <v>14681</v>
      </c>
      <c r="BT1628" t="str">
        <f>HYPERLINK("https%3A%2F%2Fwww.webofscience.com%2Fwos%2Fwoscc%2Ffull-record%2FWOS:000077712800014","View Full Record in Web of Science")</f>
        <v>View Full Record in Web of Science</v>
      </c>
    </row>
    <row r="1629" spans="1:72" x14ac:dyDescent="0.25">
      <c r="A1629" t="s">
        <v>72</v>
      </c>
      <c r="B1629" t="s">
        <v>14680</v>
      </c>
      <c r="C1629" t="s">
        <v>74</v>
      </c>
      <c r="D1629" t="s">
        <v>74</v>
      </c>
      <c r="E1629" t="s">
        <v>74</v>
      </c>
      <c r="F1629" t="s">
        <v>14680</v>
      </c>
      <c r="G1629" t="s">
        <v>74</v>
      </c>
      <c r="H1629" t="s">
        <v>74</v>
      </c>
      <c r="I1629" t="s">
        <v>14679</v>
      </c>
      <c r="J1629" t="s">
        <v>14678</v>
      </c>
      <c r="K1629" t="s">
        <v>74</v>
      </c>
      <c r="L1629" t="s">
        <v>74</v>
      </c>
      <c r="M1629" t="s">
        <v>78</v>
      </c>
      <c r="N1629" t="s">
        <v>79</v>
      </c>
      <c r="O1629" t="s">
        <v>74</v>
      </c>
      <c r="P1629" t="s">
        <v>74</v>
      </c>
      <c r="Q1629" t="s">
        <v>74</v>
      </c>
      <c r="R1629" t="s">
        <v>74</v>
      </c>
      <c r="S1629" t="s">
        <v>74</v>
      </c>
      <c r="T1629" t="s">
        <v>74</v>
      </c>
      <c r="U1629" t="s">
        <v>2837</v>
      </c>
      <c r="V1629" t="s">
        <v>14677</v>
      </c>
      <c r="W1629" t="s">
        <v>14676</v>
      </c>
      <c r="X1629" t="s">
        <v>14541</v>
      </c>
      <c r="Y1629" t="s">
        <v>14675</v>
      </c>
      <c r="Z1629" t="s">
        <v>74</v>
      </c>
      <c r="AA1629" t="s">
        <v>7706</v>
      </c>
      <c r="AB1629" t="s">
        <v>257</v>
      </c>
      <c r="AC1629" t="s">
        <v>74</v>
      </c>
      <c r="AD1629" t="s">
        <v>74</v>
      </c>
      <c r="AE1629" t="s">
        <v>74</v>
      </c>
      <c r="AF1629" t="s">
        <v>74</v>
      </c>
      <c r="AG1629">
        <v>13</v>
      </c>
      <c r="AH1629">
        <v>97</v>
      </c>
      <c r="AI1629">
        <v>99</v>
      </c>
      <c r="AJ1629">
        <v>1</v>
      </c>
      <c r="AK1629">
        <v>4</v>
      </c>
      <c r="AL1629" t="s">
        <v>14674</v>
      </c>
      <c r="AM1629" t="s">
        <v>8832</v>
      </c>
      <c r="AN1629" t="s">
        <v>14673</v>
      </c>
      <c r="AO1629" t="s">
        <v>14672</v>
      </c>
      <c r="AP1629" t="s">
        <v>74</v>
      </c>
      <c r="AQ1629" t="s">
        <v>74</v>
      </c>
      <c r="AR1629" t="s">
        <v>14671</v>
      </c>
      <c r="AS1629" t="s">
        <v>14670</v>
      </c>
      <c r="AT1629" t="s">
        <v>315</v>
      </c>
      <c r="AU1629">
        <v>1998</v>
      </c>
      <c r="AV1629">
        <v>171</v>
      </c>
      <c r="AW1629">
        <v>5</v>
      </c>
      <c r="AX1629" t="s">
        <v>74</v>
      </c>
      <c r="AY1629" t="s">
        <v>74</v>
      </c>
      <c r="AZ1629" t="s">
        <v>74</v>
      </c>
      <c r="BA1629" t="s">
        <v>74</v>
      </c>
      <c r="BB1629">
        <v>1321</v>
      </c>
      <c r="BC1629">
        <v>1324</v>
      </c>
      <c r="BD1629" t="s">
        <v>74</v>
      </c>
      <c r="BE1629" t="s">
        <v>14669</v>
      </c>
      <c r="BF1629" t="str">
        <f>HYPERLINK("http://dx.doi.org/10.2214/ajr.171.5.9798872","http://dx.doi.org/10.2214/ajr.171.5.9798872")</f>
        <v>http://dx.doi.org/10.2214/ajr.171.5.9798872</v>
      </c>
      <c r="BG1629" t="s">
        <v>74</v>
      </c>
      <c r="BH1629" t="s">
        <v>74</v>
      </c>
      <c r="BI1629">
        <v>4</v>
      </c>
      <c r="BJ1629" t="s">
        <v>892</v>
      </c>
      <c r="BK1629" t="s">
        <v>101</v>
      </c>
      <c r="BL1629" t="s">
        <v>892</v>
      </c>
      <c r="BM1629" t="s">
        <v>14668</v>
      </c>
      <c r="BN1629">
        <v>9798872</v>
      </c>
      <c r="BO1629" t="s">
        <v>74</v>
      </c>
      <c r="BP1629" t="s">
        <v>74</v>
      </c>
      <c r="BQ1629" t="s">
        <v>74</v>
      </c>
      <c r="BR1629" t="s">
        <v>104</v>
      </c>
      <c r="BS1629" t="s">
        <v>14667</v>
      </c>
      <c r="BT1629" t="str">
        <f>HYPERLINK("https%3A%2F%2Fwww.webofscience.com%2Fwos%2Fwoscc%2Ffull-record%2FWOS:000076580400031","View Full Record in Web of Science")</f>
        <v>View Full Record in Web of Science</v>
      </c>
    </row>
    <row r="1630" spans="1:72" x14ac:dyDescent="0.25">
      <c r="A1630" t="s">
        <v>72</v>
      </c>
      <c r="B1630" t="s">
        <v>14666</v>
      </c>
      <c r="C1630" t="s">
        <v>74</v>
      </c>
      <c r="D1630" t="s">
        <v>74</v>
      </c>
      <c r="E1630" t="s">
        <v>74</v>
      </c>
      <c r="F1630" t="s">
        <v>14666</v>
      </c>
      <c r="G1630" t="s">
        <v>74</v>
      </c>
      <c r="H1630" t="s">
        <v>74</v>
      </c>
      <c r="I1630" t="s">
        <v>14665</v>
      </c>
      <c r="J1630" t="s">
        <v>4427</v>
      </c>
      <c r="K1630" t="s">
        <v>74</v>
      </c>
      <c r="L1630" t="s">
        <v>74</v>
      </c>
      <c r="M1630" t="s">
        <v>78</v>
      </c>
      <c r="N1630" t="s">
        <v>79</v>
      </c>
      <c r="O1630" t="s">
        <v>74</v>
      </c>
      <c r="P1630" t="s">
        <v>74</v>
      </c>
      <c r="Q1630" t="s">
        <v>74</v>
      </c>
      <c r="R1630" t="s">
        <v>74</v>
      </c>
      <c r="S1630" t="s">
        <v>74</v>
      </c>
      <c r="T1630" t="s">
        <v>14664</v>
      </c>
      <c r="U1630" t="s">
        <v>14663</v>
      </c>
      <c r="V1630" t="s">
        <v>14662</v>
      </c>
      <c r="W1630" t="s">
        <v>14661</v>
      </c>
      <c r="X1630" t="s">
        <v>14660</v>
      </c>
      <c r="Y1630" t="s">
        <v>14659</v>
      </c>
      <c r="Z1630" t="s">
        <v>74</v>
      </c>
      <c r="AA1630" t="s">
        <v>144</v>
      </c>
      <c r="AB1630" t="s">
        <v>257</v>
      </c>
      <c r="AC1630" t="s">
        <v>74</v>
      </c>
      <c r="AD1630" t="s">
        <v>74</v>
      </c>
      <c r="AE1630" t="s">
        <v>74</v>
      </c>
      <c r="AF1630" t="s">
        <v>74</v>
      </c>
      <c r="AG1630">
        <v>36</v>
      </c>
      <c r="AH1630">
        <v>69</v>
      </c>
      <c r="AI1630">
        <v>74</v>
      </c>
      <c r="AJ1630">
        <v>0</v>
      </c>
      <c r="AK1630">
        <v>0</v>
      </c>
      <c r="AL1630" t="s">
        <v>14440</v>
      </c>
      <c r="AM1630" t="s">
        <v>14439</v>
      </c>
      <c r="AN1630" t="s">
        <v>14658</v>
      </c>
      <c r="AO1630" t="s">
        <v>4433</v>
      </c>
      <c r="AP1630" t="s">
        <v>74</v>
      </c>
      <c r="AQ1630" t="s">
        <v>74</v>
      </c>
      <c r="AR1630" t="s">
        <v>4435</v>
      </c>
      <c r="AS1630" t="s">
        <v>4436</v>
      </c>
      <c r="AT1630" t="s">
        <v>315</v>
      </c>
      <c r="AU1630">
        <v>1998</v>
      </c>
      <c r="AV1630">
        <v>102</v>
      </c>
      <c r="AW1630">
        <v>5</v>
      </c>
      <c r="AX1630" t="s">
        <v>74</v>
      </c>
      <c r="AY1630" t="s">
        <v>74</v>
      </c>
      <c r="AZ1630" t="s">
        <v>74</v>
      </c>
      <c r="BA1630" t="s">
        <v>74</v>
      </c>
      <c r="BB1630">
        <v>859</v>
      </c>
      <c r="BC1630">
        <v>866</v>
      </c>
      <c r="BD1630" t="s">
        <v>74</v>
      </c>
      <c r="BE1630" t="s">
        <v>14657</v>
      </c>
      <c r="BF1630" t="str">
        <f>HYPERLINK("http://dx.doi.org/10.1016/S0091-6749(98)70029-6","http://dx.doi.org/10.1016/S0091-6749(98)70029-6")</f>
        <v>http://dx.doi.org/10.1016/S0091-6749(98)70029-6</v>
      </c>
      <c r="BG1630" t="s">
        <v>74</v>
      </c>
      <c r="BH1630" t="s">
        <v>74</v>
      </c>
      <c r="BI1630">
        <v>8</v>
      </c>
      <c r="BJ1630" t="s">
        <v>3085</v>
      </c>
      <c r="BK1630" t="s">
        <v>101</v>
      </c>
      <c r="BL1630" t="s">
        <v>3085</v>
      </c>
      <c r="BM1630" t="s">
        <v>14656</v>
      </c>
      <c r="BN1630">
        <v>9819306</v>
      </c>
      <c r="BO1630" t="s">
        <v>1194</v>
      </c>
      <c r="BP1630" t="s">
        <v>74</v>
      </c>
      <c r="BQ1630" t="s">
        <v>74</v>
      </c>
      <c r="BR1630" t="s">
        <v>104</v>
      </c>
      <c r="BS1630" t="s">
        <v>14655</v>
      </c>
      <c r="BT1630" t="str">
        <f>HYPERLINK("https%3A%2F%2Fwww.webofscience.com%2Fwos%2Fwoscc%2Ffull-record%2FWOS:000077033400023","View Full Record in Web of Science")</f>
        <v>View Full Record in Web of Science</v>
      </c>
    </row>
    <row r="1631" spans="1:72" x14ac:dyDescent="0.25">
      <c r="A1631" t="s">
        <v>72</v>
      </c>
      <c r="B1631" t="s">
        <v>14654</v>
      </c>
      <c r="C1631" t="s">
        <v>74</v>
      </c>
      <c r="D1631" t="s">
        <v>74</v>
      </c>
      <c r="E1631" t="s">
        <v>74</v>
      </c>
      <c r="F1631" t="s">
        <v>14654</v>
      </c>
      <c r="G1631" t="s">
        <v>74</v>
      </c>
      <c r="H1631" t="s">
        <v>74</v>
      </c>
      <c r="I1631" t="s">
        <v>14653</v>
      </c>
      <c r="J1631" t="s">
        <v>637</v>
      </c>
      <c r="K1631" t="s">
        <v>74</v>
      </c>
      <c r="L1631" t="s">
        <v>74</v>
      </c>
      <c r="M1631" t="s">
        <v>78</v>
      </c>
      <c r="N1631" t="s">
        <v>79</v>
      </c>
      <c r="O1631" t="s">
        <v>74</v>
      </c>
      <c r="P1631" t="s">
        <v>74</v>
      </c>
      <c r="Q1631" t="s">
        <v>74</v>
      </c>
      <c r="R1631" t="s">
        <v>74</v>
      </c>
      <c r="S1631" t="s">
        <v>74</v>
      </c>
      <c r="T1631" t="s">
        <v>74</v>
      </c>
      <c r="U1631" t="s">
        <v>14652</v>
      </c>
      <c r="V1631" t="s">
        <v>14651</v>
      </c>
      <c r="W1631" t="s">
        <v>14650</v>
      </c>
      <c r="X1631" t="s">
        <v>14649</v>
      </c>
      <c r="Y1631" t="s">
        <v>14648</v>
      </c>
      <c r="Z1631" t="s">
        <v>74</v>
      </c>
      <c r="AA1631" t="s">
        <v>14647</v>
      </c>
      <c r="AB1631" t="s">
        <v>14646</v>
      </c>
      <c r="AC1631" t="s">
        <v>74</v>
      </c>
      <c r="AD1631" t="s">
        <v>74</v>
      </c>
      <c r="AE1631" t="s">
        <v>74</v>
      </c>
      <c r="AF1631" t="s">
        <v>74</v>
      </c>
      <c r="AG1631">
        <v>28</v>
      </c>
      <c r="AH1631">
        <v>84</v>
      </c>
      <c r="AI1631">
        <v>98</v>
      </c>
      <c r="AJ1631">
        <v>0</v>
      </c>
      <c r="AK1631">
        <v>2</v>
      </c>
      <c r="AL1631" t="s">
        <v>649</v>
      </c>
      <c r="AM1631" t="s">
        <v>486</v>
      </c>
      <c r="AN1631" t="s">
        <v>650</v>
      </c>
      <c r="AO1631" t="s">
        <v>651</v>
      </c>
      <c r="AP1631" t="s">
        <v>652</v>
      </c>
      <c r="AQ1631" t="s">
        <v>74</v>
      </c>
      <c r="AR1631" t="s">
        <v>653</v>
      </c>
      <c r="AS1631" t="s">
        <v>654</v>
      </c>
      <c r="AT1631" t="s">
        <v>420</v>
      </c>
      <c r="AU1631">
        <v>1998</v>
      </c>
      <c r="AV1631">
        <v>158</v>
      </c>
      <c r="AW1631">
        <v>4</v>
      </c>
      <c r="AX1631" t="s">
        <v>74</v>
      </c>
      <c r="AY1631" t="s">
        <v>74</v>
      </c>
      <c r="AZ1631" t="s">
        <v>74</v>
      </c>
      <c r="BA1631" t="s">
        <v>74</v>
      </c>
      <c r="BB1631">
        <v>1061</v>
      </c>
      <c r="BC1631">
        <v>1067</v>
      </c>
      <c r="BD1631" t="s">
        <v>74</v>
      </c>
      <c r="BE1631" t="s">
        <v>14645</v>
      </c>
      <c r="BF1631" t="str">
        <f>HYPERLINK("http://dx.doi.org/10.1164/ajrccm.158.4.9802113","http://dx.doi.org/10.1164/ajrccm.158.4.9802113")</f>
        <v>http://dx.doi.org/10.1164/ajrccm.158.4.9802113</v>
      </c>
      <c r="BG1631" t="s">
        <v>74</v>
      </c>
      <c r="BH1631" t="s">
        <v>74</v>
      </c>
      <c r="BI1631">
        <v>7</v>
      </c>
      <c r="BJ1631" t="s">
        <v>341</v>
      </c>
      <c r="BK1631" t="s">
        <v>101</v>
      </c>
      <c r="BL1631" t="s">
        <v>342</v>
      </c>
      <c r="BM1631" t="s">
        <v>14644</v>
      </c>
      <c r="BN1631">
        <v>9769261</v>
      </c>
      <c r="BO1631" t="s">
        <v>74</v>
      </c>
      <c r="BP1631" t="s">
        <v>74</v>
      </c>
      <c r="BQ1631" t="s">
        <v>74</v>
      </c>
      <c r="BR1631" t="s">
        <v>104</v>
      </c>
      <c r="BS1631" t="s">
        <v>14643</v>
      </c>
      <c r="BT1631" t="str">
        <f>HYPERLINK("https%3A%2F%2Fwww.webofscience.com%2Fwos%2Fwoscc%2Ffull-record%2FWOS:000076453300009","View Full Record in Web of Science")</f>
        <v>View Full Record in Web of Science</v>
      </c>
    </row>
    <row r="1632" spans="1:72" x14ac:dyDescent="0.25">
      <c r="A1632" t="s">
        <v>72</v>
      </c>
      <c r="B1632" t="s">
        <v>14642</v>
      </c>
      <c r="C1632" t="s">
        <v>74</v>
      </c>
      <c r="D1632" t="s">
        <v>74</v>
      </c>
      <c r="E1632" t="s">
        <v>74</v>
      </c>
      <c r="F1632" t="s">
        <v>14642</v>
      </c>
      <c r="G1632" t="s">
        <v>74</v>
      </c>
      <c r="H1632" t="s">
        <v>74</v>
      </c>
      <c r="I1632" t="s">
        <v>14641</v>
      </c>
      <c r="J1632" t="s">
        <v>324</v>
      </c>
      <c r="K1632" t="s">
        <v>74</v>
      </c>
      <c r="L1632" t="s">
        <v>74</v>
      </c>
      <c r="M1632" t="s">
        <v>78</v>
      </c>
      <c r="N1632" t="s">
        <v>8016</v>
      </c>
      <c r="O1632" t="s">
        <v>14640</v>
      </c>
      <c r="P1632" t="s">
        <v>14639</v>
      </c>
      <c r="Q1632" t="s">
        <v>14638</v>
      </c>
      <c r="R1632" t="s">
        <v>74</v>
      </c>
      <c r="S1632" t="s">
        <v>14637</v>
      </c>
      <c r="T1632" t="s">
        <v>74</v>
      </c>
      <c r="U1632" t="s">
        <v>14636</v>
      </c>
      <c r="V1632" t="s">
        <v>14635</v>
      </c>
      <c r="W1632" t="s">
        <v>14634</v>
      </c>
      <c r="X1632" t="s">
        <v>14633</v>
      </c>
      <c r="Y1632" t="s">
        <v>14632</v>
      </c>
      <c r="Z1632" t="s">
        <v>74</v>
      </c>
      <c r="AA1632" t="s">
        <v>14550</v>
      </c>
      <c r="AB1632" t="s">
        <v>3302</v>
      </c>
      <c r="AC1632" t="s">
        <v>74</v>
      </c>
      <c r="AD1632" t="s">
        <v>74</v>
      </c>
      <c r="AE1632" t="s">
        <v>74</v>
      </c>
      <c r="AF1632" t="s">
        <v>74</v>
      </c>
      <c r="AG1632">
        <v>27</v>
      </c>
      <c r="AH1632">
        <v>79</v>
      </c>
      <c r="AI1632">
        <v>82</v>
      </c>
      <c r="AJ1632">
        <v>0</v>
      </c>
      <c r="AK1632">
        <v>3</v>
      </c>
      <c r="AL1632" t="s">
        <v>11161</v>
      </c>
      <c r="AM1632" t="s">
        <v>14574</v>
      </c>
      <c r="AN1632" t="s">
        <v>14573</v>
      </c>
      <c r="AO1632" t="s">
        <v>337</v>
      </c>
      <c r="AP1632" t="s">
        <v>74</v>
      </c>
      <c r="AQ1632" t="s">
        <v>74</v>
      </c>
      <c r="AR1632" t="s">
        <v>324</v>
      </c>
      <c r="AS1632" t="s">
        <v>339</v>
      </c>
      <c r="AT1632" t="s">
        <v>492</v>
      </c>
      <c r="AU1632">
        <v>1998</v>
      </c>
      <c r="AV1632">
        <v>114</v>
      </c>
      <c r="AW1632">
        <v>3</v>
      </c>
      <c r="AX1632" t="s">
        <v>74</v>
      </c>
      <c r="AY1632" t="s">
        <v>998</v>
      </c>
      <c r="AZ1632" t="s">
        <v>74</v>
      </c>
      <c r="BA1632" t="s">
        <v>74</v>
      </c>
      <c r="BB1632" t="s">
        <v>14631</v>
      </c>
      <c r="BC1632" t="s">
        <v>14630</v>
      </c>
      <c r="BD1632" t="s">
        <v>74</v>
      </c>
      <c r="BE1632" t="s">
        <v>14629</v>
      </c>
      <c r="BF1632" t="str">
        <f>HYPERLINK("http://dx.doi.org/10.1378/chest.114.3_Supplement.195S","http://dx.doi.org/10.1378/chest.114.3_Supplement.195S")</f>
        <v>http://dx.doi.org/10.1378/chest.114.3_Supplement.195S</v>
      </c>
      <c r="BG1632" t="s">
        <v>74</v>
      </c>
      <c r="BH1632" t="s">
        <v>74</v>
      </c>
      <c r="BI1632">
        <v>5</v>
      </c>
      <c r="BJ1632" t="s">
        <v>341</v>
      </c>
      <c r="BK1632" t="s">
        <v>14074</v>
      </c>
      <c r="BL1632" t="s">
        <v>342</v>
      </c>
      <c r="BM1632" t="s">
        <v>14628</v>
      </c>
      <c r="BN1632">
        <v>9741568</v>
      </c>
      <c r="BO1632" t="s">
        <v>74</v>
      </c>
      <c r="BP1632" t="s">
        <v>74</v>
      </c>
      <c r="BQ1632" t="s">
        <v>74</v>
      </c>
      <c r="BR1632" t="s">
        <v>104</v>
      </c>
      <c r="BS1632" t="s">
        <v>14627</v>
      </c>
      <c r="BT1632" t="str">
        <f>HYPERLINK("https%3A%2F%2Fwww.webofscience.com%2Fwos%2Fwoscc%2Ffull-record%2FWOS:000075942200003","View Full Record in Web of Science")</f>
        <v>View Full Record in Web of Science</v>
      </c>
    </row>
    <row r="1633" spans="1:72" x14ac:dyDescent="0.25">
      <c r="A1633" t="s">
        <v>72</v>
      </c>
      <c r="B1633" t="s">
        <v>14626</v>
      </c>
      <c r="C1633" t="s">
        <v>74</v>
      </c>
      <c r="D1633" t="s">
        <v>74</v>
      </c>
      <c r="E1633" t="s">
        <v>74</v>
      </c>
      <c r="F1633" t="s">
        <v>14626</v>
      </c>
      <c r="G1633" t="s">
        <v>74</v>
      </c>
      <c r="H1633" t="s">
        <v>74</v>
      </c>
      <c r="I1633" t="s">
        <v>14625</v>
      </c>
      <c r="J1633" t="s">
        <v>6978</v>
      </c>
      <c r="K1633" t="s">
        <v>74</v>
      </c>
      <c r="L1633" t="s">
        <v>74</v>
      </c>
      <c r="M1633" t="s">
        <v>78</v>
      </c>
      <c r="N1633" t="s">
        <v>79</v>
      </c>
      <c r="O1633" t="s">
        <v>74</v>
      </c>
      <c r="P1633" t="s">
        <v>74</v>
      </c>
      <c r="Q1633" t="s">
        <v>74</v>
      </c>
      <c r="R1633" t="s">
        <v>74</v>
      </c>
      <c r="S1633" t="s">
        <v>74</v>
      </c>
      <c r="T1633" t="s">
        <v>14624</v>
      </c>
      <c r="U1633" t="s">
        <v>14623</v>
      </c>
      <c r="V1633" t="s">
        <v>14622</v>
      </c>
      <c r="W1633" t="s">
        <v>14621</v>
      </c>
      <c r="X1633" t="s">
        <v>14620</v>
      </c>
      <c r="Y1633" t="s">
        <v>14619</v>
      </c>
      <c r="Z1633" t="s">
        <v>74</v>
      </c>
      <c r="AA1633" t="s">
        <v>10737</v>
      </c>
      <c r="AB1633" t="s">
        <v>14618</v>
      </c>
      <c r="AC1633" t="s">
        <v>74</v>
      </c>
      <c r="AD1633" t="s">
        <v>74</v>
      </c>
      <c r="AE1633" t="s">
        <v>74</v>
      </c>
      <c r="AF1633" t="s">
        <v>74</v>
      </c>
      <c r="AG1633">
        <v>30</v>
      </c>
      <c r="AH1633">
        <v>110</v>
      </c>
      <c r="AI1633">
        <v>114</v>
      </c>
      <c r="AJ1633">
        <v>0</v>
      </c>
      <c r="AK1633">
        <v>8</v>
      </c>
      <c r="AL1633" t="s">
        <v>14278</v>
      </c>
      <c r="AM1633" t="s">
        <v>201</v>
      </c>
      <c r="AN1633" t="s">
        <v>2591</v>
      </c>
      <c r="AO1633" t="s">
        <v>6985</v>
      </c>
      <c r="AP1633" t="s">
        <v>74</v>
      </c>
      <c r="AQ1633" t="s">
        <v>74</v>
      </c>
      <c r="AR1633" t="s">
        <v>6978</v>
      </c>
      <c r="AS1633" t="s">
        <v>6987</v>
      </c>
      <c r="AT1633" t="s">
        <v>725</v>
      </c>
      <c r="AU1633">
        <v>1998</v>
      </c>
      <c r="AV1633">
        <v>53</v>
      </c>
      <c r="AW1633">
        <v>8</v>
      </c>
      <c r="AX1633" t="s">
        <v>74</v>
      </c>
      <c r="AY1633" t="s">
        <v>74</v>
      </c>
      <c r="AZ1633" t="s">
        <v>74</v>
      </c>
      <c r="BA1633" t="s">
        <v>74</v>
      </c>
      <c r="BB1633">
        <v>685</v>
      </c>
      <c r="BC1633">
        <v>691</v>
      </c>
      <c r="BD1633" t="s">
        <v>74</v>
      </c>
      <c r="BE1633" t="s">
        <v>14617</v>
      </c>
      <c r="BF1633" t="str">
        <f>HYPERLINK("http://dx.doi.org/10.1136/thx.53.8.685","http://dx.doi.org/10.1136/thx.53.8.685")</f>
        <v>http://dx.doi.org/10.1136/thx.53.8.685</v>
      </c>
      <c r="BG1633" t="s">
        <v>74</v>
      </c>
      <c r="BH1633" t="s">
        <v>74</v>
      </c>
      <c r="BI1633">
        <v>7</v>
      </c>
      <c r="BJ1633" t="s">
        <v>228</v>
      </c>
      <c r="BK1633" t="s">
        <v>101</v>
      </c>
      <c r="BL1633" t="s">
        <v>228</v>
      </c>
      <c r="BM1633" t="s">
        <v>14616</v>
      </c>
      <c r="BN1633">
        <v>9828857</v>
      </c>
      <c r="BO1633" t="s">
        <v>3737</v>
      </c>
      <c r="BP1633" t="s">
        <v>74</v>
      </c>
      <c r="BQ1633" t="s">
        <v>74</v>
      </c>
      <c r="BR1633" t="s">
        <v>104</v>
      </c>
      <c r="BS1633" t="s">
        <v>14615</v>
      </c>
      <c r="BT1633" t="str">
        <f>HYPERLINK("https%3A%2F%2Fwww.webofscience.com%2Fwos%2Fwoscc%2Ffull-record%2FWOS:000075377500013","View Full Record in Web of Science")</f>
        <v>View Full Record in Web of Science</v>
      </c>
    </row>
    <row r="1634" spans="1:72" x14ac:dyDescent="0.25">
      <c r="A1634" t="s">
        <v>72</v>
      </c>
      <c r="B1634" t="s">
        <v>14614</v>
      </c>
      <c r="C1634" t="s">
        <v>74</v>
      </c>
      <c r="D1634" t="s">
        <v>74</v>
      </c>
      <c r="E1634" t="s">
        <v>74</v>
      </c>
      <c r="F1634" t="s">
        <v>14614</v>
      </c>
      <c r="G1634" t="s">
        <v>74</v>
      </c>
      <c r="H1634" t="s">
        <v>74</v>
      </c>
      <c r="I1634" t="s">
        <v>14613</v>
      </c>
      <c r="J1634" t="s">
        <v>216</v>
      </c>
      <c r="K1634" t="s">
        <v>74</v>
      </c>
      <c r="L1634" t="s">
        <v>74</v>
      </c>
      <c r="M1634" t="s">
        <v>78</v>
      </c>
      <c r="N1634" t="s">
        <v>79</v>
      </c>
      <c r="O1634" t="s">
        <v>74</v>
      </c>
      <c r="P1634" t="s">
        <v>74</v>
      </c>
      <c r="Q1634" t="s">
        <v>74</v>
      </c>
      <c r="R1634" t="s">
        <v>74</v>
      </c>
      <c r="S1634" t="s">
        <v>74</v>
      </c>
      <c r="T1634" t="s">
        <v>14612</v>
      </c>
      <c r="U1634" t="s">
        <v>14611</v>
      </c>
      <c r="V1634" t="s">
        <v>14610</v>
      </c>
      <c r="W1634" t="s">
        <v>14609</v>
      </c>
      <c r="X1634" t="s">
        <v>14590</v>
      </c>
      <c r="Y1634" t="s">
        <v>14608</v>
      </c>
      <c r="Z1634" t="s">
        <v>74</v>
      </c>
      <c r="AA1634" t="s">
        <v>14550</v>
      </c>
      <c r="AB1634" t="s">
        <v>3302</v>
      </c>
      <c r="AC1634" t="s">
        <v>74</v>
      </c>
      <c r="AD1634" t="s">
        <v>74</v>
      </c>
      <c r="AE1634" t="s">
        <v>74</v>
      </c>
      <c r="AF1634" t="s">
        <v>74</v>
      </c>
      <c r="AG1634">
        <v>19</v>
      </c>
      <c r="AH1634">
        <v>224</v>
      </c>
      <c r="AI1634">
        <v>243</v>
      </c>
      <c r="AJ1634">
        <v>0</v>
      </c>
      <c r="AK1634">
        <v>2</v>
      </c>
      <c r="AL1634" t="s">
        <v>14340</v>
      </c>
      <c r="AM1634" t="s">
        <v>14339</v>
      </c>
      <c r="AN1634" t="s">
        <v>14338</v>
      </c>
      <c r="AO1634" t="s">
        <v>222</v>
      </c>
      <c r="AP1634" t="s">
        <v>74</v>
      </c>
      <c r="AQ1634" t="s">
        <v>74</v>
      </c>
      <c r="AR1634" t="s">
        <v>224</v>
      </c>
      <c r="AS1634" t="s">
        <v>225</v>
      </c>
      <c r="AT1634" t="s">
        <v>725</v>
      </c>
      <c r="AU1634">
        <v>1998</v>
      </c>
      <c r="AV1634">
        <v>12</v>
      </c>
      <c r="AW1634">
        <v>2</v>
      </c>
      <c r="AX1634" t="s">
        <v>74</v>
      </c>
      <c r="AY1634" t="s">
        <v>74</v>
      </c>
      <c r="AZ1634" t="s">
        <v>74</v>
      </c>
      <c r="BA1634" t="s">
        <v>74</v>
      </c>
      <c r="BB1634">
        <v>265</v>
      </c>
      <c r="BC1634">
        <v>270</v>
      </c>
      <c r="BD1634" t="s">
        <v>74</v>
      </c>
      <c r="BE1634" t="s">
        <v>14607</v>
      </c>
      <c r="BF1634" t="str">
        <f>HYPERLINK("http://dx.doi.org/10.1183/09031936.98.12020265","http://dx.doi.org/10.1183/09031936.98.12020265")</f>
        <v>http://dx.doi.org/10.1183/09031936.98.12020265</v>
      </c>
      <c r="BG1634" t="s">
        <v>74</v>
      </c>
      <c r="BH1634" t="s">
        <v>74</v>
      </c>
      <c r="BI1634">
        <v>6</v>
      </c>
      <c r="BJ1634" t="s">
        <v>228</v>
      </c>
      <c r="BK1634" t="s">
        <v>101</v>
      </c>
      <c r="BL1634" t="s">
        <v>228</v>
      </c>
      <c r="BM1634" t="s">
        <v>14606</v>
      </c>
      <c r="BN1634">
        <v>9727772</v>
      </c>
      <c r="BO1634" t="s">
        <v>1194</v>
      </c>
      <c r="BP1634" t="s">
        <v>74</v>
      </c>
      <c r="BQ1634" t="s">
        <v>74</v>
      </c>
      <c r="BR1634" t="s">
        <v>104</v>
      </c>
      <c r="BS1634" t="s">
        <v>14605</v>
      </c>
      <c r="BT1634" t="str">
        <f>HYPERLINK("https%3A%2F%2Fwww.webofscience.com%2Fwos%2Fwoscc%2Ffull-record%2FWOS:000075510900003","View Full Record in Web of Science")</f>
        <v>View Full Record in Web of Science</v>
      </c>
    </row>
    <row r="1635" spans="1:72" x14ac:dyDescent="0.25">
      <c r="A1635" t="s">
        <v>72</v>
      </c>
      <c r="B1635" t="s">
        <v>14604</v>
      </c>
      <c r="C1635" t="s">
        <v>74</v>
      </c>
      <c r="D1635" t="s">
        <v>74</v>
      </c>
      <c r="E1635" t="s">
        <v>74</v>
      </c>
      <c r="F1635" t="s">
        <v>14604</v>
      </c>
      <c r="G1635" t="s">
        <v>74</v>
      </c>
      <c r="H1635" t="s">
        <v>74</v>
      </c>
      <c r="I1635" t="s">
        <v>14603</v>
      </c>
      <c r="J1635" t="s">
        <v>637</v>
      </c>
      <c r="K1635" t="s">
        <v>74</v>
      </c>
      <c r="L1635" t="s">
        <v>74</v>
      </c>
      <c r="M1635" t="s">
        <v>78</v>
      </c>
      <c r="N1635" t="s">
        <v>79</v>
      </c>
      <c r="O1635" t="s">
        <v>74</v>
      </c>
      <c r="P1635" t="s">
        <v>74</v>
      </c>
      <c r="Q1635" t="s">
        <v>74</v>
      </c>
      <c r="R1635" t="s">
        <v>74</v>
      </c>
      <c r="S1635" t="s">
        <v>74</v>
      </c>
      <c r="T1635" t="s">
        <v>74</v>
      </c>
      <c r="U1635" t="s">
        <v>14602</v>
      </c>
      <c r="V1635" t="s">
        <v>14601</v>
      </c>
      <c r="W1635" t="s">
        <v>14600</v>
      </c>
      <c r="X1635" t="s">
        <v>14182</v>
      </c>
      <c r="Y1635" t="s">
        <v>14599</v>
      </c>
      <c r="Z1635" t="s">
        <v>14598</v>
      </c>
      <c r="AA1635" t="s">
        <v>780</v>
      </c>
      <c r="AB1635" t="s">
        <v>14597</v>
      </c>
      <c r="AC1635" t="s">
        <v>74</v>
      </c>
      <c r="AD1635" t="s">
        <v>74</v>
      </c>
      <c r="AE1635" t="s">
        <v>74</v>
      </c>
      <c r="AF1635" t="s">
        <v>74</v>
      </c>
      <c r="AG1635">
        <v>32</v>
      </c>
      <c r="AH1635">
        <v>37</v>
      </c>
      <c r="AI1635">
        <v>44</v>
      </c>
      <c r="AJ1635">
        <v>0</v>
      </c>
      <c r="AK1635">
        <v>2</v>
      </c>
      <c r="AL1635" t="s">
        <v>649</v>
      </c>
      <c r="AM1635" t="s">
        <v>486</v>
      </c>
      <c r="AN1635" t="s">
        <v>650</v>
      </c>
      <c r="AO1635" t="s">
        <v>651</v>
      </c>
      <c r="AP1635" t="s">
        <v>652</v>
      </c>
      <c r="AQ1635" t="s">
        <v>74</v>
      </c>
      <c r="AR1635" t="s">
        <v>653</v>
      </c>
      <c r="AS1635" t="s">
        <v>654</v>
      </c>
      <c r="AT1635" t="s">
        <v>725</v>
      </c>
      <c r="AU1635">
        <v>1998</v>
      </c>
      <c r="AV1635">
        <v>158</v>
      </c>
      <c r="AW1635">
        <v>2</v>
      </c>
      <c r="AX1635" t="s">
        <v>74</v>
      </c>
      <c r="AY1635" t="s">
        <v>74</v>
      </c>
      <c r="AZ1635" t="s">
        <v>74</v>
      </c>
      <c r="BA1635" t="s">
        <v>74</v>
      </c>
      <c r="BB1635">
        <v>404</v>
      </c>
      <c r="BC1635">
        <v>411</v>
      </c>
      <c r="BD1635" t="s">
        <v>74</v>
      </c>
      <c r="BE1635" t="s">
        <v>14596</v>
      </c>
      <c r="BF1635" t="str">
        <f>HYPERLINK("http://dx.doi.org/10.1164/ajrccm.158.2.9705007","http://dx.doi.org/10.1164/ajrccm.158.2.9705007")</f>
        <v>http://dx.doi.org/10.1164/ajrccm.158.2.9705007</v>
      </c>
      <c r="BG1635" t="s">
        <v>74</v>
      </c>
      <c r="BH1635" t="s">
        <v>74</v>
      </c>
      <c r="BI1635">
        <v>8</v>
      </c>
      <c r="BJ1635" t="s">
        <v>341</v>
      </c>
      <c r="BK1635" t="s">
        <v>101</v>
      </c>
      <c r="BL1635" t="s">
        <v>342</v>
      </c>
      <c r="BM1635" t="s">
        <v>14595</v>
      </c>
      <c r="BN1635">
        <v>9700113</v>
      </c>
      <c r="BO1635" t="s">
        <v>74</v>
      </c>
      <c r="BP1635" t="s">
        <v>74</v>
      </c>
      <c r="BQ1635" t="s">
        <v>74</v>
      </c>
      <c r="BR1635" t="s">
        <v>104</v>
      </c>
      <c r="BS1635" t="s">
        <v>14594</v>
      </c>
      <c r="BT1635" t="str">
        <f>HYPERLINK("https%3A%2F%2Fwww.webofscience.com%2Fwos%2Fwoscc%2Ffull-record%2FWOS:000075387700009","View Full Record in Web of Science")</f>
        <v>View Full Record in Web of Science</v>
      </c>
    </row>
    <row r="1636" spans="1:72" x14ac:dyDescent="0.25">
      <c r="A1636" t="s">
        <v>72</v>
      </c>
      <c r="B1636" t="s">
        <v>14593</v>
      </c>
      <c r="C1636" t="s">
        <v>74</v>
      </c>
      <c r="D1636" t="s">
        <v>74</v>
      </c>
      <c r="E1636" t="s">
        <v>74</v>
      </c>
      <c r="F1636" t="s">
        <v>14593</v>
      </c>
      <c r="G1636" t="s">
        <v>74</v>
      </c>
      <c r="H1636" t="s">
        <v>74</v>
      </c>
      <c r="I1636" t="s">
        <v>14592</v>
      </c>
      <c r="J1636" t="s">
        <v>324</v>
      </c>
      <c r="K1636" t="s">
        <v>74</v>
      </c>
      <c r="L1636" t="s">
        <v>74</v>
      </c>
      <c r="M1636" t="s">
        <v>78</v>
      </c>
      <c r="N1636" t="s">
        <v>8016</v>
      </c>
      <c r="O1636" t="s">
        <v>14582</v>
      </c>
      <c r="P1636" t="s">
        <v>14581</v>
      </c>
      <c r="Q1636" t="s">
        <v>14580</v>
      </c>
      <c r="R1636" t="s">
        <v>74</v>
      </c>
      <c r="S1636" t="s">
        <v>74</v>
      </c>
      <c r="T1636" t="s">
        <v>74</v>
      </c>
      <c r="U1636" t="s">
        <v>74</v>
      </c>
      <c r="V1636" t="s">
        <v>74</v>
      </c>
      <c r="W1636" t="s">
        <v>14591</v>
      </c>
      <c r="X1636" t="s">
        <v>14590</v>
      </c>
      <c r="Y1636" t="s">
        <v>14589</v>
      </c>
      <c r="Z1636" t="s">
        <v>74</v>
      </c>
      <c r="AA1636" t="s">
        <v>7706</v>
      </c>
      <c r="AB1636" t="s">
        <v>257</v>
      </c>
      <c r="AC1636" t="s">
        <v>74</v>
      </c>
      <c r="AD1636" t="s">
        <v>74</v>
      </c>
      <c r="AE1636" t="s">
        <v>74</v>
      </c>
      <c r="AF1636" t="s">
        <v>74</v>
      </c>
      <c r="AG1636">
        <v>12</v>
      </c>
      <c r="AH1636">
        <v>63</v>
      </c>
      <c r="AI1636">
        <v>67</v>
      </c>
      <c r="AJ1636">
        <v>0</v>
      </c>
      <c r="AK1636">
        <v>1</v>
      </c>
      <c r="AL1636" t="s">
        <v>11161</v>
      </c>
      <c r="AM1636" t="s">
        <v>14574</v>
      </c>
      <c r="AN1636" t="s">
        <v>14573</v>
      </c>
      <c r="AO1636" t="s">
        <v>337</v>
      </c>
      <c r="AP1636" t="s">
        <v>74</v>
      </c>
      <c r="AQ1636" t="s">
        <v>74</v>
      </c>
      <c r="AR1636" t="s">
        <v>324</v>
      </c>
      <c r="AS1636" t="s">
        <v>339</v>
      </c>
      <c r="AT1636" t="s">
        <v>785</v>
      </c>
      <c r="AU1636">
        <v>1998</v>
      </c>
      <c r="AV1636">
        <v>114</v>
      </c>
      <c r="AW1636">
        <v>1</v>
      </c>
      <c r="AX1636" t="s">
        <v>74</v>
      </c>
      <c r="AY1636" t="s">
        <v>998</v>
      </c>
      <c r="AZ1636" t="s">
        <v>74</v>
      </c>
      <c r="BA1636" t="s">
        <v>74</v>
      </c>
      <c r="BB1636" t="s">
        <v>14588</v>
      </c>
      <c r="BC1636" t="s">
        <v>14587</v>
      </c>
      <c r="BD1636" t="s">
        <v>74</v>
      </c>
      <c r="BE1636" t="s">
        <v>14586</v>
      </c>
      <c r="BF1636" t="str">
        <f>HYPERLINK("http://dx.doi.org/10.1378/chest.114.1_Supplement.50S","http://dx.doi.org/10.1378/chest.114.1_Supplement.50S")</f>
        <v>http://dx.doi.org/10.1378/chest.114.1_Supplement.50S</v>
      </c>
      <c r="BG1636" t="s">
        <v>74</v>
      </c>
      <c r="BH1636" t="s">
        <v>74</v>
      </c>
      <c r="BI1636">
        <v>2</v>
      </c>
      <c r="BJ1636" t="s">
        <v>341</v>
      </c>
      <c r="BK1636" t="s">
        <v>14074</v>
      </c>
      <c r="BL1636" t="s">
        <v>342</v>
      </c>
      <c r="BM1636" t="s">
        <v>14569</v>
      </c>
      <c r="BN1636">
        <v>9676626</v>
      </c>
      <c r="BO1636" t="s">
        <v>74</v>
      </c>
      <c r="BP1636" t="s">
        <v>74</v>
      </c>
      <c r="BQ1636" t="s">
        <v>74</v>
      </c>
      <c r="BR1636" t="s">
        <v>104</v>
      </c>
      <c r="BS1636" t="s">
        <v>14585</v>
      </c>
      <c r="BT1636" t="str">
        <f>HYPERLINK("https%3A%2F%2Fwww.webofscience.com%2Fwos%2Fwoscc%2Ffull-record%2FWOS:000074906100029","View Full Record in Web of Science")</f>
        <v>View Full Record in Web of Science</v>
      </c>
    </row>
    <row r="1637" spans="1:72" x14ac:dyDescent="0.25">
      <c r="A1637" t="s">
        <v>72</v>
      </c>
      <c r="B1637" t="s">
        <v>14584</v>
      </c>
      <c r="C1637" t="s">
        <v>74</v>
      </c>
      <c r="D1637" t="s">
        <v>74</v>
      </c>
      <c r="E1637" t="s">
        <v>74</v>
      </c>
      <c r="F1637" t="s">
        <v>14584</v>
      </c>
      <c r="G1637" t="s">
        <v>74</v>
      </c>
      <c r="H1637" t="s">
        <v>74</v>
      </c>
      <c r="I1637" t="s">
        <v>14583</v>
      </c>
      <c r="J1637" t="s">
        <v>324</v>
      </c>
      <c r="K1637" t="s">
        <v>74</v>
      </c>
      <c r="L1637" t="s">
        <v>74</v>
      </c>
      <c r="M1637" t="s">
        <v>78</v>
      </c>
      <c r="N1637" t="s">
        <v>8016</v>
      </c>
      <c r="O1637" t="s">
        <v>14582</v>
      </c>
      <c r="P1637" t="s">
        <v>14581</v>
      </c>
      <c r="Q1637" t="s">
        <v>14580</v>
      </c>
      <c r="R1637" t="s">
        <v>74</v>
      </c>
      <c r="S1637" t="s">
        <v>74</v>
      </c>
      <c r="T1637" t="s">
        <v>74</v>
      </c>
      <c r="U1637" t="s">
        <v>14579</v>
      </c>
      <c r="V1637" t="s">
        <v>74</v>
      </c>
      <c r="W1637" t="s">
        <v>14578</v>
      </c>
      <c r="X1637" t="s">
        <v>14577</v>
      </c>
      <c r="Y1637" t="s">
        <v>14576</v>
      </c>
      <c r="Z1637" t="s">
        <v>74</v>
      </c>
      <c r="AA1637" t="s">
        <v>14164</v>
      </c>
      <c r="AB1637" t="s">
        <v>14575</v>
      </c>
      <c r="AC1637" t="s">
        <v>74</v>
      </c>
      <c r="AD1637" t="s">
        <v>74</v>
      </c>
      <c r="AE1637" t="s">
        <v>74</v>
      </c>
      <c r="AF1637" t="s">
        <v>74</v>
      </c>
      <c r="AG1637">
        <v>10</v>
      </c>
      <c r="AH1637">
        <v>39</v>
      </c>
      <c r="AI1637">
        <v>42</v>
      </c>
      <c r="AJ1637">
        <v>0</v>
      </c>
      <c r="AK1637">
        <v>1</v>
      </c>
      <c r="AL1637" t="s">
        <v>11161</v>
      </c>
      <c r="AM1637" t="s">
        <v>14574</v>
      </c>
      <c r="AN1637" t="s">
        <v>14573</v>
      </c>
      <c r="AO1637" t="s">
        <v>337</v>
      </c>
      <c r="AP1637" t="s">
        <v>74</v>
      </c>
      <c r="AQ1637" t="s">
        <v>74</v>
      </c>
      <c r="AR1637" t="s">
        <v>324</v>
      </c>
      <c r="AS1637" t="s">
        <v>339</v>
      </c>
      <c r="AT1637" t="s">
        <v>785</v>
      </c>
      <c r="AU1637">
        <v>1998</v>
      </c>
      <c r="AV1637">
        <v>114</v>
      </c>
      <c r="AW1637">
        <v>1</v>
      </c>
      <c r="AX1637" t="s">
        <v>74</v>
      </c>
      <c r="AY1637" t="s">
        <v>998</v>
      </c>
      <c r="AZ1637" t="s">
        <v>74</v>
      </c>
      <c r="BA1637" t="s">
        <v>74</v>
      </c>
      <c r="BB1637" t="s">
        <v>14572</v>
      </c>
      <c r="BC1637" t="s">
        <v>14571</v>
      </c>
      <c r="BD1637" t="s">
        <v>74</v>
      </c>
      <c r="BE1637" t="s">
        <v>14570</v>
      </c>
      <c r="BF1637" t="str">
        <f>HYPERLINK("http://dx.doi.org/10.1378/chest.114.1_Supplement.80S","http://dx.doi.org/10.1378/chest.114.1_Supplement.80S")</f>
        <v>http://dx.doi.org/10.1378/chest.114.1_Supplement.80S</v>
      </c>
      <c r="BG1637" t="s">
        <v>74</v>
      </c>
      <c r="BH1637" t="s">
        <v>74</v>
      </c>
      <c r="BI1637">
        <v>3</v>
      </c>
      <c r="BJ1637" t="s">
        <v>341</v>
      </c>
      <c r="BK1637" t="s">
        <v>14074</v>
      </c>
      <c r="BL1637" t="s">
        <v>342</v>
      </c>
      <c r="BM1637" t="s">
        <v>14569</v>
      </c>
      <c r="BN1637">
        <v>9676646</v>
      </c>
      <c r="BO1637" t="s">
        <v>74</v>
      </c>
      <c r="BP1637" t="s">
        <v>74</v>
      </c>
      <c r="BQ1637" t="s">
        <v>74</v>
      </c>
      <c r="BR1637" t="s">
        <v>104</v>
      </c>
      <c r="BS1637" t="s">
        <v>14568</v>
      </c>
      <c r="BT1637" t="str">
        <f>HYPERLINK("https%3A%2F%2Fwww.webofscience.com%2Fwos%2Fwoscc%2Ffull-record%2FWOS:000074906100049","View Full Record in Web of Science")</f>
        <v>View Full Record in Web of Science</v>
      </c>
    </row>
    <row r="1638" spans="1:72" x14ac:dyDescent="0.25">
      <c r="A1638" t="s">
        <v>72</v>
      </c>
      <c r="B1638" t="s">
        <v>14567</v>
      </c>
      <c r="C1638" t="s">
        <v>74</v>
      </c>
      <c r="D1638" t="s">
        <v>74</v>
      </c>
      <c r="E1638" t="s">
        <v>74</v>
      </c>
      <c r="F1638" t="s">
        <v>14567</v>
      </c>
      <c r="G1638" t="s">
        <v>74</v>
      </c>
      <c r="H1638" t="s">
        <v>74</v>
      </c>
      <c r="I1638" t="s">
        <v>14566</v>
      </c>
      <c r="J1638" t="s">
        <v>637</v>
      </c>
      <c r="K1638" t="s">
        <v>74</v>
      </c>
      <c r="L1638" t="s">
        <v>74</v>
      </c>
      <c r="M1638" t="s">
        <v>78</v>
      </c>
      <c r="N1638" t="s">
        <v>79</v>
      </c>
      <c r="O1638" t="s">
        <v>74</v>
      </c>
      <c r="P1638" t="s">
        <v>74</v>
      </c>
      <c r="Q1638" t="s">
        <v>74</v>
      </c>
      <c r="R1638" t="s">
        <v>74</v>
      </c>
      <c r="S1638" t="s">
        <v>74</v>
      </c>
      <c r="T1638" t="s">
        <v>74</v>
      </c>
      <c r="U1638" t="s">
        <v>14565</v>
      </c>
      <c r="V1638" t="s">
        <v>14564</v>
      </c>
      <c r="W1638" t="s">
        <v>14563</v>
      </c>
      <c r="X1638" t="s">
        <v>14392</v>
      </c>
      <c r="Y1638" t="s">
        <v>14562</v>
      </c>
      <c r="Z1638" t="s">
        <v>74</v>
      </c>
      <c r="AA1638" t="s">
        <v>144</v>
      </c>
      <c r="AB1638" t="s">
        <v>257</v>
      </c>
      <c r="AC1638" t="s">
        <v>74</v>
      </c>
      <c r="AD1638" t="s">
        <v>74</v>
      </c>
      <c r="AE1638" t="s">
        <v>74</v>
      </c>
      <c r="AF1638" t="s">
        <v>74</v>
      </c>
      <c r="AG1638">
        <v>31</v>
      </c>
      <c r="AH1638">
        <v>51</v>
      </c>
      <c r="AI1638">
        <v>53</v>
      </c>
      <c r="AJ1638">
        <v>0</v>
      </c>
      <c r="AK1638">
        <v>0</v>
      </c>
      <c r="AL1638" t="s">
        <v>649</v>
      </c>
      <c r="AM1638" t="s">
        <v>486</v>
      </c>
      <c r="AN1638" t="s">
        <v>650</v>
      </c>
      <c r="AO1638" t="s">
        <v>651</v>
      </c>
      <c r="AP1638" t="s">
        <v>652</v>
      </c>
      <c r="AQ1638" t="s">
        <v>74</v>
      </c>
      <c r="AR1638" t="s">
        <v>653</v>
      </c>
      <c r="AS1638" t="s">
        <v>654</v>
      </c>
      <c r="AT1638" t="s">
        <v>785</v>
      </c>
      <c r="AU1638">
        <v>1998</v>
      </c>
      <c r="AV1638">
        <v>158</v>
      </c>
      <c r="AW1638">
        <v>1</v>
      </c>
      <c r="AX1638" t="s">
        <v>74</v>
      </c>
      <c r="AY1638" t="s">
        <v>74</v>
      </c>
      <c r="AZ1638" t="s">
        <v>74</v>
      </c>
      <c r="BA1638" t="s">
        <v>74</v>
      </c>
      <c r="BB1638">
        <v>233</v>
      </c>
      <c r="BC1638">
        <v>240</v>
      </c>
      <c r="BD1638" t="s">
        <v>74</v>
      </c>
      <c r="BE1638" t="s">
        <v>14561</v>
      </c>
      <c r="BF1638" t="str">
        <f>HYPERLINK("http://dx.doi.org/10.1164/ajrccm.158.1.9708106","http://dx.doi.org/10.1164/ajrccm.158.1.9708106")</f>
        <v>http://dx.doi.org/10.1164/ajrccm.158.1.9708106</v>
      </c>
      <c r="BG1638" t="s">
        <v>74</v>
      </c>
      <c r="BH1638" t="s">
        <v>74</v>
      </c>
      <c r="BI1638">
        <v>8</v>
      </c>
      <c r="BJ1638" t="s">
        <v>341</v>
      </c>
      <c r="BK1638" t="s">
        <v>101</v>
      </c>
      <c r="BL1638" t="s">
        <v>342</v>
      </c>
      <c r="BM1638" t="s">
        <v>14560</v>
      </c>
      <c r="BN1638">
        <v>9655735</v>
      </c>
      <c r="BO1638" t="s">
        <v>74</v>
      </c>
      <c r="BP1638" t="s">
        <v>74</v>
      </c>
      <c r="BQ1638" t="s">
        <v>74</v>
      </c>
      <c r="BR1638" t="s">
        <v>104</v>
      </c>
      <c r="BS1638" t="s">
        <v>14559</v>
      </c>
      <c r="BT1638" t="str">
        <f>HYPERLINK("https%3A%2F%2Fwww.webofscience.com%2Fwos%2Fwoscc%2Ffull-record%2FWOS:000074730700038","View Full Record in Web of Science")</f>
        <v>View Full Record in Web of Science</v>
      </c>
    </row>
    <row r="1639" spans="1:72" x14ac:dyDescent="0.25">
      <c r="A1639" t="s">
        <v>72</v>
      </c>
      <c r="B1639" t="s">
        <v>14558</v>
      </c>
      <c r="C1639" t="s">
        <v>74</v>
      </c>
      <c r="D1639" t="s">
        <v>74</v>
      </c>
      <c r="E1639" t="s">
        <v>74</v>
      </c>
      <c r="F1639" t="s">
        <v>14558</v>
      </c>
      <c r="G1639" t="s">
        <v>74</v>
      </c>
      <c r="H1639" t="s">
        <v>74</v>
      </c>
      <c r="I1639" t="s">
        <v>14557</v>
      </c>
      <c r="J1639" t="s">
        <v>216</v>
      </c>
      <c r="K1639" t="s">
        <v>74</v>
      </c>
      <c r="L1639" t="s">
        <v>74</v>
      </c>
      <c r="M1639" t="s">
        <v>78</v>
      </c>
      <c r="N1639" t="s">
        <v>299</v>
      </c>
      <c r="O1639" t="s">
        <v>74</v>
      </c>
      <c r="P1639" t="s">
        <v>74</v>
      </c>
      <c r="Q1639" t="s">
        <v>74</v>
      </c>
      <c r="R1639" t="s">
        <v>74</v>
      </c>
      <c r="S1639" t="s">
        <v>74</v>
      </c>
      <c r="T1639" t="s">
        <v>14556</v>
      </c>
      <c r="U1639" t="s">
        <v>14555</v>
      </c>
      <c r="V1639" t="s">
        <v>14554</v>
      </c>
      <c r="W1639" t="s">
        <v>14553</v>
      </c>
      <c r="X1639" t="s">
        <v>14552</v>
      </c>
      <c r="Y1639" t="s">
        <v>14551</v>
      </c>
      <c r="Z1639" t="s">
        <v>74</v>
      </c>
      <c r="AA1639" t="s">
        <v>14550</v>
      </c>
      <c r="AB1639" t="s">
        <v>3302</v>
      </c>
      <c r="AC1639" t="s">
        <v>74</v>
      </c>
      <c r="AD1639" t="s">
        <v>74</v>
      </c>
      <c r="AE1639" t="s">
        <v>74</v>
      </c>
      <c r="AF1639" t="s">
        <v>74</v>
      </c>
      <c r="AG1639">
        <v>88</v>
      </c>
      <c r="AH1639">
        <v>245</v>
      </c>
      <c r="AI1639">
        <v>254</v>
      </c>
      <c r="AJ1639">
        <v>2</v>
      </c>
      <c r="AK1639">
        <v>7</v>
      </c>
      <c r="AL1639" t="s">
        <v>14340</v>
      </c>
      <c r="AM1639" t="s">
        <v>14339</v>
      </c>
      <c r="AN1639" t="s">
        <v>14338</v>
      </c>
      <c r="AO1639" t="s">
        <v>222</v>
      </c>
      <c r="AP1639" t="s">
        <v>74</v>
      </c>
      <c r="AQ1639" t="s">
        <v>74</v>
      </c>
      <c r="AR1639" t="s">
        <v>224</v>
      </c>
      <c r="AS1639" t="s">
        <v>225</v>
      </c>
      <c r="AT1639" t="s">
        <v>2097</v>
      </c>
      <c r="AU1639">
        <v>1998</v>
      </c>
      <c r="AV1639">
        <v>11</v>
      </c>
      <c r="AW1639">
        <v>5</v>
      </c>
      <c r="AX1639" t="s">
        <v>74</v>
      </c>
      <c r="AY1639" t="s">
        <v>74</v>
      </c>
      <c r="AZ1639" t="s">
        <v>74</v>
      </c>
      <c r="BA1639" t="s">
        <v>74</v>
      </c>
      <c r="BB1639">
        <v>1153</v>
      </c>
      <c r="BC1639">
        <v>1166</v>
      </c>
      <c r="BD1639" t="s">
        <v>74</v>
      </c>
      <c r="BE1639" t="s">
        <v>14549</v>
      </c>
      <c r="BF1639" t="str">
        <f>HYPERLINK("http://dx.doi.org/10.1183/09031936.98.11051153","http://dx.doi.org/10.1183/09031936.98.11051153")</f>
        <v>http://dx.doi.org/10.1183/09031936.98.11051153</v>
      </c>
      <c r="BG1639" t="s">
        <v>74</v>
      </c>
      <c r="BH1639" t="s">
        <v>74</v>
      </c>
      <c r="BI1639">
        <v>14</v>
      </c>
      <c r="BJ1639" t="s">
        <v>228</v>
      </c>
      <c r="BK1639" t="s">
        <v>101</v>
      </c>
      <c r="BL1639" t="s">
        <v>228</v>
      </c>
      <c r="BM1639" t="s">
        <v>14548</v>
      </c>
      <c r="BN1639">
        <v>9648972</v>
      </c>
      <c r="BO1639" t="s">
        <v>1194</v>
      </c>
      <c r="BP1639" t="s">
        <v>74</v>
      </c>
      <c r="BQ1639" t="s">
        <v>74</v>
      </c>
      <c r="BR1639" t="s">
        <v>104</v>
      </c>
      <c r="BS1639" t="s">
        <v>14547</v>
      </c>
      <c r="BT1639" t="str">
        <f>HYPERLINK("https%3A%2F%2Fwww.webofscience.com%2Fwos%2Fwoscc%2Ffull-record%2FWOS:000074234200028","View Full Record in Web of Science")</f>
        <v>View Full Record in Web of Science</v>
      </c>
    </row>
    <row r="1640" spans="1:72" x14ac:dyDescent="0.25">
      <c r="A1640" t="s">
        <v>72</v>
      </c>
      <c r="B1640" t="s">
        <v>14546</v>
      </c>
      <c r="C1640" t="s">
        <v>74</v>
      </c>
      <c r="D1640" t="s">
        <v>74</v>
      </c>
      <c r="E1640" t="s">
        <v>74</v>
      </c>
      <c r="F1640" t="s">
        <v>14546</v>
      </c>
      <c r="G1640" t="s">
        <v>74</v>
      </c>
      <c r="H1640" t="s">
        <v>74</v>
      </c>
      <c r="I1640" t="s">
        <v>14545</v>
      </c>
      <c r="J1640" t="s">
        <v>637</v>
      </c>
      <c r="K1640" t="s">
        <v>74</v>
      </c>
      <c r="L1640" t="s">
        <v>74</v>
      </c>
      <c r="M1640" t="s">
        <v>78</v>
      </c>
      <c r="N1640" t="s">
        <v>79</v>
      </c>
      <c r="O1640" t="s">
        <v>74</v>
      </c>
      <c r="P1640" t="s">
        <v>74</v>
      </c>
      <c r="Q1640" t="s">
        <v>74</v>
      </c>
      <c r="R1640" t="s">
        <v>74</v>
      </c>
      <c r="S1640" t="s">
        <v>74</v>
      </c>
      <c r="T1640" t="s">
        <v>74</v>
      </c>
      <c r="U1640" t="s">
        <v>14544</v>
      </c>
      <c r="V1640" t="s">
        <v>14543</v>
      </c>
      <c r="W1640" t="s">
        <v>14542</v>
      </c>
      <c r="X1640" t="s">
        <v>14541</v>
      </c>
      <c r="Y1640" t="s">
        <v>14505</v>
      </c>
      <c r="Z1640" t="s">
        <v>74</v>
      </c>
      <c r="AA1640" t="s">
        <v>7706</v>
      </c>
      <c r="AB1640" t="s">
        <v>257</v>
      </c>
      <c r="AC1640" t="s">
        <v>74</v>
      </c>
      <c r="AD1640" t="s">
        <v>74</v>
      </c>
      <c r="AE1640" t="s">
        <v>74</v>
      </c>
      <c r="AF1640" t="s">
        <v>74</v>
      </c>
      <c r="AG1640">
        <v>21</v>
      </c>
      <c r="AH1640">
        <v>130</v>
      </c>
      <c r="AI1640">
        <v>137</v>
      </c>
      <c r="AJ1640">
        <v>0</v>
      </c>
      <c r="AK1640">
        <v>2</v>
      </c>
      <c r="AL1640" t="s">
        <v>14045</v>
      </c>
      <c r="AM1640" t="s">
        <v>486</v>
      </c>
      <c r="AN1640" t="s">
        <v>14540</v>
      </c>
      <c r="AO1640" t="s">
        <v>651</v>
      </c>
      <c r="AP1640" t="s">
        <v>74</v>
      </c>
      <c r="AQ1640" t="s">
        <v>74</v>
      </c>
      <c r="AR1640" t="s">
        <v>653</v>
      </c>
      <c r="AS1640" t="s">
        <v>654</v>
      </c>
      <c r="AT1640" t="s">
        <v>2097</v>
      </c>
      <c r="AU1640">
        <v>1998</v>
      </c>
      <c r="AV1640">
        <v>157</v>
      </c>
      <c r="AW1640">
        <v>5</v>
      </c>
      <c r="AX1640" t="s">
        <v>74</v>
      </c>
      <c r="AY1640" t="s">
        <v>74</v>
      </c>
      <c r="AZ1640" t="s">
        <v>74</v>
      </c>
      <c r="BA1640" t="s">
        <v>74</v>
      </c>
      <c r="BB1640">
        <v>1681</v>
      </c>
      <c r="BC1640">
        <v>1685</v>
      </c>
      <c r="BD1640" t="s">
        <v>74</v>
      </c>
      <c r="BE1640" t="s">
        <v>14539</v>
      </c>
      <c r="BF1640" t="str">
        <f>HYPERLINK("http://dx.doi.org/10.1164/ajrccm.157.5.9708065","http://dx.doi.org/10.1164/ajrccm.157.5.9708065")</f>
        <v>http://dx.doi.org/10.1164/ajrccm.157.5.9708065</v>
      </c>
      <c r="BG1640" t="s">
        <v>74</v>
      </c>
      <c r="BH1640" t="s">
        <v>74</v>
      </c>
      <c r="BI1640">
        <v>5</v>
      </c>
      <c r="BJ1640" t="s">
        <v>341</v>
      </c>
      <c r="BK1640" t="s">
        <v>101</v>
      </c>
      <c r="BL1640" t="s">
        <v>342</v>
      </c>
      <c r="BM1640" t="s">
        <v>14538</v>
      </c>
      <c r="BN1640">
        <v>9603154</v>
      </c>
      <c r="BO1640" t="s">
        <v>74</v>
      </c>
      <c r="BP1640" t="s">
        <v>74</v>
      </c>
      <c r="BQ1640" t="s">
        <v>74</v>
      </c>
      <c r="BR1640" t="s">
        <v>104</v>
      </c>
      <c r="BS1640" t="s">
        <v>14537</v>
      </c>
      <c r="BT1640" t="str">
        <f>HYPERLINK("https%3A%2F%2Fwww.webofscience.com%2Fwos%2Fwoscc%2Ffull-record%2FWOS:000073570700046","View Full Record in Web of Science")</f>
        <v>View Full Record in Web of Science</v>
      </c>
    </row>
    <row r="1641" spans="1:72" x14ac:dyDescent="0.25">
      <c r="A1641" t="s">
        <v>72</v>
      </c>
      <c r="B1641" t="s">
        <v>14536</v>
      </c>
      <c r="C1641" t="s">
        <v>74</v>
      </c>
      <c r="D1641" t="s">
        <v>74</v>
      </c>
      <c r="E1641" t="s">
        <v>74</v>
      </c>
      <c r="F1641" t="s">
        <v>14536</v>
      </c>
      <c r="G1641" t="s">
        <v>74</v>
      </c>
      <c r="H1641" t="s">
        <v>74</v>
      </c>
      <c r="I1641" t="s">
        <v>14535</v>
      </c>
      <c r="J1641" t="s">
        <v>216</v>
      </c>
      <c r="K1641" t="s">
        <v>74</v>
      </c>
      <c r="L1641" t="s">
        <v>74</v>
      </c>
      <c r="M1641" t="s">
        <v>78</v>
      </c>
      <c r="N1641" t="s">
        <v>79</v>
      </c>
      <c r="O1641" t="s">
        <v>74</v>
      </c>
      <c r="P1641" t="s">
        <v>74</v>
      </c>
      <c r="Q1641" t="s">
        <v>74</v>
      </c>
      <c r="R1641" t="s">
        <v>74</v>
      </c>
      <c r="S1641" t="s">
        <v>74</v>
      </c>
      <c r="T1641" t="s">
        <v>14534</v>
      </c>
      <c r="U1641" t="s">
        <v>14533</v>
      </c>
      <c r="V1641" t="s">
        <v>14532</v>
      </c>
      <c r="W1641" t="s">
        <v>14531</v>
      </c>
      <c r="X1641" t="s">
        <v>14530</v>
      </c>
      <c r="Y1641" t="s">
        <v>14529</v>
      </c>
      <c r="Z1641" t="s">
        <v>74</v>
      </c>
      <c r="AA1641" t="s">
        <v>13983</v>
      </c>
      <c r="AB1641" t="s">
        <v>257</v>
      </c>
      <c r="AC1641" t="s">
        <v>74</v>
      </c>
      <c r="AD1641" t="s">
        <v>74</v>
      </c>
      <c r="AE1641" t="s">
        <v>74</v>
      </c>
      <c r="AF1641" t="s">
        <v>74</v>
      </c>
      <c r="AG1641">
        <v>27</v>
      </c>
      <c r="AH1641">
        <v>241</v>
      </c>
      <c r="AI1641">
        <v>251</v>
      </c>
      <c r="AJ1641">
        <v>0</v>
      </c>
      <c r="AK1641">
        <v>5</v>
      </c>
      <c r="AL1641" t="s">
        <v>14340</v>
      </c>
      <c r="AM1641" t="s">
        <v>14339</v>
      </c>
      <c r="AN1641" t="s">
        <v>14338</v>
      </c>
      <c r="AO1641" t="s">
        <v>222</v>
      </c>
      <c r="AP1641" t="s">
        <v>74</v>
      </c>
      <c r="AQ1641" t="s">
        <v>74</v>
      </c>
      <c r="AR1641" t="s">
        <v>224</v>
      </c>
      <c r="AS1641" t="s">
        <v>225</v>
      </c>
      <c r="AT1641" t="s">
        <v>98</v>
      </c>
      <c r="AU1641">
        <v>1998</v>
      </c>
      <c r="AV1641">
        <v>11</v>
      </c>
      <c r="AW1641">
        <v>3</v>
      </c>
      <c r="AX1641" t="s">
        <v>74</v>
      </c>
      <c r="AY1641" t="s">
        <v>74</v>
      </c>
      <c r="AZ1641" t="s">
        <v>74</v>
      </c>
      <c r="BA1641" t="s">
        <v>74</v>
      </c>
      <c r="BB1641">
        <v>554</v>
      </c>
      <c r="BC1641">
        <v>559</v>
      </c>
      <c r="BD1641" t="s">
        <v>74</v>
      </c>
      <c r="BE1641" t="s">
        <v>74</v>
      </c>
      <c r="BF1641" t="s">
        <v>74</v>
      </c>
      <c r="BG1641" t="s">
        <v>74</v>
      </c>
      <c r="BH1641" t="s">
        <v>74</v>
      </c>
      <c r="BI1641">
        <v>6</v>
      </c>
      <c r="BJ1641" t="s">
        <v>228</v>
      </c>
      <c r="BK1641" t="s">
        <v>101</v>
      </c>
      <c r="BL1641" t="s">
        <v>228</v>
      </c>
      <c r="BM1641" t="s">
        <v>14528</v>
      </c>
      <c r="BN1641">
        <v>9596101</v>
      </c>
      <c r="BO1641" t="s">
        <v>74</v>
      </c>
      <c r="BP1641" t="s">
        <v>74</v>
      </c>
      <c r="BQ1641" t="s">
        <v>74</v>
      </c>
      <c r="BR1641" t="s">
        <v>104</v>
      </c>
      <c r="BS1641" t="s">
        <v>14527</v>
      </c>
      <c r="BT1641" t="str">
        <f>HYPERLINK("https%3A%2F%2Fwww.webofscience.com%2Fwos%2Fwoscc%2Ffull-record%2FWOS:000073326700008","View Full Record in Web of Science")</f>
        <v>View Full Record in Web of Science</v>
      </c>
    </row>
    <row r="1642" spans="1:72" x14ac:dyDescent="0.25">
      <c r="A1642" t="s">
        <v>72</v>
      </c>
      <c r="B1642" t="s">
        <v>14526</v>
      </c>
      <c r="C1642" t="s">
        <v>74</v>
      </c>
      <c r="D1642" t="s">
        <v>74</v>
      </c>
      <c r="E1642" t="s">
        <v>74</v>
      </c>
      <c r="F1642" t="s">
        <v>14526</v>
      </c>
      <c r="G1642" t="s">
        <v>74</v>
      </c>
      <c r="H1642" t="s">
        <v>74</v>
      </c>
      <c r="I1642" t="s">
        <v>14525</v>
      </c>
      <c r="J1642" t="s">
        <v>14510</v>
      </c>
      <c r="K1642" t="s">
        <v>74</v>
      </c>
      <c r="L1642" t="s">
        <v>74</v>
      </c>
      <c r="M1642" t="s">
        <v>1349</v>
      </c>
      <c r="N1642" t="s">
        <v>8016</v>
      </c>
      <c r="O1642" t="s">
        <v>14524</v>
      </c>
      <c r="P1642" t="s">
        <v>14523</v>
      </c>
      <c r="Q1642" t="s">
        <v>14522</v>
      </c>
      <c r="R1642" t="s">
        <v>14521</v>
      </c>
      <c r="S1642" t="s">
        <v>74</v>
      </c>
      <c r="T1642" t="s">
        <v>14520</v>
      </c>
      <c r="U1642" t="s">
        <v>14519</v>
      </c>
      <c r="V1642" t="s">
        <v>14518</v>
      </c>
      <c r="W1642" t="s">
        <v>14517</v>
      </c>
      <c r="X1642" t="s">
        <v>14516</v>
      </c>
      <c r="Y1642" t="s">
        <v>14515</v>
      </c>
      <c r="Z1642" t="s">
        <v>74</v>
      </c>
      <c r="AA1642" t="s">
        <v>144</v>
      </c>
      <c r="AB1642" t="s">
        <v>257</v>
      </c>
      <c r="AC1642" t="s">
        <v>74</v>
      </c>
      <c r="AD1642" t="s">
        <v>74</v>
      </c>
      <c r="AE1642" t="s">
        <v>74</v>
      </c>
      <c r="AF1642" t="s">
        <v>74</v>
      </c>
      <c r="AG1642">
        <v>49</v>
      </c>
      <c r="AH1642">
        <v>2</v>
      </c>
      <c r="AI1642">
        <v>2</v>
      </c>
      <c r="AJ1642">
        <v>0</v>
      </c>
      <c r="AK1642">
        <v>0</v>
      </c>
      <c r="AL1642" t="s">
        <v>8138</v>
      </c>
      <c r="AM1642" t="s">
        <v>8139</v>
      </c>
      <c r="AN1642" t="s">
        <v>8140</v>
      </c>
      <c r="AO1642" t="s">
        <v>14502</v>
      </c>
      <c r="AP1642" t="s">
        <v>74</v>
      </c>
      <c r="AQ1642" t="s">
        <v>74</v>
      </c>
      <c r="AR1642" t="s">
        <v>14501</v>
      </c>
      <c r="AS1642" t="s">
        <v>14500</v>
      </c>
      <c r="AT1642" t="s">
        <v>74</v>
      </c>
      <c r="AU1642">
        <v>1998</v>
      </c>
      <c r="AV1642">
        <v>38</v>
      </c>
      <c r="AW1642">
        <v>4</v>
      </c>
      <c r="AX1642" t="s">
        <v>74</v>
      </c>
      <c r="AY1642" t="s">
        <v>74</v>
      </c>
      <c r="AZ1642" t="s">
        <v>74</v>
      </c>
      <c r="BA1642" t="s">
        <v>74</v>
      </c>
      <c r="BB1642">
        <v>241</v>
      </c>
      <c r="BC1642">
        <v>246</v>
      </c>
      <c r="BD1642" t="s">
        <v>74</v>
      </c>
      <c r="BE1642" t="s">
        <v>14514</v>
      </c>
      <c r="BF1642" t="str">
        <f>HYPERLINK("http://dx.doi.org/10.1016/S0335-7457(98)80036-1","http://dx.doi.org/10.1016/S0335-7457(98)80036-1")</f>
        <v>http://dx.doi.org/10.1016/S0335-7457(98)80036-1</v>
      </c>
      <c r="BG1642" t="s">
        <v>74</v>
      </c>
      <c r="BH1642" t="s">
        <v>74</v>
      </c>
      <c r="BI1642">
        <v>6</v>
      </c>
      <c r="BJ1642" t="s">
        <v>601</v>
      </c>
      <c r="BK1642" t="s">
        <v>512</v>
      </c>
      <c r="BL1642" t="s">
        <v>601</v>
      </c>
      <c r="BM1642" t="s">
        <v>14513</v>
      </c>
      <c r="BN1642" t="s">
        <v>74</v>
      </c>
      <c r="BO1642" t="s">
        <v>74</v>
      </c>
      <c r="BP1642" t="s">
        <v>74</v>
      </c>
      <c r="BQ1642" t="s">
        <v>74</v>
      </c>
      <c r="BR1642" t="s">
        <v>104</v>
      </c>
      <c r="BS1642" t="s">
        <v>14512</v>
      </c>
      <c r="BT1642" t="str">
        <f>HYPERLINK("https%3A%2F%2Fwww.webofscience.com%2Fwos%2Fwoscc%2Ffull-record%2FWOS:000073246300002","View Full Record in Web of Science")</f>
        <v>View Full Record in Web of Science</v>
      </c>
    </row>
    <row r="1643" spans="1:72" x14ac:dyDescent="0.25">
      <c r="A1643" t="s">
        <v>72</v>
      </c>
      <c r="B1643" t="s">
        <v>1420</v>
      </c>
      <c r="C1643" t="s">
        <v>74</v>
      </c>
      <c r="D1643" t="s">
        <v>74</v>
      </c>
      <c r="E1643" t="s">
        <v>74</v>
      </c>
      <c r="F1643" t="s">
        <v>1420</v>
      </c>
      <c r="G1643" t="s">
        <v>74</v>
      </c>
      <c r="H1643" t="s">
        <v>74</v>
      </c>
      <c r="I1643" t="s">
        <v>14511</v>
      </c>
      <c r="J1643" t="s">
        <v>14510</v>
      </c>
      <c r="K1643" t="s">
        <v>74</v>
      </c>
      <c r="L1643" t="s">
        <v>74</v>
      </c>
      <c r="M1643" t="s">
        <v>1349</v>
      </c>
      <c r="N1643" t="s">
        <v>299</v>
      </c>
      <c r="O1643" t="s">
        <v>74</v>
      </c>
      <c r="P1643" t="s">
        <v>74</v>
      </c>
      <c r="Q1643" t="s">
        <v>74</v>
      </c>
      <c r="R1643" t="s">
        <v>74</v>
      </c>
      <c r="S1643" t="s">
        <v>74</v>
      </c>
      <c r="T1643" t="s">
        <v>14509</v>
      </c>
      <c r="U1643" t="s">
        <v>14508</v>
      </c>
      <c r="V1643" t="s">
        <v>14507</v>
      </c>
      <c r="W1643" t="s">
        <v>14506</v>
      </c>
      <c r="X1643" t="s">
        <v>14156</v>
      </c>
      <c r="Y1643" t="s">
        <v>14505</v>
      </c>
      <c r="Z1643" t="s">
        <v>74</v>
      </c>
      <c r="AA1643" t="s">
        <v>144</v>
      </c>
      <c r="AB1643" t="s">
        <v>257</v>
      </c>
      <c r="AC1643" t="s">
        <v>74</v>
      </c>
      <c r="AD1643" t="s">
        <v>74</v>
      </c>
      <c r="AE1643" t="s">
        <v>74</v>
      </c>
      <c r="AF1643" t="s">
        <v>74</v>
      </c>
      <c r="AG1643">
        <v>68</v>
      </c>
      <c r="AH1643">
        <v>1</v>
      </c>
      <c r="AI1643">
        <v>1</v>
      </c>
      <c r="AJ1643">
        <v>0</v>
      </c>
      <c r="AK1643">
        <v>0</v>
      </c>
      <c r="AL1643" t="s">
        <v>14504</v>
      </c>
      <c r="AM1643" t="s">
        <v>883</v>
      </c>
      <c r="AN1643" t="s">
        <v>14503</v>
      </c>
      <c r="AO1643" t="s">
        <v>14502</v>
      </c>
      <c r="AP1643" t="s">
        <v>74</v>
      </c>
      <c r="AQ1643" t="s">
        <v>74</v>
      </c>
      <c r="AR1643" t="s">
        <v>14501</v>
      </c>
      <c r="AS1643" t="s">
        <v>14500</v>
      </c>
      <c r="AT1643" t="s">
        <v>74</v>
      </c>
      <c r="AU1643">
        <v>1998</v>
      </c>
      <c r="AV1643">
        <v>38</v>
      </c>
      <c r="AW1643">
        <v>1</v>
      </c>
      <c r="AX1643" t="s">
        <v>74</v>
      </c>
      <c r="AY1643" t="s">
        <v>74</v>
      </c>
      <c r="AZ1643" t="s">
        <v>74</v>
      </c>
      <c r="BA1643" t="s">
        <v>74</v>
      </c>
      <c r="BB1643">
        <v>50</v>
      </c>
      <c r="BC1643">
        <v>55</v>
      </c>
      <c r="BD1643" t="s">
        <v>74</v>
      </c>
      <c r="BE1643" t="s">
        <v>14499</v>
      </c>
      <c r="BF1643" t="str">
        <f>HYPERLINK("http://dx.doi.org/10.1016/S0335-7457(98)80018-X","http://dx.doi.org/10.1016/S0335-7457(98)80018-X")</f>
        <v>http://dx.doi.org/10.1016/S0335-7457(98)80018-X</v>
      </c>
      <c r="BG1643" t="s">
        <v>74</v>
      </c>
      <c r="BH1643" t="s">
        <v>74</v>
      </c>
      <c r="BI1643">
        <v>6</v>
      </c>
      <c r="BJ1643" t="s">
        <v>601</v>
      </c>
      <c r="BK1643" t="s">
        <v>101</v>
      </c>
      <c r="BL1643" t="s">
        <v>601</v>
      </c>
      <c r="BM1643" t="s">
        <v>14498</v>
      </c>
      <c r="BN1643" t="s">
        <v>74</v>
      </c>
      <c r="BO1643" t="s">
        <v>74</v>
      </c>
      <c r="BP1643" t="s">
        <v>74</v>
      </c>
      <c r="BQ1643" t="s">
        <v>74</v>
      </c>
      <c r="BR1643" t="s">
        <v>104</v>
      </c>
      <c r="BS1643" t="s">
        <v>14497</v>
      </c>
      <c r="BT1643" t="str">
        <f>HYPERLINK("https%3A%2F%2Fwww.webofscience.com%2Fwos%2Fwoscc%2Ffull-record%2FWOS:000072504300006","View Full Record in Web of Science")</f>
        <v>View Full Record in Web of Science</v>
      </c>
    </row>
    <row r="1644" spans="1:72" x14ac:dyDescent="0.25">
      <c r="A1644" t="s">
        <v>72</v>
      </c>
      <c r="B1644" t="s">
        <v>14496</v>
      </c>
      <c r="C1644" t="s">
        <v>74</v>
      </c>
      <c r="D1644" t="s">
        <v>74</v>
      </c>
      <c r="E1644" t="s">
        <v>74</v>
      </c>
      <c r="F1644" t="s">
        <v>14496</v>
      </c>
      <c r="G1644" t="s">
        <v>74</v>
      </c>
      <c r="H1644" t="s">
        <v>74</v>
      </c>
      <c r="I1644" t="s">
        <v>14495</v>
      </c>
      <c r="J1644" t="s">
        <v>5624</v>
      </c>
      <c r="K1644" t="s">
        <v>74</v>
      </c>
      <c r="L1644" t="s">
        <v>74</v>
      </c>
      <c r="M1644" t="s">
        <v>78</v>
      </c>
      <c r="N1644" t="s">
        <v>8016</v>
      </c>
      <c r="O1644" t="s">
        <v>14494</v>
      </c>
      <c r="P1644" t="s">
        <v>14493</v>
      </c>
      <c r="Q1644" t="s">
        <v>14492</v>
      </c>
      <c r="R1644" t="s">
        <v>74</v>
      </c>
      <c r="S1644" t="s">
        <v>74</v>
      </c>
      <c r="T1644" t="s">
        <v>14491</v>
      </c>
      <c r="U1644" t="s">
        <v>14490</v>
      </c>
      <c r="V1644" t="s">
        <v>74</v>
      </c>
      <c r="W1644" t="s">
        <v>14489</v>
      </c>
      <c r="X1644" t="s">
        <v>14488</v>
      </c>
      <c r="Y1644" t="s">
        <v>14487</v>
      </c>
      <c r="Z1644" t="s">
        <v>74</v>
      </c>
      <c r="AA1644" t="s">
        <v>144</v>
      </c>
      <c r="AB1644" t="s">
        <v>257</v>
      </c>
      <c r="AC1644" t="s">
        <v>74</v>
      </c>
      <c r="AD1644" t="s">
        <v>74</v>
      </c>
      <c r="AE1644" t="s">
        <v>74</v>
      </c>
      <c r="AF1644" t="s">
        <v>74</v>
      </c>
      <c r="AG1644">
        <v>56</v>
      </c>
      <c r="AH1644">
        <v>47</v>
      </c>
      <c r="AI1644">
        <v>50</v>
      </c>
      <c r="AJ1644">
        <v>0</v>
      </c>
      <c r="AK1644">
        <v>1</v>
      </c>
      <c r="AL1644" t="s">
        <v>14340</v>
      </c>
      <c r="AM1644" t="s">
        <v>14339</v>
      </c>
      <c r="AN1644" t="s">
        <v>14338</v>
      </c>
      <c r="AO1644" t="s">
        <v>5636</v>
      </c>
      <c r="AP1644" t="s">
        <v>74</v>
      </c>
      <c r="AQ1644" t="s">
        <v>74</v>
      </c>
      <c r="AR1644" t="s">
        <v>5624</v>
      </c>
      <c r="AS1644" t="s">
        <v>601</v>
      </c>
      <c r="AT1644" t="s">
        <v>74</v>
      </c>
      <c r="AU1644">
        <v>1998</v>
      </c>
      <c r="AV1644">
        <v>53</v>
      </c>
      <c r="AW1644" t="s">
        <v>74</v>
      </c>
      <c r="AX1644" t="s">
        <v>74</v>
      </c>
      <c r="AY1644">
        <v>45</v>
      </c>
      <c r="AZ1644" t="s">
        <v>74</v>
      </c>
      <c r="BA1644" t="s">
        <v>74</v>
      </c>
      <c r="BB1644">
        <v>15</v>
      </c>
      <c r="BC1644">
        <v>21</v>
      </c>
      <c r="BD1644" t="s">
        <v>74</v>
      </c>
      <c r="BE1644" t="s">
        <v>14486</v>
      </c>
      <c r="BF1644" t="str">
        <f>HYPERLINK("http://dx.doi.org/10.1111/j.1398-9995.1998.tb04934.x","http://dx.doi.org/10.1111/j.1398-9995.1998.tb04934.x")</f>
        <v>http://dx.doi.org/10.1111/j.1398-9995.1998.tb04934.x</v>
      </c>
      <c r="BG1644" t="s">
        <v>74</v>
      </c>
      <c r="BH1644" t="s">
        <v>74</v>
      </c>
      <c r="BI1644">
        <v>7</v>
      </c>
      <c r="BJ1644" t="s">
        <v>3085</v>
      </c>
      <c r="BK1644" t="s">
        <v>14074</v>
      </c>
      <c r="BL1644" t="s">
        <v>3085</v>
      </c>
      <c r="BM1644" t="s">
        <v>14485</v>
      </c>
      <c r="BN1644">
        <v>9788702</v>
      </c>
      <c r="BO1644" t="s">
        <v>74</v>
      </c>
      <c r="BP1644" t="s">
        <v>74</v>
      </c>
      <c r="BQ1644" t="s">
        <v>74</v>
      </c>
      <c r="BR1644" t="s">
        <v>104</v>
      </c>
      <c r="BS1644" t="s">
        <v>14484</v>
      </c>
      <c r="BT1644" t="str">
        <f>HYPERLINK("https%3A%2F%2Fwww.webofscience.com%2Fwos%2Fwoscc%2Ffull-record%2FWOS:000076411700004","View Full Record in Web of Science")</f>
        <v>View Full Record in Web of Science</v>
      </c>
    </row>
    <row r="1645" spans="1:72" x14ac:dyDescent="0.25">
      <c r="A1645" t="s">
        <v>72</v>
      </c>
      <c r="B1645" t="s">
        <v>14483</v>
      </c>
      <c r="C1645" t="s">
        <v>74</v>
      </c>
      <c r="D1645" t="s">
        <v>74</v>
      </c>
      <c r="E1645" t="s">
        <v>74</v>
      </c>
      <c r="F1645" t="s">
        <v>14483</v>
      </c>
      <c r="G1645" t="s">
        <v>74</v>
      </c>
      <c r="H1645" t="s">
        <v>74</v>
      </c>
      <c r="I1645" t="s">
        <v>14482</v>
      </c>
      <c r="J1645" t="s">
        <v>251</v>
      </c>
      <c r="K1645" t="s">
        <v>74</v>
      </c>
      <c r="L1645" t="s">
        <v>74</v>
      </c>
      <c r="M1645" t="s">
        <v>78</v>
      </c>
      <c r="N1645" t="s">
        <v>52</v>
      </c>
      <c r="O1645" t="s">
        <v>74</v>
      </c>
      <c r="P1645" t="s">
        <v>74</v>
      </c>
      <c r="Q1645" t="s">
        <v>74</v>
      </c>
      <c r="R1645" t="s">
        <v>74</v>
      </c>
      <c r="S1645" t="s">
        <v>74</v>
      </c>
      <c r="T1645" t="s">
        <v>74</v>
      </c>
      <c r="U1645" t="s">
        <v>74</v>
      </c>
      <c r="V1645" t="s">
        <v>74</v>
      </c>
      <c r="W1645" t="s">
        <v>14481</v>
      </c>
      <c r="X1645" t="s">
        <v>14480</v>
      </c>
      <c r="Y1645" t="s">
        <v>74</v>
      </c>
      <c r="Z1645" t="s">
        <v>74</v>
      </c>
      <c r="AA1645" t="s">
        <v>14479</v>
      </c>
      <c r="AB1645" t="s">
        <v>74</v>
      </c>
      <c r="AC1645" t="s">
        <v>74</v>
      </c>
      <c r="AD1645" t="s">
        <v>74</v>
      </c>
      <c r="AE1645" t="s">
        <v>74</v>
      </c>
      <c r="AF1645" t="s">
        <v>74</v>
      </c>
      <c r="AG1645">
        <v>0</v>
      </c>
      <c r="AH1645">
        <v>0</v>
      </c>
      <c r="AI1645">
        <v>0</v>
      </c>
      <c r="AJ1645">
        <v>0</v>
      </c>
      <c r="AK1645">
        <v>2</v>
      </c>
      <c r="AL1645" t="s">
        <v>14026</v>
      </c>
      <c r="AM1645" t="s">
        <v>14025</v>
      </c>
      <c r="AN1645" t="s">
        <v>14024</v>
      </c>
      <c r="AO1645" t="s">
        <v>258</v>
      </c>
      <c r="AP1645" t="s">
        <v>74</v>
      </c>
      <c r="AQ1645" t="s">
        <v>74</v>
      </c>
      <c r="AR1645" t="s">
        <v>251</v>
      </c>
      <c r="AS1645" t="s">
        <v>260</v>
      </c>
      <c r="AT1645" t="s">
        <v>14478</v>
      </c>
      <c r="AU1645">
        <v>1997</v>
      </c>
      <c r="AV1645">
        <v>96</v>
      </c>
      <c r="AW1645">
        <v>8</v>
      </c>
      <c r="AX1645" t="s">
        <v>74</v>
      </c>
      <c r="AY1645" t="s">
        <v>998</v>
      </c>
      <c r="AZ1645" t="s">
        <v>74</v>
      </c>
      <c r="BA1645" t="s">
        <v>74</v>
      </c>
      <c r="BB1645">
        <v>2391</v>
      </c>
      <c r="BC1645">
        <v>2391</v>
      </c>
      <c r="BD1645" t="s">
        <v>74</v>
      </c>
      <c r="BE1645" t="s">
        <v>74</v>
      </c>
      <c r="BF1645" t="s">
        <v>74</v>
      </c>
      <c r="BG1645" t="s">
        <v>74</v>
      </c>
      <c r="BH1645" t="s">
        <v>74</v>
      </c>
      <c r="BI1645">
        <v>1</v>
      </c>
      <c r="BJ1645" t="s">
        <v>263</v>
      </c>
      <c r="BK1645" t="s">
        <v>101</v>
      </c>
      <c r="BL1645" t="s">
        <v>133</v>
      </c>
      <c r="BM1645" t="s">
        <v>14477</v>
      </c>
      <c r="BN1645" t="s">
        <v>74</v>
      </c>
      <c r="BO1645" t="s">
        <v>74</v>
      </c>
      <c r="BP1645" t="s">
        <v>74</v>
      </c>
      <c r="BQ1645" t="s">
        <v>74</v>
      </c>
      <c r="BR1645" t="s">
        <v>104</v>
      </c>
      <c r="BS1645" t="s">
        <v>14476</v>
      </c>
      <c r="BT1645" t="str">
        <f>HYPERLINK("https%3A%2F%2Fwww.webofscience.com%2Fwos%2Fwoscc%2Ffull-record%2FWOS:A1997YC88002379","View Full Record in Web of Science")</f>
        <v>View Full Record in Web of Science</v>
      </c>
    </row>
    <row r="1646" spans="1:72" x14ac:dyDescent="0.25">
      <c r="A1646" t="s">
        <v>72</v>
      </c>
      <c r="B1646" t="s">
        <v>14475</v>
      </c>
      <c r="C1646" t="s">
        <v>74</v>
      </c>
      <c r="D1646" t="s">
        <v>74</v>
      </c>
      <c r="E1646" t="s">
        <v>74</v>
      </c>
      <c r="F1646" t="s">
        <v>14475</v>
      </c>
      <c r="G1646" t="s">
        <v>74</v>
      </c>
      <c r="H1646" t="s">
        <v>74</v>
      </c>
      <c r="I1646" t="s">
        <v>14474</v>
      </c>
      <c r="J1646" t="s">
        <v>637</v>
      </c>
      <c r="K1646" t="s">
        <v>74</v>
      </c>
      <c r="L1646" t="s">
        <v>74</v>
      </c>
      <c r="M1646" t="s">
        <v>78</v>
      </c>
      <c r="N1646" t="s">
        <v>79</v>
      </c>
      <c r="O1646" t="s">
        <v>74</v>
      </c>
      <c r="P1646" t="s">
        <v>74</v>
      </c>
      <c r="Q1646" t="s">
        <v>74</v>
      </c>
      <c r="R1646" t="s">
        <v>74</v>
      </c>
      <c r="S1646" t="s">
        <v>74</v>
      </c>
      <c r="T1646" t="s">
        <v>74</v>
      </c>
      <c r="U1646" t="s">
        <v>14473</v>
      </c>
      <c r="V1646" t="s">
        <v>14472</v>
      </c>
      <c r="W1646" t="s">
        <v>14471</v>
      </c>
      <c r="X1646" t="s">
        <v>14182</v>
      </c>
      <c r="Y1646" t="s">
        <v>74</v>
      </c>
      <c r="Z1646" t="s">
        <v>74</v>
      </c>
      <c r="AA1646" t="s">
        <v>144</v>
      </c>
      <c r="AB1646" t="s">
        <v>14470</v>
      </c>
      <c r="AC1646" t="s">
        <v>14257</v>
      </c>
      <c r="AD1646" t="s">
        <v>6518</v>
      </c>
      <c r="AE1646" t="s">
        <v>74</v>
      </c>
      <c r="AF1646" t="s">
        <v>74</v>
      </c>
      <c r="AG1646">
        <v>29</v>
      </c>
      <c r="AH1646">
        <v>182</v>
      </c>
      <c r="AI1646">
        <v>210</v>
      </c>
      <c r="AJ1646">
        <v>0</v>
      </c>
      <c r="AK1646">
        <v>2</v>
      </c>
      <c r="AL1646" t="s">
        <v>14045</v>
      </c>
      <c r="AM1646" t="s">
        <v>486</v>
      </c>
      <c r="AN1646" t="s">
        <v>14044</v>
      </c>
      <c r="AO1646" t="s">
        <v>651</v>
      </c>
      <c r="AP1646" t="s">
        <v>74</v>
      </c>
      <c r="AQ1646" t="s">
        <v>74</v>
      </c>
      <c r="AR1646" t="s">
        <v>653</v>
      </c>
      <c r="AS1646" t="s">
        <v>654</v>
      </c>
      <c r="AT1646" t="s">
        <v>492</v>
      </c>
      <c r="AU1646">
        <v>1997</v>
      </c>
      <c r="AV1646">
        <v>156</v>
      </c>
      <c r="AW1646">
        <v>3</v>
      </c>
      <c r="AX1646" t="s">
        <v>74</v>
      </c>
      <c r="AY1646" t="s">
        <v>74</v>
      </c>
      <c r="AZ1646" t="s">
        <v>74</v>
      </c>
      <c r="BA1646" t="s">
        <v>74</v>
      </c>
      <c r="BB1646">
        <v>704</v>
      </c>
      <c r="BC1646">
        <v>708</v>
      </c>
      <c r="BD1646" t="s">
        <v>74</v>
      </c>
      <c r="BE1646" t="s">
        <v>14469</v>
      </c>
      <c r="BF1646" t="str">
        <f>HYPERLINK("http://dx.doi.org/10.1164/ajrccm.156.3.9610033","http://dx.doi.org/10.1164/ajrccm.156.3.9610033")</f>
        <v>http://dx.doi.org/10.1164/ajrccm.156.3.9610033</v>
      </c>
      <c r="BG1646" t="s">
        <v>74</v>
      </c>
      <c r="BH1646" t="s">
        <v>74</v>
      </c>
      <c r="BI1646">
        <v>5</v>
      </c>
      <c r="BJ1646" t="s">
        <v>341</v>
      </c>
      <c r="BK1646" t="s">
        <v>101</v>
      </c>
      <c r="BL1646" t="s">
        <v>342</v>
      </c>
      <c r="BM1646" t="s">
        <v>14468</v>
      </c>
      <c r="BN1646">
        <v>9309982</v>
      </c>
      <c r="BO1646" t="s">
        <v>74</v>
      </c>
      <c r="BP1646" t="s">
        <v>74</v>
      </c>
      <c r="BQ1646" t="s">
        <v>74</v>
      </c>
      <c r="BR1646" t="s">
        <v>104</v>
      </c>
      <c r="BS1646" t="s">
        <v>14467</v>
      </c>
      <c r="BT1646" t="str">
        <f>HYPERLINK("https%3A%2F%2Fwww.webofscience.com%2Fwos%2Fwoscc%2Ffull-record%2FWOS:A1997XX17700004","View Full Record in Web of Science")</f>
        <v>View Full Record in Web of Science</v>
      </c>
    </row>
    <row r="1647" spans="1:72" x14ac:dyDescent="0.25">
      <c r="A1647" t="s">
        <v>72</v>
      </c>
      <c r="B1647" t="s">
        <v>14466</v>
      </c>
      <c r="C1647" t="s">
        <v>74</v>
      </c>
      <c r="D1647" t="s">
        <v>74</v>
      </c>
      <c r="E1647" t="s">
        <v>74</v>
      </c>
      <c r="F1647" t="s">
        <v>14466</v>
      </c>
      <c r="G1647" t="s">
        <v>74</v>
      </c>
      <c r="H1647" t="s">
        <v>74</v>
      </c>
      <c r="I1647" t="s">
        <v>14465</v>
      </c>
      <c r="J1647" t="s">
        <v>4427</v>
      </c>
      <c r="K1647" t="s">
        <v>74</v>
      </c>
      <c r="L1647" t="s">
        <v>74</v>
      </c>
      <c r="M1647" t="s">
        <v>78</v>
      </c>
      <c r="N1647" t="s">
        <v>79</v>
      </c>
      <c r="O1647" t="s">
        <v>74</v>
      </c>
      <c r="P1647" t="s">
        <v>74</v>
      </c>
      <c r="Q1647" t="s">
        <v>74</v>
      </c>
      <c r="R1647" t="s">
        <v>74</v>
      </c>
      <c r="S1647" t="s">
        <v>74</v>
      </c>
      <c r="T1647" t="s">
        <v>14464</v>
      </c>
      <c r="U1647" t="s">
        <v>14463</v>
      </c>
      <c r="V1647" t="s">
        <v>14462</v>
      </c>
      <c r="W1647" t="s">
        <v>14461</v>
      </c>
      <c r="X1647" t="s">
        <v>14460</v>
      </c>
      <c r="Y1647" t="s">
        <v>14459</v>
      </c>
      <c r="Z1647" t="s">
        <v>74</v>
      </c>
      <c r="AA1647" t="s">
        <v>780</v>
      </c>
      <c r="AB1647" t="s">
        <v>14458</v>
      </c>
      <c r="AC1647" t="s">
        <v>74</v>
      </c>
      <c r="AD1647" t="s">
        <v>74</v>
      </c>
      <c r="AE1647" t="s">
        <v>74</v>
      </c>
      <c r="AF1647" t="s">
        <v>74</v>
      </c>
      <c r="AG1647">
        <v>32</v>
      </c>
      <c r="AH1647">
        <v>63</v>
      </c>
      <c r="AI1647">
        <v>65</v>
      </c>
      <c r="AJ1647">
        <v>0</v>
      </c>
      <c r="AK1647">
        <v>2</v>
      </c>
      <c r="AL1647" t="s">
        <v>485</v>
      </c>
      <c r="AM1647" t="s">
        <v>486</v>
      </c>
      <c r="AN1647" t="s">
        <v>487</v>
      </c>
      <c r="AO1647" t="s">
        <v>4433</v>
      </c>
      <c r="AP1647" t="s">
        <v>4434</v>
      </c>
      <c r="AQ1647" t="s">
        <v>74</v>
      </c>
      <c r="AR1647" t="s">
        <v>4435</v>
      </c>
      <c r="AS1647" t="s">
        <v>4436</v>
      </c>
      <c r="AT1647" t="s">
        <v>785</v>
      </c>
      <c r="AU1647">
        <v>1997</v>
      </c>
      <c r="AV1647">
        <v>100</v>
      </c>
      <c r="AW1647">
        <v>1</v>
      </c>
      <c r="AX1647" t="s">
        <v>74</v>
      </c>
      <c r="AY1647" t="s">
        <v>74</v>
      </c>
      <c r="AZ1647" t="s">
        <v>74</v>
      </c>
      <c r="BA1647" t="s">
        <v>74</v>
      </c>
      <c r="BB1647">
        <v>78</v>
      </c>
      <c r="BC1647">
        <v>86</v>
      </c>
      <c r="BD1647" t="s">
        <v>74</v>
      </c>
      <c r="BE1647" t="s">
        <v>14457</v>
      </c>
      <c r="BF1647" t="str">
        <f>HYPERLINK("http://dx.doi.org/10.1016/S0091-6749(97)70198-2","http://dx.doi.org/10.1016/S0091-6749(97)70198-2")</f>
        <v>http://dx.doi.org/10.1016/S0091-6749(97)70198-2</v>
      </c>
      <c r="BG1647" t="s">
        <v>74</v>
      </c>
      <c r="BH1647" t="s">
        <v>74</v>
      </c>
      <c r="BI1647">
        <v>9</v>
      </c>
      <c r="BJ1647" t="s">
        <v>3085</v>
      </c>
      <c r="BK1647" t="s">
        <v>101</v>
      </c>
      <c r="BL1647" t="s">
        <v>3085</v>
      </c>
      <c r="BM1647" t="s">
        <v>14456</v>
      </c>
      <c r="BN1647">
        <v>9257791</v>
      </c>
      <c r="BO1647" t="s">
        <v>74</v>
      </c>
      <c r="BP1647" t="s">
        <v>74</v>
      </c>
      <c r="BQ1647" t="s">
        <v>74</v>
      </c>
      <c r="BR1647" t="s">
        <v>104</v>
      </c>
      <c r="BS1647" t="s">
        <v>14455</v>
      </c>
      <c r="BT1647" t="str">
        <f>HYPERLINK("https%3A%2F%2Fwww.webofscience.com%2Fwos%2Fwoscc%2Ffull-record%2FWOS:A1997XP42800013","View Full Record in Web of Science")</f>
        <v>View Full Record in Web of Science</v>
      </c>
    </row>
    <row r="1648" spans="1:72" x14ac:dyDescent="0.25">
      <c r="A1648" t="s">
        <v>72</v>
      </c>
      <c r="B1648" t="s">
        <v>14454</v>
      </c>
      <c r="C1648" t="s">
        <v>74</v>
      </c>
      <c r="D1648" t="s">
        <v>74</v>
      </c>
      <c r="E1648" t="s">
        <v>74</v>
      </c>
      <c r="F1648" t="s">
        <v>14454</v>
      </c>
      <c r="G1648" t="s">
        <v>74</v>
      </c>
      <c r="H1648" t="s">
        <v>74</v>
      </c>
      <c r="I1648" t="s">
        <v>14453</v>
      </c>
      <c r="J1648" t="s">
        <v>4427</v>
      </c>
      <c r="K1648" t="s">
        <v>74</v>
      </c>
      <c r="L1648" t="s">
        <v>74</v>
      </c>
      <c r="M1648" t="s">
        <v>78</v>
      </c>
      <c r="N1648" t="s">
        <v>79</v>
      </c>
      <c r="O1648" t="s">
        <v>74</v>
      </c>
      <c r="P1648" t="s">
        <v>74</v>
      </c>
      <c r="Q1648" t="s">
        <v>74</v>
      </c>
      <c r="R1648" t="s">
        <v>74</v>
      </c>
      <c r="S1648" t="s">
        <v>74</v>
      </c>
      <c r="T1648" t="s">
        <v>14452</v>
      </c>
      <c r="U1648" t="s">
        <v>14451</v>
      </c>
      <c r="V1648" t="s">
        <v>14450</v>
      </c>
      <c r="W1648" t="s">
        <v>14449</v>
      </c>
      <c r="X1648" t="s">
        <v>14343</v>
      </c>
      <c r="Y1648" t="s">
        <v>74</v>
      </c>
      <c r="Z1648" t="s">
        <v>74</v>
      </c>
      <c r="AA1648" t="s">
        <v>14342</v>
      </c>
      <c r="AB1648" t="s">
        <v>14341</v>
      </c>
      <c r="AC1648" t="s">
        <v>14257</v>
      </c>
      <c r="AD1648" t="s">
        <v>6518</v>
      </c>
      <c r="AE1648" t="s">
        <v>74</v>
      </c>
      <c r="AF1648" t="s">
        <v>74</v>
      </c>
      <c r="AG1648">
        <v>24</v>
      </c>
      <c r="AH1648">
        <v>256</v>
      </c>
      <c r="AI1648">
        <v>298</v>
      </c>
      <c r="AJ1648">
        <v>0</v>
      </c>
      <c r="AK1648">
        <v>3</v>
      </c>
      <c r="AL1648" t="s">
        <v>14440</v>
      </c>
      <c r="AM1648" t="s">
        <v>14439</v>
      </c>
      <c r="AN1648" t="s">
        <v>14438</v>
      </c>
      <c r="AO1648" t="s">
        <v>4433</v>
      </c>
      <c r="AP1648" t="s">
        <v>74</v>
      </c>
      <c r="AQ1648" t="s">
        <v>74</v>
      </c>
      <c r="AR1648" t="s">
        <v>4435</v>
      </c>
      <c r="AS1648" t="s">
        <v>4436</v>
      </c>
      <c r="AT1648" t="s">
        <v>2097</v>
      </c>
      <c r="AU1648">
        <v>1997</v>
      </c>
      <c r="AV1648">
        <v>99</v>
      </c>
      <c r="AW1648">
        <v>5</v>
      </c>
      <c r="AX1648" t="s">
        <v>74</v>
      </c>
      <c r="AY1648" t="s">
        <v>74</v>
      </c>
      <c r="AZ1648" t="s">
        <v>74</v>
      </c>
      <c r="BA1648" t="s">
        <v>74</v>
      </c>
      <c r="BB1648">
        <v>657</v>
      </c>
      <c r="BC1648">
        <v>665</v>
      </c>
      <c r="BD1648" t="s">
        <v>74</v>
      </c>
      <c r="BE1648" t="s">
        <v>14448</v>
      </c>
      <c r="BF1648" t="str">
        <f>HYPERLINK("http://dx.doi.org/10.1016/S0091-6749(97)70028-9","http://dx.doi.org/10.1016/S0091-6749(97)70028-9")</f>
        <v>http://dx.doi.org/10.1016/S0091-6749(97)70028-9</v>
      </c>
      <c r="BG1648" t="s">
        <v>74</v>
      </c>
      <c r="BH1648" t="s">
        <v>74</v>
      </c>
      <c r="BI1648">
        <v>9</v>
      </c>
      <c r="BJ1648" t="s">
        <v>3085</v>
      </c>
      <c r="BK1648" t="s">
        <v>101</v>
      </c>
      <c r="BL1648" t="s">
        <v>3085</v>
      </c>
      <c r="BM1648" t="s">
        <v>14436</v>
      </c>
      <c r="BN1648">
        <v>9155833</v>
      </c>
      <c r="BO1648" t="s">
        <v>1194</v>
      </c>
      <c r="BP1648" t="s">
        <v>74</v>
      </c>
      <c r="BQ1648" t="s">
        <v>74</v>
      </c>
      <c r="BR1648" t="s">
        <v>104</v>
      </c>
      <c r="BS1648" t="s">
        <v>14447</v>
      </c>
      <c r="BT1648" t="str">
        <f>HYPERLINK("https%3A%2F%2Fwww.webofscience.com%2Fwos%2Fwoscc%2Ffull-record%2FWOS:A1997WY60000014","View Full Record in Web of Science")</f>
        <v>View Full Record in Web of Science</v>
      </c>
    </row>
    <row r="1649" spans="1:72" x14ac:dyDescent="0.25">
      <c r="A1649" t="s">
        <v>72</v>
      </c>
      <c r="B1649" t="s">
        <v>14446</v>
      </c>
      <c r="C1649" t="s">
        <v>74</v>
      </c>
      <c r="D1649" t="s">
        <v>74</v>
      </c>
      <c r="E1649" t="s">
        <v>74</v>
      </c>
      <c r="F1649" t="s">
        <v>14446</v>
      </c>
      <c r="G1649" t="s">
        <v>74</v>
      </c>
      <c r="H1649" t="s">
        <v>74</v>
      </c>
      <c r="I1649" t="s">
        <v>14445</v>
      </c>
      <c r="J1649" t="s">
        <v>4427</v>
      </c>
      <c r="K1649" t="s">
        <v>74</v>
      </c>
      <c r="L1649" t="s">
        <v>74</v>
      </c>
      <c r="M1649" t="s">
        <v>78</v>
      </c>
      <c r="N1649" t="s">
        <v>79</v>
      </c>
      <c r="O1649" t="s">
        <v>74</v>
      </c>
      <c r="P1649" t="s">
        <v>74</v>
      </c>
      <c r="Q1649" t="s">
        <v>74</v>
      </c>
      <c r="R1649" t="s">
        <v>74</v>
      </c>
      <c r="S1649" t="s">
        <v>74</v>
      </c>
      <c r="T1649" t="s">
        <v>14444</v>
      </c>
      <c r="U1649" t="s">
        <v>14443</v>
      </c>
      <c r="V1649" t="s">
        <v>14442</v>
      </c>
      <c r="W1649" t="s">
        <v>14441</v>
      </c>
      <c r="X1649" t="s">
        <v>14418</v>
      </c>
      <c r="Y1649" t="s">
        <v>74</v>
      </c>
      <c r="Z1649" t="s">
        <v>74</v>
      </c>
      <c r="AA1649" t="s">
        <v>144</v>
      </c>
      <c r="AB1649" t="s">
        <v>257</v>
      </c>
      <c r="AC1649" t="s">
        <v>74</v>
      </c>
      <c r="AD1649" t="s">
        <v>74</v>
      </c>
      <c r="AE1649" t="s">
        <v>74</v>
      </c>
      <c r="AF1649" t="s">
        <v>74</v>
      </c>
      <c r="AG1649">
        <v>52</v>
      </c>
      <c r="AH1649">
        <v>36</v>
      </c>
      <c r="AI1649">
        <v>38</v>
      </c>
      <c r="AJ1649">
        <v>0</v>
      </c>
      <c r="AK1649">
        <v>2</v>
      </c>
      <c r="AL1649" t="s">
        <v>14440</v>
      </c>
      <c r="AM1649" t="s">
        <v>14439</v>
      </c>
      <c r="AN1649" t="s">
        <v>14438</v>
      </c>
      <c r="AO1649" t="s">
        <v>4433</v>
      </c>
      <c r="AP1649" t="s">
        <v>74</v>
      </c>
      <c r="AQ1649" t="s">
        <v>74</v>
      </c>
      <c r="AR1649" t="s">
        <v>4435</v>
      </c>
      <c r="AS1649" t="s">
        <v>4436</v>
      </c>
      <c r="AT1649" t="s">
        <v>2097</v>
      </c>
      <c r="AU1649">
        <v>1997</v>
      </c>
      <c r="AV1649">
        <v>99</v>
      </c>
      <c r="AW1649">
        <v>5</v>
      </c>
      <c r="AX1649" t="s">
        <v>74</v>
      </c>
      <c r="AY1649" t="s">
        <v>74</v>
      </c>
      <c r="AZ1649" t="s">
        <v>74</v>
      </c>
      <c r="BA1649" t="s">
        <v>74</v>
      </c>
      <c r="BB1649">
        <v>666</v>
      </c>
      <c r="BC1649">
        <v>672</v>
      </c>
      <c r="BD1649" t="s">
        <v>74</v>
      </c>
      <c r="BE1649" t="s">
        <v>14437</v>
      </c>
      <c r="BF1649" t="str">
        <f>HYPERLINK("http://dx.doi.org/10.1016/S0091-6749(97)70029-0","http://dx.doi.org/10.1016/S0091-6749(97)70029-0")</f>
        <v>http://dx.doi.org/10.1016/S0091-6749(97)70029-0</v>
      </c>
      <c r="BG1649" t="s">
        <v>74</v>
      </c>
      <c r="BH1649" t="s">
        <v>74</v>
      </c>
      <c r="BI1649">
        <v>7</v>
      </c>
      <c r="BJ1649" t="s">
        <v>3085</v>
      </c>
      <c r="BK1649" t="s">
        <v>101</v>
      </c>
      <c r="BL1649" t="s">
        <v>3085</v>
      </c>
      <c r="BM1649" t="s">
        <v>14436</v>
      </c>
      <c r="BN1649">
        <v>9155834</v>
      </c>
      <c r="BO1649" t="s">
        <v>74</v>
      </c>
      <c r="BP1649" t="s">
        <v>74</v>
      </c>
      <c r="BQ1649" t="s">
        <v>74</v>
      </c>
      <c r="BR1649" t="s">
        <v>104</v>
      </c>
      <c r="BS1649" t="s">
        <v>14435</v>
      </c>
      <c r="BT1649" t="str">
        <f>HYPERLINK("https%3A%2F%2Fwww.webofscience.com%2Fwos%2Fwoscc%2Ffull-record%2FWOS:A1997WY60000015","View Full Record in Web of Science")</f>
        <v>View Full Record in Web of Science</v>
      </c>
    </row>
    <row r="1650" spans="1:72" x14ac:dyDescent="0.25">
      <c r="A1650" t="s">
        <v>72</v>
      </c>
      <c r="B1650" t="s">
        <v>14434</v>
      </c>
      <c r="C1650" t="s">
        <v>74</v>
      </c>
      <c r="D1650" t="s">
        <v>74</v>
      </c>
      <c r="E1650" t="s">
        <v>74</v>
      </c>
      <c r="F1650" t="s">
        <v>14434</v>
      </c>
      <c r="G1650" t="s">
        <v>74</v>
      </c>
      <c r="H1650" t="s">
        <v>74</v>
      </c>
      <c r="I1650" t="s">
        <v>14433</v>
      </c>
      <c r="J1650" t="s">
        <v>4427</v>
      </c>
      <c r="K1650" t="s">
        <v>74</v>
      </c>
      <c r="L1650" t="s">
        <v>74</v>
      </c>
      <c r="M1650" t="s">
        <v>78</v>
      </c>
      <c r="N1650" t="s">
        <v>79</v>
      </c>
      <c r="O1650" t="s">
        <v>74</v>
      </c>
      <c r="P1650" t="s">
        <v>74</v>
      </c>
      <c r="Q1650" t="s">
        <v>74</v>
      </c>
      <c r="R1650" t="s">
        <v>74</v>
      </c>
      <c r="S1650" t="s">
        <v>74</v>
      </c>
      <c r="T1650" t="s">
        <v>14432</v>
      </c>
      <c r="U1650" t="s">
        <v>14431</v>
      </c>
      <c r="V1650" t="s">
        <v>14430</v>
      </c>
      <c r="W1650" t="s">
        <v>14429</v>
      </c>
      <c r="X1650" t="s">
        <v>14428</v>
      </c>
      <c r="Y1650" t="s">
        <v>74</v>
      </c>
      <c r="Z1650" t="s">
        <v>74</v>
      </c>
      <c r="AA1650" t="s">
        <v>14407</v>
      </c>
      <c r="AB1650" t="s">
        <v>14427</v>
      </c>
      <c r="AC1650" t="s">
        <v>74</v>
      </c>
      <c r="AD1650" t="s">
        <v>74</v>
      </c>
      <c r="AE1650" t="s">
        <v>74</v>
      </c>
      <c r="AF1650" t="s">
        <v>74</v>
      </c>
      <c r="AG1650">
        <v>24</v>
      </c>
      <c r="AH1650">
        <v>105</v>
      </c>
      <c r="AI1650">
        <v>113</v>
      </c>
      <c r="AJ1650">
        <v>0</v>
      </c>
      <c r="AK1650">
        <v>3</v>
      </c>
      <c r="AL1650" t="s">
        <v>485</v>
      </c>
      <c r="AM1650" t="s">
        <v>486</v>
      </c>
      <c r="AN1650" t="s">
        <v>487</v>
      </c>
      <c r="AO1650" t="s">
        <v>4433</v>
      </c>
      <c r="AP1650" t="s">
        <v>4434</v>
      </c>
      <c r="AQ1650" t="s">
        <v>74</v>
      </c>
      <c r="AR1650" t="s">
        <v>4435</v>
      </c>
      <c r="AS1650" t="s">
        <v>4436</v>
      </c>
      <c r="AT1650" t="s">
        <v>997</v>
      </c>
      <c r="AU1650">
        <v>1997</v>
      </c>
      <c r="AV1650">
        <v>99</v>
      </c>
      <c r="AW1650">
        <v>4</v>
      </c>
      <c r="AX1650" t="s">
        <v>74</v>
      </c>
      <c r="AY1650" t="s">
        <v>74</v>
      </c>
      <c r="AZ1650" t="s">
        <v>74</v>
      </c>
      <c r="BA1650" t="s">
        <v>74</v>
      </c>
      <c r="BB1650">
        <v>563</v>
      </c>
      <c r="BC1650">
        <v>569</v>
      </c>
      <c r="BD1650" t="s">
        <v>74</v>
      </c>
      <c r="BE1650" t="s">
        <v>14426</v>
      </c>
      <c r="BF1650" t="str">
        <f>HYPERLINK("http://dx.doi.org/10.1016/S0091-6749(97)70085-X","http://dx.doi.org/10.1016/S0091-6749(97)70085-X")</f>
        <v>http://dx.doi.org/10.1016/S0091-6749(97)70085-X</v>
      </c>
      <c r="BG1650" t="s">
        <v>74</v>
      </c>
      <c r="BH1650" t="s">
        <v>74</v>
      </c>
      <c r="BI1650">
        <v>7</v>
      </c>
      <c r="BJ1650" t="s">
        <v>3085</v>
      </c>
      <c r="BK1650" t="s">
        <v>101</v>
      </c>
      <c r="BL1650" t="s">
        <v>3085</v>
      </c>
      <c r="BM1650" t="s">
        <v>14425</v>
      </c>
      <c r="BN1650">
        <v>9111503</v>
      </c>
      <c r="BO1650" t="s">
        <v>74</v>
      </c>
      <c r="BP1650" t="s">
        <v>74</v>
      </c>
      <c r="BQ1650" t="s">
        <v>74</v>
      </c>
      <c r="BR1650" t="s">
        <v>104</v>
      </c>
      <c r="BS1650" t="s">
        <v>14424</v>
      </c>
      <c r="BT1650" t="str">
        <f>HYPERLINK("https%3A%2F%2Fwww.webofscience.com%2Fwos%2Fwoscc%2Ffull-record%2FWOS:A1997WU27400021","View Full Record in Web of Science")</f>
        <v>View Full Record in Web of Science</v>
      </c>
    </row>
    <row r="1651" spans="1:72" x14ac:dyDescent="0.25">
      <c r="A1651" t="s">
        <v>72</v>
      </c>
      <c r="B1651" t="s">
        <v>14423</v>
      </c>
      <c r="C1651" t="s">
        <v>74</v>
      </c>
      <c r="D1651" t="s">
        <v>74</v>
      </c>
      <c r="E1651" t="s">
        <v>74</v>
      </c>
      <c r="F1651" t="s">
        <v>14423</v>
      </c>
      <c r="G1651" t="s">
        <v>74</v>
      </c>
      <c r="H1651" t="s">
        <v>74</v>
      </c>
      <c r="I1651" t="s">
        <v>14422</v>
      </c>
      <c r="J1651" t="s">
        <v>637</v>
      </c>
      <c r="K1651" t="s">
        <v>74</v>
      </c>
      <c r="L1651" t="s">
        <v>74</v>
      </c>
      <c r="M1651" t="s">
        <v>78</v>
      </c>
      <c r="N1651" t="s">
        <v>79</v>
      </c>
      <c r="O1651" t="s">
        <v>74</v>
      </c>
      <c r="P1651" t="s">
        <v>74</v>
      </c>
      <c r="Q1651" t="s">
        <v>74</v>
      </c>
      <c r="R1651" t="s">
        <v>74</v>
      </c>
      <c r="S1651" t="s">
        <v>74</v>
      </c>
      <c r="T1651" t="s">
        <v>74</v>
      </c>
      <c r="U1651" t="s">
        <v>14421</v>
      </c>
      <c r="V1651" t="s">
        <v>14420</v>
      </c>
      <c r="W1651" t="s">
        <v>14419</v>
      </c>
      <c r="X1651" t="s">
        <v>14418</v>
      </c>
      <c r="Y1651" t="s">
        <v>74</v>
      </c>
      <c r="Z1651" t="s">
        <v>74</v>
      </c>
      <c r="AA1651" t="s">
        <v>14417</v>
      </c>
      <c r="AB1651" t="s">
        <v>257</v>
      </c>
      <c r="AC1651" t="s">
        <v>74</v>
      </c>
      <c r="AD1651" t="s">
        <v>74</v>
      </c>
      <c r="AE1651" t="s">
        <v>74</v>
      </c>
      <c r="AF1651" t="s">
        <v>74</v>
      </c>
      <c r="AG1651">
        <v>31</v>
      </c>
      <c r="AH1651">
        <v>69</v>
      </c>
      <c r="AI1651">
        <v>79</v>
      </c>
      <c r="AJ1651">
        <v>0</v>
      </c>
      <c r="AK1651">
        <v>2</v>
      </c>
      <c r="AL1651" t="s">
        <v>14045</v>
      </c>
      <c r="AM1651" t="s">
        <v>486</v>
      </c>
      <c r="AN1651" t="s">
        <v>14044</v>
      </c>
      <c r="AO1651" t="s">
        <v>651</v>
      </c>
      <c r="AP1651" t="s">
        <v>74</v>
      </c>
      <c r="AQ1651" t="s">
        <v>74</v>
      </c>
      <c r="AR1651" t="s">
        <v>653</v>
      </c>
      <c r="AS1651" t="s">
        <v>654</v>
      </c>
      <c r="AT1651" t="s">
        <v>997</v>
      </c>
      <c r="AU1651">
        <v>1997</v>
      </c>
      <c r="AV1651">
        <v>155</v>
      </c>
      <c r="AW1651">
        <v>4</v>
      </c>
      <c r="AX1651" t="s">
        <v>74</v>
      </c>
      <c r="AY1651" t="s">
        <v>74</v>
      </c>
      <c r="AZ1651" t="s">
        <v>74</v>
      </c>
      <c r="BA1651" t="s">
        <v>74</v>
      </c>
      <c r="BB1651">
        <v>1413</v>
      </c>
      <c r="BC1651">
        <v>1418</v>
      </c>
      <c r="BD1651" t="s">
        <v>74</v>
      </c>
      <c r="BE1651" t="s">
        <v>14416</v>
      </c>
      <c r="BF1651" t="str">
        <f>HYPERLINK("http://dx.doi.org/10.1164/ajrccm.155.4.9105087","http://dx.doi.org/10.1164/ajrccm.155.4.9105087")</f>
        <v>http://dx.doi.org/10.1164/ajrccm.155.4.9105087</v>
      </c>
      <c r="BG1651" t="s">
        <v>74</v>
      </c>
      <c r="BH1651" t="s">
        <v>74</v>
      </c>
      <c r="BI1651">
        <v>6</v>
      </c>
      <c r="BJ1651" t="s">
        <v>341</v>
      </c>
      <c r="BK1651" t="s">
        <v>101</v>
      </c>
      <c r="BL1651" t="s">
        <v>342</v>
      </c>
      <c r="BM1651" t="s">
        <v>14415</v>
      </c>
      <c r="BN1651">
        <v>9105087</v>
      </c>
      <c r="BO1651" t="s">
        <v>74</v>
      </c>
      <c r="BP1651" t="s">
        <v>74</v>
      </c>
      <c r="BQ1651" t="s">
        <v>74</v>
      </c>
      <c r="BR1651" t="s">
        <v>104</v>
      </c>
      <c r="BS1651" t="s">
        <v>14414</v>
      </c>
      <c r="BT1651" t="str">
        <f>HYPERLINK("https%3A%2F%2Fwww.webofscience.com%2Fwos%2Fwoscc%2Ffull-record%2FWOS:A1997WR65700036","View Full Record in Web of Science")</f>
        <v>View Full Record in Web of Science</v>
      </c>
    </row>
    <row r="1652" spans="1:72" x14ac:dyDescent="0.25">
      <c r="A1652" t="s">
        <v>72</v>
      </c>
      <c r="B1652" t="s">
        <v>14413</v>
      </c>
      <c r="C1652" t="s">
        <v>74</v>
      </c>
      <c r="D1652" t="s">
        <v>74</v>
      </c>
      <c r="E1652" t="s">
        <v>74</v>
      </c>
      <c r="F1652" t="s">
        <v>14413</v>
      </c>
      <c r="G1652" t="s">
        <v>74</v>
      </c>
      <c r="H1652" t="s">
        <v>74</v>
      </c>
      <c r="I1652" t="s">
        <v>14412</v>
      </c>
      <c r="J1652" t="s">
        <v>14411</v>
      </c>
      <c r="K1652" t="s">
        <v>74</v>
      </c>
      <c r="L1652" t="s">
        <v>74</v>
      </c>
      <c r="M1652" t="s">
        <v>78</v>
      </c>
      <c r="N1652" t="s">
        <v>79</v>
      </c>
      <c r="O1652" t="s">
        <v>74</v>
      </c>
      <c r="P1652" t="s">
        <v>74</v>
      </c>
      <c r="Q1652" t="s">
        <v>74</v>
      </c>
      <c r="R1652" t="s">
        <v>74</v>
      </c>
      <c r="S1652" t="s">
        <v>74</v>
      </c>
      <c r="T1652" t="s">
        <v>74</v>
      </c>
      <c r="U1652" t="s">
        <v>14410</v>
      </c>
      <c r="V1652" t="s">
        <v>14409</v>
      </c>
      <c r="W1652" t="s">
        <v>14408</v>
      </c>
      <c r="X1652" t="s">
        <v>14182</v>
      </c>
      <c r="Y1652" t="s">
        <v>74</v>
      </c>
      <c r="Z1652" t="s">
        <v>74</v>
      </c>
      <c r="AA1652" t="s">
        <v>14407</v>
      </c>
      <c r="AB1652" t="s">
        <v>14406</v>
      </c>
      <c r="AC1652" t="s">
        <v>74</v>
      </c>
      <c r="AD1652" t="s">
        <v>74</v>
      </c>
      <c r="AE1652" t="s">
        <v>74</v>
      </c>
      <c r="AF1652" t="s">
        <v>74</v>
      </c>
      <c r="AG1652">
        <v>33</v>
      </c>
      <c r="AH1652">
        <v>338</v>
      </c>
      <c r="AI1652">
        <v>362</v>
      </c>
      <c r="AJ1652">
        <v>0</v>
      </c>
      <c r="AK1652">
        <v>3</v>
      </c>
      <c r="AL1652" t="s">
        <v>14405</v>
      </c>
      <c r="AM1652" t="s">
        <v>7882</v>
      </c>
      <c r="AN1652" t="s">
        <v>7883</v>
      </c>
      <c r="AO1652" t="s">
        <v>14404</v>
      </c>
      <c r="AP1652" t="s">
        <v>14403</v>
      </c>
      <c r="AQ1652" t="s">
        <v>74</v>
      </c>
      <c r="AR1652" t="s">
        <v>14402</v>
      </c>
      <c r="AS1652" t="s">
        <v>14401</v>
      </c>
      <c r="AT1652" t="s">
        <v>1017</v>
      </c>
      <c r="AU1652">
        <v>1997</v>
      </c>
      <c r="AV1652">
        <v>158</v>
      </c>
      <c r="AW1652">
        <v>7</v>
      </c>
      <c r="AX1652" t="s">
        <v>74</v>
      </c>
      <c r="AY1652" t="s">
        <v>74</v>
      </c>
      <c r="AZ1652" t="s">
        <v>74</v>
      </c>
      <c r="BA1652" t="s">
        <v>74</v>
      </c>
      <c r="BB1652">
        <v>3539</v>
      </c>
      <c r="BC1652">
        <v>3544</v>
      </c>
      <c r="BD1652" t="s">
        <v>74</v>
      </c>
      <c r="BE1652" t="s">
        <v>74</v>
      </c>
      <c r="BF1652" t="s">
        <v>74</v>
      </c>
      <c r="BG1652" t="s">
        <v>74</v>
      </c>
      <c r="BH1652" t="s">
        <v>74</v>
      </c>
      <c r="BI1652">
        <v>6</v>
      </c>
      <c r="BJ1652" t="s">
        <v>159</v>
      </c>
      <c r="BK1652" t="s">
        <v>101</v>
      </c>
      <c r="BL1652" t="s">
        <v>159</v>
      </c>
      <c r="BM1652" t="s">
        <v>14400</v>
      </c>
      <c r="BN1652">
        <v>9120316</v>
      </c>
      <c r="BO1652" t="s">
        <v>74</v>
      </c>
      <c r="BP1652" t="s">
        <v>74</v>
      </c>
      <c r="BQ1652" t="s">
        <v>74</v>
      </c>
      <c r="BR1652" t="s">
        <v>104</v>
      </c>
      <c r="BS1652" t="s">
        <v>14399</v>
      </c>
      <c r="BT1652" t="str">
        <f>HYPERLINK("https%3A%2F%2Fwww.webofscience.com%2Fwos%2Fwoscc%2Ffull-record%2FWOS:A1997WQ64300063","View Full Record in Web of Science")</f>
        <v>View Full Record in Web of Science</v>
      </c>
    </row>
    <row r="1653" spans="1:72" x14ac:dyDescent="0.25">
      <c r="A1653" t="s">
        <v>72</v>
      </c>
      <c r="B1653" t="s">
        <v>14398</v>
      </c>
      <c r="C1653" t="s">
        <v>74</v>
      </c>
      <c r="D1653" t="s">
        <v>74</v>
      </c>
      <c r="E1653" t="s">
        <v>74</v>
      </c>
      <c r="F1653" t="s">
        <v>14398</v>
      </c>
      <c r="G1653" t="s">
        <v>74</v>
      </c>
      <c r="H1653" t="s">
        <v>74</v>
      </c>
      <c r="I1653" t="s">
        <v>14397</v>
      </c>
      <c r="J1653" t="s">
        <v>14230</v>
      </c>
      <c r="K1653" t="s">
        <v>74</v>
      </c>
      <c r="L1653" t="s">
        <v>74</v>
      </c>
      <c r="M1653" t="s">
        <v>78</v>
      </c>
      <c r="N1653" t="s">
        <v>79</v>
      </c>
      <c r="O1653" t="s">
        <v>74</v>
      </c>
      <c r="P1653" t="s">
        <v>74</v>
      </c>
      <c r="Q1653" t="s">
        <v>74</v>
      </c>
      <c r="R1653" t="s">
        <v>74</v>
      </c>
      <c r="S1653" t="s">
        <v>74</v>
      </c>
      <c r="T1653" t="s">
        <v>14396</v>
      </c>
      <c r="U1653" t="s">
        <v>14395</v>
      </c>
      <c r="V1653" t="s">
        <v>14394</v>
      </c>
      <c r="W1653" t="s">
        <v>14393</v>
      </c>
      <c r="X1653" t="s">
        <v>14392</v>
      </c>
      <c r="Y1653" t="s">
        <v>74</v>
      </c>
      <c r="Z1653" t="s">
        <v>74</v>
      </c>
      <c r="AA1653" t="s">
        <v>144</v>
      </c>
      <c r="AB1653" t="s">
        <v>14181</v>
      </c>
      <c r="AC1653" t="s">
        <v>74</v>
      </c>
      <c r="AD1653" t="s">
        <v>74</v>
      </c>
      <c r="AE1653" t="s">
        <v>74</v>
      </c>
      <c r="AF1653" t="s">
        <v>74</v>
      </c>
      <c r="AG1653">
        <v>28</v>
      </c>
      <c r="AH1653">
        <v>20</v>
      </c>
      <c r="AI1653">
        <v>21</v>
      </c>
      <c r="AJ1653">
        <v>0</v>
      </c>
      <c r="AK1653">
        <v>0</v>
      </c>
      <c r="AL1653" t="s">
        <v>169</v>
      </c>
      <c r="AM1653" t="s">
        <v>170</v>
      </c>
      <c r="AN1653" t="s">
        <v>171</v>
      </c>
      <c r="AO1653" t="s">
        <v>14222</v>
      </c>
      <c r="AP1653" t="s">
        <v>14221</v>
      </c>
      <c r="AQ1653" t="s">
        <v>74</v>
      </c>
      <c r="AR1653" t="s">
        <v>14220</v>
      </c>
      <c r="AS1653" t="s">
        <v>14219</v>
      </c>
      <c r="AT1653" t="s">
        <v>98</v>
      </c>
      <c r="AU1653">
        <v>1997</v>
      </c>
      <c r="AV1653">
        <v>27</v>
      </c>
      <c r="AW1653">
        <v>5</v>
      </c>
      <c r="AX1653" t="s">
        <v>74</v>
      </c>
      <c r="AY1653" t="s">
        <v>74</v>
      </c>
      <c r="AZ1653" t="s">
        <v>74</v>
      </c>
      <c r="BA1653" t="s">
        <v>74</v>
      </c>
      <c r="BB1653">
        <v>1236</v>
      </c>
      <c r="BC1653">
        <v>1241</v>
      </c>
      <c r="BD1653" t="s">
        <v>74</v>
      </c>
      <c r="BE1653" t="s">
        <v>14391</v>
      </c>
      <c r="BF1653" t="str">
        <f>HYPERLINK("http://dx.doi.org/10.1002/eji.1830270527","http://dx.doi.org/10.1002/eji.1830270527")</f>
        <v>http://dx.doi.org/10.1002/eji.1830270527</v>
      </c>
      <c r="BG1653" t="s">
        <v>74</v>
      </c>
      <c r="BH1653" t="s">
        <v>74</v>
      </c>
      <c r="BI1653">
        <v>6</v>
      </c>
      <c r="BJ1653" t="s">
        <v>159</v>
      </c>
      <c r="BK1653" t="s">
        <v>101</v>
      </c>
      <c r="BL1653" t="s">
        <v>159</v>
      </c>
      <c r="BM1653" t="s">
        <v>14390</v>
      </c>
      <c r="BN1653">
        <v>9174616</v>
      </c>
      <c r="BO1653" t="s">
        <v>1194</v>
      </c>
      <c r="BP1653" t="s">
        <v>74</v>
      </c>
      <c r="BQ1653" t="s">
        <v>74</v>
      </c>
      <c r="BR1653" t="s">
        <v>104</v>
      </c>
      <c r="BS1653" t="s">
        <v>14389</v>
      </c>
      <c r="BT1653" t="str">
        <f>HYPERLINK("https%3A%2F%2Fwww.webofscience.com%2Fwos%2Fwoscc%2Ffull-record%2FWOS:A1997WZ36900026","View Full Record in Web of Science")</f>
        <v>View Full Record in Web of Science</v>
      </c>
    </row>
    <row r="1654" spans="1:72" x14ac:dyDescent="0.25">
      <c r="A1654" t="s">
        <v>72</v>
      </c>
      <c r="B1654" t="s">
        <v>14388</v>
      </c>
      <c r="C1654" t="s">
        <v>74</v>
      </c>
      <c r="D1654" t="s">
        <v>74</v>
      </c>
      <c r="E1654" t="s">
        <v>74</v>
      </c>
      <c r="F1654" t="s">
        <v>14388</v>
      </c>
      <c r="G1654" t="s">
        <v>74</v>
      </c>
      <c r="H1654" t="s">
        <v>74</v>
      </c>
      <c r="I1654" t="s">
        <v>14387</v>
      </c>
      <c r="J1654" t="s">
        <v>14386</v>
      </c>
      <c r="K1654" t="s">
        <v>74</v>
      </c>
      <c r="L1654" t="s">
        <v>74</v>
      </c>
      <c r="M1654" t="s">
        <v>78</v>
      </c>
      <c r="N1654" t="s">
        <v>8016</v>
      </c>
      <c r="O1654" t="s">
        <v>14385</v>
      </c>
      <c r="P1654" t="s">
        <v>14384</v>
      </c>
      <c r="Q1654" t="s">
        <v>14383</v>
      </c>
      <c r="R1654" t="s">
        <v>74</v>
      </c>
      <c r="S1654" t="s">
        <v>74</v>
      </c>
      <c r="T1654" t="s">
        <v>14382</v>
      </c>
      <c r="U1654" t="s">
        <v>74</v>
      </c>
      <c r="V1654" t="s">
        <v>74</v>
      </c>
      <c r="W1654" t="s">
        <v>14381</v>
      </c>
      <c r="X1654" t="s">
        <v>14182</v>
      </c>
      <c r="Y1654" t="s">
        <v>14380</v>
      </c>
      <c r="Z1654" t="s">
        <v>74</v>
      </c>
      <c r="AA1654" t="s">
        <v>780</v>
      </c>
      <c r="AB1654" t="s">
        <v>14379</v>
      </c>
      <c r="AC1654" t="s">
        <v>74</v>
      </c>
      <c r="AD1654" t="s">
        <v>74</v>
      </c>
      <c r="AE1654" t="s">
        <v>74</v>
      </c>
      <c r="AF1654" t="s">
        <v>74</v>
      </c>
      <c r="AG1654">
        <v>4</v>
      </c>
      <c r="AH1654">
        <v>3</v>
      </c>
      <c r="AI1654">
        <v>3</v>
      </c>
      <c r="AJ1654">
        <v>0</v>
      </c>
      <c r="AK1654">
        <v>3</v>
      </c>
      <c r="AL1654" t="s">
        <v>9328</v>
      </c>
      <c r="AM1654" t="s">
        <v>1114</v>
      </c>
      <c r="AN1654" t="s">
        <v>9329</v>
      </c>
      <c r="AO1654" t="s">
        <v>14378</v>
      </c>
      <c r="AP1654" t="s">
        <v>14377</v>
      </c>
      <c r="AQ1654" t="s">
        <v>74</v>
      </c>
      <c r="AR1654" t="s">
        <v>14376</v>
      </c>
      <c r="AS1654" t="s">
        <v>14375</v>
      </c>
      <c r="AT1654" t="s">
        <v>74</v>
      </c>
      <c r="AU1654">
        <v>1997</v>
      </c>
      <c r="AV1654">
        <v>113</v>
      </c>
      <c r="AW1654" t="s">
        <v>14374</v>
      </c>
      <c r="AX1654" t="s">
        <v>74</v>
      </c>
      <c r="AY1654" t="s">
        <v>74</v>
      </c>
      <c r="AZ1654" t="s">
        <v>74</v>
      </c>
      <c r="BA1654" t="s">
        <v>74</v>
      </c>
      <c r="BB1654">
        <v>376</v>
      </c>
      <c r="BC1654">
        <v>378</v>
      </c>
      <c r="BD1654" t="s">
        <v>74</v>
      </c>
      <c r="BE1654" t="s">
        <v>14373</v>
      </c>
      <c r="BF1654" t="str">
        <f>HYPERLINK("http://dx.doi.org/10.1159/000237608","http://dx.doi.org/10.1159/000237608")</f>
        <v>http://dx.doi.org/10.1159/000237608</v>
      </c>
      <c r="BG1654" t="s">
        <v>74</v>
      </c>
      <c r="BH1654" t="s">
        <v>74</v>
      </c>
      <c r="BI1654">
        <v>3</v>
      </c>
      <c r="BJ1654" t="s">
        <v>3085</v>
      </c>
      <c r="BK1654" t="s">
        <v>512</v>
      </c>
      <c r="BL1654" t="s">
        <v>3085</v>
      </c>
      <c r="BM1654" t="s">
        <v>14372</v>
      </c>
      <c r="BN1654">
        <v>9130584</v>
      </c>
      <c r="BO1654" t="s">
        <v>74</v>
      </c>
      <c r="BP1654" t="s">
        <v>74</v>
      </c>
      <c r="BQ1654" t="s">
        <v>74</v>
      </c>
      <c r="BR1654" t="s">
        <v>104</v>
      </c>
      <c r="BS1654" t="s">
        <v>14371</v>
      </c>
      <c r="BT1654" t="str">
        <f>HYPERLINK("https%3A%2F%2Fwww.webofscience.com%2Fwos%2Fwoscc%2Ffull-record%2FWOS:A1997WV64700114","View Full Record in Web of Science")</f>
        <v>View Full Record in Web of Science</v>
      </c>
    </row>
    <row r="1655" spans="1:72" x14ac:dyDescent="0.25">
      <c r="A1655" t="s">
        <v>72</v>
      </c>
      <c r="B1655" t="s">
        <v>14370</v>
      </c>
      <c r="C1655" t="s">
        <v>74</v>
      </c>
      <c r="D1655" t="s">
        <v>74</v>
      </c>
      <c r="E1655" t="s">
        <v>74</v>
      </c>
      <c r="F1655" t="s">
        <v>14370</v>
      </c>
      <c r="G1655" t="s">
        <v>74</v>
      </c>
      <c r="H1655" t="s">
        <v>74</v>
      </c>
      <c r="I1655" t="s">
        <v>14369</v>
      </c>
      <c r="J1655" t="s">
        <v>833</v>
      </c>
      <c r="K1655" t="s">
        <v>74</v>
      </c>
      <c r="L1655" t="s">
        <v>74</v>
      </c>
      <c r="M1655" t="s">
        <v>78</v>
      </c>
      <c r="N1655" t="s">
        <v>79</v>
      </c>
      <c r="O1655" t="s">
        <v>74</v>
      </c>
      <c r="P1655" t="s">
        <v>74</v>
      </c>
      <c r="Q1655" t="s">
        <v>74</v>
      </c>
      <c r="R1655" t="s">
        <v>74</v>
      </c>
      <c r="S1655" t="s">
        <v>74</v>
      </c>
      <c r="T1655" t="s">
        <v>74</v>
      </c>
      <c r="U1655" t="s">
        <v>14368</v>
      </c>
      <c r="V1655" t="s">
        <v>14367</v>
      </c>
      <c r="W1655" t="s">
        <v>14366</v>
      </c>
      <c r="X1655" t="s">
        <v>14365</v>
      </c>
      <c r="Y1655" t="s">
        <v>74</v>
      </c>
      <c r="Z1655" t="s">
        <v>74</v>
      </c>
      <c r="AA1655" t="s">
        <v>14364</v>
      </c>
      <c r="AB1655" t="s">
        <v>14363</v>
      </c>
      <c r="AC1655" t="s">
        <v>14257</v>
      </c>
      <c r="AD1655" t="s">
        <v>6518</v>
      </c>
      <c r="AE1655" t="s">
        <v>74</v>
      </c>
      <c r="AF1655" t="s">
        <v>74</v>
      </c>
      <c r="AG1655">
        <v>61</v>
      </c>
      <c r="AH1655">
        <v>135</v>
      </c>
      <c r="AI1655">
        <v>147</v>
      </c>
      <c r="AJ1655">
        <v>0</v>
      </c>
      <c r="AK1655">
        <v>1</v>
      </c>
      <c r="AL1655" t="s">
        <v>649</v>
      </c>
      <c r="AM1655" t="s">
        <v>486</v>
      </c>
      <c r="AN1655" t="s">
        <v>650</v>
      </c>
      <c r="AO1655" t="s">
        <v>844</v>
      </c>
      <c r="AP1655" t="s">
        <v>845</v>
      </c>
      <c r="AQ1655" t="s">
        <v>74</v>
      </c>
      <c r="AR1655" t="s">
        <v>846</v>
      </c>
      <c r="AS1655" t="s">
        <v>847</v>
      </c>
      <c r="AT1655" t="s">
        <v>176</v>
      </c>
      <c r="AU1655">
        <v>1997</v>
      </c>
      <c r="AV1655">
        <v>16</v>
      </c>
      <c r="AW1655">
        <v>1</v>
      </c>
      <c r="AX1655" t="s">
        <v>74</v>
      </c>
      <c r="AY1655" t="s">
        <v>74</v>
      </c>
      <c r="AZ1655" t="s">
        <v>74</v>
      </c>
      <c r="BA1655" t="s">
        <v>74</v>
      </c>
      <c r="BB1655">
        <v>1</v>
      </c>
      <c r="BC1655">
        <v>8</v>
      </c>
      <c r="BD1655" t="s">
        <v>74</v>
      </c>
      <c r="BE1655" t="s">
        <v>74</v>
      </c>
      <c r="BF1655" t="s">
        <v>74</v>
      </c>
      <c r="BG1655" t="s">
        <v>74</v>
      </c>
      <c r="BH1655" t="s">
        <v>74</v>
      </c>
      <c r="BI1655">
        <v>8</v>
      </c>
      <c r="BJ1655" t="s">
        <v>849</v>
      </c>
      <c r="BK1655" t="s">
        <v>101</v>
      </c>
      <c r="BL1655" t="s">
        <v>849</v>
      </c>
      <c r="BM1655" t="s">
        <v>14362</v>
      </c>
      <c r="BN1655">
        <v>8998072</v>
      </c>
      <c r="BO1655" t="s">
        <v>74</v>
      </c>
      <c r="BP1655" t="s">
        <v>74</v>
      </c>
      <c r="BQ1655" t="s">
        <v>74</v>
      </c>
      <c r="BR1655" t="s">
        <v>104</v>
      </c>
      <c r="BS1655" t="s">
        <v>14361</v>
      </c>
      <c r="BT1655" t="str">
        <f>HYPERLINK("https%3A%2F%2Fwww.webofscience.com%2Fwos%2Fwoscc%2Ffull-record%2FWOS:A1997WC03800001","View Full Record in Web of Science")</f>
        <v>View Full Record in Web of Science</v>
      </c>
    </row>
    <row r="1656" spans="1:72" x14ac:dyDescent="0.25">
      <c r="A1656" t="s">
        <v>72</v>
      </c>
      <c r="B1656" t="s">
        <v>14360</v>
      </c>
      <c r="C1656" t="s">
        <v>74</v>
      </c>
      <c r="D1656" t="s">
        <v>74</v>
      </c>
      <c r="E1656" t="s">
        <v>74</v>
      </c>
      <c r="F1656" t="s">
        <v>14360</v>
      </c>
      <c r="G1656" t="s">
        <v>74</v>
      </c>
      <c r="H1656" t="s">
        <v>74</v>
      </c>
      <c r="I1656" t="s">
        <v>14359</v>
      </c>
      <c r="J1656" t="s">
        <v>6618</v>
      </c>
      <c r="K1656" t="s">
        <v>74</v>
      </c>
      <c r="L1656" t="s">
        <v>74</v>
      </c>
      <c r="M1656" t="s">
        <v>78</v>
      </c>
      <c r="N1656" t="s">
        <v>79</v>
      </c>
      <c r="O1656" t="s">
        <v>74</v>
      </c>
      <c r="P1656" t="s">
        <v>74</v>
      </c>
      <c r="Q1656" t="s">
        <v>74</v>
      </c>
      <c r="R1656" t="s">
        <v>74</v>
      </c>
      <c r="S1656" t="s">
        <v>74</v>
      </c>
      <c r="T1656" t="s">
        <v>14358</v>
      </c>
      <c r="U1656" t="s">
        <v>14357</v>
      </c>
      <c r="V1656" t="s">
        <v>14356</v>
      </c>
      <c r="W1656" t="s">
        <v>14355</v>
      </c>
      <c r="X1656" t="s">
        <v>14354</v>
      </c>
      <c r="Y1656" t="s">
        <v>74</v>
      </c>
      <c r="Z1656" t="s">
        <v>74</v>
      </c>
      <c r="AA1656" t="s">
        <v>14196</v>
      </c>
      <c r="AB1656" t="s">
        <v>14353</v>
      </c>
      <c r="AC1656" t="s">
        <v>14294</v>
      </c>
      <c r="AD1656" t="s">
        <v>8029</v>
      </c>
      <c r="AE1656" t="s">
        <v>74</v>
      </c>
      <c r="AF1656" t="s">
        <v>74</v>
      </c>
      <c r="AG1656">
        <v>52</v>
      </c>
      <c r="AH1656">
        <v>66</v>
      </c>
      <c r="AI1656">
        <v>68</v>
      </c>
      <c r="AJ1656">
        <v>0</v>
      </c>
      <c r="AK1656">
        <v>4</v>
      </c>
      <c r="AL1656" t="s">
        <v>14026</v>
      </c>
      <c r="AM1656" t="s">
        <v>14025</v>
      </c>
      <c r="AN1656" t="s">
        <v>14024</v>
      </c>
      <c r="AO1656" t="s">
        <v>6630</v>
      </c>
      <c r="AP1656" t="s">
        <v>74</v>
      </c>
      <c r="AQ1656" t="s">
        <v>74</v>
      </c>
      <c r="AR1656" t="s">
        <v>6632</v>
      </c>
      <c r="AS1656" t="s">
        <v>6633</v>
      </c>
      <c r="AT1656" t="s">
        <v>226</v>
      </c>
      <c r="AU1656">
        <v>1996</v>
      </c>
      <c r="AV1656">
        <v>16</v>
      </c>
      <c r="AW1656">
        <v>12</v>
      </c>
      <c r="AX1656" t="s">
        <v>74</v>
      </c>
      <c r="AY1656" t="s">
        <v>74</v>
      </c>
      <c r="AZ1656" t="s">
        <v>74</v>
      </c>
      <c r="BA1656" t="s">
        <v>74</v>
      </c>
      <c r="BB1656">
        <v>1532</v>
      </c>
      <c r="BC1656">
        <v>1543</v>
      </c>
      <c r="BD1656" t="s">
        <v>74</v>
      </c>
      <c r="BE1656" t="s">
        <v>14352</v>
      </c>
      <c r="BF1656" t="str">
        <f>HYPERLINK("http://dx.doi.org/10.1161/01.ATV.16.12.1532","http://dx.doi.org/10.1161/01.ATV.16.12.1532")</f>
        <v>http://dx.doi.org/10.1161/01.ATV.16.12.1532</v>
      </c>
      <c r="BG1656" t="s">
        <v>74</v>
      </c>
      <c r="BH1656" t="s">
        <v>74</v>
      </c>
      <c r="BI1656">
        <v>12</v>
      </c>
      <c r="BJ1656" t="s">
        <v>6635</v>
      </c>
      <c r="BK1656" t="s">
        <v>101</v>
      </c>
      <c r="BL1656" t="s">
        <v>6636</v>
      </c>
      <c r="BM1656" t="s">
        <v>14351</v>
      </c>
      <c r="BN1656">
        <v>8977459</v>
      </c>
      <c r="BO1656" t="s">
        <v>1194</v>
      </c>
      <c r="BP1656" t="s">
        <v>74</v>
      </c>
      <c r="BQ1656" t="s">
        <v>74</v>
      </c>
      <c r="BR1656" t="s">
        <v>104</v>
      </c>
      <c r="BS1656" t="s">
        <v>14350</v>
      </c>
      <c r="BT1656" t="str">
        <f>HYPERLINK("https%3A%2F%2Fwww.webofscience.com%2Fwos%2Fwoscc%2Ffull-record%2FWOS:A1996WA76900017","View Full Record in Web of Science")</f>
        <v>View Full Record in Web of Science</v>
      </c>
    </row>
    <row r="1657" spans="1:72" x14ac:dyDescent="0.25">
      <c r="A1657" t="s">
        <v>72</v>
      </c>
      <c r="B1657" t="s">
        <v>14349</v>
      </c>
      <c r="C1657" t="s">
        <v>74</v>
      </c>
      <c r="D1657" t="s">
        <v>74</v>
      </c>
      <c r="E1657" t="s">
        <v>74</v>
      </c>
      <c r="F1657" t="s">
        <v>14349</v>
      </c>
      <c r="G1657" t="s">
        <v>74</v>
      </c>
      <c r="H1657" t="s">
        <v>74</v>
      </c>
      <c r="I1657" t="s">
        <v>14348</v>
      </c>
      <c r="J1657" t="s">
        <v>216</v>
      </c>
      <c r="K1657" t="s">
        <v>74</v>
      </c>
      <c r="L1657" t="s">
        <v>74</v>
      </c>
      <c r="M1657" t="s">
        <v>78</v>
      </c>
      <c r="N1657" t="s">
        <v>79</v>
      </c>
      <c r="O1657" t="s">
        <v>74</v>
      </c>
      <c r="P1657" t="s">
        <v>74</v>
      </c>
      <c r="Q1657" t="s">
        <v>74</v>
      </c>
      <c r="R1657" t="s">
        <v>74</v>
      </c>
      <c r="S1657" t="s">
        <v>74</v>
      </c>
      <c r="T1657" t="s">
        <v>14347</v>
      </c>
      <c r="U1657" t="s">
        <v>14346</v>
      </c>
      <c r="V1657" t="s">
        <v>14345</v>
      </c>
      <c r="W1657" t="s">
        <v>14344</v>
      </c>
      <c r="X1657" t="s">
        <v>14343</v>
      </c>
      <c r="Y1657" t="s">
        <v>74</v>
      </c>
      <c r="Z1657" t="s">
        <v>74</v>
      </c>
      <c r="AA1657" t="s">
        <v>14342</v>
      </c>
      <c r="AB1657" t="s">
        <v>14341</v>
      </c>
      <c r="AC1657" t="s">
        <v>14257</v>
      </c>
      <c r="AD1657" t="s">
        <v>6518</v>
      </c>
      <c r="AE1657" t="s">
        <v>74</v>
      </c>
      <c r="AF1657" t="s">
        <v>74</v>
      </c>
      <c r="AG1657">
        <v>33</v>
      </c>
      <c r="AH1657">
        <v>53</v>
      </c>
      <c r="AI1657">
        <v>62</v>
      </c>
      <c r="AJ1657">
        <v>0</v>
      </c>
      <c r="AK1657">
        <v>1</v>
      </c>
      <c r="AL1657" t="s">
        <v>14340</v>
      </c>
      <c r="AM1657" t="s">
        <v>14339</v>
      </c>
      <c r="AN1657" t="s">
        <v>14338</v>
      </c>
      <c r="AO1657" t="s">
        <v>222</v>
      </c>
      <c r="AP1657" t="s">
        <v>74</v>
      </c>
      <c r="AQ1657" t="s">
        <v>74</v>
      </c>
      <c r="AR1657" t="s">
        <v>224</v>
      </c>
      <c r="AS1657" t="s">
        <v>225</v>
      </c>
      <c r="AT1657" t="s">
        <v>226</v>
      </c>
      <c r="AU1657">
        <v>1996</v>
      </c>
      <c r="AV1657">
        <v>9</v>
      </c>
      <c r="AW1657">
        <v>12</v>
      </c>
      <c r="AX1657" t="s">
        <v>74</v>
      </c>
      <c r="AY1657" t="s">
        <v>74</v>
      </c>
      <c r="AZ1657" t="s">
        <v>74</v>
      </c>
      <c r="BA1657" t="s">
        <v>74</v>
      </c>
      <c r="BB1657">
        <v>2454</v>
      </c>
      <c r="BC1657">
        <v>2460</v>
      </c>
      <c r="BD1657" t="s">
        <v>74</v>
      </c>
      <c r="BE1657" t="s">
        <v>14337</v>
      </c>
      <c r="BF1657" t="str">
        <f>HYPERLINK("http://dx.doi.org/10.1183/09031936.96.09122454","http://dx.doi.org/10.1183/09031936.96.09122454")</f>
        <v>http://dx.doi.org/10.1183/09031936.96.09122454</v>
      </c>
      <c r="BG1657" t="s">
        <v>74</v>
      </c>
      <c r="BH1657" t="s">
        <v>74</v>
      </c>
      <c r="BI1657">
        <v>7</v>
      </c>
      <c r="BJ1657" t="s">
        <v>228</v>
      </c>
      <c r="BK1657" t="s">
        <v>101</v>
      </c>
      <c r="BL1657" t="s">
        <v>228</v>
      </c>
      <c r="BM1657" t="s">
        <v>14336</v>
      </c>
      <c r="BN1657">
        <v>8980953</v>
      </c>
      <c r="BO1657" t="s">
        <v>74</v>
      </c>
      <c r="BP1657" t="s">
        <v>74</v>
      </c>
      <c r="BQ1657" t="s">
        <v>74</v>
      </c>
      <c r="BR1657" t="s">
        <v>104</v>
      </c>
      <c r="BS1657" t="s">
        <v>14335</v>
      </c>
      <c r="BT1657" t="str">
        <f>HYPERLINK("https%3A%2F%2Fwww.webofscience.com%2Fwos%2Fwoscc%2Ffull-record%2FWOS:A1996VX56700006","View Full Record in Web of Science")</f>
        <v>View Full Record in Web of Science</v>
      </c>
    </row>
    <row r="1658" spans="1:72" x14ac:dyDescent="0.25">
      <c r="A1658" t="s">
        <v>72</v>
      </c>
      <c r="B1658" t="s">
        <v>14334</v>
      </c>
      <c r="C1658" t="s">
        <v>74</v>
      </c>
      <c r="D1658" t="s">
        <v>74</v>
      </c>
      <c r="E1658" t="s">
        <v>74</v>
      </c>
      <c r="F1658" t="s">
        <v>14334</v>
      </c>
      <c r="G1658" t="s">
        <v>74</v>
      </c>
      <c r="H1658" t="s">
        <v>74</v>
      </c>
      <c r="I1658" t="s">
        <v>14333</v>
      </c>
      <c r="J1658" t="s">
        <v>637</v>
      </c>
      <c r="K1658" t="s">
        <v>74</v>
      </c>
      <c r="L1658" t="s">
        <v>74</v>
      </c>
      <c r="M1658" t="s">
        <v>78</v>
      </c>
      <c r="N1658" t="s">
        <v>79</v>
      </c>
      <c r="O1658" t="s">
        <v>74</v>
      </c>
      <c r="P1658" t="s">
        <v>74</v>
      </c>
      <c r="Q1658" t="s">
        <v>74</v>
      </c>
      <c r="R1658" t="s">
        <v>74</v>
      </c>
      <c r="S1658" t="s">
        <v>74</v>
      </c>
      <c r="T1658" t="s">
        <v>74</v>
      </c>
      <c r="U1658" t="s">
        <v>14332</v>
      </c>
      <c r="V1658" t="s">
        <v>14331</v>
      </c>
      <c r="W1658" t="s">
        <v>14330</v>
      </c>
      <c r="X1658" t="s">
        <v>14182</v>
      </c>
      <c r="Y1658" t="s">
        <v>74</v>
      </c>
      <c r="Z1658" t="s">
        <v>74</v>
      </c>
      <c r="AA1658" t="s">
        <v>144</v>
      </c>
      <c r="AB1658" t="s">
        <v>257</v>
      </c>
      <c r="AC1658" t="s">
        <v>74</v>
      </c>
      <c r="AD1658" t="s">
        <v>74</v>
      </c>
      <c r="AE1658" t="s">
        <v>74</v>
      </c>
      <c r="AF1658" t="s">
        <v>74</v>
      </c>
      <c r="AG1658">
        <v>27</v>
      </c>
      <c r="AH1658">
        <v>361</v>
      </c>
      <c r="AI1658">
        <v>388</v>
      </c>
      <c r="AJ1658">
        <v>0</v>
      </c>
      <c r="AK1658">
        <v>6</v>
      </c>
      <c r="AL1658" t="s">
        <v>14045</v>
      </c>
      <c r="AM1658" t="s">
        <v>486</v>
      </c>
      <c r="AN1658" t="s">
        <v>14044</v>
      </c>
      <c r="AO1658" t="s">
        <v>651</v>
      </c>
      <c r="AP1658" t="s">
        <v>74</v>
      </c>
      <c r="AQ1658" t="s">
        <v>74</v>
      </c>
      <c r="AR1658" t="s">
        <v>653</v>
      </c>
      <c r="AS1658" t="s">
        <v>654</v>
      </c>
      <c r="AT1658" t="s">
        <v>315</v>
      </c>
      <c r="AU1658">
        <v>1996</v>
      </c>
      <c r="AV1658">
        <v>154</v>
      </c>
      <c r="AW1658">
        <v>5</v>
      </c>
      <c r="AX1658" t="s">
        <v>74</v>
      </c>
      <c r="AY1658" t="s">
        <v>74</v>
      </c>
      <c r="AZ1658" t="s">
        <v>74</v>
      </c>
      <c r="BA1658" t="s">
        <v>74</v>
      </c>
      <c r="BB1658">
        <v>1497</v>
      </c>
      <c r="BC1658">
        <v>1504</v>
      </c>
      <c r="BD1658" t="s">
        <v>74</v>
      </c>
      <c r="BE1658" t="s">
        <v>14329</v>
      </c>
      <c r="BF1658" t="str">
        <f>HYPERLINK("http://dx.doi.org/10.1164/ajrccm.154.5.8912771","http://dx.doi.org/10.1164/ajrccm.154.5.8912771")</f>
        <v>http://dx.doi.org/10.1164/ajrccm.154.5.8912771</v>
      </c>
      <c r="BG1658" t="s">
        <v>74</v>
      </c>
      <c r="BH1658" t="s">
        <v>74</v>
      </c>
      <c r="BI1658">
        <v>8</v>
      </c>
      <c r="BJ1658" t="s">
        <v>341</v>
      </c>
      <c r="BK1658" t="s">
        <v>101</v>
      </c>
      <c r="BL1658" t="s">
        <v>342</v>
      </c>
      <c r="BM1658" t="s">
        <v>14328</v>
      </c>
      <c r="BN1658">
        <v>8912771</v>
      </c>
      <c r="BO1658" t="s">
        <v>74</v>
      </c>
      <c r="BP1658" t="s">
        <v>74</v>
      </c>
      <c r="BQ1658" t="s">
        <v>74</v>
      </c>
      <c r="BR1658" t="s">
        <v>104</v>
      </c>
      <c r="BS1658" t="s">
        <v>14327</v>
      </c>
      <c r="BT1658" t="str">
        <f>HYPERLINK("https%3A%2F%2Fwww.webofscience.com%2Fwos%2Fwoscc%2Ffull-record%2FWOS:A1996VT36900043","View Full Record in Web of Science")</f>
        <v>View Full Record in Web of Science</v>
      </c>
    </row>
    <row r="1659" spans="1:72" x14ac:dyDescent="0.25">
      <c r="A1659" t="s">
        <v>72</v>
      </c>
      <c r="B1659" t="s">
        <v>14326</v>
      </c>
      <c r="C1659" t="s">
        <v>74</v>
      </c>
      <c r="D1659" t="s">
        <v>74</v>
      </c>
      <c r="E1659" t="s">
        <v>74</v>
      </c>
      <c r="F1659" t="s">
        <v>14326</v>
      </c>
      <c r="G1659" t="s">
        <v>74</v>
      </c>
      <c r="H1659" t="s">
        <v>74</v>
      </c>
      <c r="I1659" t="s">
        <v>14325</v>
      </c>
      <c r="J1659" t="s">
        <v>1348</v>
      </c>
      <c r="K1659" t="s">
        <v>74</v>
      </c>
      <c r="L1659" t="s">
        <v>74</v>
      </c>
      <c r="M1659" t="s">
        <v>1349</v>
      </c>
      <c r="N1659" t="s">
        <v>79</v>
      </c>
      <c r="O1659" t="s">
        <v>74</v>
      </c>
      <c r="P1659" t="s">
        <v>74</v>
      </c>
      <c r="Q1659" t="s">
        <v>74</v>
      </c>
      <c r="R1659" t="s">
        <v>74</v>
      </c>
      <c r="S1659" t="s">
        <v>74</v>
      </c>
      <c r="T1659" t="s">
        <v>14324</v>
      </c>
      <c r="U1659" t="s">
        <v>14323</v>
      </c>
      <c r="V1659" t="s">
        <v>14322</v>
      </c>
      <c r="W1659" t="s">
        <v>74</v>
      </c>
      <c r="X1659" t="s">
        <v>74</v>
      </c>
      <c r="Y1659" t="s">
        <v>14321</v>
      </c>
      <c r="Z1659" t="s">
        <v>74</v>
      </c>
      <c r="AA1659" t="s">
        <v>144</v>
      </c>
      <c r="AB1659" t="s">
        <v>257</v>
      </c>
      <c r="AC1659" t="s">
        <v>74</v>
      </c>
      <c r="AD1659" t="s">
        <v>74</v>
      </c>
      <c r="AE1659" t="s">
        <v>74</v>
      </c>
      <c r="AF1659" t="s">
        <v>74</v>
      </c>
      <c r="AG1659">
        <v>62</v>
      </c>
      <c r="AH1659">
        <v>4</v>
      </c>
      <c r="AI1659">
        <v>4</v>
      </c>
      <c r="AJ1659">
        <v>0</v>
      </c>
      <c r="AK1659">
        <v>0</v>
      </c>
      <c r="AL1659" t="s">
        <v>1358</v>
      </c>
      <c r="AM1659" t="s">
        <v>1359</v>
      </c>
      <c r="AN1659" t="s">
        <v>1360</v>
      </c>
      <c r="AO1659" t="s">
        <v>1361</v>
      </c>
      <c r="AP1659" t="s">
        <v>1362</v>
      </c>
      <c r="AQ1659" t="s">
        <v>74</v>
      </c>
      <c r="AR1659" t="s">
        <v>1363</v>
      </c>
      <c r="AS1659" t="s">
        <v>1364</v>
      </c>
      <c r="AT1659" t="s">
        <v>315</v>
      </c>
      <c r="AU1659">
        <v>1996</v>
      </c>
      <c r="AV1659">
        <v>13</v>
      </c>
      <c r="AW1659">
        <v>5</v>
      </c>
      <c r="AX1659" t="s">
        <v>74</v>
      </c>
      <c r="AY1659" t="s">
        <v>998</v>
      </c>
      <c r="AZ1659" t="s">
        <v>74</v>
      </c>
      <c r="BA1659" t="s">
        <v>74</v>
      </c>
      <c r="BB1659" t="s">
        <v>14320</v>
      </c>
      <c r="BC1659" t="s">
        <v>14319</v>
      </c>
      <c r="BD1659" t="s">
        <v>74</v>
      </c>
      <c r="BE1659" t="s">
        <v>74</v>
      </c>
      <c r="BF1659" t="s">
        <v>74</v>
      </c>
      <c r="BG1659" t="s">
        <v>74</v>
      </c>
      <c r="BH1659" t="s">
        <v>74</v>
      </c>
      <c r="BI1659">
        <v>7</v>
      </c>
      <c r="BJ1659" t="s">
        <v>228</v>
      </c>
      <c r="BK1659" t="s">
        <v>101</v>
      </c>
      <c r="BL1659" t="s">
        <v>228</v>
      </c>
      <c r="BM1659" t="s">
        <v>14318</v>
      </c>
      <c r="BN1659">
        <v>9011915</v>
      </c>
      <c r="BO1659" t="s">
        <v>74</v>
      </c>
      <c r="BP1659" t="s">
        <v>74</v>
      </c>
      <c r="BQ1659" t="s">
        <v>74</v>
      </c>
      <c r="BR1659" t="s">
        <v>104</v>
      </c>
      <c r="BS1659" t="s">
        <v>14317</v>
      </c>
      <c r="BT1659" t="str">
        <f>HYPERLINK("https%3A%2F%2Fwww.webofscience.com%2Fwos%2Fwoscc%2Ffull-record%2FWOS:A1996VW31000010","View Full Record in Web of Science")</f>
        <v>View Full Record in Web of Science</v>
      </c>
    </row>
    <row r="1660" spans="1:72" x14ac:dyDescent="0.25">
      <c r="A1660" t="s">
        <v>72</v>
      </c>
      <c r="B1660" t="s">
        <v>14316</v>
      </c>
      <c r="C1660" t="s">
        <v>74</v>
      </c>
      <c r="D1660" t="s">
        <v>74</v>
      </c>
      <c r="E1660" t="s">
        <v>74</v>
      </c>
      <c r="F1660" t="s">
        <v>14316</v>
      </c>
      <c r="G1660" t="s">
        <v>74</v>
      </c>
      <c r="H1660" t="s">
        <v>74</v>
      </c>
      <c r="I1660" t="s">
        <v>14315</v>
      </c>
      <c r="J1660" t="s">
        <v>14314</v>
      </c>
      <c r="K1660" t="s">
        <v>74</v>
      </c>
      <c r="L1660" t="s">
        <v>74</v>
      </c>
      <c r="M1660" t="s">
        <v>78</v>
      </c>
      <c r="N1660" t="s">
        <v>79</v>
      </c>
      <c r="O1660" t="s">
        <v>74</v>
      </c>
      <c r="P1660" t="s">
        <v>74</v>
      </c>
      <c r="Q1660" t="s">
        <v>74</v>
      </c>
      <c r="R1660" t="s">
        <v>74</v>
      </c>
      <c r="S1660" t="s">
        <v>74</v>
      </c>
      <c r="T1660" t="s">
        <v>14313</v>
      </c>
      <c r="U1660" t="s">
        <v>14312</v>
      </c>
      <c r="V1660" t="s">
        <v>14311</v>
      </c>
      <c r="W1660" t="s">
        <v>14310</v>
      </c>
      <c r="X1660" t="s">
        <v>11708</v>
      </c>
      <c r="Y1660" t="s">
        <v>74</v>
      </c>
      <c r="Z1660" t="s">
        <v>74</v>
      </c>
      <c r="AA1660" t="s">
        <v>144</v>
      </c>
      <c r="AB1660" t="s">
        <v>257</v>
      </c>
      <c r="AC1660" t="s">
        <v>74</v>
      </c>
      <c r="AD1660" t="s">
        <v>74</v>
      </c>
      <c r="AE1660" t="s">
        <v>74</v>
      </c>
      <c r="AF1660" t="s">
        <v>74</v>
      </c>
      <c r="AG1660">
        <v>80</v>
      </c>
      <c r="AH1660">
        <v>55</v>
      </c>
      <c r="AI1660">
        <v>62</v>
      </c>
      <c r="AJ1660">
        <v>0</v>
      </c>
      <c r="AK1660">
        <v>1</v>
      </c>
      <c r="AL1660" t="s">
        <v>14309</v>
      </c>
      <c r="AM1660" t="s">
        <v>1074</v>
      </c>
      <c r="AN1660" t="s">
        <v>14308</v>
      </c>
      <c r="AO1660" t="s">
        <v>14307</v>
      </c>
      <c r="AP1660" t="s">
        <v>74</v>
      </c>
      <c r="AQ1660" t="s">
        <v>74</v>
      </c>
      <c r="AR1660" t="s">
        <v>14306</v>
      </c>
      <c r="AS1660" t="s">
        <v>14305</v>
      </c>
      <c r="AT1660" t="s">
        <v>420</v>
      </c>
      <c r="AU1660">
        <v>1996</v>
      </c>
      <c r="AV1660">
        <v>8</v>
      </c>
      <c r="AW1660">
        <v>10</v>
      </c>
      <c r="AX1660" t="s">
        <v>74</v>
      </c>
      <c r="AY1660" t="s">
        <v>74</v>
      </c>
      <c r="AZ1660" t="s">
        <v>74</v>
      </c>
      <c r="BA1660" t="s">
        <v>74</v>
      </c>
      <c r="BB1660">
        <v>1587</v>
      </c>
      <c r="BC1660">
        <v>1594</v>
      </c>
      <c r="BD1660" t="s">
        <v>74</v>
      </c>
      <c r="BE1660" t="s">
        <v>14304</v>
      </c>
      <c r="BF1660" t="str">
        <f>HYPERLINK("http://dx.doi.org/10.1093/intimm/8.10.1587","http://dx.doi.org/10.1093/intimm/8.10.1587")</f>
        <v>http://dx.doi.org/10.1093/intimm/8.10.1587</v>
      </c>
      <c r="BG1660" t="s">
        <v>74</v>
      </c>
      <c r="BH1660" t="s">
        <v>74</v>
      </c>
      <c r="BI1660">
        <v>8</v>
      </c>
      <c r="BJ1660" t="s">
        <v>159</v>
      </c>
      <c r="BK1660" t="s">
        <v>101</v>
      </c>
      <c r="BL1660" t="s">
        <v>159</v>
      </c>
      <c r="BM1660" t="s">
        <v>14303</v>
      </c>
      <c r="BN1660">
        <v>8921438</v>
      </c>
      <c r="BO1660" t="s">
        <v>1194</v>
      </c>
      <c r="BP1660" t="s">
        <v>74</v>
      </c>
      <c r="BQ1660" t="s">
        <v>74</v>
      </c>
      <c r="BR1660" t="s">
        <v>104</v>
      </c>
      <c r="BS1660" t="s">
        <v>14302</v>
      </c>
      <c r="BT1660" t="str">
        <f>HYPERLINK("https%3A%2F%2Fwww.webofscience.com%2Fwos%2Fwoscc%2Ffull-record%2FWOS:A1996VP67300013","View Full Record in Web of Science")</f>
        <v>View Full Record in Web of Science</v>
      </c>
    </row>
    <row r="1661" spans="1:72" x14ac:dyDescent="0.25">
      <c r="A1661" t="s">
        <v>72</v>
      </c>
      <c r="B1661" t="s">
        <v>14301</v>
      </c>
      <c r="C1661" t="s">
        <v>74</v>
      </c>
      <c r="D1661" t="s">
        <v>74</v>
      </c>
      <c r="E1661" t="s">
        <v>74</v>
      </c>
      <c r="F1661" t="s">
        <v>14301</v>
      </c>
      <c r="G1661" t="s">
        <v>74</v>
      </c>
      <c r="H1661" t="s">
        <v>74</v>
      </c>
      <c r="I1661" t="s">
        <v>14300</v>
      </c>
      <c r="J1661" t="s">
        <v>8164</v>
      </c>
      <c r="K1661" t="s">
        <v>74</v>
      </c>
      <c r="L1661" t="s">
        <v>74</v>
      </c>
      <c r="M1661" t="s">
        <v>78</v>
      </c>
      <c r="N1661" t="s">
        <v>79</v>
      </c>
      <c r="O1661" t="s">
        <v>74</v>
      </c>
      <c r="P1661" t="s">
        <v>74</v>
      </c>
      <c r="Q1661" t="s">
        <v>74</v>
      </c>
      <c r="R1661" t="s">
        <v>74</v>
      </c>
      <c r="S1661" t="s">
        <v>74</v>
      </c>
      <c r="T1661" t="s">
        <v>74</v>
      </c>
      <c r="U1661" t="s">
        <v>14299</v>
      </c>
      <c r="V1661" t="s">
        <v>14298</v>
      </c>
      <c r="W1661" t="s">
        <v>14297</v>
      </c>
      <c r="X1661" t="s">
        <v>14296</v>
      </c>
      <c r="Y1661" t="s">
        <v>74</v>
      </c>
      <c r="Z1661" t="s">
        <v>74</v>
      </c>
      <c r="AA1661" t="s">
        <v>144</v>
      </c>
      <c r="AB1661" t="s">
        <v>14295</v>
      </c>
      <c r="AC1661" t="s">
        <v>14294</v>
      </c>
      <c r="AD1661" t="s">
        <v>8029</v>
      </c>
      <c r="AE1661" t="s">
        <v>74</v>
      </c>
      <c r="AF1661" t="s">
        <v>74</v>
      </c>
      <c r="AG1661">
        <v>42</v>
      </c>
      <c r="AH1661">
        <v>35</v>
      </c>
      <c r="AI1661">
        <v>35</v>
      </c>
      <c r="AJ1661">
        <v>0</v>
      </c>
      <c r="AK1661">
        <v>3</v>
      </c>
      <c r="AL1661" t="s">
        <v>14293</v>
      </c>
      <c r="AM1661" t="s">
        <v>123</v>
      </c>
      <c r="AN1661" t="s">
        <v>14292</v>
      </c>
      <c r="AO1661" t="s">
        <v>8174</v>
      </c>
      <c r="AP1661" t="s">
        <v>74</v>
      </c>
      <c r="AQ1661" t="s">
        <v>74</v>
      </c>
      <c r="AR1661" t="s">
        <v>8164</v>
      </c>
      <c r="AS1661" t="s">
        <v>8176</v>
      </c>
      <c r="AT1661" t="s">
        <v>742</v>
      </c>
      <c r="AU1661">
        <v>1996</v>
      </c>
      <c r="AV1661">
        <v>88</v>
      </c>
      <c r="AW1661">
        <v>3</v>
      </c>
      <c r="AX1661" t="s">
        <v>74</v>
      </c>
      <c r="AY1661" t="s">
        <v>74</v>
      </c>
      <c r="AZ1661" t="s">
        <v>74</v>
      </c>
      <c r="BA1661" t="s">
        <v>74</v>
      </c>
      <c r="BB1661">
        <v>887</v>
      </c>
      <c r="BC1661">
        <v>899</v>
      </c>
      <c r="BD1661" t="s">
        <v>74</v>
      </c>
      <c r="BE1661" t="s">
        <v>14291</v>
      </c>
      <c r="BF1661" t="str">
        <f>HYPERLINK("http://dx.doi.org/10.1182/blood.V88.3.887.bloodjournal883887","http://dx.doi.org/10.1182/blood.V88.3.887.bloodjournal883887")</f>
        <v>http://dx.doi.org/10.1182/blood.V88.3.887.bloodjournal883887</v>
      </c>
      <c r="BG1661" t="s">
        <v>74</v>
      </c>
      <c r="BH1661" t="s">
        <v>74</v>
      </c>
      <c r="BI1661">
        <v>13</v>
      </c>
      <c r="BJ1661" t="s">
        <v>318</v>
      </c>
      <c r="BK1661" t="s">
        <v>101</v>
      </c>
      <c r="BL1661" t="s">
        <v>318</v>
      </c>
      <c r="BM1661" t="s">
        <v>14290</v>
      </c>
      <c r="BN1661">
        <v>8704246</v>
      </c>
      <c r="BO1661" t="s">
        <v>1194</v>
      </c>
      <c r="BP1661" t="s">
        <v>74</v>
      </c>
      <c r="BQ1661" t="s">
        <v>74</v>
      </c>
      <c r="BR1661" t="s">
        <v>104</v>
      </c>
      <c r="BS1661" t="s">
        <v>14289</v>
      </c>
      <c r="BT1661" t="str">
        <f>HYPERLINK("https%3A%2F%2Fwww.webofscience.com%2Fwos%2Fwoscc%2Ffull-record%2FWOS:A1996VB32300017","View Full Record in Web of Science")</f>
        <v>View Full Record in Web of Science</v>
      </c>
    </row>
    <row r="1662" spans="1:72" x14ac:dyDescent="0.25">
      <c r="A1662" t="s">
        <v>72</v>
      </c>
      <c r="B1662" t="s">
        <v>1420</v>
      </c>
      <c r="C1662" t="s">
        <v>74</v>
      </c>
      <c r="D1662" t="s">
        <v>74</v>
      </c>
      <c r="E1662" t="s">
        <v>74</v>
      </c>
      <c r="F1662" t="s">
        <v>1420</v>
      </c>
      <c r="G1662" t="s">
        <v>74</v>
      </c>
      <c r="H1662" t="s">
        <v>74</v>
      </c>
      <c r="I1662" t="s">
        <v>14288</v>
      </c>
      <c r="J1662" t="s">
        <v>7729</v>
      </c>
      <c r="K1662" t="s">
        <v>74</v>
      </c>
      <c r="L1662" t="s">
        <v>74</v>
      </c>
      <c r="M1662" t="s">
        <v>78</v>
      </c>
      <c r="N1662" t="s">
        <v>140</v>
      </c>
      <c r="O1662" t="s">
        <v>74</v>
      </c>
      <c r="P1662" t="s">
        <v>74</v>
      </c>
      <c r="Q1662" t="s">
        <v>74</v>
      </c>
      <c r="R1662" t="s">
        <v>74</v>
      </c>
      <c r="S1662" t="s">
        <v>74</v>
      </c>
      <c r="T1662" t="s">
        <v>74</v>
      </c>
      <c r="U1662" t="s">
        <v>14287</v>
      </c>
      <c r="V1662" t="s">
        <v>74</v>
      </c>
      <c r="W1662" t="s">
        <v>74</v>
      </c>
      <c r="X1662" t="s">
        <v>74</v>
      </c>
      <c r="Y1662" t="s">
        <v>14286</v>
      </c>
      <c r="Z1662" t="s">
        <v>74</v>
      </c>
      <c r="AA1662" t="s">
        <v>144</v>
      </c>
      <c r="AB1662" t="s">
        <v>257</v>
      </c>
      <c r="AC1662" t="s">
        <v>74</v>
      </c>
      <c r="AD1662" t="s">
        <v>74</v>
      </c>
      <c r="AE1662" t="s">
        <v>74</v>
      </c>
      <c r="AF1662" t="s">
        <v>74</v>
      </c>
      <c r="AG1662">
        <v>33</v>
      </c>
      <c r="AH1662">
        <v>10</v>
      </c>
      <c r="AI1662">
        <v>11</v>
      </c>
      <c r="AJ1662">
        <v>0</v>
      </c>
      <c r="AK1662">
        <v>0</v>
      </c>
      <c r="AL1662" t="s">
        <v>14208</v>
      </c>
      <c r="AM1662" t="s">
        <v>1074</v>
      </c>
      <c r="AN1662" t="s">
        <v>14207</v>
      </c>
      <c r="AO1662" t="s">
        <v>7738</v>
      </c>
      <c r="AP1662" t="s">
        <v>74</v>
      </c>
      <c r="AQ1662" t="s">
        <v>74</v>
      </c>
      <c r="AR1662" t="s">
        <v>7740</v>
      </c>
      <c r="AS1662" t="s">
        <v>7741</v>
      </c>
      <c r="AT1662" t="s">
        <v>785</v>
      </c>
      <c r="AU1662">
        <v>1996</v>
      </c>
      <c r="AV1662">
        <v>26</v>
      </c>
      <c r="AW1662">
        <v>7</v>
      </c>
      <c r="AX1662" t="s">
        <v>74</v>
      </c>
      <c r="AY1662" t="s">
        <v>74</v>
      </c>
      <c r="AZ1662" t="s">
        <v>74</v>
      </c>
      <c r="BA1662" t="s">
        <v>74</v>
      </c>
      <c r="BB1662">
        <v>735</v>
      </c>
      <c r="BC1662">
        <v>737</v>
      </c>
      <c r="BD1662" t="s">
        <v>74</v>
      </c>
      <c r="BE1662" t="s">
        <v>74</v>
      </c>
      <c r="BF1662" t="s">
        <v>74</v>
      </c>
      <c r="BG1662" t="s">
        <v>74</v>
      </c>
      <c r="BH1662" t="s">
        <v>74</v>
      </c>
      <c r="BI1662">
        <v>3</v>
      </c>
      <c r="BJ1662" t="s">
        <v>3085</v>
      </c>
      <c r="BK1662" t="s">
        <v>101</v>
      </c>
      <c r="BL1662" t="s">
        <v>3085</v>
      </c>
      <c r="BM1662" t="s">
        <v>14285</v>
      </c>
      <c r="BN1662">
        <v>8842545</v>
      </c>
      <c r="BO1662" t="s">
        <v>74</v>
      </c>
      <c r="BP1662" t="s">
        <v>74</v>
      </c>
      <c r="BQ1662" t="s">
        <v>74</v>
      </c>
      <c r="BR1662" t="s">
        <v>104</v>
      </c>
      <c r="BS1662" t="s">
        <v>14284</v>
      </c>
      <c r="BT1662" t="str">
        <f>HYPERLINK("https%3A%2F%2Fwww.webofscience.com%2Fwos%2Fwoscc%2Ffull-record%2FWOS:A1996UY84300001","View Full Record in Web of Science")</f>
        <v>View Full Record in Web of Science</v>
      </c>
    </row>
    <row r="1663" spans="1:72" x14ac:dyDescent="0.25">
      <c r="A1663" t="s">
        <v>72</v>
      </c>
      <c r="B1663" t="s">
        <v>14283</v>
      </c>
      <c r="C1663" t="s">
        <v>74</v>
      </c>
      <c r="D1663" t="s">
        <v>74</v>
      </c>
      <c r="E1663" t="s">
        <v>74</v>
      </c>
      <c r="F1663" t="s">
        <v>14283</v>
      </c>
      <c r="G1663" t="s">
        <v>74</v>
      </c>
      <c r="H1663" t="s">
        <v>74</v>
      </c>
      <c r="I1663" t="s">
        <v>14282</v>
      </c>
      <c r="J1663" t="s">
        <v>6978</v>
      </c>
      <c r="K1663" t="s">
        <v>74</v>
      </c>
      <c r="L1663" t="s">
        <v>74</v>
      </c>
      <c r="M1663" t="s">
        <v>78</v>
      </c>
      <c r="N1663" t="s">
        <v>79</v>
      </c>
      <c r="O1663" t="s">
        <v>74</v>
      </c>
      <c r="P1663" t="s">
        <v>74</v>
      </c>
      <c r="Q1663" t="s">
        <v>74</v>
      </c>
      <c r="R1663" t="s">
        <v>74</v>
      </c>
      <c r="S1663" t="s">
        <v>74</v>
      </c>
      <c r="T1663" t="s">
        <v>14281</v>
      </c>
      <c r="U1663" t="s">
        <v>14280</v>
      </c>
      <c r="V1663" t="s">
        <v>14279</v>
      </c>
      <c r="W1663" t="s">
        <v>14183</v>
      </c>
      <c r="X1663" t="s">
        <v>14182</v>
      </c>
      <c r="Y1663" t="s">
        <v>74</v>
      </c>
      <c r="Z1663" t="s">
        <v>74</v>
      </c>
      <c r="AA1663" t="s">
        <v>144</v>
      </c>
      <c r="AB1663" t="s">
        <v>257</v>
      </c>
      <c r="AC1663" t="s">
        <v>74</v>
      </c>
      <c r="AD1663" t="s">
        <v>74</v>
      </c>
      <c r="AE1663" t="s">
        <v>74</v>
      </c>
      <c r="AF1663" t="s">
        <v>74</v>
      </c>
      <c r="AG1663">
        <v>18</v>
      </c>
      <c r="AH1663">
        <v>44</v>
      </c>
      <c r="AI1663">
        <v>45</v>
      </c>
      <c r="AJ1663">
        <v>0</v>
      </c>
      <c r="AK1663">
        <v>0</v>
      </c>
      <c r="AL1663" t="s">
        <v>14278</v>
      </c>
      <c r="AM1663" t="s">
        <v>201</v>
      </c>
      <c r="AN1663" t="s">
        <v>14277</v>
      </c>
      <c r="AO1663" t="s">
        <v>6985</v>
      </c>
      <c r="AP1663" t="s">
        <v>74</v>
      </c>
      <c r="AQ1663" t="s">
        <v>74</v>
      </c>
      <c r="AR1663" t="s">
        <v>6978</v>
      </c>
      <c r="AS1663" t="s">
        <v>6987</v>
      </c>
      <c r="AT1663" t="s">
        <v>785</v>
      </c>
      <c r="AU1663">
        <v>1996</v>
      </c>
      <c r="AV1663">
        <v>51</v>
      </c>
      <c r="AW1663">
        <v>7</v>
      </c>
      <c r="AX1663" t="s">
        <v>74</v>
      </c>
      <c r="AY1663" t="s">
        <v>74</v>
      </c>
      <c r="AZ1663" t="s">
        <v>74</v>
      </c>
      <c r="BA1663" t="s">
        <v>74</v>
      </c>
      <c r="BB1663">
        <v>664</v>
      </c>
      <c r="BC1663">
        <v>669</v>
      </c>
      <c r="BD1663" t="s">
        <v>74</v>
      </c>
      <c r="BE1663" t="s">
        <v>14276</v>
      </c>
      <c r="BF1663" t="str">
        <f>HYPERLINK("http://dx.doi.org/10.1136/thx.51.7.664","http://dx.doi.org/10.1136/thx.51.7.664")</f>
        <v>http://dx.doi.org/10.1136/thx.51.7.664</v>
      </c>
      <c r="BG1663" t="s">
        <v>74</v>
      </c>
      <c r="BH1663" t="s">
        <v>74</v>
      </c>
      <c r="BI1663">
        <v>6</v>
      </c>
      <c r="BJ1663" t="s">
        <v>228</v>
      </c>
      <c r="BK1663" t="s">
        <v>101</v>
      </c>
      <c r="BL1663" t="s">
        <v>228</v>
      </c>
      <c r="BM1663" t="s">
        <v>14275</v>
      </c>
      <c r="BN1663">
        <v>8882070</v>
      </c>
      <c r="BO1663" t="s">
        <v>2517</v>
      </c>
      <c r="BP1663" t="s">
        <v>74</v>
      </c>
      <c r="BQ1663" t="s">
        <v>74</v>
      </c>
      <c r="BR1663" t="s">
        <v>104</v>
      </c>
      <c r="BS1663" t="s">
        <v>14274</v>
      </c>
      <c r="BT1663" t="str">
        <f>HYPERLINK("https%3A%2F%2Fwww.webofscience.com%2Fwos%2Fwoscc%2Ffull-record%2FWOS:A1996UY36300003","View Full Record in Web of Science")</f>
        <v>View Full Record in Web of Science</v>
      </c>
    </row>
    <row r="1664" spans="1:72" x14ac:dyDescent="0.25">
      <c r="A1664" t="s">
        <v>72</v>
      </c>
      <c r="B1664" t="s">
        <v>14273</v>
      </c>
      <c r="C1664" t="s">
        <v>74</v>
      </c>
      <c r="D1664" t="s">
        <v>74</v>
      </c>
      <c r="E1664" t="s">
        <v>74</v>
      </c>
      <c r="F1664" t="s">
        <v>14273</v>
      </c>
      <c r="G1664" t="s">
        <v>74</v>
      </c>
      <c r="H1664" t="s">
        <v>74</v>
      </c>
      <c r="I1664" t="s">
        <v>14272</v>
      </c>
      <c r="J1664" t="s">
        <v>13971</v>
      </c>
      <c r="K1664" t="s">
        <v>74</v>
      </c>
      <c r="L1664" t="s">
        <v>74</v>
      </c>
      <c r="M1664" t="s">
        <v>78</v>
      </c>
      <c r="N1664" t="s">
        <v>79</v>
      </c>
      <c r="O1664" t="s">
        <v>74</v>
      </c>
      <c r="P1664" t="s">
        <v>74</v>
      </c>
      <c r="Q1664" t="s">
        <v>74</v>
      </c>
      <c r="R1664" t="s">
        <v>74</v>
      </c>
      <c r="S1664" t="s">
        <v>74</v>
      </c>
      <c r="T1664" t="s">
        <v>74</v>
      </c>
      <c r="U1664" t="s">
        <v>14271</v>
      </c>
      <c r="V1664" t="s">
        <v>14270</v>
      </c>
      <c r="W1664" t="s">
        <v>14269</v>
      </c>
      <c r="X1664" t="s">
        <v>14268</v>
      </c>
      <c r="Y1664" t="s">
        <v>74</v>
      </c>
      <c r="Z1664" t="s">
        <v>74</v>
      </c>
      <c r="AA1664" t="s">
        <v>14267</v>
      </c>
      <c r="AB1664" t="s">
        <v>257</v>
      </c>
      <c r="AC1664" t="s">
        <v>74</v>
      </c>
      <c r="AD1664" t="s">
        <v>74</v>
      </c>
      <c r="AE1664" t="s">
        <v>74</v>
      </c>
      <c r="AF1664" t="s">
        <v>74</v>
      </c>
      <c r="AG1664">
        <v>28</v>
      </c>
      <c r="AH1664">
        <v>52</v>
      </c>
      <c r="AI1664">
        <v>53</v>
      </c>
      <c r="AJ1664">
        <v>0</v>
      </c>
      <c r="AK1664">
        <v>3</v>
      </c>
      <c r="AL1664" t="s">
        <v>14134</v>
      </c>
      <c r="AM1664" t="s">
        <v>14133</v>
      </c>
      <c r="AN1664" t="s">
        <v>14132</v>
      </c>
      <c r="AO1664" t="s">
        <v>13973</v>
      </c>
      <c r="AP1664" t="s">
        <v>74</v>
      </c>
      <c r="AQ1664" t="s">
        <v>74</v>
      </c>
      <c r="AR1664" t="s">
        <v>13971</v>
      </c>
      <c r="AS1664" t="s">
        <v>13970</v>
      </c>
      <c r="AT1664" t="s">
        <v>14266</v>
      </c>
      <c r="AU1664">
        <v>1996</v>
      </c>
      <c r="AV1664">
        <v>61</v>
      </c>
      <c r="AW1664">
        <v>12</v>
      </c>
      <c r="AX1664" t="s">
        <v>74</v>
      </c>
      <c r="AY1664" t="s">
        <v>74</v>
      </c>
      <c r="AZ1664" t="s">
        <v>74</v>
      </c>
      <c r="BA1664" t="s">
        <v>74</v>
      </c>
      <c r="BB1664">
        <v>1757</v>
      </c>
      <c r="BC1664">
        <v>1762</v>
      </c>
      <c r="BD1664" t="s">
        <v>74</v>
      </c>
      <c r="BE1664" t="s">
        <v>14265</v>
      </c>
      <c r="BF1664" t="str">
        <f>HYPERLINK("http://dx.doi.org/10.1097/00007890-199606270-00016","http://dx.doi.org/10.1097/00007890-199606270-00016")</f>
        <v>http://dx.doi.org/10.1097/00007890-199606270-00016</v>
      </c>
      <c r="BG1664" t="s">
        <v>74</v>
      </c>
      <c r="BH1664" t="s">
        <v>74</v>
      </c>
      <c r="BI1664">
        <v>6</v>
      </c>
      <c r="BJ1664" t="s">
        <v>13969</v>
      </c>
      <c r="BK1664" t="s">
        <v>101</v>
      </c>
      <c r="BL1664" t="s">
        <v>13969</v>
      </c>
      <c r="BM1664" t="s">
        <v>14264</v>
      </c>
      <c r="BN1664">
        <v>8685956</v>
      </c>
      <c r="BO1664" t="s">
        <v>1194</v>
      </c>
      <c r="BP1664" t="s">
        <v>74</v>
      </c>
      <c r="BQ1664" t="s">
        <v>74</v>
      </c>
      <c r="BR1664" t="s">
        <v>104</v>
      </c>
      <c r="BS1664" t="s">
        <v>14263</v>
      </c>
      <c r="BT1664" t="str">
        <f>HYPERLINK("https%3A%2F%2Fwww.webofscience.com%2Fwos%2Fwoscc%2Ffull-record%2FWOS:A1996UU56400016","View Full Record in Web of Science")</f>
        <v>View Full Record in Web of Science</v>
      </c>
    </row>
    <row r="1665" spans="1:72" x14ac:dyDescent="0.25">
      <c r="A1665" t="s">
        <v>72</v>
      </c>
      <c r="B1665" t="s">
        <v>14262</v>
      </c>
      <c r="C1665" t="s">
        <v>74</v>
      </c>
      <c r="D1665" t="s">
        <v>74</v>
      </c>
      <c r="E1665" t="s">
        <v>74</v>
      </c>
      <c r="F1665" t="s">
        <v>14262</v>
      </c>
      <c r="G1665" t="s">
        <v>74</v>
      </c>
      <c r="H1665" t="s">
        <v>74</v>
      </c>
      <c r="I1665" t="s">
        <v>14261</v>
      </c>
      <c r="J1665" t="s">
        <v>637</v>
      </c>
      <c r="K1665" t="s">
        <v>74</v>
      </c>
      <c r="L1665" t="s">
        <v>74</v>
      </c>
      <c r="M1665" t="s">
        <v>78</v>
      </c>
      <c r="N1665" t="s">
        <v>79</v>
      </c>
      <c r="O1665" t="s">
        <v>74</v>
      </c>
      <c r="P1665" t="s">
        <v>74</v>
      </c>
      <c r="Q1665" t="s">
        <v>74</v>
      </c>
      <c r="R1665" t="s">
        <v>74</v>
      </c>
      <c r="S1665" t="s">
        <v>74</v>
      </c>
      <c r="T1665" t="s">
        <v>74</v>
      </c>
      <c r="U1665" t="s">
        <v>14260</v>
      </c>
      <c r="V1665" t="s">
        <v>14259</v>
      </c>
      <c r="W1665" t="s">
        <v>14258</v>
      </c>
      <c r="X1665" t="s">
        <v>14182</v>
      </c>
      <c r="Y1665" t="s">
        <v>74</v>
      </c>
      <c r="Z1665" t="s">
        <v>74</v>
      </c>
      <c r="AA1665" t="s">
        <v>144</v>
      </c>
      <c r="AB1665" t="s">
        <v>14181</v>
      </c>
      <c r="AC1665" t="s">
        <v>14257</v>
      </c>
      <c r="AD1665" t="s">
        <v>6518</v>
      </c>
      <c r="AE1665" t="s">
        <v>74</v>
      </c>
      <c r="AF1665" t="s">
        <v>74</v>
      </c>
      <c r="AG1665">
        <v>35</v>
      </c>
      <c r="AH1665">
        <v>184</v>
      </c>
      <c r="AI1665">
        <v>196</v>
      </c>
      <c r="AJ1665">
        <v>0</v>
      </c>
      <c r="AK1665">
        <v>3</v>
      </c>
      <c r="AL1665" t="s">
        <v>649</v>
      </c>
      <c r="AM1665" t="s">
        <v>486</v>
      </c>
      <c r="AN1665" t="s">
        <v>650</v>
      </c>
      <c r="AO1665" t="s">
        <v>651</v>
      </c>
      <c r="AP1665" t="s">
        <v>652</v>
      </c>
      <c r="AQ1665" t="s">
        <v>74</v>
      </c>
      <c r="AR1665" t="s">
        <v>653</v>
      </c>
      <c r="AS1665" t="s">
        <v>654</v>
      </c>
      <c r="AT1665" t="s">
        <v>1060</v>
      </c>
      <c r="AU1665">
        <v>1996</v>
      </c>
      <c r="AV1665">
        <v>153</v>
      </c>
      <c r="AW1665">
        <v>6</v>
      </c>
      <c r="AX1665" t="s">
        <v>74</v>
      </c>
      <c r="AY1665" t="s">
        <v>74</v>
      </c>
      <c r="AZ1665" t="s">
        <v>74</v>
      </c>
      <c r="BA1665" t="s">
        <v>74</v>
      </c>
      <c r="BB1665">
        <v>1931</v>
      </c>
      <c r="BC1665">
        <v>1937</v>
      </c>
      <c r="BD1665" t="s">
        <v>74</v>
      </c>
      <c r="BE1665" t="s">
        <v>14256</v>
      </c>
      <c r="BF1665" t="str">
        <f>HYPERLINK("http://dx.doi.org/10.1164/ajrccm.153.6.8665058","http://dx.doi.org/10.1164/ajrccm.153.6.8665058")</f>
        <v>http://dx.doi.org/10.1164/ajrccm.153.6.8665058</v>
      </c>
      <c r="BG1665" t="s">
        <v>74</v>
      </c>
      <c r="BH1665" t="s">
        <v>74</v>
      </c>
      <c r="BI1665">
        <v>7</v>
      </c>
      <c r="BJ1665" t="s">
        <v>341</v>
      </c>
      <c r="BK1665" t="s">
        <v>101</v>
      </c>
      <c r="BL1665" t="s">
        <v>342</v>
      </c>
      <c r="BM1665" t="s">
        <v>14255</v>
      </c>
      <c r="BN1665">
        <v>8665058</v>
      </c>
      <c r="BO1665" t="s">
        <v>74</v>
      </c>
      <c r="BP1665" t="s">
        <v>74</v>
      </c>
      <c r="BQ1665" t="s">
        <v>74</v>
      </c>
      <c r="BR1665" t="s">
        <v>104</v>
      </c>
      <c r="BS1665" t="s">
        <v>14254</v>
      </c>
      <c r="BT1665" t="str">
        <f>HYPERLINK("https%3A%2F%2Fwww.webofscience.com%2Fwos%2Fwoscc%2Ffull-record%2FWOS:A1996UR22300030","View Full Record in Web of Science")</f>
        <v>View Full Record in Web of Science</v>
      </c>
    </row>
    <row r="1666" spans="1:72" x14ac:dyDescent="0.25">
      <c r="A1666" t="s">
        <v>72</v>
      </c>
      <c r="B1666" t="s">
        <v>1420</v>
      </c>
      <c r="C1666" t="s">
        <v>74</v>
      </c>
      <c r="D1666" t="s">
        <v>74</v>
      </c>
      <c r="E1666" t="s">
        <v>74</v>
      </c>
      <c r="F1666" t="s">
        <v>1420</v>
      </c>
      <c r="G1666" t="s">
        <v>74</v>
      </c>
      <c r="H1666" t="s">
        <v>74</v>
      </c>
      <c r="I1666" t="s">
        <v>14253</v>
      </c>
      <c r="J1666" t="s">
        <v>7729</v>
      </c>
      <c r="K1666" t="s">
        <v>74</v>
      </c>
      <c r="L1666" t="s">
        <v>74</v>
      </c>
      <c r="M1666" t="s">
        <v>78</v>
      </c>
      <c r="N1666" t="s">
        <v>140</v>
      </c>
      <c r="O1666" t="s">
        <v>74</v>
      </c>
      <c r="P1666" t="s">
        <v>74</v>
      </c>
      <c r="Q1666" t="s">
        <v>74</v>
      </c>
      <c r="R1666" t="s">
        <v>74</v>
      </c>
      <c r="S1666" t="s">
        <v>74</v>
      </c>
      <c r="T1666" t="s">
        <v>74</v>
      </c>
      <c r="U1666" t="s">
        <v>14252</v>
      </c>
      <c r="V1666" t="s">
        <v>74</v>
      </c>
      <c r="W1666" t="s">
        <v>74</v>
      </c>
      <c r="X1666" t="s">
        <v>74</v>
      </c>
      <c r="Y1666" t="s">
        <v>14251</v>
      </c>
      <c r="Z1666" t="s">
        <v>74</v>
      </c>
      <c r="AA1666" t="s">
        <v>144</v>
      </c>
      <c r="AB1666" t="s">
        <v>257</v>
      </c>
      <c r="AC1666" t="s">
        <v>74</v>
      </c>
      <c r="AD1666" t="s">
        <v>74</v>
      </c>
      <c r="AE1666" t="s">
        <v>74</v>
      </c>
      <c r="AF1666" t="s">
        <v>74</v>
      </c>
      <c r="AG1666">
        <v>57</v>
      </c>
      <c r="AH1666">
        <v>32</v>
      </c>
      <c r="AI1666">
        <v>34</v>
      </c>
      <c r="AJ1666">
        <v>0</v>
      </c>
      <c r="AK1666">
        <v>0</v>
      </c>
      <c r="AL1666" t="s">
        <v>14208</v>
      </c>
      <c r="AM1666" t="s">
        <v>1074</v>
      </c>
      <c r="AN1666" t="s">
        <v>14207</v>
      </c>
      <c r="AO1666" t="s">
        <v>7738</v>
      </c>
      <c r="AP1666" t="s">
        <v>74</v>
      </c>
      <c r="AQ1666" t="s">
        <v>74</v>
      </c>
      <c r="AR1666" t="s">
        <v>7740</v>
      </c>
      <c r="AS1666" t="s">
        <v>7741</v>
      </c>
      <c r="AT1666" t="s">
        <v>129</v>
      </c>
      <c r="AU1666">
        <v>1996</v>
      </c>
      <c r="AV1666">
        <v>26</v>
      </c>
      <c r="AW1666">
        <v>2</v>
      </c>
      <c r="AX1666" t="s">
        <v>74</v>
      </c>
      <c r="AY1666" t="s">
        <v>74</v>
      </c>
      <c r="AZ1666" t="s">
        <v>74</v>
      </c>
      <c r="BA1666" t="s">
        <v>74</v>
      </c>
      <c r="BB1666">
        <v>123</v>
      </c>
      <c r="BC1666">
        <v>127</v>
      </c>
      <c r="BD1666" t="s">
        <v>74</v>
      </c>
      <c r="BE1666" t="s">
        <v>14250</v>
      </c>
      <c r="BF1666" t="str">
        <f>HYPERLINK("http://dx.doi.org/10.1111/j.1365-2222.1996.tb00069.x","http://dx.doi.org/10.1111/j.1365-2222.1996.tb00069.x")</f>
        <v>http://dx.doi.org/10.1111/j.1365-2222.1996.tb00069.x</v>
      </c>
      <c r="BG1666" t="s">
        <v>74</v>
      </c>
      <c r="BH1666" t="s">
        <v>74</v>
      </c>
      <c r="BI1666">
        <v>5</v>
      </c>
      <c r="BJ1666" t="s">
        <v>3085</v>
      </c>
      <c r="BK1666" t="s">
        <v>101</v>
      </c>
      <c r="BL1666" t="s">
        <v>3085</v>
      </c>
      <c r="BM1666" t="s">
        <v>14249</v>
      </c>
      <c r="BN1666">
        <v>8835117</v>
      </c>
      <c r="BO1666" t="s">
        <v>1194</v>
      </c>
      <c r="BP1666" t="s">
        <v>74</v>
      </c>
      <c r="BQ1666" t="s">
        <v>74</v>
      </c>
      <c r="BR1666" t="s">
        <v>104</v>
      </c>
      <c r="BS1666" t="s">
        <v>14248</v>
      </c>
      <c r="BT1666" t="str">
        <f>HYPERLINK("https%3A%2F%2Fwww.webofscience.com%2Fwos%2Fwoscc%2Ffull-record%2FWOS:A1996TW46700001","View Full Record in Web of Science")</f>
        <v>View Full Record in Web of Science</v>
      </c>
    </row>
    <row r="1667" spans="1:72" x14ac:dyDescent="0.25">
      <c r="A1667" t="s">
        <v>72</v>
      </c>
      <c r="B1667" t="s">
        <v>14247</v>
      </c>
      <c r="C1667" t="s">
        <v>74</v>
      </c>
      <c r="D1667" t="s">
        <v>74</v>
      </c>
      <c r="E1667" t="s">
        <v>74</v>
      </c>
      <c r="F1667" t="s">
        <v>14247</v>
      </c>
      <c r="G1667" t="s">
        <v>74</v>
      </c>
      <c r="H1667" t="s">
        <v>74</v>
      </c>
      <c r="I1667" t="s">
        <v>14246</v>
      </c>
      <c r="J1667" t="s">
        <v>14245</v>
      </c>
      <c r="K1667" t="s">
        <v>74</v>
      </c>
      <c r="L1667" t="s">
        <v>74</v>
      </c>
      <c r="M1667" t="s">
        <v>78</v>
      </c>
      <c r="N1667" t="s">
        <v>79</v>
      </c>
      <c r="O1667" t="s">
        <v>74</v>
      </c>
      <c r="P1667" t="s">
        <v>74</v>
      </c>
      <c r="Q1667" t="s">
        <v>74</v>
      </c>
      <c r="R1667" t="s">
        <v>74</v>
      </c>
      <c r="S1667" t="s">
        <v>74</v>
      </c>
      <c r="T1667" t="s">
        <v>14244</v>
      </c>
      <c r="U1667" t="s">
        <v>14243</v>
      </c>
      <c r="V1667" t="s">
        <v>14242</v>
      </c>
      <c r="W1667" t="s">
        <v>14241</v>
      </c>
      <c r="X1667" t="s">
        <v>14240</v>
      </c>
      <c r="Y1667" t="s">
        <v>74</v>
      </c>
      <c r="Z1667" t="s">
        <v>74</v>
      </c>
      <c r="AA1667" t="s">
        <v>144</v>
      </c>
      <c r="AB1667" t="s">
        <v>74</v>
      </c>
      <c r="AC1667" t="s">
        <v>74</v>
      </c>
      <c r="AD1667" t="s">
        <v>74</v>
      </c>
      <c r="AE1667" t="s">
        <v>74</v>
      </c>
      <c r="AF1667" t="s">
        <v>74</v>
      </c>
      <c r="AG1667">
        <v>41</v>
      </c>
      <c r="AH1667">
        <v>2</v>
      </c>
      <c r="AI1667">
        <v>3</v>
      </c>
      <c r="AJ1667">
        <v>0</v>
      </c>
      <c r="AK1667">
        <v>0</v>
      </c>
      <c r="AL1667" t="s">
        <v>1054</v>
      </c>
      <c r="AM1667" t="s">
        <v>486</v>
      </c>
      <c r="AN1667" t="s">
        <v>14239</v>
      </c>
      <c r="AO1667" t="s">
        <v>14238</v>
      </c>
      <c r="AP1667" t="s">
        <v>74</v>
      </c>
      <c r="AQ1667" t="s">
        <v>74</v>
      </c>
      <c r="AR1667" t="s">
        <v>14237</v>
      </c>
      <c r="AS1667" t="s">
        <v>14236</v>
      </c>
      <c r="AT1667" t="s">
        <v>74</v>
      </c>
      <c r="AU1667">
        <v>1996</v>
      </c>
      <c r="AV1667">
        <v>22</v>
      </c>
      <c r="AW1667">
        <v>3</v>
      </c>
      <c r="AX1667" t="s">
        <v>74</v>
      </c>
      <c r="AY1667" t="s">
        <v>74</v>
      </c>
      <c r="AZ1667" t="s">
        <v>74</v>
      </c>
      <c r="BA1667" t="s">
        <v>74</v>
      </c>
      <c r="BB1667">
        <v>279</v>
      </c>
      <c r="BC1667">
        <v>288</v>
      </c>
      <c r="BD1667" t="s">
        <v>74</v>
      </c>
      <c r="BE1667" t="s">
        <v>14235</v>
      </c>
      <c r="BF1667" t="str">
        <f>HYPERLINK("http://dx.doi.org/10.1055/s-2007-999020","http://dx.doi.org/10.1055/s-2007-999020")</f>
        <v>http://dx.doi.org/10.1055/s-2007-999020</v>
      </c>
      <c r="BG1667" t="s">
        <v>74</v>
      </c>
      <c r="BH1667" t="s">
        <v>74</v>
      </c>
      <c r="BI1667">
        <v>10</v>
      </c>
      <c r="BJ1667" t="s">
        <v>6635</v>
      </c>
      <c r="BK1667" t="s">
        <v>101</v>
      </c>
      <c r="BL1667" t="s">
        <v>6636</v>
      </c>
      <c r="BM1667" t="s">
        <v>14234</v>
      </c>
      <c r="BN1667">
        <v>8836014</v>
      </c>
      <c r="BO1667" t="s">
        <v>74</v>
      </c>
      <c r="BP1667" t="s">
        <v>74</v>
      </c>
      <c r="BQ1667" t="s">
        <v>74</v>
      </c>
      <c r="BR1667" t="s">
        <v>104</v>
      </c>
      <c r="BS1667" t="s">
        <v>14233</v>
      </c>
      <c r="BT1667" t="str">
        <f>HYPERLINK("https%3A%2F%2Fwww.webofscience.com%2Fwos%2Fwoscc%2Ffull-record%2FWOS:A1996UX66800009","View Full Record in Web of Science")</f>
        <v>View Full Record in Web of Science</v>
      </c>
    </row>
    <row r="1668" spans="1:72" x14ac:dyDescent="0.25">
      <c r="A1668" t="s">
        <v>72</v>
      </c>
      <c r="B1668" t="s">
        <v>14232</v>
      </c>
      <c r="C1668" t="s">
        <v>74</v>
      </c>
      <c r="D1668" t="s">
        <v>74</v>
      </c>
      <c r="E1668" t="s">
        <v>74</v>
      </c>
      <c r="F1668" t="s">
        <v>14232</v>
      </c>
      <c r="G1668" t="s">
        <v>74</v>
      </c>
      <c r="H1668" t="s">
        <v>74</v>
      </c>
      <c r="I1668" t="s">
        <v>14231</v>
      </c>
      <c r="J1668" t="s">
        <v>14230</v>
      </c>
      <c r="K1668" t="s">
        <v>74</v>
      </c>
      <c r="L1668" t="s">
        <v>74</v>
      </c>
      <c r="M1668" t="s">
        <v>78</v>
      </c>
      <c r="N1668" t="s">
        <v>79</v>
      </c>
      <c r="O1668" t="s">
        <v>74</v>
      </c>
      <c r="P1668" t="s">
        <v>74</v>
      </c>
      <c r="Q1668" t="s">
        <v>74</v>
      </c>
      <c r="R1668" t="s">
        <v>74</v>
      </c>
      <c r="S1668" t="s">
        <v>74</v>
      </c>
      <c r="T1668" t="s">
        <v>14229</v>
      </c>
      <c r="U1668" t="s">
        <v>14228</v>
      </c>
      <c r="V1668" t="s">
        <v>14227</v>
      </c>
      <c r="W1668" t="s">
        <v>14226</v>
      </c>
      <c r="X1668" t="s">
        <v>14225</v>
      </c>
      <c r="Y1668" t="s">
        <v>74</v>
      </c>
      <c r="Z1668" t="s">
        <v>74</v>
      </c>
      <c r="AA1668" t="s">
        <v>14224</v>
      </c>
      <c r="AB1668" t="s">
        <v>14223</v>
      </c>
      <c r="AC1668" t="s">
        <v>74</v>
      </c>
      <c r="AD1668" t="s">
        <v>74</v>
      </c>
      <c r="AE1668" t="s">
        <v>74</v>
      </c>
      <c r="AF1668" t="s">
        <v>74</v>
      </c>
      <c r="AG1668">
        <v>21</v>
      </c>
      <c r="AH1668">
        <v>91</v>
      </c>
      <c r="AI1668">
        <v>94</v>
      </c>
      <c r="AJ1668">
        <v>0</v>
      </c>
      <c r="AK1668">
        <v>1</v>
      </c>
      <c r="AL1668" t="s">
        <v>169</v>
      </c>
      <c r="AM1668" t="s">
        <v>170</v>
      </c>
      <c r="AN1668" t="s">
        <v>171</v>
      </c>
      <c r="AO1668" t="s">
        <v>14222</v>
      </c>
      <c r="AP1668" t="s">
        <v>14221</v>
      </c>
      <c r="AQ1668" t="s">
        <v>74</v>
      </c>
      <c r="AR1668" t="s">
        <v>14220</v>
      </c>
      <c r="AS1668" t="s">
        <v>14219</v>
      </c>
      <c r="AT1668" t="s">
        <v>420</v>
      </c>
      <c r="AU1668">
        <v>1995</v>
      </c>
      <c r="AV1668">
        <v>25</v>
      </c>
      <c r="AW1668">
        <v>10</v>
      </c>
      <c r="AX1668" t="s">
        <v>74</v>
      </c>
      <c r="AY1668" t="s">
        <v>74</v>
      </c>
      <c r="AZ1668" t="s">
        <v>74</v>
      </c>
      <c r="BA1668" t="s">
        <v>74</v>
      </c>
      <c r="BB1668">
        <v>2727</v>
      </c>
      <c r="BC1668">
        <v>2731</v>
      </c>
      <c r="BD1668" t="s">
        <v>74</v>
      </c>
      <c r="BE1668" t="s">
        <v>14218</v>
      </c>
      <c r="BF1668" t="str">
        <f>HYPERLINK("http://dx.doi.org/10.1002/eji.1830251002","http://dx.doi.org/10.1002/eji.1830251002")</f>
        <v>http://dx.doi.org/10.1002/eji.1830251002</v>
      </c>
      <c r="BG1668" t="s">
        <v>74</v>
      </c>
      <c r="BH1668" t="s">
        <v>74</v>
      </c>
      <c r="BI1668">
        <v>5</v>
      </c>
      <c r="BJ1668" t="s">
        <v>159</v>
      </c>
      <c r="BK1668" t="s">
        <v>101</v>
      </c>
      <c r="BL1668" t="s">
        <v>159</v>
      </c>
      <c r="BM1668" t="s">
        <v>14217</v>
      </c>
      <c r="BN1668">
        <v>7589063</v>
      </c>
      <c r="BO1668" t="s">
        <v>74</v>
      </c>
      <c r="BP1668" t="s">
        <v>74</v>
      </c>
      <c r="BQ1668" t="s">
        <v>74</v>
      </c>
      <c r="BR1668" t="s">
        <v>104</v>
      </c>
      <c r="BS1668" t="s">
        <v>14216</v>
      </c>
      <c r="BT1668" t="str">
        <f>HYPERLINK("https%3A%2F%2Fwww.webofscience.com%2Fwos%2Fwoscc%2Ffull-record%2FWOS:A1995TB37100001","View Full Record in Web of Science")</f>
        <v>View Full Record in Web of Science</v>
      </c>
    </row>
    <row r="1669" spans="1:72" x14ac:dyDescent="0.25">
      <c r="A1669" t="s">
        <v>72</v>
      </c>
      <c r="B1669" t="s">
        <v>14215</v>
      </c>
      <c r="C1669" t="s">
        <v>74</v>
      </c>
      <c r="D1669" t="s">
        <v>74</v>
      </c>
      <c r="E1669" t="s">
        <v>74</v>
      </c>
      <c r="F1669" t="s">
        <v>14215</v>
      </c>
      <c r="G1669" t="s">
        <v>74</v>
      </c>
      <c r="H1669" t="s">
        <v>74</v>
      </c>
      <c r="I1669" t="s">
        <v>14214</v>
      </c>
      <c r="J1669" t="s">
        <v>14213</v>
      </c>
      <c r="K1669" t="s">
        <v>74</v>
      </c>
      <c r="L1669" t="s">
        <v>74</v>
      </c>
      <c r="M1669" t="s">
        <v>78</v>
      </c>
      <c r="N1669" t="s">
        <v>79</v>
      </c>
      <c r="O1669" t="s">
        <v>74</v>
      </c>
      <c r="P1669" t="s">
        <v>74</v>
      </c>
      <c r="Q1669" t="s">
        <v>74</v>
      </c>
      <c r="R1669" t="s">
        <v>74</v>
      </c>
      <c r="S1669" t="s">
        <v>74</v>
      </c>
      <c r="T1669" t="s">
        <v>14212</v>
      </c>
      <c r="U1669" t="s">
        <v>14211</v>
      </c>
      <c r="V1669" t="s">
        <v>14210</v>
      </c>
      <c r="W1669" t="s">
        <v>74</v>
      </c>
      <c r="X1669" t="s">
        <v>74</v>
      </c>
      <c r="Y1669" t="s">
        <v>14209</v>
      </c>
      <c r="Z1669" t="s">
        <v>74</v>
      </c>
      <c r="AA1669" t="s">
        <v>144</v>
      </c>
      <c r="AB1669" t="s">
        <v>74</v>
      </c>
      <c r="AC1669" t="s">
        <v>74</v>
      </c>
      <c r="AD1669" t="s">
        <v>74</v>
      </c>
      <c r="AE1669" t="s">
        <v>74</v>
      </c>
      <c r="AF1669" t="s">
        <v>74</v>
      </c>
      <c r="AG1669">
        <v>39</v>
      </c>
      <c r="AH1669">
        <v>21</v>
      </c>
      <c r="AI1669">
        <v>27</v>
      </c>
      <c r="AJ1669">
        <v>0</v>
      </c>
      <c r="AK1669">
        <v>0</v>
      </c>
      <c r="AL1669" t="s">
        <v>14208</v>
      </c>
      <c r="AM1669" t="s">
        <v>1074</v>
      </c>
      <c r="AN1669" t="s">
        <v>14207</v>
      </c>
      <c r="AO1669" t="s">
        <v>14206</v>
      </c>
      <c r="AP1669" t="s">
        <v>74</v>
      </c>
      <c r="AQ1669" t="s">
        <v>74</v>
      </c>
      <c r="AR1669" t="s">
        <v>14205</v>
      </c>
      <c r="AS1669" t="s">
        <v>14204</v>
      </c>
      <c r="AT1669" t="s">
        <v>785</v>
      </c>
      <c r="AU1669">
        <v>1995</v>
      </c>
      <c r="AV1669">
        <v>90</v>
      </c>
      <c r="AW1669">
        <v>3</v>
      </c>
      <c r="AX1669" t="s">
        <v>74</v>
      </c>
      <c r="AY1669" t="s">
        <v>74</v>
      </c>
      <c r="AZ1669" t="s">
        <v>74</v>
      </c>
      <c r="BA1669" t="s">
        <v>74</v>
      </c>
      <c r="BB1669">
        <v>645</v>
      </c>
      <c r="BC1669">
        <v>654</v>
      </c>
      <c r="BD1669" t="s">
        <v>74</v>
      </c>
      <c r="BE1669" t="s">
        <v>14203</v>
      </c>
      <c r="BF1669" t="str">
        <f>HYPERLINK("http://dx.doi.org/10.1111/j.1365-2141.1995.tb05596.x","http://dx.doi.org/10.1111/j.1365-2141.1995.tb05596.x")</f>
        <v>http://dx.doi.org/10.1111/j.1365-2141.1995.tb05596.x</v>
      </c>
      <c r="BG1669" t="s">
        <v>74</v>
      </c>
      <c r="BH1669" t="s">
        <v>74</v>
      </c>
      <c r="BI1669">
        <v>10</v>
      </c>
      <c r="BJ1669" t="s">
        <v>318</v>
      </c>
      <c r="BK1669" t="s">
        <v>101</v>
      </c>
      <c r="BL1669" t="s">
        <v>318</v>
      </c>
      <c r="BM1669" t="s">
        <v>14202</v>
      </c>
      <c r="BN1669">
        <v>7544151</v>
      </c>
      <c r="BO1669" t="s">
        <v>74</v>
      </c>
      <c r="BP1669" t="s">
        <v>74</v>
      </c>
      <c r="BQ1669" t="s">
        <v>74</v>
      </c>
      <c r="BR1669" t="s">
        <v>104</v>
      </c>
      <c r="BS1669" t="s">
        <v>14201</v>
      </c>
      <c r="BT1669" t="str">
        <f>HYPERLINK("https%3A%2F%2Fwww.webofscience.com%2Fwos%2Fwoscc%2Ffull-record%2FWOS:A1995RH70300023","View Full Record in Web of Science")</f>
        <v>View Full Record in Web of Science</v>
      </c>
    </row>
    <row r="1670" spans="1:72" x14ac:dyDescent="0.25">
      <c r="A1670" t="s">
        <v>72</v>
      </c>
      <c r="B1670" t="s">
        <v>14200</v>
      </c>
      <c r="C1670" t="s">
        <v>74</v>
      </c>
      <c r="D1670" t="s">
        <v>74</v>
      </c>
      <c r="E1670" t="s">
        <v>74</v>
      </c>
      <c r="F1670" t="s">
        <v>14200</v>
      </c>
      <c r="G1670" t="s">
        <v>74</v>
      </c>
      <c r="H1670" t="s">
        <v>74</v>
      </c>
      <c r="I1670" t="s">
        <v>14199</v>
      </c>
      <c r="J1670" t="s">
        <v>13097</v>
      </c>
      <c r="K1670" t="s">
        <v>74</v>
      </c>
      <c r="L1670" t="s">
        <v>74</v>
      </c>
      <c r="M1670" t="s">
        <v>78</v>
      </c>
      <c r="N1670" t="s">
        <v>52</v>
      </c>
      <c r="O1670" t="s">
        <v>74</v>
      </c>
      <c r="P1670" t="s">
        <v>74</v>
      </c>
      <c r="Q1670" t="s">
        <v>74</v>
      </c>
      <c r="R1670" t="s">
        <v>74</v>
      </c>
      <c r="S1670" t="s">
        <v>74</v>
      </c>
      <c r="T1670" t="s">
        <v>74</v>
      </c>
      <c r="U1670" t="s">
        <v>74</v>
      </c>
      <c r="V1670" t="s">
        <v>74</v>
      </c>
      <c r="W1670" t="s">
        <v>14198</v>
      </c>
      <c r="X1670" t="s">
        <v>14197</v>
      </c>
      <c r="Y1670" t="s">
        <v>74</v>
      </c>
      <c r="Z1670" t="s">
        <v>74</v>
      </c>
      <c r="AA1670" t="s">
        <v>14196</v>
      </c>
      <c r="AB1670" t="s">
        <v>74</v>
      </c>
      <c r="AC1670" t="s">
        <v>74</v>
      </c>
      <c r="AD1670" t="s">
        <v>74</v>
      </c>
      <c r="AE1670" t="s">
        <v>74</v>
      </c>
      <c r="AF1670" t="s">
        <v>74</v>
      </c>
      <c r="AG1670">
        <v>0</v>
      </c>
      <c r="AH1670">
        <v>0</v>
      </c>
      <c r="AI1670">
        <v>0</v>
      </c>
      <c r="AJ1670">
        <v>0</v>
      </c>
      <c r="AK1670">
        <v>1</v>
      </c>
      <c r="AL1670" t="s">
        <v>14066</v>
      </c>
      <c r="AM1670" t="s">
        <v>4991</v>
      </c>
      <c r="AN1670" t="s">
        <v>14065</v>
      </c>
      <c r="AO1670" t="s">
        <v>13109</v>
      </c>
      <c r="AP1670" t="s">
        <v>74</v>
      </c>
      <c r="AQ1670" t="s">
        <v>74</v>
      </c>
      <c r="AR1670" t="s">
        <v>13111</v>
      </c>
      <c r="AS1670" t="s">
        <v>13112</v>
      </c>
      <c r="AT1670" t="s">
        <v>1060</v>
      </c>
      <c r="AU1670">
        <v>1995</v>
      </c>
      <c r="AV1670">
        <v>73</v>
      </c>
      <c r="AW1670">
        <v>6</v>
      </c>
      <c r="AX1670" t="s">
        <v>74</v>
      </c>
      <c r="AY1670" t="s">
        <v>74</v>
      </c>
      <c r="AZ1670" t="s">
        <v>74</v>
      </c>
      <c r="BA1670" t="s">
        <v>74</v>
      </c>
      <c r="BB1670">
        <v>1314</v>
      </c>
      <c r="BC1670">
        <v>1314</v>
      </c>
      <c r="BD1670" t="s">
        <v>74</v>
      </c>
      <c r="BE1670" t="s">
        <v>74</v>
      </c>
      <c r="BF1670" t="s">
        <v>74</v>
      </c>
      <c r="BG1670" t="s">
        <v>74</v>
      </c>
      <c r="BH1670" t="s">
        <v>74</v>
      </c>
      <c r="BI1670">
        <v>1</v>
      </c>
      <c r="BJ1670" t="s">
        <v>6635</v>
      </c>
      <c r="BK1670" t="s">
        <v>101</v>
      </c>
      <c r="BL1670" t="s">
        <v>6636</v>
      </c>
      <c r="BM1670" t="s">
        <v>14190</v>
      </c>
      <c r="BN1670" t="s">
        <v>74</v>
      </c>
      <c r="BO1670" t="s">
        <v>74</v>
      </c>
      <c r="BP1670" t="s">
        <v>74</v>
      </c>
      <c r="BQ1670" t="s">
        <v>74</v>
      </c>
      <c r="BR1670" t="s">
        <v>104</v>
      </c>
      <c r="BS1670" t="s">
        <v>14195</v>
      </c>
      <c r="BT1670" t="str">
        <f>HYPERLINK("https%3A%2F%2Fwww.webofscience.com%2Fwos%2Fwoscc%2Ffull-record%2FWOS:A1995RP38501586","View Full Record in Web of Science")</f>
        <v>View Full Record in Web of Science</v>
      </c>
    </row>
    <row r="1671" spans="1:72" x14ac:dyDescent="0.25">
      <c r="A1671" t="s">
        <v>72</v>
      </c>
      <c r="B1671" t="s">
        <v>14194</v>
      </c>
      <c r="C1671" t="s">
        <v>74</v>
      </c>
      <c r="D1671" t="s">
        <v>74</v>
      </c>
      <c r="E1671" t="s">
        <v>74</v>
      </c>
      <c r="F1671" t="s">
        <v>14194</v>
      </c>
      <c r="G1671" t="s">
        <v>74</v>
      </c>
      <c r="H1671" t="s">
        <v>74</v>
      </c>
      <c r="I1671" t="s">
        <v>14193</v>
      </c>
      <c r="J1671" t="s">
        <v>13097</v>
      </c>
      <c r="K1671" t="s">
        <v>74</v>
      </c>
      <c r="L1671" t="s">
        <v>74</v>
      </c>
      <c r="M1671" t="s">
        <v>78</v>
      </c>
      <c r="N1671" t="s">
        <v>52</v>
      </c>
      <c r="O1671" t="s">
        <v>74</v>
      </c>
      <c r="P1671" t="s">
        <v>74</v>
      </c>
      <c r="Q1671" t="s">
        <v>74</v>
      </c>
      <c r="R1671" t="s">
        <v>74</v>
      </c>
      <c r="S1671" t="s">
        <v>74</v>
      </c>
      <c r="T1671" t="s">
        <v>74</v>
      </c>
      <c r="U1671" t="s">
        <v>74</v>
      </c>
      <c r="V1671" t="s">
        <v>74</v>
      </c>
      <c r="W1671" t="s">
        <v>14192</v>
      </c>
      <c r="X1671" t="s">
        <v>14191</v>
      </c>
      <c r="Y1671" t="s">
        <v>74</v>
      </c>
      <c r="Z1671" t="s">
        <v>74</v>
      </c>
      <c r="AA1671" t="s">
        <v>144</v>
      </c>
      <c r="AB1671" t="s">
        <v>74</v>
      </c>
      <c r="AC1671" t="s">
        <v>74</v>
      </c>
      <c r="AD1671" t="s">
        <v>74</v>
      </c>
      <c r="AE1671" t="s">
        <v>74</v>
      </c>
      <c r="AF1671" t="s">
        <v>74</v>
      </c>
      <c r="AG1671">
        <v>0</v>
      </c>
      <c r="AH1671">
        <v>1</v>
      </c>
      <c r="AI1671">
        <v>1</v>
      </c>
      <c r="AJ1671">
        <v>0</v>
      </c>
      <c r="AK1671">
        <v>0</v>
      </c>
      <c r="AL1671" t="s">
        <v>14066</v>
      </c>
      <c r="AM1671" t="s">
        <v>4991</v>
      </c>
      <c r="AN1671" t="s">
        <v>14065</v>
      </c>
      <c r="AO1671" t="s">
        <v>13109</v>
      </c>
      <c r="AP1671" t="s">
        <v>74</v>
      </c>
      <c r="AQ1671" t="s">
        <v>74</v>
      </c>
      <c r="AR1671" t="s">
        <v>13111</v>
      </c>
      <c r="AS1671" t="s">
        <v>13112</v>
      </c>
      <c r="AT1671" t="s">
        <v>1060</v>
      </c>
      <c r="AU1671">
        <v>1995</v>
      </c>
      <c r="AV1671">
        <v>73</v>
      </c>
      <c r="AW1671">
        <v>6</v>
      </c>
      <c r="AX1671" t="s">
        <v>74</v>
      </c>
      <c r="AY1671" t="s">
        <v>74</v>
      </c>
      <c r="AZ1671" t="s">
        <v>74</v>
      </c>
      <c r="BA1671" t="s">
        <v>74</v>
      </c>
      <c r="BB1671">
        <v>1194</v>
      </c>
      <c r="BC1671">
        <v>1194</v>
      </c>
      <c r="BD1671" t="s">
        <v>74</v>
      </c>
      <c r="BE1671" t="s">
        <v>74</v>
      </c>
      <c r="BF1671" t="s">
        <v>74</v>
      </c>
      <c r="BG1671" t="s">
        <v>74</v>
      </c>
      <c r="BH1671" t="s">
        <v>74</v>
      </c>
      <c r="BI1671">
        <v>1</v>
      </c>
      <c r="BJ1671" t="s">
        <v>6635</v>
      </c>
      <c r="BK1671" t="s">
        <v>101</v>
      </c>
      <c r="BL1671" t="s">
        <v>6636</v>
      </c>
      <c r="BM1671" t="s">
        <v>14190</v>
      </c>
      <c r="BN1671" t="s">
        <v>74</v>
      </c>
      <c r="BO1671" t="s">
        <v>74</v>
      </c>
      <c r="BP1671" t="s">
        <v>74</v>
      </c>
      <c r="BQ1671" t="s">
        <v>74</v>
      </c>
      <c r="BR1671" t="s">
        <v>104</v>
      </c>
      <c r="BS1671" t="s">
        <v>14189</v>
      </c>
      <c r="BT1671" t="str">
        <f>HYPERLINK("https%3A%2F%2Fwww.webofscience.com%2Fwos%2Fwoscc%2Ffull-record%2FWOS:A1995RP38501126","View Full Record in Web of Science")</f>
        <v>View Full Record in Web of Science</v>
      </c>
    </row>
    <row r="1672" spans="1:72" x14ac:dyDescent="0.25">
      <c r="A1672" t="s">
        <v>72</v>
      </c>
      <c r="B1672" t="s">
        <v>14188</v>
      </c>
      <c r="C1672" t="s">
        <v>74</v>
      </c>
      <c r="D1672" t="s">
        <v>74</v>
      </c>
      <c r="E1672" t="s">
        <v>74</v>
      </c>
      <c r="F1672" t="s">
        <v>14188</v>
      </c>
      <c r="G1672" t="s">
        <v>74</v>
      </c>
      <c r="H1672" t="s">
        <v>74</v>
      </c>
      <c r="I1672" t="s">
        <v>14187</v>
      </c>
      <c r="J1672" t="s">
        <v>14186</v>
      </c>
      <c r="K1672" t="s">
        <v>74</v>
      </c>
      <c r="L1672" t="s">
        <v>74</v>
      </c>
      <c r="M1672" t="s">
        <v>78</v>
      </c>
      <c r="N1672" t="s">
        <v>79</v>
      </c>
      <c r="O1672" t="s">
        <v>74</v>
      </c>
      <c r="P1672" t="s">
        <v>74</v>
      </c>
      <c r="Q1672" t="s">
        <v>74</v>
      </c>
      <c r="R1672" t="s">
        <v>74</v>
      </c>
      <c r="S1672" t="s">
        <v>74</v>
      </c>
      <c r="T1672" t="s">
        <v>74</v>
      </c>
      <c r="U1672" t="s">
        <v>14185</v>
      </c>
      <c r="V1672" t="s">
        <v>14184</v>
      </c>
      <c r="W1672" t="s">
        <v>14183</v>
      </c>
      <c r="X1672" t="s">
        <v>14182</v>
      </c>
      <c r="Y1672" t="s">
        <v>74</v>
      </c>
      <c r="Z1672" t="s">
        <v>74</v>
      </c>
      <c r="AA1672" t="s">
        <v>144</v>
      </c>
      <c r="AB1672" t="s">
        <v>14181</v>
      </c>
      <c r="AC1672" t="s">
        <v>74</v>
      </c>
      <c r="AD1672" t="s">
        <v>74</v>
      </c>
      <c r="AE1672" t="s">
        <v>74</v>
      </c>
      <c r="AF1672" t="s">
        <v>74</v>
      </c>
      <c r="AG1672">
        <v>23</v>
      </c>
      <c r="AH1672">
        <v>132</v>
      </c>
      <c r="AI1672">
        <v>134</v>
      </c>
      <c r="AJ1672">
        <v>0</v>
      </c>
      <c r="AK1672">
        <v>1</v>
      </c>
      <c r="AL1672" t="s">
        <v>14180</v>
      </c>
      <c r="AM1672" t="s">
        <v>486</v>
      </c>
      <c r="AN1672" t="s">
        <v>14179</v>
      </c>
      <c r="AO1672" t="s">
        <v>14178</v>
      </c>
      <c r="AP1672" t="s">
        <v>74</v>
      </c>
      <c r="AQ1672" t="s">
        <v>74</v>
      </c>
      <c r="AR1672" t="s">
        <v>14177</v>
      </c>
      <c r="AS1672" t="s">
        <v>14176</v>
      </c>
      <c r="AT1672" t="s">
        <v>933</v>
      </c>
      <c r="AU1672">
        <v>1995</v>
      </c>
      <c r="AV1672">
        <v>181</v>
      </c>
      <c r="AW1672">
        <v>6</v>
      </c>
      <c r="AX1672" t="s">
        <v>74</v>
      </c>
      <c r="AY1672" t="s">
        <v>74</v>
      </c>
      <c r="AZ1672" t="s">
        <v>74</v>
      </c>
      <c r="BA1672" t="s">
        <v>74</v>
      </c>
      <c r="BB1672">
        <v>2153</v>
      </c>
      <c r="BC1672">
        <v>2159</v>
      </c>
      <c r="BD1672" t="s">
        <v>74</v>
      </c>
      <c r="BE1672" t="s">
        <v>14175</v>
      </c>
      <c r="BF1672" t="str">
        <f>HYPERLINK("http://dx.doi.org/10.1084/jem.181.6.2153","http://dx.doi.org/10.1084/jem.181.6.2153")</f>
        <v>http://dx.doi.org/10.1084/jem.181.6.2153</v>
      </c>
      <c r="BG1672" t="s">
        <v>74</v>
      </c>
      <c r="BH1672" t="s">
        <v>74</v>
      </c>
      <c r="BI1672">
        <v>7</v>
      </c>
      <c r="BJ1672" t="s">
        <v>14174</v>
      </c>
      <c r="BK1672" t="s">
        <v>101</v>
      </c>
      <c r="BL1672" t="s">
        <v>14173</v>
      </c>
      <c r="BM1672" t="s">
        <v>14172</v>
      </c>
      <c r="BN1672">
        <v>7539041</v>
      </c>
      <c r="BO1672" t="s">
        <v>2517</v>
      </c>
      <c r="BP1672" t="s">
        <v>74</v>
      </c>
      <c r="BQ1672" t="s">
        <v>74</v>
      </c>
      <c r="BR1672" t="s">
        <v>104</v>
      </c>
      <c r="BS1672" t="s">
        <v>14171</v>
      </c>
      <c r="BT1672" t="str">
        <f>HYPERLINK("https%3A%2F%2Fwww.webofscience.com%2Fwos%2Fwoscc%2Ffull-record%2FWOS:A1995RA60500023","View Full Record in Web of Science")</f>
        <v>View Full Record in Web of Science</v>
      </c>
    </row>
    <row r="1673" spans="1:72" x14ac:dyDescent="0.25">
      <c r="A1673" t="s">
        <v>72</v>
      </c>
      <c r="B1673" t="s">
        <v>14170</v>
      </c>
      <c r="C1673" t="s">
        <v>74</v>
      </c>
      <c r="D1673" t="s">
        <v>74</v>
      </c>
      <c r="E1673" t="s">
        <v>74</v>
      </c>
      <c r="F1673" t="s">
        <v>14170</v>
      </c>
      <c r="G1673" t="s">
        <v>74</v>
      </c>
      <c r="H1673" t="s">
        <v>74</v>
      </c>
      <c r="I1673" t="s">
        <v>14169</v>
      </c>
      <c r="J1673" t="s">
        <v>637</v>
      </c>
      <c r="K1673" t="s">
        <v>74</v>
      </c>
      <c r="L1673" t="s">
        <v>74</v>
      </c>
      <c r="M1673" t="s">
        <v>78</v>
      </c>
      <c r="N1673" t="s">
        <v>13977</v>
      </c>
      <c r="O1673" t="s">
        <v>74</v>
      </c>
      <c r="P1673" t="s">
        <v>74</v>
      </c>
      <c r="Q1673" t="s">
        <v>74</v>
      </c>
      <c r="R1673" t="s">
        <v>74</v>
      </c>
      <c r="S1673" t="s">
        <v>74</v>
      </c>
      <c r="T1673" t="s">
        <v>74</v>
      </c>
      <c r="U1673" t="s">
        <v>14168</v>
      </c>
      <c r="V1673" t="s">
        <v>14167</v>
      </c>
      <c r="W1673" t="s">
        <v>14166</v>
      </c>
      <c r="X1673" t="s">
        <v>14165</v>
      </c>
      <c r="Y1673" t="s">
        <v>74</v>
      </c>
      <c r="Z1673" t="s">
        <v>74</v>
      </c>
      <c r="AA1673" t="s">
        <v>14164</v>
      </c>
      <c r="AB1673" t="s">
        <v>3302</v>
      </c>
      <c r="AC1673" t="s">
        <v>74</v>
      </c>
      <c r="AD1673" t="s">
        <v>74</v>
      </c>
      <c r="AE1673" t="s">
        <v>74</v>
      </c>
      <c r="AF1673" t="s">
        <v>74</v>
      </c>
      <c r="AG1673">
        <v>29</v>
      </c>
      <c r="AH1673">
        <v>622</v>
      </c>
      <c r="AI1673">
        <v>678</v>
      </c>
      <c r="AJ1673">
        <v>0</v>
      </c>
      <c r="AK1673">
        <v>24</v>
      </c>
      <c r="AL1673" t="s">
        <v>14045</v>
      </c>
      <c r="AM1673" t="s">
        <v>486</v>
      </c>
      <c r="AN1673" t="s">
        <v>14044</v>
      </c>
      <c r="AO1673" t="s">
        <v>651</v>
      </c>
      <c r="AP1673" t="s">
        <v>74</v>
      </c>
      <c r="AQ1673" t="s">
        <v>74</v>
      </c>
      <c r="AR1673" t="s">
        <v>653</v>
      </c>
      <c r="AS1673" t="s">
        <v>654</v>
      </c>
      <c r="AT1673" t="s">
        <v>2097</v>
      </c>
      <c r="AU1673">
        <v>1995</v>
      </c>
      <c r="AV1673">
        <v>151</v>
      </c>
      <c r="AW1673">
        <v>5</v>
      </c>
      <c r="AX1673" t="s">
        <v>74</v>
      </c>
      <c r="AY1673" t="s">
        <v>74</v>
      </c>
      <c r="AZ1673" t="s">
        <v>74</v>
      </c>
      <c r="BA1673" t="s">
        <v>74</v>
      </c>
      <c r="BB1673">
        <v>1628</v>
      </c>
      <c r="BC1673">
        <v>1631</v>
      </c>
      <c r="BD1673" t="s">
        <v>74</v>
      </c>
      <c r="BE1673" t="s">
        <v>14163</v>
      </c>
      <c r="BF1673" t="str">
        <f>HYPERLINK("http://dx.doi.org/10.1164/ajrccm.151.5.7735624","http://dx.doi.org/10.1164/ajrccm.151.5.7735624")</f>
        <v>http://dx.doi.org/10.1164/ajrccm.151.5.7735624</v>
      </c>
      <c r="BG1673" t="s">
        <v>74</v>
      </c>
      <c r="BH1673" t="s">
        <v>74</v>
      </c>
      <c r="BI1673">
        <v>4</v>
      </c>
      <c r="BJ1673" t="s">
        <v>341</v>
      </c>
      <c r="BK1673" t="s">
        <v>101</v>
      </c>
      <c r="BL1673" t="s">
        <v>342</v>
      </c>
      <c r="BM1673" t="s">
        <v>14162</v>
      </c>
      <c r="BN1673">
        <v>7735624</v>
      </c>
      <c r="BO1673" t="s">
        <v>74</v>
      </c>
      <c r="BP1673" t="s">
        <v>74</v>
      </c>
      <c r="BQ1673" t="s">
        <v>74</v>
      </c>
      <c r="BR1673" t="s">
        <v>104</v>
      </c>
      <c r="BS1673" t="s">
        <v>14161</v>
      </c>
      <c r="BT1673" t="str">
        <f>HYPERLINK("https%3A%2F%2Fwww.webofscience.com%2Fwos%2Fwoscc%2Ffull-record%2FWOS:A1995QX80400053","View Full Record in Web of Science")</f>
        <v>View Full Record in Web of Science</v>
      </c>
    </row>
    <row r="1674" spans="1:72" x14ac:dyDescent="0.25">
      <c r="A1674" t="s">
        <v>72</v>
      </c>
      <c r="B1674" t="s">
        <v>14160</v>
      </c>
      <c r="C1674" t="s">
        <v>74</v>
      </c>
      <c r="D1674" t="s">
        <v>74</v>
      </c>
      <c r="E1674" t="s">
        <v>74</v>
      </c>
      <c r="F1674" t="s">
        <v>14160</v>
      </c>
      <c r="G1674" t="s">
        <v>74</v>
      </c>
      <c r="H1674" t="s">
        <v>74</v>
      </c>
      <c r="I1674" t="s">
        <v>14159</v>
      </c>
      <c r="J1674" t="s">
        <v>475</v>
      </c>
      <c r="K1674" t="s">
        <v>74</v>
      </c>
      <c r="L1674" t="s">
        <v>74</v>
      </c>
      <c r="M1674" t="s">
        <v>78</v>
      </c>
      <c r="N1674" t="s">
        <v>79</v>
      </c>
      <c r="O1674" t="s">
        <v>74</v>
      </c>
      <c r="P1674" t="s">
        <v>74</v>
      </c>
      <c r="Q1674" t="s">
        <v>74</v>
      </c>
      <c r="R1674" t="s">
        <v>74</v>
      </c>
      <c r="S1674" t="s">
        <v>74</v>
      </c>
      <c r="T1674" t="s">
        <v>74</v>
      </c>
      <c r="U1674" t="s">
        <v>74</v>
      </c>
      <c r="V1674" t="s">
        <v>14158</v>
      </c>
      <c r="W1674" t="s">
        <v>14157</v>
      </c>
      <c r="X1674" t="s">
        <v>14156</v>
      </c>
      <c r="Y1674" t="s">
        <v>14155</v>
      </c>
      <c r="Z1674" t="s">
        <v>74</v>
      </c>
      <c r="AA1674" t="s">
        <v>14154</v>
      </c>
      <c r="AB1674" t="s">
        <v>74</v>
      </c>
      <c r="AC1674" t="s">
        <v>74</v>
      </c>
      <c r="AD1674" t="s">
        <v>74</v>
      </c>
      <c r="AE1674" t="s">
        <v>74</v>
      </c>
      <c r="AF1674" t="s">
        <v>74</v>
      </c>
      <c r="AG1674">
        <v>20</v>
      </c>
      <c r="AH1674">
        <v>42</v>
      </c>
      <c r="AI1674">
        <v>43</v>
      </c>
      <c r="AJ1674">
        <v>0</v>
      </c>
      <c r="AK1674">
        <v>1</v>
      </c>
      <c r="AL1674" t="s">
        <v>485</v>
      </c>
      <c r="AM1674" t="s">
        <v>486</v>
      </c>
      <c r="AN1674" t="s">
        <v>487</v>
      </c>
      <c r="AO1674" t="s">
        <v>488</v>
      </c>
      <c r="AP1674" t="s">
        <v>74</v>
      </c>
      <c r="AQ1674" t="s">
        <v>74</v>
      </c>
      <c r="AR1674" t="s">
        <v>490</v>
      </c>
      <c r="AS1674" t="s">
        <v>491</v>
      </c>
      <c r="AT1674" t="s">
        <v>785</v>
      </c>
      <c r="AU1674">
        <v>1994</v>
      </c>
      <c r="AV1674">
        <v>108</v>
      </c>
      <c r="AW1674">
        <v>1</v>
      </c>
      <c r="AX1674" t="s">
        <v>74</v>
      </c>
      <c r="AY1674" t="s">
        <v>74</v>
      </c>
      <c r="AZ1674" t="s">
        <v>74</v>
      </c>
      <c r="BA1674" t="s">
        <v>74</v>
      </c>
      <c r="BB1674">
        <v>86</v>
      </c>
      <c r="BC1674">
        <v>91</v>
      </c>
      <c r="BD1674" t="s">
        <v>74</v>
      </c>
      <c r="BE1674" t="s">
        <v>74</v>
      </c>
      <c r="BF1674" t="s">
        <v>74</v>
      </c>
      <c r="BG1674" t="s">
        <v>74</v>
      </c>
      <c r="BH1674" t="s">
        <v>74</v>
      </c>
      <c r="BI1674">
        <v>6</v>
      </c>
      <c r="BJ1674" t="s">
        <v>495</v>
      </c>
      <c r="BK1674" t="s">
        <v>101</v>
      </c>
      <c r="BL1674" t="s">
        <v>496</v>
      </c>
      <c r="BM1674" t="s">
        <v>14153</v>
      </c>
      <c r="BN1674">
        <v>8028384</v>
      </c>
      <c r="BO1674" t="s">
        <v>74</v>
      </c>
      <c r="BP1674" t="s">
        <v>74</v>
      </c>
      <c r="BQ1674" t="s">
        <v>74</v>
      </c>
      <c r="BR1674" t="s">
        <v>104</v>
      </c>
      <c r="BS1674" t="s">
        <v>14152</v>
      </c>
      <c r="BT1674" t="str">
        <f>HYPERLINK("https%3A%2F%2Fwww.webofscience.com%2Fwos%2Fwoscc%2Ffull-record%2FWOS:A1994NW67700014","View Full Record in Web of Science")</f>
        <v>View Full Record in Web of Science</v>
      </c>
    </row>
    <row r="1675" spans="1:72" x14ac:dyDescent="0.25">
      <c r="A1675" t="s">
        <v>72</v>
      </c>
      <c r="B1675" t="s">
        <v>14151</v>
      </c>
      <c r="C1675" t="s">
        <v>74</v>
      </c>
      <c r="D1675" t="s">
        <v>74</v>
      </c>
      <c r="E1675" t="s">
        <v>74</v>
      </c>
      <c r="F1675" t="s">
        <v>14151</v>
      </c>
      <c r="G1675" t="s">
        <v>74</v>
      </c>
      <c r="H1675" t="s">
        <v>74</v>
      </c>
      <c r="I1675" t="s">
        <v>14150</v>
      </c>
      <c r="J1675" t="s">
        <v>637</v>
      </c>
      <c r="K1675" t="s">
        <v>74</v>
      </c>
      <c r="L1675" t="s">
        <v>74</v>
      </c>
      <c r="M1675" t="s">
        <v>78</v>
      </c>
      <c r="N1675" t="s">
        <v>13977</v>
      </c>
      <c r="O1675" t="s">
        <v>74</v>
      </c>
      <c r="P1675" t="s">
        <v>74</v>
      </c>
      <c r="Q1675" t="s">
        <v>74</v>
      </c>
      <c r="R1675" t="s">
        <v>74</v>
      </c>
      <c r="S1675" t="s">
        <v>74</v>
      </c>
      <c r="T1675" t="s">
        <v>74</v>
      </c>
      <c r="U1675" t="s">
        <v>14149</v>
      </c>
      <c r="V1675" t="s">
        <v>14148</v>
      </c>
      <c r="W1675" t="s">
        <v>14147</v>
      </c>
      <c r="X1675" t="s">
        <v>14146</v>
      </c>
      <c r="Y1675" t="s">
        <v>14145</v>
      </c>
      <c r="Z1675" t="s">
        <v>74</v>
      </c>
      <c r="AA1675" t="s">
        <v>14144</v>
      </c>
      <c r="AB1675" t="s">
        <v>257</v>
      </c>
      <c r="AC1675" t="s">
        <v>74</v>
      </c>
      <c r="AD1675" t="s">
        <v>74</v>
      </c>
      <c r="AE1675" t="s">
        <v>74</v>
      </c>
      <c r="AF1675" t="s">
        <v>74</v>
      </c>
      <c r="AG1675">
        <v>32</v>
      </c>
      <c r="AH1675">
        <v>29</v>
      </c>
      <c r="AI1675">
        <v>29</v>
      </c>
      <c r="AJ1675">
        <v>0</v>
      </c>
      <c r="AK1675">
        <v>2</v>
      </c>
      <c r="AL1675" t="s">
        <v>14045</v>
      </c>
      <c r="AM1675" t="s">
        <v>486</v>
      </c>
      <c r="AN1675" t="s">
        <v>14044</v>
      </c>
      <c r="AO1675" t="s">
        <v>651</v>
      </c>
      <c r="AP1675" t="s">
        <v>74</v>
      </c>
      <c r="AQ1675" t="s">
        <v>74</v>
      </c>
      <c r="AR1675" t="s">
        <v>653</v>
      </c>
      <c r="AS1675" t="s">
        <v>654</v>
      </c>
      <c r="AT1675" t="s">
        <v>1060</v>
      </c>
      <c r="AU1675">
        <v>1994</v>
      </c>
      <c r="AV1675">
        <v>149</v>
      </c>
      <c r="AW1675">
        <v>6</v>
      </c>
      <c r="AX1675" t="s">
        <v>74</v>
      </c>
      <c r="AY1675" t="s">
        <v>74</v>
      </c>
      <c r="AZ1675" t="s">
        <v>74</v>
      </c>
      <c r="BA1675" t="s">
        <v>74</v>
      </c>
      <c r="BB1675">
        <v>1681</v>
      </c>
      <c r="BC1675">
        <v>1685</v>
      </c>
      <c r="BD1675" t="s">
        <v>74</v>
      </c>
      <c r="BE1675" t="s">
        <v>14143</v>
      </c>
      <c r="BF1675" t="str">
        <f>HYPERLINK("http://dx.doi.org/10.1164/ajrccm.149.6.8004330","http://dx.doi.org/10.1164/ajrccm.149.6.8004330")</f>
        <v>http://dx.doi.org/10.1164/ajrccm.149.6.8004330</v>
      </c>
      <c r="BG1675" t="s">
        <v>74</v>
      </c>
      <c r="BH1675" t="s">
        <v>74</v>
      </c>
      <c r="BI1675">
        <v>5</v>
      </c>
      <c r="BJ1675" t="s">
        <v>341</v>
      </c>
      <c r="BK1675" t="s">
        <v>101</v>
      </c>
      <c r="BL1675" t="s">
        <v>342</v>
      </c>
      <c r="BM1675" t="s">
        <v>14142</v>
      </c>
      <c r="BN1675">
        <v>8004330</v>
      </c>
      <c r="BO1675" t="s">
        <v>74</v>
      </c>
      <c r="BP1675" t="s">
        <v>74</v>
      </c>
      <c r="BQ1675" t="s">
        <v>74</v>
      </c>
      <c r="BR1675" t="s">
        <v>104</v>
      </c>
      <c r="BS1675" t="s">
        <v>14141</v>
      </c>
      <c r="BT1675" t="str">
        <f>HYPERLINK("https%3A%2F%2Fwww.webofscience.com%2Fwos%2Fwoscc%2Ffull-record%2FWOS:A1994NQ97100047","View Full Record in Web of Science")</f>
        <v>View Full Record in Web of Science</v>
      </c>
    </row>
    <row r="1676" spans="1:72" x14ac:dyDescent="0.25">
      <c r="A1676" t="s">
        <v>72</v>
      </c>
      <c r="B1676" t="s">
        <v>14140</v>
      </c>
      <c r="C1676" t="s">
        <v>74</v>
      </c>
      <c r="D1676" t="s">
        <v>74</v>
      </c>
      <c r="E1676" t="s">
        <v>74</v>
      </c>
      <c r="F1676" t="s">
        <v>14140</v>
      </c>
      <c r="G1676" t="s">
        <v>74</v>
      </c>
      <c r="H1676" t="s">
        <v>74</v>
      </c>
      <c r="I1676" t="s">
        <v>14139</v>
      </c>
      <c r="J1676" t="s">
        <v>13971</v>
      </c>
      <c r="K1676" t="s">
        <v>74</v>
      </c>
      <c r="L1676" t="s">
        <v>74</v>
      </c>
      <c r="M1676" t="s">
        <v>78</v>
      </c>
      <c r="N1676" t="s">
        <v>13977</v>
      </c>
      <c r="O1676" t="s">
        <v>74</v>
      </c>
      <c r="P1676" t="s">
        <v>74</v>
      </c>
      <c r="Q1676" t="s">
        <v>74</v>
      </c>
      <c r="R1676" t="s">
        <v>74</v>
      </c>
      <c r="S1676" t="s">
        <v>74</v>
      </c>
      <c r="T1676" t="s">
        <v>74</v>
      </c>
      <c r="U1676" t="s">
        <v>14138</v>
      </c>
      <c r="V1676" t="s">
        <v>74</v>
      </c>
      <c r="W1676" t="s">
        <v>14137</v>
      </c>
      <c r="X1676" t="s">
        <v>14136</v>
      </c>
      <c r="Y1676" t="s">
        <v>14135</v>
      </c>
      <c r="Z1676" t="s">
        <v>74</v>
      </c>
      <c r="AA1676" t="s">
        <v>13983</v>
      </c>
      <c r="AB1676" t="s">
        <v>257</v>
      </c>
      <c r="AC1676" t="s">
        <v>74</v>
      </c>
      <c r="AD1676" t="s">
        <v>74</v>
      </c>
      <c r="AE1676" t="s">
        <v>74</v>
      </c>
      <c r="AF1676" t="s">
        <v>74</v>
      </c>
      <c r="AG1676">
        <v>17</v>
      </c>
      <c r="AH1676">
        <v>9</v>
      </c>
      <c r="AI1676">
        <v>9</v>
      </c>
      <c r="AJ1676">
        <v>0</v>
      </c>
      <c r="AK1676">
        <v>1</v>
      </c>
      <c r="AL1676" t="s">
        <v>14134</v>
      </c>
      <c r="AM1676" t="s">
        <v>14133</v>
      </c>
      <c r="AN1676" t="s">
        <v>14132</v>
      </c>
      <c r="AO1676" t="s">
        <v>13973</v>
      </c>
      <c r="AP1676" t="s">
        <v>74</v>
      </c>
      <c r="AQ1676" t="s">
        <v>74</v>
      </c>
      <c r="AR1676" t="s">
        <v>13971</v>
      </c>
      <c r="AS1676" t="s">
        <v>13970</v>
      </c>
      <c r="AT1676" t="s">
        <v>14131</v>
      </c>
      <c r="AU1676">
        <v>1994</v>
      </c>
      <c r="AV1676">
        <v>57</v>
      </c>
      <c r="AW1676">
        <v>8</v>
      </c>
      <c r="AX1676" t="s">
        <v>74</v>
      </c>
      <c r="AY1676" t="s">
        <v>74</v>
      </c>
      <c r="AZ1676" t="s">
        <v>74</v>
      </c>
      <c r="BA1676" t="s">
        <v>74</v>
      </c>
      <c r="BB1676">
        <v>1289</v>
      </c>
      <c r="BC1676">
        <v>1292</v>
      </c>
      <c r="BD1676" t="s">
        <v>74</v>
      </c>
      <c r="BE1676" t="s">
        <v>14130</v>
      </c>
      <c r="BF1676" t="str">
        <f>HYPERLINK("http://dx.doi.org/10.1097/00007890-199404270-00031","http://dx.doi.org/10.1097/00007890-199404270-00031")</f>
        <v>http://dx.doi.org/10.1097/00007890-199404270-00031</v>
      </c>
      <c r="BG1676" t="s">
        <v>74</v>
      </c>
      <c r="BH1676" t="s">
        <v>74</v>
      </c>
      <c r="BI1676">
        <v>4</v>
      </c>
      <c r="BJ1676" t="s">
        <v>13969</v>
      </c>
      <c r="BK1676" t="s">
        <v>101</v>
      </c>
      <c r="BL1676" t="s">
        <v>13969</v>
      </c>
      <c r="BM1676" t="s">
        <v>14129</v>
      </c>
      <c r="BN1676">
        <v>8178362</v>
      </c>
      <c r="BO1676" t="s">
        <v>1194</v>
      </c>
      <c r="BP1676" t="s">
        <v>74</v>
      </c>
      <c r="BQ1676" t="s">
        <v>74</v>
      </c>
      <c r="BR1676" t="s">
        <v>104</v>
      </c>
      <c r="BS1676" t="s">
        <v>14128</v>
      </c>
      <c r="BT1676" t="str">
        <f>HYPERLINK("https%3A%2F%2Fwww.webofscience.com%2Fwos%2Fwoscc%2Ffull-record%2FWOS:A1994NJ20800031","View Full Record in Web of Science")</f>
        <v>View Full Record in Web of Science</v>
      </c>
    </row>
    <row r="1677" spans="1:72" x14ac:dyDescent="0.25">
      <c r="A1677" t="s">
        <v>72</v>
      </c>
      <c r="B1677" t="s">
        <v>14092</v>
      </c>
      <c r="C1677" t="s">
        <v>74</v>
      </c>
      <c r="D1677" t="s">
        <v>74</v>
      </c>
      <c r="E1677" t="s">
        <v>74</v>
      </c>
      <c r="F1677" t="s">
        <v>14092</v>
      </c>
      <c r="G1677" t="s">
        <v>74</v>
      </c>
      <c r="H1677" t="s">
        <v>74</v>
      </c>
      <c r="I1677" t="s">
        <v>14127</v>
      </c>
      <c r="J1677" t="s">
        <v>1348</v>
      </c>
      <c r="K1677" t="s">
        <v>74</v>
      </c>
      <c r="L1677" t="s">
        <v>74</v>
      </c>
      <c r="M1677" t="s">
        <v>1349</v>
      </c>
      <c r="N1677" t="s">
        <v>79</v>
      </c>
      <c r="O1677" t="s">
        <v>74</v>
      </c>
      <c r="P1677" t="s">
        <v>74</v>
      </c>
      <c r="Q1677" t="s">
        <v>74</v>
      </c>
      <c r="R1677" t="s">
        <v>74</v>
      </c>
      <c r="S1677" t="s">
        <v>74</v>
      </c>
      <c r="T1677" t="s">
        <v>14126</v>
      </c>
      <c r="U1677" t="s">
        <v>74</v>
      </c>
      <c r="V1677" t="s">
        <v>14125</v>
      </c>
      <c r="W1677" t="s">
        <v>74</v>
      </c>
      <c r="X1677" t="s">
        <v>74</v>
      </c>
      <c r="Y1677" t="s">
        <v>14124</v>
      </c>
      <c r="Z1677" t="s">
        <v>74</v>
      </c>
      <c r="AA1677" t="s">
        <v>144</v>
      </c>
      <c r="AB1677" t="s">
        <v>257</v>
      </c>
      <c r="AC1677" t="s">
        <v>74</v>
      </c>
      <c r="AD1677" t="s">
        <v>74</v>
      </c>
      <c r="AE1677" t="s">
        <v>74</v>
      </c>
      <c r="AF1677" t="s">
        <v>74</v>
      </c>
      <c r="AG1677">
        <v>0</v>
      </c>
      <c r="AH1677">
        <v>2</v>
      </c>
      <c r="AI1677">
        <v>2</v>
      </c>
      <c r="AJ1677">
        <v>0</v>
      </c>
      <c r="AK1677">
        <v>0</v>
      </c>
      <c r="AL1677" t="s">
        <v>1358</v>
      </c>
      <c r="AM1677" t="s">
        <v>14123</v>
      </c>
      <c r="AN1677" t="s">
        <v>14122</v>
      </c>
      <c r="AO1677" t="s">
        <v>1361</v>
      </c>
      <c r="AP1677" t="s">
        <v>74</v>
      </c>
      <c r="AQ1677" t="s">
        <v>74</v>
      </c>
      <c r="AR1677" t="s">
        <v>1363</v>
      </c>
      <c r="AS1677" t="s">
        <v>1364</v>
      </c>
      <c r="AT1677" t="s">
        <v>74</v>
      </c>
      <c r="AU1677">
        <v>1994</v>
      </c>
      <c r="AV1677">
        <v>11</v>
      </c>
      <c r="AW1677">
        <v>6</v>
      </c>
      <c r="AX1677" t="s">
        <v>74</v>
      </c>
      <c r="AY1677" t="s">
        <v>74</v>
      </c>
      <c r="AZ1677" t="s">
        <v>74</v>
      </c>
      <c r="BA1677" t="s">
        <v>74</v>
      </c>
      <c r="BB1677">
        <v>559</v>
      </c>
      <c r="BC1677">
        <v>564</v>
      </c>
      <c r="BD1677" t="s">
        <v>74</v>
      </c>
      <c r="BE1677" t="s">
        <v>74</v>
      </c>
      <c r="BF1677" t="s">
        <v>74</v>
      </c>
      <c r="BG1677" t="s">
        <v>74</v>
      </c>
      <c r="BH1677" t="s">
        <v>74</v>
      </c>
      <c r="BI1677">
        <v>6</v>
      </c>
      <c r="BJ1677" t="s">
        <v>228</v>
      </c>
      <c r="BK1677" t="s">
        <v>101</v>
      </c>
      <c r="BL1677" t="s">
        <v>228</v>
      </c>
      <c r="BM1677" t="s">
        <v>14121</v>
      </c>
      <c r="BN1677">
        <v>7831505</v>
      </c>
      <c r="BO1677" t="s">
        <v>74</v>
      </c>
      <c r="BP1677" t="s">
        <v>74</v>
      </c>
      <c r="BQ1677" t="s">
        <v>74</v>
      </c>
      <c r="BR1677" t="s">
        <v>104</v>
      </c>
      <c r="BS1677" t="s">
        <v>14120</v>
      </c>
      <c r="BT1677" t="str">
        <f>HYPERLINK("https%3A%2F%2Fwww.webofscience.com%2Fwos%2Fwoscc%2Ffull-record%2FWOS:A1994PZ34200003","View Full Record in Web of Science")</f>
        <v>View Full Record in Web of Science</v>
      </c>
    </row>
    <row r="1678" spans="1:72" x14ac:dyDescent="0.25">
      <c r="A1678" t="s">
        <v>72</v>
      </c>
      <c r="B1678" t="s">
        <v>1420</v>
      </c>
      <c r="C1678" t="s">
        <v>74</v>
      </c>
      <c r="D1678" t="s">
        <v>74</v>
      </c>
      <c r="E1678" t="s">
        <v>74</v>
      </c>
      <c r="F1678" t="s">
        <v>1421</v>
      </c>
      <c r="G1678" t="s">
        <v>74</v>
      </c>
      <c r="H1678" t="s">
        <v>74</v>
      </c>
      <c r="I1678" t="s">
        <v>14119</v>
      </c>
      <c r="J1678" t="s">
        <v>14118</v>
      </c>
      <c r="K1678" t="s">
        <v>74</v>
      </c>
      <c r="L1678" t="s">
        <v>74</v>
      </c>
      <c r="M1678" t="s">
        <v>78</v>
      </c>
      <c r="N1678" t="s">
        <v>79</v>
      </c>
      <c r="O1678" t="s">
        <v>74</v>
      </c>
      <c r="P1678" t="s">
        <v>74</v>
      </c>
      <c r="Q1678" t="s">
        <v>74</v>
      </c>
      <c r="R1678" t="s">
        <v>74</v>
      </c>
      <c r="S1678" t="s">
        <v>74</v>
      </c>
      <c r="T1678" t="s">
        <v>74</v>
      </c>
      <c r="U1678" t="s">
        <v>14117</v>
      </c>
      <c r="V1678" t="s">
        <v>14116</v>
      </c>
      <c r="W1678" t="s">
        <v>14115</v>
      </c>
      <c r="X1678" t="s">
        <v>14114</v>
      </c>
      <c r="Y1678" t="s">
        <v>14113</v>
      </c>
      <c r="Z1678" t="s">
        <v>74</v>
      </c>
      <c r="AA1678" t="s">
        <v>144</v>
      </c>
      <c r="AB1678" t="s">
        <v>74</v>
      </c>
      <c r="AC1678" t="s">
        <v>74</v>
      </c>
      <c r="AD1678" t="s">
        <v>74</v>
      </c>
      <c r="AE1678" t="s">
        <v>74</v>
      </c>
      <c r="AF1678" t="s">
        <v>74</v>
      </c>
      <c r="AG1678">
        <v>82</v>
      </c>
      <c r="AH1678">
        <v>3</v>
      </c>
      <c r="AI1678">
        <v>4</v>
      </c>
      <c r="AJ1678">
        <v>0</v>
      </c>
      <c r="AK1678">
        <v>5</v>
      </c>
      <c r="AL1678" t="s">
        <v>14112</v>
      </c>
      <c r="AM1678" t="s">
        <v>149</v>
      </c>
      <c r="AN1678" t="s">
        <v>14111</v>
      </c>
      <c r="AO1678" t="s">
        <v>14110</v>
      </c>
      <c r="AP1678" t="s">
        <v>14109</v>
      </c>
      <c r="AQ1678" t="s">
        <v>74</v>
      </c>
      <c r="AR1678" t="s">
        <v>14108</v>
      </c>
      <c r="AS1678" t="s">
        <v>14107</v>
      </c>
      <c r="AT1678" t="s">
        <v>74</v>
      </c>
      <c r="AU1678">
        <v>1994</v>
      </c>
      <c r="AV1678">
        <v>1</v>
      </c>
      <c r="AW1678">
        <v>3</v>
      </c>
      <c r="AX1678" t="s">
        <v>74</v>
      </c>
      <c r="AY1678" t="s">
        <v>74</v>
      </c>
      <c r="AZ1678" t="s">
        <v>74</v>
      </c>
      <c r="BA1678" t="s">
        <v>74</v>
      </c>
      <c r="BB1678">
        <v>445</v>
      </c>
      <c r="BC1678">
        <v>463</v>
      </c>
      <c r="BD1678" t="s">
        <v>74</v>
      </c>
      <c r="BE1678" t="s">
        <v>14106</v>
      </c>
      <c r="BF1678" t="str">
        <f>HYPERLINK("http://dx.doi.org/10.1080/09692299408434294","http://dx.doi.org/10.1080/09692299408434294")</f>
        <v>http://dx.doi.org/10.1080/09692299408434294</v>
      </c>
      <c r="BG1678" t="s">
        <v>74</v>
      </c>
      <c r="BH1678" t="s">
        <v>74</v>
      </c>
      <c r="BI1678">
        <v>19</v>
      </c>
      <c r="BJ1678" t="s">
        <v>14105</v>
      </c>
      <c r="BK1678" t="s">
        <v>1341</v>
      </c>
      <c r="BL1678" t="s">
        <v>14104</v>
      </c>
      <c r="BM1678" t="s">
        <v>14103</v>
      </c>
      <c r="BN1678" t="s">
        <v>74</v>
      </c>
      <c r="BO1678" t="s">
        <v>74</v>
      </c>
      <c r="BP1678" t="s">
        <v>74</v>
      </c>
      <c r="BQ1678" t="s">
        <v>74</v>
      </c>
      <c r="BR1678" t="s">
        <v>104</v>
      </c>
      <c r="BS1678" t="s">
        <v>14102</v>
      </c>
      <c r="BT1678" t="str">
        <f>HYPERLINK("https%3A%2F%2Fwww.webofscience.com%2Fwos%2Fwoscc%2Ffull-record%2FWOS:000209040200003","View Full Record in Web of Science")</f>
        <v>View Full Record in Web of Science</v>
      </c>
    </row>
    <row r="1679" spans="1:72" x14ac:dyDescent="0.25">
      <c r="A1679" t="s">
        <v>72</v>
      </c>
      <c r="B1679" t="s">
        <v>14101</v>
      </c>
      <c r="C1679" t="s">
        <v>74</v>
      </c>
      <c r="D1679" t="s">
        <v>74</v>
      </c>
      <c r="E1679" t="s">
        <v>74</v>
      </c>
      <c r="F1679" t="s">
        <v>14101</v>
      </c>
      <c r="G1679" t="s">
        <v>74</v>
      </c>
      <c r="H1679" t="s">
        <v>74</v>
      </c>
      <c r="I1679" t="s">
        <v>14100</v>
      </c>
      <c r="J1679" t="s">
        <v>13971</v>
      </c>
      <c r="K1679" t="s">
        <v>74</v>
      </c>
      <c r="L1679" t="s">
        <v>74</v>
      </c>
      <c r="M1679" t="s">
        <v>78</v>
      </c>
      <c r="N1679" t="s">
        <v>79</v>
      </c>
      <c r="O1679" t="s">
        <v>74</v>
      </c>
      <c r="P1679" t="s">
        <v>74</v>
      </c>
      <c r="Q1679" t="s">
        <v>74</v>
      </c>
      <c r="R1679" t="s">
        <v>74</v>
      </c>
      <c r="S1679" t="s">
        <v>74</v>
      </c>
      <c r="T1679" t="s">
        <v>74</v>
      </c>
      <c r="U1679" t="s">
        <v>14099</v>
      </c>
      <c r="V1679" t="s">
        <v>14098</v>
      </c>
      <c r="W1679" t="s">
        <v>14097</v>
      </c>
      <c r="X1679" t="s">
        <v>14096</v>
      </c>
      <c r="Y1679" t="s">
        <v>13937</v>
      </c>
      <c r="Z1679" t="s">
        <v>74</v>
      </c>
      <c r="AA1679" t="s">
        <v>7706</v>
      </c>
      <c r="AB1679" t="s">
        <v>257</v>
      </c>
      <c r="AC1679" t="s">
        <v>74</v>
      </c>
      <c r="AD1679" t="s">
        <v>74</v>
      </c>
      <c r="AE1679" t="s">
        <v>74</v>
      </c>
      <c r="AF1679" t="s">
        <v>74</v>
      </c>
      <c r="AG1679">
        <v>28</v>
      </c>
      <c r="AH1679">
        <v>39</v>
      </c>
      <c r="AI1679">
        <v>41</v>
      </c>
      <c r="AJ1679">
        <v>0</v>
      </c>
      <c r="AK1679">
        <v>2</v>
      </c>
      <c r="AL1679" t="s">
        <v>122</v>
      </c>
      <c r="AM1679" t="s">
        <v>123</v>
      </c>
      <c r="AN1679" t="s">
        <v>124</v>
      </c>
      <c r="AO1679" t="s">
        <v>13973</v>
      </c>
      <c r="AP1679" t="s">
        <v>13972</v>
      </c>
      <c r="AQ1679" t="s">
        <v>74</v>
      </c>
      <c r="AR1679" t="s">
        <v>13971</v>
      </c>
      <c r="AS1679" t="s">
        <v>13970</v>
      </c>
      <c r="AT1679" t="s">
        <v>492</v>
      </c>
      <c r="AU1679">
        <v>1993</v>
      </c>
      <c r="AV1679">
        <v>56</v>
      </c>
      <c r="AW1679">
        <v>3</v>
      </c>
      <c r="AX1679" t="s">
        <v>74</v>
      </c>
      <c r="AY1679" t="s">
        <v>74</v>
      </c>
      <c r="AZ1679" t="s">
        <v>74</v>
      </c>
      <c r="BA1679" t="s">
        <v>74</v>
      </c>
      <c r="BB1679">
        <v>623</v>
      </c>
      <c r="BC1679">
        <v>627</v>
      </c>
      <c r="BD1679" t="s">
        <v>74</v>
      </c>
      <c r="BE1679" t="s">
        <v>14095</v>
      </c>
      <c r="BF1679" t="str">
        <f>HYPERLINK("http://dx.doi.org/10.1097/00007890-199309000-00024","http://dx.doi.org/10.1097/00007890-199309000-00024")</f>
        <v>http://dx.doi.org/10.1097/00007890-199309000-00024</v>
      </c>
      <c r="BG1679" t="s">
        <v>74</v>
      </c>
      <c r="BH1679" t="s">
        <v>74</v>
      </c>
      <c r="BI1679">
        <v>5</v>
      </c>
      <c r="BJ1679" t="s">
        <v>13969</v>
      </c>
      <c r="BK1679" t="s">
        <v>101</v>
      </c>
      <c r="BL1679" t="s">
        <v>13969</v>
      </c>
      <c r="BM1679" t="s">
        <v>14094</v>
      </c>
      <c r="BN1679">
        <v>8212159</v>
      </c>
      <c r="BO1679" t="s">
        <v>1194</v>
      </c>
      <c r="BP1679" t="s">
        <v>74</v>
      </c>
      <c r="BQ1679" t="s">
        <v>74</v>
      </c>
      <c r="BR1679" t="s">
        <v>104</v>
      </c>
      <c r="BS1679" t="s">
        <v>14093</v>
      </c>
      <c r="BT1679" t="str">
        <f>HYPERLINK("https%3A%2F%2Fwww.webofscience.com%2Fwos%2Fwoscc%2Ffull-record%2FWOS:A1993LZ87000025","View Full Record in Web of Science")</f>
        <v>View Full Record in Web of Science</v>
      </c>
    </row>
    <row r="1680" spans="1:72" x14ac:dyDescent="0.25">
      <c r="A1680" t="s">
        <v>72</v>
      </c>
      <c r="B1680" t="s">
        <v>14092</v>
      </c>
      <c r="C1680" t="s">
        <v>74</v>
      </c>
      <c r="D1680" t="s">
        <v>74</v>
      </c>
      <c r="E1680" t="s">
        <v>74</v>
      </c>
      <c r="F1680" t="s">
        <v>14092</v>
      </c>
      <c r="G1680" t="s">
        <v>74</v>
      </c>
      <c r="H1680" t="s">
        <v>74</v>
      </c>
      <c r="I1680" t="s">
        <v>14091</v>
      </c>
      <c r="J1680" t="s">
        <v>14090</v>
      </c>
      <c r="K1680" t="s">
        <v>74</v>
      </c>
      <c r="L1680" t="s">
        <v>74</v>
      </c>
      <c r="M1680" t="s">
        <v>1349</v>
      </c>
      <c r="N1680" t="s">
        <v>8016</v>
      </c>
      <c r="O1680" t="s">
        <v>14089</v>
      </c>
      <c r="P1680" t="s">
        <v>14088</v>
      </c>
      <c r="Q1680" t="s">
        <v>14087</v>
      </c>
      <c r="R1680" t="s">
        <v>14086</v>
      </c>
      <c r="S1680" t="s">
        <v>74</v>
      </c>
      <c r="T1680" t="s">
        <v>74</v>
      </c>
      <c r="U1680" t="s">
        <v>74</v>
      </c>
      <c r="V1680" t="s">
        <v>74</v>
      </c>
      <c r="W1680" t="s">
        <v>14085</v>
      </c>
      <c r="X1680" t="s">
        <v>14084</v>
      </c>
      <c r="Y1680" t="s">
        <v>14083</v>
      </c>
      <c r="Z1680" t="s">
        <v>74</v>
      </c>
      <c r="AA1680" t="s">
        <v>144</v>
      </c>
      <c r="AB1680" t="s">
        <v>74</v>
      </c>
      <c r="AC1680" t="s">
        <v>74</v>
      </c>
      <c r="AD1680" t="s">
        <v>74</v>
      </c>
      <c r="AE1680" t="s">
        <v>74</v>
      </c>
      <c r="AF1680" t="s">
        <v>74</v>
      </c>
      <c r="AG1680">
        <v>4</v>
      </c>
      <c r="AH1680">
        <v>0</v>
      </c>
      <c r="AI1680">
        <v>0</v>
      </c>
      <c r="AJ1680">
        <v>0</v>
      </c>
      <c r="AK1680">
        <v>0</v>
      </c>
      <c r="AL1680" t="s">
        <v>14082</v>
      </c>
      <c r="AM1680" t="s">
        <v>14081</v>
      </c>
      <c r="AN1680" t="s">
        <v>14080</v>
      </c>
      <c r="AO1680" t="s">
        <v>14079</v>
      </c>
      <c r="AP1680" t="s">
        <v>74</v>
      </c>
      <c r="AQ1680" t="s">
        <v>74</v>
      </c>
      <c r="AR1680" t="s">
        <v>14078</v>
      </c>
      <c r="AS1680" t="s">
        <v>14077</v>
      </c>
      <c r="AT1680" t="s">
        <v>888</v>
      </c>
      <c r="AU1680">
        <v>1993</v>
      </c>
      <c r="AV1680">
        <v>101</v>
      </c>
      <c r="AW1680">
        <v>4</v>
      </c>
      <c r="AX1680" t="s">
        <v>74</v>
      </c>
      <c r="AY1680" t="s">
        <v>74</v>
      </c>
      <c r="AZ1680" t="s">
        <v>74</v>
      </c>
      <c r="BA1680" t="s">
        <v>74</v>
      </c>
      <c r="BB1680" t="s">
        <v>14076</v>
      </c>
      <c r="BC1680" t="s">
        <v>14076</v>
      </c>
      <c r="BD1680" t="s">
        <v>74</v>
      </c>
      <c r="BE1680" t="s">
        <v>14075</v>
      </c>
      <c r="BF1680" t="str">
        <f>HYPERLINK("http://dx.doi.org/10.3109/13813459309008893","http://dx.doi.org/10.3109/13813459309008893")</f>
        <v>http://dx.doi.org/10.3109/13813459309008893</v>
      </c>
      <c r="BG1680" t="s">
        <v>74</v>
      </c>
      <c r="BH1680" t="s">
        <v>74</v>
      </c>
      <c r="BI1680">
        <v>1</v>
      </c>
      <c r="BJ1680" t="s">
        <v>14073</v>
      </c>
      <c r="BK1680" t="s">
        <v>14074</v>
      </c>
      <c r="BL1680" t="s">
        <v>14073</v>
      </c>
      <c r="BM1680" t="s">
        <v>14072</v>
      </c>
      <c r="BN1680">
        <v>7691225</v>
      </c>
      <c r="BO1680" t="s">
        <v>74</v>
      </c>
      <c r="BP1680" t="s">
        <v>74</v>
      </c>
      <c r="BQ1680" t="s">
        <v>74</v>
      </c>
      <c r="BR1680" t="s">
        <v>104</v>
      </c>
      <c r="BS1680" t="s">
        <v>14071</v>
      </c>
      <c r="BT1680" t="str">
        <f>HYPERLINK("https%3A%2F%2Fwww.webofscience.com%2Fwos%2Fwoscc%2Ffull-record%2FWOS:A1993MB95500005","View Full Record in Web of Science")</f>
        <v>View Full Record in Web of Science</v>
      </c>
    </row>
    <row r="1681" spans="1:72" x14ac:dyDescent="0.25">
      <c r="A1681" t="s">
        <v>72</v>
      </c>
      <c r="B1681" t="s">
        <v>14070</v>
      </c>
      <c r="C1681" t="s">
        <v>74</v>
      </c>
      <c r="D1681" t="s">
        <v>74</v>
      </c>
      <c r="E1681" t="s">
        <v>74</v>
      </c>
      <c r="F1681" t="s">
        <v>14070</v>
      </c>
      <c r="G1681" t="s">
        <v>74</v>
      </c>
      <c r="H1681" t="s">
        <v>74</v>
      </c>
      <c r="I1681" t="s">
        <v>14069</v>
      </c>
      <c r="J1681" t="s">
        <v>13097</v>
      </c>
      <c r="K1681" t="s">
        <v>74</v>
      </c>
      <c r="L1681" t="s">
        <v>74</v>
      </c>
      <c r="M1681" t="s">
        <v>78</v>
      </c>
      <c r="N1681" t="s">
        <v>52</v>
      </c>
      <c r="O1681" t="s">
        <v>74</v>
      </c>
      <c r="P1681" t="s">
        <v>74</v>
      </c>
      <c r="Q1681" t="s">
        <v>74</v>
      </c>
      <c r="R1681" t="s">
        <v>74</v>
      </c>
      <c r="S1681" t="s">
        <v>74</v>
      </c>
      <c r="T1681" t="s">
        <v>74</v>
      </c>
      <c r="U1681" t="s">
        <v>74</v>
      </c>
      <c r="V1681" t="s">
        <v>74</v>
      </c>
      <c r="W1681" t="s">
        <v>14068</v>
      </c>
      <c r="X1681" t="s">
        <v>14067</v>
      </c>
      <c r="Y1681" t="s">
        <v>74</v>
      </c>
      <c r="Z1681" t="s">
        <v>74</v>
      </c>
      <c r="AA1681" t="s">
        <v>144</v>
      </c>
      <c r="AB1681" t="s">
        <v>74</v>
      </c>
      <c r="AC1681" t="s">
        <v>74</v>
      </c>
      <c r="AD1681" t="s">
        <v>74</v>
      </c>
      <c r="AE1681" t="s">
        <v>74</v>
      </c>
      <c r="AF1681" t="s">
        <v>74</v>
      </c>
      <c r="AG1681">
        <v>1</v>
      </c>
      <c r="AH1681">
        <v>0</v>
      </c>
      <c r="AI1681">
        <v>0</v>
      </c>
      <c r="AJ1681">
        <v>0</v>
      </c>
      <c r="AK1681">
        <v>1</v>
      </c>
      <c r="AL1681" t="s">
        <v>14066</v>
      </c>
      <c r="AM1681" t="s">
        <v>4991</v>
      </c>
      <c r="AN1681" t="s">
        <v>14065</v>
      </c>
      <c r="AO1681" t="s">
        <v>13109</v>
      </c>
      <c r="AP1681" t="s">
        <v>74</v>
      </c>
      <c r="AQ1681" t="s">
        <v>74</v>
      </c>
      <c r="AR1681" t="s">
        <v>13111</v>
      </c>
      <c r="AS1681" t="s">
        <v>13112</v>
      </c>
      <c r="AT1681" t="s">
        <v>6291</v>
      </c>
      <c r="AU1681">
        <v>1993</v>
      </c>
      <c r="AV1681">
        <v>69</v>
      </c>
      <c r="AW1681">
        <v>6</v>
      </c>
      <c r="AX1681" t="s">
        <v>74</v>
      </c>
      <c r="AY1681" t="s">
        <v>74</v>
      </c>
      <c r="AZ1681" t="s">
        <v>74</v>
      </c>
      <c r="BA1681" t="s">
        <v>74</v>
      </c>
      <c r="BB1681">
        <v>909</v>
      </c>
      <c r="BC1681">
        <v>909</v>
      </c>
      <c r="BD1681" t="s">
        <v>74</v>
      </c>
      <c r="BE1681" t="s">
        <v>74</v>
      </c>
      <c r="BF1681" t="s">
        <v>74</v>
      </c>
      <c r="BG1681" t="s">
        <v>74</v>
      </c>
      <c r="BH1681" t="s">
        <v>74</v>
      </c>
      <c r="BI1681">
        <v>1</v>
      </c>
      <c r="BJ1681" t="s">
        <v>6635</v>
      </c>
      <c r="BK1681" t="s">
        <v>101</v>
      </c>
      <c r="BL1681" t="s">
        <v>6636</v>
      </c>
      <c r="BM1681" t="s">
        <v>14064</v>
      </c>
      <c r="BN1681" t="s">
        <v>74</v>
      </c>
      <c r="BO1681" t="s">
        <v>74</v>
      </c>
      <c r="BP1681" t="s">
        <v>74</v>
      </c>
      <c r="BQ1681" t="s">
        <v>74</v>
      </c>
      <c r="BR1681" t="s">
        <v>104</v>
      </c>
      <c r="BS1681" t="s">
        <v>14063</v>
      </c>
      <c r="BT1681" t="str">
        <f>HYPERLINK("https%3A%2F%2Fwww.webofscience.com%2Fwos%2Fwoscc%2Ffull-record%2FWOS:A1993LT57701327","View Full Record in Web of Science")</f>
        <v>View Full Record in Web of Science</v>
      </c>
    </row>
    <row r="1682" spans="1:72" x14ac:dyDescent="0.25">
      <c r="A1682" t="s">
        <v>72</v>
      </c>
      <c r="B1682" t="s">
        <v>14062</v>
      </c>
      <c r="C1682" t="s">
        <v>74</v>
      </c>
      <c r="D1682" t="s">
        <v>74</v>
      </c>
      <c r="E1682" t="s">
        <v>74</v>
      </c>
      <c r="F1682" t="s">
        <v>14062</v>
      </c>
      <c r="G1682" t="s">
        <v>74</v>
      </c>
      <c r="H1682" t="s">
        <v>74</v>
      </c>
      <c r="I1682" t="s">
        <v>14061</v>
      </c>
      <c r="J1682" t="s">
        <v>14019</v>
      </c>
      <c r="K1682" t="s">
        <v>74</v>
      </c>
      <c r="L1682" t="s">
        <v>74</v>
      </c>
      <c r="M1682" t="s">
        <v>78</v>
      </c>
      <c r="N1682" t="s">
        <v>52</v>
      </c>
      <c r="O1682" t="s">
        <v>74</v>
      </c>
      <c r="P1682" t="s">
        <v>74</v>
      </c>
      <c r="Q1682" t="s">
        <v>74</v>
      </c>
      <c r="R1682" t="s">
        <v>74</v>
      </c>
      <c r="S1682" t="s">
        <v>74</v>
      </c>
      <c r="T1682" t="s">
        <v>74</v>
      </c>
      <c r="U1682" t="s">
        <v>74</v>
      </c>
      <c r="V1682" t="s">
        <v>74</v>
      </c>
      <c r="W1682" t="s">
        <v>14060</v>
      </c>
      <c r="X1682" t="s">
        <v>14059</v>
      </c>
      <c r="Y1682" t="s">
        <v>74</v>
      </c>
      <c r="Z1682" t="s">
        <v>74</v>
      </c>
      <c r="AA1682" t="s">
        <v>14058</v>
      </c>
      <c r="AB1682" t="s">
        <v>74</v>
      </c>
      <c r="AC1682" t="s">
        <v>74</v>
      </c>
      <c r="AD1682" t="s">
        <v>74</v>
      </c>
      <c r="AE1682" t="s">
        <v>74</v>
      </c>
      <c r="AF1682" t="s">
        <v>74</v>
      </c>
      <c r="AG1682">
        <v>1</v>
      </c>
      <c r="AH1682">
        <v>0</v>
      </c>
      <c r="AI1682">
        <v>0</v>
      </c>
      <c r="AJ1682">
        <v>0</v>
      </c>
      <c r="AK1682">
        <v>1</v>
      </c>
      <c r="AL1682" t="s">
        <v>14045</v>
      </c>
      <c r="AM1682" t="s">
        <v>486</v>
      </c>
      <c r="AN1682" t="s">
        <v>14044</v>
      </c>
      <c r="AO1682" t="s">
        <v>14012</v>
      </c>
      <c r="AP1682" t="s">
        <v>74</v>
      </c>
      <c r="AQ1682" t="s">
        <v>74</v>
      </c>
      <c r="AR1682" t="s">
        <v>14011</v>
      </c>
      <c r="AS1682" t="s">
        <v>14010</v>
      </c>
      <c r="AT1682" t="s">
        <v>997</v>
      </c>
      <c r="AU1682">
        <v>1993</v>
      </c>
      <c r="AV1682">
        <v>147</v>
      </c>
      <c r="AW1682">
        <v>4</v>
      </c>
      <c r="AX1682" t="s">
        <v>74</v>
      </c>
      <c r="AY1682" t="s">
        <v>998</v>
      </c>
      <c r="AZ1682" t="s">
        <v>74</v>
      </c>
      <c r="BA1682" t="s">
        <v>74</v>
      </c>
      <c r="BB1682" t="s">
        <v>14057</v>
      </c>
      <c r="BC1682" t="s">
        <v>14057</v>
      </c>
      <c r="BD1682" t="s">
        <v>74</v>
      </c>
      <c r="BE1682" t="s">
        <v>74</v>
      </c>
      <c r="BF1682" t="s">
        <v>74</v>
      </c>
      <c r="BG1682" t="s">
        <v>74</v>
      </c>
      <c r="BH1682" t="s">
        <v>74</v>
      </c>
      <c r="BI1682">
        <v>1</v>
      </c>
      <c r="BJ1682" t="s">
        <v>228</v>
      </c>
      <c r="BK1682" t="s">
        <v>101</v>
      </c>
      <c r="BL1682" t="s">
        <v>228</v>
      </c>
      <c r="BM1682" t="s">
        <v>14042</v>
      </c>
      <c r="BN1682" t="s">
        <v>74</v>
      </c>
      <c r="BO1682" t="s">
        <v>74</v>
      </c>
      <c r="BP1682" t="s">
        <v>74</v>
      </c>
      <c r="BQ1682" t="s">
        <v>74</v>
      </c>
      <c r="BR1682" t="s">
        <v>104</v>
      </c>
      <c r="BS1682" t="s">
        <v>14056</v>
      </c>
      <c r="BT1682" t="str">
        <f>HYPERLINK("https%3A%2F%2Fwww.webofscience.com%2Fwos%2Fwoscc%2Ffull-record%2FWOS:A1993LB14902282","View Full Record in Web of Science")</f>
        <v>View Full Record in Web of Science</v>
      </c>
    </row>
    <row r="1683" spans="1:72" x14ac:dyDescent="0.25">
      <c r="A1683" t="s">
        <v>72</v>
      </c>
      <c r="B1683" t="s">
        <v>14055</v>
      </c>
      <c r="C1683" t="s">
        <v>74</v>
      </c>
      <c r="D1683" t="s">
        <v>74</v>
      </c>
      <c r="E1683" t="s">
        <v>74</v>
      </c>
      <c r="F1683" t="s">
        <v>14055</v>
      </c>
      <c r="G1683" t="s">
        <v>74</v>
      </c>
      <c r="H1683" t="s">
        <v>74</v>
      </c>
      <c r="I1683" t="s">
        <v>14054</v>
      </c>
      <c r="J1683" t="s">
        <v>14019</v>
      </c>
      <c r="K1683" t="s">
        <v>74</v>
      </c>
      <c r="L1683" t="s">
        <v>74</v>
      </c>
      <c r="M1683" t="s">
        <v>78</v>
      </c>
      <c r="N1683" t="s">
        <v>52</v>
      </c>
      <c r="O1683" t="s">
        <v>74</v>
      </c>
      <c r="P1683" t="s">
        <v>74</v>
      </c>
      <c r="Q1683" t="s">
        <v>74</v>
      </c>
      <c r="R1683" t="s">
        <v>74</v>
      </c>
      <c r="S1683" t="s">
        <v>74</v>
      </c>
      <c r="T1683" t="s">
        <v>74</v>
      </c>
      <c r="U1683" t="s">
        <v>74</v>
      </c>
      <c r="V1683" t="s">
        <v>74</v>
      </c>
      <c r="W1683" t="s">
        <v>14053</v>
      </c>
      <c r="X1683" t="s">
        <v>14052</v>
      </c>
      <c r="Y1683" t="s">
        <v>74</v>
      </c>
      <c r="Z1683" t="s">
        <v>74</v>
      </c>
      <c r="AA1683" t="s">
        <v>13983</v>
      </c>
      <c r="AB1683" t="s">
        <v>74</v>
      </c>
      <c r="AC1683" t="s">
        <v>74</v>
      </c>
      <c r="AD1683" t="s">
        <v>74</v>
      </c>
      <c r="AE1683" t="s">
        <v>74</v>
      </c>
      <c r="AF1683" t="s">
        <v>74</v>
      </c>
      <c r="AG1683">
        <v>0</v>
      </c>
      <c r="AH1683">
        <v>0</v>
      </c>
      <c r="AI1683">
        <v>0</v>
      </c>
      <c r="AJ1683">
        <v>0</v>
      </c>
      <c r="AK1683">
        <v>1</v>
      </c>
      <c r="AL1683" t="s">
        <v>14045</v>
      </c>
      <c r="AM1683" t="s">
        <v>486</v>
      </c>
      <c r="AN1683" t="s">
        <v>14044</v>
      </c>
      <c r="AO1683" t="s">
        <v>14012</v>
      </c>
      <c r="AP1683" t="s">
        <v>74</v>
      </c>
      <c r="AQ1683" t="s">
        <v>74</v>
      </c>
      <c r="AR1683" t="s">
        <v>14011</v>
      </c>
      <c r="AS1683" t="s">
        <v>14010</v>
      </c>
      <c r="AT1683" t="s">
        <v>997</v>
      </c>
      <c r="AU1683">
        <v>1993</v>
      </c>
      <c r="AV1683">
        <v>147</v>
      </c>
      <c r="AW1683">
        <v>4</v>
      </c>
      <c r="AX1683" t="s">
        <v>74</v>
      </c>
      <c r="AY1683" t="s">
        <v>998</v>
      </c>
      <c r="AZ1683" t="s">
        <v>74</v>
      </c>
      <c r="BA1683" t="s">
        <v>74</v>
      </c>
      <c r="BB1683" t="s">
        <v>14051</v>
      </c>
      <c r="BC1683" t="s">
        <v>14051</v>
      </c>
      <c r="BD1683" t="s">
        <v>74</v>
      </c>
      <c r="BE1683" t="s">
        <v>74</v>
      </c>
      <c r="BF1683" t="s">
        <v>74</v>
      </c>
      <c r="BG1683" t="s">
        <v>74</v>
      </c>
      <c r="BH1683" t="s">
        <v>74</v>
      </c>
      <c r="BI1683">
        <v>1</v>
      </c>
      <c r="BJ1683" t="s">
        <v>228</v>
      </c>
      <c r="BK1683" t="s">
        <v>101</v>
      </c>
      <c r="BL1683" t="s">
        <v>228</v>
      </c>
      <c r="BM1683" t="s">
        <v>14042</v>
      </c>
      <c r="BN1683" t="s">
        <v>74</v>
      </c>
      <c r="BO1683" t="s">
        <v>74</v>
      </c>
      <c r="BP1683" t="s">
        <v>74</v>
      </c>
      <c r="BQ1683" t="s">
        <v>74</v>
      </c>
      <c r="BR1683" t="s">
        <v>104</v>
      </c>
      <c r="BS1683" t="s">
        <v>14050</v>
      </c>
      <c r="BT1683" t="str">
        <f>HYPERLINK("https%3A%2F%2Fwww.webofscience.com%2Fwos%2Fwoscc%2Ffull-record%2FWOS:A1993LB14900030","View Full Record in Web of Science")</f>
        <v>View Full Record in Web of Science</v>
      </c>
    </row>
    <row r="1684" spans="1:72" x14ac:dyDescent="0.25">
      <c r="A1684" t="s">
        <v>72</v>
      </c>
      <c r="B1684" t="s">
        <v>14049</v>
      </c>
      <c r="C1684" t="s">
        <v>74</v>
      </c>
      <c r="D1684" t="s">
        <v>74</v>
      </c>
      <c r="E1684" t="s">
        <v>74</v>
      </c>
      <c r="F1684" t="s">
        <v>14049</v>
      </c>
      <c r="G1684" t="s">
        <v>74</v>
      </c>
      <c r="H1684" t="s">
        <v>74</v>
      </c>
      <c r="I1684" t="s">
        <v>14048</v>
      </c>
      <c r="J1684" t="s">
        <v>14019</v>
      </c>
      <c r="K1684" t="s">
        <v>74</v>
      </c>
      <c r="L1684" t="s">
        <v>74</v>
      </c>
      <c r="M1684" t="s">
        <v>78</v>
      </c>
      <c r="N1684" t="s">
        <v>52</v>
      </c>
      <c r="O1684" t="s">
        <v>74</v>
      </c>
      <c r="P1684" t="s">
        <v>74</v>
      </c>
      <c r="Q1684" t="s">
        <v>74</v>
      </c>
      <c r="R1684" t="s">
        <v>74</v>
      </c>
      <c r="S1684" t="s">
        <v>74</v>
      </c>
      <c r="T1684" t="s">
        <v>74</v>
      </c>
      <c r="U1684" t="s">
        <v>74</v>
      </c>
      <c r="V1684" t="s">
        <v>74</v>
      </c>
      <c r="W1684" t="s">
        <v>14047</v>
      </c>
      <c r="X1684" t="s">
        <v>14046</v>
      </c>
      <c r="Y1684" t="s">
        <v>74</v>
      </c>
      <c r="Z1684" t="s">
        <v>74</v>
      </c>
      <c r="AA1684" t="s">
        <v>144</v>
      </c>
      <c r="AB1684" t="s">
        <v>74</v>
      </c>
      <c r="AC1684" t="s">
        <v>74</v>
      </c>
      <c r="AD1684" t="s">
        <v>74</v>
      </c>
      <c r="AE1684" t="s">
        <v>74</v>
      </c>
      <c r="AF1684" t="s">
        <v>74</v>
      </c>
      <c r="AG1684">
        <v>1</v>
      </c>
      <c r="AH1684">
        <v>13</v>
      </c>
      <c r="AI1684">
        <v>13</v>
      </c>
      <c r="AJ1684">
        <v>0</v>
      </c>
      <c r="AK1684">
        <v>2</v>
      </c>
      <c r="AL1684" t="s">
        <v>14045</v>
      </c>
      <c r="AM1684" t="s">
        <v>486</v>
      </c>
      <c r="AN1684" t="s">
        <v>14044</v>
      </c>
      <c r="AO1684" t="s">
        <v>14012</v>
      </c>
      <c r="AP1684" t="s">
        <v>74</v>
      </c>
      <c r="AQ1684" t="s">
        <v>74</v>
      </c>
      <c r="AR1684" t="s">
        <v>14011</v>
      </c>
      <c r="AS1684" t="s">
        <v>14010</v>
      </c>
      <c r="AT1684" t="s">
        <v>997</v>
      </c>
      <c r="AU1684">
        <v>1993</v>
      </c>
      <c r="AV1684">
        <v>147</v>
      </c>
      <c r="AW1684">
        <v>4</v>
      </c>
      <c r="AX1684" t="s">
        <v>74</v>
      </c>
      <c r="AY1684" t="s">
        <v>998</v>
      </c>
      <c r="AZ1684" t="s">
        <v>74</v>
      </c>
      <c r="BA1684" t="s">
        <v>74</v>
      </c>
      <c r="BB1684" t="s">
        <v>14043</v>
      </c>
      <c r="BC1684" t="s">
        <v>14043</v>
      </c>
      <c r="BD1684" t="s">
        <v>74</v>
      </c>
      <c r="BE1684" t="s">
        <v>74</v>
      </c>
      <c r="BF1684" t="s">
        <v>74</v>
      </c>
      <c r="BG1684" t="s">
        <v>74</v>
      </c>
      <c r="BH1684" t="s">
        <v>74</v>
      </c>
      <c r="BI1684">
        <v>1</v>
      </c>
      <c r="BJ1684" t="s">
        <v>228</v>
      </c>
      <c r="BK1684" t="s">
        <v>101</v>
      </c>
      <c r="BL1684" t="s">
        <v>228</v>
      </c>
      <c r="BM1684" t="s">
        <v>14042</v>
      </c>
      <c r="BN1684" t="s">
        <v>74</v>
      </c>
      <c r="BO1684" t="s">
        <v>74</v>
      </c>
      <c r="BP1684" t="s">
        <v>74</v>
      </c>
      <c r="BQ1684" t="s">
        <v>74</v>
      </c>
      <c r="BR1684" t="s">
        <v>104</v>
      </c>
      <c r="BS1684" t="s">
        <v>14041</v>
      </c>
      <c r="BT1684" t="str">
        <f>HYPERLINK("https%3A%2F%2Fwww.webofscience.com%2Fwos%2Fwoscc%2Ffull-record%2FWOS:A1993LB14901316","View Full Record in Web of Science")</f>
        <v>View Full Record in Web of Science</v>
      </c>
    </row>
    <row r="1685" spans="1:72" x14ac:dyDescent="0.25">
      <c r="A1685" t="s">
        <v>72</v>
      </c>
      <c r="B1685" t="s">
        <v>14040</v>
      </c>
      <c r="C1685" t="s">
        <v>74</v>
      </c>
      <c r="D1685" t="s">
        <v>74</v>
      </c>
      <c r="E1685" t="s">
        <v>74</v>
      </c>
      <c r="F1685" t="s">
        <v>14040</v>
      </c>
      <c r="G1685" t="s">
        <v>74</v>
      </c>
      <c r="H1685" t="s">
        <v>74</v>
      </c>
      <c r="I1685" t="s">
        <v>14039</v>
      </c>
      <c r="J1685" t="s">
        <v>324</v>
      </c>
      <c r="K1685" t="s">
        <v>74</v>
      </c>
      <c r="L1685" t="s">
        <v>74</v>
      </c>
      <c r="M1685" t="s">
        <v>78</v>
      </c>
      <c r="N1685" t="s">
        <v>79</v>
      </c>
      <c r="O1685" t="s">
        <v>74</v>
      </c>
      <c r="P1685" t="s">
        <v>74</v>
      </c>
      <c r="Q1685" t="s">
        <v>74</v>
      </c>
      <c r="R1685" t="s">
        <v>74</v>
      </c>
      <c r="S1685" t="s">
        <v>74</v>
      </c>
      <c r="T1685" t="s">
        <v>74</v>
      </c>
      <c r="U1685" t="s">
        <v>14038</v>
      </c>
      <c r="V1685" t="s">
        <v>14037</v>
      </c>
      <c r="W1685" t="s">
        <v>14036</v>
      </c>
      <c r="X1685" t="s">
        <v>14035</v>
      </c>
      <c r="Y1685" t="s">
        <v>14034</v>
      </c>
      <c r="Z1685" t="s">
        <v>74</v>
      </c>
      <c r="AA1685" t="s">
        <v>7706</v>
      </c>
      <c r="AB1685" t="s">
        <v>257</v>
      </c>
      <c r="AC1685" t="s">
        <v>74</v>
      </c>
      <c r="AD1685" t="s">
        <v>74</v>
      </c>
      <c r="AE1685" t="s">
        <v>74</v>
      </c>
      <c r="AF1685" t="s">
        <v>74</v>
      </c>
      <c r="AG1685">
        <v>26</v>
      </c>
      <c r="AH1685">
        <v>8</v>
      </c>
      <c r="AI1685">
        <v>8</v>
      </c>
      <c r="AJ1685">
        <v>0</v>
      </c>
      <c r="AK1685">
        <v>0</v>
      </c>
      <c r="AL1685" t="s">
        <v>7467</v>
      </c>
      <c r="AM1685" t="s">
        <v>93</v>
      </c>
      <c r="AN1685" t="s">
        <v>7468</v>
      </c>
      <c r="AO1685" t="s">
        <v>337</v>
      </c>
      <c r="AP1685" t="s">
        <v>74</v>
      </c>
      <c r="AQ1685" t="s">
        <v>74</v>
      </c>
      <c r="AR1685" t="s">
        <v>324</v>
      </c>
      <c r="AS1685" t="s">
        <v>339</v>
      </c>
      <c r="AT1685" t="s">
        <v>129</v>
      </c>
      <c r="AU1685">
        <v>1993</v>
      </c>
      <c r="AV1685">
        <v>103</v>
      </c>
      <c r="AW1685">
        <v>2</v>
      </c>
      <c r="AX1685" t="s">
        <v>74</v>
      </c>
      <c r="AY1685" t="s">
        <v>74</v>
      </c>
      <c r="AZ1685" t="s">
        <v>74</v>
      </c>
      <c r="BA1685" t="s">
        <v>74</v>
      </c>
      <c r="BB1685">
        <v>449</v>
      </c>
      <c r="BC1685">
        <v>454</v>
      </c>
      <c r="BD1685" t="s">
        <v>74</v>
      </c>
      <c r="BE1685" t="s">
        <v>14033</v>
      </c>
      <c r="BF1685" t="str">
        <f>HYPERLINK("http://dx.doi.org/10.1378/chest.103.2.449","http://dx.doi.org/10.1378/chest.103.2.449")</f>
        <v>http://dx.doi.org/10.1378/chest.103.2.449</v>
      </c>
      <c r="BG1685" t="s">
        <v>74</v>
      </c>
      <c r="BH1685" t="s">
        <v>74</v>
      </c>
      <c r="BI1685">
        <v>6</v>
      </c>
      <c r="BJ1685" t="s">
        <v>341</v>
      </c>
      <c r="BK1685" t="s">
        <v>101</v>
      </c>
      <c r="BL1685" t="s">
        <v>342</v>
      </c>
      <c r="BM1685" t="s">
        <v>14032</v>
      </c>
      <c r="BN1685">
        <v>8432135</v>
      </c>
      <c r="BO1685" t="s">
        <v>74</v>
      </c>
      <c r="BP1685" t="s">
        <v>74</v>
      </c>
      <c r="BQ1685" t="s">
        <v>74</v>
      </c>
      <c r="BR1685" t="s">
        <v>104</v>
      </c>
      <c r="BS1685" t="s">
        <v>14031</v>
      </c>
      <c r="BT1685" t="str">
        <f>HYPERLINK("https%3A%2F%2Fwww.webofscience.com%2Fwos%2Fwoscc%2Ffull-record%2FWOS:A1993KL71200028","View Full Record in Web of Science")</f>
        <v>View Full Record in Web of Science</v>
      </c>
    </row>
    <row r="1686" spans="1:72" x14ac:dyDescent="0.25">
      <c r="A1686" t="s">
        <v>72</v>
      </c>
      <c r="B1686" t="s">
        <v>14030</v>
      </c>
      <c r="C1686" t="s">
        <v>74</v>
      </c>
      <c r="D1686" t="s">
        <v>74</v>
      </c>
      <c r="E1686" t="s">
        <v>74</v>
      </c>
      <c r="F1686" t="s">
        <v>14030</v>
      </c>
      <c r="G1686" t="s">
        <v>74</v>
      </c>
      <c r="H1686" t="s">
        <v>74</v>
      </c>
      <c r="I1686" t="s">
        <v>14029</v>
      </c>
      <c r="J1686" t="s">
        <v>251</v>
      </c>
      <c r="K1686" t="s">
        <v>74</v>
      </c>
      <c r="L1686" t="s">
        <v>74</v>
      </c>
      <c r="M1686" t="s">
        <v>78</v>
      </c>
      <c r="N1686" t="s">
        <v>52</v>
      </c>
      <c r="O1686" t="s">
        <v>74</v>
      </c>
      <c r="P1686" t="s">
        <v>74</v>
      </c>
      <c r="Q1686" t="s">
        <v>74</v>
      </c>
      <c r="R1686" t="s">
        <v>74</v>
      </c>
      <c r="S1686" t="s">
        <v>74</v>
      </c>
      <c r="T1686" t="s">
        <v>74</v>
      </c>
      <c r="U1686" t="s">
        <v>74</v>
      </c>
      <c r="V1686" t="s">
        <v>74</v>
      </c>
      <c r="W1686" t="s">
        <v>14028</v>
      </c>
      <c r="X1686" t="s">
        <v>14027</v>
      </c>
      <c r="Y1686" t="s">
        <v>74</v>
      </c>
      <c r="Z1686" t="s">
        <v>74</v>
      </c>
      <c r="AA1686" t="s">
        <v>144</v>
      </c>
      <c r="AB1686" t="s">
        <v>74</v>
      </c>
      <c r="AC1686" t="s">
        <v>74</v>
      </c>
      <c r="AD1686" t="s">
        <v>74</v>
      </c>
      <c r="AE1686" t="s">
        <v>74</v>
      </c>
      <c r="AF1686" t="s">
        <v>74</v>
      </c>
      <c r="AG1686">
        <v>1</v>
      </c>
      <c r="AH1686">
        <v>0</v>
      </c>
      <c r="AI1686">
        <v>0</v>
      </c>
      <c r="AJ1686">
        <v>0</v>
      </c>
      <c r="AK1686">
        <v>0</v>
      </c>
      <c r="AL1686" t="s">
        <v>14026</v>
      </c>
      <c r="AM1686" t="s">
        <v>14025</v>
      </c>
      <c r="AN1686" t="s">
        <v>14024</v>
      </c>
      <c r="AO1686" t="s">
        <v>258</v>
      </c>
      <c r="AP1686" t="s">
        <v>74</v>
      </c>
      <c r="AQ1686" t="s">
        <v>74</v>
      </c>
      <c r="AR1686" t="s">
        <v>251</v>
      </c>
      <c r="AS1686" t="s">
        <v>260</v>
      </c>
      <c r="AT1686" t="s">
        <v>420</v>
      </c>
      <c r="AU1686">
        <v>1992</v>
      </c>
      <c r="AV1686">
        <v>86</v>
      </c>
      <c r="AW1686">
        <v>4</v>
      </c>
      <c r="AX1686" t="s">
        <v>74</v>
      </c>
      <c r="AY1686" t="s">
        <v>998</v>
      </c>
      <c r="AZ1686" t="s">
        <v>74</v>
      </c>
      <c r="BA1686" t="s">
        <v>74</v>
      </c>
      <c r="BB1686">
        <v>414</v>
      </c>
      <c r="BC1686">
        <v>414</v>
      </c>
      <c r="BD1686" t="s">
        <v>74</v>
      </c>
      <c r="BE1686" t="s">
        <v>74</v>
      </c>
      <c r="BF1686" t="s">
        <v>74</v>
      </c>
      <c r="BG1686" t="s">
        <v>74</v>
      </c>
      <c r="BH1686" t="s">
        <v>74</v>
      </c>
      <c r="BI1686">
        <v>1</v>
      </c>
      <c r="BJ1686" t="s">
        <v>263</v>
      </c>
      <c r="BK1686" t="s">
        <v>101</v>
      </c>
      <c r="BL1686" t="s">
        <v>133</v>
      </c>
      <c r="BM1686" t="s">
        <v>14023</v>
      </c>
      <c r="BN1686" t="s">
        <v>74</v>
      </c>
      <c r="BO1686" t="s">
        <v>74</v>
      </c>
      <c r="BP1686" t="s">
        <v>74</v>
      </c>
      <c r="BQ1686" t="s">
        <v>74</v>
      </c>
      <c r="BR1686" t="s">
        <v>104</v>
      </c>
      <c r="BS1686" t="s">
        <v>14022</v>
      </c>
      <c r="BT1686" t="str">
        <f>HYPERLINK("https%3A%2F%2Fwww.webofscience.com%2Fwos%2Fwoscc%2Ffull-record%2FWOS:A1992JT66001674","View Full Record in Web of Science")</f>
        <v>View Full Record in Web of Science</v>
      </c>
    </row>
    <row r="1687" spans="1:72" x14ac:dyDescent="0.25">
      <c r="A1687" t="s">
        <v>72</v>
      </c>
      <c r="B1687" t="s">
        <v>14021</v>
      </c>
      <c r="C1687" t="s">
        <v>74</v>
      </c>
      <c r="D1687" t="s">
        <v>74</v>
      </c>
      <c r="E1687" t="s">
        <v>74</v>
      </c>
      <c r="F1687" t="s">
        <v>14021</v>
      </c>
      <c r="G1687" t="s">
        <v>74</v>
      </c>
      <c r="H1687" t="s">
        <v>74</v>
      </c>
      <c r="I1687" t="s">
        <v>14020</v>
      </c>
      <c r="J1687" t="s">
        <v>14019</v>
      </c>
      <c r="K1687" t="s">
        <v>74</v>
      </c>
      <c r="L1687" t="s">
        <v>74</v>
      </c>
      <c r="M1687" t="s">
        <v>78</v>
      </c>
      <c r="N1687" t="s">
        <v>79</v>
      </c>
      <c r="O1687" t="s">
        <v>74</v>
      </c>
      <c r="P1687" t="s">
        <v>74</v>
      </c>
      <c r="Q1687" t="s">
        <v>74</v>
      </c>
      <c r="R1687" t="s">
        <v>74</v>
      </c>
      <c r="S1687" t="s">
        <v>74</v>
      </c>
      <c r="T1687" t="s">
        <v>74</v>
      </c>
      <c r="U1687" t="s">
        <v>14018</v>
      </c>
      <c r="V1687" t="s">
        <v>14017</v>
      </c>
      <c r="W1687" t="s">
        <v>14016</v>
      </c>
      <c r="X1687" t="s">
        <v>14015</v>
      </c>
      <c r="Y1687" t="s">
        <v>74</v>
      </c>
      <c r="Z1687" t="s">
        <v>74</v>
      </c>
      <c r="AA1687" t="s">
        <v>14014</v>
      </c>
      <c r="AB1687" t="s">
        <v>14013</v>
      </c>
      <c r="AC1687" t="s">
        <v>74</v>
      </c>
      <c r="AD1687" t="s">
        <v>74</v>
      </c>
      <c r="AE1687" t="s">
        <v>74</v>
      </c>
      <c r="AF1687" t="s">
        <v>74</v>
      </c>
      <c r="AG1687">
        <v>29</v>
      </c>
      <c r="AH1687">
        <v>45</v>
      </c>
      <c r="AI1687">
        <v>45</v>
      </c>
      <c r="AJ1687">
        <v>0</v>
      </c>
      <c r="AK1687">
        <v>0</v>
      </c>
      <c r="AL1687" t="s">
        <v>649</v>
      </c>
      <c r="AM1687" t="s">
        <v>486</v>
      </c>
      <c r="AN1687" t="s">
        <v>650</v>
      </c>
      <c r="AO1687" t="s">
        <v>14012</v>
      </c>
      <c r="AP1687" t="s">
        <v>74</v>
      </c>
      <c r="AQ1687" t="s">
        <v>74</v>
      </c>
      <c r="AR1687" t="s">
        <v>14011</v>
      </c>
      <c r="AS1687" t="s">
        <v>14010</v>
      </c>
      <c r="AT1687" t="s">
        <v>2097</v>
      </c>
      <c r="AU1687">
        <v>1992</v>
      </c>
      <c r="AV1687">
        <v>145</v>
      </c>
      <c r="AW1687">
        <v>5</v>
      </c>
      <c r="AX1687" t="s">
        <v>74</v>
      </c>
      <c r="AY1687" t="s">
        <v>74</v>
      </c>
      <c r="AZ1687" t="s">
        <v>74</v>
      </c>
      <c r="BA1687" t="s">
        <v>74</v>
      </c>
      <c r="BB1687">
        <v>1178</v>
      </c>
      <c r="BC1687">
        <v>1184</v>
      </c>
      <c r="BD1687" t="s">
        <v>74</v>
      </c>
      <c r="BE1687" t="s">
        <v>14009</v>
      </c>
      <c r="BF1687" t="str">
        <f>HYPERLINK("http://dx.doi.org/10.1164/ajrccm/145.5.1178","http://dx.doi.org/10.1164/ajrccm/145.5.1178")</f>
        <v>http://dx.doi.org/10.1164/ajrccm/145.5.1178</v>
      </c>
      <c r="BG1687" t="s">
        <v>74</v>
      </c>
      <c r="BH1687" t="s">
        <v>74</v>
      </c>
      <c r="BI1687">
        <v>7</v>
      </c>
      <c r="BJ1687" t="s">
        <v>228</v>
      </c>
      <c r="BK1687" t="s">
        <v>101</v>
      </c>
      <c r="BL1687" t="s">
        <v>228</v>
      </c>
      <c r="BM1687" t="s">
        <v>14008</v>
      </c>
      <c r="BN1687">
        <v>1316730</v>
      </c>
      <c r="BO1687" t="s">
        <v>74</v>
      </c>
      <c r="BP1687" t="s">
        <v>74</v>
      </c>
      <c r="BQ1687" t="s">
        <v>74</v>
      </c>
      <c r="BR1687" t="s">
        <v>104</v>
      </c>
      <c r="BS1687" t="s">
        <v>14007</v>
      </c>
      <c r="BT1687" t="str">
        <f>HYPERLINK("https%3A%2F%2Fwww.webofscience.com%2Fwos%2Fwoscc%2Ffull-record%2FWOS:A1992HU61400034","View Full Record in Web of Science")</f>
        <v>View Full Record in Web of Science</v>
      </c>
    </row>
    <row r="1688" spans="1:72" x14ac:dyDescent="0.25">
      <c r="A1688" t="s">
        <v>72</v>
      </c>
      <c r="B1688" t="s">
        <v>14006</v>
      </c>
      <c r="C1688" t="s">
        <v>74</v>
      </c>
      <c r="D1688" t="s">
        <v>74</v>
      </c>
      <c r="E1688" t="s">
        <v>74</v>
      </c>
      <c r="F1688" t="s">
        <v>14006</v>
      </c>
      <c r="G1688" t="s">
        <v>74</v>
      </c>
      <c r="H1688" t="s">
        <v>74</v>
      </c>
      <c r="I1688" t="s">
        <v>14005</v>
      </c>
      <c r="J1688" t="s">
        <v>13996</v>
      </c>
      <c r="K1688" t="s">
        <v>74</v>
      </c>
      <c r="L1688" t="s">
        <v>74</v>
      </c>
      <c r="M1688" t="s">
        <v>78</v>
      </c>
      <c r="N1688" t="s">
        <v>460</v>
      </c>
      <c r="O1688" t="s">
        <v>74</v>
      </c>
      <c r="P1688" t="s">
        <v>74</v>
      </c>
      <c r="Q1688" t="s">
        <v>74</v>
      </c>
      <c r="R1688" t="s">
        <v>74</v>
      </c>
      <c r="S1688" t="s">
        <v>74</v>
      </c>
      <c r="T1688" t="s">
        <v>74</v>
      </c>
      <c r="U1688" t="s">
        <v>74</v>
      </c>
      <c r="V1688" t="s">
        <v>74</v>
      </c>
      <c r="W1688" t="s">
        <v>14004</v>
      </c>
      <c r="X1688" t="s">
        <v>14003</v>
      </c>
      <c r="Y1688" t="s">
        <v>14002</v>
      </c>
      <c r="Z1688" t="s">
        <v>74</v>
      </c>
      <c r="AA1688" t="s">
        <v>14001</v>
      </c>
      <c r="AB1688" t="s">
        <v>14000</v>
      </c>
      <c r="AC1688" t="s">
        <v>74</v>
      </c>
      <c r="AD1688" t="s">
        <v>74</v>
      </c>
      <c r="AE1688" t="s">
        <v>74</v>
      </c>
      <c r="AF1688" t="s">
        <v>74</v>
      </c>
      <c r="AG1688">
        <v>6</v>
      </c>
      <c r="AH1688">
        <v>54</v>
      </c>
      <c r="AI1688">
        <v>56</v>
      </c>
      <c r="AJ1688">
        <v>0</v>
      </c>
      <c r="AK1688">
        <v>2</v>
      </c>
      <c r="AL1688" t="s">
        <v>13999</v>
      </c>
      <c r="AM1688" t="s">
        <v>201</v>
      </c>
      <c r="AN1688" t="s">
        <v>13998</v>
      </c>
      <c r="AO1688" t="s">
        <v>13997</v>
      </c>
      <c r="AP1688" t="s">
        <v>74</v>
      </c>
      <c r="AQ1688" t="s">
        <v>74</v>
      </c>
      <c r="AR1688" t="s">
        <v>13996</v>
      </c>
      <c r="AS1688" t="s">
        <v>13995</v>
      </c>
      <c r="AT1688" t="s">
        <v>10293</v>
      </c>
      <c r="AU1688">
        <v>1992</v>
      </c>
      <c r="AV1688">
        <v>355</v>
      </c>
      <c r="AW1688">
        <v>6362</v>
      </c>
      <c r="AX1688" t="s">
        <v>74</v>
      </c>
      <c r="AY1688" t="s">
        <v>74</v>
      </c>
      <c r="AZ1688" t="s">
        <v>74</v>
      </c>
      <c r="BA1688" t="s">
        <v>74</v>
      </c>
      <c r="BB1688">
        <v>684</v>
      </c>
      <c r="BC1688">
        <v>684</v>
      </c>
      <c r="BD1688" t="s">
        <v>74</v>
      </c>
      <c r="BE1688" t="s">
        <v>74</v>
      </c>
      <c r="BF1688" t="s">
        <v>74</v>
      </c>
      <c r="BG1688" t="s">
        <v>74</v>
      </c>
      <c r="BH1688" t="s">
        <v>74</v>
      </c>
      <c r="BI1688">
        <v>1</v>
      </c>
      <c r="BJ1688" t="s">
        <v>290</v>
      </c>
      <c r="BK1688" t="s">
        <v>101</v>
      </c>
      <c r="BL1688" t="s">
        <v>291</v>
      </c>
      <c r="BM1688" t="s">
        <v>13994</v>
      </c>
      <c r="BN1688">
        <v>1741053</v>
      </c>
      <c r="BO1688" t="s">
        <v>74</v>
      </c>
      <c r="BP1688" t="s">
        <v>74</v>
      </c>
      <c r="BQ1688" t="s">
        <v>74</v>
      </c>
      <c r="BR1688" t="s">
        <v>104</v>
      </c>
      <c r="BS1688" t="s">
        <v>13993</v>
      </c>
      <c r="BT1688" t="str">
        <f>HYPERLINK("https%3A%2F%2Fwww.webofscience.com%2Fwos%2Fwoscc%2Ffull-record%2FWOS:A1992HE60400043","View Full Record in Web of Science")</f>
        <v>View Full Record in Web of Science</v>
      </c>
    </row>
    <row r="1689" spans="1:72" x14ac:dyDescent="0.25">
      <c r="A1689" t="s">
        <v>13992</v>
      </c>
      <c r="B1689" t="s">
        <v>13990</v>
      </c>
      <c r="C1689" t="s">
        <v>74</v>
      </c>
      <c r="D1689" t="s">
        <v>13991</v>
      </c>
      <c r="E1689" t="s">
        <v>74</v>
      </c>
      <c r="F1689" t="s">
        <v>13990</v>
      </c>
      <c r="G1689" t="s">
        <v>74</v>
      </c>
      <c r="H1689" t="s">
        <v>74</v>
      </c>
      <c r="I1689" t="s">
        <v>13989</v>
      </c>
      <c r="J1689" t="s">
        <v>13988</v>
      </c>
      <c r="K1689" t="s">
        <v>13952</v>
      </c>
      <c r="L1689" t="s">
        <v>74</v>
      </c>
      <c r="M1689" t="s">
        <v>78</v>
      </c>
      <c r="N1689" t="s">
        <v>13987</v>
      </c>
      <c r="O1689" t="s">
        <v>13986</v>
      </c>
      <c r="P1689" t="s">
        <v>13985</v>
      </c>
      <c r="Q1689" t="s">
        <v>13949</v>
      </c>
      <c r="R1689" t="s">
        <v>13984</v>
      </c>
      <c r="S1689" t="s">
        <v>74</v>
      </c>
      <c r="T1689" t="s">
        <v>74</v>
      </c>
      <c r="U1689" t="s">
        <v>74</v>
      </c>
      <c r="V1689" t="s">
        <v>74</v>
      </c>
      <c r="W1689" t="s">
        <v>74</v>
      </c>
      <c r="X1689" t="s">
        <v>74</v>
      </c>
      <c r="Y1689" t="s">
        <v>74</v>
      </c>
      <c r="Z1689" t="s">
        <v>74</v>
      </c>
      <c r="AA1689" t="s">
        <v>13983</v>
      </c>
      <c r="AB1689" t="s">
        <v>74</v>
      </c>
      <c r="AC1689" t="s">
        <v>74</v>
      </c>
      <c r="AD1689" t="s">
        <v>74</v>
      </c>
      <c r="AE1689" t="s">
        <v>74</v>
      </c>
      <c r="AF1689" t="s">
        <v>74</v>
      </c>
      <c r="AG1689">
        <v>0</v>
      </c>
      <c r="AH1689">
        <v>0</v>
      </c>
      <c r="AI1689">
        <v>0</v>
      </c>
      <c r="AJ1689">
        <v>0</v>
      </c>
      <c r="AK1689">
        <v>1</v>
      </c>
      <c r="AL1689" t="s">
        <v>13947</v>
      </c>
      <c r="AM1689" t="s">
        <v>93</v>
      </c>
      <c r="AN1689" t="s">
        <v>93</v>
      </c>
      <c r="AO1689" t="s">
        <v>74</v>
      </c>
      <c r="AP1689" t="s">
        <v>74</v>
      </c>
      <c r="AQ1689" t="s">
        <v>13982</v>
      </c>
      <c r="AR1689" t="s">
        <v>13945</v>
      </c>
      <c r="AS1689" t="s">
        <v>74</v>
      </c>
      <c r="AT1689" t="s">
        <v>74</v>
      </c>
      <c r="AU1689">
        <v>1992</v>
      </c>
      <c r="AV1689">
        <v>18</v>
      </c>
      <c r="AW1689" t="s">
        <v>74</v>
      </c>
      <c r="AX1689" t="s">
        <v>74</v>
      </c>
      <c r="AY1689" t="s">
        <v>74</v>
      </c>
      <c r="AZ1689" t="s">
        <v>74</v>
      </c>
      <c r="BA1689" t="s">
        <v>74</v>
      </c>
      <c r="BB1689">
        <v>303</v>
      </c>
      <c r="BC1689">
        <v>303</v>
      </c>
      <c r="BD1689" t="s">
        <v>74</v>
      </c>
      <c r="BE1689" t="s">
        <v>74</v>
      </c>
      <c r="BF1689" t="s">
        <v>74</v>
      </c>
      <c r="BG1689" t="s">
        <v>74</v>
      </c>
      <c r="BH1689" t="s">
        <v>74</v>
      </c>
      <c r="BI1689">
        <v>1</v>
      </c>
      <c r="BJ1689" t="s">
        <v>159</v>
      </c>
      <c r="BK1689" t="s">
        <v>13944</v>
      </c>
      <c r="BL1689" t="s">
        <v>159</v>
      </c>
      <c r="BM1689" t="s">
        <v>13981</v>
      </c>
      <c r="BN1689" t="s">
        <v>74</v>
      </c>
      <c r="BO1689" t="s">
        <v>74</v>
      </c>
      <c r="BP1689" t="s">
        <v>74</v>
      </c>
      <c r="BQ1689" t="s">
        <v>74</v>
      </c>
      <c r="BR1689" t="s">
        <v>104</v>
      </c>
      <c r="BS1689" t="s">
        <v>13980</v>
      </c>
      <c r="BT1689" t="str">
        <f>HYPERLINK("https%3A%2F%2Fwww.webofscience.com%2Fwos%2Fwoscc%2Ffull-record%2FWOS:A1992BX50M00047","View Full Record in Web of Science")</f>
        <v>View Full Record in Web of Science</v>
      </c>
    </row>
    <row r="1690" spans="1:72" x14ac:dyDescent="0.25">
      <c r="A1690" t="s">
        <v>72</v>
      </c>
      <c r="B1690" t="s">
        <v>13979</v>
      </c>
      <c r="C1690" t="s">
        <v>74</v>
      </c>
      <c r="D1690" t="s">
        <v>74</v>
      </c>
      <c r="E1690" t="s">
        <v>74</v>
      </c>
      <c r="F1690" t="s">
        <v>13979</v>
      </c>
      <c r="G1690" t="s">
        <v>74</v>
      </c>
      <c r="H1690" t="s">
        <v>74</v>
      </c>
      <c r="I1690" t="s">
        <v>13978</v>
      </c>
      <c r="J1690" t="s">
        <v>13971</v>
      </c>
      <c r="K1690" t="s">
        <v>74</v>
      </c>
      <c r="L1690" t="s">
        <v>74</v>
      </c>
      <c r="M1690" t="s">
        <v>78</v>
      </c>
      <c r="N1690" t="s">
        <v>13977</v>
      </c>
      <c r="O1690" t="s">
        <v>74</v>
      </c>
      <c r="P1690" t="s">
        <v>74</v>
      </c>
      <c r="Q1690" t="s">
        <v>74</v>
      </c>
      <c r="R1690" t="s">
        <v>74</v>
      </c>
      <c r="S1690" t="s">
        <v>74</v>
      </c>
      <c r="T1690" t="s">
        <v>74</v>
      </c>
      <c r="U1690" t="s">
        <v>13976</v>
      </c>
      <c r="V1690" t="s">
        <v>74</v>
      </c>
      <c r="W1690" t="s">
        <v>13975</v>
      </c>
      <c r="X1690" t="s">
        <v>13974</v>
      </c>
      <c r="Y1690" t="s">
        <v>74</v>
      </c>
      <c r="Z1690" t="s">
        <v>74</v>
      </c>
      <c r="AA1690" t="s">
        <v>7706</v>
      </c>
      <c r="AB1690" t="s">
        <v>257</v>
      </c>
      <c r="AC1690" t="s">
        <v>74</v>
      </c>
      <c r="AD1690" t="s">
        <v>74</v>
      </c>
      <c r="AE1690" t="s">
        <v>74</v>
      </c>
      <c r="AF1690" t="s">
        <v>74</v>
      </c>
      <c r="AG1690">
        <v>16</v>
      </c>
      <c r="AH1690">
        <v>13</v>
      </c>
      <c r="AI1690">
        <v>13</v>
      </c>
      <c r="AJ1690">
        <v>0</v>
      </c>
      <c r="AK1690">
        <v>0</v>
      </c>
      <c r="AL1690" t="s">
        <v>122</v>
      </c>
      <c r="AM1690" t="s">
        <v>123</v>
      </c>
      <c r="AN1690" t="s">
        <v>124</v>
      </c>
      <c r="AO1690" t="s">
        <v>13973</v>
      </c>
      <c r="AP1690" t="s">
        <v>13972</v>
      </c>
      <c r="AQ1690" t="s">
        <v>74</v>
      </c>
      <c r="AR1690" t="s">
        <v>13971</v>
      </c>
      <c r="AS1690" t="s">
        <v>13970</v>
      </c>
      <c r="AT1690" t="s">
        <v>226</v>
      </c>
      <c r="AU1690">
        <v>1991</v>
      </c>
      <c r="AV1690">
        <v>52</v>
      </c>
      <c r="AW1690">
        <v>6</v>
      </c>
      <c r="AX1690" t="s">
        <v>74</v>
      </c>
      <c r="AY1690" t="s">
        <v>74</v>
      </c>
      <c r="AZ1690" t="s">
        <v>74</v>
      </c>
      <c r="BA1690" t="s">
        <v>74</v>
      </c>
      <c r="BB1690">
        <v>1092</v>
      </c>
      <c r="BC1690">
        <v>1094</v>
      </c>
      <c r="BD1690" t="s">
        <v>74</v>
      </c>
      <c r="BE1690" t="s">
        <v>74</v>
      </c>
      <c r="BF1690" t="s">
        <v>74</v>
      </c>
      <c r="BG1690" t="s">
        <v>74</v>
      </c>
      <c r="BH1690" t="s">
        <v>74</v>
      </c>
      <c r="BI1690">
        <v>3</v>
      </c>
      <c r="BJ1690" t="s">
        <v>13969</v>
      </c>
      <c r="BK1690" t="s">
        <v>101</v>
      </c>
      <c r="BL1690" t="s">
        <v>13969</v>
      </c>
      <c r="BM1690" t="s">
        <v>13968</v>
      </c>
      <c r="BN1690">
        <v>1750073</v>
      </c>
      <c r="BO1690" t="s">
        <v>74</v>
      </c>
      <c r="BP1690" t="s">
        <v>74</v>
      </c>
      <c r="BQ1690" t="s">
        <v>74</v>
      </c>
      <c r="BR1690" t="s">
        <v>104</v>
      </c>
      <c r="BS1690" t="s">
        <v>13967</v>
      </c>
      <c r="BT1690" t="str">
        <f>HYPERLINK("https%3A%2F%2Fwww.webofscience.com%2Fwos%2Fwoscc%2Ffull-record%2FWOS:A1991GV96900032","View Full Record in Web of Science")</f>
        <v>View Full Record in Web of Science</v>
      </c>
    </row>
    <row r="1691" spans="1:72" x14ac:dyDescent="0.25">
      <c r="A1691" t="s">
        <v>72</v>
      </c>
      <c r="B1691" t="s">
        <v>13966</v>
      </c>
      <c r="C1691" t="s">
        <v>74</v>
      </c>
      <c r="D1691" t="s">
        <v>74</v>
      </c>
      <c r="E1691" t="s">
        <v>74</v>
      </c>
      <c r="F1691" t="s">
        <v>13966</v>
      </c>
      <c r="G1691" t="s">
        <v>74</v>
      </c>
      <c r="H1691" t="s">
        <v>74</v>
      </c>
      <c r="I1691" t="s">
        <v>13965</v>
      </c>
      <c r="J1691" t="s">
        <v>1135</v>
      </c>
      <c r="K1691" t="s">
        <v>74</v>
      </c>
      <c r="L1691" t="s">
        <v>74</v>
      </c>
      <c r="M1691" t="s">
        <v>78</v>
      </c>
      <c r="N1691" t="s">
        <v>460</v>
      </c>
      <c r="O1691" t="s">
        <v>74</v>
      </c>
      <c r="P1691" t="s">
        <v>74</v>
      </c>
      <c r="Q1691" t="s">
        <v>74</v>
      </c>
      <c r="R1691" t="s">
        <v>74</v>
      </c>
      <c r="S1691" t="s">
        <v>74</v>
      </c>
      <c r="T1691" t="s">
        <v>74</v>
      </c>
      <c r="U1691" t="s">
        <v>74</v>
      </c>
      <c r="V1691" t="s">
        <v>74</v>
      </c>
      <c r="W1691" t="s">
        <v>74</v>
      </c>
      <c r="X1691" t="s">
        <v>74</v>
      </c>
      <c r="Y1691" t="s">
        <v>13964</v>
      </c>
      <c r="Z1691" t="s">
        <v>74</v>
      </c>
      <c r="AA1691" t="s">
        <v>13963</v>
      </c>
      <c r="AB1691" t="s">
        <v>13962</v>
      </c>
      <c r="AC1691" t="s">
        <v>74</v>
      </c>
      <c r="AD1691" t="s">
        <v>74</v>
      </c>
      <c r="AE1691" t="s">
        <v>74</v>
      </c>
      <c r="AF1691" t="s">
        <v>74</v>
      </c>
      <c r="AG1691">
        <v>8</v>
      </c>
      <c r="AH1691">
        <v>7</v>
      </c>
      <c r="AI1691">
        <v>7</v>
      </c>
      <c r="AJ1691">
        <v>0</v>
      </c>
      <c r="AK1691">
        <v>1</v>
      </c>
      <c r="AL1691" t="s">
        <v>13961</v>
      </c>
      <c r="AM1691" t="s">
        <v>201</v>
      </c>
      <c r="AN1691" t="s">
        <v>13960</v>
      </c>
      <c r="AO1691" t="s">
        <v>1146</v>
      </c>
      <c r="AP1691" t="s">
        <v>74</v>
      </c>
      <c r="AQ1691" t="s">
        <v>74</v>
      </c>
      <c r="AR1691" t="s">
        <v>1135</v>
      </c>
      <c r="AS1691" t="s">
        <v>1148</v>
      </c>
      <c r="AT1691" t="s">
        <v>5789</v>
      </c>
      <c r="AU1691">
        <v>1991</v>
      </c>
      <c r="AV1691">
        <v>338</v>
      </c>
      <c r="AW1691">
        <v>8767</v>
      </c>
      <c r="AX1691" t="s">
        <v>74</v>
      </c>
      <c r="AY1691" t="s">
        <v>74</v>
      </c>
      <c r="AZ1691" t="s">
        <v>74</v>
      </c>
      <c r="BA1691" t="s">
        <v>74</v>
      </c>
      <c r="BB1691">
        <v>631</v>
      </c>
      <c r="BC1691">
        <v>631</v>
      </c>
      <c r="BD1691" t="s">
        <v>74</v>
      </c>
      <c r="BE1691" t="s">
        <v>13959</v>
      </c>
      <c r="BF1691" t="str">
        <f>HYPERLINK("http://dx.doi.org/10.1016/0140-6736(91)90638-6","http://dx.doi.org/10.1016/0140-6736(91)90638-6")</f>
        <v>http://dx.doi.org/10.1016/0140-6736(91)90638-6</v>
      </c>
      <c r="BG1691" t="s">
        <v>74</v>
      </c>
      <c r="BH1691" t="s">
        <v>74</v>
      </c>
      <c r="BI1691">
        <v>1</v>
      </c>
      <c r="BJ1691" t="s">
        <v>1152</v>
      </c>
      <c r="BK1691" t="s">
        <v>101</v>
      </c>
      <c r="BL1691" t="s">
        <v>1153</v>
      </c>
      <c r="BM1691" t="s">
        <v>13958</v>
      </c>
      <c r="BN1691">
        <v>1679166</v>
      </c>
      <c r="BO1691" t="s">
        <v>74</v>
      </c>
      <c r="BP1691" t="s">
        <v>74</v>
      </c>
      <c r="BQ1691" t="s">
        <v>74</v>
      </c>
      <c r="BR1691" t="s">
        <v>104</v>
      </c>
      <c r="BS1691" t="s">
        <v>13957</v>
      </c>
      <c r="BT1691" t="str">
        <f>HYPERLINK("https%3A%2F%2Fwww.webofscience.com%2Fwos%2Fwoscc%2Ffull-record%2FWOS:A1991GD80900028","View Full Record in Web of Science")</f>
        <v>View Full Record in Web of Science</v>
      </c>
    </row>
    <row r="1692" spans="1:72" x14ac:dyDescent="0.25">
      <c r="A1692" t="s">
        <v>8062</v>
      </c>
      <c r="B1692" t="s">
        <v>13955</v>
      </c>
      <c r="C1692" t="s">
        <v>74</v>
      </c>
      <c r="D1692" t="s">
        <v>13956</v>
      </c>
      <c r="E1692" t="s">
        <v>74</v>
      </c>
      <c r="F1692" t="s">
        <v>13955</v>
      </c>
      <c r="G1692" t="s">
        <v>74</v>
      </c>
      <c r="H1692" t="s">
        <v>74</v>
      </c>
      <c r="I1692" t="s">
        <v>13954</v>
      </c>
      <c r="J1692" t="s">
        <v>13953</v>
      </c>
      <c r="K1692" t="s">
        <v>13952</v>
      </c>
      <c r="L1692" t="s">
        <v>74</v>
      </c>
      <c r="M1692" t="s">
        <v>78</v>
      </c>
      <c r="N1692" t="s">
        <v>52</v>
      </c>
      <c r="O1692" t="s">
        <v>13951</v>
      </c>
      <c r="P1692" t="s">
        <v>13950</v>
      </c>
      <c r="Q1692" t="s">
        <v>13949</v>
      </c>
      <c r="R1692" t="s">
        <v>74</v>
      </c>
      <c r="S1692" t="s">
        <v>74</v>
      </c>
      <c r="T1692" t="s">
        <v>74</v>
      </c>
      <c r="U1692" t="s">
        <v>74</v>
      </c>
      <c r="V1692" t="s">
        <v>74</v>
      </c>
      <c r="W1692" t="s">
        <v>74</v>
      </c>
      <c r="X1692" t="s">
        <v>74</v>
      </c>
      <c r="Y1692" t="s">
        <v>74</v>
      </c>
      <c r="Z1692" t="s">
        <v>74</v>
      </c>
      <c r="AA1692" t="s">
        <v>13948</v>
      </c>
      <c r="AB1692" t="s">
        <v>74</v>
      </c>
      <c r="AC1692" t="s">
        <v>74</v>
      </c>
      <c r="AD1692" t="s">
        <v>74</v>
      </c>
      <c r="AE1692" t="s">
        <v>74</v>
      </c>
      <c r="AF1692" t="s">
        <v>74</v>
      </c>
      <c r="AG1692">
        <v>0</v>
      </c>
      <c r="AH1692">
        <v>0</v>
      </c>
      <c r="AI1692">
        <v>0</v>
      </c>
      <c r="AJ1692">
        <v>0</v>
      </c>
      <c r="AK1692">
        <v>0</v>
      </c>
      <c r="AL1692" t="s">
        <v>13947</v>
      </c>
      <c r="AM1692" t="s">
        <v>93</v>
      </c>
      <c r="AN1692" t="s">
        <v>93</v>
      </c>
      <c r="AO1692" t="s">
        <v>74</v>
      </c>
      <c r="AP1692" t="s">
        <v>74</v>
      </c>
      <c r="AQ1692" t="s">
        <v>13946</v>
      </c>
      <c r="AR1692" t="s">
        <v>13945</v>
      </c>
      <c r="AS1692" t="s">
        <v>74</v>
      </c>
      <c r="AT1692" t="s">
        <v>74</v>
      </c>
      <c r="AU1692">
        <v>1991</v>
      </c>
      <c r="AV1692">
        <v>17</v>
      </c>
      <c r="AW1692" t="s">
        <v>74</v>
      </c>
      <c r="AX1692" t="s">
        <v>74</v>
      </c>
      <c r="AY1692" t="s">
        <v>74</v>
      </c>
      <c r="AZ1692" t="s">
        <v>74</v>
      </c>
      <c r="BA1692" t="s">
        <v>74</v>
      </c>
      <c r="BB1692">
        <v>361</v>
      </c>
      <c r="BC1692">
        <v>361</v>
      </c>
      <c r="BD1692" t="s">
        <v>74</v>
      </c>
      <c r="BE1692" t="s">
        <v>74</v>
      </c>
      <c r="BF1692" t="s">
        <v>74</v>
      </c>
      <c r="BG1692" t="s">
        <v>74</v>
      </c>
      <c r="BH1692" t="s">
        <v>74</v>
      </c>
      <c r="BI1692">
        <v>1</v>
      </c>
      <c r="BJ1692" t="s">
        <v>13943</v>
      </c>
      <c r="BK1692" t="s">
        <v>13944</v>
      </c>
      <c r="BL1692" t="s">
        <v>13943</v>
      </c>
      <c r="BM1692" t="s">
        <v>13942</v>
      </c>
      <c r="BN1692" t="s">
        <v>74</v>
      </c>
      <c r="BO1692" t="s">
        <v>74</v>
      </c>
      <c r="BP1692" t="s">
        <v>74</v>
      </c>
      <c r="BQ1692" t="s">
        <v>74</v>
      </c>
      <c r="BR1692" t="s">
        <v>104</v>
      </c>
      <c r="BS1692" t="s">
        <v>13941</v>
      </c>
      <c r="BT1692" t="str">
        <f>HYPERLINK("https%3A%2F%2Fwww.webofscience.com%2Fwos%2Fwoscc%2Ffull-record%2FWOS:A1991BW27U00059","View Full Record in Web of Science")</f>
        <v>View Full Record in Web of Science</v>
      </c>
    </row>
    <row r="1693" spans="1:72" x14ac:dyDescent="0.25">
      <c r="A1693" t="s">
        <v>72</v>
      </c>
      <c r="B1693" t="s">
        <v>13940</v>
      </c>
      <c r="C1693" t="s">
        <v>74</v>
      </c>
      <c r="D1693" t="s">
        <v>74</v>
      </c>
      <c r="E1693" t="s">
        <v>74</v>
      </c>
      <c r="F1693" t="s">
        <v>13940</v>
      </c>
      <c r="G1693" t="s">
        <v>74</v>
      </c>
      <c r="H1693" t="s">
        <v>74</v>
      </c>
      <c r="I1693" t="s">
        <v>13939</v>
      </c>
      <c r="J1693" t="s">
        <v>13938</v>
      </c>
      <c r="K1693" t="s">
        <v>74</v>
      </c>
      <c r="L1693" t="s">
        <v>74</v>
      </c>
      <c r="M1693" t="s">
        <v>1349</v>
      </c>
      <c r="N1693" t="s">
        <v>79</v>
      </c>
      <c r="O1693" t="s">
        <v>74</v>
      </c>
      <c r="P1693" t="s">
        <v>74</v>
      </c>
      <c r="Q1693" t="s">
        <v>74</v>
      </c>
      <c r="R1693" t="s">
        <v>74</v>
      </c>
      <c r="S1693" t="s">
        <v>74</v>
      </c>
      <c r="T1693" t="s">
        <v>74</v>
      </c>
      <c r="U1693" t="s">
        <v>74</v>
      </c>
      <c r="V1693" t="s">
        <v>74</v>
      </c>
      <c r="W1693" t="s">
        <v>74</v>
      </c>
      <c r="X1693" t="s">
        <v>74</v>
      </c>
      <c r="Y1693" t="s">
        <v>13937</v>
      </c>
      <c r="Z1693" t="s">
        <v>74</v>
      </c>
      <c r="AA1693" t="s">
        <v>144</v>
      </c>
      <c r="AB1693" t="s">
        <v>257</v>
      </c>
      <c r="AC1693" t="s">
        <v>74</v>
      </c>
      <c r="AD1693" t="s">
        <v>74</v>
      </c>
      <c r="AE1693" t="s">
        <v>74</v>
      </c>
      <c r="AF1693" t="s">
        <v>74</v>
      </c>
      <c r="AG1693">
        <v>38</v>
      </c>
      <c r="AH1693">
        <v>3</v>
      </c>
      <c r="AI1693">
        <v>4</v>
      </c>
      <c r="AJ1693">
        <v>0</v>
      </c>
      <c r="AK1693">
        <v>0</v>
      </c>
      <c r="AL1693" t="s">
        <v>1358</v>
      </c>
      <c r="AM1693" t="s">
        <v>1359</v>
      </c>
      <c r="AN1693" t="s">
        <v>1360</v>
      </c>
      <c r="AO1693" t="s">
        <v>13936</v>
      </c>
      <c r="AP1693" t="s">
        <v>74</v>
      </c>
      <c r="AQ1693" t="s">
        <v>74</v>
      </c>
      <c r="AR1693" t="s">
        <v>13935</v>
      </c>
      <c r="AS1693" t="s">
        <v>13934</v>
      </c>
      <c r="AT1693" t="s">
        <v>74</v>
      </c>
      <c r="AU1693">
        <v>1990</v>
      </c>
      <c r="AV1693">
        <v>141</v>
      </c>
      <c r="AW1693">
        <v>3</v>
      </c>
      <c r="AX1693" t="s">
        <v>74</v>
      </c>
      <c r="AY1693" t="s">
        <v>74</v>
      </c>
      <c r="AZ1693" t="s">
        <v>74</v>
      </c>
      <c r="BA1693" t="s">
        <v>74</v>
      </c>
      <c r="BB1693">
        <v>213</v>
      </c>
      <c r="BC1693">
        <v>216</v>
      </c>
      <c r="BD1693" t="s">
        <v>74</v>
      </c>
      <c r="BE1693" t="s">
        <v>74</v>
      </c>
      <c r="BF1693" t="s">
        <v>74</v>
      </c>
      <c r="BG1693" t="s">
        <v>74</v>
      </c>
      <c r="BH1693" t="s">
        <v>74</v>
      </c>
      <c r="BI1693">
        <v>4</v>
      </c>
      <c r="BJ1693" t="s">
        <v>1152</v>
      </c>
      <c r="BK1693" t="s">
        <v>101</v>
      </c>
      <c r="BL1693" t="s">
        <v>1153</v>
      </c>
      <c r="BM1693" t="s">
        <v>13933</v>
      </c>
      <c r="BN1693">
        <v>2369009</v>
      </c>
      <c r="BO1693" t="s">
        <v>74</v>
      </c>
      <c r="BP1693" t="s">
        <v>74</v>
      </c>
      <c r="BQ1693" t="s">
        <v>74</v>
      </c>
      <c r="BR1693" t="s">
        <v>104</v>
      </c>
      <c r="BS1693" t="s">
        <v>13932</v>
      </c>
      <c r="BT1693" t="str">
        <f>HYPERLINK("https%3A%2F%2Fwww.webofscience.com%2Fwos%2Fwoscc%2Ffull-record%2FWOS:A1990DJ55400004","View Full Record in Web of Science")</f>
        <v>View Full Record in Web of Science</v>
      </c>
    </row>
    <row r="1694" spans="1:72" x14ac:dyDescent="0.25">
      <c r="A1694" t="s">
        <v>72</v>
      </c>
      <c r="B1694" t="s">
        <v>13931</v>
      </c>
      <c r="C1694" t="s">
        <v>74</v>
      </c>
      <c r="D1694" t="s">
        <v>74</v>
      </c>
      <c r="E1694" t="s">
        <v>74</v>
      </c>
      <c r="F1694" t="s">
        <v>13931</v>
      </c>
      <c r="G1694" t="s">
        <v>74</v>
      </c>
      <c r="H1694" t="s">
        <v>74</v>
      </c>
      <c r="I1694" t="s">
        <v>13930</v>
      </c>
      <c r="J1694" t="s">
        <v>13929</v>
      </c>
      <c r="K1694" t="s">
        <v>74</v>
      </c>
      <c r="L1694" t="s">
        <v>74</v>
      </c>
      <c r="M1694" t="s">
        <v>1349</v>
      </c>
      <c r="N1694" t="s">
        <v>79</v>
      </c>
      <c r="O1694" t="s">
        <v>74</v>
      </c>
      <c r="P1694" t="s">
        <v>74</v>
      </c>
      <c r="Q1694" t="s">
        <v>74</v>
      </c>
      <c r="R1694" t="s">
        <v>74</v>
      </c>
      <c r="S1694" t="s">
        <v>74</v>
      </c>
      <c r="T1694" t="s">
        <v>74</v>
      </c>
      <c r="U1694" t="s">
        <v>74</v>
      </c>
      <c r="V1694" t="s">
        <v>13928</v>
      </c>
      <c r="W1694" t="s">
        <v>13927</v>
      </c>
      <c r="X1694" t="s">
        <v>13926</v>
      </c>
      <c r="Y1694" t="s">
        <v>13925</v>
      </c>
      <c r="Z1694" t="s">
        <v>74</v>
      </c>
      <c r="AA1694" t="s">
        <v>144</v>
      </c>
      <c r="AB1694" t="s">
        <v>74</v>
      </c>
      <c r="AC1694" t="s">
        <v>74</v>
      </c>
      <c r="AD1694" t="s">
        <v>74</v>
      </c>
      <c r="AE1694" t="s">
        <v>74</v>
      </c>
      <c r="AF1694" t="s">
        <v>74</v>
      </c>
      <c r="AG1694">
        <v>6</v>
      </c>
      <c r="AH1694">
        <v>2</v>
      </c>
      <c r="AI1694">
        <v>2</v>
      </c>
      <c r="AJ1694">
        <v>0</v>
      </c>
      <c r="AK1694">
        <v>0</v>
      </c>
      <c r="AL1694" t="s">
        <v>1358</v>
      </c>
      <c r="AM1694" t="s">
        <v>1359</v>
      </c>
      <c r="AN1694" t="s">
        <v>1360</v>
      </c>
      <c r="AO1694" t="s">
        <v>13924</v>
      </c>
      <c r="AP1694" t="s">
        <v>74</v>
      </c>
      <c r="AQ1694" t="s">
        <v>74</v>
      </c>
      <c r="AR1694" t="s">
        <v>13923</v>
      </c>
      <c r="AS1694" t="s">
        <v>13922</v>
      </c>
      <c r="AT1694" t="s">
        <v>74</v>
      </c>
      <c r="AU1694">
        <v>1982</v>
      </c>
      <c r="AV1694">
        <v>6</v>
      </c>
      <c r="AW1694">
        <v>2</v>
      </c>
      <c r="AX1694" t="s">
        <v>74</v>
      </c>
      <c r="AY1694" t="s">
        <v>74</v>
      </c>
      <c r="AZ1694" t="s">
        <v>74</v>
      </c>
      <c r="BA1694" t="s">
        <v>74</v>
      </c>
      <c r="BB1694">
        <v>129</v>
      </c>
      <c r="BC1694">
        <v>134</v>
      </c>
      <c r="BD1694" t="s">
        <v>74</v>
      </c>
      <c r="BE1694" t="s">
        <v>74</v>
      </c>
      <c r="BF1694" t="s">
        <v>74</v>
      </c>
      <c r="BG1694" t="s">
        <v>74</v>
      </c>
      <c r="BH1694" t="s">
        <v>74</v>
      </c>
      <c r="BI1694">
        <v>6</v>
      </c>
      <c r="BJ1694" t="s">
        <v>100</v>
      </c>
      <c r="BK1694" t="s">
        <v>101</v>
      </c>
      <c r="BL1694" t="s">
        <v>100</v>
      </c>
      <c r="BM1694" t="s">
        <v>13921</v>
      </c>
      <c r="BN1694">
        <v>7060855</v>
      </c>
      <c r="BO1694" t="s">
        <v>74</v>
      </c>
      <c r="BP1694" t="s">
        <v>74</v>
      </c>
      <c r="BQ1694" t="s">
        <v>74</v>
      </c>
      <c r="BR1694" t="s">
        <v>104</v>
      </c>
      <c r="BS1694" t="s">
        <v>13920</v>
      </c>
      <c r="BT1694" t="str">
        <f>HYPERLINK("https%3A%2F%2Fwww.webofscience.com%2Fwos%2Fwoscc%2Ffull-record%2FWOS:A1982ND36900002","View Full Record in Web of Science")</f>
        <v>View Full Record in Web of Science</v>
      </c>
    </row>
    <row r="1695" spans="1:72" x14ac:dyDescent="0.25">
      <c r="A1695" t="s">
        <v>72</v>
      </c>
      <c r="B1695" t="s">
        <v>13919</v>
      </c>
      <c r="C1695" t="s">
        <v>74</v>
      </c>
      <c r="D1695" t="s">
        <v>74</v>
      </c>
      <c r="E1695" t="s">
        <v>74</v>
      </c>
      <c r="F1695" t="s">
        <v>13919</v>
      </c>
      <c r="G1695" t="s">
        <v>74</v>
      </c>
      <c r="H1695" t="s">
        <v>74</v>
      </c>
      <c r="I1695" t="s">
        <v>13918</v>
      </c>
      <c r="J1695" t="s">
        <v>13917</v>
      </c>
      <c r="K1695" t="s">
        <v>74</v>
      </c>
      <c r="L1695" t="s">
        <v>74</v>
      </c>
      <c r="M1695" t="s">
        <v>78</v>
      </c>
      <c r="N1695" t="s">
        <v>79</v>
      </c>
      <c r="O1695" t="s">
        <v>74</v>
      </c>
      <c r="P1695" t="s">
        <v>74</v>
      </c>
      <c r="Q1695" t="s">
        <v>74</v>
      </c>
      <c r="R1695" t="s">
        <v>74</v>
      </c>
      <c r="S1695" t="s">
        <v>74</v>
      </c>
      <c r="T1695" t="s">
        <v>74</v>
      </c>
      <c r="U1695" t="s">
        <v>74</v>
      </c>
      <c r="V1695" t="s">
        <v>74</v>
      </c>
      <c r="W1695" t="s">
        <v>13916</v>
      </c>
      <c r="X1695" t="s">
        <v>1325</v>
      </c>
      <c r="Y1695" t="s">
        <v>13915</v>
      </c>
      <c r="Z1695" t="s">
        <v>74</v>
      </c>
      <c r="AA1695" t="s">
        <v>144</v>
      </c>
      <c r="AB1695" t="s">
        <v>13914</v>
      </c>
      <c r="AC1695" t="s">
        <v>74</v>
      </c>
      <c r="AD1695" t="s">
        <v>74</v>
      </c>
      <c r="AE1695" t="s">
        <v>74</v>
      </c>
      <c r="AF1695" t="s">
        <v>74</v>
      </c>
      <c r="AG1695">
        <v>12</v>
      </c>
      <c r="AH1695">
        <v>3</v>
      </c>
      <c r="AI1695">
        <v>3</v>
      </c>
      <c r="AJ1695">
        <v>0</v>
      </c>
      <c r="AK1695">
        <v>0</v>
      </c>
      <c r="AL1695" t="s">
        <v>1330</v>
      </c>
      <c r="AM1695" t="s">
        <v>1331</v>
      </c>
      <c r="AN1695" t="s">
        <v>1332</v>
      </c>
      <c r="AO1695" t="s">
        <v>13913</v>
      </c>
      <c r="AP1695" t="s">
        <v>13912</v>
      </c>
      <c r="AQ1695" t="s">
        <v>74</v>
      </c>
      <c r="AR1695" t="s">
        <v>13911</v>
      </c>
      <c r="AS1695" t="s">
        <v>13910</v>
      </c>
      <c r="AT1695" t="s">
        <v>74</v>
      </c>
      <c r="AU1695">
        <v>1978</v>
      </c>
      <c r="AV1695">
        <v>8</v>
      </c>
      <c r="AW1695">
        <v>3</v>
      </c>
      <c r="AX1695" t="s">
        <v>74</v>
      </c>
      <c r="AY1695" t="s">
        <v>74</v>
      </c>
      <c r="AZ1695" t="s">
        <v>74</v>
      </c>
      <c r="BA1695" t="s">
        <v>74</v>
      </c>
      <c r="BB1695">
        <v>265</v>
      </c>
      <c r="BC1695">
        <v>269</v>
      </c>
      <c r="BD1695" t="s">
        <v>74</v>
      </c>
      <c r="BE1695" t="s">
        <v>13909</v>
      </c>
      <c r="BF1695" t="str">
        <f>HYPERLINK("http://dx.doi.org/10.1177/004839317800800305","http://dx.doi.org/10.1177/004839317800800305")</f>
        <v>http://dx.doi.org/10.1177/004839317800800305</v>
      </c>
      <c r="BG1695" t="s">
        <v>74</v>
      </c>
      <c r="BH1695" t="s">
        <v>74</v>
      </c>
      <c r="BI1695">
        <v>5</v>
      </c>
      <c r="BJ1695" t="s">
        <v>13908</v>
      </c>
      <c r="BK1695" t="s">
        <v>13907</v>
      </c>
      <c r="BL1695" t="s">
        <v>13906</v>
      </c>
      <c r="BM1695" t="s">
        <v>13905</v>
      </c>
      <c r="BN1695" t="s">
        <v>74</v>
      </c>
      <c r="BO1695" t="s">
        <v>74</v>
      </c>
      <c r="BP1695" t="s">
        <v>74</v>
      </c>
      <c r="BQ1695" t="s">
        <v>74</v>
      </c>
      <c r="BR1695" t="s">
        <v>104</v>
      </c>
      <c r="BS1695" t="s">
        <v>13904</v>
      </c>
      <c r="BT1695" t="str">
        <f>HYPERLINK("https%3A%2F%2Fwww.webofscience.com%2Fwos%2Fwoscc%2Ffull-record%2FWOS:A1978FV56400005","View Full Record in Web of Science")</f>
        <v>View Full Record in Web of Science</v>
      </c>
    </row>
  </sheetData>
  <pageMargins left="0.78740157499999996" right="0.78740157499999996" top="0.984251969" bottom="0.984251969"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Utilisateur Windows</cp:lastModifiedBy>
  <dcterms:created xsi:type="dcterms:W3CDTF">2025-04-02T15:00:11Z</dcterms:created>
  <dcterms:modified xsi:type="dcterms:W3CDTF">2025-04-02T15:00:12Z</dcterms:modified>
</cp:coreProperties>
</file>